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5" yWindow="5835" windowWidth="15390" windowHeight="1170" tabRatio="898" activeTab="1"/>
  </bookViews>
  <sheets>
    <sheet name="MATRIZCTAS(a)" sheetId="28" r:id="rId1"/>
    <sheet name="MATRIZCTAS" sheetId="44" r:id="rId2"/>
    <sheet name="FECU 2012 (M$)" sheetId="43" r:id="rId3"/>
    <sheet name="FECU 2012 ($)" sheetId="46" r:id="rId4"/>
    <sheet name="ESTADO DE CAMBIO EN EL PATRIMON" sheetId="47" r:id="rId5"/>
    <sheet name="EFE" sheetId="48" r:id="rId6"/>
    <sheet name="FECU(a)" sheetId="30" r:id="rId7"/>
    <sheet name="EEFF" sheetId="29" r:id="rId8"/>
    <sheet name="Cuadro A-1 II" sheetId="42" r:id="rId9"/>
    <sheet name="Cuadros Notas" sheetId="39" r:id="rId10"/>
    <sheet name="Cuadros Notas (IFRS)" sheetId="45" r:id="rId11"/>
    <sheet name="C_6.01" sheetId="31" r:id="rId12"/>
    <sheet name="C_6.02" sheetId="32" r:id="rId13"/>
    <sheet name="C_6.03" sheetId="41" r:id="rId14"/>
    <sheet name="C_6.04" sheetId="34" r:id="rId15"/>
    <sheet name="C_6.05" sheetId="35" r:id="rId16"/>
    <sheet name="C_6.06" sheetId="36" r:id="rId17"/>
    <sheet name="C_6.07" sheetId="37" r:id="rId18"/>
    <sheet name="C_6.08" sheetId="38" r:id="rId19"/>
    <sheet name="Antecedentes Cuadros 6.03" sheetId="49" r:id="rId20"/>
    <sheet name="Antecedentes Cuadros 6.04" sheetId="50" r:id="rId21"/>
    <sheet name="Antecedentes Cuadros 6.05" sheetId="51" r:id="rId22"/>
    <sheet name="Parametros Cuadros de Notas" sheetId="40" r:id="rId23"/>
    <sheet name="Parámetros" sheetId="3" r:id="rId24"/>
  </sheets>
  <externalReferences>
    <externalReference r:id="rId25"/>
    <externalReference r:id="rId26"/>
    <externalReference r:id="rId27"/>
    <externalReference r:id="rId28"/>
    <externalReference r:id="rId29"/>
    <externalReference r:id="rId30"/>
    <externalReference r:id="rId31"/>
  </externalReferences>
  <definedNames>
    <definedName name="_xlnm._FilterDatabase" localSheetId="3" hidden="1">'FECU 2012 ($)'!$A$5:$D$77</definedName>
    <definedName name="_xlnm._FilterDatabase" localSheetId="2" hidden="1">'FECU 2012 (M$)'!$A$5:$D$77</definedName>
    <definedName name="_xlnm._FilterDatabase" localSheetId="1" hidden="1">MATRIZCTAS!$A$6:$AO$1945</definedName>
    <definedName name="_xlnm._FilterDatabase" localSheetId="0" hidden="1">'MATRIZCTAS(a)'!$A$6:$AN$1764</definedName>
    <definedName name="Activos" localSheetId="3">'FECU 2012 ($)'!$A$5:$D$77</definedName>
    <definedName name="Activos">'FECU 2012 (M$)'!$A$5:$D$77</definedName>
    <definedName name="_xlnm.Print_Area" localSheetId="11">C_6.01!$B$1:$AL$52</definedName>
    <definedName name="_xlnm.Print_Area" localSheetId="12">C_6.02!$G$1:$AL$37</definedName>
    <definedName name="_xlnm.Print_Area" localSheetId="13">C_6.03!$A$1:$AM$45</definedName>
    <definedName name="_xlnm.Print_Area" localSheetId="14">C_6.04!$B$4:$M$29</definedName>
    <definedName name="_xlnm.Print_Area" localSheetId="15">C_6.05!$F$1:$AJ$40</definedName>
    <definedName name="_xlnm.Print_Area" localSheetId="16">C_6.06!$B$4:$N$25</definedName>
    <definedName name="_xlnm.Print_Area" localSheetId="17">C_6.07!$B$1:$AJ$22</definedName>
    <definedName name="_xlnm.Print_Area" localSheetId="18">C_6.08!$A$1:$AF$30</definedName>
    <definedName name="_xlnm.Print_Area" localSheetId="8">'Cuadro A-1 II'!$A$1:$Z$63</definedName>
    <definedName name="_xlnm.Print_Area" localSheetId="9">'Cuadros Notas'!$B$582:$X$655</definedName>
    <definedName name="_xlnm.Print_Area" localSheetId="10">'Cuadros Notas (IFRS)'!$B$66:$P$91</definedName>
    <definedName name="_xlnm.Print_Area" localSheetId="7">EEFF!$A$1:$L$54</definedName>
    <definedName name="_xlnm.Print_Area" localSheetId="5">EFE!$A$1:$F$87</definedName>
    <definedName name="_xlnm.Print_Area" localSheetId="4">'ESTADO DE CAMBIO EN EL PATRIMON'!$B$1:$V$29</definedName>
    <definedName name="_xlnm.Print_Area" localSheetId="3">'FECU 2012 ($)'!$A$144:$D$249</definedName>
    <definedName name="_xlnm.Print_Area" localSheetId="2">'FECU 2012 (M$)'!$A$145:$D$249</definedName>
    <definedName name="_xlnm.Print_Area" localSheetId="6">'FECU(a)'!$B$4:$H$73</definedName>
    <definedName name="_xlnm.Print_Area" localSheetId="1">MATRIZCTAS!$A$1:$AH$1949</definedName>
    <definedName name="_xlnm.Print_Area" localSheetId="0">'MATRIZCTAS(a)'!$E$6:$AG$869</definedName>
    <definedName name="_xlnm.Print_Area" localSheetId="22">'Parametros Cuadros de Notas'!$B$62:$C$74</definedName>
    <definedName name="_xlnm.Database">Parámetros!$F$2:$G$38</definedName>
    <definedName name="BICE_VIDA_COMPAÑÍA_DE_SEGUROS__S._A." localSheetId="21">#REF!</definedName>
    <definedName name="BICE_VIDA_COMPAÑÍA_DE_SEGUROS__S._A." localSheetId="10">#REF!</definedName>
    <definedName name="BICE_VIDA_COMPAÑÍA_DE_SEGUROS__S._A." localSheetId="3">#REF!</definedName>
    <definedName name="BICE_VIDA_COMPAÑÍA_DE_SEGUROS__S._A." localSheetId="1">#REF!</definedName>
    <definedName name="BICE_VIDA_COMPAÑÍA_DE_SEGUROS__S._A.">#REF!</definedName>
    <definedName name="C_6.01">C_6.01!$B$4:$AL$38</definedName>
    <definedName name="C_6.02" localSheetId="18">C_6.08!$B$4:$AF$33</definedName>
    <definedName name="C_6.02">C_6.02!$B$4:$AL$44</definedName>
    <definedName name="C_6.03" localSheetId="21">#REF!</definedName>
    <definedName name="C_6.03" localSheetId="13">C_6.03!$B$4:$AL$47</definedName>
    <definedName name="C_6.03" localSheetId="10">#REF!</definedName>
    <definedName name="C_6.03" localSheetId="3">#REF!</definedName>
    <definedName name="C_6.03" localSheetId="1">#REF!</definedName>
    <definedName name="C_6.03">#REF!</definedName>
    <definedName name="C_6.04">C_6.04!$B$4:$L$39</definedName>
    <definedName name="C_6.05">C_6.05!$B$5:$AJ$39</definedName>
    <definedName name="C_6.06">C_6.06!$B$4:$N$25</definedName>
    <definedName name="C_6.07">C_6.07!$B$4:$AJ$21</definedName>
    <definedName name="C_6.08">C_6.08!$B$3:$AF$30</definedName>
    <definedName name="Cod_Cia">[1]Tablas!$P$2:$Q$14</definedName>
    <definedName name="ConAmortizacion" localSheetId="21">#REF!</definedName>
    <definedName name="ConAmortizacion" localSheetId="10">#REF!</definedName>
    <definedName name="ConAmortizacion" localSheetId="3">#REF!</definedName>
    <definedName name="ConAmortizacion" localSheetId="1">#REF!</definedName>
    <definedName name="ConAmortizacion">#REF!</definedName>
    <definedName name="contador" localSheetId="21">#REF!</definedName>
    <definedName name="contador" localSheetId="10">#REF!</definedName>
    <definedName name="contador" localSheetId="3">#REF!</definedName>
    <definedName name="contador" localSheetId="1">#REF!</definedName>
    <definedName name="contador">#REF!</definedName>
    <definedName name="datos" localSheetId="21">#REF!</definedName>
    <definedName name="datos" localSheetId="10">#REF!</definedName>
    <definedName name="datos" localSheetId="3">#REF!</definedName>
    <definedName name="datos" localSheetId="1">#REF!</definedName>
    <definedName name="datos">#REF!</definedName>
    <definedName name="datos1">[2]Tasas!$B$25:$F$65536</definedName>
    <definedName name="Deudores" localSheetId="21">#REF!</definedName>
    <definedName name="Deudores" localSheetId="10">#REF!</definedName>
    <definedName name="Deudores" localSheetId="3">#REF!</definedName>
    <definedName name="Deudores" localSheetId="1">#REF!</definedName>
    <definedName name="Deudores">#REF!</definedName>
    <definedName name="EEFF">EEFF!$B$5:$K$49</definedName>
    <definedName name="Estados_Resultados" localSheetId="3">'FECU 2012 ($)'!$A$145:$D$247</definedName>
    <definedName name="Estados_Resultados">'FECU 2012 (M$)'!$A$145:$D$247</definedName>
    <definedName name="fecha">[2]Salida!$C$2</definedName>
    <definedName name="FechaInforme">Parámetros!$I$3</definedName>
    <definedName name="FECUACTIVOS">'FECU(a)'!$B$4:$H$73</definedName>
    <definedName name="FECUPASIVOS">'FECU(a)'!$B$75:$H$144</definedName>
    <definedName name="FECURESULTADOS">'FECU(a)'!$B$146:$H$207</definedName>
    <definedName name="HipotecarioComercial" localSheetId="21">#REF!</definedName>
    <definedName name="HipotecarioComercial" localSheetId="10">#REF!</definedName>
    <definedName name="HipotecarioComercial" localSheetId="3">#REF!</definedName>
    <definedName name="HipotecarioComercial" localSheetId="1">#REF!</definedName>
    <definedName name="HipotecarioComercial">#REF!</definedName>
    <definedName name="HipotecarioTecnico" localSheetId="21">#REF!</definedName>
    <definedName name="HipotecarioTecnico" localSheetId="10">#REF!</definedName>
    <definedName name="HipotecarioTecnico" localSheetId="3">#REF!</definedName>
    <definedName name="HipotecarioTecnico" localSheetId="1">#REF!</definedName>
    <definedName name="HipotecarioTecnico">#REF!</definedName>
    <definedName name="MesInforme" localSheetId="8">[3]Parámetros!$B$3</definedName>
    <definedName name="MesInforme">Parámetros!$B$3</definedName>
    <definedName name="NOTAS" localSheetId="21">#REF!</definedName>
    <definedName name="NOTAS" localSheetId="10">#REF!</definedName>
    <definedName name="NOTAS" localSheetId="3">#REF!</definedName>
    <definedName name="NOTAS" localSheetId="1">#REF!</definedName>
    <definedName name="NOTAS">#REF!</definedName>
    <definedName name="Pasivos" localSheetId="3">'FECU 2012 ($)'!$A$81:$D$141</definedName>
    <definedName name="Pasivos">'FECU 2012 (M$)'!$A$81:$D$141</definedName>
    <definedName name="resultado" localSheetId="21">#REF!</definedName>
    <definedName name="resultado" localSheetId="10">#REF!</definedName>
    <definedName name="resultado" localSheetId="3">#REF!</definedName>
    <definedName name="resultado" localSheetId="1">#REF!</definedName>
    <definedName name="resultado">#REF!</definedName>
    <definedName name="SinAmortizacion" localSheetId="21">#REF!</definedName>
    <definedName name="SinAmortizacion" localSheetId="10">#REF!</definedName>
    <definedName name="SinAmortizacion" localSheetId="3">#REF!</definedName>
    <definedName name="SinAmortizacion" localSheetId="1">#REF!</definedName>
    <definedName name="SinAmortizacion">#REF!</definedName>
    <definedName name="Sobregiro" localSheetId="21">#REF!</definedName>
    <definedName name="Sobregiro" localSheetId="10">#REF!</definedName>
    <definedName name="Sobregiro" localSheetId="3">#REF!</definedName>
    <definedName name="Sobregiro" localSheetId="1">#REF!</definedName>
    <definedName name="Sobregiro">#REF!</definedName>
    <definedName name="SVRAMO">Parámetros!$F$4:$G$38</definedName>
    <definedName name="TiposdeCreditos" localSheetId="21">#REF!</definedName>
    <definedName name="TiposdeCreditos" localSheetId="10">#REF!</definedName>
    <definedName name="TiposdeCreditos" localSheetId="3">#REF!</definedName>
    <definedName name="TiposdeCreditos" localSheetId="1">#REF!</definedName>
    <definedName name="TiposdeCreditos">#REF!</definedName>
    <definedName name="_xlnm.Print_Titles" localSheetId="11">C_6.01!$A:$D,C_6.01!$1:$38</definedName>
    <definedName name="_xlnm.Print_Titles" localSheetId="12">C_6.02!$A:$E</definedName>
    <definedName name="_xlnm.Print_Titles" localSheetId="13">C_6.03!$A:$E</definedName>
    <definedName name="_xlnm.Print_Titles" localSheetId="15">C_6.05!$A:$E</definedName>
    <definedName name="_xlnm.Print_Titles" localSheetId="17">C_6.07!$A:$F</definedName>
    <definedName name="_xlnm.Print_Titles" localSheetId="18">C_6.08!$A:$D</definedName>
    <definedName name="_xlnm.Print_Titles" localSheetId="3">'FECU 2012 ($)'!$1:$3</definedName>
    <definedName name="_xlnm.Print_Titles" localSheetId="2">'FECU 2012 (M$)'!$1:$3</definedName>
    <definedName name="ValorUF" localSheetId="8">[4]Parámetros!$D$3</definedName>
    <definedName name="ValorUF">Parámetros!$D$3</definedName>
    <definedName name="wrn.FECU." localSheetId="12" hidden="1">{"BalFecu",#N/A,TRUE,"Fecu";"EERRFecu",#N/A,TRUE,"Fecu";"MG",#N/A,TRUE,"Fecu"}</definedName>
    <definedName name="wrn.FECU." localSheetId="13" hidden="1">{"BalFecu",#N/A,TRUE,"Fecu";"EERRFecu",#N/A,TRUE,"Fecu";"MG",#N/A,TRUE,"Fecu"}</definedName>
    <definedName name="wrn.FECU." localSheetId="14" hidden="1">{"BalFecu",#N/A,TRUE,"Fecu";"EERRFecu",#N/A,TRUE,"Fecu";"MG",#N/A,TRUE,"Fecu"}</definedName>
    <definedName name="wrn.FECU." localSheetId="15" hidden="1">{"BalFecu",#N/A,TRUE,"Fecu";"EERRFecu",#N/A,TRUE,"Fecu";"MG",#N/A,TRUE,"Fecu"}</definedName>
    <definedName name="wrn.FECU." localSheetId="16" hidden="1">{"BalFecu",#N/A,TRUE,"Fecu";"EERRFecu",#N/A,TRUE,"Fecu";"MG",#N/A,TRUE,"Fecu"}</definedName>
    <definedName name="wrn.FECU." localSheetId="17" hidden="1">{"BalFecu",#N/A,TRUE,"Fecu";"EERRFecu",#N/A,TRUE,"Fecu";"MG",#N/A,TRUE,"Fecu"}</definedName>
    <definedName name="wrn.FECU." localSheetId="18" hidden="1">{"BalFecu",#N/A,TRUE,"Fecu";"EERRFecu",#N/A,TRUE,"Fecu";"MG",#N/A,TRUE,"Fecu"}</definedName>
    <definedName name="wrn.FECU." localSheetId="8" hidden="1">{"BalFecu",#N/A,TRUE,"Fecu";"EERRFecu",#N/A,TRUE,"Fecu";"MG",#N/A,TRUE,"Fecu"}</definedName>
    <definedName name="wrn.FECU." hidden="1">{"BalFecu",#N/A,TRUE,"Fecu";"EERRFecu",#N/A,TRUE,"Fecu";"MG",#N/A,TRUE,"Fecu"}</definedName>
  </definedNames>
  <calcPr calcId="145621"/>
</workbook>
</file>

<file path=xl/calcChain.xml><?xml version="1.0" encoding="utf-8"?>
<calcChain xmlns="http://schemas.openxmlformats.org/spreadsheetml/2006/main">
  <c r="X59" i="42" l="1"/>
  <c r="X58" i="42"/>
  <c r="X53" i="42" l="1"/>
  <c r="D1394" i="28" l="1"/>
  <c r="C1394" i="28"/>
  <c r="B1394" i="28"/>
  <c r="A1394" i="28"/>
  <c r="X1056" i="28"/>
  <c r="U1056" i="28"/>
  <c r="R1056" i="28"/>
  <c r="O1056" i="28"/>
  <c r="L1056" i="28"/>
  <c r="I1056" i="28"/>
  <c r="F1056" i="28"/>
  <c r="D1056" i="28"/>
  <c r="C1056" i="28"/>
  <c r="B1056" i="28"/>
  <c r="A1056" i="28"/>
  <c r="D749" i="28"/>
  <c r="C749" i="28"/>
  <c r="B749" i="28"/>
  <c r="A749" i="28"/>
  <c r="D748" i="28"/>
  <c r="C748" i="28"/>
  <c r="B748" i="28"/>
  <c r="A748" i="28"/>
  <c r="AG742" i="28"/>
  <c r="AG738" i="28"/>
  <c r="AF744" i="44"/>
  <c r="AF740" i="44"/>
  <c r="AG1010" i="28"/>
  <c r="AF1012" i="44"/>
  <c r="AF10" i="44" l="1"/>
  <c r="AG10" i="28"/>
  <c r="AE306" i="44" l="1"/>
  <c r="AE1330" i="44"/>
  <c r="AE1331" i="44"/>
  <c r="AE1332" i="44"/>
  <c r="AE1334" i="44"/>
  <c r="AE1335" i="44"/>
  <c r="AE1336" i="44"/>
  <c r="AE1337" i="44"/>
  <c r="AE1338" i="44"/>
  <c r="AE1339" i="44"/>
  <c r="AE1340" i="44"/>
  <c r="AE1341" i="44"/>
  <c r="AE1342" i="44"/>
  <c r="AE1343" i="44"/>
  <c r="AE1344" i="44"/>
  <c r="AE1345" i="44"/>
  <c r="AE1346" i="44"/>
  <c r="AE1347" i="44"/>
  <c r="AE1348" i="44"/>
  <c r="AE1349" i="44"/>
  <c r="AE1350" i="44"/>
  <c r="AE1351" i="44"/>
  <c r="AE1352" i="44"/>
  <c r="AE1353" i="44"/>
  <c r="AE1354" i="44"/>
  <c r="AE1355" i="44"/>
  <c r="AE1356" i="44"/>
  <c r="AE1357" i="44"/>
  <c r="AE1358" i="44"/>
  <c r="AE1359" i="44"/>
  <c r="AE1360" i="44"/>
  <c r="AE1361" i="44"/>
  <c r="AE1362" i="44"/>
  <c r="AE1363" i="44"/>
  <c r="AE1365" i="44"/>
  <c r="AE1366" i="44"/>
  <c r="AE1369" i="44"/>
  <c r="AE1370" i="44"/>
  <c r="AE1372" i="44"/>
  <c r="AE1373" i="44"/>
  <c r="AE1375" i="44"/>
  <c r="AE1377" i="44"/>
  <c r="AE1378" i="44"/>
  <c r="AE1379" i="44"/>
  <c r="AE1380" i="44"/>
  <c r="AE1383" i="44"/>
  <c r="AE1384" i="44"/>
  <c r="AE1385" i="44"/>
  <c r="AE1386" i="44"/>
  <c r="AE1387" i="44"/>
  <c r="AE1389" i="44"/>
  <c r="AE1390" i="44"/>
  <c r="AE1393" i="44"/>
  <c r="AE1395" i="44"/>
  <c r="AE1396" i="44"/>
  <c r="AE1397" i="44"/>
  <c r="AE1398" i="44"/>
  <c r="AE1399" i="44"/>
  <c r="AE1400" i="44"/>
  <c r="AE1401" i="44"/>
  <c r="AE1402" i="44"/>
  <c r="AE1403" i="44"/>
  <c r="AE1404" i="44"/>
  <c r="AE1405" i="44"/>
  <c r="AE1406" i="44"/>
  <c r="AE1407" i="44"/>
  <c r="AE1408" i="44"/>
  <c r="AE1409" i="44"/>
  <c r="AE1410" i="44"/>
  <c r="AE1411" i="44"/>
  <c r="AE1412" i="44"/>
  <c r="AE1413" i="44"/>
  <c r="AE1414" i="44"/>
  <c r="AE1415" i="44"/>
  <c r="AE1416" i="44"/>
  <c r="AE1417" i="44"/>
  <c r="AE1418" i="44"/>
  <c r="AE1419" i="44"/>
  <c r="AE1420" i="44"/>
  <c r="AE1421" i="44"/>
  <c r="AE1422" i="44"/>
  <c r="AE1423" i="44"/>
  <c r="AE1424" i="44"/>
  <c r="AE1425" i="44"/>
  <c r="AE1427" i="44"/>
  <c r="AE1428" i="44"/>
  <c r="AE1429" i="44"/>
  <c r="AE1430" i="44"/>
  <c r="AE1431" i="44"/>
  <c r="AE1432" i="44"/>
  <c r="AE1433" i="44"/>
  <c r="AE1434" i="44"/>
  <c r="AE1435" i="44"/>
  <c r="AE1436" i="44"/>
  <c r="AE1437" i="44"/>
  <c r="AE1438" i="44"/>
  <c r="AE1439" i="44"/>
  <c r="AE1440" i="44"/>
  <c r="AE1441" i="44"/>
  <c r="AE1445" i="44"/>
  <c r="AE1447" i="44"/>
  <c r="AE1448" i="44"/>
  <c r="AE1450" i="44"/>
  <c r="AE1451" i="44"/>
  <c r="AE1452" i="44"/>
  <c r="AE1453" i="44"/>
  <c r="AE1454" i="44"/>
  <c r="AE1455" i="44"/>
  <c r="AE1456" i="44"/>
  <c r="AE1458" i="44"/>
  <c r="AE1459" i="44"/>
  <c r="AE1460" i="44"/>
  <c r="AE1461" i="44"/>
  <c r="AE1462" i="44"/>
  <c r="AE1463" i="44"/>
  <c r="AE1464" i="44"/>
  <c r="AE1465" i="44"/>
  <c r="AE1466" i="44"/>
  <c r="AE1467" i="44"/>
  <c r="AE1468" i="44"/>
  <c r="AE1469" i="44"/>
  <c r="AE1470" i="44"/>
  <c r="AE1471" i="44"/>
  <c r="AE1472" i="44"/>
  <c r="AE1473" i="44"/>
  <c r="AE1474" i="44"/>
  <c r="AE1477" i="44"/>
  <c r="AE1478" i="44"/>
  <c r="AE1480" i="44"/>
  <c r="AE1481" i="44"/>
  <c r="AE1482" i="44"/>
  <c r="AE1483" i="44"/>
  <c r="AE1484" i="44"/>
  <c r="AE1485" i="44"/>
  <c r="AE1486" i="44"/>
  <c r="AE1487" i="44"/>
  <c r="AE1488" i="44"/>
  <c r="AE1489" i="44"/>
  <c r="AE1490" i="44"/>
  <c r="AE1491" i="44"/>
  <c r="AE1492" i="44"/>
  <c r="AE1493" i="44"/>
  <c r="AE1494" i="44"/>
  <c r="AE1495" i="44"/>
  <c r="AE1496" i="44"/>
  <c r="AE1497" i="44"/>
  <c r="AE1498" i="44"/>
  <c r="AE1499" i="44"/>
  <c r="AE1500" i="44"/>
  <c r="AE1501" i="44"/>
  <c r="AE1502" i="44"/>
  <c r="AE1503" i="44"/>
  <c r="AE1504" i="44"/>
  <c r="AE1505" i="44"/>
  <c r="AE1506" i="44"/>
  <c r="AE1508" i="44"/>
  <c r="AE1509" i="44"/>
  <c r="AE1510" i="44"/>
  <c r="AE1511" i="44"/>
  <c r="AE1512" i="44"/>
  <c r="AE1513" i="44"/>
  <c r="AE1514" i="44"/>
  <c r="AE1515" i="44"/>
  <c r="AE1516" i="44"/>
  <c r="AE1517" i="44"/>
  <c r="AE1518" i="44"/>
  <c r="AE1519" i="44"/>
  <c r="AE1520" i="44"/>
  <c r="AE1522" i="44"/>
  <c r="AE1523" i="44"/>
  <c r="AE1524" i="44"/>
  <c r="AE1526" i="44"/>
  <c r="AE1527" i="44"/>
  <c r="AE1528" i="44"/>
  <c r="AE1529" i="44"/>
  <c r="AE1530" i="44"/>
  <c r="AE1531" i="44"/>
  <c r="AE1532" i="44"/>
  <c r="AE1533" i="44"/>
  <c r="AE1534" i="44"/>
  <c r="AE1535" i="44"/>
  <c r="AE1536" i="44"/>
  <c r="AE1537" i="44"/>
  <c r="AE1538" i="44"/>
  <c r="AE1539" i="44"/>
  <c r="AE1540" i="44"/>
  <c r="AE1541" i="44"/>
  <c r="AE1542" i="44"/>
  <c r="AE1543" i="44"/>
  <c r="AE1545" i="44"/>
  <c r="AE1546" i="44"/>
  <c r="AE1547" i="44"/>
  <c r="AE1548" i="44"/>
  <c r="AE1549" i="44"/>
  <c r="AE1550" i="44"/>
  <c r="AE1551" i="44"/>
  <c r="AE1552" i="44"/>
  <c r="AE1553" i="44"/>
  <c r="AE1554" i="44"/>
  <c r="AE1555" i="44"/>
  <c r="AE1556" i="44"/>
  <c r="AE1557" i="44"/>
  <c r="AE1558" i="44"/>
  <c r="AE1559" i="44"/>
  <c r="AE1560" i="44"/>
  <c r="AE1561" i="44"/>
  <c r="AE1562" i="44"/>
  <c r="AE1564" i="44"/>
  <c r="AE1565" i="44"/>
  <c r="AE1566" i="44"/>
  <c r="AE1567" i="44"/>
  <c r="AE1568" i="44"/>
  <c r="AE1569" i="44"/>
  <c r="AE1570" i="44"/>
  <c r="AE1571" i="44"/>
  <c r="AE1572" i="44"/>
  <c r="AE1573" i="44"/>
  <c r="AE1574" i="44"/>
  <c r="AE1575" i="44"/>
  <c r="AE1576" i="44"/>
  <c r="AE1577" i="44"/>
  <c r="AE1578" i="44"/>
  <c r="AE1579" i="44"/>
  <c r="AE1580" i="44"/>
  <c r="AE1581" i="44"/>
  <c r="AE1582" i="44"/>
  <c r="AE1583" i="44"/>
  <c r="AE1584" i="44"/>
  <c r="AE1585" i="44"/>
  <c r="AE1586" i="44"/>
  <c r="AE1587" i="44"/>
  <c r="AE1588" i="44"/>
  <c r="AE1589" i="44"/>
  <c r="AE1590" i="44"/>
  <c r="AE1591" i="44"/>
  <c r="AE1592" i="44"/>
  <c r="AE1593" i="44"/>
  <c r="AE1595" i="44"/>
  <c r="AE1596" i="44"/>
  <c r="AE1597" i="44"/>
  <c r="AE1598" i="44"/>
  <c r="AE1599" i="44"/>
  <c r="AE1600" i="44"/>
  <c r="AE1601" i="44"/>
  <c r="AE1602" i="44"/>
  <c r="AE1603" i="44"/>
  <c r="AE1604" i="44"/>
  <c r="AE1605" i="44"/>
  <c r="AE1606" i="44"/>
  <c r="AE1607" i="44"/>
  <c r="AE1608" i="44"/>
  <c r="AE1609" i="44"/>
  <c r="AE1610" i="44"/>
  <c r="AE1611" i="44"/>
  <c r="AE1612" i="44"/>
  <c r="AE1613" i="44"/>
  <c r="AE1614" i="44"/>
  <c r="AE1615" i="44"/>
  <c r="AE1616" i="44"/>
  <c r="AE1617" i="44"/>
  <c r="AE1618" i="44"/>
  <c r="AE1619" i="44"/>
  <c r="AE1621" i="44"/>
  <c r="AE1622" i="44"/>
  <c r="AE1623" i="44"/>
  <c r="AE1625" i="44"/>
  <c r="AH1625" i="44" s="1"/>
  <c r="AE1626" i="44"/>
  <c r="AE1627" i="44"/>
  <c r="AE1628" i="44"/>
  <c r="AE1629" i="44"/>
  <c r="AE1630" i="44"/>
  <c r="AE1639" i="44"/>
  <c r="AE1640" i="44"/>
  <c r="AE1642" i="44"/>
  <c r="AE1643" i="44"/>
  <c r="AE1644" i="44"/>
  <c r="AE1645" i="44"/>
  <c r="AE1647" i="44"/>
  <c r="AE1648" i="44"/>
  <c r="AE1649" i="44"/>
  <c r="AE1650" i="44"/>
  <c r="AE1651" i="44"/>
  <c r="AE1652" i="44"/>
  <c r="AE1655" i="44"/>
  <c r="AE1656" i="44"/>
  <c r="AE1657" i="44"/>
  <c r="AE1658" i="44"/>
  <c r="AE1659" i="44"/>
  <c r="AE1660" i="44"/>
  <c r="AE1661" i="44"/>
  <c r="AE1664" i="44"/>
  <c r="AE1665" i="44"/>
  <c r="AE1666" i="44"/>
  <c r="AE1667" i="44"/>
  <c r="AE1668" i="44"/>
  <c r="AE1669" i="44"/>
  <c r="AE1670" i="44"/>
  <c r="AE1671" i="44"/>
  <c r="AE1673" i="44"/>
  <c r="AE1674" i="44"/>
  <c r="AE1675" i="44"/>
  <c r="AE1676" i="44"/>
  <c r="AE1678" i="44"/>
  <c r="AE1679" i="44"/>
  <c r="AE1680" i="44"/>
  <c r="AE1681" i="44"/>
  <c r="AE1682" i="44"/>
  <c r="AE1683" i="44"/>
  <c r="AE1684" i="44"/>
  <c r="AE1685" i="44"/>
  <c r="AE1686" i="44"/>
  <c r="AE1687" i="44"/>
  <c r="AE1688" i="44"/>
  <c r="AE1689" i="44"/>
  <c r="AE1690" i="44"/>
  <c r="AE1691" i="44"/>
  <c r="AE1692" i="44"/>
  <c r="AE1693" i="44"/>
  <c r="AE1694" i="44"/>
  <c r="AE1695" i="44"/>
  <c r="AE1696" i="44"/>
  <c r="AE1698" i="44"/>
  <c r="AE1700" i="44"/>
  <c r="AE1701" i="44"/>
  <c r="AE1703" i="44"/>
  <c r="AE1704" i="44"/>
  <c r="AE1712" i="44"/>
  <c r="AE1714" i="44"/>
  <c r="AE1722" i="44"/>
  <c r="AE1725" i="44"/>
  <c r="AE1729" i="44"/>
  <c r="AE1732" i="44"/>
  <c r="AE1734" i="44"/>
  <c r="AE1735" i="44"/>
  <c r="AE1736" i="44"/>
  <c r="AE1737" i="44"/>
  <c r="AE1738" i="44"/>
  <c r="AE1740" i="44"/>
  <c r="AE1741" i="44"/>
  <c r="AE1742" i="44"/>
  <c r="AE1743" i="44"/>
  <c r="AE1744" i="44"/>
  <c r="AE1745" i="44"/>
  <c r="AE1746" i="44"/>
  <c r="AE1747" i="44"/>
  <c r="AE1748" i="44"/>
  <c r="AE1749" i="44"/>
  <c r="AE1750" i="44"/>
  <c r="AE1751" i="44"/>
  <c r="AE1752" i="44"/>
  <c r="AE1753" i="44"/>
  <c r="AE1754" i="44"/>
  <c r="AE1755" i="44"/>
  <c r="AE1756" i="44"/>
  <c r="AE1757" i="44"/>
  <c r="AE1758" i="44"/>
  <c r="AE1759" i="44"/>
  <c r="AE1760" i="44"/>
  <c r="AE1761" i="44"/>
  <c r="AE1762" i="44"/>
  <c r="AE1763" i="44"/>
  <c r="AE1764" i="44"/>
  <c r="AE1765" i="44"/>
  <c r="AE1766" i="44"/>
  <c r="AF7" i="28"/>
  <c r="AF9" i="44"/>
  <c r="AF96" i="44"/>
  <c r="AF94" i="44" s="1"/>
  <c r="AF104" i="44"/>
  <c r="AF109" i="44"/>
  <c r="AF163" i="44"/>
  <c r="AF332" i="44"/>
  <c r="AF420" i="44"/>
  <c r="AF553" i="44"/>
  <c r="AF586" i="44"/>
  <c r="AF589" i="44"/>
  <c r="AF639" i="44"/>
  <c r="AF643" i="44"/>
  <c r="AF680" i="44"/>
  <c r="AF871" i="44"/>
  <c r="AF903" i="44"/>
  <c r="AF972" i="44"/>
  <c r="AF978" i="44"/>
  <c r="AF984" i="44"/>
  <c r="AF1387" i="44"/>
  <c r="AF1390" i="44"/>
  <c r="AF1393" i="44"/>
  <c r="AF1402" i="44"/>
  <c r="AF1625" i="44"/>
  <c r="AF1751" i="44"/>
  <c r="X1402" i="28"/>
  <c r="R1402" i="28"/>
  <c r="A1402" i="28"/>
  <c r="B1402" i="28"/>
  <c r="C1402" i="28"/>
  <c r="D1402" i="28"/>
  <c r="R1394" i="28"/>
  <c r="R1393" i="28"/>
  <c r="A1393" i="28"/>
  <c r="B1393" i="28"/>
  <c r="C1393" i="28"/>
  <c r="D1393" i="28"/>
  <c r="Z1404" i="44"/>
  <c r="AE1328" i="44" l="1"/>
  <c r="AF1326" i="28"/>
  <c r="AE1325" i="44"/>
  <c r="AF1323" i="28"/>
  <c r="AE1322" i="44"/>
  <c r="AF1320" i="28"/>
  <c r="AE1320" i="44"/>
  <c r="AF1318" i="28"/>
  <c r="AE1318" i="44"/>
  <c r="AF1316" i="28"/>
  <c r="AE1316" i="44"/>
  <c r="AF1314" i="28"/>
  <c r="AE1313" i="44"/>
  <c r="AF1311" i="28"/>
  <c r="AE1310" i="44"/>
  <c r="AF1308" i="28"/>
  <c r="AE1308" i="44"/>
  <c r="AF1306" i="28"/>
  <c r="AE1306" i="44"/>
  <c r="AF1304" i="28"/>
  <c r="AE1304" i="44"/>
  <c r="AF1302" i="28"/>
  <c r="AE1302" i="44"/>
  <c r="AF1300" i="28"/>
  <c r="AE1300" i="44"/>
  <c r="AF1298" i="28"/>
  <c r="AE1298" i="44"/>
  <c r="AF1296" i="28"/>
  <c r="AE1296" i="44"/>
  <c r="AF1294" i="28"/>
  <c r="AE1294" i="44"/>
  <c r="AF1292" i="28"/>
  <c r="AE1292" i="44"/>
  <c r="AF1290" i="28"/>
  <c r="AE1290" i="44"/>
  <c r="AF1288" i="28"/>
  <c r="AE1288" i="44"/>
  <c r="AF1286" i="28"/>
  <c r="AE1286" i="44"/>
  <c r="AF1284" i="28"/>
  <c r="AE1284" i="44"/>
  <c r="AF1282" i="28"/>
  <c r="AE1282" i="44"/>
  <c r="AF1280" i="28"/>
  <c r="AE1280" i="44"/>
  <c r="AF1278" i="28"/>
  <c r="AE1278" i="44"/>
  <c r="AF1276" i="28"/>
  <c r="AE1276" i="44"/>
  <c r="AF1274" i="28"/>
  <c r="AE1274" i="44"/>
  <c r="AF1272" i="28"/>
  <c r="AE1272" i="44"/>
  <c r="AF1270" i="28"/>
  <c r="AE1270" i="44"/>
  <c r="AF1268" i="28"/>
  <c r="AE1268" i="44"/>
  <c r="AF1266" i="28"/>
  <c r="AE1266" i="44"/>
  <c r="AF1264" i="28"/>
  <c r="AE1264" i="44"/>
  <c r="AF1262" i="28"/>
  <c r="AE1262" i="44"/>
  <c r="AF1260" i="28"/>
  <c r="AE1260" i="44"/>
  <c r="AF1258" i="28"/>
  <c r="AE1257" i="44"/>
  <c r="AF1255" i="28"/>
  <c r="AE1255" i="44"/>
  <c r="AF1253" i="28"/>
  <c r="AE1253" i="44"/>
  <c r="AF1251" i="28"/>
  <c r="AE1251" i="44"/>
  <c r="AF1249" i="28"/>
  <c r="AE1249" i="44"/>
  <c r="AF1247" i="28"/>
  <c r="AE1246" i="44"/>
  <c r="AF1244" i="28"/>
  <c r="AE1241" i="44"/>
  <c r="AF1239" i="28"/>
  <c r="AE1239" i="44"/>
  <c r="AF1237" i="28"/>
  <c r="AE1237" i="44"/>
  <c r="AF1235" i="28"/>
  <c r="AE1232" i="44"/>
  <c r="AF1230" i="28"/>
  <c r="AE1226" i="44"/>
  <c r="AF1224" i="28"/>
  <c r="AE1224" i="44"/>
  <c r="AF1222" i="28"/>
  <c r="AE1222" i="44"/>
  <c r="AF1220" i="28"/>
  <c r="AE1220" i="44"/>
  <c r="AF1218" i="28"/>
  <c r="AE1218" i="44"/>
  <c r="AF1216" i="28"/>
  <c r="AE1216" i="44"/>
  <c r="AF1214" i="28"/>
  <c r="AE1214" i="44"/>
  <c r="AF1212" i="28"/>
  <c r="AE1212" i="44"/>
  <c r="AF1210" i="28"/>
  <c r="AE1209" i="44"/>
  <c r="AF1207" i="28"/>
  <c r="AE1207" i="44"/>
  <c r="AF1205" i="28"/>
  <c r="AE1205" i="44"/>
  <c r="AF1203" i="28"/>
  <c r="AE1203" i="44"/>
  <c r="AF1201" i="28"/>
  <c r="AE1201" i="44"/>
  <c r="AF1199" i="28"/>
  <c r="AE1199" i="44"/>
  <c r="AF1197" i="28"/>
  <c r="AE1197" i="44"/>
  <c r="AF1195" i="28"/>
  <c r="AE1195" i="44"/>
  <c r="AF1193" i="28"/>
  <c r="AE1193" i="44"/>
  <c r="AF1191" i="28"/>
  <c r="AE1180" i="44"/>
  <c r="AF1178" i="28"/>
  <c r="AE1178" i="44"/>
  <c r="AF1176" i="28"/>
  <c r="AE1176" i="44"/>
  <c r="AF1174" i="28"/>
  <c r="AE1174" i="44"/>
  <c r="AF1172" i="28"/>
  <c r="AE1172" i="44"/>
  <c r="AF1170" i="28"/>
  <c r="AE1170" i="44"/>
  <c r="AF1168" i="28"/>
  <c r="AE1168" i="44"/>
  <c r="AF1166" i="28"/>
  <c r="AE1165" i="44"/>
  <c r="AF1163" i="28"/>
  <c r="AE1163" i="44"/>
  <c r="AF1161" i="28"/>
  <c r="AE1161" i="44"/>
  <c r="AF1159" i="28"/>
  <c r="AE1159" i="44"/>
  <c r="AF1157" i="28"/>
  <c r="AE1157" i="44"/>
  <c r="AF1155" i="28"/>
  <c r="AE1155" i="44"/>
  <c r="AF1153" i="28"/>
  <c r="AE1153" i="44"/>
  <c r="AF1151" i="28"/>
  <c r="AE1151" i="44"/>
  <c r="AF1149" i="28"/>
  <c r="AE1149" i="44"/>
  <c r="AF1147" i="28"/>
  <c r="AE1147" i="44"/>
  <c r="AF1145" i="28"/>
  <c r="AE1145" i="44"/>
  <c r="AF1143" i="28"/>
  <c r="AE1143" i="44"/>
  <c r="AF1141" i="28"/>
  <c r="AE1141" i="44"/>
  <c r="AF1139" i="28"/>
  <c r="AE1139" i="44"/>
  <c r="AF1137" i="28"/>
  <c r="AE1138" i="44"/>
  <c r="AF1136" i="28"/>
  <c r="AE1135" i="44"/>
  <c r="AF1133" i="28"/>
  <c r="AE1133" i="44"/>
  <c r="AF1131" i="28"/>
  <c r="AE1130" i="44"/>
  <c r="AF1128" i="28"/>
  <c r="AE1128" i="44"/>
  <c r="AF1126" i="28"/>
  <c r="AE1126" i="44"/>
  <c r="AF1124" i="28"/>
  <c r="AE1123" i="44"/>
  <c r="AF1121" i="28"/>
  <c r="AE1121" i="44"/>
  <c r="AF1119" i="28"/>
  <c r="AE1118" i="44"/>
  <c r="AF1116" i="28"/>
  <c r="AE1116" i="44"/>
  <c r="AF1114" i="28"/>
  <c r="AE1114" i="44"/>
  <c r="AF1112" i="28"/>
  <c r="AE1112" i="44"/>
  <c r="AF1110" i="28"/>
  <c r="AE1110" i="44"/>
  <c r="AF1108" i="28"/>
  <c r="AE1106" i="44"/>
  <c r="AF1104" i="28"/>
  <c r="AE1104" i="44"/>
  <c r="AF1102" i="28"/>
  <c r="AE1102" i="44"/>
  <c r="AF1100" i="28"/>
  <c r="AE1100" i="44"/>
  <c r="AF1098" i="28"/>
  <c r="AE1098" i="44"/>
  <c r="AF1096" i="28"/>
  <c r="AE1096" i="44"/>
  <c r="AF1094" i="28"/>
  <c r="AE1094" i="44"/>
  <c r="AF1092" i="28"/>
  <c r="AE1092" i="44"/>
  <c r="AF1090" i="28"/>
  <c r="AE1090" i="44"/>
  <c r="AF1088" i="28"/>
  <c r="AE1088" i="44"/>
  <c r="AF1086" i="28"/>
  <c r="AE1086" i="44"/>
  <c r="AF1084" i="28"/>
  <c r="AE1084" i="44"/>
  <c r="AF1082" i="28"/>
  <c r="AE1082" i="44"/>
  <c r="AF1080" i="28"/>
  <c r="AE1080" i="44"/>
  <c r="AF1078" i="28"/>
  <c r="AE1078" i="44"/>
  <c r="AF1076" i="28"/>
  <c r="AE1076" i="44"/>
  <c r="AF1074" i="28"/>
  <c r="AE1074" i="44"/>
  <c r="AF1072" i="28"/>
  <c r="AE1072" i="44"/>
  <c r="AF1070" i="28"/>
  <c r="AE1069" i="44"/>
  <c r="AF1067" i="28"/>
  <c r="AE1064" i="44"/>
  <c r="AF1062" i="28"/>
  <c r="AE1061" i="44"/>
  <c r="AF1059" i="28"/>
  <c r="AE1059" i="44"/>
  <c r="AF1057" i="28"/>
  <c r="AE1057" i="44"/>
  <c r="AF1055" i="28"/>
  <c r="AE1055" i="44"/>
  <c r="AF1053" i="28"/>
  <c r="AE1052" i="44"/>
  <c r="AF1050" i="28"/>
  <c r="AE1050" i="44"/>
  <c r="AF1048" i="28"/>
  <c r="AE1046" i="44"/>
  <c r="AF1046" i="44" s="1"/>
  <c r="AF1044" i="28"/>
  <c r="AE1044" i="44"/>
  <c r="AF1044" i="44" s="1"/>
  <c r="AF1042" i="28"/>
  <c r="AE1041" i="44"/>
  <c r="AF1041" i="44" s="1"/>
  <c r="AF1039" i="28"/>
  <c r="AE1039" i="44"/>
  <c r="AF1037" i="28"/>
  <c r="AE1037" i="44"/>
  <c r="AF1035" i="28"/>
  <c r="AE1035" i="44"/>
  <c r="AF1033" i="28"/>
  <c r="AE1033" i="44"/>
  <c r="AF1033" i="44" s="1"/>
  <c r="AF644" i="44" s="1"/>
  <c r="AF1031" i="28"/>
  <c r="AE1030" i="44"/>
  <c r="AF1028" i="28"/>
  <c r="AE1024" i="44"/>
  <c r="AF1022" i="28"/>
  <c r="AE1018" i="44"/>
  <c r="AF1016" i="28"/>
  <c r="AE1016" i="44"/>
  <c r="AF1014" i="28"/>
  <c r="AE1014" i="44"/>
  <c r="AF1012" i="28"/>
  <c r="AE1011" i="44"/>
  <c r="AF1009" i="28"/>
  <c r="AE1007" i="44"/>
  <c r="AF1005" i="28"/>
  <c r="AE1005" i="44"/>
  <c r="AF1003" i="28"/>
  <c r="AE1003" i="44"/>
  <c r="AF1001" i="28"/>
  <c r="AE1001" i="44"/>
  <c r="AF999" i="28"/>
  <c r="AE999" i="44"/>
  <c r="AF997" i="28"/>
  <c r="AE997" i="44"/>
  <c r="AF995" i="28"/>
  <c r="AE995" i="44"/>
  <c r="AF993" i="28"/>
  <c r="AE993" i="44"/>
  <c r="AF991" i="28"/>
  <c r="AE991" i="44"/>
  <c r="AF989" i="28"/>
  <c r="AE988" i="44"/>
  <c r="AF986" i="28"/>
  <c r="AE982" i="44"/>
  <c r="AF980" i="28"/>
  <c r="AE980" i="44"/>
  <c r="AF978" i="28"/>
  <c r="AE978" i="44"/>
  <c r="AF976" i="28"/>
  <c r="AE976" i="44"/>
  <c r="AF976" i="44" s="1"/>
  <c r="AF974" i="28"/>
  <c r="AE973" i="44"/>
  <c r="AF971" i="28"/>
  <c r="AE971" i="44"/>
  <c r="AF969" i="28"/>
  <c r="AE968" i="44"/>
  <c r="AF966" i="28"/>
  <c r="AE966" i="44"/>
  <c r="AF964" i="28"/>
  <c r="AE964" i="44"/>
  <c r="AF964" i="44" s="1"/>
  <c r="AF641" i="44" s="1"/>
  <c r="AF962" i="28"/>
  <c r="AE962" i="44"/>
  <c r="AF960" i="28"/>
  <c r="AE960" i="44"/>
  <c r="AF958" i="28"/>
  <c r="AE958" i="44"/>
  <c r="AF956" i="28"/>
  <c r="AE956" i="44"/>
  <c r="AF954" i="28"/>
  <c r="AE954" i="44"/>
  <c r="AF952" i="28"/>
  <c r="AE952" i="44"/>
  <c r="AF950" i="28"/>
  <c r="AE950" i="44"/>
  <c r="AF948" i="28"/>
  <c r="AE948" i="44"/>
  <c r="AF946" i="28"/>
  <c r="AE936" i="44"/>
  <c r="AF934" i="28"/>
  <c r="AE934" i="44"/>
  <c r="AF932" i="28"/>
  <c r="AE921" i="44"/>
  <c r="AF919" i="28"/>
  <c r="AE918" i="44"/>
  <c r="AF916" i="28"/>
  <c r="AE916" i="44"/>
  <c r="AF914" i="28"/>
  <c r="AE912" i="44"/>
  <c r="AF910" i="28"/>
  <c r="AE910" i="44"/>
  <c r="AF908" i="28"/>
  <c r="AE908" i="44"/>
  <c r="AF906" i="28"/>
  <c r="AE903" i="44"/>
  <c r="AF901" i="28"/>
  <c r="AE900" i="44"/>
  <c r="AF898" i="28"/>
  <c r="AE898" i="44"/>
  <c r="AF898" i="44" s="1"/>
  <c r="AF859" i="44" s="1"/>
  <c r="AF896" i="28"/>
  <c r="AE895" i="44"/>
  <c r="AF893" i="28"/>
  <c r="AE893" i="44"/>
  <c r="AF891" i="28"/>
  <c r="AE891" i="44"/>
  <c r="AF891" i="44" s="1"/>
  <c r="AF885" i="44" s="1"/>
  <c r="AF889" i="28"/>
  <c r="AE888" i="44"/>
  <c r="AF886" i="28"/>
  <c r="AE886" i="44"/>
  <c r="AF884" i="28"/>
  <c r="AE884" i="44"/>
  <c r="AF882" i="28"/>
  <c r="AE881" i="44"/>
  <c r="AF879" i="28"/>
  <c r="AE878" i="44"/>
  <c r="AF876" i="28"/>
  <c r="AE876" i="44"/>
  <c r="AF874" i="28"/>
  <c r="AE874" i="44"/>
  <c r="AF872" i="28"/>
  <c r="AE872" i="44"/>
  <c r="AF870" i="28"/>
  <c r="AE870" i="44"/>
  <c r="AF868" i="28"/>
  <c r="AE867" i="44"/>
  <c r="AF865" i="28"/>
  <c r="AE864" i="44"/>
  <c r="AF862" i="28"/>
  <c r="AE862" i="44"/>
  <c r="AF860" i="28"/>
  <c r="AE860" i="44"/>
  <c r="AF858" i="28"/>
  <c r="AE857" i="44"/>
  <c r="AF855" i="28"/>
  <c r="AE855" i="44"/>
  <c r="AF853" i="28"/>
  <c r="AE852" i="44"/>
  <c r="AF850" i="28"/>
  <c r="AE847" i="44"/>
  <c r="AF845" i="28"/>
  <c r="AE845" i="44"/>
  <c r="AF843" i="28"/>
  <c r="AE843" i="44"/>
  <c r="AF841" i="28"/>
  <c r="AE841" i="44"/>
  <c r="AF839" i="28"/>
  <c r="AE839" i="44"/>
  <c r="AF837" i="28"/>
  <c r="AE837" i="44"/>
  <c r="AF835" i="28"/>
  <c r="AE835" i="44"/>
  <c r="AF833" i="28"/>
  <c r="AE833" i="44"/>
  <c r="AF831" i="28"/>
  <c r="AE831" i="44"/>
  <c r="AF829" i="28"/>
  <c r="AE826" i="44"/>
  <c r="AF824" i="28"/>
  <c r="AE823" i="44"/>
  <c r="AF821" i="28"/>
  <c r="AE820" i="44"/>
  <c r="AF818" i="28"/>
  <c r="AE818" i="44"/>
  <c r="AF816" i="28"/>
  <c r="AE814" i="44"/>
  <c r="AF812" i="28"/>
  <c r="AE812" i="44"/>
  <c r="AF810" i="28"/>
  <c r="AE810" i="44"/>
  <c r="AF808" i="28"/>
  <c r="AE808" i="44"/>
  <c r="AF806" i="28"/>
  <c r="AE806" i="44"/>
  <c r="AF804" i="28"/>
  <c r="AE804" i="44"/>
  <c r="AF804" i="44" s="1"/>
  <c r="AF442" i="44" s="1"/>
  <c r="AF802" i="28"/>
  <c r="AE802" i="44"/>
  <c r="AF800" i="28"/>
  <c r="AE798" i="44"/>
  <c r="AF796" i="28"/>
  <c r="AE796" i="44"/>
  <c r="AF794" i="28"/>
  <c r="AE794" i="44"/>
  <c r="AF792" i="28"/>
  <c r="AE792" i="44"/>
  <c r="AF790" i="28"/>
  <c r="AE790" i="44"/>
  <c r="AF788" i="28"/>
  <c r="AE788" i="44"/>
  <c r="AF786" i="28"/>
  <c r="AE786" i="44"/>
  <c r="AF784" i="28"/>
  <c r="AE784" i="44"/>
  <c r="AF782" i="28"/>
  <c r="AE782" i="44"/>
  <c r="AF780" i="28"/>
  <c r="AE780" i="44"/>
  <c r="AF778" i="28"/>
  <c r="AE778" i="44"/>
  <c r="AF776" i="28"/>
  <c r="AE776" i="44"/>
  <c r="AF774" i="28"/>
  <c r="AE774" i="44"/>
  <c r="AF772" i="28"/>
  <c r="AE771" i="44"/>
  <c r="AF769" i="28"/>
  <c r="AE760" i="44"/>
  <c r="AF758" i="28"/>
  <c r="AE758" i="44"/>
  <c r="AF756" i="28"/>
  <c r="AE755" i="44"/>
  <c r="AF753" i="28"/>
  <c r="AE752" i="44"/>
  <c r="AF750" i="28"/>
  <c r="AE750" i="44"/>
  <c r="AF748" i="28"/>
  <c r="AE748" i="44"/>
  <c r="AF746" i="28"/>
  <c r="AE730" i="44"/>
  <c r="AF730" i="44" s="1"/>
  <c r="AF728" i="28"/>
  <c r="AG728" i="28" s="1"/>
  <c r="AE728" i="44"/>
  <c r="AF726" i="28"/>
  <c r="AE726" i="44"/>
  <c r="AF724" i="28"/>
  <c r="AE724" i="44"/>
  <c r="AF722" i="28"/>
  <c r="AE722" i="44"/>
  <c r="AF720" i="28"/>
  <c r="AE720" i="44"/>
  <c r="AF718" i="28"/>
  <c r="AE718" i="44"/>
  <c r="AF716" i="28"/>
  <c r="AE716" i="44"/>
  <c r="AF714" i="28"/>
  <c r="AE713" i="44"/>
  <c r="AF711" i="28"/>
  <c r="AE711" i="44"/>
  <c r="AF709" i="28"/>
  <c r="AE709" i="44"/>
  <c r="AF707" i="28"/>
  <c r="AE707" i="44"/>
  <c r="AF705" i="28"/>
  <c r="AE705" i="44"/>
  <c r="AF703" i="28"/>
  <c r="AE703" i="44"/>
  <c r="AF701" i="28"/>
  <c r="AE701" i="44"/>
  <c r="AF699" i="28"/>
  <c r="AE699" i="44"/>
  <c r="AF697" i="28"/>
  <c r="AE680" i="44"/>
  <c r="AF678" i="28"/>
  <c r="AE677" i="44"/>
  <c r="AF675" i="28"/>
  <c r="AE674" i="44"/>
  <c r="AF672" i="28"/>
  <c r="AE672" i="44"/>
  <c r="AF670" i="28"/>
  <c r="AE670" i="44"/>
  <c r="AF668" i="28"/>
  <c r="AE668" i="44"/>
  <c r="AF666" i="28"/>
  <c r="AE666" i="44"/>
  <c r="AF664" i="28"/>
  <c r="AE664" i="44"/>
  <c r="AF662" i="28"/>
  <c r="AE662" i="44"/>
  <c r="AF660" i="28"/>
  <c r="AE660" i="44"/>
  <c r="AF658" i="28"/>
  <c r="AE654" i="44"/>
  <c r="AF652" i="28"/>
  <c r="AE651" i="44"/>
  <c r="AF649" i="28"/>
  <c r="AE649" i="44"/>
  <c r="AF647" i="28"/>
  <c r="AE647" i="44"/>
  <c r="AF645" i="28"/>
  <c r="AE645" i="44"/>
  <c r="AF643" i="28"/>
  <c r="AE643" i="44"/>
  <c r="AF641" i="28"/>
  <c r="AE641" i="44"/>
  <c r="AF639" i="28"/>
  <c r="AE639" i="44"/>
  <c r="AF637" i="28"/>
  <c r="AE637" i="44"/>
  <c r="AF637" i="44" s="1"/>
  <c r="AF962" i="44" s="1"/>
  <c r="AF635" i="28"/>
  <c r="AE635" i="44"/>
  <c r="AF633" i="28"/>
  <c r="AE632" i="44"/>
  <c r="AF632" i="44" s="1"/>
  <c r="AF887" i="44" s="1"/>
  <c r="AF630" i="28"/>
  <c r="AE630" i="44"/>
  <c r="AF628" i="28"/>
  <c r="AE624" i="44"/>
  <c r="AF622" i="28"/>
  <c r="AE622" i="44"/>
  <c r="AF620" i="28"/>
  <c r="AE619" i="44"/>
  <c r="AF617" i="28"/>
  <c r="AE617" i="44"/>
  <c r="AF615" i="28"/>
  <c r="AE615" i="44"/>
  <c r="AF613" i="28"/>
  <c r="AE613" i="44"/>
  <c r="AF611" i="28"/>
  <c r="AE611" i="44"/>
  <c r="AF609" i="28"/>
  <c r="AE609" i="44"/>
  <c r="AF607" i="28"/>
  <c r="AE607" i="44"/>
  <c r="AF605" i="28"/>
  <c r="AE605" i="44"/>
  <c r="AF603" i="28"/>
  <c r="AE603" i="44"/>
  <c r="AF601" i="28"/>
  <c r="AE601" i="44"/>
  <c r="AF599" i="28"/>
  <c r="AE599" i="44"/>
  <c r="AF597" i="28"/>
  <c r="AE597" i="44"/>
  <c r="AF595" i="28"/>
  <c r="AE595" i="44"/>
  <c r="AF593" i="28"/>
  <c r="AE593" i="44"/>
  <c r="AF591" i="28"/>
  <c r="AE591" i="44"/>
  <c r="AF589" i="28"/>
  <c r="AE588" i="44"/>
  <c r="AF587" i="28"/>
  <c r="AE585" i="44"/>
  <c r="AF585" i="28"/>
  <c r="AE583" i="44"/>
  <c r="AF583" i="28"/>
  <c r="AE581" i="44"/>
  <c r="AF581" i="28"/>
  <c r="AE579" i="44"/>
  <c r="AF579" i="28"/>
  <c r="AE571" i="44"/>
  <c r="AF571" i="28"/>
  <c r="AE569" i="44"/>
  <c r="AF569" i="28"/>
  <c r="AE567" i="44"/>
  <c r="AF567" i="28"/>
  <c r="AE565" i="44"/>
  <c r="AF565" i="28"/>
  <c r="AE562" i="44"/>
  <c r="AF562" i="28"/>
  <c r="AE560" i="44"/>
  <c r="AF560" i="28"/>
  <c r="AE556" i="44"/>
  <c r="AF556" i="28"/>
  <c r="AE554" i="44"/>
  <c r="AF554" i="28"/>
  <c r="AE552" i="44"/>
  <c r="AF552" i="28"/>
  <c r="AE548" i="44"/>
  <c r="AF548" i="28"/>
  <c r="AE546" i="44"/>
  <c r="AF546" i="28"/>
  <c r="AE544" i="44"/>
  <c r="AF544" i="28"/>
  <c r="AE542" i="44"/>
  <c r="AF542" i="28"/>
  <c r="AE540" i="44"/>
  <c r="AF540" i="28"/>
  <c r="AE538" i="44"/>
  <c r="AF967" i="44" s="1"/>
  <c r="AF538" i="28"/>
  <c r="AE536" i="44"/>
  <c r="AF536" i="28"/>
  <c r="AE534" i="44"/>
  <c r="AF534" i="28"/>
  <c r="AE532" i="44"/>
  <c r="AF532" i="28"/>
  <c r="AE530" i="44"/>
  <c r="AF530" i="28"/>
  <c r="AE528" i="44"/>
  <c r="AF528" i="28"/>
  <c r="AE526" i="44"/>
  <c r="AF526" i="28"/>
  <c r="AE524" i="44"/>
  <c r="AF524" i="28"/>
  <c r="AE522" i="44"/>
  <c r="AF522" i="28"/>
  <c r="AE520" i="44"/>
  <c r="AF520" i="28"/>
  <c r="AE518" i="44"/>
  <c r="AF518" i="28"/>
  <c r="AE516" i="44"/>
  <c r="AF516" i="28"/>
  <c r="AE514" i="44"/>
  <c r="AF514" i="28"/>
  <c r="AE512" i="44"/>
  <c r="AF512" i="28"/>
  <c r="AE510" i="44"/>
  <c r="AF510" i="44" s="1"/>
  <c r="AF551" i="44" s="1"/>
  <c r="AF510" i="28"/>
  <c r="AE508" i="44"/>
  <c r="AF508" i="28"/>
  <c r="AE506" i="44"/>
  <c r="AF506" i="28"/>
  <c r="AE504" i="44"/>
  <c r="AF504" i="28"/>
  <c r="AE502" i="44"/>
  <c r="AF502" i="28"/>
  <c r="AE500" i="44"/>
  <c r="AF500" i="28"/>
  <c r="AE498" i="44"/>
  <c r="AF498" i="28"/>
  <c r="AE496" i="44"/>
  <c r="AF496" i="28"/>
  <c r="AE494" i="44"/>
  <c r="AF494" i="28"/>
  <c r="AE492" i="44"/>
  <c r="AF492" i="28"/>
  <c r="AE490" i="44"/>
  <c r="AF490" i="28"/>
  <c r="AE488" i="44"/>
  <c r="AF488" i="28"/>
  <c r="AE486" i="44"/>
  <c r="AF486" i="28"/>
  <c r="AE484" i="44"/>
  <c r="AF484" i="28"/>
  <c r="AE481" i="44"/>
  <c r="AF481" i="28"/>
  <c r="AE479" i="44"/>
  <c r="AF479" i="28"/>
  <c r="AE477" i="44"/>
  <c r="AF477" i="28"/>
  <c r="AE475" i="44"/>
  <c r="AF475" i="28"/>
  <c r="AE473" i="44"/>
  <c r="AF473" i="28"/>
  <c r="AE464" i="44"/>
  <c r="AF464" i="28"/>
  <c r="AE462" i="44"/>
  <c r="AF462" i="28"/>
  <c r="AE459" i="44"/>
  <c r="AF459" i="28"/>
  <c r="AE455" i="44"/>
  <c r="AF455" i="28"/>
  <c r="AE453" i="44"/>
  <c r="AF453" i="28"/>
  <c r="AE451" i="44"/>
  <c r="AF451" i="28"/>
  <c r="AE449" i="44"/>
  <c r="AF449" i="28"/>
  <c r="AE447" i="44"/>
  <c r="AF447" i="28"/>
  <c r="AE445" i="44"/>
  <c r="AF445" i="28"/>
  <c r="AE442" i="44"/>
  <c r="AF442" i="28"/>
  <c r="AE440" i="44"/>
  <c r="AF440" i="28"/>
  <c r="AE438" i="44"/>
  <c r="AF438" i="28"/>
  <c r="AE436" i="44"/>
  <c r="AF436" i="28"/>
  <c r="AE434" i="44"/>
  <c r="AF434" i="44" s="1"/>
  <c r="AF888" i="44" s="1"/>
  <c r="AF434" i="28"/>
  <c r="AE432" i="44"/>
  <c r="AF432" i="28"/>
  <c r="AE430" i="44"/>
  <c r="AF430" i="28"/>
  <c r="AE428" i="44"/>
  <c r="AF428" i="44" s="1"/>
  <c r="AF857" i="44" s="1"/>
  <c r="AF428" i="28"/>
  <c r="AE426" i="44"/>
  <c r="AF426" i="28"/>
  <c r="AE424" i="44"/>
  <c r="AF424" i="28"/>
  <c r="AE422" i="44"/>
  <c r="AF422" i="28"/>
  <c r="AE420" i="44"/>
  <c r="AF420" i="28"/>
  <c r="AE418" i="44"/>
  <c r="AF418" i="28"/>
  <c r="AE416" i="44"/>
  <c r="AF416" i="28"/>
  <c r="AE414" i="44"/>
  <c r="AF414" i="28"/>
  <c r="AE411" i="44"/>
  <c r="AF411" i="28"/>
  <c r="AE408" i="44"/>
  <c r="AF408" i="28"/>
  <c r="AE406" i="44"/>
  <c r="AF406" i="28"/>
  <c r="AE402" i="44"/>
  <c r="AF402" i="28"/>
  <c r="AE399" i="44"/>
  <c r="AF399" i="28"/>
  <c r="AE397" i="44"/>
  <c r="AF397" i="28"/>
  <c r="AE395" i="44"/>
  <c r="AF395" i="28"/>
  <c r="AE392" i="44"/>
  <c r="AF392" i="28"/>
  <c r="AE390" i="44"/>
  <c r="AF390" i="28"/>
  <c r="AE388" i="44"/>
  <c r="AF388" i="28"/>
  <c r="AE385" i="44"/>
  <c r="AF385" i="28"/>
  <c r="AE383" i="44"/>
  <c r="AF383" i="28"/>
  <c r="AE381" i="44"/>
  <c r="AF381" i="28"/>
  <c r="AE376" i="44"/>
  <c r="AF376" i="28"/>
  <c r="AE374" i="44"/>
  <c r="AF374" i="28"/>
  <c r="AE371" i="44"/>
  <c r="AF371" i="28"/>
  <c r="AE369" i="44"/>
  <c r="AF369" i="28"/>
  <c r="AE367" i="44"/>
  <c r="AF367" i="28"/>
  <c r="AE365" i="44"/>
  <c r="AF365" i="28"/>
  <c r="AE363" i="44"/>
  <c r="AF363" i="28"/>
  <c r="AE361" i="44"/>
  <c r="AF361" i="28"/>
  <c r="AE359" i="44"/>
  <c r="AF359" i="28"/>
  <c r="AE357" i="44"/>
  <c r="AF357" i="28"/>
  <c r="AE355" i="44"/>
  <c r="AF355" i="28"/>
  <c r="AE353" i="44"/>
  <c r="AF353" i="28"/>
  <c r="AE351" i="44"/>
  <c r="AF351" i="28"/>
  <c r="AE349" i="44"/>
  <c r="AF349" i="28"/>
  <c r="AE347" i="44"/>
  <c r="AF347" i="28"/>
  <c r="AE345" i="44"/>
  <c r="AF345" i="28"/>
  <c r="AE343" i="44"/>
  <c r="AF343" i="28"/>
  <c r="AE341" i="44"/>
  <c r="AF341" i="28"/>
  <c r="AE339" i="44"/>
  <c r="AF339" i="28"/>
  <c r="AE336" i="44"/>
  <c r="AF336" i="28"/>
  <c r="AE333" i="44"/>
  <c r="AF333" i="28"/>
  <c r="AE330" i="44"/>
  <c r="AF330" i="28"/>
  <c r="AE328" i="44"/>
  <c r="AF328" i="28"/>
  <c r="AE326" i="44"/>
  <c r="AF326" i="28"/>
  <c r="AE324" i="44"/>
  <c r="AF324" i="44" s="1"/>
  <c r="AF324" i="28"/>
  <c r="AE322" i="44"/>
  <c r="AF322" i="44" s="1"/>
  <c r="AF971" i="44" s="1"/>
  <c r="AF322" i="28"/>
  <c r="AE319" i="44"/>
  <c r="AF319" i="28"/>
  <c r="AE317" i="44"/>
  <c r="AF317" i="28"/>
  <c r="AE314" i="44"/>
  <c r="AF314" i="28"/>
  <c r="AE312" i="44"/>
  <c r="AF312" i="28"/>
  <c r="AE310" i="44"/>
  <c r="AF310" i="28"/>
  <c r="AE308" i="44"/>
  <c r="AF308" i="28"/>
  <c r="AE304" i="44"/>
  <c r="AF304" i="28"/>
  <c r="AE302" i="44"/>
  <c r="AF302" i="28"/>
  <c r="AE299" i="44"/>
  <c r="AF299" i="28"/>
  <c r="AE297" i="44"/>
  <c r="AF297" i="28"/>
  <c r="AE295" i="44"/>
  <c r="AF295" i="28"/>
  <c r="AE293" i="44"/>
  <c r="AF293" i="28"/>
  <c r="AE289" i="44"/>
  <c r="AF289" i="28"/>
  <c r="AE287" i="44"/>
  <c r="AF287" i="28"/>
  <c r="AE283" i="44"/>
  <c r="AF283" i="28"/>
  <c r="AE281" i="44"/>
  <c r="AF281" i="28"/>
  <c r="AE279" i="44"/>
  <c r="AF279" i="28"/>
  <c r="AE277" i="44"/>
  <c r="AF277" i="28"/>
  <c r="AE275" i="44"/>
  <c r="AF275" i="28"/>
  <c r="AE272" i="44"/>
  <c r="AF272" i="28"/>
  <c r="AE270" i="44"/>
  <c r="AF270" i="28"/>
  <c r="AE268" i="44"/>
  <c r="AF268" i="28"/>
  <c r="AE266" i="44"/>
  <c r="AF266" i="28"/>
  <c r="AE264" i="44"/>
  <c r="AF264" i="28"/>
  <c r="AE262" i="44"/>
  <c r="AF262" i="28"/>
  <c r="AE260" i="44"/>
  <c r="AF260" i="28"/>
  <c r="AE258" i="44"/>
  <c r="AF258" i="28"/>
  <c r="AE243" i="44"/>
  <c r="AF243" i="28"/>
  <c r="AE235" i="44"/>
  <c r="AF235" i="28"/>
  <c r="AE233" i="44"/>
  <c r="AF233" i="28"/>
  <c r="AE229" i="44"/>
  <c r="AF229" i="28"/>
  <c r="AE225" i="44"/>
  <c r="AF225" i="28"/>
  <c r="AE222" i="44"/>
  <c r="AF222" i="28"/>
  <c r="AE218" i="44"/>
  <c r="AF218" i="28"/>
  <c r="AE215" i="44"/>
  <c r="AF215" i="28"/>
  <c r="AE211" i="44"/>
  <c r="AF211" i="28"/>
  <c r="AE209" i="44"/>
  <c r="AF209" i="28"/>
  <c r="AE186" i="44"/>
  <c r="AF186" i="28"/>
  <c r="AE174" i="44"/>
  <c r="AF174" i="28"/>
  <c r="AE167" i="44"/>
  <c r="AF167" i="28"/>
  <c r="AE164" i="44"/>
  <c r="AF164" i="28"/>
  <c r="AE162" i="44"/>
  <c r="AF162" i="28"/>
  <c r="AE160" i="44"/>
  <c r="AF160" i="28"/>
  <c r="AH160" i="28" s="1"/>
  <c r="AE151" i="44"/>
  <c r="AF151" i="28"/>
  <c r="AE149" i="44"/>
  <c r="AF149" i="28"/>
  <c r="AE147" i="44"/>
  <c r="AF147" i="28"/>
  <c r="AE145" i="44"/>
  <c r="AF145" i="28"/>
  <c r="AE143" i="44"/>
  <c r="AF143" i="28"/>
  <c r="AE141" i="44"/>
  <c r="AF141" i="28"/>
  <c r="AE139" i="44"/>
  <c r="AF139" i="28"/>
  <c r="AE137" i="44"/>
  <c r="AF137" i="28"/>
  <c r="AE135" i="44"/>
  <c r="AF135" i="28"/>
  <c r="AE133" i="44"/>
  <c r="AF133" i="28"/>
  <c r="AE131" i="44"/>
  <c r="AF131" i="28"/>
  <c r="AE129" i="44"/>
  <c r="AF129" i="28"/>
  <c r="AE127" i="44"/>
  <c r="AF127" i="28"/>
  <c r="AE125" i="44"/>
  <c r="AF125" i="28"/>
  <c r="AE123" i="44"/>
  <c r="AF123" i="28"/>
  <c r="AE121" i="44"/>
  <c r="AF121" i="28"/>
  <c r="AE119" i="44"/>
  <c r="AF119" i="28"/>
  <c r="AE117" i="44"/>
  <c r="AF117" i="28"/>
  <c r="AE115" i="44"/>
  <c r="AF115" i="28"/>
  <c r="AE111" i="44"/>
  <c r="AF111" i="28"/>
  <c r="AE109" i="44"/>
  <c r="AF109" i="28"/>
  <c r="AE107" i="44"/>
  <c r="AF107" i="28"/>
  <c r="AE105" i="44"/>
  <c r="AF105" i="28"/>
  <c r="AE103" i="44"/>
  <c r="AF103" i="28"/>
  <c r="AE101" i="44"/>
  <c r="AF101" i="28"/>
  <c r="AE99" i="44"/>
  <c r="AF99" i="28"/>
  <c r="AE97" i="44"/>
  <c r="AF97" i="28"/>
  <c r="AE95" i="44"/>
  <c r="AF95" i="28"/>
  <c r="AE93" i="44"/>
  <c r="AF93" i="28"/>
  <c r="AE91" i="44"/>
  <c r="AF91" i="28"/>
  <c r="AE86" i="44"/>
  <c r="AF86" i="28"/>
  <c r="AE78" i="44"/>
  <c r="AF78" i="28"/>
  <c r="AE76" i="44"/>
  <c r="AF76" i="28"/>
  <c r="AE74" i="44"/>
  <c r="AF74" i="28"/>
  <c r="AE72" i="44"/>
  <c r="AF72" i="28"/>
  <c r="AE69" i="44"/>
  <c r="AF69" i="28"/>
  <c r="AE67" i="44"/>
  <c r="AF67" i="28"/>
  <c r="AE65" i="44"/>
  <c r="AF65" i="28"/>
  <c r="AE63" i="44"/>
  <c r="AF63" i="28"/>
  <c r="AE61" i="44"/>
  <c r="AF61" i="28"/>
  <c r="AE54" i="44"/>
  <c r="AF54" i="28"/>
  <c r="AE51" i="44"/>
  <c r="AF51" i="28"/>
  <c r="AE48" i="44"/>
  <c r="AF48" i="28"/>
  <c r="AE46" i="44"/>
  <c r="AF46" i="28"/>
  <c r="AE44" i="44"/>
  <c r="AF44" i="28"/>
  <c r="AE42" i="44"/>
  <c r="AF42" i="28"/>
  <c r="AE39" i="44"/>
  <c r="AF39" i="28"/>
  <c r="AE36" i="44"/>
  <c r="AF36" i="28"/>
  <c r="AE34" i="44"/>
  <c r="AF34" i="28"/>
  <c r="AE32" i="44"/>
  <c r="AF32" i="28"/>
  <c r="AE29" i="44"/>
  <c r="AF29" i="28"/>
  <c r="AE27" i="44"/>
  <c r="AF27" i="28"/>
  <c r="AE24" i="44"/>
  <c r="AF24" i="28"/>
  <c r="AE22" i="44"/>
  <c r="AF22" i="28"/>
  <c r="AE20" i="44"/>
  <c r="AF20" i="28"/>
  <c r="AE18" i="44"/>
  <c r="AF18" i="28"/>
  <c r="AE16" i="44"/>
  <c r="AF16" i="28"/>
  <c r="AE14" i="44"/>
  <c r="AF14" i="28"/>
  <c r="AE12" i="44"/>
  <c r="AF12" i="28"/>
  <c r="AE10" i="44"/>
  <c r="AF10" i="28"/>
  <c r="AE8" i="44"/>
  <c r="AF8" i="28"/>
  <c r="AF1763" i="28"/>
  <c r="AF1761" i="28"/>
  <c r="AF1759" i="28"/>
  <c r="AF1757" i="28"/>
  <c r="AF1755" i="28"/>
  <c r="AF1753" i="28"/>
  <c r="AF1751" i="28"/>
  <c r="AF1749" i="28"/>
  <c r="AF1747" i="28"/>
  <c r="AF1745" i="28"/>
  <c r="AF1743" i="28"/>
  <c r="AF1741" i="28"/>
  <c r="AF1739" i="28"/>
  <c r="AF1736" i="28"/>
  <c r="AF1734" i="28"/>
  <c r="AF1732" i="28"/>
  <c r="AF1727" i="28"/>
  <c r="AF1720" i="28"/>
  <c r="AF1710" i="28"/>
  <c r="AF1701" i="28"/>
  <c r="AF1698" i="28"/>
  <c r="AF1694" i="28"/>
  <c r="AF1692" i="28"/>
  <c r="AF1690" i="28"/>
  <c r="AF1688" i="28"/>
  <c r="AF1686" i="28"/>
  <c r="AF1684" i="28"/>
  <c r="AF1682" i="28"/>
  <c r="AF1680" i="28"/>
  <c r="AF1678" i="28"/>
  <c r="AF1676" i="28"/>
  <c r="AF1673" i="28"/>
  <c r="AF1671" i="28"/>
  <c r="AF1668" i="28"/>
  <c r="AF1666" i="28"/>
  <c r="AF1664" i="28"/>
  <c r="AF1662" i="28"/>
  <c r="AF1658" i="28"/>
  <c r="AF1656" i="28"/>
  <c r="AF1654" i="28"/>
  <c r="AF1650" i="28"/>
  <c r="AF1648" i="28"/>
  <c r="AF1646" i="28"/>
  <c r="AF1643" i="28"/>
  <c r="AF1641" i="28"/>
  <c r="AF1638" i="28"/>
  <c r="AF1628" i="28"/>
  <c r="AF1626" i="28"/>
  <c r="AF1624" i="28"/>
  <c r="AF1621" i="28"/>
  <c r="AF1619" i="28"/>
  <c r="AF1616" i="28"/>
  <c r="AF1614" i="28"/>
  <c r="AF1612" i="28"/>
  <c r="AF1610" i="28"/>
  <c r="AF1608" i="28"/>
  <c r="AF1606" i="28"/>
  <c r="AF1604" i="28"/>
  <c r="AF1602" i="28"/>
  <c r="AF1600" i="28"/>
  <c r="AF1598" i="28"/>
  <c r="AF1596" i="28"/>
  <c r="AF1594" i="28"/>
  <c r="AF1591" i="28"/>
  <c r="AF1589" i="28"/>
  <c r="AF1587" i="28"/>
  <c r="AF1585" i="28"/>
  <c r="AF1583" i="28"/>
  <c r="AF1581" i="28"/>
  <c r="AF1579" i="28"/>
  <c r="AF1577" i="28"/>
  <c r="AF1575" i="28"/>
  <c r="AF1573" i="28"/>
  <c r="AF1571" i="28"/>
  <c r="AF1569" i="28"/>
  <c r="AF1567" i="28"/>
  <c r="AF1565" i="28"/>
  <c r="AF1563" i="28"/>
  <c r="AF1560" i="28"/>
  <c r="AF1558" i="28"/>
  <c r="AF1556" i="28"/>
  <c r="AF1554" i="28"/>
  <c r="AF1552" i="28"/>
  <c r="AF1550" i="28"/>
  <c r="AF1548" i="28"/>
  <c r="AF1546" i="28"/>
  <c r="AF1544" i="28"/>
  <c r="AF1541" i="28"/>
  <c r="AF1539" i="28"/>
  <c r="AF1537" i="28"/>
  <c r="AF1535" i="28"/>
  <c r="AF1533" i="28"/>
  <c r="AF1531" i="28"/>
  <c r="AF1529" i="28"/>
  <c r="AF1527" i="28"/>
  <c r="AF1525" i="28"/>
  <c r="AF1522" i="28"/>
  <c r="AF1520" i="28"/>
  <c r="AF1517" i="28"/>
  <c r="AF1515" i="28"/>
  <c r="AF1513" i="28"/>
  <c r="AF1511" i="28"/>
  <c r="AF1509" i="28"/>
  <c r="AF1507" i="28"/>
  <c r="AF1504" i="28"/>
  <c r="AF1502" i="28"/>
  <c r="AF1500" i="28"/>
  <c r="AF1498" i="28"/>
  <c r="AF1496" i="28"/>
  <c r="AF1494" i="28"/>
  <c r="AF1492" i="28"/>
  <c r="AF1490" i="28"/>
  <c r="AF1488" i="28"/>
  <c r="AF1486" i="28"/>
  <c r="AF1484" i="28"/>
  <c r="AF1482" i="28"/>
  <c r="AF1480" i="28"/>
  <c r="AF1478" i="28"/>
  <c r="AF1475" i="28"/>
  <c r="AF1471" i="28"/>
  <c r="AF1469" i="28"/>
  <c r="AF1467" i="28"/>
  <c r="AF1465" i="28"/>
  <c r="AF1463" i="28"/>
  <c r="AF1461" i="28"/>
  <c r="AF1459" i="28"/>
  <c r="AF1457" i="28"/>
  <c r="AF1454" i="28"/>
  <c r="AF1452" i="28"/>
  <c r="AF1450" i="28"/>
  <c r="AF1448" i="28"/>
  <c r="AF1445" i="28"/>
  <c r="AF1439" i="28"/>
  <c r="AF1437" i="28"/>
  <c r="AF1435" i="28"/>
  <c r="AF1433" i="28"/>
  <c r="AF1431" i="28"/>
  <c r="AF1429" i="28"/>
  <c r="AF1427" i="28"/>
  <c r="AF1425" i="28"/>
  <c r="AF1422" i="28"/>
  <c r="AF1420" i="28"/>
  <c r="AF1418" i="28"/>
  <c r="AF1416" i="28"/>
  <c r="AF1414" i="28"/>
  <c r="AF1412" i="28"/>
  <c r="AF1410" i="28"/>
  <c r="AF1408" i="28"/>
  <c r="AF1406" i="28"/>
  <c r="AF1404" i="28"/>
  <c r="AF1402" i="28"/>
  <c r="AH1402" i="28" s="1"/>
  <c r="AF1400" i="28"/>
  <c r="AF1398" i="28"/>
  <c r="AF1396" i="28"/>
  <c r="AF1394" i="28"/>
  <c r="AH1394" i="28" s="1"/>
  <c r="AF1391" i="28"/>
  <c r="AF1387" i="28"/>
  <c r="AF1384" i="28"/>
  <c r="AF1382" i="28"/>
  <c r="AF1378" i="28"/>
  <c r="AF1376" i="28"/>
  <c r="AF1373" i="28"/>
  <c r="AF1370" i="28"/>
  <c r="AF1367" i="28"/>
  <c r="AF1363" i="28"/>
  <c r="AF1360" i="28"/>
  <c r="AF1358" i="28"/>
  <c r="AF1356" i="28"/>
  <c r="AF1354" i="28"/>
  <c r="AF1352" i="28"/>
  <c r="AF1350" i="28"/>
  <c r="AF1348" i="28"/>
  <c r="AF1346" i="28"/>
  <c r="AF1344" i="28"/>
  <c r="AF1342" i="28"/>
  <c r="AF1340" i="28"/>
  <c r="AF1338" i="28"/>
  <c r="AF1336" i="28"/>
  <c r="AF1334" i="28"/>
  <c r="AF1332" i="28"/>
  <c r="AF1329" i="28"/>
  <c r="AE7" i="44"/>
  <c r="AE1329" i="44"/>
  <c r="AF1327" i="28"/>
  <c r="AE1327" i="44"/>
  <c r="AF1325" i="28"/>
  <c r="AE1323" i="44"/>
  <c r="AF1321" i="28"/>
  <c r="AE1321" i="44"/>
  <c r="AF1319" i="28"/>
  <c r="AE1319" i="44"/>
  <c r="AF1317" i="28"/>
  <c r="AE1317" i="44"/>
  <c r="AF1315" i="28"/>
  <c r="AE1314" i="44"/>
  <c r="AF1312" i="28"/>
  <c r="AE1311" i="44"/>
  <c r="AF1309" i="28"/>
  <c r="AE1309" i="44"/>
  <c r="AF1307" i="28"/>
  <c r="AE1307" i="44"/>
  <c r="AF1305" i="28"/>
  <c r="AE1305" i="44"/>
  <c r="AF1303" i="28"/>
  <c r="AE1303" i="44"/>
  <c r="AF1301" i="28"/>
  <c r="AE1301" i="44"/>
  <c r="AF1299" i="28"/>
  <c r="AE1299" i="44"/>
  <c r="AF1297" i="28"/>
  <c r="AE1297" i="44"/>
  <c r="AF1295" i="28"/>
  <c r="AE1295" i="44"/>
  <c r="AF1293" i="28"/>
  <c r="AE1293" i="44"/>
  <c r="AF1291" i="28"/>
  <c r="AE1291" i="44"/>
  <c r="AF1289" i="28"/>
  <c r="AE1289" i="44"/>
  <c r="AF1287" i="28"/>
  <c r="AE1287" i="44"/>
  <c r="AF1285" i="28"/>
  <c r="AE1285" i="44"/>
  <c r="AF1283" i="28"/>
  <c r="AE1283" i="44"/>
  <c r="AF1281" i="28"/>
  <c r="AE1281" i="44"/>
  <c r="AF1279" i="28"/>
  <c r="AE1279" i="44"/>
  <c r="AF1277" i="28"/>
  <c r="AE1277" i="44"/>
  <c r="AF1275" i="28"/>
  <c r="AE1275" i="44"/>
  <c r="AF1273" i="28"/>
  <c r="AE1273" i="44"/>
  <c r="AF1271" i="28"/>
  <c r="AE1271" i="44"/>
  <c r="AF1269" i="28"/>
  <c r="AE1269" i="44"/>
  <c r="AF1267" i="28"/>
  <c r="AE1267" i="44"/>
  <c r="AF1265" i="28"/>
  <c r="AE1265" i="44"/>
  <c r="AF1263" i="28"/>
  <c r="AE1263" i="44"/>
  <c r="AF1261" i="28"/>
  <c r="AE1261" i="44"/>
  <c r="AF1259" i="28"/>
  <c r="AE1259" i="44"/>
  <c r="AF1257" i="28"/>
  <c r="AE1256" i="44"/>
  <c r="AF1254" i="28"/>
  <c r="AE1254" i="44"/>
  <c r="AF1252" i="28"/>
  <c r="AE1252" i="44"/>
  <c r="AF1250" i="28"/>
  <c r="AE1250" i="44"/>
  <c r="AF1248" i="28"/>
  <c r="AE1248" i="44"/>
  <c r="AF1246" i="28"/>
  <c r="AE1247" i="44"/>
  <c r="AF1245" i="28"/>
  <c r="AE1245" i="44"/>
  <c r="AF1243" i="28"/>
  <c r="AE1240" i="44"/>
  <c r="AF1238" i="28"/>
  <c r="AE1238" i="44"/>
  <c r="AF1236" i="28"/>
  <c r="AE1236" i="44"/>
  <c r="AF1234" i="28"/>
  <c r="AE1229" i="44"/>
  <c r="AF1227" i="28"/>
  <c r="AE1225" i="44"/>
  <c r="AF1223" i="28"/>
  <c r="AE1223" i="44"/>
  <c r="AF1221" i="28"/>
  <c r="AE1221" i="44"/>
  <c r="AF1219" i="28"/>
  <c r="AE1219" i="44"/>
  <c r="AF1217" i="28"/>
  <c r="AE1217" i="44"/>
  <c r="AF1215" i="28"/>
  <c r="AE1215" i="44"/>
  <c r="AF1213" i="28"/>
  <c r="AE1213" i="44"/>
  <c r="AF1211" i="28"/>
  <c r="AE1211" i="44"/>
  <c r="AF1209" i="28"/>
  <c r="AE1208" i="44"/>
  <c r="AF1206" i="28"/>
  <c r="AE1206" i="44"/>
  <c r="AF1204" i="28"/>
  <c r="AE1204" i="44"/>
  <c r="AF1202" i="28"/>
  <c r="AE1202" i="44"/>
  <c r="AF1200" i="28"/>
  <c r="AE1200" i="44"/>
  <c r="AF1198" i="28"/>
  <c r="AE1198" i="44"/>
  <c r="AF1196" i="28"/>
  <c r="AE1196" i="44"/>
  <c r="AF1194" i="28"/>
  <c r="AE1194" i="44"/>
  <c r="AF1192" i="28"/>
  <c r="AE1192" i="44"/>
  <c r="AF1190" i="28"/>
  <c r="AE1179" i="44"/>
  <c r="AF1177" i="28"/>
  <c r="AE1177" i="44"/>
  <c r="AF1175" i="28"/>
  <c r="AE1175" i="44"/>
  <c r="AF1173" i="28"/>
  <c r="AE1173" i="44"/>
  <c r="AF1171" i="28"/>
  <c r="AE1171" i="44"/>
  <c r="AF1169" i="28"/>
  <c r="AE1169" i="44"/>
  <c r="AF1167" i="28"/>
  <c r="AE1166" i="44"/>
  <c r="AF1164" i="28"/>
  <c r="AE1164" i="44"/>
  <c r="AF1162" i="28"/>
  <c r="AE1162" i="44"/>
  <c r="AF1160" i="28"/>
  <c r="AE1160" i="44"/>
  <c r="AF1158" i="28"/>
  <c r="AE1158" i="44"/>
  <c r="AF1156" i="28"/>
  <c r="AE1156" i="44"/>
  <c r="AF1154" i="28"/>
  <c r="AE1154" i="44"/>
  <c r="AF1152" i="28"/>
  <c r="AE1152" i="44"/>
  <c r="AF1150" i="28"/>
  <c r="AE1150" i="44"/>
  <c r="AF1148" i="28"/>
  <c r="AE1148" i="44"/>
  <c r="AF1146" i="28"/>
  <c r="AE1146" i="44"/>
  <c r="AF1144" i="28"/>
  <c r="AE1144" i="44"/>
  <c r="AF1142" i="28"/>
  <c r="AE1142" i="44"/>
  <c r="AF1140" i="28"/>
  <c r="AE1140" i="44"/>
  <c r="AF1138" i="28"/>
  <c r="AE1137" i="44"/>
  <c r="AF1135" i="28"/>
  <c r="AE1136" i="44"/>
  <c r="AF1134" i="28"/>
  <c r="AE1134" i="44"/>
  <c r="AF1132" i="28"/>
  <c r="AE1132" i="44"/>
  <c r="AF1130" i="28"/>
  <c r="AE1129" i="44"/>
  <c r="AF1127" i="28"/>
  <c r="AE1127" i="44"/>
  <c r="AF1125" i="28"/>
  <c r="AE1124" i="44"/>
  <c r="AF1122" i="28"/>
  <c r="AE1122" i="44"/>
  <c r="AF1120" i="28"/>
  <c r="AE1119" i="44"/>
  <c r="AF1117" i="28"/>
  <c r="AE1117" i="44"/>
  <c r="AF1115" i="28"/>
  <c r="AE1115" i="44"/>
  <c r="AF1113" i="28"/>
  <c r="AE1113" i="44"/>
  <c r="AF1111" i="28"/>
  <c r="AE1111" i="44"/>
  <c r="AF1109" i="28"/>
  <c r="AE1108" i="44"/>
  <c r="AF1106" i="28"/>
  <c r="AE1105" i="44"/>
  <c r="AF1103" i="28"/>
  <c r="AE1103" i="44"/>
  <c r="AF1101" i="28"/>
  <c r="AE1101" i="44"/>
  <c r="AF1099" i="28"/>
  <c r="AE1099" i="44"/>
  <c r="AF1097" i="28"/>
  <c r="AE1097" i="44"/>
  <c r="AF1095" i="28"/>
  <c r="AE1095" i="44"/>
  <c r="AF1093" i="28"/>
  <c r="AE1093" i="44"/>
  <c r="AF1091" i="28"/>
  <c r="AE1091" i="44"/>
  <c r="AF1089" i="28"/>
  <c r="AE1089" i="44"/>
  <c r="AF1087" i="28"/>
  <c r="AE1087" i="44"/>
  <c r="AF1085" i="28"/>
  <c r="AE1085" i="44"/>
  <c r="AF1083" i="28"/>
  <c r="AE1083" i="44"/>
  <c r="AF1081" i="28"/>
  <c r="AE1081" i="44"/>
  <c r="AF1079" i="28"/>
  <c r="AE1079" i="44"/>
  <c r="AF1077" i="28"/>
  <c r="AE1077" i="44"/>
  <c r="AF1075" i="28"/>
  <c r="AE1075" i="44"/>
  <c r="AF1073" i="28"/>
  <c r="AE1073" i="44"/>
  <c r="AF1071" i="28"/>
  <c r="AE1071" i="44"/>
  <c r="AF1069" i="28"/>
  <c r="AE1068" i="44"/>
  <c r="AF1066" i="28"/>
  <c r="AE1063" i="44"/>
  <c r="AF1061" i="28"/>
  <c r="AE1060" i="44"/>
  <c r="AF1058" i="28"/>
  <c r="AE1058" i="44"/>
  <c r="AF1056" i="28"/>
  <c r="AE1056" i="44"/>
  <c r="AF1054" i="28"/>
  <c r="AE1054" i="44"/>
  <c r="AF1052" i="28"/>
  <c r="AE1051" i="44"/>
  <c r="AF1049" i="28"/>
  <c r="AE1047" i="44"/>
  <c r="AF1045" i="28"/>
  <c r="AE1045" i="44"/>
  <c r="AF1045" i="44" s="1"/>
  <c r="AF1043" i="28"/>
  <c r="AE1043" i="44"/>
  <c r="AF1043" i="44" s="1"/>
  <c r="AF1041" i="28"/>
  <c r="AE1040" i="44"/>
  <c r="AF1038" i="28"/>
  <c r="AE1038" i="44"/>
  <c r="AF1036" i="28"/>
  <c r="AE1036" i="44"/>
  <c r="AF1034" i="28"/>
  <c r="AE1034" i="44"/>
  <c r="AF1034" i="44" s="1"/>
  <c r="AF645" i="44" s="1"/>
  <c r="AF1032" i="28"/>
  <c r="AE1031" i="44"/>
  <c r="AF1029" i="28"/>
  <c r="AE1028" i="44"/>
  <c r="AF1026" i="28"/>
  <c r="AE1019" i="44"/>
  <c r="AF1017" i="28"/>
  <c r="AE1017" i="44"/>
  <c r="AF1015" i="28"/>
  <c r="AE1015" i="44"/>
  <c r="AF1013" i="28"/>
  <c r="AE1012" i="44"/>
  <c r="AF1010" i="28"/>
  <c r="AE1008" i="44"/>
  <c r="AF1006" i="28"/>
  <c r="AE1006" i="44"/>
  <c r="AF1006" i="44" s="1"/>
  <c r="AF616" i="44" s="1"/>
  <c r="AF1004" i="28"/>
  <c r="AE1004" i="44"/>
  <c r="AF1002" i="28"/>
  <c r="AE1002" i="44"/>
  <c r="AF1000" i="28"/>
  <c r="AE1000" i="44"/>
  <c r="AF998" i="28"/>
  <c r="AE998" i="44"/>
  <c r="AF996" i="28"/>
  <c r="AE996" i="44"/>
  <c r="AF994" i="28"/>
  <c r="AE994" i="44"/>
  <c r="AF992" i="28"/>
  <c r="AE992" i="44"/>
  <c r="AF990" i="28"/>
  <c r="AE990" i="44"/>
  <c r="AF988" i="28"/>
  <c r="AE987" i="44"/>
  <c r="AF985" i="28"/>
  <c r="AE981" i="44"/>
  <c r="AF979" i="28"/>
  <c r="AE979" i="44"/>
  <c r="AF977" i="28"/>
  <c r="AE977" i="44"/>
  <c r="AF975" i="28"/>
  <c r="AE974" i="44"/>
  <c r="AF974" i="44" s="1"/>
  <c r="AF396" i="44" s="1"/>
  <c r="AF972" i="28"/>
  <c r="AE972" i="44"/>
  <c r="AF970" i="28"/>
  <c r="AE969" i="44"/>
  <c r="AF967" i="28"/>
  <c r="AE967" i="44"/>
  <c r="AF538" i="44" s="1"/>
  <c r="AF965" i="28"/>
  <c r="AE965" i="44"/>
  <c r="AF963" i="28"/>
  <c r="AE963" i="44"/>
  <c r="AF961" i="28"/>
  <c r="AE961" i="44"/>
  <c r="AF959" i="28"/>
  <c r="AE959" i="44"/>
  <c r="AF957" i="28"/>
  <c r="AE957" i="44"/>
  <c r="AF955" i="28"/>
  <c r="AE955" i="44"/>
  <c r="AF953" i="28"/>
  <c r="AE953" i="44"/>
  <c r="AF951" i="28"/>
  <c r="AE951" i="44"/>
  <c r="AF949" i="28"/>
  <c r="AE949" i="44"/>
  <c r="AF947" i="28"/>
  <c r="AE947" i="44"/>
  <c r="AF945" i="28"/>
  <c r="AE935" i="44"/>
  <c r="AF933" i="28"/>
  <c r="AE922" i="44"/>
  <c r="AF920" i="28"/>
  <c r="AE920" i="44"/>
  <c r="AF918" i="28"/>
  <c r="AE917" i="44"/>
  <c r="AF915" i="28"/>
  <c r="AE914" i="44"/>
  <c r="AF912" i="28"/>
  <c r="AE911" i="44"/>
  <c r="AF909" i="28"/>
  <c r="AE909" i="44"/>
  <c r="AF907" i="28"/>
  <c r="AE906" i="44"/>
  <c r="AF904" i="28"/>
  <c r="AE901" i="44"/>
  <c r="AF899" i="28"/>
  <c r="AE899" i="44"/>
  <c r="AF897" i="28"/>
  <c r="AE896" i="44"/>
  <c r="AF894" i="28"/>
  <c r="AE894" i="44"/>
  <c r="AF892" i="28"/>
  <c r="AE892" i="44"/>
  <c r="AF890" i="28"/>
  <c r="AE890" i="44"/>
  <c r="AF888" i="28"/>
  <c r="AE887" i="44"/>
  <c r="AF885" i="28"/>
  <c r="AE885" i="44"/>
  <c r="AF883" i="28"/>
  <c r="AE882" i="44"/>
  <c r="AF880" i="28"/>
  <c r="AE879" i="44"/>
  <c r="AF877" i="28"/>
  <c r="AE877" i="44"/>
  <c r="AF875" i="28"/>
  <c r="AE875" i="44"/>
  <c r="AF873" i="28"/>
  <c r="AE873" i="44"/>
  <c r="AF871" i="28"/>
  <c r="AE871" i="44"/>
  <c r="AF869" i="28"/>
  <c r="AE869" i="44"/>
  <c r="AF869" i="44" s="1"/>
  <c r="AF867" i="28"/>
  <c r="AE865" i="44"/>
  <c r="AF863" i="28"/>
  <c r="AE863" i="44"/>
  <c r="AF861" i="28"/>
  <c r="AE861" i="44"/>
  <c r="AF859" i="28"/>
  <c r="AE859" i="44"/>
  <c r="AF857" i="28"/>
  <c r="AE856" i="44"/>
  <c r="AF854" i="28"/>
  <c r="AE853" i="44"/>
  <c r="AF851" i="28"/>
  <c r="AE849" i="44"/>
  <c r="AF847" i="28"/>
  <c r="AE846" i="44"/>
  <c r="AF844" i="28"/>
  <c r="AE844" i="44"/>
  <c r="AF842" i="28"/>
  <c r="AE842" i="44"/>
  <c r="AF840" i="28"/>
  <c r="AE840" i="44"/>
  <c r="AF838" i="28"/>
  <c r="AE838" i="44"/>
  <c r="AF836" i="28"/>
  <c r="AE836" i="44"/>
  <c r="AF834" i="28"/>
  <c r="AE834" i="44"/>
  <c r="AF832" i="28"/>
  <c r="AE832" i="44"/>
  <c r="AF830" i="28"/>
  <c r="AE828" i="44"/>
  <c r="AF826" i="28"/>
  <c r="AE825" i="44"/>
  <c r="AF823" i="28"/>
  <c r="AE821" i="44"/>
  <c r="AF819" i="28"/>
  <c r="AE819" i="44"/>
  <c r="AF817" i="28"/>
  <c r="AE815" i="44"/>
  <c r="AF813" i="28"/>
  <c r="AE813" i="44"/>
  <c r="AF811" i="28"/>
  <c r="AE811" i="44"/>
  <c r="AF809" i="28"/>
  <c r="AE809" i="44"/>
  <c r="AF807" i="28"/>
  <c r="AE807" i="44"/>
  <c r="AF805" i="28"/>
  <c r="AE805" i="44"/>
  <c r="AF803" i="28"/>
  <c r="AE803" i="44"/>
  <c r="AF801" i="28"/>
  <c r="AE799" i="44"/>
  <c r="AF797" i="28"/>
  <c r="AE797" i="44"/>
  <c r="AF795" i="28"/>
  <c r="AE795" i="44"/>
  <c r="AF793" i="28"/>
  <c r="AE793" i="44"/>
  <c r="AF791" i="28"/>
  <c r="AE791" i="44"/>
  <c r="AF789" i="28"/>
  <c r="AE789" i="44"/>
  <c r="AF787" i="28"/>
  <c r="AE787" i="44"/>
  <c r="AF785" i="28"/>
  <c r="AE785" i="44"/>
  <c r="AF783" i="28"/>
  <c r="AE783" i="44"/>
  <c r="AF781" i="28"/>
  <c r="AE781" i="44"/>
  <c r="AF779" i="28"/>
  <c r="AE779" i="44"/>
  <c r="AF777" i="28"/>
  <c r="AE777" i="44"/>
  <c r="AF775" i="28"/>
  <c r="AE775" i="44"/>
  <c r="AF773" i="28"/>
  <c r="AE772" i="44"/>
  <c r="AF770" i="28"/>
  <c r="AE768" i="44"/>
  <c r="AF766" i="28"/>
  <c r="AE759" i="44"/>
  <c r="AF757" i="28"/>
  <c r="AE757" i="44"/>
  <c r="AF755" i="28"/>
  <c r="AE754" i="44"/>
  <c r="AF752" i="28"/>
  <c r="AE751" i="44"/>
  <c r="AF749" i="28"/>
  <c r="AE749" i="44"/>
  <c r="AF747" i="28"/>
  <c r="AE729" i="44"/>
  <c r="AF727" i="28"/>
  <c r="AE727" i="44"/>
  <c r="AF725" i="28"/>
  <c r="AE725" i="44"/>
  <c r="AF723" i="28"/>
  <c r="AE723" i="44"/>
  <c r="AF721" i="28"/>
  <c r="AE721" i="44"/>
  <c r="AF719" i="28"/>
  <c r="AE719" i="44"/>
  <c r="AF717" i="28"/>
  <c r="AE717" i="44"/>
  <c r="AF715" i="28"/>
  <c r="AE714" i="44"/>
  <c r="AF712" i="28"/>
  <c r="AE712" i="44"/>
  <c r="AF710" i="28"/>
  <c r="AE710" i="44"/>
  <c r="AF708" i="28"/>
  <c r="AE708" i="44"/>
  <c r="AF706" i="28"/>
  <c r="AE706" i="44"/>
  <c r="AF704" i="28"/>
  <c r="AE704" i="44"/>
  <c r="AF702" i="28"/>
  <c r="AE702" i="44"/>
  <c r="AF700" i="28"/>
  <c r="AE700" i="44"/>
  <c r="AF698" i="28"/>
  <c r="AE698" i="44"/>
  <c r="AF696" i="28"/>
  <c r="AE678" i="44"/>
  <c r="AF676" i="28"/>
  <c r="AE675" i="44"/>
  <c r="AF673" i="28"/>
  <c r="AE673" i="44"/>
  <c r="AF671" i="28"/>
  <c r="AE671" i="44"/>
  <c r="AF669" i="28"/>
  <c r="AE669" i="44"/>
  <c r="AF667" i="28"/>
  <c r="AE667" i="44"/>
  <c r="AF665" i="28"/>
  <c r="AE665" i="44"/>
  <c r="AF663" i="28"/>
  <c r="AE663" i="44"/>
  <c r="AF661" i="28"/>
  <c r="AE661" i="44"/>
  <c r="AF659" i="28"/>
  <c r="AE656" i="44"/>
  <c r="AF654" i="28"/>
  <c r="AE652" i="44"/>
  <c r="AF650" i="28"/>
  <c r="AE650" i="44"/>
  <c r="AF648" i="28"/>
  <c r="AE648" i="44"/>
  <c r="AF646" i="28"/>
  <c r="AE646" i="44"/>
  <c r="AF644" i="28"/>
  <c r="AE644" i="44"/>
  <c r="AF642" i="28"/>
  <c r="AE642" i="44"/>
  <c r="AF640" i="28"/>
  <c r="AE640" i="44"/>
  <c r="AF638" i="28"/>
  <c r="AE638" i="44"/>
  <c r="AF636" i="28"/>
  <c r="AE636" i="44"/>
  <c r="AF634" i="28"/>
  <c r="AE634" i="44"/>
  <c r="AF632" i="28"/>
  <c r="AE631" i="44"/>
  <c r="AF629" i="28"/>
  <c r="AE629" i="44"/>
  <c r="AF627" i="28"/>
  <c r="AE623" i="44"/>
  <c r="AF621" i="28"/>
  <c r="AE620" i="44"/>
  <c r="AF618" i="28"/>
  <c r="AE618" i="44"/>
  <c r="AF616" i="28"/>
  <c r="AE616" i="44"/>
  <c r="AF614" i="28"/>
  <c r="AE614" i="44"/>
  <c r="AF612" i="28"/>
  <c r="AE612" i="44"/>
  <c r="AF610" i="28"/>
  <c r="AE610" i="44"/>
  <c r="AF608" i="28"/>
  <c r="AE608" i="44"/>
  <c r="AF606" i="28"/>
  <c r="AE606" i="44"/>
  <c r="AF604" i="28"/>
  <c r="AE604" i="44"/>
  <c r="AF602" i="28"/>
  <c r="AE602" i="44"/>
  <c r="AF600" i="28"/>
  <c r="AE600" i="44"/>
  <c r="AF598" i="28"/>
  <c r="AE598" i="44"/>
  <c r="AF596" i="28"/>
  <c r="AE596" i="44"/>
  <c r="AF594" i="28"/>
  <c r="AE594" i="44"/>
  <c r="AF592" i="28"/>
  <c r="AE592" i="44"/>
  <c r="AF590" i="28"/>
  <c r="AE589" i="44"/>
  <c r="AF588" i="28"/>
  <c r="AE586" i="44"/>
  <c r="AF586" i="28"/>
  <c r="AE584" i="44"/>
  <c r="AF584" i="28"/>
  <c r="AE582" i="44"/>
  <c r="AF582" i="28"/>
  <c r="AE580" i="44"/>
  <c r="AF580" i="28"/>
  <c r="AE572" i="44"/>
  <c r="AF572" i="28"/>
  <c r="AE570" i="44"/>
  <c r="AF570" i="28"/>
  <c r="AE568" i="44"/>
  <c r="AF568" i="28"/>
  <c r="AE566" i="44"/>
  <c r="AF566" i="28"/>
  <c r="AE563" i="44"/>
  <c r="AF563" i="28"/>
  <c r="AE561" i="44"/>
  <c r="AF561" i="28"/>
  <c r="AE557" i="44"/>
  <c r="AF557" i="28"/>
  <c r="AE555" i="44"/>
  <c r="AF555" i="28"/>
  <c r="AE553" i="44"/>
  <c r="AF553" i="28"/>
  <c r="AE551" i="44"/>
  <c r="AF551" i="28"/>
  <c r="AE547" i="44"/>
  <c r="AF547" i="28"/>
  <c r="AE545" i="44"/>
  <c r="AF545" i="28"/>
  <c r="AE543" i="44"/>
  <c r="AF543" i="28"/>
  <c r="AE541" i="44"/>
  <c r="AF541" i="28"/>
  <c r="AE539" i="44"/>
  <c r="AF539" i="28"/>
  <c r="AE537" i="44"/>
  <c r="AF537" i="28"/>
  <c r="AE535" i="44"/>
  <c r="AF535" i="28"/>
  <c r="AE533" i="44"/>
  <c r="AF533" i="28"/>
  <c r="AE531" i="44"/>
  <c r="AF531" i="28"/>
  <c r="AE529" i="44"/>
  <c r="AF529" i="28"/>
  <c r="AE527" i="44"/>
  <c r="AF527" i="28"/>
  <c r="AE525" i="44"/>
  <c r="AF525" i="28"/>
  <c r="AE523" i="44"/>
  <c r="AF523" i="28"/>
  <c r="AE521" i="44"/>
  <c r="AF521" i="28"/>
  <c r="AE519" i="44"/>
  <c r="AF519" i="28"/>
  <c r="AE517" i="44"/>
  <c r="AF517" i="28"/>
  <c r="AE515" i="44"/>
  <c r="AF515" i="28"/>
  <c r="AE513" i="44"/>
  <c r="AF513" i="28"/>
  <c r="AE511" i="44"/>
  <c r="AF511" i="28"/>
  <c r="AE509" i="44"/>
  <c r="AF509" i="28"/>
  <c r="AE507" i="44"/>
  <c r="AF507" i="28"/>
  <c r="AE505" i="44"/>
  <c r="AF505" i="28"/>
  <c r="AE503" i="44"/>
  <c r="AF503" i="28"/>
  <c r="AE501" i="44"/>
  <c r="AF501" i="28"/>
  <c r="AE499" i="44"/>
  <c r="AF499" i="28"/>
  <c r="AE497" i="44"/>
  <c r="AF497" i="28"/>
  <c r="AE495" i="44"/>
  <c r="AF495" i="28"/>
  <c r="AE493" i="44"/>
  <c r="AF493" i="28"/>
  <c r="AE491" i="44"/>
  <c r="AF491" i="28"/>
  <c r="AE489" i="44"/>
  <c r="AF489" i="28"/>
  <c r="AE487" i="44"/>
  <c r="AF487" i="28"/>
  <c r="AE485" i="44"/>
  <c r="AF485" i="28"/>
  <c r="AE482" i="44"/>
  <c r="AF482" i="28"/>
  <c r="AE480" i="44"/>
  <c r="AF480" i="28"/>
  <c r="AE478" i="44"/>
  <c r="AF478" i="28"/>
  <c r="AE476" i="44"/>
  <c r="AF476" i="28"/>
  <c r="AE474" i="44"/>
  <c r="AF474" i="28"/>
  <c r="AE466" i="44"/>
  <c r="AF466" i="28"/>
  <c r="AE463" i="44"/>
  <c r="AF463" i="28"/>
  <c r="AE460" i="44"/>
  <c r="AF460" i="28"/>
  <c r="AE458" i="44"/>
  <c r="AF458" i="28"/>
  <c r="AE454" i="44"/>
  <c r="AF454" i="44" s="1"/>
  <c r="AF821" i="44" s="1"/>
  <c r="AF454" i="28"/>
  <c r="AE452" i="44"/>
  <c r="AF452" i="28"/>
  <c r="AE450" i="44"/>
  <c r="AF450" i="28"/>
  <c r="AE448" i="44"/>
  <c r="AF448" i="28"/>
  <c r="AE446" i="44"/>
  <c r="AF446" i="28"/>
  <c r="AE444" i="44"/>
  <c r="AF444" i="44" s="1"/>
  <c r="AF806" i="44" s="1"/>
  <c r="AF444" i="28"/>
  <c r="AE441" i="44"/>
  <c r="AF441" i="28"/>
  <c r="AE439" i="44"/>
  <c r="AF439" i="28"/>
  <c r="AE437" i="44"/>
  <c r="AF437" i="28"/>
  <c r="AE435" i="44"/>
  <c r="AF435" i="28"/>
  <c r="AE433" i="44"/>
  <c r="AF433" i="28"/>
  <c r="AE431" i="44"/>
  <c r="AF431" i="28"/>
  <c r="AE429" i="44"/>
  <c r="AF429" i="28"/>
  <c r="AE427" i="44"/>
  <c r="AF427" i="28"/>
  <c r="AE425" i="44"/>
  <c r="AF425" i="28"/>
  <c r="AE423" i="44"/>
  <c r="AF423" i="28"/>
  <c r="AE421" i="44"/>
  <c r="AF421" i="28"/>
  <c r="AE419" i="44"/>
  <c r="AF419" i="28"/>
  <c r="AE417" i="44"/>
  <c r="AF417" i="44" s="1"/>
  <c r="AF842" i="44" s="1"/>
  <c r="AF417" i="28"/>
  <c r="AE415" i="44"/>
  <c r="AF415" i="28"/>
  <c r="AE413" i="44"/>
  <c r="AF413" i="28"/>
  <c r="AE410" i="44"/>
  <c r="AF410" i="28"/>
  <c r="AE407" i="44"/>
  <c r="AF407" i="28"/>
  <c r="AE404" i="44"/>
  <c r="AF404" i="28"/>
  <c r="AE400" i="44"/>
  <c r="AH400" i="44" s="1"/>
  <c r="AF400" i="28"/>
  <c r="AH400" i="28" s="1"/>
  <c r="AE398" i="44"/>
  <c r="AF398" i="28"/>
  <c r="AE396" i="44"/>
  <c r="AF396" i="28"/>
  <c r="AE393" i="44"/>
  <c r="AF393" i="28"/>
  <c r="AE391" i="44"/>
  <c r="AF391" i="44" s="1"/>
  <c r="AF973" i="44" s="1"/>
  <c r="AF391" i="28"/>
  <c r="AE389" i="44"/>
  <c r="AF389" i="28"/>
  <c r="AE386" i="44"/>
  <c r="AF386" i="28"/>
  <c r="AE384" i="44"/>
  <c r="AF384" i="28"/>
  <c r="AE382" i="44"/>
  <c r="AF382" i="28"/>
  <c r="AE380" i="44"/>
  <c r="AF380" i="28"/>
  <c r="AE375" i="44"/>
  <c r="AF375" i="28"/>
  <c r="AE373" i="44"/>
  <c r="AF373" i="28"/>
  <c r="AE370" i="44"/>
  <c r="AF370" i="28"/>
  <c r="AE368" i="44"/>
  <c r="AF368" i="28"/>
  <c r="AE366" i="44"/>
  <c r="AF366" i="28"/>
  <c r="AE364" i="44"/>
  <c r="AF364" i="28"/>
  <c r="AE362" i="44"/>
  <c r="AF362" i="28"/>
  <c r="AE360" i="44"/>
  <c r="AF360" i="28"/>
  <c r="AE358" i="44"/>
  <c r="AF358" i="28"/>
  <c r="AE356" i="44"/>
  <c r="AF356" i="28"/>
  <c r="AE354" i="44"/>
  <c r="AF354" i="28"/>
  <c r="AE352" i="44"/>
  <c r="AF352" i="28"/>
  <c r="AE350" i="44"/>
  <c r="AF350" i="28"/>
  <c r="AE348" i="44"/>
  <c r="AF348" i="28"/>
  <c r="AE346" i="44"/>
  <c r="AF346" i="28"/>
  <c r="AE344" i="44"/>
  <c r="AF344" i="28"/>
  <c r="AE342" i="44"/>
  <c r="AF342" i="28"/>
  <c r="AE340" i="44"/>
  <c r="AF340" i="28"/>
  <c r="AE337" i="44"/>
  <c r="AF337" i="28"/>
  <c r="AE335" i="44"/>
  <c r="AF335" i="28"/>
  <c r="AE331" i="44"/>
  <c r="AF331" i="28"/>
  <c r="AE329" i="44"/>
  <c r="AF329" i="28"/>
  <c r="AE327" i="44"/>
  <c r="AF327" i="28"/>
  <c r="AE325" i="44"/>
  <c r="AF325" i="44" s="1"/>
  <c r="AF325" i="28"/>
  <c r="AE323" i="44"/>
  <c r="AF323" i="28"/>
  <c r="AE320" i="44"/>
  <c r="AF320" i="28"/>
  <c r="AE318" i="44"/>
  <c r="AF318" i="28"/>
  <c r="AE316" i="44"/>
  <c r="AF316" i="28"/>
  <c r="AE313" i="44"/>
  <c r="AF313" i="28"/>
  <c r="AE311" i="44"/>
  <c r="AF311" i="28"/>
  <c r="AE309" i="44"/>
  <c r="AF309" i="28"/>
  <c r="AE307" i="44"/>
  <c r="AF307" i="28"/>
  <c r="AE305" i="44"/>
  <c r="AF305" i="28"/>
  <c r="AE303" i="44"/>
  <c r="AF303" i="28"/>
  <c r="AE301" i="44"/>
  <c r="AF301" i="28"/>
  <c r="AE298" i="44"/>
  <c r="AF298" i="28"/>
  <c r="AE296" i="44"/>
  <c r="AF296" i="28"/>
  <c r="AE294" i="44"/>
  <c r="AF294" i="28"/>
  <c r="AE292" i="44"/>
  <c r="AF292" i="28"/>
  <c r="AE288" i="44"/>
  <c r="AF288" i="28"/>
  <c r="AE284" i="44"/>
  <c r="AF284" i="28"/>
  <c r="AE282" i="44"/>
  <c r="AF282" i="28"/>
  <c r="AE280" i="44"/>
  <c r="AF280" i="28"/>
  <c r="AE278" i="44"/>
  <c r="AF278" i="28"/>
  <c r="AE276" i="44"/>
  <c r="AF276" i="28"/>
  <c r="AE274" i="44"/>
  <c r="AF274" i="28"/>
  <c r="AE271" i="44"/>
  <c r="AF271" i="28"/>
  <c r="AE269" i="44"/>
  <c r="AF269" i="28"/>
  <c r="AE267" i="44"/>
  <c r="AF267" i="28"/>
  <c r="AE265" i="44"/>
  <c r="AF265" i="28"/>
  <c r="AE263" i="44"/>
  <c r="AF263" i="28"/>
  <c r="AE261" i="44"/>
  <c r="AF261" i="28"/>
  <c r="AE259" i="44"/>
  <c r="AF259" i="28"/>
  <c r="AE254" i="44"/>
  <c r="AF254" i="28"/>
  <c r="AE238" i="44"/>
  <c r="AF238" i="28"/>
  <c r="AE234" i="44"/>
  <c r="AF234" i="28"/>
  <c r="AE232" i="44"/>
  <c r="AF232" i="28"/>
  <c r="AE227" i="44"/>
  <c r="AF227" i="28"/>
  <c r="AE223" i="44"/>
  <c r="AF223" i="28"/>
  <c r="AE220" i="44"/>
  <c r="AF220" i="28"/>
  <c r="AE216" i="44"/>
  <c r="AF216" i="28"/>
  <c r="AE214" i="44"/>
  <c r="AF214" i="28"/>
  <c r="AE210" i="44"/>
  <c r="AF210" i="28"/>
  <c r="AE190" i="44"/>
  <c r="AF190" i="28"/>
  <c r="AE175" i="44"/>
  <c r="AF175" i="28"/>
  <c r="AE170" i="44"/>
  <c r="AF170" i="28"/>
  <c r="AE166" i="44"/>
  <c r="AF166" i="28"/>
  <c r="AE163" i="44"/>
  <c r="AF163" i="28"/>
  <c r="AE161" i="44"/>
  <c r="AF161" i="28"/>
  <c r="AE154" i="44"/>
  <c r="AF154" i="28"/>
  <c r="AE150" i="44"/>
  <c r="AF150" i="28"/>
  <c r="AE148" i="44"/>
  <c r="AF148" i="28"/>
  <c r="AE146" i="44"/>
  <c r="AF146" i="28"/>
  <c r="AE144" i="44"/>
  <c r="AF144" i="28"/>
  <c r="AE142" i="44"/>
  <c r="AF142" i="28"/>
  <c r="AE140" i="44"/>
  <c r="AF140" i="28"/>
  <c r="AE138" i="44"/>
  <c r="AF138" i="28"/>
  <c r="AE136" i="44"/>
  <c r="AF136" i="28"/>
  <c r="AE134" i="44"/>
  <c r="AF134" i="28"/>
  <c r="AE132" i="44"/>
  <c r="AF132" i="28"/>
  <c r="AE130" i="44"/>
  <c r="AF130" i="28"/>
  <c r="AE128" i="44"/>
  <c r="AF128" i="28"/>
  <c r="AE126" i="44"/>
  <c r="AF126" i="28"/>
  <c r="AE124" i="44"/>
  <c r="AF124" i="28"/>
  <c r="AE122" i="44"/>
  <c r="AF122" i="28"/>
  <c r="AE120" i="44"/>
  <c r="AF120" i="28"/>
  <c r="AE118" i="44"/>
  <c r="AF118" i="28"/>
  <c r="AE116" i="44"/>
  <c r="AF116" i="28"/>
  <c r="AE113" i="44"/>
  <c r="AF113" i="28"/>
  <c r="AE110" i="44"/>
  <c r="AF110" i="28"/>
  <c r="AE108" i="44"/>
  <c r="AF108" i="28"/>
  <c r="AE106" i="44"/>
  <c r="AF106" i="28"/>
  <c r="AE104" i="44"/>
  <c r="AF104" i="28"/>
  <c r="AE102" i="44"/>
  <c r="AF102" i="28"/>
  <c r="AE100" i="44"/>
  <c r="AF100" i="28"/>
  <c r="AE98" i="44"/>
  <c r="AF98" i="28"/>
  <c r="AE96" i="44"/>
  <c r="AF96" i="28"/>
  <c r="AE94" i="44"/>
  <c r="AF94" i="28"/>
  <c r="AE92" i="44"/>
  <c r="AF92" i="28"/>
  <c r="AE90" i="44"/>
  <c r="AF90" i="28"/>
  <c r="AE85" i="44"/>
  <c r="AF85" i="28"/>
  <c r="AE77" i="44"/>
  <c r="AF77" i="28"/>
  <c r="AE75" i="44"/>
  <c r="AF75" i="28"/>
  <c r="AE73" i="44"/>
  <c r="AF73" i="28"/>
  <c r="AE70" i="44"/>
  <c r="AF70" i="28"/>
  <c r="AE68" i="44"/>
  <c r="AF68" i="28"/>
  <c r="AE66" i="44"/>
  <c r="AF66" i="28"/>
  <c r="AE64" i="44"/>
  <c r="AF64" i="28"/>
  <c r="AE62" i="44"/>
  <c r="AF62" i="28"/>
  <c r="AE60" i="44"/>
  <c r="AF60" i="28"/>
  <c r="AE53" i="44"/>
  <c r="AF53" i="28"/>
  <c r="AE50" i="44"/>
  <c r="AF50" i="28"/>
  <c r="AE47" i="44"/>
  <c r="AF47" i="28"/>
  <c r="AE45" i="44"/>
  <c r="AF45" i="28"/>
  <c r="AE43" i="44"/>
  <c r="AF43" i="28"/>
  <c r="AE40" i="44"/>
  <c r="AF40" i="28"/>
  <c r="AE38" i="44"/>
  <c r="AF38" i="28"/>
  <c r="AE35" i="44"/>
  <c r="AF35" i="28"/>
  <c r="AE33" i="44"/>
  <c r="AF33" i="28"/>
  <c r="AE31" i="44"/>
  <c r="AF31" i="28"/>
  <c r="AE28" i="44"/>
  <c r="AF28" i="28"/>
  <c r="AE25" i="44"/>
  <c r="AF25" i="28"/>
  <c r="AE23" i="44"/>
  <c r="AF23" i="28"/>
  <c r="AE21" i="44"/>
  <c r="AF21" i="28"/>
  <c r="AE19" i="44"/>
  <c r="AF19" i="28"/>
  <c r="AE17" i="44"/>
  <c r="AF17" i="28"/>
  <c r="AE15" i="44"/>
  <c r="AF15" i="28"/>
  <c r="AE13" i="44"/>
  <c r="AF13" i="28"/>
  <c r="AE11" i="44"/>
  <c r="AF11" i="28"/>
  <c r="AE9" i="44"/>
  <c r="AF9" i="28"/>
  <c r="AF1764" i="28"/>
  <c r="AF1762" i="28"/>
  <c r="AF1760" i="28"/>
  <c r="AF1758" i="28"/>
  <c r="AF1756" i="28"/>
  <c r="AF1754" i="28"/>
  <c r="AF1752" i="28"/>
  <c r="AF1750" i="28"/>
  <c r="AF1748" i="28"/>
  <c r="AF1746" i="28"/>
  <c r="AF1744" i="28"/>
  <c r="AF1742" i="28"/>
  <c r="AF1740" i="28"/>
  <c r="AF1738" i="28"/>
  <c r="AF1735" i="28"/>
  <c r="AF1733" i="28"/>
  <c r="AF1730" i="28"/>
  <c r="AF1723" i="28"/>
  <c r="AF1712" i="28"/>
  <c r="AF1702" i="28"/>
  <c r="AF1699" i="28"/>
  <c r="AF1696" i="28"/>
  <c r="AF1693" i="28"/>
  <c r="AF1691" i="28"/>
  <c r="AF1689" i="28"/>
  <c r="AF1687" i="28"/>
  <c r="AF1685" i="28"/>
  <c r="AF1683" i="28"/>
  <c r="AF1681" i="28"/>
  <c r="AF1679" i="28"/>
  <c r="AF1677" i="28"/>
  <c r="AF1674" i="28"/>
  <c r="AF1672" i="28"/>
  <c r="AF1669" i="28"/>
  <c r="AF1667" i="28"/>
  <c r="AF1665" i="28"/>
  <c r="AF1663" i="28"/>
  <c r="AF1659" i="28"/>
  <c r="AF1657" i="28"/>
  <c r="AF1655" i="28"/>
  <c r="AF1653" i="28"/>
  <c r="AF1649" i="28"/>
  <c r="AF1647" i="28"/>
  <c r="AF1645" i="28"/>
  <c r="AF1642" i="28"/>
  <c r="AF1640" i="28"/>
  <c r="AF1637" i="28"/>
  <c r="AF1627" i="28"/>
  <c r="AF1625" i="28"/>
  <c r="AF1623" i="28"/>
  <c r="AH1623" i="28" s="1"/>
  <c r="AF1620" i="28"/>
  <c r="AF1617" i="28"/>
  <c r="AF1615" i="28"/>
  <c r="AF1613" i="28"/>
  <c r="AF1611" i="28"/>
  <c r="AF1609" i="28"/>
  <c r="AF1607" i="28"/>
  <c r="AF1605" i="28"/>
  <c r="AF1603" i="28"/>
  <c r="AF1601" i="28"/>
  <c r="AF1599" i="28"/>
  <c r="AF1597" i="28"/>
  <c r="AF1595" i="28"/>
  <c r="AF1593" i="28"/>
  <c r="AF1590" i="28"/>
  <c r="AF1588" i="28"/>
  <c r="AF1586" i="28"/>
  <c r="AF1584" i="28"/>
  <c r="AF1582" i="28"/>
  <c r="AF1580" i="28"/>
  <c r="AF1578" i="28"/>
  <c r="AF1576" i="28"/>
  <c r="AF1574" i="28"/>
  <c r="AF1572" i="28"/>
  <c r="AF1570" i="28"/>
  <c r="AF1568" i="28"/>
  <c r="AF1566" i="28"/>
  <c r="AF1564" i="28"/>
  <c r="AF1562" i="28"/>
  <c r="AF1559" i="28"/>
  <c r="AF1557" i="28"/>
  <c r="AF1555" i="28"/>
  <c r="AF1553" i="28"/>
  <c r="AF1551" i="28"/>
  <c r="AF1549" i="28"/>
  <c r="AF1547" i="28"/>
  <c r="AF1545" i="28"/>
  <c r="AF1543" i="28"/>
  <c r="AF1540" i="28"/>
  <c r="AF1538" i="28"/>
  <c r="AF1536" i="28"/>
  <c r="AF1534" i="28"/>
  <c r="AF1532" i="28"/>
  <c r="AF1530" i="28"/>
  <c r="AF1528" i="28"/>
  <c r="AF1526" i="28"/>
  <c r="AF1524" i="28"/>
  <c r="AF1521" i="28"/>
  <c r="AF1518" i="28"/>
  <c r="AF1516" i="28"/>
  <c r="AF1514" i="28"/>
  <c r="AF1512" i="28"/>
  <c r="AF1510" i="28"/>
  <c r="AF1508" i="28"/>
  <c r="AF1506" i="28"/>
  <c r="AF1503" i="28"/>
  <c r="AF1501" i="28"/>
  <c r="AF1499" i="28"/>
  <c r="AF1497" i="28"/>
  <c r="AF1495" i="28"/>
  <c r="AF1493" i="28"/>
  <c r="AF1491" i="28"/>
  <c r="AF1489" i="28"/>
  <c r="AF1487" i="28"/>
  <c r="AF1485" i="28"/>
  <c r="AF1483" i="28"/>
  <c r="AF1481" i="28"/>
  <c r="AF1479" i="28"/>
  <c r="AF1476" i="28"/>
  <c r="AF1472" i="28"/>
  <c r="AF1470" i="28"/>
  <c r="AF1468" i="28"/>
  <c r="AF1466" i="28"/>
  <c r="AF1464" i="28"/>
  <c r="AF1462" i="28"/>
  <c r="AF1460" i="28"/>
  <c r="AF1458" i="28"/>
  <c r="AF1456" i="28"/>
  <c r="AF1453" i="28"/>
  <c r="AF1451" i="28"/>
  <c r="AF1449" i="28"/>
  <c r="AF1446" i="28"/>
  <c r="AF1443" i="28"/>
  <c r="AF1438" i="28"/>
  <c r="AF1436" i="28"/>
  <c r="AF1434" i="28"/>
  <c r="AF1432" i="28"/>
  <c r="AF1430" i="28"/>
  <c r="AF1428" i="28"/>
  <c r="AF1426" i="28"/>
  <c r="AF1423" i="28"/>
  <c r="AF1421" i="28"/>
  <c r="AF1419" i="28"/>
  <c r="AF1417" i="28"/>
  <c r="AF1415" i="28"/>
  <c r="AF1413" i="28"/>
  <c r="AF1411" i="28"/>
  <c r="AF1409" i="28"/>
  <c r="AF1407" i="28"/>
  <c r="AF1405" i="28"/>
  <c r="AF1403" i="28"/>
  <c r="AF1401" i="28"/>
  <c r="AF1399" i="28"/>
  <c r="AF1397" i="28"/>
  <c r="AF1395" i="28"/>
  <c r="AF1393" i="28"/>
  <c r="AH1393" i="28" s="1"/>
  <c r="AF1388" i="28"/>
  <c r="AF1385" i="28"/>
  <c r="AF1383" i="28"/>
  <c r="AF1381" i="28"/>
  <c r="AF1377" i="28"/>
  <c r="AF1375" i="28"/>
  <c r="AF1371" i="28"/>
  <c r="AF1368" i="28"/>
  <c r="AF1364" i="28"/>
  <c r="AF1361" i="28"/>
  <c r="AF1359" i="28"/>
  <c r="AF1357" i="28"/>
  <c r="AF1355" i="28"/>
  <c r="AF1353" i="28"/>
  <c r="AF1351" i="28"/>
  <c r="AF1349" i="28"/>
  <c r="AF1347" i="28"/>
  <c r="AF1345" i="28"/>
  <c r="AF1343" i="28"/>
  <c r="AF1341" i="28"/>
  <c r="AF1339" i="28"/>
  <c r="AF1337" i="28"/>
  <c r="AF1335" i="28"/>
  <c r="AF1333" i="28"/>
  <c r="AF1330" i="28"/>
  <c r="AF1328" i="28"/>
  <c r="AF979" i="44"/>
  <c r="AH1404" i="44"/>
  <c r="AG1404" i="44"/>
  <c r="AF390" i="44" l="1"/>
  <c r="AF1047" i="44"/>
  <c r="AH1396" i="44"/>
  <c r="AG1396" i="44"/>
  <c r="Z1396" i="44"/>
  <c r="AH1395" i="44"/>
  <c r="AG1395" i="44"/>
  <c r="Z1395" i="44" l="1"/>
  <c r="AH1056" i="28"/>
  <c r="AH1058" i="44"/>
  <c r="AG1058" i="44"/>
  <c r="Z1058" i="44"/>
  <c r="AH996" i="28"/>
  <c r="A996" i="28"/>
  <c r="B996" i="28"/>
  <c r="C996" i="28"/>
  <c r="D996" i="28"/>
  <c r="AH998" i="44"/>
  <c r="AG998" i="44"/>
  <c r="Z998" i="44"/>
  <c r="R749" i="28"/>
  <c r="O749" i="28"/>
  <c r="L749" i="28"/>
  <c r="I749" i="28"/>
  <c r="F749" i="28"/>
  <c r="R748" i="28"/>
  <c r="O748" i="28"/>
  <c r="L748" i="28"/>
  <c r="I748" i="28"/>
  <c r="F748" i="28"/>
  <c r="AH749" i="28"/>
  <c r="AH748" i="28"/>
  <c r="AH751" i="44"/>
  <c r="AG751" i="44"/>
  <c r="Z751" i="44"/>
  <c r="Z750" i="44"/>
  <c r="X750" i="44" s="1"/>
  <c r="U750" i="44"/>
  <c r="R750" i="44"/>
  <c r="O750" i="44"/>
  <c r="L750" i="44"/>
  <c r="I750" i="44"/>
  <c r="F750" i="44"/>
  <c r="C750" i="44"/>
  <c r="AH750" i="44"/>
  <c r="AG750" i="44"/>
  <c r="AH441" i="28"/>
  <c r="A441" i="28"/>
  <c r="Z441" i="44"/>
  <c r="AH441" i="44"/>
  <c r="AG441" i="44"/>
  <c r="AH440" i="28"/>
  <c r="A440" i="28"/>
  <c r="Z440" i="44"/>
  <c r="X440" i="44" s="1"/>
  <c r="AH440" i="44"/>
  <c r="AG440" i="44"/>
  <c r="AH439" i="28"/>
  <c r="A439" i="28"/>
  <c r="Z439" i="44"/>
  <c r="X439" i="44" s="1"/>
  <c r="AH439" i="44"/>
  <c r="AG439" i="44"/>
  <c r="AH430" i="28"/>
  <c r="A430" i="28"/>
  <c r="Z430" i="44"/>
  <c r="X430" i="44" s="1"/>
  <c r="U430" i="44"/>
  <c r="R430" i="44"/>
  <c r="O430" i="44"/>
  <c r="L430" i="44"/>
  <c r="I430" i="44"/>
  <c r="F430" i="44"/>
  <c r="C430" i="44"/>
  <c r="AH430" i="44"/>
  <c r="AG430" i="44"/>
  <c r="AH262" i="28"/>
  <c r="AH293" i="44"/>
  <c r="AG293" i="44"/>
  <c r="AH293" i="28"/>
  <c r="A293" i="28"/>
  <c r="B293" i="28"/>
  <c r="C293" i="28"/>
  <c r="D293" i="28"/>
  <c r="Z293" i="44"/>
  <c r="AH262" i="44"/>
  <c r="AG262" i="44"/>
  <c r="A262" i="28"/>
  <c r="B262" i="28"/>
  <c r="C262" i="28"/>
  <c r="D262" i="28"/>
  <c r="Z262" i="44"/>
  <c r="I10" i="47" l="1"/>
  <c r="N10" i="47"/>
  <c r="S8" i="37" l="1"/>
  <c r="S10" i="37"/>
  <c r="J33" i="32"/>
  <c r="H33" i="32"/>
  <c r="G33" i="32"/>
  <c r="G20" i="41"/>
  <c r="H19" i="41"/>
  <c r="AI50" i="31" l="1"/>
  <c r="AH50" i="31"/>
  <c r="AI52" i="31"/>
  <c r="AH52" i="31"/>
  <c r="AH47" i="31"/>
  <c r="AE47" i="31"/>
  <c r="AH46" i="31"/>
  <c r="AE46" i="31"/>
  <c r="AH45" i="31"/>
  <c r="AE45" i="31"/>
  <c r="AE52" i="31"/>
  <c r="E52" i="31" s="1"/>
  <c r="AE50" i="31"/>
  <c r="E50" i="31"/>
  <c r="E40" i="31"/>
  <c r="D51" i="31"/>
  <c r="E51" i="31"/>
  <c r="E47" i="31"/>
  <c r="E46" i="31"/>
  <c r="E45" i="31"/>
  <c r="F52" i="31"/>
  <c r="J52" i="31"/>
  <c r="AK52" i="31"/>
  <c r="AJ52" i="31"/>
  <c r="AG52" i="31"/>
  <c r="AF52" i="31"/>
  <c r="AD52" i="31"/>
  <c r="AC52" i="31"/>
  <c r="AB52" i="31"/>
  <c r="AA52" i="31"/>
  <c r="Z52" i="31"/>
  <c r="Y52" i="31"/>
  <c r="X52" i="31"/>
  <c r="W52" i="31"/>
  <c r="V52" i="31"/>
  <c r="U52" i="31"/>
  <c r="T52" i="31"/>
  <c r="S52" i="31"/>
  <c r="R52" i="31"/>
  <c r="Q52" i="31"/>
  <c r="P52" i="31"/>
  <c r="O52" i="31"/>
  <c r="N52" i="31"/>
  <c r="M52" i="31"/>
  <c r="L52" i="31"/>
  <c r="K52" i="31"/>
  <c r="I52" i="31"/>
  <c r="H52" i="31"/>
  <c r="G52" i="31"/>
  <c r="J50" i="31"/>
  <c r="AK50" i="31"/>
  <c r="AJ50" i="31"/>
  <c r="AG50" i="31"/>
  <c r="AF50" i="31"/>
  <c r="AD50" i="31"/>
  <c r="AC50" i="31"/>
  <c r="AB50" i="31"/>
  <c r="AA50" i="31"/>
  <c r="Z50" i="31"/>
  <c r="Y50" i="31"/>
  <c r="X50" i="31"/>
  <c r="W50" i="31"/>
  <c r="V50" i="31"/>
  <c r="U50" i="31"/>
  <c r="T50" i="31"/>
  <c r="S50" i="31"/>
  <c r="R50" i="31"/>
  <c r="Q50" i="31"/>
  <c r="P50" i="31"/>
  <c r="O50" i="31"/>
  <c r="N50" i="31"/>
  <c r="M50" i="31"/>
  <c r="L50" i="31"/>
  <c r="K50" i="31"/>
  <c r="I50" i="31"/>
  <c r="H50" i="31"/>
  <c r="G50" i="31"/>
  <c r="F50" i="31"/>
  <c r="J47" i="31"/>
  <c r="AK47" i="31"/>
  <c r="AJ47" i="31"/>
  <c r="AI47" i="31"/>
  <c r="AG47" i="31"/>
  <c r="AF47" i="31"/>
  <c r="AD47" i="31"/>
  <c r="AC47" i="31"/>
  <c r="AB47" i="31"/>
  <c r="AA47" i="31"/>
  <c r="Z47" i="31"/>
  <c r="Y47" i="31"/>
  <c r="X47" i="31"/>
  <c r="W47" i="31"/>
  <c r="V47" i="31"/>
  <c r="U47" i="31"/>
  <c r="T46" i="31"/>
  <c r="S47" i="31"/>
  <c r="R47" i="31"/>
  <c r="Q47" i="31"/>
  <c r="P47" i="31"/>
  <c r="O47" i="31"/>
  <c r="N47" i="31"/>
  <c r="M47" i="31"/>
  <c r="L47" i="31"/>
  <c r="K47" i="31"/>
  <c r="I47" i="31"/>
  <c r="H47" i="31"/>
  <c r="G47" i="31"/>
  <c r="F47" i="31"/>
  <c r="T47" i="31"/>
  <c r="AK46" i="31"/>
  <c r="AJ46" i="31"/>
  <c r="AI46" i="31"/>
  <c r="J46" i="31"/>
  <c r="AG46" i="31"/>
  <c r="AF46" i="31"/>
  <c r="AD46" i="31"/>
  <c r="AC46" i="31"/>
  <c r="AB46" i="31"/>
  <c r="AA46" i="31"/>
  <c r="Z46" i="31"/>
  <c r="Y46" i="31"/>
  <c r="X46" i="31"/>
  <c r="W46" i="31"/>
  <c r="V46" i="31"/>
  <c r="U46" i="31"/>
  <c r="S46" i="31"/>
  <c r="R46" i="31"/>
  <c r="Q46" i="31"/>
  <c r="P46" i="31"/>
  <c r="O46" i="31"/>
  <c r="N46" i="31"/>
  <c r="M46" i="31"/>
  <c r="L46" i="31"/>
  <c r="K46" i="31"/>
  <c r="I46" i="31"/>
  <c r="H46" i="31"/>
  <c r="G46" i="31"/>
  <c r="F46" i="31"/>
  <c r="J45" i="31"/>
  <c r="AK45" i="31"/>
  <c r="AJ45" i="31"/>
  <c r="AI45" i="31"/>
  <c r="AF45" i="31"/>
  <c r="AD45" i="31"/>
  <c r="AC45" i="31"/>
  <c r="AB45" i="31"/>
  <c r="AA45" i="31"/>
  <c r="Z45" i="31"/>
  <c r="Y45" i="31"/>
  <c r="X45" i="31"/>
  <c r="W45" i="31"/>
  <c r="V45" i="31"/>
  <c r="U45" i="31"/>
  <c r="T45" i="31"/>
  <c r="S45" i="31"/>
  <c r="R45" i="31"/>
  <c r="Q45" i="31"/>
  <c r="P45" i="31"/>
  <c r="O45" i="31"/>
  <c r="N45" i="31"/>
  <c r="M45" i="31"/>
  <c r="L45" i="31"/>
  <c r="K45" i="31"/>
  <c r="I45" i="31"/>
  <c r="H45" i="31"/>
  <c r="G45" i="31"/>
  <c r="F45" i="31"/>
  <c r="AF8" i="37" l="1"/>
  <c r="AF16" i="37"/>
  <c r="F8" i="41"/>
  <c r="AH19" i="41"/>
  <c r="AL19" i="41"/>
  <c r="F43" i="41"/>
  <c r="F32" i="41"/>
  <c r="F35" i="32"/>
  <c r="F32" i="32"/>
  <c r="F31" i="32"/>
  <c r="F8" i="32"/>
  <c r="E8" i="31"/>
  <c r="E37" i="31"/>
  <c r="E36" i="31"/>
  <c r="E35" i="31"/>
  <c r="E32" i="31"/>
  <c r="E31" i="31"/>
  <c r="E30" i="31"/>
  <c r="E27" i="31"/>
  <c r="E26" i="31"/>
  <c r="E18" i="31"/>
  <c r="E15" i="31"/>
  <c r="E13" i="31"/>
  <c r="E12" i="31"/>
  <c r="V22" i="47" l="1"/>
  <c r="V17" i="47"/>
  <c r="E80" i="48" l="1"/>
  <c r="E71" i="48"/>
  <c r="E63" i="48"/>
  <c r="E72" i="48" s="1"/>
  <c r="E53" i="48"/>
  <c r="E44" i="48"/>
  <c r="E54" i="48" s="1"/>
  <c r="E39" i="48"/>
  <c r="E33" i="48"/>
  <c r="E34" i="48" s="1"/>
  <c r="E20" i="48"/>
  <c r="N20" i="47"/>
  <c r="E76" i="48" l="1"/>
  <c r="E78" i="48" s="1"/>
  <c r="U35" i="32"/>
  <c r="G35" i="32"/>
  <c r="AL31" i="32"/>
  <c r="AK31" i="32"/>
  <c r="AJ31" i="32"/>
  <c r="AI31" i="32"/>
  <c r="AH31" i="32"/>
  <c r="AG31" i="32"/>
  <c r="AF31" i="32"/>
  <c r="AE31" i="32"/>
  <c r="AD31" i="32"/>
  <c r="AC31" i="32"/>
  <c r="AB31" i="32"/>
  <c r="AA31" i="32"/>
  <c r="Z31" i="32"/>
  <c r="Y31" i="32"/>
  <c r="X31" i="32"/>
  <c r="W31" i="32"/>
  <c r="V31" i="32"/>
  <c r="U31" i="32"/>
  <c r="T31" i="32"/>
  <c r="S31" i="32"/>
  <c r="R31" i="32"/>
  <c r="Q31" i="32"/>
  <c r="P31" i="32"/>
  <c r="O31" i="32"/>
  <c r="N31" i="32"/>
  <c r="M31" i="32"/>
  <c r="L31" i="32"/>
  <c r="K31" i="32"/>
  <c r="J31" i="32"/>
  <c r="I31" i="32"/>
  <c r="H31" i="32"/>
  <c r="G31" i="32"/>
  <c r="AH18" i="32" l="1"/>
  <c r="AH15" i="32"/>
  <c r="AL15" i="32"/>
  <c r="G31" i="31"/>
  <c r="AC31" i="31"/>
  <c r="AB31" i="31"/>
  <c r="U31" i="31"/>
  <c r="Q31" i="31"/>
  <c r="O31" i="31"/>
  <c r="N31" i="31"/>
  <c r="H31" i="31"/>
  <c r="N17" i="36" l="1"/>
  <c r="M17" i="36"/>
  <c r="AJ26" i="37"/>
  <c r="AH12" i="37"/>
  <c r="AG12" i="37"/>
  <c r="AD10" i="37"/>
  <c r="AD8" i="37"/>
  <c r="AC8" i="37"/>
  <c r="AB8" i="37"/>
  <c r="U8" i="37"/>
  <c r="G18" i="37"/>
  <c r="C89" i="31" l="1"/>
  <c r="AJ89" i="31"/>
  <c r="AN86" i="31"/>
  <c r="AN87" i="31" s="1"/>
  <c r="AN89" i="31" s="1"/>
  <c r="AM86" i="31"/>
  <c r="AM87" i="31" s="1"/>
  <c r="AM89" i="31" s="1"/>
  <c r="AL86" i="31"/>
  <c r="AL87" i="31" s="1"/>
  <c r="AL89" i="31" s="1"/>
  <c r="AK86" i="31"/>
  <c r="AK87" i="31" s="1"/>
  <c r="AK89" i="31" s="1"/>
  <c r="AI86" i="31"/>
  <c r="AI87" i="31" s="1"/>
  <c r="AI89" i="31" s="1"/>
  <c r="AH86" i="31"/>
  <c r="AH87" i="31" s="1"/>
  <c r="AH89" i="31" s="1"/>
  <c r="AG86" i="31"/>
  <c r="AG87" i="31" s="1"/>
  <c r="AG89" i="31" s="1"/>
  <c r="AF86" i="31"/>
  <c r="AF87" i="31" s="1"/>
  <c r="AF89" i="31" s="1"/>
  <c r="AE86" i="31"/>
  <c r="AE87" i="31" s="1"/>
  <c r="AE89" i="31" s="1"/>
  <c r="AD86" i="31"/>
  <c r="AD87" i="31" s="1"/>
  <c r="AD89" i="31" s="1"/>
  <c r="AC86" i="31"/>
  <c r="AC87" i="31" s="1"/>
  <c r="AC89" i="31" s="1"/>
  <c r="AB86" i="31"/>
  <c r="AB87" i="31" s="1"/>
  <c r="AB89" i="31" s="1"/>
  <c r="AA86" i="31"/>
  <c r="AA87" i="31" s="1"/>
  <c r="AA89" i="31" s="1"/>
  <c r="Z86" i="31"/>
  <c r="Z87" i="31" s="1"/>
  <c r="Z89" i="31" s="1"/>
  <c r="Y86" i="31"/>
  <c r="Y87" i="31" s="1"/>
  <c r="Y89" i="31" s="1"/>
  <c r="X86" i="31"/>
  <c r="X87" i="31" s="1"/>
  <c r="X89" i="31" s="1"/>
  <c r="W86" i="31"/>
  <c r="W87" i="31" s="1"/>
  <c r="W89" i="31" s="1"/>
  <c r="V86" i="31"/>
  <c r="V87" i="31" s="1"/>
  <c r="V89" i="31" s="1"/>
  <c r="U86" i="31"/>
  <c r="T86" i="31"/>
  <c r="S86" i="31"/>
  <c r="R86" i="31"/>
  <c r="Q86" i="31"/>
  <c r="P86" i="31"/>
  <c r="O86" i="31"/>
  <c r="N86" i="31"/>
  <c r="M86" i="31"/>
  <c r="L86" i="31"/>
  <c r="L87" i="31" s="1"/>
  <c r="L89" i="31" s="1"/>
  <c r="K86" i="31"/>
  <c r="J86" i="31"/>
  <c r="I86" i="31"/>
  <c r="H86" i="31"/>
  <c r="S85" i="31"/>
  <c r="J85" i="31"/>
  <c r="G85" i="31" s="1"/>
  <c r="F85" i="31"/>
  <c r="AG30" i="31" l="1"/>
  <c r="AJ32" i="31"/>
  <c r="AI32" i="31"/>
  <c r="AE32" i="31"/>
  <c r="AC32" i="31"/>
  <c r="AB32" i="31"/>
  <c r="U32" i="31"/>
  <c r="AL24" i="31"/>
  <c r="AJ21" i="35"/>
  <c r="AI21" i="35"/>
  <c r="AH21" i="35"/>
  <c r="AG21" i="35"/>
  <c r="AF21" i="35"/>
  <c r="AE21" i="35"/>
  <c r="AD21" i="35"/>
  <c r="AC21" i="35"/>
  <c r="AB21" i="35"/>
  <c r="AA21" i="35"/>
  <c r="Z21" i="35"/>
  <c r="Y21" i="35"/>
  <c r="X21" i="35"/>
  <c r="W21" i="35"/>
  <c r="V21" i="35"/>
  <c r="U21" i="35"/>
  <c r="T21" i="35"/>
  <c r="S21" i="35"/>
  <c r="R21" i="35"/>
  <c r="Q21" i="35"/>
  <c r="P21" i="35"/>
  <c r="O21" i="35"/>
  <c r="N21" i="35"/>
  <c r="M21" i="35"/>
  <c r="L21" i="35"/>
  <c r="K21" i="35"/>
  <c r="J21" i="35"/>
  <c r="I21" i="35"/>
  <c r="H21" i="35"/>
  <c r="G21" i="35"/>
  <c r="F21" i="35"/>
  <c r="AJ17" i="35"/>
  <c r="AI17" i="35"/>
  <c r="AH17" i="35"/>
  <c r="AG17" i="35"/>
  <c r="AF17" i="35"/>
  <c r="AE17" i="35"/>
  <c r="AD17" i="35"/>
  <c r="AC17" i="35"/>
  <c r="AB17" i="35"/>
  <c r="AA17" i="35"/>
  <c r="Z17" i="35"/>
  <c r="Y17" i="35"/>
  <c r="X17" i="35"/>
  <c r="W17" i="35"/>
  <c r="V17" i="35"/>
  <c r="U17" i="35"/>
  <c r="T17" i="35"/>
  <c r="S17" i="35"/>
  <c r="R17" i="35"/>
  <c r="Q17" i="35"/>
  <c r="P17" i="35"/>
  <c r="O17" i="35"/>
  <c r="N17" i="35"/>
  <c r="M17" i="35"/>
  <c r="L17" i="35"/>
  <c r="K17" i="35"/>
  <c r="J17" i="35"/>
  <c r="I17" i="35"/>
  <c r="H17" i="35"/>
  <c r="G17" i="35"/>
  <c r="F17" i="35"/>
  <c r="AJ13" i="35"/>
  <c r="AI13" i="35"/>
  <c r="AH13" i="35"/>
  <c r="AG13" i="35"/>
  <c r="AF13" i="35"/>
  <c r="AE13" i="35"/>
  <c r="AD13" i="35"/>
  <c r="AC13" i="35"/>
  <c r="AB13" i="35"/>
  <c r="AA13" i="35"/>
  <c r="Z13" i="35"/>
  <c r="Y13" i="35"/>
  <c r="X13" i="35"/>
  <c r="W13" i="35"/>
  <c r="V13" i="35"/>
  <c r="U13" i="35"/>
  <c r="T13" i="35"/>
  <c r="S13" i="35"/>
  <c r="R13" i="35"/>
  <c r="Q13" i="35"/>
  <c r="P13" i="35"/>
  <c r="O13" i="35"/>
  <c r="N13" i="35"/>
  <c r="M13" i="35"/>
  <c r="L13" i="35"/>
  <c r="K13" i="35"/>
  <c r="J13" i="35"/>
  <c r="I13" i="35"/>
  <c r="H13" i="35"/>
  <c r="G13" i="35"/>
  <c r="F13" i="35"/>
  <c r="E49" i="35"/>
  <c r="E47" i="35"/>
  <c r="E45" i="35"/>
  <c r="L42" i="34"/>
  <c r="L43" i="34" s="1"/>
  <c r="L29" i="34" s="1"/>
  <c r="K42" i="34"/>
  <c r="K43" i="34" s="1"/>
  <c r="K29" i="34" s="1"/>
  <c r="J42" i="34"/>
  <c r="J43" i="34" s="1"/>
  <c r="J29" i="34" s="1"/>
  <c r="I42" i="34"/>
  <c r="I43" i="34" s="1"/>
  <c r="I29" i="34" s="1"/>
  <c r="H42" i="34"/>
  <c r="E42" i="34" s="1"/>
  <c r="E41" i="34"/>
  <c r="AL53" i="41"/>
  <c r="AL44" i="41" s="1"/>
  <c r="AK53" i="41"/>
  <c r="AK44" i="41" s="1"/>
  <c r="AJ53" i="41"/>
  <c r="AJ44" i="41" s="1"/>
  <c r="AI53" i="41"/>
  <c r="AI44" i="41" s="1"/>
  <c r="AH53" i="41"/>
  <c r="AH44" i="41" s="1"/>
  <c r="AG53" i="41"/>
  <c r="AG44" i="41" s="1"/>
  <c r="AF53" i="41"/>
  <c r="AF44" i="41" s="1"/>
  <c r="AE53" i="41"/>
  <c r="AE44" i="41" s="1"/>
  <c r="AD53" i="41"/>
  <c r="AD44" i="41" s="1"/>
  <c r="AC53" i="41"/>
  <c r="AC44" i="41" s="1"/>
  <c r="AB53" i="41"/>
  <c r="AB44" i="41" s="1"/>
  <c r="AA53" i="41"/>
  <c r="AA44" i="41" s="1"/>
  <c r="Z53" i="41"/>
  <c r="Z44" i="41" s="1"/>
  <c r="Y53" i="41"/>
  <c r="Y44" i="41" s="1"/>
  <c r="X53" i="41"/>
  <c r="X44" i="41" s="1"/>
  <c r="W53" i="41"/>
  <c r="W44" i="41" s="1"/>
  <c r="V53" i="41"/>
  <c r="V44" i="41" s="1"/>
  <c r="U53" i="41"/>
  <c r="U44" i="41" s="1"/>
  <c r="T53" i="41"/>
  <c r="T44" i="41" s="1"/>
  <c r="S53" i="41"/>
  <c r="S44" i="41" s="1"/>
  <c r="R53" i="41"/>
  <c r="R44" i="41" s="1"/>
  <c r="Q53" i="41"/>
  <c r="Q44" i="41" s="1"/>
  <c r="P53" i="41"/>
  <c r="P44" i="41" s="1"/>
  <c r="O53" i="41"/>
  <c r="O44" i="41" s="1"/>
  <c r="N53" i="41"/>
  <c r="N44" i="41" s="1"/>
  <c r="M53" i="41"/>
  <c r="M44" i="41" s="1"/>
  <c r="L53" i="41"/>
  <c r="L44" i="41" s="1"/>
  <c r="K53" i="41"/>
  <c r="K44" i="41" s="1"/>
  <c r="J53" i="41"/>
  <c r="J44" i="41" s="1"/>
  <c r="I53" i="41"/>
  <c r="I44" i="41" s="1"/>
  <c r="H53" i="41"/>
  <c r="H44" i="41" s="1"/>
  <c r="G53" i="41"/>
  <c r="G44" i="41" s="1"/>
  <c r="F44" i="41" s="1"/>
  <c r="E52" i="41"/>
  <c r="H43" i="34" l="1"/>
  <c r="E53" i="41"/>
  <c r="H29" i="34" l="1"/>
  <c r="E43" i="34"/>
  <c r="AG1749" i="28"/>
  <c r="AG1391" i="28"/>
  <c r="AG1388" i="28"/>
  <c r="AG1385" i="28"/>
  <c r="G36" i="31" l="1"/>
  <c r="F35" i="31"/>
  <c r="U35" i="31"/>
  <c r="AE35" i="31"/>
  <c r="F13" i="31"/>
  <c r="AJ13" i="31"/>
  <c r="K17" i="36" s="1"/>
  <c r="AI13" i="31"/>
  <c r="I17" i="36" s="1"/>
  <c r="AE15" i="31"/>
  <c r="AE13" i="31"/>
  <c r="AC15" i="31"/>
  <c r="AC13" i="31"/>
  <c r="AB13" i="31"/>
  <c r="U15" i="31"/>
  <c r="U13" i="31"/>
  <c r="S13" i="31"/>
  <c r="N273" i="49"/>
  <c r="M273" i="49"/>
  <c r="L273" i="49"/>
  <c r="K273" i="49"/>
  <c r="J273" i="49"/>
  <c r="I273" i="49"/>
  <c r="H273" i="49"/>
  <c r="G273" i="49"/>
  <c r="F273" i="49"/>
  <c r="E273" i="49"/>
  <c r="D273" i="49"/>
  <c r="C273" i="49"/>
  <c r="O272" i="49"/>
  <c r="O271" i="49"/>
  <c r="O270" i="49"/>
  <c r="O269" i="49"/>
  <c r="A269" i="49"/>
  <c r="O268" i="49"/>
  <c r="A268" i="49"/>
  <c r="O267" i="49"/>
  <c r="A267" i="49"/>
  <c r="O266" i="49"/>
  <c r="A266" i="49"/>
  <c r="O265" i="49"/>
  <c r="A265" i="49"/>
  <c r="O264" i="49"/>
  <c r="A264" i="49"/>
  <c r="O263" i="49"/>
  <c r="A263" i="49"/>
  <c r="O262" i="49"/>
  <c r="O273" i="49" s="1"/>
  <c r="A262" i="49"/>
  <c r="I25" i="41" s="1"/>
  <c r="H24" i="31" s="1"/>
  <c r="O103" i="49"/>
  <c r="O104" i="49"/>
  <c r="O105" i="49"/>
  <c r="O106" i="49"/>
  <c r="O107" i="49"/>
  <c r="O108" i="49"/>
  <c r="O109" i="49"/>
  <c r="O110" i="49"/>
  <c r="O111" i="49"/>
  <c r="O112" i="49"/>
  <c r="O113" i="49"/>
  <c r="O114" i="49"/>
  <c r="O115" i="49"/>
  <c r="O116" i="49"/>
  <c r="O117" i="49"/>
  <c r="O118" i="49"/>
  <c r="O119" i="49"/>
  <c r="O120" i="49"/>
  <c r="O121" i="49"/>
  <c r="O122" i="49"/>
  <c r="O102" i="49"/>
  <c r="A26" i="49"/>
  <c r="A27" i="49"/>
  <c r="A28" i="49"/>
  <c r="A29" i="49"/>
  <c r="A30" i="49"/>
  <c r="A31" i="49"/>
  <c r="C87" i="31" l="1"/>
  <c r="AC83" i="31" s="1"/>
  <c r="AC82" i="31" s="1"/>
  <c r="AE83" i="31"/>
  <c r="AE82" i="31" s="1"/>
  <c r="C88" i="31"/>
  <c r="AJ83" i="31" s="1"/>
  <c r="AJ82" i="31" s="1"/>
  <c r="C86" i="31"/>
  <c r="F83" i="31" s="1"/>
  <c r="F82" i="31" s="1"/>
  <c r="AL25" i="41"/>
  <c r="AK24" i="31" s="1"/>
  <c r="AJ25" i="41"/>
  <c r="AI24" i="31" s="1"/>
  <c r="AH25" i="41"/>
  <c r="AG24" i="31" s="1"/>
  <c r="AF25" i="41"/>
  <c r="AE24" i="31" s="1"/>
  <c r="AD25" i="41"/>
  <c r="AC24" i="31" s="1"/>
  <c r="AB25" i="41"/>
  <c r="AA24" i="31" s="1"/>
  <c r="Z25" i="41"/>
  <c r="Y24" i="31" s="1"/>
  <c r="X25" i="41"/>
  <c r="W24" i="31" s="1"/>
  <c r="V25" i="41"/>
  <c r="U24" i="31" s="1"/>
  <c r="T25" i="41"/>
  <c r="S24" i="31" s="1"/>
  <c r="R25" i="41"/>
  <c r="Q24" i="31" s="1"/>
  <c r="P25" i="41"/>
  <c r="O24" i="31" s="1"/>
  <c r="N25" i="41"/>
  <c r="M24" i="31" s="1"/>
  <c r="L25" i="41"/>
  <c r="K24" i="31" s="1"/>
  <c r="J25" i="41"/>
  <c r="I24" i="31" s="1"/>
  <c r="H25" i="41"/>
  <c r="G24" i="31" s="1"/>
  <c r="G25" i="41"/>
  <c r="AK25" i="41"/>
  <c r="AJ24" i="31" s="1"/>
  <c r="AI25" i="41"/>
  <c r="AH24" i="31" s="1"/>
  <c r="AG25" i="41"/>
  <c r="AF24" i="31" s="1"/>
  <c r="AE25" i="41"/>
  <c r="AD24" i="31" s="1"/>
  <c r="AC25" i="41"/>
  <c r="AB24" i="31" s="1"/>
  <c r="AA25" i="41"/>
  <c r="Z24" i="31" s="1"/>
  <c r="Y25" i="41"/>
  <c r="X24" i="31" s="1"/>
  <c r="W25" i="41"/>
  <c r="V24" i="31" s="1"/>
  <c r="U25" i="41"/>
  <c r="T24" i="31" s="1"/>
  <c r="S25" i="41"/>
  <c r="R24" i="31" s="1"/>
  <c r="Q25" i="41"/>
  <c r="P24" i="31" s="1"/>
  <c r="O25" i="41"/>
  <c r="N24" i="31" s="1"/>
  <c r="M25" i="41"/>
  <c r="L24" i="31" s="1"/>
  <c r="K25" i="41"/>
  <c r="J24" i="31" s="1"/>
  <c r="N176" i="49"/>
  <c r="M176" i="49"/>
  <c r="L176" i="49"/>
  <c r="K176" i="49"/>
  <c r="J176" i="49"/>
  <c r="I176" i="49"/>
  <c r="H176" i="49"/>
  <c r="G176" i="49"/>
  <c r="F176" i="49"/>
  <c r="E176" i="49"/>
  <c r="D176" i="49"/>
  <c r="C176" i="49"/>
  <c r="O175" i="49"/>
  <c r="O174" i="49"/>
  <c r="O173" i="49"/>
  <c r="A173" i="49"/>
  <c r="O172" i="49"/>
  <c r="A172" i="49"/>
  <c r="O171" i="49"/>
  <c r="A171" i="49"/>
  <c r="O170" i="49"/>
  <c r="A170" i="49"/>
  <c r="F23" i="50"/>
  <c r="E23" i="50"/>
  <c r="D23" i="50"/>
  <c r="C23" i="50"/>
  <c r="D163" i="49"/>
  <c r="E163" i="49"/>
  <c r="F163" i="49"/>
  <c r="G163" i="49"/>
  <c r="H163" i="49"/>
  <c r="I163" i="49"/>
  <c r="J163" i="49"/>
  <c r="K163" i="49"/>
  <c r="L163" i="49"/>
  <c r="M163" i="49"/>
  <c r="N163" i="49"/>
  <c r="C163" i="49"/>
  <c r="O160" i="49"/>
  <c r="O163" i="49" s="1"/>
  <c r="F24" i="31" l="1"/>
  <c r="F25" i="41"/>
  <c r="E24" i="31"/>
  <c r="O176" i="49"/>
  <c r="AI83" i="31"/>
  <c r="AI82" i="31" s="1"/>
  <c r="AA83" i="31"/>
  <c r="AA82" i="31" s="1"/>
  <c r="Y83" i="31"/>
  <c r="Y82" i="31" s="1"/>
  <c r="W83" i="31"/>
  <c r="W82" i="31" s="1"/>
  <c r="AF83" i="31"/>
  <c r="AF82" i="31" s="1"/>
  <c r="AD83" i="31"/>
  <c r="AD82" i="31" s="1"/>
  <c r="Z83" i="31"/>
  <c r="Z82" i="31" s="1"/>
  <c r="X83" i="31"/>
  <c r="X82" i="31" s="1"/>
  <c r="V83" i="31"/>
  <c r="V82" i="31" s="1"/>
  <c r="T83" i="31"/>
  <c r="T82" i="31" s="1"/>
  <c r="Q83" i="31"/>
  <c r="Q82" i="31" s="1"/>
  <c r="O83" i="31"/>
  <c r="O82" i="31" s="1"/>
  <c r="M83" i="31"/>
  <c r="M82" i="31" s="1"/>
  <c r="K83" i="31"/>
  <c r="K82" i="31" s="1"/>
  <c r="H83" i="31"/>
  <c r="H82" i="31" s="1"/>
  <c r="R83" i="31"/>
  <c r="R82" i="31" s="1"/>
  <c r="P83" i="31"/>
  <c r="P82" i="31" s="1"/>
  <c r="N83" i="31"/>
  <c r="N82" i="31" s="1"/>
  <c r="L83" i="31"/>
  <c r="L82" i="31" s="1"/>
  <c r="I83" i="31"/>
  <c r="I82" i="31" s="1"/>
  <c r="G83" i="31"/>
  <c r="G82" i="31" s="1"/>
  <c r="C90" i="31"/>
  <c r="J83" i="31"/>
  <c r="J82" i="31" s="1"/>
  <c r="AK83" i="31"/>
  <c r="AK82" i="31" s="1"/>
  <c r="AL83" i="31"/>
  <c r="AL82" i="31" s="1"/>
  <c r="S83" i="31"/>
  <c r="S82" i="31" s="1"/>
  <c r="AB83" i="31"/>
  <c r="AB82" i="31" s="1"/>
  <c r="U83" i="31"/>
  <c r="U82" i="31" s="1"/>
  <c r="D46" i="51"/>
  <c r="D32" i="51"/>
  <c r="E68" i="34"/>
  <c r="D242" i="49"/>
  <c r="D255" i="49"/>
  <c r="D82" i="31" l="1"/>
  <c r="D47" i="50"/>
  <c r="D49" i="50"/>
  <c r="D48" i="50"/>
  <c r="AG104" i="28" l="1"/>
  <c r="AG94" i="28"/>
  <c r="AG109" i="28" l="1"/>
  <c r="AG420" i="28"/>
  <c r="AG976" i="28" l="1"/>
  <c r="A1625" i="28" l="1"/>
  <c r="B1625" i="28"/>
  <c r="C1625" i="28"/>
  <c r="D1625" i="28"/>
  <c r="A1403" i="28"/>
  <c r="B1403" i="28"/>
  <c r="C1403" i="28"/>
  <c r="D1403" i="28"/>
  <c r="R1384" i="28"/>
  <c r="R1383" i="28"/>
  <c r="R1382" i="28"/>
  <c r="X1384" i="28"/>
  <c r="X1383" i="28"/>
  <c r="X1382" i="28"/>
  <c r="A1384" i="28"/>
  <c r="B1384" i="28"/>
  <c r="C1384" i="28"/>
  <c r="D1384" i="28"/>
  <c r="A1383" i="28"/>
  <c r="B1383" i="28"/>
  <c r="C1383" i="28"/>
  <c r="D1383" i="28"/>
  <c r="A1382" i="28"/>
  <c r="B1382" i="28"/>
  <c r="C1382" i="28"/>
  <c r="D1382" i="28"/>
  <c r="A998" i="28"/>
  <c r="B998" i="28"/>
  <c r="C998" i="28"/>
  <c r="D998" i="28"/>
  <c r="A997" i="28"/>
  <c r="B997" i="28"/>
  <c r="C997" i="28"/>
  <c r="D997" i="28"/>
  <c r="AA69" i="28"/>
  <c r="AA68" i="28"/>
  <c r="A69" i="28"/>
  <c r="B69" i="28"/>
  <c r="C69" i="28"/>
  <c r="D69" i="28"/>
  <c r="Z1627" i="44"/>
  <c r="X1627" i="44" s="1"/>
  <c r="Z1405" i="44"/>
  <c r="Z1386" i="44"/>
  <c r="X1386" i="44" s="1"/>
  <c r="Z1385" i="44"/>
  <c r="X1385" i="44" s="1"/>
  <c r="Z1384" i="44"/>
  <c r="X1384" i="44" s="1"/>
  <c r="Z1000" i="44"/>
  <c r="Z999" i="44"/>
  <c r="Z69" i="44"/>
  <c r="AH1383" i="28" l="1"/>
  <c r="AH998" i="28"/>
  <c r="AH1625" i="28"/>
  <c r="AH1403" i="28"/>
  <c r="AH1384" i="28"/>
  <c r="AH1382" i="28"/>
  <c r="AH997" i="28"/>
  <c r="AH69" i="28"/>
  <c r="L26" i="34"/>
  <c r="K26" i="34"/>
  <c r="J26" i="34"/>
  <c r="I26" i="34"/>
  <c r="H26" i="34"/>
  <c r="D52" i="50"/>
  <c r="AG96" i="44" l="1"/>
  <c r="AH96" i="44"/>
  <c r="AG132" i="44"/>
  <c r="AH132" i="44"/>
  <c r="AG1399" i="44"/>
  <c r="AH1000" i="44"/>
  <c r="AG1000" i="44"/>
  <c r="AH1385" i="44"/>
  <c r="AG1385" i="44"/>
  <c r="AH69" i="44"/>
  <c r="Q593" i="39" s="1"/>
  <c r="AG69" i="44"/>
  <c r="AH999" i="44"/>
  <c r="AG999" i="44"/>
  <c r="AG1384" i="44"/>
  <c r="AH1384" i="44"/>
  <c r="AG1386" i="44"/>
  <c r="AH1386" i="44"/>
  <c r="AH1405" i="44"/>
  <c r="AG1405" i="44"/>
  <c r="AG1627" i="44"/>
  <c r="AH1627" i="44"/>
  <c r="A33" i="50"/>
  <c r="A32" i="50"/>
  <c r="A31" i="50"/>
  <c r="A30" i="50"/>
  <c r="O37" i="50"/>
  <c r="O36" i="50"/>
  <c r="O35" i="50"/>
  <c r="O34" i="50"/>
  <c r="O33" i="50"/>
  <c r="O32" i="50"/>
  <c r="O31" i="50"/>
  <c r="O30" i="50"/>
  <c r="D38" i="50"/>
  <c r="E38" i="50"/>
  <c r="F38" i="50"/>
  <c r="G38" i="50"/>
  <c r="H38" i="50"/>
  <c r="I38" i="50"/>
  <c r="J38" i="50"/>
  <c r="K38" i="50"/>
  <c r="L38" i="50"/>
  <c r="M38" i="50"/>
  <c r="N38" i="50"/>
  <c r="O38" i="50"/>
  <c r="C38" i="50"/>
  <c r="O22" i="50"/>
  <c r="O21" i="50"/>
  <c r="O20" i="50"/>
  <c r="O19" i="50"/>
  <c r="O18" i="50"/>
  <c r="O17" i="50"/>
  <c r="O16" i="50"/>
  <c r="O15" i="50"/>
  <c r="O14" i="50"/>
  <c r="O23" i="50" s="1"/>
  <c r="A17" i="50"/>
  <c r="A16" i="50"/>
  <c r="A15" i="50"/>
  <c r="A14" i="50"/>
  <c r="G23" i="50"/>
  <c r="H23" i="50"/>
  <c r="I23" i="50"/>
  <c r="J23" i="50"/>
  <c r="K23" i="50"/>
  <c r="L23" i="50"/>
  <c r="M23" i="50"/>
  <c r="N23" i="50"/>
  <c r="L20" i="34" l="1"/>
  <c r="J20" i="34"/>
  <c r="H20" i="34"/>
  <c r="I20" i="34"/>
  <c r="K20" i="34"/>
  <c r="A132" i="49" l="1"/>
  <c r="A133" i="49"/>
  <c r="A134" i="49"/>
  <c r="A135" i="49"/>
  <c r="A136" i="49"/>
  <c r="A137" i="49"/>
  <c r="A138" i="49"/>
  <c r="A139" i="49"/>
  <c r="A140" i="49"/>
  <c r="A141" i="49"/>
  <c r="A142" i="49"/>
  <c r="A143" i="49"/>
  <c r="A144" i="49"/>
  <c r="A131" i="49"/>
  <c r="O133" i="49"/>
  <c r="O134" i="49"/>
  <c r="O135" i="49"/>
  <c r="O136" i="49"/>
  <c r="O137" i="49"/>
  <c r="O138" i="49"/>
  <c r="O139" i="49"/>
  <c r="O140" i="49"/>
  <c r="O141" i="49"/>
  <c r="O142" i="49"/>
  <c r="O143" i="49"/>
  <c r="O144" i="49"/>
  <c r="O145" i="49"/>
  <c r="O146" i="49"/>
  <c r="O147" i="49"/>
  <c r="O148" i="49"/>
  <c r="O149" i="49"/>
  <c r="O150" i="49"/>
  <c r="O151" i="49"/>
  <c r="O152" i="49"/>
  <c r="O132" i="49"/>
  <c r="O131" i="49"/>
  <c r="I153" i="49"/>
  <c r="J153" i="49"/>
  <c r="K153" i="49"/>
  <c r="L153" i="49"/>
  <c r="M153" i="49"/>
  <c r="N153" i="49"/>
  <c r="O153" i="49"/>
  <c r="D153" i="49"/>
  <c r="E153" i="49"/>
  <c r="F153" i="49"/>
  <c r="G153" i="49"/>
  <c r="H153" i="49"/>
  <c r="C153" i="49"/>
  <c r="A103" i="49"/>
  <c r="A104" i="49"/>
  <c r="A105" i="49"/>
  <c r="A106" i="49"/>
  <c r="A107" i="49"/>
  <c r="A108" i="49"/>
  <c r="A109" i="49"/>
  <c r="A110" i="49"/>
  <c r="A111" i="49"/>
  <c r="A112" i="49"/>
  <c r="A113" i="49"/>
  <c r="A114" i="49"/>
  <c r="A102" i="49"/>
  <c r="O123" i="49"/>
  <c r="N123" i="49"/>
  <c r="M123" i="49"/>
  <c r="L123" i="49"/>
  <c r="K123" i="49"/>
  <c r="J123" i="49"/>
  <c r="I123" i="49"/>
  <c r="H123" i="49"/>
  <c r="G123" i="49"/>
  <c r="F123" i="49"/>
  <c r="E123" i="49"/>
  <c r="D123" i="49"/>
  <c r="C123" i="49"/>
  <c r="O69" i="49"/>
  <c r="O70" i="49"/>
  <c r="O71" i="49"/>
  <c r="O72" i="49"/>
  <c r="O73" i="49"/>
  <c r="O74" i="49"/>
  <c r="O75" i="49"/>
  <c r="O76" i="49"/>
  <c r="O77" i="49"/>
  <c r="O78" i="49"/>
  <c r="O79" i="49"/>
  <c r="O80" i="49"/>
  <c r="O81" i="49"/>
  <c r="O82" i="49"/>
  <c r="O83" i="49"/>
  <c r="O84" i="49"/>
  <c r="O85" i="49"/>
  <c r="O86" i="49"/>
  <c r="O87" i="49"/>
  <c r="O88" i="49"/>
  <c r="O89" i="49"/>
  <c r="O90" i="49"/>
  <c r="O91" i="49"/>
  <c r="O92" i="49"/>
  <c r="O93" i="49"/>
  <c r="O68" i="49"/>
  <c r="D94" i="49"/>
  <c r="E94" i="49"/>
  <c r="F94" i="49"/>
  <c r="G94" i="49"/>
  <c r="H94" i="49"/>
  <c r="I94" i="49"/>
  <c r="J94" i="49"/>
  <c r="K94" i="49"/>
  <c r="L94" i="49"/>
  <c r="M94" i="49"/>
  <c r="N94" i="49"/>
  <c r="O94" i="49"/>
  <c r="C94" i="49"/>
  <c r="A69" i="49"/>
  <c r="A70" i="49"/>
  <c r="A71" i="49"/>
  <c r="A72" i="49"/>
  <c r="A73" i="49"/>
  <c r="A74" i="49"/>
  <c r="A75" i="49"/>
  <c r="A76" i="49"/>
  <c r="A77" i="49"/>
  <c r="A78" i="49"/>
  <c r="A79" i="49"/>
  <c r="A80" i="49"/>
  <c r="A81" i="49"/>
  <c r="A82" i="49"/>
  <c r="A83" i="49"/>
  <c r="A84" i="49"/>
  <c r="A85" i="49"/>
  <c r="A68" i="49"/>
  <c r="O217" i="49"/>
  <c r="O218" i="49"/>
  <c r="O219" i="49"/>
  <c r="O220" i="49"/>
  <c r="O221" i="49"/>
  <c r="O222" i="49"/>
  <c r="O223" i="49"/>
  <c r="O224" i="49"/>
  <c r="O225" i="49"/>
  <c r="O226" i="49"/>
  <c r="O227" i="49"/>
  <c r="O228" i="49"/>
  <c r="O229" i="49"/>
  <c r="O230" i="49"/>
  <c r="O216" i="49"/>
  <c r="D231" i="49"/>
  <c r="E231" i="49"/>
  <c r="F231" i="49"/>
  <c r="G231" i="49"/>
  <c r="H231" i="49"/>
  <c r="I231" i="49"/>
  <c r="J231" i="49"/>
  <c r="K231" i="49"/>
  <c r="L231" i="49"/>
  <c r="M231" i="49"/>
  <c r="N231" i="49"/>
  <c r="C231" i="49"/>
  <c r="A225" i="49"/>
  <c r="A224" i="49"/>
  <c r="A223" i="49"/>
  <c r="A222" i="49"/>
  <c r="A221" i="49"/>
  <c r="A220" i="49"/>
  <c r="A219" i="49"/>
  <c r="A218" i="49"/>
  <c r="A217" i="49"/>
  <c r="A216" i="49"/>
  <c r="O231" i="49" l="1"/>
  <c r="A200" i="49"/>
  <c r="A199" i="49"/>
  <c r="A198" i="49"/>
  <c r="A197" i="49"/>
  <c r="A196" i="49"/>
  <c r="A195" i="49"/>
  <c r="A194" i="49"/>
  <c r="A193" i="49"/>
  <c r="A192" i="49"/>
  <c r="A191" i="49"/>
  <c r="A190" i="49"/>
  <c r="A189" i="49"/>
  <c r="A188" i="49"/>
  <c r="A187" i="49"/>
  <c r="A186" i="49"/>
  <c r="A52" i="49"/>
  <c r="A51" i="49"/>
  <c r="A50" i="49"/>
  <c r="A49" i="49"/>
  <c r="A48" i="49"/>
  <c r="A47" i="49"/>
  <c r="A46" i="49"/>
  <c r="A45" i="49"/>
  <c r="A44" i="49"/>
  <c r="B18" i="49"/>
  <c r="B17" i="49"/>
  <c r="B16" i="49"/>
  <c r="B15" i="49"/>
  <c r="B14" i="49"/>
  <c r="A207" i="49"/>
  <c r="O208" i="49"/>
  <c r="O207" i="49"/>
  <c r="O206" i="49"/>
  <c r="O205" i="49"/>
  <c r="O204" i="49"/>
  <c r="O203" i="49"/>
  <c r="O202" i="49"/>
  <c r="O201" i="49"/>
  <c r="O200" i="49"/>
  <c r="O199" i="49"/>
  <c r="O198" i="49"/>
  <c r="O197" i="49"/>
  <c r="O196" i="49"/>
  <c r="O195" i="49"/>
  <c r="O194" i="49"/>
  <c r="O193" i="49"/>
  <c r="O192" i="49"/>
  <c r="O191" i="49"/>
  <c r="O190" i="49"/>
  <c r="O189" i="49"/>
  <c r="O188" i="49"/>
  <c r="O187" i="49"/>
  <c r="O186" i="49"/>
  <c r="O209" i="49" s="1"/>
  <c r="N209" i="49"/>
  <c r="M209" i="49"/>
  <c r="L209" i="49"/>
  <c r="K209" i="49"/>
  <c r="J209" i="49"/>
  <c r="I209" i="49"/>
  <c r="H209" i="49"/>
  <c r="G209" i="49"/>
  <c r="F209" i="49"/>
  <c r="E209" i="49"/>
  <c r="D209" i="49"/>
  <c r="C209" i="49"/>
  <c r="A59" i="49"/>
  <c r="A58" i="49"/>
  <c r="O59" i="49"/>
  <c r="O58" i="49"/>
  <c r="O57" i="49"/>
  <c r="O56" i="49"/>
  <c r="O55" i="49"/>
  <c r="O54" i="49"/>
  <c r="O53" i="49"/>
  <c r="O52" i="49"/>
  <c r="O51" i="49"/>
  <c r="O50" i="49"/>
  <c r="O49" i="49"/>
  <c r="O48" i="49"/>
  <c r="O47" i="49"/>
  <c r="O46" i="49"/>
  <c r="O45" i="49"/>
  <c r="O44" i="49"/>
  <c r="O60" i="49" s="1"/>
  <c r="N60" i="49"/>
  <c r="M60" i="49"/>
  <c r="L60" i="49"/>
  <c r="K60" i="49"/>
  <c r="J60" i="49"/>
  <c r="I60" i="49"/>
  <c r="H60" i="49"/>
  <c r="G60" i="49"/>
  <c r="F60" i="49"/>
  <c r="E60" i="49"/>
  <c r="D60" i="49"/>
  <c r="C60" i="49"/>
  <c r="O36" i="49"/>
  <c r="O35" i="49"/>
  <c r="O34" i="49"/>
  <c r="O33" i="49"/>
  <c r="O32" i="49"/>
  <c r="O31" i="49"/>
  <c r="AF19" i="41" s="1"/>
  <c r="O30" i="49"/>
  <c r="AD19" i="41" s="1"/>
  <c r="O29" i="49"/>
  <c r="V19" i="41" s="1"/>
  <c r="O28" i="49"/>
  <c r="P19" i="41" s="1"/>
  <c r="O27" i="49"/>
  <c r="O19" i="41" s="1"/>
  <c r="O26" i="49"/>
  <c r="I19" i="41" s="1"/>
  <c r="N37" i="49"/>
  <c r="M37" i="49"/>
  <c r="L37" i="49"/>
  <c r="K37" i="49"/>
  <c r="J37" i="49"/>
  <c r="I37" i="49"/>
  <c r="H37" i="49"/>
  <c r="G37" i="49"/>
  <c r="F37" i="49"/>
  <c r="E37" i="49"/>
  <c r="D37" i="49"/>
  <c r="C37" i="49"/>
  <c r="A18" i="49"/>
  <c r="A17" i="49"/>
  <c r="A16" i="49"/>
  <c r="A15" i="49"/>
  <c r="A14" i="49"/>
  <c r="AL20" i="41" s="1"/>
  <c r="H19" i="49"/>
  <c r="I19" i="49"/>
  <c r="J19" i="49"/>
  <c r="K19" i="49"/>
  <c r="L19" i="49"/>
  <c r="M19" i="49"/>
  <c r="N19" i="49"/>
  <c r="O18" i="49"/>
  <c r="O17" i="49"/>
  <c r="O16" i="49"/>
  <c r="O15" i="49"/>
  <c r="O14" i="49"/>
  <c r="O19" i="49" s="1"/>
  <c r="D19" i="49"/>
  <c r="E19" i="49"/>
  <c r="F19" i="49"/>
  <c r="G19" i="49"/>
  <c r="C19" i="49"/>
  <c r="AC19" i="41" l="1"/>
  <c r="AK19" i="41"/>
  <c r="AJ19" i="41"/>
  <c r="AI19" i="41"/>
  <c r="AG19" i="41"/>
  <c r="AE19" i="41"/>
  <c r="AB19" i="41"/>
  <c r="AA19" i="41"/>
  <c r="Z19" i="41"/>
  <c r="Y19" i="41"/>
  <c r="X19" i="41"/>
  <c r="W19" i="41"/>
  <c r="U19" i="41"/>
  <c r="T19" i="41"/>
  <c r="S19" i="41"/>
  <c r="R19" i="41"/>
  <c r="Q19" i="41"/>
  <c r="N19" i="41"/>
  <c r="M19" i="41"/>
  <c r="L19" i="41"/>
  <c r="K19" i="41"/>
  <c r="J19" i="41"/>
  <c r="G19" i="41"/>
  <c r="O37" i="49"/>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AG20" i="41"/>
  <c r="AH20" i="41"/>
  <c r="AI20" i="41"/>
  <c r="AJ20" i="41"/>
  <c r="AK20" i="41"/>
  <c r="F20" i="41" l="1"/>
  <c r="F19" i="41"/>
  <c r="E20" i="41"/>
  <c r="E19" i="41"/>
  <c r="F30" i="31" l="1"/>
  <c r="F26" i="31"/>
  <c r="AL49" i="31"/>
  <c r="AK49" i="31"/>
  <c r="AJ49" i="31"/>
  <c r="AI49" i="31"/>
  <c r="AG49" i="31"/>
  <c r="P49" i="31"/>
  <c r="J49" i="31"/>
  <c r="I49" i="31"/>
  <c r="AL44" i="31"/>
  <c r="AK44" i="31"/>
  <c r="AJ44" i="31"/>
  <c r="AI44" i="31"/>
  <c r="AH44" i="31"/>
  <c r="AG44" i="31"/>
  <c r="AF44" i="31"/>
  <c r="AE44" i="31"/>
  <c r="E44" i="31" s="1"/>
  <c r="AD44" i="31"/>
  <c r="AC44" i="31"/>
  <c r="AB44" i="31"/>
  <c r="AA44" i="31"/>
  <c r="Z44" i="31"/>
  <c r="Y44" i="31"/>
  <c r="X44" i="31"/>
  <c r="W44" i="31"/>
  <c r="V44" i="31"/>
  <c r="U44" i="31"/>
  <c r="T44" i="31"/>
  <c r="S44" i="31"/>
  <c r="R44" i="31"/>
  <c r="Q44" i="31"/>
  <c r="P44" i="31"/>
  <c r="O44" i="31"/>
  <c r="N44" i="31"/>
  <c r="M44" i="31"/>
  <c r="L44" i="31"/>
  <c r="K44" i="31"/>
  <c r="J44" i="31"/>
  <c r="I44" i="31"/>
  <c r="H44" i="31"/>
  <c r="G44" i="31"/>
  <c r="F44" i="31"/>
  <c r="AL25" i="31" l="1"/>
  <c r="R8" i="31"/>
  <c r="S8" i="41"/>
  <c r="AL23" i="31"/>
  <c r="AL16" i="31"/>
  <c r="N71" i="45" l="1"/>
  <c r="AB54" i="42" l="1"/>
  <c r="AG1623" i="28" l="1"/>
  <c r="AG94" i="44" l="1"/>
  <c r="AH94" i="44" l="1"/>
  <c r="A1758" i="28"/>
  <c r="A1690" i="28"/>
  <c r="B1690" i="28"/>
  <c r="C1690" i="28"/>
  <c r="D1690" i="28"/>
  <c r="A1668" i="28"/>
  <c r="B1668" i="28"/>
  <c r="C1668" i="28"/>
  <c r="D1668" i="28"/>
  <c r="A1044" i="28"/>
  <c r="B1044" i="28"/>
  <c r="C1044" i="28"/>
  <c r="D1044" i="28"/>
  <c r="A959" i="28"/>
  <c r="B959" i="28"/>
  <c r="C959" i="28"/>
  <c r="D959" i="28"/>
  <c r="A758" i="28"/>
  <c r="B758" i="28"/>
  <c r="C758" i="28"/>
  <c r="D758" i="28"/>
  <c r="A649" i="28"/>
  <c r="A340" i="28"/>
  <c r="B340" i="28"/>
  <c r="C340" i="28"/>
  <c r="D340" i="28"/>
  <c r="A86" i="28"/>
  <c r="B86" i="28"/>
  <c r="C86" i="28"/>
  <c r="D86" i="28"/>
  <c r="Z760" i="44"/>
  <c r="Z1760" i="44"/>
  <c r="Z1692" i="44"/>
  <c r="Z1670" i="44"/>
  <c r="Z1046" i="44"/>
  <c r="Z961" i="44"/>
  <c r="Z651" i="44"/>
  <c r="Z340" i="44"/>
  <c r="Z86" i="44"/>
  <c r="AI90" i="28" l="1"/>
  <c r="AI395" i="44"/>
  <c r="AG553" i="28"/>
  <c r="AH306" i="28" l="1"/>
  <c r="A306" i="28"/>
  <c r="B306" i="28"/>
  <c r="C306" i="28"/>
  <c r="D306" i="28"/>
  <c r="A68" i="28"/>
  <c r="B68" i="28"/>
  <c r="C68" i="28"/>
  <c r="D68" i="28"/>
  <c r="Z306" i="44"/>
  <c r="Z68" i="44"/>
  <c r="AD8" i="35" l="1"/>
  <c r="T8" i="35"/>
  <c r="I8" i="35"/>
  <c r="G8" i="35"/>
  <c r="F8" i="35"/>
  <c r="F17" i="38"/>
  <c r="E17" i="38"/>
  <c r="C30" i="38"/>
  <c r="C29" i="38"/>
  <c r="C28" i="38"/>
  <c r="C27" i="38"/>
  <c r="C24" i="38"/>
  <c r="C23" i="38"/>
  <c r="C22" i="38"/>
  <c r="C21" i="38"/>
  <c r="C20" i="38"/>
  <c r="C19" i="38"/>
  <c r="C18" i="38"/>
  <c r="C17" i="38"/>
  <c r="C16" i="38"/>
  <c r="C15" i="38"/>
  <c r="C14" i="38"/>
  <c r="C13" i="38"/>
  <c r="C12" i="38"/>
  <c r="C11" i="38"/>
  <c r="C10" i="38"/>
  <c r="T18" i="47" l="1"/>
  <c r="S18" i="47"/>
  <c r="R18" i="47"/>
  <c r="Q18" i="47"/>
  <c r="O18" i="47"/>
  <c r="N18" i="47"/>
  <c r="L18" i="47"/>
  <c r="K18" i="47"/>
  <c r="J18" i="47"/>
  <c r="I18" i="47"/>
  <c r="H18" i="47"/>
  <c r="T13" i="47"/>
  <c r="S13" i="47"/>
  <c r="R13" i="47"/>
  <c r="Q13" i="47"/>
  <c r="O13" i="47"/>
  <c r="N13" i="47"/>
  <c r="L13" i="47"/>
  <c r="K13" i="47"/>
  <c r="J13" i="47"/>
  <c r="I13" i="47"/>
  <c r="H13" i="47"/>
  <c r="T12" i="47"/>
  <c r="T24" i="47" s="1"/>
  <c r="S12" i="47"/>
  <c r="S24" i="47" s="1"/>
  <c r="R12" i="47"/>
  <c r="R24" i="47" s="1"/>
  <c r="Q12" i="47"/>
  <c r="Q24" i="47" s="1"/>
  <c r="O12" i="47"/>
  <c r="L12" i="47"/>
  <c r="K12" i="47"/>
  <c r="K24" i="47" s="1"/>
  <c r="J12" i="47"/>
  <c r="J24" i="47" s="1"/>
  <c r="I12" i="47"/>
  <c r="I24" i="47" s="1"/>
  <c r="H12" i="47"/>
  <c r="N12" i="47"/>
  <c r="N24" i="47" l="1"/>
  <c r="V18" i="47"/>
  <c r="O24" i="47"/>
  <c r="L24" i="47"/>
  <c r="V13" i="47"/>
  <c r="V12" i="47"/>
  <c r="H24" i="47"/>
  <c r="V24" i="47" s="1"/>
  <c r="V27" i="47" s="1"/>
  <c r="H15" i="32" l="1"/>
  <c r="AD42" i="35"/>
  <c r="I42" i="35"/>
  <c r="G42" i="35"/>
  <c r="F42" i="35"/>
  <c r="Q42" i="35"/>
  <c r="F41" i="35"/>
  <c r="T41" i="35"/>
  <c r="AD41" i="35"/>
  <c r="AB41" i="35"/>
  <c r="AA41" i="35"/>
  <c r="E41" i="35" l="1"/>
  <c r="E42" i="35"/>
  <c r="AG9" i="28" l="1"/>
  <c r="AL42" i="31" l="1"/>
  <c r="AI42" i="31"/>
  <c r="AG42" i="31"/>
  <c r="P42" i="31"/>
  <c r="J42" i="31"/>
  <c r="I42" i="31"/>
  <c r="D52" i="31"/>
  <c r="AH49" i="31"/>
  <c r="AF49" i="31"/>
  <c r="AE49" i="31"/>
  <c r="E49" i="31" s="1"/>
  <c r="AD49" i="31"/>
  <c r="AC49" i="31"/>
  <c r="AB49" i="31"/>
  <c r="AA49" i="31"/>
  <c r="Z49" i="31"/>
  <c r="Y49" i="31"/>
  <c r="X49" i="31"/>
  <c r="W49" i="31"/>
  <c r="V49" i="31"/>
  <c r="U49" i="31"/>
  <c r="T49" i="31"/>
  <c r="S49" i="31"/>
  <c r="R49" i="31"/>
  <c r="Q49" i="31"/>
  <c r="O49" i="31"/>
  <c r="N49" i="31"/>
  <c r="M49" i="31"/>
  <c r="L49" i="31"/>
  <c r="K49" i="31"/>
  <c r="H49" i="31"/>
  <c r="G49" i="31"/>
  <c r="D50" i="31"/>
  <c r="D47" i="31"/>
  <c r="D46" i="31"/>
  <c r="D45" i="31"/>
  <c r="D44" i="31"/>
  <c r="AL40" i="31"/>
  <c r="AK40" i="31"/>
  <c r="AJ40" i="31"/>
  <c r="AI40" i="31"/>
  <c r="AH40" i="31"/>
  <c r="AF40" i="31"/>
  <c r="AE40" i="31"/>
  <c r="AD40" i="31"/>
  <c r="AC40" i="31"/>
  <c r="AB40" i="31"/>
  <c r="AA40" i="31"/>
  <c r="Z40" i="31"/>
  <c r="Y40" i="31"/>
  <c r="X40" i="31"/>
  <c r="W40" i="31"/>
  <c r="V40" i="31"/>
  <c r="U40" i="31"/>
  <c r="T40" i="31"/>
  <c r="S40" i="31"/>
  <c r="Q40" i="31"/>
  <c r="P40" i="31"/>
  <c r="O40" i="31"/>
  <c r="N40" i="31"/>
  <c r="M40" i="31"/>
  <c r="L40" i="31"/>
  <c r="K40" i="31"/>
  <c r="J40" i="31"/>
  <c r="I40" i="31"/>
  <c r="H40" i="31"/>
  <c r="G40" i="31"/>
  <c r="F40" i="31"/>
  <c r="D40" i="31"/>
  <c r="D36" i="31"/>
  <c r="G18" i="32"/>
  <c r="O63" i="41"/>
  <c r="V63" i="41"/>
  <c r="AD63" i="41"/>
  <c r="G71" i="41"/>
  <c r="H71" i="41"/>
  <c r="H73" i="41" s="1"/>
  <c r="I71" i="41"/>
  <c r="J71" i="41"/>
  <c r="J73" i="41" s="1"/>
  <c r="K71" i="41"/>
  <c r="L71" i="41"/>
  <c r="L73" i="41" s="1"/>
  <c r="M71" i="41"/>
  <c r="N71" i="41"/>
  <c r="N73" i="41" s="1"/>
  <c r="O71" i="41"/>
  <c r="P71" i="41"/>
  <c r="P73" i="41" s="1"/>
  <c r="Q71" i="41"/>
  <c r="R71" i="41"/>
  <c r="R73" i="41" s="1"/>
  <c r="T71" i="41"/>
  <c r="U71" i="41"/>
  <c r="U73" i="41" s="1"/>
  <c r="V71" i="41"/>
  <c r="W71" i="41"/>
  <c r="W73" i="41" s="1"/>
  <c r="X71" i="41"/>
  <c r="Y71" i="41"/>
  <c r="Y73" i="41" s="1"/>
  <c r="Z71" i="41"/>
  <c r="AA71" i="41"/>
  <c r="AA73" i="41" s="1"/>
  <c r="AB71" i="41"/>
  <c r="AC71" i="41"/>
  <c r="AC73" i="41" s="1"/>
  <c r="AD71" i="41"/>
  <c r="AE71" i="41"/>
  <c r="AE73" i="41" s="1"/>
  <c r="AF71" i="41"/>
  <c r="AG71" i="41"/>
  <c r="AG73" i="41" s="1"/>
  <c r="AH71" i="41"/>
  <c r="G73" i="41"/>
  <c r="I73" i="41"/>
  <c r="K73" i="41"/>
  <c r="M73" i="41"/>
  <c r="O73" i="41"/>
  <c r="Q73" i="41"/>
  <c r="T73" i="41"/>
  <c r="V73" i="41"/>
  <c r="X73" i="41"/>
  <c r="Z73" i="41"/>
  <c r="AB73" i="41"/>
  <c r="AD73" i="41"/>
  <c r="AF73" i="41"/>
  <c r="AH73" i="41"/>
  <c r="F49" i="31" l="1"/>
  <c r="F42" i="31" s="1"/>
  <c r="K87" i="31"/>
  <c r="K89" i="31" s="1"/>
  <c r="O87" i="31"/>
  <c r="O89" i="31" s="1"/>
  <c r="S87" i="31"/>
  <c r="S89" i="31" s="1"/>
  <c r="H87" i="31"/>
  <c r="H89" i="31" s="1"/>
  <c r="F89" i="31" s="1"/>
  <c r="N87" i="31"/>
  <c r="N89" i="31" s="1"/>
  <c r="R87" i="31"/>
  <c r="R89" i="31" s="1"/>
  <c r="I87" i="31"/>
  <c r="I89" i="31" s="1"/>
  <c r="M87" i="31"/>
  <c r="M89" i="31" s="1"/>
  <c r="Q87" i="31"/>
  <c r="Q89" i="31" s="1"/>
  <c r="U87" i="31"/>
  <c r="U89" i="31" s="1"/>
  <c r="J87" i="31"/>
  <c r="J89" i="31" s="1"/>
  <c r="P87" i="31"/>
  <c r="P89" i="31" s="1"/>
  <c r="T87" i="31"/>
  <c r="T89" i="31" s="1"/>
  <c r="G15" i="32"/>
  <c r="F12" i="31"/>
  <c r="AJ42" i="31"/>
  <c r="AK42" i="31"/>
  <c r="G42" i="31"/>
  <c r="K42" i="31"/>
  <c r="M42" i="31"/>
  <c r="O42" i="31"/>
  <c r="Q42" i="31"/>
  <c r="S42" i="31"/>
  <c r="U42" i="31"/>
  <c r="W42" i="31"/>
  <c r="Y42" i="31"/>
  <c r="AA42" i="31"/>
  <c r="AC42" i="31"/>
  <c r="AE42" i="31"/>
  <c r="E42" i="31" s="1"/>
  <c r="H42" i="31"/>
  <c r="L42" i="31"/>
  <c r="N42" i="31"/>
  <c r="R42" i="31"/>
  <c r="T42" i="31"/>
  <c r="V42" i="31"/>
  <c r="X42" i="31"/>
  <c r="Z42" i="31"/>
  <c r="AB42" i="31"/>
  <c r="AD42" i="31"/>
  <c r="AF42" i="31"/>
  <c r="AH42" i="31"/>
  <c r="E63" i="41"/>
  <c r="P64" i="41" s="1"/>
  <c r="P65" i="41" s="1"/>
  <c r="D49" i="31"/>
  <c r="D42" i="31" l="1"/>
  <c r="AD64" i="41"/>
  <c r="AD65" i="41" s="1"/>
  <c r="V64" i="41"/>
  <c r="V65" i="41" s="1"/>
  <c r="O64" i="41"/>
  <c r="AC64" i="41"/>
  <c r="AC65" i="41" s="1"/>
  <c r="E25" i="41"/>
  <c r="E64" i="41"/>
  <c r="O65" i="41"/>
  <c r="E66" i="41" s="1"/>
  <c r="AA613" i="28"/>
  <c r="AA370" i="28"/>
  <c r="AA369" i="28"/>
  <c r="AA366" i="28"/>
  <c r="AA1751" i="28"/>
  <c r="AA1750" i="28"/>
  <c r="AA1749" i="28"/>
  <c r="AA1747" i="28"/>
  <c r="AH26" i="44" l="1"/>
  <c r="AH30" i="44"/>
  <c r="AH37" i="44"/>
  <c r="AH41" i="44"/>
  <c r="AH49" i="44"/>
  <c r="AH52" i="44"/>
  <c r="AH55" i="44"/>
  <c r="AH56" i="44"/>
  <c r="AH57" i="44"/>
  <c r="AH58" i="44"/>
  <c r="AH59" i="44"/>
  <c r="AH71" i="44"/>
  <c r="AH79" i="44"/>
  <c r="AH80" i="44"/>
  <c r="AH81" i="44"/>
  <c r="AH82" i="44"/>
  <c r="AH83" i="44"/>
  <c r="AH84" i="44"/>
  <c r="AH87" i="44"/>
  <c r="AH88" i="44"/>
  <c r="AH89" i="44"/>
  <c r="AH112" i="44"/>
  <c r="AH114" i="44"/>
  <c r="AH152" i="44"/>
  <c r="AH153" i="44"/>
  <c r="AH155" i="44"/>
  <c r="AH156" i="44"/>
  <c r="AH157" i="44"/>
  <c r="AH158" i="44"/>
  <c r="AH159" i="44"/>
  <c r="AH165" i="44"/>
  <c r="AH168" i="44"/>
  <c r="AH169" i="44"/>
  <c r="AH171" i="44"/>
  <c r="AH172" i="44"/>
  <c r="AH173" i="44"/>
  <c r="AH176" i="44"/>
  <c r="AH178" i="44"/>
  <c r="AH179" i="44"/>
  <c r="AH180" i="44"/>
  <c r="AH181" i="44"/>
  <c r="AH182" i="44"/>
  <c r="AH183" i="44"/>
  <c r="AH184" i="44"/>
  <c r="AH185" i="44"/>
  <c r="AH187" i="44"/>
  <c r="AH188" i="44"/>
  <c r="AH189" i="44"/>
  <c r="AH191" i="44"/>
  <c r="AH192" i="44"/>
  <c r="AH193" i="44"/>
  <c r="AH194" i="44"/>
  <c r="AH195" i="44"/>
  <c r="AH196" i="44"/>
  <c r="AH197" i="44"/>
  <c r="AH198" i="44"/>
  <c r="AH199" i="44"/>
  <c r="AH200" i="44"/>
  <c r="AH201" i="44"/>
  <c r="AH202" i="44"/>
  <c r="AH203" i="44"/>
  <c r="AH204" i="44"/>
  <c r="AH205" i="44"/>
  <c r="AH206" i="44"/>
  <c r="AH207" i="44"/>
  <c r="AH208" i="44"/>
  <c r="AH211" i="44"/>
  <c r="AH212" i="44"/>
  <c r="AH213" i="44"/>
  <c r="AH217" i="44"/>
  <c r="AH219" i="44"/>
  <c r="AH221" i="44"/>
  <c r="AH224" i="44"/>
  <c r="AH226" i="44"/>
  <c r="AH228" i="44"/>
  <c r="AH230" i="44"/>
  <c r="AH231" i="44"/>
  <c r="AH236" i="44"/>
  <c r="AH237" i="44"/>
  <c r="AH239" i="44"/>
  <c r="AH240" i="44"/>
  <c r="AH241" i="44"/>
  <c r="AH242" i="44"/>
  <c r="AH244" i="44"/>
  <c r="AH245" i="44"/>
  <c r="AH246" i="44"/>
  <c r="AH247" i="44"/>
  <c r="AH248" i="44"/>
  <c r="AH249" i="44"/>
  <c r="AH250" i="44"/>
  <c r="AH251" i="44"/>
  <c r="AH252" i="44"/>
  <c r="AH253" i="44"/>
  <c r="AH255" i="44"/>
  <c r="AH256" i="44"/>
  <c r="AH257" i="44"/>
  <c r="AH273" i="44"/>
  <c r="AH285" i="44"/>
  <c r="AH286" i="44"/>
  <c r="AH315" i="44"/>
  <c r="AH321" i="44"/>
  <c r="AH334" i="44"/>
  <c r="AH338" i="44"/>
  <c r="AH372" i="44"/>
  <c r="AH377" i="44"/>
  <c r="AH378" i="44"/>
  <c r="AH379" i="44"/>
  <c r="AH387" i="44"/>
  <c r="AH394" i="44"/>
  <c r="AH401" i="44"/>
  <c r="AH403" i="44"/>
  <c r="AH405" i="44"/>
  <c r="AH409" i="44"/>
  <c r="AH412" i="44"/>
  <c r="AH413" i="44"/>
  <c r="AH443" i="44"/>
  <c r="AH456" i="44"/>
  <c r="AH457" i="44"/>
  <c r="AH461" i="44"/>
  <c r="AH465" i="44"/>
  <c r="AH467" i="44"/>
  <c r="AH468" i="44"/>
  <c r="AH469" i="44"/>
  <c r="AH470" i="44"/>
  <c r="AH471" i="44"/>
  <c r="AH472" i="44"/>
  <c r="AH483" i="44"/>
  <c r="AH549" i="44"/>
  <c r="AH550" i="44"/>
  <c r="AH558" i="44"/>
  <c r="AH559" i="44"/>
  <c r="AH564" i="44"/>
  <c r="AH573" i="44"/>
  <c r="AH574" i="44"/>
  <c r="AH575" i="44"/>
  <c r="AH576" i="44"/>
  <c r="AH577" i="44"/>
  <c r="AH578" i="44"/>
  <c r="AH587" i="44"/>
  <c r="AH590" i="44"/>
  <c r="AH621" i="44"/>
  <c r="AH625" i="44"/>
  <c r="AH626" i="44"/>
  <c r="AH627" i="44"/>
  <c r="AH628" i="44"/>
  <c r="AH633" i="44"/>
  <c r="AH653" i="44"/>
  <c r="AH655" i="44"/>
  <c r="AH657" i="44"/>
  <c r="AH658" i="44"/>
  <c r="AH659" i="44"/>
  <c r="AH676" i="44"/>
  <c r="AH679" i="44"/>
  <c r="AH681" i="44"/>
  <c r="AH682" i="44"/>
  <c r="AH683" i="44"/>
  <c r="AH684" i="44"/>
  <c r="AH685" i="44"/>
  <c r="AH686" i="44"/>
  <c r="AH687" i="44"/>
  <c r="AH688" i="44"/>
  <c r="AH689" i="44"/>
  <c r="AH690" i="44"/>
  <c r="AH691" i="44"/>
  <c r="AH692" i="44"/>
  <c r="AH693" i="44"/>
  <c r="AH694" i="44"/>
  <c r="AH695" i="44"/>
  <c r="AH696" i="44"/>
  <c r="AH697" i="44"/>
  <c r="AH715" i="44"/>
  <c r="AH731" i="44"/>
  <c r="AH732" i="44"/>
  <c r="AH733" i="44"/>
  <c r="AH734" i="44"/>
  <c r="AH736" i="44"/>
  <c r="AH737" i="44"/>
  <c r="AH738" i="44"/>
  <c r="AH753" i="44"/>
  <c r="AH761" i="44"/>
  <c r="AH762" i="44"/>
  <c r="AH763" i="44"/>
  <c r="AH764" i="44"/>
  <c r="AH765" i="44"/>
  <c r="AH766" i="44"/>
  <c r="AH767" i="44"/>
  <c r="AH769" i="44"/>
  <c r="AH770" i="44"/>
  <c r="AH773" i="44"/>
  <c r="AH800" i="44"/>
  <c r="AH801" i="44"/>
  <c r="AH816" i="44"/>
  <c r="AH817" i="44"/>
  <c r="AH822" i="44"/>
  <c r="AH824" i="44"/>
  <c r="AH827" i="44"/>
  <c r="AH829" i="44"/>
  <c r="AH830" i="44"/>
  <c r="AH848" i="44"/>
  <c r="AH850" i="44"/>
  <c r="AH851" i="44"/>
  <c r="AH854" i="44"/>
  <c r="AH858" i="44"/>
  <c r="AH866" i="44"/>
  <c r="AH868" i="44"/>
  <c r="AH880" i="44"/>
  <c r="AH883" i="44"/>
  <c r="AH889" i="44"/>
  <c r="AH897" i="44"/>
  <c r="AH902" i="44"/>
  <c r="AH904" i="44"/>
  <c r="AH907" i="44"/>
  <c r="AH913" i="44"/>
  <c r="AH915" i="44"/>
  <c r="AH923" i="44"/>
  <c r="AH924" i="44"/>
  <c r="AH925" i="44"/>
  <c r="AH926" i="44"/>
  <c r="AH927" i="44"/>
  <c r="AH928" i="44"/>
  <c r="AH929" i="44"/>
  <c r="AH930" i="44"/>
  <c r="AH931" i="44"/>
  <c r="AH932" i="44"/>
  <c r="AH933" i="44"/>
  <c r="AH937" i="44"/>
  <c r="AH938" i="44"/>
  <c r="AH939" i="44"/>
  <c r="AH940" i="44"/>
  <c r="AH941" i="44"/>
  <c r="AH942" i="44"/>
  <c r="AH943" i="44"/>
  <c r="AH944" i="44"/>
  <c r="AH945" i="44"/>
  <c r="AH946" i="44"/>
  <c r="AH970" i="44"/>
  <c r="AH983" i="44"/>
  <c r="AH985" i="44"/>
  <c r="AH986" i="44"/>
  <c r="AH989" i="44"/>
  <c r="AH1009" i="44"/>
  <c r="AH1013" i="44"/>
  <c r="AH1020" i="44"/>
  <c r="AH1021" i="44"/>
  <c r="AH1022" i="44"/>
  <c r="AH1023" i="44"/>
  <c r="AH1025" i="44"/>
  <c r="AH1026" i="44"/>
  <c r="AH1027" i="44"/>
  <c r="AH1029" i="44"/>
  <c r="AH1032" i="44"/>
  <c r="AH1042" i="44"/>
  <c r="AH1048" i="44"/>
  <c r="AH1049" i="44"/>
  <c r="AH1053" i="44"/>
  <c r="AH1062" i="44"/>
  <c r="AH1065" i="44"/>
  <c r="AH1066" i="44"/>
  <c r="AH1067" i="44"/>
  <c r="AH1070" i="44"/>
  <c r="AH1107" i="44"/>
  <c r="AH1109" i="44"/>
  <c r="AH1120" i="44"/>
  <c r="AH1125" i="44"/>
  <c r="AH1131" i="44"/>
  <c r="AH1167" i="44"/>
  <c r="AH1181" i="44"/>
  <c r="AH1182" i="44"/>
  <c r="AH1183" i="44"/>
  <c r="AH1184" i="44"/>
  <c r="AH1185" i="44"/>
  <c r="AH1186" i="44"/>
  <c r="AH1187" i="44"/>
  <c r="AH1188" i="44"/>
  <c r="AH1189" i="44"/>
  <c r="AH1190" i="44"/>
  <c r="AH1191" i="44"/>
  <c r="AH1210" i="44"/>
  <c r="AH1227" i="44"/>
  <c r="AH1230" i="44"/>
  <c r="AH1231" i="44"/>
  <c r="AH1233" i="44"/>
  <c r="AH1234" i="44"/>
  <c r="AH1235" i="44"/>
  <c r="AH1242" i="44"/>
  <c r="AH1243" i="44"/>
  <c r="AH1244" i="44"/>
  <c r="AH1258" i="44"/>
  <c r="AH1312" i="44"/>
  <c r="AH1315" i="44"/>
  <c r="AH1324" i="44"/>
  <c r="AH1326" i="44"/>
  <c r="AH1333" i="44"/>
  <c r="AH1367" i="44"/>
  <c r="AH1368" i="44"/>
  <c r="AH1371" i="44"/>
  <c r="AH1374" i="44"/>
  <c r="AH1376" i="44"/>
  <c r="AH1381" i="44"/>
  <c r="AH1382" i="44"/>
  <c r="AH1388" i="44"/>
  <c r="AH1391" i="44"/>
  <c r="AH1392" i="44"/>
  <c r="AH1394" i="44"/>
  <c r="AH1426" i="44"/>
  <c r="AH1442" i="44"/>
  <c r="AH1443" i="44"/>
  <c r="AH1444" i="44"/>
  <c r="AH1446" i="44"/>
  <c r="AH1449" i="44"/>
  <c r="AH1457" i="44"/>
  <c r="AH1475" i="44"/>
  <c r="AH1476" i="44"/>
  <c r="AH1479" i="44"/>
  <c r="AH1507" i="44"/>
  <c r="AH1521" i="44"/>
  <c r="AH1525" i="44"/>
  <c r="AH1544" i="44"/>
  <c r="AH1563" i="44"/>
  <c r="AH1594" i="44"/>
  <c r="AH1620" i="44"/>
  <c r="AH1624" i="44"/>
  <c r="AH1631" i="44"/>
  <c r="AH1632" i="44"/>
  <c r="AH1633" i="44"/>
  <c r="AH1634" i="44"/>
  <c r="AH1635" i="44"/>
  <c r="AH1636" i="44"/>
  <c r="AH1637" i="44"/>
  <c r="AH1638" i="44"/>
  <c r="AH1641" i="44"/>
  <c r="AH1646" i="44"/>
  <c r="AH1653" i="44"/>
  <c r="AH1654" i="44"/>
  <c r="AH1662" i="44"/>
  <c r="AH1663" i="44"/>
  <c r="AH1672" i="44"/>
  <c r="AH1677" i="44"/>
  <c r="AH1697" i="44"/>
  <c r="AH1699" i="44"/>
  <c r="AH1702" i="44"/>
  <c r="AH1705" i="44"/>
  <c r="AH1706" i="44"/>
  <c r="AH1707" i="44"/>
  <c r="AH1708" i="44"/>
  <c r="AH1709" i="44"/>
  <c r="AH1710" i="44"/>
  <c r="AH1711" i="44"/>
  <c r="AH1713" i="44"/>
  <c r="AH1715" i="44"/>
  <c r="AH1716" i="44"/>
  <c r="AH1717" i="44"/>
  <c r="AH1718" i="44"/>
  <c r="AH1719" i="44"/>
  <c r="AH1720" i="44"/>
  <c r="AH1721" i="44"/>
  <c r="AH1723" i="44"/>
  <c r="AH1724" i="44"/>
  <c r="AH1726" i="44"/>
  <c r="AH1727" i="44"/>
  <c r="AH1728" i="44"/>
  <c r="AH1730" i="44"/>
  <c r="AH1731" i="44"/>
  <c r="AH1733" i="44"/>
  <c r="AH1739" i="44"/>
  <c r="AG26" i="44"/>
  <c r="AG30" i="44"/>
  <c r="AG37" i="44"/>
  <c r="AG41" i="44"/>
  <c r="AG49" i="44"/>
  <c r="AG52" i="44"/>
  <c r="AG55" i="44"/>
  <c r="AG56" i="44"/>
  <c r="AG57" i="44"/>
  <c r="AG58" i="44"/>
  <c r="AG59" i="44"/>
  <c r="AG71" i="44"/>
  <c r="AG79" i="44"/>
  <c r="AG80" i="44"/>
  <c r="AG81" i="44"/>
  <c r="AG82" i="44"/>
  <c r="AG83" i="44"/>
  <c r="AG84" i="44"/>
  <c r="AG87" i="44"/>
  <c r="AG88" i="44"/>
  <c r="AG89" i="44"/>
  <c r="AG112" i="44"/>
  <c r="AG114" i="44"/>
  <c r="AG152" i="44"/>
  <c r="AG153" i="44"/>
  <c r="AG155" i="44"/>
  <c r="AG156" i="44"/>
  <c r="AG157" i="44"/>
  <c r="AG158" i="44"/>
  <c r="AG159" i="44"/>
  <c r="AG165" i="44"/>
  <c r="AG168" i="44"/>
  <c r="AG169" i="44"/>
  <c r="AG171" i="44"/>
  <c r="AG172" i="44"/>
  <c r="AG173" i="44"/>
  <c r="AG176" i="44"/>
  <c r="AG178" i="44"/>
  <c r="AG179" i="44"/>
  <c r="AG180" i="44"/>
  <c r="AG181" i="44"/>
  <c r="AG182" i="44"/>
  <c r="AG183" i="44"/>
  <c r="AG184" i="44"/>
  <c r="AG185" i="44"/>
  <c r="AG187" i="44"/>
  <c r="AG188" i="44"/>
  <c r="AG189" i="44"/>
  <c r="AG191" i="44"/>
  <c r="AG192" i="44"/>
  <c r="AG193" i="44"/>
  <c r="AG194" i="44"/>
  <c r="AG195" i="44"/>
  <c r="AG196" i="44"/>
  <c r="AG197" i="44"/>
  <c r="AG198" i="44"/>
  <c r="AG199" i="44"/>
  <c r="AG200" i="44"/>
  <c r="AG201" i="44"/>
  <c r="AG202" i="44"/>
  <c r="AG203" i="44"/>
  <c r="AG204" i="44"/>
  <c r="AG205" i="44"/>
  <c r="AG206" i="44"/>
  <c r="AG207" i="44"/>
  <c r="AG208" i="44"/>
  <c r="AG211" i="44"/>
  <c r="AG212" i="44"/>
  <c r="AG213" i="44"/>
  <c r="AG217" i="44"/>
  <c r="AG219" i="44"/>
  <c r="AG221" i="44"/>
  <c r="AG224" i="44"/>
  <c r="AG226" i="44"/>
  <c r="AG228" i="44"/>
  <c r="AG230" i="44"/>
  <c r="AG231" i="44"/>
  <c r="AG236" i="44"/>
  <c r="AG237" i="44"/>
  <c r="AG239" i="44"/>
  <c r="AG240" i="44"/>
  <c r="AG241" i="44"/>
  <c r="AG242" i="44"/>
  <c r="AG244" i="44"/>
  <c r="AG245" i="44"/>
  <c r="AG246" i="44"/>
  <c r="AG247" i="44"/>
  <c r="AG248" i="44"/>
  <c r="AG249" i="44"/>
  <c r="AG250" i="44"/>
  <c r="AG251" i="44"/>
  <c r="AG252" i="44"/>
  <c r="AG253" i="44"/>
  <c r="AG255" i="44"/>
  <c r="AG256" i="44"/>
  <c r="AG257" i="44"/>
  <c r="AG273" i="44"/>
  <c r="AG285" i="44"/>
  <c r="AG286" i="44"/>
  <c r="AG315" i="44"/>
  <c r="AG321" i="44"/>
  <c r="AG334" i="44"/>
  <c r="AG338" i="44"/>
  <c r="AG372" i="44"/>
  <c r="AG377" i="44"/>
  <c r="AG378" i="44"/>
  <c r="AG379" i="44"/>
  <c r="AG387" i="44"/>
  <c r="AG394" i="44"/>
  <c r="AG401" i="44"/>
  <c r="AG403" i="44"/>
  <c r="AG405" i="44"/>
  <c r="AG409" i="44"/>
  <c r="AG412" i="44"/>
  <c r="AG413" i="44"/>
  <c r="AG443" i="44"/>
  <c r="AG456" i="44"/>
  <c r="AG457" i="44"/>
  <c r="AG461" i="44"/>
  <c r="AG465" i="44"/>
  <c r="AG467" i="44"/>
  <c r="AG468" i="44"/>
  <c r="AG469" i="44"/>
  <c r="AG470" i="44"/>
  <c r="AG471" i="44"/>
  <c r="AG472" i="44"/>
  <c r="AG483" i="44"/>
  <c r="AG549" i="44"/>
  <c r="AG550" i="44"/>
  <c r="AG558" i="44"/>
  <c r="AG559" i="44"/>
  <c r="AG564" i="44"/>
  <c r="AG573" i="44"/>
  <c r="AG574" i="44"/>
  <c r="AG575" i="44"/>
  <c r="AG576" i="44"/>
  <c r="AG577" i="44"/>
  <c r="AG578" i="44"/>
  <c r="AG587" i="44"/>
  <c r="AG590" i="44"/>
  <c r="AG621" i="44"/>
  <c r="AG625" i="44"/>
  <c r="AG626" i="44"/>
  <c r="AG627" i="44"/>
  <c r="AG628" i="44"/>
  <c r="AG633" i="44"/>
  <c r="AG653" i="44"/>
  <c r="AG655" i="44"/>
  <c r="AG657" i="44"/>
  <c r="AG658" i="44"/>
  <c r="AG659" i="44"/>
  <c r="AG676" i="44"/>
  <c r="AG679" i="44"/>
  <c r="AG681" i="44"/>
  <c r="AG682" i="44"/>
  <c r="AG683" i="44"/>
  <c r="AG684" i="44"/>
  <c r="AG685" i="44"/>
  <c r="AG686" i="44"/>
  <c r="AG687" i="44"/>
  <c r="AG688" i="44"/>
  <c r="AG689" i="44"/>
  <c r="AG690" i="44"/>
  <c r="AG691" i="44"/>
  <c r="AG692" i="44"/>
  <c r="AG693" i="44"/>
  <c r="AG694" i="44"/>
  <c r="AG695" i="44"/>
  <c r="AG696" i="44"/>
  <c r="AG697" i="44"/>
  <c r="AG715" i="44"/>
  <c r="AG731" i="44"/>
  <c r="AG732" i="44"/>
  <c r="AG733" i="44"/>
  <c r="AG734" i="44"/>
  <c r="AG736" i="44"/>
  <c r="AG737" i="44"/>
  <c r="AG738" i="44"/>
  <c r="AG753" i="44"/>
  <c r="AG761" i="44"/>
  <c r="AG762" i="44"/>
  <c r="AG763" i="44"/>
  <c r="AG764" i="44"/>
  <c r="AG765" i="44"/>
  <c r="AG766" i="44"/>
  <c r="AG767" i="44"/>
  <c r="AG769" i="44"/>
  <c r="AG770" i="44"/>
  <c r="AG773" i="44"/>
  <c r="AG800" i="44"/>
  <c r="AG801" i="44"/>
  <c r="AG816" i="44"/>
  <c r="AG817" i="44"/>
  <c r="AG822" i="44"/>
  <c r="AG824" i="44"/>
  <c r="AG827" i="44"/>
  <c r="AG829" i="44"/>
  <c r="AG830" i="44"/>
  <c r="AG848" i="44"/>
  <c r="AG850" i="44"/>
  <c r="AG851" i="44"/>
  <c r="AG854" i="44"/>
  <c r="AG858" i="44"/>
  <c r="AG866" i="44"/>
  <c r="AG868" i="44"/>
  <c r="AG880" i="44"/>
  <c r="AG883" i="44"/>
  <c r="AG889" i="44"/>
  <c r="AG897" i="44"/>
  <c r="AG902" i="44"/>
  <c r="AG904" i="44"/>
  <c r="AG907" i="44"/>
  <c r="AG913" i="44"/>
  <c r="AG915" i="44"/>
  <c r="AG923" i="44"/>
  <c r="AG924" i="44"/>
  <c r="AG925" i="44"/>
  <c r="AG926" i="44"/>
  <c r="AG927" i="44"/>
  <c r="AG928" i="44"/>
  <c r="AG929" i="44"/>
  <c r="AG930" i="44"/>
  <c r="AG931" i="44"/>
  <c r="AG932" i="44"/>
  <c r="AG933" i="44"/>
  <c r="AG937" i="44"/>
  <c r="AG938" i="44"/>
  <c r="AG939" i="44"/>
  <c r="AG940" i="44"/>
  <c r="AG941" i="44"/>
  <c r="AG942" i="44"/>
  <c r="AG943" i="44"/>
  <c r="AG944" i="44"/>
  <c r="AG945" i="44"/>
  <c r="AG946" i="44"/>
  <c r="AG970" i="44"/>
  <c r="AG983" i="44"/>
  <c r="AG985" i="44"/>
  <c r="AG986" i="44"/>
  <c r="AG989" i="44"/>
  <c r="AG1009" i="44"/>
  <c r="AG1013" i="44"/>
  <c r="AG1020" i="44"/>
  <c r="AG1021" i="44"/>
  <c r="AG1022" i="44"/>
  <c r="AG1023" i="44"/>
  <c r="AG1025" i="44"/>
  <c r="AG1026" i="44"/>
  <c r="AG1027" i="44"/>
  <c r="AG1029" i="44"/>
  <c r="AG1032" i="44"/>
  <c r="AG1042" i="44"/>
  <c r="AG1048" i="44"/>
  <c r="AG1049" i="44"/>
  <c r="AG1053" i="44"/>
  <c r="AG1062" i="44"/>
  <c r="AG1065" i="44"/>
  <c r="AG1066" i="44"/>
  <c r="AG1067" i="44"/>
  <c r="AG1070" i="44"/>
  <c r="AG1107" i="44"/>
  <c r="AG1109" i="44"/>
  <c r="AG1120" i="44"/>
  <c r="AG1125" i="44"/>
  <c r="AG1131" i="44"/>
  <c r="AG1167" i="44"/>
  <c r="AG1181" i="44"/>
  <c r="AG1182" i="44"/>
  <c r="AG1183" i="44"/>
  <c r="AG1184" i="44"/>
  <c r="AG1185" i="44"/>
  <c r="AG1186" i="44"/>
  <c r="AG1187" i="44"/>
  <c r="AG1188" i="44"/>
  <c r="AG1189" i="44"/>
  <c r="AG1190" i="44"/>
  <c r="AG1191" i="44"/>
  <c r="AG1210" i="44"/>
  <c r="AG1227" i="44"/>
  <c r="AG1230" i="44"/>
  <c r="AG1231" i="44"/>
  <c r="AG1233" i="44"/>
  <c r="AG1234" i="44"/>
  <c r="AG1235" i="44"/>
  <c r="AG1242" i="44"/>
  <c r="AG1243" i="44"/>
  <c r="AG1244" i="44"/>
  <c r="AG1258" i="44"/>
  <c r="AG1312" i="44"/>
  <c r="AG1315" i="44"/>
  <c r="AG1324" i="44"/>
  <c r="AG1326" i="44"/>
  <c r="AG1333" i="44"/>
  <c r="AG1367" i="44"/>
  <c r="AG1368" i="44"/>
  <c r="AG1371" i="44"/>
  <c r="AG1374" i="44"/>
  <c r="AG1376" i="44"/>
  <c r="AG1381" i="44"/>
  <c r="AG1382" i="44"/>
  <c r="AG1388" i="44"/>
  <c r="AG1391" i="44"/>
  <c r="AG1392" i="44"/>
  <c r="AG1394" i="44"/>
  <c r="AG1426" i="44"/>
  <c r="AG1442" i="44"/>
  <c r="AG1443" i="44"/>
  <c r="AG1444" i="44"/>
  <c r="AG1446" i="44"/>
  <c r="AG1449" i="44"/>
  <c r="AG1457" i="44"/>
  <c r="AG1475" i="44"/>
  <c r="AG1476" i="44"/>
  <c r="AG1479" i="44"/>
  <c r="AG1507" i="44"/>
  <c r="AG1521" i="44"/>
  <c r="AG1525" i="44"/>
  <c r="AG1544" i="44"/>
  <c r="AG1563" i="44"/>
  <c r="AG1594" i="44"/>
  <c r="AG1620" i="44"/>
  <c r="AG1624" i="44"/>
  <c r="AG1631" i="44"/>
  <c r="AG1632" i="44"/>
  <c r="AG1633" i="44"/>
  <c r="AG1634" i="44"/>
  <c r="AG1635" i="44"/>
  <c r="AG1636" i="44"/>
  <c r="AG1637" i="44"/>
  <c r="AG1638" i="44"/>
  <c r="AG1641" i="44"/>
  <c r="AG1646" i="44"/>
  <c r="AG1653" i="44"/>
  <c r="AG1654" i="44"/>
  <c r="AG1662" i="44"/>
  <c r="AG1663" i="44"/>
  <c r="AG1672" i="44"/>
  <c r="AG1677" i="44"/>
  <c r="AG1697" i="44"/>
  <c r="AG1699" i="44"/>
  <c r="AG1702" i="44"/>
  <c r="AG1705" i="44"/>
  <c r="AG1706" i="44"/>
  <c r="AG1707" i="44"/>
  <c r="AG1708" i="44"/>
  <c r="AG1709" i="44"/>
  <c r="AG1710" i="44"/>
  <c r="AG1711" i="44"/>
  <c r="AG1713" i="44"/>
  <c r="AG1715" i="44"/>
  <c r="AG1716" i="44"/>
  <c r="AG1717" i="44"/>
  <c r="AG1718" i="44"/>
  <c r="AG1719" i="44"/>
  <c r="AG1720" i="44"/>
  <c r="AG1721" i="44"/>
  <c r="AG1723" i="44"/>
  <c r="AG1724" i="44"/>
  <c r="AG1726" i="44"/>
  <c r="AG1727" i="44"/>
  <c r="AG1728" i="44"/>
  <c r="AG1730" i="44"/>
  <c r="AG1731" i="44"/>
  <c r="AG1733" i="44"/>
  <c r="AG1739" i="44"/>
  <c r="Z1766" i="44"/>
  <c r="Z1765" i="44"/>
  <c r="Z1764" i="44"/>
  <c r="Z1763" i="44"/>
  <c r="Z1762" i="44"/>
  <c r="Z1761" i="44"/>
  <c r="Z1759" i="44"/>
  <c r="Z1758" i="44"/>
  <c r="Z1757" i="44"/>
  <c r="Z1756" i="44"/>
  <c r="Z1755" i="44"/>
  <c r="Z1754" i="44"/>
  <c r="Z1753" i="44"/>
  <c r="Z1752" i="44"/>
  <c r="Z1751" i="44"/>
  <c r="Z1750" i="44"/>
  <c r="Z1749" i="44"/>
  <c r="Z1748" i="44"/>
  <c r="Z1747" i="44"/>
  <c r="Z1746" i="44"/>
  <c r="Z1745" i="44"/>
  <c r="Z1744" i="44"/>
  <c r="Z1743" i="44"/>
  <c r="Z1742" i="44"/>
  <c r="Z1741" i="44"/>
  <c r="Z1740" i="44"/>
  <c r="Z1739" i="44"/>
  <c r="Z1738" i="44"/>
  <c r="Z1737" i="44"/>
  <c r="Z1736" i="44"/>
  <c r="Z1735" i="44"/>
  <c r="Z1734" i="44"/>
  <c r="Z1733" i="44"/>
  <c r="Z1732" i="44"/>
  <c r="Z1731" i="44"/>
  <c r="Z1730" i="44"/>
  <c r="Z1729" i="44"/>
  <c r="Z1728" i="44"/>
  <c r="Z1727" i="44"/>
  <c r="Z1726" i="44"/>
  <c r="Z1725" i="44"/>
  <c r="Z1724" i="44"/>
  <c r="Z1723" i="44"/>
  <c r="Z1722" i="44"/>
  <c r="Z1721" i="44"/>
  <c r="Z1720" i="44"/>
  <c r="Z1719" i="44"/>
  <c r="Z1718" i="44"/>
  <c r="Z1717" i="44"/>
  <c r="Z1716" i="44"/>
  <c r="Z1715" i="44"/>
  <c r="Z1714" i="44"/>
  <c r="Z1713" i="44"/>
  <c r="Z1712" i="44"/>
  <c r="Z1711" i="44"/>
  <c r="Z1710" i="44"/>
  <c r="Z1709" i="44"/>
  <c r="Z1708" i="44"/>
  <c r="Z1707" i="44"/>
  <c r="Z1706" i="44"/>
  <c r="Z1705" i="44"/>
  <c r="Z1704" i="44"/>
  <c r="Z1703" i="44"/>
  <c r="Z1702" i="44"/>
  <c r="Z1701" i="44"/>
  <c r="Z1700" i="44"/>
  <c r="Z1699" i="44"/>
  <c r="Z1698" i="44"/>
  <c r="Z1697" i="44"/>
  <c r="Z1696" i="44"/>
  <c r="Z1695" i="44"/>
  <c r="Z1694" i="44"/>
  <c r="Z1693" i="44"/>
  <c r="Z1691" i="44"/>
  <c r="Z1690" i="44"/>
  <c r="Z1689" i="44"/>
  <c r="Z1688" i="44"/>
  <c r="Z1687" i="44"/>
  <c r="Z1686" i="44"/>
  <c r="Z1685" i="44"/>
  <c r="Z1684" i="44"/>
  <c r="Z1683" i="44"/>
  <c r="Z1682" i="44"/>
  <c r="Z1681" i="44"/>
  <c r="Z1680" i="44"/>
  <c r="Z1679" i="44"/>
  <c r="Z1678" i="44"/>
  <c r="Z1677" i="44"/>
  <c r="Z1676" i="44"/>
  <c r="Z1675" i="44"/>
  <c r="Z1674" i="44"/>
  <c r="Z1673" i="44"/>
  <c r="Z1672" i="44"/>
  <c r="Z1671" i="44"/>
  <c r="Z1669" i="44"/>
  <c r="Z1668" i="44"/>
  <c r="Z1667" i="44"/>
  <c r="Z1666" i="44"/>
  <c r="Z1665" i="44"/>
  <c r="Z1664" i="44"/>
  <c r="Z1663" i="44"/>
  <c r="Z1662" i="44"/>
  <c r="Z1661" i="44"/>
  <c r="Z1660" i="44"/>
  <c r="Z1659" i="44"/>
  <c r="Z1658" i="44"/>
  <c r="Z1657" i="44"/>
  <c r="Z1656" i="44"/>
  <c r="Z1655" i="44"/>
  <c r="Z1654" i="44"/>
  <c r="Z1653" i="44"/>
  <c r="Z1652" i="44"/>
  <c r="Z1651" i="44"/>
  <c r="Z1650" i="44"/>
  <c r="Z1649" i="44"/>
  <c r="Z1648" i="44"/>
  <c r="Z1647" i="44"/>
  <c r="Z1646" i="44"/>
  <c r="Z1645" i="44"/>
  <c r="Z1644" i="44"/>
  <c r="Z1643" i="44"/>
  <c r="Z1642" i="44"/>
  <c r="Z1641" i="44"/>
  <c r="Z1640" i="44"/>
  <c r="Z1639" i="44"/>
  <c r="Z1638" i="44"/>
  <c r="Z1637" i="44"/>
  <c r="Z1636" i="44"/>
  <c r="Z1635" i="44"/>
  <c r="Z1634" i="44"/>
  <c r="Z1633" i="44"/>
  <c r="Z1632" i="44"/>
  <c r="Z1631" i="44"/>
  <c r="Z1630" i="44"/>
  <c r="Z1629" i="44"/>
  <c r="Z1628" i="44"/>
  <c r="Z1626" i="44"/>
  <c r="Z1625" i="44"/>
  <c r="Z1624" i="44"/>
  <c r="Z1623" i="44"/>
  <c r="Z1622" i="44"/>
  <c r="Z1621" i="44"/>
  <c r="Z1620" i="44"/>
  <c r="Z1619" i="44"/>
  <c r="Z1618" i="44"/>
  <c r="Z1617" i="44"/>
  <c r="Z1616" i="44"/>
  <c r="Z1615" i="44"/>
  <c r="Z1614" i="44"/>
  <c r="Z1613" i="44"/>
  <c r="Z1612" i="44"/>
  <c r="Z1611" i="44"/>
  <c r="Z1610" i="44"/>
  <c r="Z1609" i="44"/>
  <c r="Z1608" i="44"/>
  <c r="Z1607" i="44"/>
  <c r="Z1606" i="44"/>
  <c r="Z1605" i="44"/>
  <c r="Z1604" i="44"/>
  <c r="Z1603" i="44"/>
  <c r="Z1602" i="44"/>
  <c r="Z1601" i="44"/>
  <c r="Z1600" i="44"/>
  <c r="Z1599" i="44"/>
  <c r="Z1598" i="44"/>
  <c r="Z1597" i="44"/>
  <c r="Z1596" i="44"/>
  <c r="Z1595" i="44"/>
  <c r="Z1594" i="44"/>
  <c r="Z1593" i="44"/>
  <c r="Z1592" i="44"/>
  <c r="Z1591" i="44"/>
  <c r="Z1590" i="44"/>
  <c r="Z1589" i="44"/>
  <c r="Z1588" i="44"/>
  <c r="Z1587" i="44"/>
  <c r="Z1586" i="44"/>
  <c r="Z1585" i="44"/>
  <c r="Z1584" i="44"/>
  <c r="Z1583" i="44"/>
  <c r="Z1582" i="44"/>
  <c r="Z1581" i="44"/>
  <c r="Z1580" i="44"/>
  <c r="Z1579" i="44"/>
  <c r="Z1578" i="44"/>
  <c r="Z1577" i="44"/>
  <c r="Z1576" i="44"/>
  <c r="Z1575" i="44"/>
  <c r="Z1574" i="44"/>
  <c r="Z1573" i="44"/>
  <c r="Z1572" i="44"/>
  <c r="Z1571" i="44"/>
  <c r="Z1570" i="44"/>
  <c r="Z1569" i="44"/>
  <c r="Z1568" i="44"/>
  <c r="Z1567" i="44"/>
  <c r="Z1566" i="44"/>
  <c r="Z1565" i="44"/>
  <c r="Z1564" i="44"/>
  <c r="Z1563" i="44"/>
  <c r="Z1562" i="44"/>
  <c r="Z1561" i="44"/>
  <c r="Z1560" i="44"/>
  <c r="Z1559" i="44"/>
  <c r="Z1558" i="44"/>
  <c r="Z1557" i="44"/>
  <c r="Z1556" i="44"/>
  <c r="Z1555" i="44"/>
  <c r="Z1554" i="44"/>
  <c r="Z1553" i="44"/>
  <c r="Z1552" i="44"/>
  <c r="Z1551" i="44"/>
  <c r="Z1550" i="44"/>
  <c r="Z1549" i="44"/>
  <c r="Z1548" i="44"/>
  <c r="Z1547" i="44"/>
  <c r="Z1546" i="44"/>
  <c r="Z1545" i="44"/>
  <c r="Z1544" i="44"/>
  <c r="Z1543" i="44"/>
  <c r="Z1542" i="44"/>
  <c r="Z1541" i="44"/>
  <c r="Z1540" i="44"/>
  <c r="Z1539" i="44"/>
  <c r="Z1538" i="44"/>
  <c r="Z1537" i="44"/>
  <c r="Z1536" i="44"/>
  <c r="Z1535" i="44"/>
  <c r="Z1534" i="44"/>
  <c r="Z1533" i="44"/>
  <c r="Z1532" i="44"/>
  <c r="Z1531" i="44"/>
  <c r="Z1530" i="44"/>
  <c r="Z1529" i="44"/>
  <c r="Z1528" i="44"/>
  <c r="Z1527" i="44"/>
  <c r="Z1526" i="44"/>
  <c r="Z1525" i="44"/>
  <c r="Z1524" i="44"/>
  <c r="Z1523" i="44"/>
  <c r="Z1522" i="44"/>
  <c r="Z1521" i="44"/>
  <c r="Z1520" i="44"/>
  <c r="Z1519" i="44"/>
  <c r="Z1518" i="44"/>
  <c r="Z1517" i="44"/>
  <c r="Z1516" i="44"/>
  <c r="Z1515" i="44"/>
  <c r="Z1514" i="44"/>
  <c r="Z1513" i="44"/>
  <c r="Z1512" i="44"/>
  <c r="Z1511" i="44"/>
  <c r="Z1510" i="44"/>
  <c r="Z1509" i="44"/>
  <c r="Z1508" i="44"/>
  <c r="Z1507" i="44"/>
  <c r="Z1506" i="44"/>
  <c r="Z1505" i="44"/>
  <c r="Z1504" i="44"/>
  <c r="Z1503" i="44"/>
  <c r="Z1502" i="44"/>
  <c r="Z1501" i="44"/>
  <c r="Z1500" i="44"/>
  <c r="Z1499" i="44"/>
  <c r="Z1498" i="44"/>
  <c r="Z1497" i="44"/>
  <c r="Z1496" i="44"/>
  <c r="Z1495" i="44"/>
  <c r="Z1494" i="44"/>
  <c r="Z1493" i="44"/>
  <c r="Z1492" i="44"/>
  <c r="Z1491" i="44"/>
  <c r="Z1490" i="44"/>
  <c r="Z1489" i="44"/>
  <c r="Z1488" i="44"/>
  <c r="Z1487" i="44"/>
  <c r="Z1486" i="44"/>
  <c r="Z1485" i="44"/>
  <c r="Z1484" i="44"/>
  <c r="Z1483" i="44"/>
  <c r="Z1482" i="44"/>
  <c r="Z1481" i="44"/>
  <c r="Z1480" i="44"/>
  <c r="Z1479" i="44"/>
  <c r="Z1478" i="44"/>
  <c r="Z1477" i="44"/>
  <c r="Z1476" i="44"/>
  <c r="Z1475" i="44"/>
  <c r="Z1474" i="44"/>
  <c r="Z1473" i="44"/>
  <c r="Z1472" i="44"/>
  <c r="Z1471" i="44"/>
  <c r="Z1470" i="44"/>
  <c r="Z1469" i="44"/>
  <c r="Z1468" i="44"/>
  <c r="Z1467" i="44"/>
  <c r="Z1466" i="44"/>
  <c r="Z1465" i="44"/>
  <c r="Z1464" i="44"/>
  <c r="Z1463" i="44"/>
  <c r="Z1462" i="44"/>
  <c r="Z1461" i="44"/>
  <c r="Z1460" i="44"/>
  <c r="Z1459" i="44"/>
  <c r="Z1458" i="44"/>
  <c r="Z1457" i="44"/>
  <c r="Z1456" i="44"/>
  <c r="Z1455" i="44"/>
  <c r="Z1454" i="44"/>
  <c r="Z1453" i="44"/>
  <c r="Z1452" i="44"/>
  <c r="Z1451" i="44"/>
  <c r="Z1450" i="44"/>
  <c r="Z1449" i="44"/>
  <c r="Z1448" i="44"/>
  <c r="Z1447" i="44"/>
  <c r="Z1446" i="44"/>
  <c r="Z1445" i="44"/>
  <c r="Z1444" i="44"/>
  <c r="Z1443" i="44"/>
  <c r="Z1442" i="44"/>
  <c r="Z1441" i="44"/>
  <c r="Z1440" i="44"/>
  <c r="Z1439" i="44"/>
  <c r="Z1438" i="44"/>
  <c r="Z1437" i="44"/>
  <c r="Z1436" i="44"/>
  <c r="Z1435" i="44"/>
  <c r="Z1434" i="44"/>
  <c r="Z1433" i="44"/>
  <c r="Z1432" i="44"/>
  <c r="Z1431" i="44"/>
  <c r="Z1430" i="44"/>
  <c r="Z1429" i="44"/>
  <c r="Z1428" i="44"/>
  <c r="Z1427" i="44"/>
  <c r="Z1426" i="44"/>
  <c r="Z1425" i="44"/>
  <c r="Z1424" i="44"/>
  <c r="Z1423" i="44"/>
  <c r="Z1422" i="44"/>
  <c r="Z1421" i="44"/>
  <c r="Z1420" i="44"/>
  <c r="Z1419" i="44"/>
  <c r="Z1418" i="44"/>
  <c r="Z1417" i="44"/>
  <c r="Z1416" i="44"/>
  <c r="Z1415" i="44"/>
  <c r="Z1414" i="44"/>
  <c r="Z1413" i="44"/>
  <c r="Z1412" i="44"/>
  <c r="Z1411" i="44"/>
  <c r="Z1410" i="44"/>
  <c r="Z1409" i="44"/>
  <c r="Z1408" i="44"/>
  <c r="Z1407" i="44"/>
  <c r="Z1406" i="44"/>
  <c r="Z1403" i="44"/>
  <c r="Z1402" i="44"/>
  <c r="Z1401" i="44"/>
  <c r="Z1400" i="44"/>
  <c r="Z1399" i="44"/>
  <c r="Z1398" i="44"/>
  <c r="Z1397" i="44"/>
  <c r="Z1394" i="44"/>
  <c r="Z1393" i="44"/>
  <c r="Z1392" i="44"/>
  <c r="Z1391" i="44"/>
  <c r="Z1390" i="44"/>
  <c r="Z1389" i="44"/>
  <c r="Z1388" i="44"/>
  <c r="Z1387" i="44"/>
  <c r="Z1383" i="44"/>
  <c r="Z1382" i="44"/>
  <c r="Z1381" i="44"/>
  <c r="Z1380" i="44"/>
  <c r="Z1379" i="44"/>
  <c r="Z1378" i="44"/>
  <c r="Z1377" i="44"/>
  <c r="Z1376" i="44"/>
  <c r="Z1375" i="44"/>
  <c r="Z1374" i="44"/>
  <c r="Z1373" i="44"/>
  <c r="Z1372" i="44"/>
  <c r="Z1371" i="44"/>
  <c r="Z1370" i="44"/>
  <c r="Z1369" i="44"/>
  <c r="Z1368" i="44"/>
  <c r="Z1367" i="44"/>
  <c r="Z1366" i="44"/>
  <c r="Z1365" i="44"/>
  <c r="Z1364" i="44"/>
  <c r="Z1363" i="44"/>
  <c r="Z1362" i="44"/>
  <c r="Z1361" i="44"/>
  <c r="Z1360" i="44"/>
  <c r="Z1359" i="44"/>
  <c r="Z1358" i="44"/>
  <c r="Z1357" i="44"/>
  <c r="Z1356" i="44"/>
  <c r="Z1355" i="44"/>
  <c r="Z1354" i="44"/>
  <c r="Z1353" i="44"/>
  <c r="Z1352" i="44"/>
  <c r="Z1351" i="44"/>
  <c r="Z1350" i="44"/>
  <c r="Z1349" i="44"/>
  <c r="Z1348" i="44"/>
  <c r="Z1347" i="44"/>
  <c r="Z1346" i="44"/>
  <c r="Z1345" i="44"/>
  <c r="Z1344" i="44"/>
  <c r="Z1343" i="44"/>
  <c r="Z1342" i="44"/>
  <c r="Z1341" i="44"/>
  <c r="Z1340" i="44"/>
  <c r="Z1339" i="44"/>
  <c r="Z1338" i="44"/>
  <c r="Z1337" i="44"/>
  <c r="Z1336" i="44"/>
  <c r="Z1335" i="44"/>
  <c r="Z1334" i="44"/>
  <c r="Z1333" i="44"/>
  <c r="Z1332" i="44"/>
  <c r="Z1331" i="44"/>
  <c r="Z1330" i="44"/>
  <c r="Z1329" i="44"/>
  <c r="Z1328" i="44"/>
  <c r="Z1327" i="44"/>
  <c r="Z1326" i="44"/>
  <c r="Z1325" i="44"/>
  <c r="Z1324" i="44"/>
  <c r="Z1323" i="44"/>
  <c r="Z1322" i="44"/>
  <c r="Z1321" i="44"/>
  <c r="Z1320" i="44"/>
  <c r="Z1319" i="44"/>
  <c r="Z1318" i="44"/>
  <c r="Z1317" i="44"/>
  <c r="Z1316" i="44"/>
  <c r="Z1315" i="44"/>
  <c r="Z1314" i="44"/>
  <c r="Z1313" i="44"/>
  <c r="Z1312" i="44"/>
  <c r="Z1311" i="44"/>
  <c r="Z1310" i="44"/>
  <c r="Z1309" i="44"/>
  <c r="Z1308" i="44"/>
  <c r="Z1307" i="44"/>
  <c r="Z1306" i="44"/>
  <c r="Z1305" i="44"/>
  <c r="Z1304" i="44"/>
  <c r="Z1303" i="44"/>
  <c r="Z1302" i="44"/>
  <c r="Z1301" i="44"/>
  <c r="Z1300" i="44"/>
  <c r="Z1299" i="44"/>
  <c r="Z1298" i="44"/>
  <c r="Z1297" i="44"/>
  <c r="Z1296" i="44"/>
  <c r="Z1295" i="44"/>
  <c r="Z1294" i="44"/>
  <c r="Z1293" i="44"/>
  <c r="Z1292" i="44"/>
  <c r="Z1291" i="44"/>
  <c r="Z1290" i="44"/>
  <c r="Z1289" i="44"/>
  <c r="Z1288" i="44"/>
  <c r="Z1287" i="44"/>
  <c r="Z1286" i="44"/>
  <c r="Z1285" i="44"/>
  <c r="Z1284" i="44"/>
  <c r="Z1283" i="44"/>
  <c r="Z1282" i="44"/>
  <c r="Z1281" i="44"/>
  <c r="Z1280" i="44"/>
  <c r="Z1279" i="44"/>
  <c r="Z1278" i="44"/>
  <c r="Z1277" i="44"/>
  <c r="Z1276" i="44"/>
  <c r="Z1275" i="44"/>
  <c r="Z1274" i="44"/>
  <c r="Z1273" i="44"/>
  <c r="Z1272" i="44"/>
  <c r="Z1271" i="44"/>
  <c r="Z1270" i="44"/>
  <c r="Z1269" i="44"/>
  <c r="Z1268" i="44"/>
  <c r="Z1267" i="44"/>
  <c r="Z1266" i="44"/>
  <c r="Z1265" i="44"/>
  <c r="Z1264" i="44"/>
  <c r="Z1263" i="44"/>
  <c r="Z1262" i="44"/>
  <c r="Z1261" i="44"/>
  <c r="Z1260" i="44"/>
  <c r="Z1259" i="44"/>
  <c r="Z1258" i="44"/>
  <c r="Z1257" i="44"/>
  <c r="Z1256" i="44"/>
  <c r="Z1255" i="44"/>
  <c r="Z1254" i="44"/>
  <c r="Z1253" i="44"/>
  <c r="Z1252" i="44"/>
  <c r="Z1251" i="44"/>
  <c r="Z1250" i="44"/>
  <c r="Z1249" i="44"/>
  <c r="Z1248" i="44"/>
  <c r="Z1247" i="44"/>
  <c r="Z1246" i="44"/>
  <c r="Z1245" i="44"/>
  <c r="Z1244" i="44"/>
  <c r="Z1243" i="44"/>
  <c r="Z1242" i="44"/>
  <c r="Z1241" i="44"/>
  <c r="Z1240" i="44"/>
  <c r="Z1239" i="44"/>
  <c r="Z1238" i="44"/>
  <c r="Z1237" i="44"/>
  <c r="Z1236" i="44"/>
  <c r="Z1235" i="44"/>
  <c r="Z1234" i="44"/>
  <c r="Z1233" i="44"/>
  <c r="Z1232" i="44"/>
  <c r="Z1231" i="44"/>
  <c r="Z1230" i="44"/>
  <c r="Z1229" i="44"/>
  <c r="Z1228" i="44"/>
  <c r="Z1227" i="44"/>
  <c r="Z1226" i="44"/>
  <c r="Z1225" i="44"/>
  <c r="Z1224" i="44"/>
  <c r="Z1223" i="44"/>
  <c r="Z1222" i="44"/>
  <c r="Z1221" i="44"/>
  <c r="Z1220" i="44"/>
  <c r="Z1219" i="44"/>
  <c r="Z1218" i="44"/>
  <c r="Z1217" i="44"/>
  <c r="Z1216" i="44"/>
  <c r="Z1215" i="44"/>
  <c r="Z1214" i="44"/>
  <c r="Z1213" i="44"/>
  <c r="Z1212" i="44"/>
  <c r="Z1211" i="44"/>
  <c r="Z1210" i="44"/>
  <c r="Z1209" i="44"/>
  <c r="Z1208" i="44"/>
  <c r="Z1207" i="44"/>
  <c r="Z1206" i="44"/>
  <c r="Z1205" i="44"/>
  <c r="Z1204" i="44"/>
  <c r="Z1203" i="44"/>
  <c r="Z1202" i="44"/>
  <c r="Z1201" i="44"/>
  <c r="Z1200" i="44"/>
  <c r="Z1199" i="44"/>
  <c r="Z1198" i="44"/>
  <c r="Z1197" i="44"/>
  <c r="Z1196" i="44"/>
  <c r="Z1195" i="44"/>
  <c r="Z1194" i="44"/>
  <c r="Z1193" i="44"/>
  <c r="Z1192" i="44"/>
  <c r="Z1191" i="44"/>
  <c r="Z1190" i="44"/>
  <c r="Z1189" i="44"/>
  <c r="Z1188" i="44"/>
  <c r="Z1187" i="44"/>
  <c r="Z1186" i="44"/>
  <c r="Z1185" i="44"/>
  <c r="Z1184" i="44"/>
  <c r="Z1183" i="44"/>
  <c r="Z1182" i="44"/>
  <c r="Z1181" i="44"/>
  <c r="Z1180" i="44"/>
  <c r="Z1179" i="44"/>
  <c r="Z1178" i="44"/>
  <c r="Z1177" i="44"/>
  <c r="Z1176" i="44"/>
  <c r="Z1175" i="44"/>
  <c r="Z1174" i="44"/>
  <c r="Z1173" i="44"/>
  <c r="Z1172" i="44"/>
  <c r="Z1171" i="44"/>
  <c r="Z1170" i="44"/>
  <c r="Z1169" i="44"/>
  <c r="Z1168" i="44"/>
  <c r="Z1167" i="44"/>
  <c r="Z1166" i="44"/>
  <c r="Z1165" i="44"/>
  <c r="Z1164" i="44"/>
  <c r="Z1163" i="44"/>
  <c r="Z1162" i="44"/>
  <c r="Z1161" i="44"/>
  <c r="Z1160" i="44"/>
  <c r="Z1159" i="44"/>
  <c r="Z1158" i="44"/>
  <c r="Z1157" i="44"/>
  <c r="Z1156" i="44"/>
  <c r="Z1155" i="44"/>
  <c r="Z1154" i="44"/>
  <c r="Z1153" i="44"/>
  <c r="Z1152" i="44"/>
  <c r="Z1151" i="44"/>
  <c r="Z1150" i="44"/>
  <c r="Z1149" i="44"/>
  <c r="Z1148" i="44"/>
  <c r="Z1147" i="44"/>
  <c r="Z1146" i="44"/>
  <c r="Z1145" i="44"/>
  <c r="Z1144" i="44"/>
  <c r="Z1143" i="44"/>
  <c r="Z1142" i="44"/>
  <c r="Z1141" i="44"/>
  <c r="Z1140" i="44"/>
  <c r="Z1139" i="44"/>
  <c r="Z1138" i="44"/>
  <c r="Z1137" i="44"/>
  <c r="Z1136" i="44"/>
  <c r="Z1135" i="44"/>
  <c r="Z1134" i="44"/>
  <c r="Z1133" i="44"/>
  <c r="Z1132" i="44"/>
  <c r="Z1131" i="44"/>
  <c r="Z1130" i="44"/>
  <c r="Z1129" i="44"/>
  <c r="Z1128" i="44"/>
  <c r="Z1127" i="44"/>
  <c r="Z1126" i="44"/>
  <c r="Z1125" i="44"/>
  <c r="Z1124" i="44"/>
  <c r="Z1123" i="44"/>
  <c r="Z1122" i="44"/>
  <c r="Z1121" i="44"/>
  <c r="Z1120" i="44"/>
  <c r="Z1119" i="44"/>
  <c r="Z1118" i="44"/>
  <c r="Z1117" i="44"/>
  <c r="Z1116" i="44"/>
  <c r="Z1115" i="44"/>
  <c r="Z1114" i="44"/>
  <c r="Z1113" i="44"/>
  <c r="Z1112" i="44"/>
  <c r="Z1111" i="44"/>
  <c r="Z1110" i="44"/>
  <c r="Z1109" i="44"/>
  <c r="Z1108" i="44"/>
  <c r="Z1107" i="44"/>
  <c r="Z1106" i="44"/>
  <c r="Z1105" i="44"/>
  <c r="Z1104" i="44"/>
  <c r="Z1103" i="44"/>
  <c r="Z1102" i="44"/>
  <c r="Z1101" i="44"/>
  <c r="Z1100" i="44"/>
  <c r="Z1099" i="44"/>
  <c r="Z1098" i="44"/>
  <c r="Z1097" i="44"/>
  <c r="Z1096" i="44"/>
  <c r="Z1095" i="44"/>
  <c r="Z1094" i="44"/>
  <c r="Z1093" i="44"/>
  <c r="Z1092" i="44"/>
  <c r="Z1091" i="44"/>
  <c r="Z1090" i="44"/>
  <c r="Z1089" i="44"/>
  <c r="Z1088" i="44"/>
  <c r="Z1087" i="44"/>
  <c r="Z1086" i="44"/>
  <c r="Z1085" i="44"/>
  <c r="Z1084" i="44"/>
  <c r="Z1083" i="44"/>
  <c r="Z1082" i="44"/>
  <c r="Z1081" i="44"/>
  <c r="Z1080" i="44"/>
  <c r="Z1079" i="44"/>
  <c r="Z1078" i="44"/>
  <c r="Z1077" i="44"/>
  <c r="Z1076" i="44"/>
  <c r="Z1075" i="44"/>
  <c r="Z1074" i="44"/>
  <c r="Z1073" i="44"/>
  <c r="Z1072" i="44"/>
  <c r="Z1071" i="44"/>
  <c r="Z1070" i="44"/>
  <c r="Z1069" i="44"/>
  <c r="Z1068" i="44"/>
  <c r="Z1067" i="44"/>
  <c r="Z1066" i="44"/>
  <c r="Z1065" i="44"/>
  <c r="Z1064" i="44"/>
  <c r="Z1063" i="44"/>
  <c r="Z1062" i="44"/>
  <c r="Z1061" i="44"/>
  <c r="Z1060" i="44"/>
  <c r="Z1059" i="44"/>
  <c r="Z1057" i="44"/>
  <c r="Z1056" i="44"/>
  <c r="Z1055" i="44"/>
  <c r="Z1054" i="44"/>
  <c r="Z1053" i="44"/>
  <c r="Z1052" i="44"/>
  <c r="Z1051" i="44"/>
  <c r="Z1050" i="44"/>
  <c r="Z1049" i="44"/>
  <c r="Z1048" i="44"/>
  <c r="Z1047" i="44"/>
  <c r="Z1045" i="44"/>
  <c r="Z1044" i="44"/>
  <c r="Z1043" i="44"/>
  <c r="Z1042" i="44"/>
  <c r="Z1041" i="44"/>
  <c r="Z1040" i="44"/>
  <c r="Z1039" i="44"/>
  <c r="Z1038" i="44"/>
  <c r="Z1037" i="44"/>
  <c r="Z1036" i="44"/>
  <c r="Z1035" i="44"/>
  <c r="Z1034" i="44"/>
  <c r="Z1033" i="44"/>
  <c r="Z1032" i="44"/>
  <c r="Z1031" i="44"/>
  <c r="Z1030" i="44"/>
  <c r="Z1029" i="44"/>
  <c r="Z1028" i="44"/>
  <c r="Z1027" i="44"/>
  <c r="Z1026" i="44"/>
  <c r="Z1025" i="44"/>
  <c r="Z1024" i="44"/>
  <c r="Z1023" i="44"/>
  <c r="Z1022" i="44"/>
  <c r="Z1021" i="44"/>
  <c r="Z1020" i="44"/>
  <c r="Z1019" i="44"/>
  <c r="Z1018" i="44"/>
  <c r="Z1017" i="44"/>
  <c r="Z1016" i="44"/>
  <c r="Z1015" i="44"/>
  <c r="Z1014" i="44"/>
  <c r="Z1013" i="44"/>
  <c r="Z1012" i="44"/>
  <c r="Z1011" i="44"/>
  <c r="Z1010" i="44"/>
  <c r="Z1009" i="44"/>
  <c r="Z1008" i="44"/>
  <c r="Z1007" i="44"/>
  <c r="Z1006" i="44"/>
  <c r="Z1005" i="44"/>
  <c r="Z1004" i="44"/>
  <c r="Z1003" i="44"/>
  <c r="Z1002" i="44"/>
  <c r="Z1001" i="44"/>
  <c r="Z997" i="44"/>
  <c r="Z996" i="44"/>
  <c r="Z995" i="44"/>
  <c r="Z994" i="44"/>
  <c r="Z993" i="44"/>
  <c r="Z992" i="44"/>
  <c r="Z991" i="44"/>
  <c r="Z990" i="44"/>
  <c r="Z989" i="44"/>
  <c r="Z988" i="44"/>
  <c r="Z987" i="44"/>
  <c r="Z986" i="44"/>
  <c r="Z985" i="44"/>
  <c r="Z984" i="44"/>
  <c r="Z983" i="44"/>
  <c r="Z982" i="44"/>
  <c r="Z981" i="44"/>
  <c r="Z980" i="44"/>
  <c r="Z979" i="44"/>
  <c r="Z978" i="44"/>
  <c r="Z977" i="44"/>
  <c r="Z976" i="44"/>
  <c r="Z975" i="44"/>
  <c r="Z974" i="44"/>
  <c r="Z973" i="44"/>
  <c r="Z972" i="44"/>
  <c r="Z971" i="44"/>
  <c r="Z970" i="44"/>
  <c r="Z969" i="44"/>
  <c r="Z968" i="44"/>
  <c r="Z967" i="44"/>
  <c r="Z966" i="44"/>
  <c r="Z965" i="44"/>
  <c r="Z964" i="44"/>
  <c r="Z963" i="44"/>
  <c r="Z962" i="44"/>
  <c r="Z960" i="44"/>
  <c r="Z959" i="44"/>
  <c r="Z958" i="44"/>
  <c r="Z957" i="44"/>
  <c r="Z956" i="44"/>
  <c r="Z955" i="44"/>
  <c r="Z954" i="44"/>
  <c r="Z953" i="44"/>
  <c r="Z952" i="44"/>
  <c r="Z951" i="44"/>
  <c r="Z950" i="44"/>
  <c r="Z949" i="44"/>
  <c r="Z948" i="44"/>
  <c r="Z947" i="44"/>
  <c r="Z946" i="44"/>
  <c r="Z945" i="44"/>
  <c r="Z944" i="44"/>
  <c r="Z943" i="44"/>
  <c r="Z942" i="44"/>
  <c r="Z941" i="44"/>
  <c r="Z940" i="44"/>
  <c r="Z939" i="44"/>
  <c r="Z938" i="44"/>
  <c r="Z937" i="44"/>
  <c r="Z936" i="44"/>
  <c r="Z935" i="44"/>
  <c r="Z934" i="44"/>
  <c r="Z933" i="44"/>
  <c r="Z932" i="44"/>
  <c r="Z931" i="44"/>
  <c r="Z930" i="44"/>
  <c r="Z929" i="44"/>
  <c r="Z928" i="44"/>
  <c r="Z927" i="44"/>
  <c r="Z926" i="44"/>
  <c r="Z925" i="44"/>
  <c r="Z924" i="44"/>
  <c r="Z923" i="44"/>
  <c r="Z922" i="44"/>
  <c r="Z921" i="44"/>
  <c r="Z920" i="44"/>
  <c r="Z919" i="44"/>
  <c r="Z918" i="44"/>
  <c r="Z917" i="44"/>
  <c r="Z916" i="44"/>
  <c r="Z915" i="44"/>
  <c r="Z914" i="44"/>
  <c r="Z913" i="44"/>
  <c r="Z912" i="44"/>
  <c r="Z911" i="44"/>
  <c r="Z910" i="44"/>
  <c r="Z909" i="44"/>
  <c r="Z908" i="44"/>
  <c r="Z907" i="44"/>
  <c r="Z906" i="44"/>
  <c r="Z905" i="44"/>
  <c r="Z904" i="44"/>
  <c r="Z903" i="44"/>
  <c r="Z902" i="44"/>
  <c r="Z901" i="44"/>
  <c r="Z900" i="44"/>
  <c r="Z899" i="44"/>
  <c r="Z898" i="44"/>
  <c r="Z897" i="44"/>
  <c r="Z896" i="44"/>
  <c r="Z895" i="44"/>
  <c r="Z894" i="44"/>
  <c r="Z893" i="44"/>
  <c r="Z892" i="44"/>
  <c r="Z891" i="44"/>
  <c r="Z890" i="44"/>
  <c r="Z889" i="44"/>
  <c r="Z888" i="44"/>
  <c r="Z887" i="44"/>
  <c r="Z886" i="44"/>
  <c r="Z885" i="44"/>
  <c r="Z884" i="44"/>
  <c r="Z883" i="44"/>
  <c r="Z882" i="44"/>
  <c r="Z881" i="44"/>
  <c r="Z880" i="44"/>
  <c r="Z879" i="44"/>
  <c r="Z878" i="44"/>
  <c r="Z877" i="44"/>
  <c r="Z876" i="44"/>
  <c r="Z875" i="44"/>
  <c r="Z874" i="44"/>
  <c r="Z873" i="44"/>
  <c r="Z872" i="44"/>
  <c r="Z871" i="44"/>
  <c r="Z870" i="44"/>
  <c r="Z869" i="44"/>
  <c r="Z868" i="44"/>
  <c r="Z867" i="44"/>
  <c r="Z866" i="44"/>
  <c r="Z865" i="44"/>
  <c r="Z864" i="44"/>
  <c r="Z863" i="44"/>
  <c r="Z862" i="44"/>
  <c r="Z861" i="44"/>
  <c r="Z860" i="44"/>
  <c r="Z859" i="44"/>
  <c r="Z858" i="44"/>
  <c r="Z857" i="44"/>
  <c r="Z856" i="44"/>
  <c r="Z855" i="44"/>
  <c r="Z854" i="44"/>
  <c r="Z853" i="44"/>
  <c r="Z852" i="44"/>
  <c r="Z851" i="44"/>
  <c r="Z850" i="44"/>
  <c r="Z849" i="44"/>
  <c r="Z848" i="44"/>
  <c r="Z847" i="44"/>
  <c r="Z846" i="44"/>
  <c r="Z845" i="44"/>
  <c r="Z844" i="44"/>
  <c r="Z843" i="44"/>
  <c r="Z842" i="44"/>
  <c r="Z841" i="44"/>
  <c r="Z840" i="44"/>
  <c r="Z839" i="44"/>
  <c r="Z838" i="44"/>
  <c r="Z837" i="44"/>
  <c r="Z836" i="44"/>
  <c r="Z835" i="44"/>
  <c r="Z834" i="44"/>
  <c r="Z833" i="44"/>
  <c r="Z832" i="44"/>
  <c r="Z831" i="44"/>
  <c r="Z830" i="44"/>
  <c r="Z829" i="44"/>
  <c r="Z828" i="44"/>
  <c r="Z827" i="44"/>
  <c r="Z826" i="44"/>
  <c r="Z825" i="44"/>
  <c r="Z824" i="44"/>
  <c r="Z823" i="44"/>
  <c r="Z822" i="44"/>
  <c r="Z821" i="44"/>
  <c r="Z820" i="44"/>
  <c r="Z819" i="44"/>
  <c r="Z818" i="44"/>
  <c r="Z817" i="44"/>
  <c r="Z816" i="44"/>
  <c r="Z815" i="44"/>
  <c r="Z814" i="44"/>
  <c r="Z813" i="44"/>
  <c r="Z812" i="44"/>
  <c r="Z811" i="44"/>
  <c r="Z810" i="44"/>
  <c r="Z809" i="44"/>
  <c r="Z808" i="44"/>
  <c r="Z807" i="44"/>
  <c r="Z806" i="44"/>
  <c r="Z805" i="44"/>
  <c r="Z804" i="44"/>
  <c r="Z803" i="44"/>
  <c r="Z802" i="44"/>
  <c r="Z801" i="44"/>
  <c r="Z800" i="44"/>
  <c r="Z799" i="44"/>
  <c r="Z798" i="44"/>
  <c r="Z797" i="44"/>
  <c r="Z796" i="44"/>
  <c r="Z795" i="44"/>
  <c r="Z794" i="44"/>
  <c r="Z793" i="44"/>
  <c r="Z792" i="44"/>
  <c r="Z791" i="44"/>
  <c r="Z790" i="44"/>
  <c r="Z789" i="44"/>
  <c r="Z788" i="44"/>
  <c r="Z787" i="44"/>
  <c r="Z786" i="44"/>
  <c r="Z785" i="44"/>
  <c r="Z784" i="44"/>
  <c r="Z783" i="44"/>
  <c r="Z782" i="44"/>
  <c r="Z781" i="44"/>
  <c r="Z780" i="44"/>
  <c r="Z779" i="44"/>
  <c r="Z778" i="44"/>
  <c r="Z777" i="44"/>
  <c r="Z776" i="44"/>
  <c r="Z775" i="44"/>
  <c r="Z774" i="44"/>
  <c r="Z773" i="44"/>
  <c r="Z772" i="44"/>
  <c r="Z771" i="44"/>
  <c r="Z770" i="44"/>
  <c r="Z769" i="44"/>
  <c r="Z768" i="44"/>
  <c r="Z767" i="44"/>
  <c r="Z766" i="44"/>
  <c r="Z765" i="44"/>
  <c r="Z764" i="44"/>
  <c r="Z763" i="44"/>
  <c r="Z762" i="44"/>
  <c r="Z761" i="44"/>
  <c r="Z759" i="44"/>
  <c r="Z758" i="44"/>
  <c r="Z757" i="44"/>
  <c r="Z756" i="44"/>
  <c r="Z755" i="44"/>
  <c r="Z754" i="44"/>
  <c r="Z753" i="44"/>
  <c r="Z752" i="44"/>
  <c r="Z749" i="44"/>
  <c r="Z748" i="44"/>
  <c r="Z747" i="44"/>
  <c r="Z746" i="44"/>
  <c r="Z745" i="44"/>
  <c r="Z744" i="44"/>
  <c r="Z743" i="44"/>
  <c r="Z742" i="44"/>
  <c r="Z741" i="44"/>
  <c r="Z740" i="44"/>
  <c r="Z739" i="44"/>
  <c r="Z738" i="44"/>
  <c r="Z737" i="44"/>
  <c r="Z736" i="44"/>
  <c r="Z735" i="44"/>
  <c r="Z734" i="44"/>
  <c r="Z733" i="44"/>
  <c r="Z732" i="44"/>
  <c r="Z731" i="44"/>
  <c r="Z730" i="44"/>
  <c r="Z729" i="44"/>
  <c r="Z728" i="44"/>
  <c r="Z727" i="44"/>
  <c r="Z726" i="44"/>
  <c r="Z725" i="44"/>
  <c r="Z724" i="44"/>
  <c r="Z723" i="44"/>
  <c r="Z722" i="44"/>
  <c r="Z721" i="44"/>
  <c r="Z720" i="44"/>
  <c r="Z719" i="44"/>
  <c r="Z718" i="44"/>
  <c r="Z717" i="44"/>
  <c r="Z716" i="44"/>
  <c r="Z715" i="44"/>
  <c r="Z714" i="44"/>
  <c r="Z713" i="44"/>
  <c r="Z712" i="44"/>
  <c r="Z711" i="44"/>
  <c r="Z710" i="44"/>
  <c r="Z709" i="44"/>
  <c r="Z708" i="44"/>
  <c r="Z707" i="44"/>
  <c r="Z706" i="44"/>
  <c r="Z705" i="44"/>
  <c r="Z704" i="44"/>
  <c r="Z703" i="44"/>
  <c r="Z702" i="44"/>
  <c r="Z701" i="44"/>
  <c r="Z700" i="44"/>
  <c r="Z699" i="44"/>
  <c r="Z698" i="44"/>
  <c r="Z697" i="44"/>
  <c r="Z696" i="44"/>
  <c r="Z695" i="44"/>
  <c r="Z694" i="44"/>
  <c r="Z693" i="44"/>
  <c r="Z692" i="44"/>
  <c r="Z691" i="44"/>
  <c r="Z690" i="44"/>
  <c r="Z689" i="44"/>
  <c r="Z688" i="44"/>
  <c r="Z687" i="44"/>
  <c r="Z686" i="44"/>
  <c r="Z685" i="44"/>
  <c r="Z684" i="44"/>
  <c r="Z683" i="44"/>
  <c r="Z682" i="44"/>
  <c r="Z681" i="44"/>
  <c r="Z680" i="44"/>
  <c r="Z679" i="44"/>
  <c r="Z678" i="44"/>
  <c r="Z677" i="44"/>
  <c r="Z676" i="44"/>
  <c r="Z675" i="44"/>
  <c r="Z674" i="44"/>
  <c r="Z673" i="44"/>
  <c r="Z672" i="44"/>
  <c r="Z671" i="44"/>
  <c r="Z670" i="44"/>
  <c r="Z669" i="44"/>
  <c r="Z668" i="44"/>
  <c r="Z667" i="44"/>
  <c r="Z666" i="44"/>
  <c r="Z665" i="44"/>
  <c r="Z664" i="44"/>
  <c r="Z663" i="44"/>
  <c r="Z662" i="44"/>
  <c r="Z661" i="44"/>
  <c r="Z660" i="44"/>
  <c r="Z659" i="44"/>
  <c r="Z658" i="44"/>
  <c r="Z657" i="44"/>
  <c r="Z656" i="44"/>
  <c r="Z655" i="44"/>
  <c r="Z654" i="44"/>
  <c r="Z653" i="44"/>
  <c r="Z652" i="44"/>
  <c r="Z650" i="44"/>
  <c r="Z649" i="44"/>
  <c r="Z648" i="44"/>
  <c r="Z647" i="44"/>
  <c r="Z646" i="44"/>
  <c r="Z645" i="44"/>
  <c r="Z644" i="44"/>
  <c r="Z643" i="44"/>
  <c r="Z642" i="44"/>
  <c r="Z641" i="44"/>
  <c r="Z640" i="44"/>
  <c r="Z639" i="44"/>
  <c r="Z638" i="44"/>
  <c r="Z637" i="44"/>
  <c r="Z636" i="44"/>
  <c r="Z635" i="44"/>
  <c r="Z634" i="44"/>
  <c r="Z633" i="44"/>
  <c r="Z632" i="44"/>
  <c r="Z631" i="44"/>
  <c r="Z630" i="44"/>
  <c r="Z629" i="44"/>
  <c r="Z628" i="44"/>
  <c r="Z627" i="44"/>
  <c r="Z626" i="44"/>
  <c r="Z625" i="44"/>
  <c r="Z624" i="44"/>
  <c r="Z623" i="44"/>
  <c r="Z622" i="44"/>
  <c r="Z621" i="44"/>
  <c r="Z620" i="44"/>
  <c r="Z619" i="44"/>
  <c r="Z618" i="44"/>
  <c r="Z617" i="44"/>
  <c r="Z616" i="44"/>
  <c r="Z615" i="44"/>
  <c r="Z614" i="44"/>
  <c r="Z613" i="44"/>
  <c r="Z612" i="44"/>
  <c r="Z611" i="44"/>
  <c r="Z610" i="44"/>
  <c r="Z609" i="44"/>
  <c r="Z608" i="44"/>
  <c r="Z607" i="44"/>
  <c r="Z606" i="44"/>
  <c r="Z605" i="44"/>
  <c r="Z604" i="44"/>
  <c r="Z603" i="44"/>
  <c r="Z602" i="44"/>
  <c r="Z601" i="44"/>
  <c r="Z600" i="44"/>
  <c r="Z599" i="44"/>
  <c r="Z598" i="44"/>
  <c r="Z597" i="44"/>
  <c r="Z596" i="44"/>
  <c r="Z595" i="44"/>
  <c r="Z594" i="44"/>
  <c r="Z593" i="44"/>
  <c r="Z592" i="44"/>
  <c r="Z591" i="44"/>
  <c r="Z590" i="44"/>
  <c r="Z589" i="44"/>
  <c r="Z588" i="44"/>
  <c r="Z587" i="44"/>
  <c r="Z586" i="44"/>
  <c r="Z585" i="44"/>
  <c r="Z584" i="44"/>
  <c r="Z583" i="44"/>
  <c r="Z582" i="44"/>
  <c r="Z581" i="44"/>
  <c r="Z580" i="44"/>
  <c r="Z579" i="44"/>
  <c r="Z578" i="44"/>
  <c r="Z577" i="44"/>
  <c r="Z576" i="44"/>
  <c r="Z575" i="44"/>
  <c r="Z574" i="44"/>
  <c r="Z573" i="44"/>
  <c r="Z572" i="44"/>
  <c r="Z571" i="44"/>
  <c r="Z570" i="44"/>
  <c r="Z569" i="44"/>
  <c r="Z568" i="44"/>
  <c r="Z567" i="44"/>
  <c r="Z566" i="44"/>
  <c r="Z565" i="44"/>
  <c r="Z564" i="44"/>
  <c r="Z563" i="44"/>
  <c r="Z562" i="44"/>
  <c r="Z561" i="44"/>
  <c r="Z560" i="44"/>
  <c r="Z559" i="44"/>
  <c r="Z558" i="44"/>
  <c r="Z557" i="44"/>
  <c r="Z556" i="44"/>
  <c r="Z555" i="44"/>
  <c r="Z554" i="44"/>
  <c r="Z553" i="44"/>
  <c r="Z552" i="44"/>
  <c r="Z551" i="44"/>
  <c r="Z550" i="44"/>
  <c r="Z549" i="44"/>
  <c r="Z548" i="44"/>
  <c r="Z547" i="44"/>
  <c r="Z546" i="44"/>
  <c r="Z545" i="44"/>
  <c r="Z544" i="44"/>
  <c r="Z543" i="44"/>
  <c r="Z542" i="44"/>
  <c r="Z541" i="44"/>
  <c r="Z540" i="44"/>
  <c r="Z539" i="44"/>
  <c r="Z538" i="44"/>
  <c r="Z537" i="44"/>
  <c r="Z536" i="44"/>
  <c r="Z535" i="44"/>
  <c r="Z534" i="44"/>
  <c r="Z533" i="44"/>
  <c r="Z532" i="44"/>
  <c r="Z531" i="44"/>
  <c r="Z530" i="44"/>
  <c r="Z529" i="44"/>
  <c r="Z528" i="44"/>
  <c r="Z527" i="44"/>
  <c r="Z526" i="44"/>
  <c r="Z525" i="44"/>
  <c r="Z524" i="44"/>
  <c r="Z523" i="44"/>
  <c r="Z522" i="44"/>
  <c r="Z521" i="44"/>
  <c r="Z520" i="44"/>
  <c r="Z519" i="44"/>
  <c r="Z518" i="44"/>
  <c r="Z517" i="44"/>
  <c r="Z516" i="44"/>
  <c r="Z515" i="44"/>
  <c r="Z514" i="44"/>
  <c r="Z513" i="44"/>
  <c r="Z512" i="44"/>
  <c r="Z511" i="44"/>
  <c r="Z510" i="44"/>
  <c r="Z509" i="44"/>
  <c r="Z508" i="44"/>
  <c r="Z507" i="44"/>
  <c r="Z506" i="44"/>
  <c r="Z505" i="44"/>
  <c r="Z504" i="44"/>
  <c r="Z503" i="44"/>
  <c r="Z502" i="44"/>
  <c r="Z501" i="44"/>
  <c r="Z500" i="44"/>
  <c r="Z499" i="44"/>
  <c r="Z498" i="44"/>
  <c r="Z497" i="44"/>
  <c r="Z496" i="44"/>
  <c r="Z495" i="44"/>
  <c r="Z494" i="44"/>
  <c r="Z493" i="44"/>
  <c r="Z492" i="44"/>
  <c r="Z491" i="44"/>
  <c r="Z490" i="44"/>
  <c r="Z489" i="44"/>
  <c r="Z488" i="44"/>
  <c r="Z487" i="44"/>
  <c r="Z486" i="44"/>
  <c r="Z485" i="44"/>
  <c r="Z484" i="44"/>
  <c r="Z483" i="44"/>
  <c r="Z482" i="44"/>
  <c r="Z481" i="44"/>
  <c r="Z480" i="44"/>
  <c r="Z479" i="44"/>
  <c r="Z478" i="44"/>
  <c r="Z477" i="44"/>
  <c r="Z476" i="44"/>
  <c r="Z475" i="44"/>
  <c r="Z474" i="44"/>
  <c r="Z473" i="44"/>
  <c r="Z472" i="44"/>
  <c r="Z471" i="44"/>
  <c r="Z470" i="44"/>
  <c r="Z469" i="44"/>
  <c r="Z468" i="44"/>
  <c r="Z467" i="44"/>
  <c r="Z466" i="44"/>
  <c r="Z465" i="44"/>
  <c r="Z464" i="44"/>
  <c r="Z463" i="44"/>
  <c r="Z462" i="44"/>
  <c r="Z461" i="44"/>
  <c r="Z460" i="44"/>
  <c r="Z459" i="44"/>
  <c r="Z458" i="44"/>
  <c r="Z457" i="44"/>
  <c r="Z456" i="44"/>
  <c r="Z455" i="44"/>
  <c r="Z454" i="44"/>
  <c r="Z453" i="44"/>
  <c r="Z452" i="44"/>
  <c r="Z451" i="44"/>
  <c r="Z450" i="44"/>
  <c r="Z449" i="44"/>
  <c r="Z448" i="44"/>
  <c r="Z447" i="44"/>
  <c r="Z446" i="44"/>
  <c r="Z445" i="44"/>
  <c r="Z444" i="44"/>
  <c r="Z443" i="44"/>
  <c r="Z442" i="44"/>
  <c r="Z438" i="44"/>
  <c r="Z437" i="44"/>
  <c r="Z436" i="44"/>
  <c r="Z435" i="44"/>
  <c r="Z434" i="44"/>
  <c r="Z433" i="44"/>
  <c r="Z432" i="44"/>
  <c r="Z431" i="44"/>
  <c r="Z429" i="44"/>
  <c r="Z428" i="44"/>
  <c r="Z427" i="44"/>
  <c r="Z426" i="44"/>
  <c r="Z425" i="44"/>
  <c r="Z424" i="44"/>
  <c r="Z423" i="44"/>
  <c r="Z422" i="44"/>
  <c r="Z421" i="44"/>
  <c r="Z420" i="44"/>
  <c r="Z419" i="44"/>
  <c r="Z418" i="44"/>
  <c r="Z417" i="44"/>
  <c r="Z416" i="44"/>
  <c r="Z415" i="44"/>
  <c r="Z414" i="44"/>
  <c r="Z413" i="44"/>
  <c r="Z412" i="44"/>
  <c r="Z411" i="44"/>
  <c r="Z410" i="44"/>
  <c r="Z409" i="44"/>
  <c r="Z408" i="44"/>
  <c r="Z407" i="44"/>
  <c r="Z406" i="44"/>
  <c r="Z405" i="44"/>
  <c r="Z404" i="44"/>
  <c r="Z403" i="44"/>
  <c r="Z402" i="44"/>
  <c r="Z401" i="44"/>
  <c r="Z400" i="44"/>
  <c r="Z399" i="44"/>
  <c r="Z398" i="44"/>
  <c r="Z397" i="44"/>
  <c r="Z396" i="44"/>
  <c r="Z395" i="44"/>
  <c r="Z394" i="44"/>
  <c r="Z393" i="44"/>
  <c r="Z392" i="44"/>
  <c r="Z391" i="44"/>
  <c r="Z390" i="44"/>
  <c r="Z389" i="44"/>
  <c r="Z388" i="44"/>
  <c r="Z387" i="44"/>
  <c r="Z386" i="44"/>
  <c r="Z385" i="44"/>
  <c r="Z384" i="44"/>
  <c r="Z383" i="44"/>
  <c r="Z382" i="44"/>
  <c r="Z381" i="44"/>
  <c r="Z380" i="44"/>
  <c r="Z379" i="44"/>
  <c r="Z378" i="44"/>
  <c r="Z377" i="44"/>
  <c r="Z376" i="44"/>
  <c r="Z375" i="44"/>
  <c r="Z374" i="44"/>
  <c r="Z373" i="44"/>
  <c r="Z372" i="44"/>
  <c r="Z371" i="44"/>
  <c r="Z370" i="44"/>
  <c r="Z369" i="44"/>
  <c r="Z368" i="44"/>
  <c r="Z367" i="44"/>
  <c r="Z366" i="44"/>
  <c r="Z365" i="44"/>
  <c r="Z364" i="44"/>
  <c r="Z363" i="44"/>
  <c r="Z362" i="44"/>
  <c r="Z361" i="44"/>
  <c r="Z360" i="44"/>
  <c r="Z359" i="44"/>
  <c r="Z358" i="44"/>
  <c r="Z357" i="44"/>
  <c r="Z356" i="44"/>
  <c r="Z355" i="44"/>
  <c r="Z354" i="44"/>
  <c r="Z353" i="44"/>
  <c r="Z352" i="44"/>
  <c r="Z351" i="44"/>
  <c r="Z350" i="44"/>
  <c r="Z349" i="44"/>
  <c r="Z348" i="44"/>
  <c r="Z347" i="44"/>
  <c r="Z346" i="44"/>
  <c r="Z345" i="44"/>
  <c r="Z344" i="44"/>
  <c r="Z343" i="44"/>
  <c r="Z342" i="44"/>
  <c r="Z341" i="44"/>
  <c r="Z339" i="44"/>
  <c r="Z338" i="44"/>
  <c r="Z337" i="44"/>
  <c r="Z336" i="44"/>
  <c r="Z335" i="44"/>
  <c r="Z334" i="44"/>
  <c r="Z333" i="44"/>
  <c r="Z332" i="44"/>
  <c r="Z331" i="44"/>
  <c r="Z330" i="44"/>
  <c r="Z329" i="44"/>
  <c r="Z328" i="44"/>
  <c r="Z327" i="44"/>
  <c r="Z326" i="44"/>
  <c r="Z325" i="44"/>
  <c r="Z324" i="44"/>
  <c r="Z323" i="44"/>
  <c r="Z322" i="44"/>
  <c r="Z321" i="44"/>
  <c r="Z320" i="44"/>
  <c r="Z319" i="44"/>
  <c r="Z318" i="44"/>
  <c r="Z317" i="44"/>
  <c r="Z316" i="44"/>
  <c r="Z315" i="44"/>
  <c r="Z314" i="44"/>
  <c r="Z313" i="44"/>
  <c r="Z312" i="44"/>
  <c r="Z311" i="44"/>
  <c r="Z310" i="44"/>
  <c r="Z309" i="44"/>
  <c r="Z308" i="44"/>
  <c r="Z307" i="44"/>
  <c r="Z305" i="44"/>
  <c r="Z304" i="44"/>
  <c r="Z303" i="44"/>
  <c r="Z302" i="44"/>
  <c r="Z301" i="44"/>
  <c r="Z300" i="44"/>
  <c r="Z299" i="44"/>
  <c r="Z298" i="44"/>
  <c r="Z297" i="44"/>
  <c r="Z296" i="44"/>
  <c r="Z295" i="44"/>
  <c r="Z294" i="44"/>
  <c r="Z292" i="44"/>
  <c r="Z291" i="44"/>
  <c r="Z290" i="44"/>
  <c r="Z289" i="44"/>
  <c r="Z288" i="44"/>
  <c r="Z287" i="44"/>
  <c r="Z286" i="44"/>
  <c r="Z285" i="44"/>
  <c r="Z284" i="44"/>
  <c r="Z283" i="44"/>
  <c r="Z282" i="44"/>
  <c r="Z281" i="44"/>
  <c r="Z280" i="44"/>
  <c r="Z279" i="44"/>
  <c r="Z278" i="44"/>
  <c r="Z277" i="44"/>
  <c r="Z276" i="44"/>
  <c r="Z275" i="44"/>
  <c r="Z274" i="44"/>
  <c r="Z273" i="44"/>
  <c r="Z272" i="44"/>
  <c r="Z271" i="44"/>
  <c r="Z270" i="44"/>
  <c r="Z269" i="44"/>
  <c r="Z268" i="44"/>
  <c r="Z267" i="44"/>
  <c r="Z266" i="44"/>
  <c r="Z265" i="44"/>
  <c r="Z264" i="44"/>
  <c r="Z263" i="44"/>
  <c r="Z261" i="44"/>
  <c r="Z260" i="44"/>
  <c r="Z259" i="44"/>
  <c r="Z258" i="44"/>
  <c r="Z257" i="44"/>
  <c r="Z256" i="44"/>
  <c r="Z255" i="44"/>
  <c r="Z254" i="44"/>
  <c r="Z253" i="44"/>
  <c r="Z252" i="44"/>
  <c r="Z251" i="44"/>
  <c r="Z250" i="44"/>
  <c r="Z249" i="44"/>
  <c r="Z248" i="44"/>
  <c r="Z247" i="44"/>
  <c r="Z246" i="44"/>
  <c r="Z245" i="44"/>
  <c r="Z244" i="44"/>
  <c r="Z243" i="44"/>
  <c r="Z242" i="44"/>
  <c r="Z241" i="44"/>
  <c r="Z240" i="44"/>
  <c r="Z239" i="44"/>
  <c r="Z238" i="44"/>
  <c r="Z237" i="44"/>
  <c r="Z236" i="44"/>
  <c r="Z235" i="44"/>
  <c r="Z234" i="44"/>
  <c r="Z233" i="44"/>
  <c r="Z232" i="44"/>
  <c r="Z231" i="44"/>
  <c r="Z230" i="44"/>
  <c r="Z229" i="44"/>
  <c r="Z228" i="44"/>
  <c r="Z227" i="44"/>
  <c r="Z226" i="44"/>
  <c r="Z225" i="44"/>
  <c r="Z224" i="44"/>
  <c r="Z223" i="44"/>
  <c r="Z222" i="44"/>
  <c r="Z221" i="44"/>
  <c r="Z220" i="44"/>
  <c r="Z219" i="44"/>
  <c r="Z218" i="44"/>
  <c r="Z217" i="44"/>
  <c r="Z216" i="44"/>
  <c r="Z215" i="44"/>
  <c r="Z214" i="44"/>
  <c r="Z213" i="44"/>
  <c r="Z212" i="44"/>
  <c r="Z211" i="44"/>
  <c r="Z210" i="44"/>
  <c r="Z209" i="44"/>
  <c r="Z208" i="44"/>
  <c r="Z207" i="44"/>
  <c r="Z206" i="44"/>
  <c r="Z205" i="44"/>
  <c r="Z204" i="44"/>
  <c r="Z203" i="44"/>
  <c r="Z202" i="44"/>
  <c r="Z201" i="44"/>
  <c r="Z200" i="44"/>
  <c r="Z199" i="44"/>
  <c r="Z198" i="44"/>
  <c r="Z197" i="44"/>
  <c r="Z196" i="44"/>
  <c r="Z195" i="44"/>
  <c r="Z194" i="44"/>
  <c r="Z193" i="44"/>
  <c r="Z192" i="44"/>
  <c r="Z191" i="44"/>
  <c r="Z190" i="44"/>
  <c r="Z189" i="44"/>
  <c r="Z188" i="44"/>
  <c r="Z187" i="44"/>
  <c r="Z186" i="44"/>
  <c r="Z185" i="44"/>
  <c r="Z184" i="44"/>
  <c r="Z183" i="44"/>
  <c r="Z182" i="44"/>
  <c r="Z181" i="44"/>
  <c r="Z180" i="44"/>
  <c r="Z179" i="44"/>
  <c r="Z178" i="44"/>
  <c r="Z177" i="44"/>
  <c r="Z176" i="44"/>
  <c r="Z175" i="44"/>
  <c r="Z174" i="44"/>
  <c r="Z173" i="44"/>
  <c r="Z172" i="44"/>
  <c r="Z171" i="44"/>
  <c r="Z170" i="44"/>
  <c r="Z169" i="44"/>
  <c r="Z168" i="44"/>
  <c r="Z167" i="44"/>
  <c r="Z166" i="44"/>
  <c r="Z165" i="44"/>
  <c r="Z164" i="44"/>
  <c r="Z163" i="44"/>
  <c r="Z162" i="44"/>
  <c r="Z161" i="44"/>
  <c r="Z160" i="44"/>
  <c r="Z159" i="44"/>
  <c r="Z158" i="44"/>
  <c r="Z157" i="44"/>
  <c r="Z156" i="44"/>
  <c r="Z155" i="44"/>
  <c r="Z154" i="44"/>
  <c r="Z153" i="44"/>
  <c r="Z152" i="44"/>
  <c r="Z151" i="44"/>
  <c r="Z150" i="44"/>
  <c r="Z149" i="44"/>
  <c r="Z148" i="44"/>
  <c r="Z147" i="44"/>
  <c r="Z146" i="44"/>
  <c r="Z145" i="44"/>
  <c r="Z144" i="44"/>
  <c r="Z143" i="44"/>
  <c r="Z142" i="44"/>
  <c r="Z141" i="44"/>
  <c r="Z140" i="44"/>
  <c r="Z139" i="44"/>
  <c r="Z138" i="44"/>
  <c r="Z137" i="44"/>
  <c r="Z136" i="44"/>
  <c r="Z135" i="44"/>
  <c r="Z134" i="44"/>
  <c r="Z133" i="44"/>
  <c r="Z132" i="44"/>
  <c r="Z131" i="44"/>
  <c r="Z130" i="44"/>
  <c r="Z129" i="44"/>
  <c r="Z128" i="44"/>
  <c r="Z127" i="44"/>
  <c r="Z126" i="44"/>
  <c r="Z125" i="44"/>
  <c r="Z124" i="44"/>
  <c r="Z123" i="44"/>
  <c r="Z122" i="44"/>
  <c r="Z121" i="44"/>
  <c r="Z120" i="44"/>
  <c r="Z119" i="44"/>
  <c r="Z118" i="44"/>
  <c r="Z117" i="44"/>
  <c r="Z116" i="44"/>
  <c r="Z115" i="44"/>
  <c r="Z114" i="44"/>
  <c r="Z113" i="44"/>
  <c r="Z112" i="44"/>
  <c r="Z111" i="44"/>
  <c r="Z110" i="44"/>
  <c r="Z109" i="44"/>
  <c r="Z108" i="44"/>
  <c r="Z107" i="44"/>
  <c r="Z106" i="44"/>
  <c r="Z105" i="44"/>
  <c r="Z104" i="44"/>
  <c r="Z103" i="44"/>
  <c r="Z102" i="44"/>
  <c r="Z101" i="44"/>
  <c r="Z100" i="44"/>
  <c r="Z99" i="44"/>
  <c r="Z98" i="44"/>
  <c r="Z97" i="44"/>
  <c r="Z96" i="44"/>
  <c r="Z95" i="44"/>
  <c r="Z94" i="44"/>
  <c r="Z93" i="44"/>
  <c r="Z92" i="44"/>
  <c r="Z91" i="44"/>
  <c r="Z90" i="44"/>
  <c r="Z89" i="44"/>
  <c r="Z88" i="44"/>
  <c r="Z87" i="44"/>
  <c r="Z85" i="44"/>
  <c r="Z84" i="44"/>
  <c r="Z83" i="44"/>
  <c r="Z82" i="44"/>
  <c r="Z81" i="44"/>
  <c r="Z80" i="44"/>
  <c r="Z79" i="44"/>
  <c r="Z78" i="44"/>
  <c r="Z77" i="44"/>
  <c r="Z76" i="44"/>
  <c r="Z75" i="44"/>
  <c r="Z74" i="44"/>
  <c r="Z73" i="44"/>
  <c r="Z72" i="44"/>
  <c r="Z71" i="44"/>
  <c r="Z70" i="44"/>
  <c r="Z67" i="44"/>
  <c r="Z66" i="44"/>
  <c r="Z65" i="44"/>
  <c r="Z64" i="44"/>
  <c r="Z63" i="44"/>
  <c r="Z62" i="44"/>
  <c r="Z61" i="44"/>
  <c r="Z60" i="44"/>
  <c r="Z59" i="44"/>
  <c r="Z58" i="44"/>
  <c r="Z57" i="44"/>
  <c r="Z56" i="44"/>
  <c r="Z55" i="44"/>
  <c r="Z54" i="44"/>
  <c r="Z53" i="44"/>
  <c r="Z52" i="44"/>
  <c r="Z51" i="44"/>
  <c r="Z50" i="44"/>
  <c r="Z49" i="44"/>
  <c r="Z48" i="44"/>
  <c r="Z47" i="44"/>
  <c r="Z46" i="44"/>
  <c r="Z45" i="44"/>
  <c r="Z44" i="44"/>
  <c r="Z43" i="44"/>
  <c r="Z42" i="44"/>
  <c r="Z41" i="44"/>
  <c r="Z40" i="44"/>
  <c r="Z39" i="44"/>
  <c r="Z38" i="44"/>
  <c r="Z37" i="44"/>
  <c r="Z36" i="44"/>
  <c r="Z35" i="44"/>
  <c r="Z34" i="44"/>
  <c r="Z33" i="44"/>
  <c r="Z32" i="44"/>
  <c r="Z31" i="44"/>
  <c r="Z30" i="44"/>
  <c r="Z29" i="44"/>
  <c r="Z28" i="44"/>
  <c r="Z27" i="44"/>
  <c r="Z26" i="44"/>
  <c r="Z25" i="44"/>
  <c r="Z24" i="44"/>
  <c r="Z23" i="44"/>
  <c r="Z22" i="44"/>
  <c r="Z21" i="44"/>
  <c r="Z20" i="44"/>
  <c r="Z19" i="44"/>
  <c r="Z18" i="44"/>
  <c r="Z17" i="44"/>
  <c r="Z16" i="44"/>
  <c r="Z15" i="44"/>
  <c r="Z14" i="44"/>
  <c r="Z13" i="44"/>
  <c r="Z12" i="44"/>
  <c r="Z11" i="44"/>
  <c r="Z10" i="44"/>
  <c r="Z9" i="44"/>
  <c r="Z8" i="44"/>
  <c r="Z7" i="44"/>
  <c r="A1764" i="28"/>
  <c r="A1763" i="28"/>
  <c r="A1762" i="28"/>
  <c r="A1761" i="28"/>
  <c r="A1760" i="28"/>
  <c r="A1759" i="28"/>
  <c r="A1757" i="28"/>
  <c r="A1756" i="28"/>
  <c r="A1755" i="28"/>
  <c r="A1754" i="28"/>
  <c r="A1753" i="28"/>
  <c r="A1752" i="28"/>
  <c r="A1751" i="28"/>
  <c r="A1750" i="28"/>
  <c r="A1749" i="28"/>
  <c r="A1748" i="28"/>
  <c r="A1747" i="28"/>
  <c r="A1746" i="28"/>
  <c r="A1745" i="28"/>
  <c r="A1744" i="28"/>
  <c r="A1743" i="28"/>
  <c r="A1742" i="28"/>
  <c r="A1741" i="28"/>
  <c r="A1740" i="28"/>
  <c r="A1739" i="28"/>
  <c r="A1738" i="28"/>
  <c r="A1737" i="28"/>
  <c r="A1736" i="28"/>
  <c r="A1735" i="28"/>
  <c r="A1734" i="28"/>
  <c r="A1733" i="28"/>
  <c r="A1732" i="28"/>
  <c r="A1731" i="28"/>
  <c r="A1730" i="28"/>
  <c r="A1729" i="28"/>
  <c r="A1728" i="28"/>
  <c r="A1727" i="28"/>
  <c r="A1726" i="28"/>
  <c r="A1725" i="28"/>
  <c r="A1724" i="28"/>
  <c r="A1723" i="28"/>
  <c r="A1722" i="28"/>
  <c r="A1721" i="28"/>
  <c r="A1720" i="28"/>
  <c r="A1719" i="28"/>
  <c r="A1718" i="28"/>
  <c r="A1717" i="28"/>
  <c r="A1716" i="28"/>
  <c r="A1715" i="28"/>
  <c r="A1714" i="28"/>
  <c r="A1713" i="28"/>
  <c r="A1712" i="28"/>
  <c r="A1711" i="28"/>
  <c r="A1710" i="28"/>
  <c r="A1709" i="28"/>
  <c r="A1708" i="28"/>
  <c r="A1707" i="28"/>
  <c r="A1706" i="28"/>
  <c r="A1705" i="28"/>
  <c r="A1704" i="28"/>
  <c r="A1703" i="28"/>
  <c r="A1702" i="28"/>
  <c r="A1701" i="28"/>
  <c r="A1700" i="28"/>
  <c r="A1699" i="28"/>
  <c r="A1698" i="28"/>
  <c r="A1697" i="28"/>
  <c r="A1696" i="28"/>
  <c r="A1695" i="28"/>
  <c r="A1694" i="28"/>
  <c r="A1693" i="28"/>
  <c r="A1692" i="28"/>
  <c r="A1691" i="28"/>
  <c r="A1689" i="28"/>
  <c r="A1688" i="28"/>
  <c r="A1687" i="28"/>
  <c r="A1686" i="28"/>
  <c r="A1685" i="28"/>
  <c r="A1684" i="28"/>
  <c r="A1683" i="28"/>
  <c r="A1682" i="28"/>
  <c r="A1681" i="28"/>
  <c r="A1680" i="28"/>
  <c r="A1679" i="28"/>
  <c r="A1678" i="28"/>
  <c r="A1677" i="28"/>
  <c r="A1676" i="28"/>
  <c r="A1675" i="28"/>
  <c r="A1674" i="28"/>
  <c r="A1673" i="28"/>
  <c r="A1672" i="28"/>
  <c r="A1671" i="28"/>
  <c r="A1670" i="28"/>
  <c r="A1669" i="28"/>
  <c r="A1667" i="28"/>
  <c r="A1666" i="28"/>
  <c r="A1665" i="28"/>
  <c r="A1664" i="28"/>
  <c r="A1663" i="28"/>
  <c r="A1662" i="28"/>
  <c r="A1661" i="28"/>
  <c r="A1660" i="28"/>
  <c r="A1659" i="28"/>
  <c r="A1658" i="28"/>
  <c r="A1657" i="28"/>
  <c r="A1656" i="28"/>
  <c r="A1655" i="28"/>
  <c r="A1654" i="28"/>
  <c r="A1653" i="28"/>
  <c r="A1652" i="28"/>
  <c r="A1651" i="28"/>
  <c r="A1650" i="28"/>
  <c r="A1649" i="28"/>
  <c r="A1648" i="28"/>
  <c r="A1647" i="28"/>
  <c r="A1646" i="28"/>
  <c r="A1645" i="28"/>
  <c r="A1644" i="28"/>
  <c r="A1643" i="28"/>
  <c r="A1642" i="28"/>
  <c r="A1641" i="28"/>
  <c r="A1640" i="28"/>
  <c r="A1639" i="28"/>
  <c r="A1638" i="28"/>
  <c r="A1637" i="28"/>
  <c r="A1636" i="28"/>
  <c r="A1635" i="28"/>
  <c r="A1634" i="28"/>
  <c r="A1633" i="28"/>
  <c r="A1632" i="28"/>
  <c r="A1631" i="28"/>
  <c r="A1630" i="28"/>
  <c r="A1629" i="28"/>
  <c r="A1628" i="28"/>
  <c r="A1627" i="28"/>
  <c r="A1626" i="28"/>
  <c r="A1624" i="28"/>
  <c r="A1623" i="28"/>
  <c r="A1622" i="28"/>
  <c r="A1621" i="28"/>
  <c r="A1620" i="28"/>
  <c r="A1619" i="28"/>
  <c r="A1618" i="28"/>
  <c r="A1617" i="28"/>
  <c r="A1616" i="28"/>
  <c r="A1615" i="28"/>
  <c r="A1614" i="28"/>
  <c r="A1613" i="28"/>
  <c r="A1612" i="28"/>
  <c r="A1611" i="28"/>
  <c r="A1610" i="28"/>
  <c r="A1609" i="28"/>
  <c r="A1608" i="28"/>
  <c r="A1607" i="28"/>
  <c r="A1606" i="28"/>
  <c r="A1605" i="28"/>
  <c r="A1604" i="28"/>
  <c r="A1603" i="28"/>
  <c r="A1602" i="28"/>
  <c r="A1601" i="28"/>
  <c r="A1600" i="28"/>
  <c r="A1599" i="28"/>
  <c r="A1598" i="28"/>
  <c r="A1597" i="28"/>
  <c r="A1596" i="28"/>
  <c r="A1595" i="28"/>
  <c r="A1594" i="28"/>
  <c r="A1593" i="28"/>
  <c r="A1592" i="28"/>
  <c r="A1591" i="28"/>
  <c r="A1590" i="28"/>
  <c r="A1589" i="28"/>
  <c r="A1588" i="28"/>
  <c r="A1587" i="28"/>
  <c r="A1586" i="28"/>
  <c r="A1585" i="28"/>
  <c r="A1584" i="28"/>
  <c r="A1583" i="28"/>
  <c r="A1582" i="28"/>
  <c r="A1581" i="28"/>
  <c r="A1580" i="28"/>
  <c r="A1579" i="28"/>
  <c r="A1578" i="28"/>
  <c r="A1577" i="28"/>
  <c r="A1576" i="28"/>
  <c r="A1575" i="28"/>
  <c r="A1574" i="28"/>
  <c r="A1573" i="28"/>
  <c r="A1572" i="28"/>
  <c r="A1571" i="28"/>
  <c r="A1570" i="28"/>
  <c r="A1569" i="28"/>
  <c r="A1568" i="28"/>
  <c r="A1567" i="28"/>
  <c r="A1566" i="28"/>
  <c r="A1565" i="28"/>
  <c r="A1564" i="28"/>
  <c r="A1563" i="28"/>
  <c r="A1562" i="28"/>
  <c r="A1561" i="28"/>
  <c r="A1560" i="28"/>
  <c r="A1559" i="28"/>
  <c r="A1558" i="28"/>
  <c r="A1557" i="28"/>
  <c r="A1556" i="28"/>
  <c r="A1555" i="28"/>
  <c r="A1554" i="28"/>
  <c r="A1553" i="28"/>
  <c r="A1552" i="28"/>
  <c r="A1551" i="28"/>
  <c r="A1550" i="28"/>
  <c r="A1549" i="28"/>
  <c r="A1548" i="28"/>
  <c r="A1547" i="28"/>
  <c r="A1546" i="28"/>
  <c r="A1545" i="28"/>
  <c r="A1544" i="28"/>
  <c r="A1543" i="28"/>
  <c r="A1542" i="28"/>
  <c r="A1541" i="28"/>
  <c r="A1540" i="28"/>
  <c r="A1539" i="28"/>
  <c r="A1538" i="28"/>
  <c r="A1537" i="28"/>
  <c r="A1536" i="28"/>
  <c r="A1535" i="28"/>
  <c r="A1534" i="28"/>
  <c r="A1533" i="28"/>
  <c r="A1532" i="28"/>
  <c r="A1531" i="28"/>
  <c r="A1530" i="28"/>
  <c r="A1529" i="28"/>
  <c r="A1528" i="28"/>
  <c r="A1527" i="28"/>
  <c r="A1526" i="28"/>
  <c r="A1525" i="28"/>
  <c r="A1524" i="28"/>
  <c r="A1523" i="28"/>
  <c r="A1522" i="28"/>
  <c r="A1521" i="28"/>
  <c r="A1520" i="28"/>
  <c r="A1519" i="28"/>
  <c r="A1518" i="28"/>
  <c r="A1517" i="28"/>
  <c r="A1516" i="28"/>
  <c r="A1515" i="28"/>
  <c r="A1514" i="28"/>
  <c r="A1513" i="28"/>
  <c r="A1512" i="28"/>
  <c r="A1511" i="28"/>
  <c r="A1510" i="28"/>
  <c r="A1509" i="28"/>
  <c r="A1508" i="28"/>
  <c r="A1507" i="28"/>
  <c r="A1506" i="28"/>
  <c r="A1505" i="28"/>
  <c r="A1504" i="28"/>
  <c r="A1503" i="28"/>
  <c r="A1502" i="28"/>
  <c r="A1501" i="28"/>
  <c r="A1500" i="28"/>
  <c r="A1499" i="28"/>
  <c r="A1498" i="28"/>
  <c r="A1497" i="28"/>
  <c r="A1496" i="28"/>
  <c r="A1495" i="28"/>
  <c r="A1494" i="28"/>
  <c r="A1493" i="28"/>
  <c r="A1492" i="28"/>
  <c r="A1491" i="28"/>
  <c r="A1490" i="28"/>
  <c r="A1489" i="28"/>
  <c r="A1488" i="28"/>
  <c r="A1487" i="28"/>
  <c r="A1486" i="28"/>
  <c r="A1485" i="28"/>
  <c r="A1484" i="28"/>
  <c r="A1483" i="28"/>
  <c r="A1482" i="28"/>
  <c r="A1481" i="28"/>
  <c r="A1480" i="28"/>
  <c r="A1479" i="28"/>
  <c r="A1478" i="28"/>
  <c r="A1477" i="28"/>
  <c r="A1476" i="28"/>
  <c r="A1475" i="28"/>
  <c r="A1474" i="28"/>
  <c r="A1473" i="28"/>
  <c r="A1472" i="28"/>
  <c r="A1471" i="28"/>
  <c r="A1470" i="28"/>
  <c r="A1469" i="28"/>
  <c r="A1468" i="28"/>
  <c r="A1467" i="28"/>
  <c r="A1466" i="28"/>
  <c r="A1465" i="28"/>
  <c r="A1464" i="28"/>
  <c r="A1463" i="28"/>
  <c r="A1462" i="28"/>
  <c r="A1461" i="28"/>
  <c r="A1460" i="28"/>
  <c r="A1459" i="28"/>
  <c r="A1458" i="28"/>
  <c r="A1457" i="28"/>
  <c r="A1456" i="28"/>
  <c r="A1455" i="28"/>
  <c r="A1454" i="28"/>
  <c r="A1453" i="28"/>
  <c r="A1452" i="28"/>
  <c r="A1451" i="28"/>
  <c r="A1450" i="28"/>
  <c r="A1449" i="28"/>
  <c r="A1448" i="28"/>
  <c r="A1447" i="28"/>
  <c r="A1446" i="28"/>
  <c r="A1445" i="28"/>
  <c r="A1444" i="28"/>
  <c r="A1443" i="28"/>
  <c r="A1442" i="28"/>
  <c r="A1441" i="28"/>
  <c r="A1440" i="28"/>
  <c r="A1439" i="28"/>
  <c r="A1438" i="28"/>
  <c r="A1437" i="28"/>
  <c r="A1436" i="28"/>
  <c r="A1435" i="28"/>
  <c r="A1434" i="28"/>
  <c r="A1433" i="28"/>
  <c r="A1432" i="28"/>
  <c r="A1431" i="28"/>
  <c r="A1430" i="28"/>
  <c r="A1429" i="28"/>
  <c r="A1428" i="28"/>
  <c r="A1427" i="28"/>
  <c r="A1426" i="28"/>
  <c r="A1425" i="28"/>
  <c r="A1424" i="28"/>
  <c r="A1423" i="28"/>
  <c r="A1422" i="28"/>
  <c r="A1421" i="28"/>
  <c r="A1420" i="28"/>
  <c r="A1419" i="28"/>
  <c r="A1418" i="28"/>
  <c r="A1417" i="28"/>
  <c r="A1416" i="28"/>
  <c r="A1415" i="28"/>
  <c r="A1414" i="28"/>
  <c r="A1413" i="28"/>
  <c r="A1412" i="28"/>
  <c r="A1411" i="28"/>
  <c r="A1410" i="28"/>
  <c r="A1409" i="28"/>
  <c r="A1408" i="28"/>
  <c r="A1407" i="28"/>
  <c r="A1406" i="28"/>
  <c r="A1405" i="28"/>
  <c r="A1404" i="28"/>
  <c r="A1401" i="28"/>
  <c r="A1400" i="28"/>
  <c r="A1399" i="28"/>
  <c r="A1398" i="28"/>
  <c r="A1397" i="28"/>
  <c r="A1396" i="28"/>
  <c r="A1395" i="28"/>
  <c r="A1392" i="28"/>
  <c r="A1391" i="28"/>
  <c r="A1390" i="28"/>
  <c r="A1389" i="28"/>
  <c r="A1388" i="28"/>
  <c r="A1387" i="28"/>
  <c r="A1386" i="28"/>
  <c r="A1385" i="28"/>
  <c r="A1381" i="28"/>
  <c r="A1380" i="28"/>
  <c r="A1379" i="28"/>
  <c r="A1378" i="28"/>
  <c r="A1377" i="28"/>
  <c r="A1376" i="28"/>
  <c r="A1375" i="28"/>
  <c r="A1374" i="28"/>
  <c r="A1373" i="28"/>
  <c r="A1372" i="28"/>
  <c r="A1371" i="28"/>
  <c r="A1370" i="28"/>
  <c r="A1369" i="28"/>
  <c r="A1368" i="28"/>
  <c r="A1367" i="28"/>
  <c r="A1366" i="28"/>
  <c r="A1365" i="28"/>
  <c r="A1364" i="28"/>
  <c r="A1363" i="28"/>
  <c r="A1362" i="28"/>
  <c r="A1361" i="28"/>
  <c r="A1360" i="28"/>
  <c r="A1359" i="28"/>
  <c r="A1358" i="28"/>
  <c r="A1357" i="28"/>
  <c r="A1356" i="28"/>
  <c r="A1355" i="28"/>
  <c r="A1354" i="28"/>
  <c r="A1353" i="28"/>
  <c r="A1352" i="28"/>
  <c r="A1351" i="28"/>
  <c r="A1350" i="28"/>
  <c r="A1349" i="28"/>
  <c r="A1348" i="28"/>
  <c r="A1347" i="28"/>
  <c r="A1346" i="28"/>
  <c r="A1345" i="28"/>
  <c r="A1344" i="28"/>
  <c r="A1343" i="28"/>
  <c r="A1342" i="28"/>
  <c r="A1341" i="28"/>
  <c r="A1340" i="28"/>
  <c r="A1339" i="28"/>
  <c r="A1338" i="28"/>
  <c r="A1337" i="28"/>
  <c r="A1336" i="28"/>
  <c r="A1335" i="28"/>
  <c r="A1334" i="28"/>
  <c r="A1333" i="28"/>
  <c r="A1332" i="28"/>
  <c r="A1331" i="28"/>
  <c r="A1330" i="28"/>
  <c r="A1329" i="28"/>
  <c r="A1328" i="28"/>
  <c r="A1327" i="28"/>
  <c r="A1326" i="28"/>
  <c r="A1325" i="28"/>
  <c r="A1324" i="28"/>
  <c r="A1323" i="28"/>
  <c r="A1322" i="28"/>
  <c r="A1321" i="28"/>
  <c r="A1320" i="28"/>
  <c r="A1319" i="28"/>
  <c r="A1318" i="28"/>
  <c r="A1317" i="28"/>
  <c r="A1316" i="28"/>
  <c r="A1315" i="28"/>
  <c r="A1314" i="28"/>
  <c r="A1313" i="28"/>
  <c r="A1312" i="28"/>
  <c r="A1311" i="28"/>
  <c r="A1310" i="28"/>
  <c r="A1309" i="28"/>
  <c r="A1308" i="28"/>
  <c r="A1307" i="28"/>
  <c r="A1306" i="28"/>
  <c r="A1305" i="28"/>
  <c r="A1304" i="28"/>
  <c r="A1303" i="28"/>
  <c r="A1302" i="28"/>
  <c r="A1301" i="28"/>
  <c r="A1300" i="28"/>
  <c r="A1299" i="28"/>
  <c r="A1298" i="28"/>
  <c r="A1297" i="28"/>
  <c r="A1296" i="28"/>
  <c r="A1295" i="28"/>
  <c r="A1294" i="28"/>
  <c r="A1293" i="28"/>
  <c r="A1292" i="28"/>
  <c r="A1291" i="28"/>
  <c r="A1290" i="28"/>
  <c r="A1289" i="28"/>
  <c r="A1288" i="28"/>
  <c r="A1287" i="28"/>
  <c r="A1286" i="28"/>
  <c r="A1285" i="28"/>
  <c r="A1284" i="28"/>
  <c r="A1283" i="28"/>
  <c r="A1282" i="28"/>
  <c r="A1281" i="28"/>
  <c r="A1280" i="28"/>
  <c r="A1279" i="28"/>
  <c r="A1278" i="28"/>
  <c r="A1277" i="28"/>
  <c r="A1276" i="28"/>
  <c r="A1275" i="28"/>
  <c r="A1274" i="28"/>
  <c r="A1273" i="28"/>
  <c r="A1272" i="28"/>
  <c r="A1271" i="28"/>
  <c r="A1270" i="28"/>
  <c r="A1269" i="28"/>
  <c r="A1268" i="28"/>
  <c r="A1267" i="28"/>
  <c r="A1266" i="28"/>
  <c r="A1265" i="28"/>
  <c r="A1264" i="28"/>
  <c r="A1263" i="28"/>
  <c r="A1262" i="28"/>
  <c r="A1261" i="28"/>
  <c r="A1260" i="28"/>
  <c r="A1259" i="28"/>
  <c r="A1258" i="28"/>
  <c r="A1257" i="28"/>
  <c r="A1256" i="28"/>
  <c r="A1255" i="28"/>
  <c r="A1254" i="28"/>
  <c r="A1253" i="28"/>
  <c r="A1252" i="28"/>
  <c r="A1251" i="28"/>
  <c r="A1250" i="28"/>
  <c r="A1249" i="28"/>
  <c r="A1248" i="28"/>
  <c r="A1247" i="28"/>
  <c r="A1246" i="28"/>
  <c r="A1245" i="28"/>
  <c r="A1244" i="28"/>
  <c r="A1243" i="28"/>
  <c r="A1242" i="28"/>
  <c r="A1241" i="28"/>
  <c r="A1240" i="28"/>
  <c r="A1239" i="28"/>
  <c r="A1238" i="28"/>
  <c r="A1237" i="28"/>
  <c r="A1236" i="28"/>
  <c r="A1235" i="28"/>
  <c r="A1234" i="28"/>
  <c r="A1233" i="28"/>
  <c r="A1232" i="28"/>
  <c r="A1231" i="28"/>
  <c r="A1230" i="28"/>
  <c r="A1229" i="28"/>
  <c r="A1228" i="28"/>
  <c r="A1227" i="28"/>
  <c r="A1226" i="28"/>
  <c r="A1225" i="28"/>
  <c r="A1224" i="28"/>
  <c r="A1223" i="28"/>
  <c r="A1222" i="28"/>
  <c r="A1221" i="28"/>
  <c r="A1220" i="28"/>
  <c r="A1219" i="28"/>
  <c r="A1218" i="28"/>
  <c r="A1217" i="28"/>
  <c r="A1216" i="28"/>
  <c r="A1215" i="28"/>
  <c r="A1214" i="28"/>
  <c r="A1213" i="28"/>
  <c r="A1212" i="28"/>
  <c r="A1211" i="28"/>
  <c r="A1210" i="28"/>
  <c r="A1209" i="28"/>
  <c r="A1208" i="28"/>
  <c r="A1207" i="28"/>
  <c r="A1206" i="28"/>
  <c r="A1205" i="28"/>
  <c r="A1204" i="28"/>
  <c r="A1203" i="28"/>
  <c r="A1202" i="28"/>
  <c r="A1201" i="28"/>
  <c r="A1200" i="28"/>
  <c r="A1199" i="28"/>
  <c r="A1198" i="28"/>
  <c r="A1197" i="28"/>
  <c r="A1196" i="28"/>
  <c r="A1195" i="28"/>
  <c r="A1194" i="28"/>
  <c r="A1193" i="28"/>
  <c r="A1192" i="28"/>
  <c r="A1191" i="28"/>
  <c r="A1190" i="28"/>
  <c r="A1189" i="28"/>
  <c r="A1188" i="28"/>
  <c r="A1187" i="28"/>
  <c r="A1186" i="28"/>
  <c r="A1185" i="28"/>
  <c r="A1184" i="28"/>
  <c r="A1183" i="28"/>
  <c r="A1182" i="28"/>
  <c r="A1181" i="28"/>
  <c r="A1180" i="28"/>
  <c r="A1179" i="28"/>
  <c r="A1178" i="28"/>
  <c r="A1177" i="28"/>
  <c r="A1176" i="28"/>
  <c r="A1175" i="28"/>
  <c r="A1174" i="28"/>
  <c r="A1173" i="28"/>
  <c r="A1172" i="28"/>
  <c r="A1171" i="28"/>
  <c r="A1170" i="28"/>
  <c r="A1169" i="28"/>
  <c r="A1168" i="28"/>
  <c r="A1167" i="28"/>
  <c r="A1166" i="28"/>
  <c r="A1165" i="28"/>
  <c r="A1164" i="28"/>
  <c r="A1163" i="28"/>
  <c r="A1162" i="28"/>
  <c r="A1161" i="28"/>
  <c r="A1160" i="28"/>
  <c r="A1159" i="28"/>
  <c r="A1158" i="28"/>
  <c r="A1157" i="28"/>
  <c r="A1156" i="28"/>
  <c r="A1155" i="28"/>
  <c r="A1154" i="28"/>
  <c r="A1153" i="28"/>
  <c r="A1152" i="28"/>
  <c r="A1151" i="28"/>
  <c r="A1150" i="28"/>
  <c r="A1149" i="28"/>
  <c r="A1148" i="28"/>
  <c r="A1147" i="28"/>
  <c r="A1146" i="28"/>
  <c r="A1145" i="28"/>
  <c r="A1144" i="28"/>
  <c r="A1143" i="28"/>
  <c r="A1142" i="28"/>
  <c r="A1141" i="28"/>
  <c r="A1140" i="28"/>
  <c r="A1139" i="28"/>
  <c r="A1138" i="28"/>
  <c r="A1137" i="28"/>
  <c r="A1136" i="28"/>
  <c r="A1135" i="28"/>
  <c r="A1134" i="28"/>
  <c r="A1133" i="28"/>
  <c r="A1132" i="28"/>
  <c r="A1131" i="28"/>
  <c r="A1130" i="28"/>
  <c r="A1129" i="28"/>
  <c r="A1128" i="28"/>
  <c r="A1127" i="28"/>
  <c r="A1126" i="28"/>
  <c r="A1125" i="28"/>
  <c r="A1124" i="28"/>
  <c r="A1123" i="28"/>
  <c r="A1122" i="28"/>
  <c r="A1121" i="28"/>
  <c r="A1120" i="28"/>
  <c r="A1119" i="28"/>
  <c r="A1118" i="28"/>
  <c r="A1117" i="28"/>
  <c r="A1116" i="28"/>
  <c r="A1115" i="28"/>
  <c r="A1114" i="28"/>
  <c r="A1113" i="28"/>
  <c r="A1112" i="28"/>
  <c r="A1111" i="28"/>
  <c r="A1110" i="28"/>
  <c r="A1109" i="28"/>
  <c r="A1108" i="28"/>
  <c r="A1107" i="28"/>
  <c r="A1106" i="28"/>
  <c r="A1105" i="28"/>
  <c r="A1104" i="28"/>
  <c r="A1103" i="28"/>
  <c r="A1102" i="28"/>
  <c r="A1101" i="28"/>
  <c r="A1100" i="28"/>
  <c r="A1099" i="28"/>
  <c r="A1098" i="28"/>
  <c r="A1097" i="28"/>
  <c r="A1096" i="28"/>
  <c r="A1095" i="28"/>
  <c r="A1094" i="28"/>
  <c r="A1093" i="28"/>
  <c r="A1092" i="28"/>
  <c r="A1091" i="28"/>
  <c r="A1090" i="28"/>
  <c r="A1089" i="28"/>
  <c r="A1088" i="28"/>
  <c r="A1087" i="28"/>
  <c r="A1086" i="28"/>
  <c r="A1085" i="28"/>
  <c r="A1084" i="28"/>
  <c r="A1083" i="28"/>
  <c r="A1082" i="28"/>
  <c r="A1081" i="28"/>
  <c r="A1080" i="28"/>
  <c r="A1079" i="28"/>
  <c r="A1078" i="28"/>
  <c r="A1077" i="28"/>
  <c r="A1076" i="28"/>
  <c r="A1075" i="28"/>
  <c r="A1074" i="28"/>
  <c r="A1073" i="28"/>
  <c r="A1072" i="28"/>
  <c r="A1071" i="28"/>
  <c r="A1070" i="28"/>
  <c r="A1069" i="28"/>
  <c r="A1068" i="28"/>
  <c r="A1067" i="28"/>
  <c r="A1066" i="28"/>
  <c r="A1065" i="28"/>
  <c r="A1064" i="28"/>
  <c r="A1063" i="28"/>
  <c r="A1062" i="28"/>
  <c r="A1061" i="28"/>
  <c r="A1060" i="28"/>
  <c r="A1059" i="28"/>
  <c r="A1058" i="28"/>
  <c r="A1057" i="28"/>
  <c r="A1055" i="28"/>
  <c r="A1054" i="28"/>
  <c r="A1053" i="28"/>
  <c r="A1052" i="28"/>
  <c r="A1051" i="28"/>
  <c r="A1050" i="28"/>
  <c r="A1049" i="28"/>
  <c r="A1048" i="28"/>
  <c r="A1047" i="28"/>
  <c r="A1046" i="28"/>
  <c r="A1045" i="28"/>
  <c r="A1043" i="28"/>
  <c r="A1042" i="28"/>
  <c r="A1041" i="28"/>
  <c r="A1040" i="28"/>
  <c r="A1039" i="28"/>
  <c r="A1038" i="28"/>
  <c r="A1037" i="28"/>
  <c r="A1036" i="28"/>
  <c r="A1035" i="28"/>
  <c r="A1034" i="28"/>
  <c r="A1033" i="28"/>
  <c r="A1032" i="28"/>
  <c r="A1031" i="28"/>
  <c r="A1030" i="28"/>
  <c r="A1029" i="28"/>
  <c r="A1028" i="28"/>
  <c r="A1027" i="28"/>
  <c r="A1026" i="28"/>
  <c r="A1025" i="28"/>
  <c r="A1024" i="28"/>
  <c r="A1023" i="28"/>
  <c r="A1022" i="28"/>
  <c r="A1021" i="28"/>
  <c r="A1020" i="28"/>
  <c r="A1019" i="28"/>
  <c r="A1018" i="28"/>
  <c r="A1017" i="28"/>
  <c r="A1016" i="28"/>
  <c r="A1015" i="28"/>
  <c r="A1014" i="28"/>
  <c r="A1013" i="28"/>
  <c r="A1012" i="28"/>
  <c r="A1011" i="28"/>
  <c r="A1010" i="28"/>
  <c r="A1009" i="28"/>
  <c r="A1008" i="28"/>
  <c r="A1007" i="28"/>
  <c r="A1006" i="28"/>
  <c r="A1005" i="28"/>
  <c r="A1004" i="28"/>
  <c r="A1003" i="28"/>
  <c r="A1002" i="28"/>
  <c r="A1001" i="28"/>
  <c r="A1000" i="28"/>
  <c r="A999" i="28"/>
  <c r="A995" i="28"/>
  <c r="A994" i="28"/>
  <c r="A993" i="28"/>
  <c r="A992" i="28"/>
  <c r="A991" i="28"/>
  <c r="A990" i="28"/>
  <c r="A989" i="28"/>
  <c r="A988" i="28"/>
  <c r="A987" i="28"/>
  <c r="A986" i="28"/>
  <c r="A985" i="28"/>
  <c r="A984" i="28"/>
  <c r="A983" i="28"/>
  <c r="A982" i="28"/>
  <c r="A981" i="28"/>
  <c r="A980" i="28"/>
  <c r="A979" i="28"/>
  <c r="A978" i="28"/>
  <c r="A977" i="28"/>
  <c r="A976" i="28"/>
  <c r="A975" i="28"/>
  <c r="A974" i="28"/>
  <c r="A973" i="28"/>
  <c r="A972" i="28"/>
  <c r="A971" i="28"/>
  <c r="A970" i="28"/>
  <c r="A969" i="28"/>
  <c r="A968" i="28"/>
  <c r="A967" i="28"/>
  <c r="A966" i="28"/>
  <c r="A965" i="28"/>
  <c r="A964" i="28"/>
  <c r="A963" i="28"/>
  <c r="A962" i="28"/>
  <c r="A961" i="28"/>
  <c r="A960" i="28"/>
  <c r="A958" i="28"/>
  <c r="A957" i="28"/>
  <c r="A956" i="28"/>
  <c r="A955" i="28"/>
  <c r="A954" i="28"/>
  <c r="A953" i="28"/>
  <c r="A952" i="28"/>
  <c r="A951" i="28"/>
  <c r="A950" i="28"/>
  <c r="A949" i="28"/>
  <c r="A948" i="28"/>
  <c r="A947" i="28"/>
  <c r="A946" i="28"/>
  <c r="A945" i="28"/>
  <c r="A944" i="28"/>
  <c r="A943" i="28"/>
  <c r="A942" i="28"/>
  <c r="A941" i="28"/>
  <c r="A940" i="28"/>
  <c r="A939" i="28"/>
  <c r="A938" i="28"/>
  <c r="A937" i="28"/>
  <c r="A936" i="28"/>
  <c r="A935" i="28"/>
  <c r="A934" i="28"/>
  <c r="A933" i="28"/>
  <c r="A932" i="28"/>
  <c r="A931" i="28"/>
  <c r="A930" i="28"/>
  <c r="A929" i="28"/>
  <c r="A928" i="28"/>
  <c r="A927" i="28"/>
  <c r="A926" i="28"/>
  <c r="A925" i="28"/>
  <c r="A924" i="28"/>
  <c r="A923" i="28"/>
  <c r="A922" i="28"/>
  <c r="A921" i="28"/>
  <c r="A920" i="28"/>
  <c r="A919" i="28"/>
  <c r="A918" i="28"/>
  <c r="A917" i="28"/>
  <c r="A916" i="28"/>
  <c r="A915" i="28"/>
  <c r="A914" i="28"/>
  <c r="A913" i="28"/>
  <c r="A912" i="28"/>
  <c r="A911" i="28"/>
  <c r="A910" i="28"/>
  <c r="A909" i="28"/>
  <c r="A908" i="28"/>
  <c r="A907" i="28"/>
  <c r="A906" i="28"/>
  <c r="A905" i="28"/>
  <c r="A904" i="28"/>
  <c r="A903" i="28"/>
  <c r="A902" i="28"/>
  <c r="A901" i="28"/>
  <c r="A900" i="28"/>
  <c r="A899" i="28"/>
  <c r="A898" i="28"/>
  <c r="A897" i="28"/>
  <c r="A896" i="28"/>
  <c r="A895" i="28"/>
  <c r="A894" i="28"/>
  <c r="A893" i="28"/>
  <c r="A892" i="28"/>
  <c r="A891" i="28"/>
  <c r="A890" i="28"/>
  <c r="A889" i="28"/>
  <c r="A888" i="28"/>
  <c r="A887" i="28"/>
  <c r="A886" i="28"/>
  <c r="A885" i="28"/>
  <c r="A884" i="28"/>
  <c r="A883" i="28"/>
  <c r="A882" i="28"/>
  <c r="A881" i="28"/>
  <c r="A880" i="28"/>
  <c r="A879" i="28"/>
  <c r="A878" i="28"/>
  <c r="A877" i="28"/>
  <c r="A876" i="28"/>
  <c r="A875" i="28"/>
  <c r="A874" i="28"/>
  <c r="A873" i="28"/>
  <c r="A872" i="28"/>
  <c r="A871" i="28"/>
  <c r="A870" i="28"/>
  <c r="A869" i="28"/>
  <c r="A868" i="28"/>
  <c r="A867" i="28"/>
  <c r="A866" i="28"/>
  <c r="A865" i="28"/>
  <c r="A864" i="28"/>
  <c r="A863" i="28"/>
  <c r="A862" i="28"/>
  <c r="A861" i="28"/>
  <c r="A860" i="28"/>
  <c r="A859" i="28"/>
  <c r="A858" i="28"/>
  <c r="A857" i="28"/>
  <c r="A856" i="28"/>
  <c r="A855" i="28"/>
  <c r="A854" i="28"/>
  <c r="A853" i="28"/>
  <c r="A852" i="28"/>
  <c r="A851" i="28"/>
  <c r="A850" i="28"/>
  <c r="A849" i="28"/>
  <c r="A848" i="28"/>
  <c r="A847" i="28"/>
  <c r="A846" i="28"/>
  <c r="A845" i="28"/>
  <c r="A844" i="28"/>
  <c r="A843" i="28"/>
  <c r="A842" i="28"/>
  <c r="A841" i="28"/>
  <c r="A840" i="28"/>
  <c r="A839" i="28"/>
  <c r="A838" i="28"/>
  <c r="A837" i="28"/>
  <c r="A836" i="28"/>
  <c r="A835" i="28"/>
  <c r="A834" i="28"/>
  <c r="A833" i="28"/>
  <c r="A832" i="28"/>
  <c r="A831" i="28"/>
  <c r="A830" i="28"/>
  <c r="A829" i="28"/>
  <c r="A828" i="28"/>
  <c r="A827" i="28"/>
  <c r="A826" i="28"/>
  <c r="A825" i="28"/>
  <c r="A824" i="28"/>
  <c r="A823" i="28"/>
  <c r="A822" i="28"/>
  <c r="A821" i="28"/>
  <c r="A820" i="28"/>
  <c r="A819" i="28"/>
  <c r="A818" i="28"/>
  <c r="A817" i="28"/>
  <c r="A816" i="28"/>
  <c r="A815" i="28"/>
  <c r="A814" i="28"/>
  <c r="A813" i="28"/>
  <c r="A812" i="28"/>
  <c r="A811" i="28"/>
  <c r="A810" i="28"/>
  <c r="A809" i="28"/>
  <c r="A808" i="28"/>
  <c r="A807" i="28"/>
  <c r="A806" i="28"/>
  <c r="A805" i="28"/>
  <c r="A804" i="28"/>
  <c r="A803" i="28"/>
  <c r="A802" i="28"/>
  <c r="A801" i="28"/>
  <c r="A800" i="28"/>
  <c r="A799" i="28"/>
  <c r="A798" i="28"/>
  <c r="A797" i="28"/>
  <c r="A796" i="28"/>
  <c r="A795" i="28"/>
  <c r="A794" i="28"/>
  <c r="A793" i="28"/>
  <c r="A792" i="28"/>
  <c r="A791" i="28"/>
  <c r="A790" i="28"/>
  <c r="A789" i="28"/>
  <c r="A788" i="28"/>
  <c r="A787" i="28"/>
  <c r="A786" i="28"/>
  <c r="A785" i="28"/>
  <c r="A784" i="28"/>
  <c r="A783" i="28"/>
  <c r="A782" i="28"/>
  <c r="A781" i="28"/>
  <c r="A780" i="28"/>
  <c r="A779" i="28"/>
  <c r="A778" i="28"/>
  <c r="A777" i="28"/>
  <c r="A776" i="28"/>
  <c r="A775" i="28"/>
  <c r="A774" i="28"/>
  <c r="A773" i="28"/>
  <c r="A772" i="28"/>
  <c r="A771" i="28"/>
  <c r="A770" i="28"/>
  <c r="A769" i="28"/>
  <c r="A768" i="28"/>
  <c r="A767" i="28"/>
  <c r="A766" i="28"/>
  <c r="A765" i="28"/>
  <c r="A764" i="28"/>
  <c r="A763" i="28"/>
  <c r="A762" i="28"/>
  <c r="A761" i="28"/>
  <c r="A760" i="28"/>
  <c r="A759" i="28"/>
  <c r="A757" i="28"/>
  <c r="A756" i="28"/>
  <c r="A755" i="28"/>
  <c r="A754" i="28"/>
  <c r="A753" i="28"/>
  <c r="A752" i="28"/>
  <c r="A751" i="28"/>
  <c r="A750" i="28"/>
  <c r="A747" i="28"/>
  <c r="A746" i="28"/>
  <c r="A745" i="28"/>
  <c r="A744" i="28"/>
  <c r="A743" i="28"/>
  <c r="A742" i="28"/>
  <c r="A741" i="28"/>
  <c r="A740" i="28"/>
  <c r="A739" i="28"/>
  <c r="A738" i="28"/>
  <c r="A737" i="28"/>
  <c r="A736" i="28"/>
  <c r="A735" i="28"/>
  <c r="A734" i="28"/>
  <c r="A733" i="28"/>
  <c r="A732" i="28"/>
  <c r="A731" i="28"/>
  <c r="A730" i="28"/>
  <c r="A729" i="28"/>
  <c r="A728" i="28"/>
  <c r="A727" i="28"/>
  <c r="A726" i="28"/>
  <c r="A725" i="28"/>
  <c r="A724" i="28"/>
  <c r="A723" i="28"/>
  <c r="A722" i="28"/>
  <c r="A721" i="28"/>
  <c r="A720" i="28"/>
  <c r="A719" i="28"/>
  <c r="A718" i="28"/>
  <c r="A717" i="28"/>
  <c r="A716" i="28"/>
  <c r="A715" i="28"/>
  <c r="A714" i="28"/>
  <c r="A713" i="28"/>
  <c r="A712" i="28"/>
  <c r="A711" i="28"/>
  <c r="A710" i="28"/>
  <c r="A709" i="28"/>
  <c r="A708" i="28"/>
  <c r="A707" i="28"/>
  <c r="A706" i="28"/>
  <c r="A705" i="28"/>
  <c r="A704" i="28"/>
  <c r="A703" i="28"/>
  <c r="A702" i="28"/>
  <c r="A701" i="28"/>
  <c r="A700" i="28"/>
  <c r="A699" i="28"/>
  <c r="A698" i="28"/>
  <c r="A697" i="28"/>
  <c r="A696" i="28"/>
  <c r="A695" i="28"/>
  <c r="A694" i="28"/>
  <c r="A693" i="28"/>
  <c r="A692" i="28"/>
  <c r="A691" i="28"/>
  <c r="A690" i="28"/>
  <c r="A689" i="28"/>
  <c r="A688" i="28"/>
  <c r="A687" i="28"/>
  <c r="A686" i="28"/>
  <c r="A685" i="28"/>
  <c r="A684" i="28"/>
  <c r="A683" i="28"/>
  <c r="A682" i="28"/>
  <c r="A681" i="28"/>
  <c r="A680" i="28"/>
  <c r="A679" i="28"/>
  <c r="A678" i="28"/>
  <c r="A677" i="28"/>
  <c r="A676" i="28"/>
  <c r="A675" i="28"/>
  <c r="A674" i="28"/>
  <c r="A673" i="28"/>
  <c r="A672" i="28"/>
  <c r="A671" i="28"/>
  <c r="A670" i="28"/>
  <c r="A669" i="28"/>
  <c r="A668" i="28"/>
  <c r="A667" i="28"/>
  <c r="A666" i="28"/>
  <c r="A665" i="28"/>
  <c r="A664" i="28"/>
  <c r="A663" i="28"/>
  <c r="A662" i="28"/>
  <c r="A661" i="28"/>
  <c r="A660" i="28"/>
  <c r="A659" i="28"/>
  <c r="A658" i="28"/>
  <c r="A657" i="28"/>
  <c r="A656" i="28"/>
  <c r="A655" i="28"/>
  <c r="A654" i="28"/>
  <c r="A653" i="28"/>
  <c r="A652" i="28"/>
  <c r="A651" i="28"/>
  <c r="A650" i="28"/>
  <c r="A648" i="28"/>
  <c r="A647" i="28"/>
  <c r="A646" i="28"/>
  <c r="A645" i="28"/>
  <c r="A644" i="28"/>
  <c r="A643" i="28"/>
  <c r="A642" i="28"/>
  <c r="A641" i="28"/>
  <c r="A640" i="28"/>
  <c r="A639" i="28"/>
  <c r="A638" i="28"/>
  <c r="A637" i="28"/>
  <c r="A636" i="28"/>
  <c r="A635" i="28"/>
  <c r="A634" i="28"/>
  <c r="A633" i="28"/>
  <c r="A632" i="28"/>
  <c r="A631" i="28"/>
  <c r="A630" i="28"/>
  <c r="A629" i="28"/>
  <c r="A628" i="28"/>
  <c r="A627" i="28"/>
  <c r="A626" i="28"/>
  <c r="A625" i="28"/>
  <c r="A624" i="28"/>
  <c r="A623" i="28"/>
  <c r="A622" i="28"/>
  <c r="A621" i="28"/>
  <c r="A620" i="28"/>
  <c r="A619" i="28"/>
  <c r="A618" i="28"/>
  <c r="A617" i="28"/>
  <c r="A616" i="28"/>
  <c r="A615" i="28"/>
  <c r="A614" i="28"/>
  <c r="A613" i="28"/>
  <c r="A612" i="28"/>
  <c r="A611" i="28"/>
  <c r="A610" i="28"/>
  <c r="A609" i="28"/>
  <c r="A608" i="28"/>
  <c r="A607" i="28"/>
  <c r="A606" i="28"/>
  <c r="A605" i="28"/>
  <c r="A604" i="28"/>
  <c r="A603" i="28"/>
  <c r="A602" i="28"/>
  <c r="A601" i="28"/>
  <c r="A600" i="28"/>
  <c r="A599" i="28"/>
  <c r="A598" i="28"/>
  <c r="A597" i="28"/>
  <c r="A596" i="28"/>
  <c r="A595" i="28"/>
  <c r="A594" i="28"/>
  <c r="A593" i="28"/>
  <c r="A592" i="28"/>
  <c r="A591" i="28"/>
  <c r="A590" i="28"/>
  <c r="A589" i="28"/>
  <c r="A588" i="28"/>
  <c r="A587" i="28"/>
  <c r="A586" i="28"/>
  <c r="A585" i="28"/>
  <c r="A584" i="28"/>
  <c r="A583" i="28"/>
  <c r="A582" i="28"/>
  <c r="A581" i="28"/>
  <c r="A580" i="28"/>
  <c r="A579" i="28"/>
  <c r="A578" i="28"/>
  <c r="A577" i="28"/>
  <c r="A576" i="28"/>
  <c r="A575" i="28"/>
  <c r="A574" i="28"/>
  <c r="A573" i="28"/>
  <c r="A572" i="28"/>
  <c r="A571" i="28"/>
  <c r="A570" i="28"/>
  <c r="A569" i="28"/>
  <c r="A568" i="28"/>
  <c r="A567" i="28"/>
  <c r="A566" i="28"/>
  <c r="A565" i="28"/>
  <c r="A564" i="28"/>
  <c r="A563" i="28"/>
  <c r="A562" i="28"/>
  <c r="A561" i="28"/>
  <c r="A560" i="28"/>
  <c r="A559" i="28"/>
  <c r="A558" i="28"/>
  <c r="A557" i="28"/>
  <c r="A556" i="28"/>
  <c r="A555" i="28"/>
  <c r="A554" i="28"/>
  <c r="A553" i="28"/>
  <c r="A552" i="28"/>
  <c r="A551" i="28"/>
  <c r="A550" i="28"/>
  <c r="A549" i="28"/>
  <c r="A548" i="28"/>
  <c r="A547" i="28"/>
  <c r="A546" i="28"/>
  <c r="A545" i="28"/>
  <c r="A544" i="28"/>
  <c r="A543" i="28"/>
  <c r="A542" i="28"/>
  <c r="A541" i="28"/>
  <c r="A540" i="28"/>
  <c r="A539" i="28"/>
  <c r="A538" i="28"/>
  <c r="A537" i="28"/>
  <c r="A536" i="28"/>
  <c r="A535" i="28"/>
  <c r="A534" i="28"/>
  <c r="A533" i="28"/>
  <c r="A532" i="28"/>
  <c r="A531" i="28"/>
  <c r="A530" i="28"/>
  <c r="A529" i="28"/>
  <c r="A528" i="28"/>
  <c r="A527" i="28"/>
  <c r="A526" i="28"/>
  <c r="A525" i="28"/>
  <c r="A524" i="28"/>
  <c r="A523" i="28"/>
  <c r="A522" i="28"/>
  <c r="A521" i="28"/>
  <c r="A520" i="28"/>
  <c r="A519" i="28"/>
  <c r="A518" i="28"/>
  <c r="A517" i="28"/>
  <c r="A516" i="28"/>
  <c r="A515" i="28"/>
  <c r="A514" i="28"/>
  <c r="A513" i="28"/>
  <c r="A512" i="28"/>
  <c r="A511" i="28"/>
  <c r="A510" i="28"/>
  <c r="A509" i="28"/>
  <c r="A508" i="28"/>
  <c r="A507" i="28"/>
  <c r="A506" i="28"/>
  <c r="A505" i="28"/>
  <c r="A504" i="28"/>
  <c r="A503" i="28"/>
  <c r="A502" i="28"/>
  <c r="A501" i="28"/>
  <c r="A500" i="28"/>
  <c r="A499" i="28"/>
  <c r="A498" i="28"/>
  <c r="A497" i="28"/>
  <c r="A496" i="28"/>
  <c r="A495" i="28"/>
  <c r="A494" i="28"/>
  <c r="A493" i="28"/>
  <c r="A492" i="28"/>
  <c r="A491" i="28"/>
  <c r="A490" i="28"/>
  <c r="A489" i="28"/>
  <c r="A488" i="28"/>
  <c r="A487" i="28"/>
  <c r="A486" i="28"/>
  <c r="A485" i="28"/>
  <c r="A484" i="28"/>
  <c r="A483" i="28"/>
  <c r="A482" i="28"/>
  <c r="A481" i="28"/>
  <c r="A480" i="28"/>
  <c r="A479" i="28"/>
  <c r="A478" i="28"/>
  <c r="A477" i="28"/>
  <c r="A476" i="28"/>
  <c r="A475" i="28"/>
  <c r="A474" i="28"/>
  <c r="A473" i="28"/>
  <c r="A472" i="28"/>
  <c r="A471" i="28"/>
  <c r="A470" i="28"/>
  <c r="A469" i="28"/>
  <c r="A468" i="28"/>
  <c r="A467" i="28"/>
  <c r="A466" i="28"/>
  <c r="A465" i="28"/>
  <c r="A464" i="28"/>
  <c r="A463" i="28"/>
  <c r="A462" i="28"/>
  <c r="A461" i="28"/>
  <c r="A460" i="28"/>
  <c r="A459" i="28"/>
  <c r="A458" i="28"/>
  <c r="A457" i="28"/>
  <c r="A456" i="28"/>
  <c r="A455" i="28"/>
  <c r="A454" i="28"/>
  <c r="A453" i="28"/>
  <c r="A452" i="28"/>
  <c r="A451" i="28"/>
  <c r="A450" i="28"/>
  <c r="A449" i="28"/>
  <c r="A448" i="28"/>
  <c r="A447" i="28"/>
  <c r="A446" i="28"/>
  <c r="A445" i="28"/>
  <c r="A444" i="28"/>
  <c r="A443" i="28"/>
  <c r="A442" i="28"/>
  <c r="A438" i="28"/>
  <c r="A437" i="28"/>
  <c r="A436" i="28"/>
  <c r="A435" i="28"/>
  <c r="A434" i="28"/>
  <c r="A433" i="28"/>
  <c r="A432" i="28"/>
  <c r="A431" i="28"/>
  <c r="A429" i="28"/>
  <c r="A428" i="28"/>
  <c r="A427" i="28"/>
  <c r="A426" i="28"/>
  <c r="A425" i="28"/>
  <c r="A424" i="28"/>
  <c r="A423" i="28"/>
  <c r="A422" i="28"/>
  <c r="A421" i="28"/>
  <c r="A420" i="28"/>
  <c r="A419" i="28"/>
  <c r="A418" i="28"/>
  <c r="A417" i="28"/>
  <c r="A416" i="28"/>
  <c r="A415" i="28"/>
  <c r="A414" i="28"/>
  <c r="A413" i="28"/>
  <c r="A412" i="28"/>
  <c r="A411" i="28"/>
  <c r="A410" i="28"/>
  <c r="A409" i="28"/>
  <c r="A408" i="28"/>
  <c r="A407" i="28"/>
  <c r="A406" i="28"/>
  <c r="A405" i="28"/>
  <c r="A404" i="28"/>
  <c r="A403" i="28"/>
  <c r="A402" i="28"/>
  <c r="A401" i="28"/>
  <c r="A400" i="28"/>
  <c r="A399" i="28"/>
  <c r="A398" i="28"/>
  <c r="A397" i="28"/>
  <c r="A396" i="28"/>
  <c r="A395" i="28"/>
  <c r="A394" i="28"/>
  <c r="A393" i="28"/>
  <c r="A392" i="28"/>
  <c r="A391" i="28"/>
  <c r="A390" i="28"/>
  <c r="A389" i="28"/>
  <c r="A388" i="28"/>
  <c r="A387" i="28"/>
  <c r="A386" i="28"/>
  <c r="A385" i="28"/>
  <c r="A384" i="28"/>
  <c r="A383" i="28"/>
  <c r="A382" i="28"/>
  <c r="A381" i="28"/>
  <c r="A380" i="28"/>
  <c r="A379" i="28"/>
  <c r="A378" i="28"/>
  <c r="A377" i="28"/>
  <c r="A376" i="28"/>
  <c r="A375" i="28"/>
  <c r="A374" i="28"/>
  <c r="A373" i="28"/>
  <c r="A372" i="28"/>
  <c r="A371" i="28"/>
  <c r="A370" i="28"/>
  <c r="A369" i="28"/>
  <c r="A368" i="28"/>
  <c r="A367" i="28"/>
  <c r="A366" i="28"/>
  <c r="A365" i="28"/>
  <c r="A364" i="28"/>
  <c r="A363" i="28"/>
  <c r="A362" i="28"/>
  <c r="A361" i="28"/>
  <c r="A360" i="28"/>
  <c r="A359" i="28"/>
  <c r="A358" i="28"/>
  <c r="A357" i="28"/>
  <c r="A356" i="28"/>
  <c r="A355" i="28"/>
  <c r="A354" i="28"/>
  <c r="A353" i="28"/>
  <c r="A352" i="28"/>
  <c r="A351" i="28"/>
  <c r="A350" i="28"/>
  <c r="A349" i="28"/>
  <c r="A348" i="28"/>
  <c r="A347" i="28"/>
  <c r="A346" i="28"/>
  <c r="A345" i="28"/>
  <c r="A344" i="28"/>
  <c r="A343" i="28"/>
  <c r="A342" i="28"/>
  <c r="A341" i="28"/>
  <c r="A339" i="28"/>
  <c r="A338" i="28"/>
  <c r="A337" i="28"/>
  <c r="A336" i="28"/>
  <c r="A335" i="28"/>
  <c r="A334" i="28"/>
  <c r="A333" i="28"/>
  <c r="A332" i="28"/>
  <c r="A331" i="28"/>
  <c r="A330" i="28"/>
  <c r="A329" i="28"/>
  <c r="A328" i="28"/>
  <c r="A327" i="28"/>
  <c r="A326" i="28"/>
  <c r="A325" i="28"/>
  <c r="A324" i="28"/>
  <c r="A323" i="28"/>
  <c r="A322" i="28"/>
  <c r="A321" i="28"/>
  <c r="A320" i="28"/>
  <c r="A319" i="28"/>
  <c r="A318" i="28"/>
  <c r="A317" i="28"/>
  <c r="A316" i="28"/>
  <c r="A315" i="28"/>
  <c r="A314" i="28"/>
  <c r="A313" i="28"/>
  <c r="A312" i="28"/>
  <c r="A311" i="28"/>
  <c r="A310" i="28"/>
  <c r="A309" i="28"/>
  <c r="A308" i="28"/>
  <c r="A307" i="28"/>
  <c r="A305" i="28"/>
  <c r="A304" i="28"/>
  <c r="A303" i="28"/>
  <c r="A302" i="28"/>
  <c r="A301" i="28"/>
  <c r="A300" i="28"/>
  <c r="A299" i="28"/>
  <c r="A298" i="28"/>
  <c r="A297" i="28"/>
  <c r="A296" i="28"/>
  <c r="A295" i="28"/>
  <c r="A294" i="28"/>
  <c r="A292" i="28"/>
  <c r="A291" i="28"/>
  <c r="A290" i="28"/>
  <c r="A289" i="28"/>
  <c r="A288" i="28"/>
  <c r="A287" i="28"/>
  <c r="A286" i="28"/>
  <c r="A285" i="28"/>
  <c r="A284" i="28"/>
  <c r="A283" i="28"/>
  <c r="A282" i="28"/>
  <c r="A281" i="28"/>
  <c r="A280" i="28"/>
  <c r="A279" i="28"/>
  <c r="A278" i="28"/>
  <c r="A277" i="28"/>
  <c r="A276" i="28"/>
  <c r="A275" i="28"/>
  <c r="A274" i="28"/>
  <c r="A273" i="28"/>
  <c r="A272" i="28"/>
  <c r="A271" i="28"/>
  <c r="A270" i="28"/>
  <c r="A269" i="28"/>
  <c r="A268" i="28"/>
  <c r="A267" i="28"/>
  <c r="A266" i="28"/>
  <c r="A265" i="28"/>
  <c r="A264" i="28"/>
  <c r="A263" i="28"/>
  <c r="A261" i="28"/>
  <c r="A260" i="28"/>
  <c r="A259" i="28"/>
  <c r="A258" i="28"/>
  <c r="A257" i="28"/>
  <c r="A256" i="28"/>
  <c r="A255" i="28"/>
  <c r="A254" i="28"/>
  <c r="A253" i="28"/>
  <c r="A252" i="28"/>
  <c r="A251" i="28"/>
  <c r="A250" i="28"/>
  <c r="A249" i="28"/>
  <c r="A248" i="28"/>
  <c r="A247" i="28"/>
  <c r="A246" i="28"/>
  <c r="A245" i="28"/>
  <c r="A244" i="28"/>
  <c r="A243" i="28"/>
  <c r="A242" i="28"/>
  <c r="A241" i="28"/>
  <c r="A240" i="28"/>
  <c r="A239" i="28"/>
  <c r="A238" i="28"/>
  <c r="A237" i="28"/>
  <c r="A236" i="28"/>
  <c r="A235" i="28"/>
  <c r="A234" i="28"/>
  <c r="A233" i="28"/>
  <c r="A232" i="28"/>
  <c r="A231" i="28"/>
  <c r="A230" i="28"/>
  <c r="A229" i="28"/>
  <c r="A228" i="28"/>
  <c r="A227" i="28"/>
  <c r="A226" i="28"/>
  <c r="A225" i="28"/>
  <c r="A224" i="28"/>
  <c r="A223" i="28"/>
  <c r="A222" i="28"/>
  <c r="A221" i="28"/>
  <c r="A220" i="28"/>
  <c r="A219" i="28"/>
  <c r="A218" i="28"/>
  <c r="A217" i="28"/>
  <c r="A216" i="28"/>
  <c r="A215" i="28"/>
  <c r="A214" i="28"/>
  <c r="A213" i="28"/>
  <c r="A212" i="28"/>
  <c r="A211" i="28"/>
  <c r="A210" i="28"/>
  <c r="A209" i="28"/>
  <c r="A208" i="28"/>
  <c r="A207" i="28"/>
  <c r="A206" i="28"/>
  <c r="A205" i="28"/>
  <c r="A204" i="28"/>
  <c r="A203" i="28"/>
  <c r="A202" i="28"/>
  <c r="A201" i="28"/>
  <c r="A200" i="28"/>
  <c r="A199" i="28"/>
  <c r="A198" i="28"/>
  <c r="A197" i="28"/>
  <c r="A196" i="28"/>
  <c r="A195" i="28"/>
  <c r="A194" i="28"/>
  <c r="A193" i="28"/>
  <c r="A192" i="28"/>
  <c r="A191" i="28"/>
  <c r="A190" i="28"/>
  <c r="A189" i="28"/>
  <c r="A188" i="28"/>
  <c r="A187" i="28"/>
  <c r="A186" i="28"/>
  <c r="A185" i="28"/>
  <c r="A184" i="28"/>
  <c r="A183" i="28"/>
  <c r="A182" i="28"/>
  <c r="A181" i="28"/>
  <c r="A180" i="28"/>
  <c r="A179" i="28"/>
  <c r="A178" i="28"/>
  <c r="A177" i="28"/>
  <c r="A176" i="28"/>
  <c r="A175" i="28"/>
  <c r="A174" i="28"/>
  <c r="A173" i="28"/>
  <c r="A172" i="28"/>
  <c r="A171" i="28"/>
  <c r="A170" i="28"/>
  <c r="A169" i="28"/>
  <c r="AH1737" i="28"/>
  <c r="AH1731" i="28"/>
  <c r="AH1729" i="28"/>
  <c r="AH1728" i="28"/>
  <c r="AH1726" i="28"/>
  <c r="AH1725" i="28"/>
  <c r="AH1724" i="28"/>
  <c r="AH1722" i="28"/>
  <c r="AH1721" i="28"/>
  <c r="AH1719" i="28"/>
  <c r="AH1718" i="28"/>
  <c r="AH1717" i="28"/>
  <c r="AH1716" i="28"/>
  <c r="AH1715" i="28"/>
  <c r="AH1714" i="28"/>
  <c r="AH1713" i="28"/>
  <c r="AH1711" i="28"/>
  <c r="AH1709" i="28"/>
  <c r="AH1708" i="28"/>
  <c r="AH1707" i="28"/>
  <c r="AH1706" i="28"/>
  <c r="AH1705" i="28"/>
  <c r="AH1704" i="28"/>
  <c r="AH1703" i="28"/>
  <c r="AH1700" i="28"/>
  <c r="AH1697" i="28"/>
  <c r="AH1695" i="28"/>
  <c r="AH1675" i="28"/>
  <c r="AH1670" i="28"/>
  <c r="AH1661" i="28"/>
  <c r="AH1660" i="28"/>
  <c r="AH1652" i="28"/>
  <c r="AH1651" i="28"/>
  <c r="AH1644" i="28"/>
  <c r="AH1639" i="28"/>
  <c r="AH1636" i="28"/>
  <c r="AH1635" i="28"/>
  <c r="AH1634" i="28"/>
  <c r="AH1633" i="28"/>
  <c r="AH1632" i="28"/>
  <c r="AH1631" i="28"/>
  <c r="AH1630" i="28"/>
  <c r="AH1629" i="28"/>
  <c r="AH1622" i="28"/>
  <c r="AH1618" i="28"/>
  <c r="AH1592" i="28"/>
  <c r="AH1561" i="28"/>
  <c r="AH1542" i="28"/>
  <c r="AH1523" i="28"/>
  <c r="AH1519" i="28"/>
  <c r="AH1505" i="28"/>
  <c r="AH1477" i="28"/>
  <c r="AH1474" i="28"/>
  <c r="AH1473" i="28"/>
  <c r="AH1455" i="28"/>
  <c r="AH1447" i="28"/>
  <c r="AH1444" i="28"/>
  <c r="AH1442" i="28"/>
  <c r="AH1441" i="28"/>
  <c r="AH1440" i="28"/>
  <c r="AH1424" i="28"/>
  <c r="AH1392" i="28"/>
  <c r="AH1390" i="28"/>
  <c r="AH1389" i="28"/>
  <c r="AH1386" i="28"/>
  <c r="AH1380" i="28"/>
  <c r="AH1379" i="28"/>
  <c r="AH1374" i="28"/>
  <c r="AH1372" i="28"/>
  <c r="AH1369" i="28"/>
  <c r="AH1366" i="28"/>
  <c r="AH1365" i="28"/>
  <c r="AH1331" i="28"/>
  <c r="AH1324" i="28"/>
  <c r="AH1322" i="28"/>
  <c r="AH1313" i="28"/>
  <c r="AH1310" i="28"/>
  <c r="AH1256" i="28"/>
  <c r="AH1242" i="28"/>
  <c r="AH1241" i="28"/>
  <c r="AH1240" i="28"/>
  <c r="AH1233" i="28"/>
  <c r="AH1232" i="28"/>
  <c r="AH1231" i="28"/>
  <c r="AH1229" i="28"/>
  <c r="AH1228" i="28"/>
  <c r="AH1225" i="28"/>
  <c r="AH1208" i="28"/>
  <c r="AH1189" i="28"/>
  <c r="AH1188" i="28"/>
  <c r="AH1187" i="28"/>
  <c r="AH1186" i="28"/>
  <c r="AH1185" i="28"/>
  <c r="AH1184" i="28"/>
  <c r="AH1183" i="28"/>
  <c r="AH1182" i="28"/>
  <c r="AH1181" i="28"/>
  <c r="AH1180" i="28"/>
  <c r="AH1179" i="28"/>
  <c r="AH1165" i="28"/>
  <c r="AH1129" i="28"/>
  <c r="AH1123" i="28"/>
  <c r="AH1118" i="28"/>
  <c r="AH1107" i="28"/>
  <c r="AH1105" i="28"/>
  <c r="AH1068" i="28"/>
  <c r="AH1065" i="28"/>
  <c r="AH1064" i="28"/>
  <c r="AH1063" i="28"/>
  <c r="AH1060" i="28"/>
  <c r="AH1051" i="28"/>
  <c r="AH1047" i="28"/>
  <c r="AH1046" i="28"/>
  <c r="AH1040" i="28"/>
  <c r="AH1030" i="28"/>
  <c r="AH1027" i="28"/>
  <c r="AH1025" i="28"/>
  <c r="AH1024" i="28"/>
  <c r="AH1023" i="28"/>
  <c r="AH1021" i="28"/>
  <c r="AH1020" i="28"/>
  <c r="AH1019" i="28"/>
  <c r="AH1018" i="28"/>
  <c r="AH1011" i="28"/>
  <c r="AH1007" i="28"/>
  <c r="AH987" i="28"/>
  <c r="AH984" i="28"/>
  <c r="AH983" i="28"/>
  <c r="AH981" i="28"/>
  <c r="AH968" i="28"/>
  <c r="AH944" i="28"/>
  <c r="AH943" i="28"/>
  <c r="AH942" i="28"/>
  <c r="AH941" i="28"/>
  <c r="AH940" i="28"/>
  <c r="AH939" i="28"/>
  <c r="AH938" i="28"/>
  <c r="AH937" i="28"/>
  <c r="AH936" i="28"/>
  <c r="AH935" i="28"/>
  <c r="AH931" i="28"/>
  <c r="AH930" i="28"/>
  <c r="AH929" i="28"/>
  <c r="AH928" i="28"/>
  <c r="AH927" i="28"/>
  <c r="AH926" i="28"/>
  <c r="AH925" i="28"/>
  <c r="AH924" i="28"/>
  <c r="AH923" i="28"/>
  <c r="AH922" i="28"/>
  <c r="AH921" i="28"/>
  <c r="AH913" i="28"/>
  <c r="AH911" i="28"/>
  <c r="AH905" i="28"/>
  <c r="AH902" i="28"/>
  <c r="AH900" i="28"/>
  <c r="AH895" i="28"/>
  <c r="AH887" i="28"/>
  <c r="AH881" i="28"/>
  <c r="AH878" i="28"/>
  <c r="AH866" i="28"/>
  <c r="AH864" i="28"/>
  <c r="AH856" i="28"/>
  <c r="AH852" i="28"/>
  <c r="AH849" i="28"/>
  <c r="AH848" i="28"/>
  <c r="AH846" i="28"/>
  <c r="AH828" i="28"/>
  <c r="AH827" i="28"/>
  <c r="AH825" i="28"/>
  <c r="AH822" i="28"/>
  <c r="AH820" i="28"/>
  <c r="AH815" i="28"/>
  <c r="AH814" i="28"/>
  <c r="AH799" i="28"/>
  <c r="AH798" i="28"/>
  <c r="AH771" i="28"/>
  <c r="AH768" i="28"/>
  <c r="AH767" i="28"/>
  <c r="AH765" i="28"/>
  <c r="AH764" i="28"/>
  <c r="AH763" i="28"/>
  <c r="AH762" i="28"/>
  <c r="AH761" i="28"/>
  <c r="AH760" i="28"/>
  <c r="AH759" i="28"/>
  <c r="AH751" i="28"/>
  <c r="AH736" i="28"/>
  <c r="AH735" i="28"/>
  <c r="AH734" i="28"/>
  <c r="AH732" i="28"/>
  <c r="AH731" i="28"/>
  <c r="AH730" i="28"/>
  <c r="AH729" i="28"/>
  <c r="AH713" i="28"/>
  <c r="AH695" i="28"/>
  <c r="AH694" i="28"/>
  <c r="AH693" i="28"/>
  <c r="AH692" i="28"/>
  <c r="AH691" i="28"/>
  <c r="AH690" i="28"/>
  <c r="AH689" i="28"/>
  <c r="AH688" i="28"/>
  <c r="AH687" i="28"/>
  <c r="AH686" i="28"/>
  <c r="AH685" i="28"/>
  <c r="AH684" i="28"/>
  <c r="AH683" i="28"/>
  <c r="AH682" i="28"/>
  <c r="AH681" i="28"/>
  <c r="AH680" i="28"/>
  <c r="AH679" i="28"/>
  <c r="AH677" i="28"/>
  <c r="AH674" i="28"/>
  <c r="AH657" i="28"/>
  <c r="AH656" i="28"/>
  <c r="AH655" i="28"/>
  <c r="AH653" i="28"/>
  <c r="AH651" i="28"/>
  <c r="AH631" i="28"/>
  <c r="AH626" i="28"/>
  <c r="AH625" i="28"/>
  <c r="AH624" i="28"/>
  <c r="AH623" i="28"/>
  <c r="AH619" i="28"/>
  <c r="AH578" i="28"/>
  <c r="AH577" i="28"/>
  <c r="AH576" i="28"/>
  <c r="AH575" i="28"/>
  <c r="AH574" i="28"/>
  <c r="AH573" i="28"/>
  <c r="AH564" i="28"/>
  <c r="AH559" i="28"/>
  <c r="AH558" i="28"/>
  <c r="AH550" i="28"/>
  <c r="AH549" i="28"/>
  <c r="AH483" i="28"/>
  <c r="AH472" i="28"/>
  <c r="AH471" i="28"/>
  <c r="AH470" i="28"/>
  <c r="AH469" i="28"/>
  <c r="AH468" i="28"/>
  <c r="AH467" i="28"/>
  <c r="AH465" i="28"/>
  <c r="AH461" i="28"/>
  <c r="AH457" i="28"/>
  <c r="AH456" i="28"/>
  <c r="AH443" i="28"/>
  <c r="AH413" i="28"/>
  <c r="AH412" i="28"/>
  <c r="AH409" i="28"/>
  <c r="AH405" i="28"/>
  <c r="AH403" i="28"/>
  <c r="AH401" i="28"/>
  <c r="AH394" i="28"/>
  <c r="AH387" i="28"/>
  <c r="AH379" i="28"/>
  <c r="AH378" i="28"/>
  <c r="AH377" i="28"/>
  <c r="AH372" i="28"/>
  <c r="AH338" i="28"/>
  <c r="AH334" i="28"/>
  <c r="AH321" i="28"/>
  <c r="AH315" i="28"/>
  <c r="AH286" i="28"/>
  <c r="AH285" i="28"/>
  <c r="AH273" i="28"/>
  <c r="AH257" i="28"/>
  <c r="AH256" i="28"/>
  <c r="AH255" i="28"/>
  <c r="AH253" i="28"/>
  <c r="AH252" i="28"/>
  <c r="AH251" i="28"/>
  <c r="AH250" i="28"/>
  <c r="AH249" i="28"/>
  <c r="AH248" i="28"/>
  <c r="AH247" i="28"/>
  <c r="AH246" i="28"/>
  <c r="AH245" i="28"/>
  <c r="AH244" i="28"/>
  <c r="AH242" i="28"/>
  <c r="AH241" i="28"/>
  <c r="AH240" i="28"/>
  <c r="AH239" i="28"/>
  <c r="AH237" i="28"/>
  <c r="AH236" i="28"/>
  <c r="AH231" i="28"/>
  <c r="AH230" i="28"/>
  <c r="AH228" i="28"/>
  <c r="AH226" i="28"/>
  <c r="AH224" i="28"/>
  <c r="AH221" i="28"/>
  <c r="AH219" i="28"/>
  <c r="AH217" i="28"/>
  <c r="AH213" i="28"/>
  <c r="AH212" i="28"/>
  <c r="AH211" i="28"/>
  <c r="AH208" i="28"/>
  <c r="AH207" i="28"/>
  <c r="AH206" i="28"/>
  <c r="AH205" i="28"/>
  <c r="AH204" i="28"/>
  <c r="AH203" i="28"/>
  <c r="AH202" i="28"/>
  <c r="AH201" i="28"/>
  <c r="AH200" i="28"/>
  <c r="AH199" i="28"/>
  <c r="AH198" i="28"/>
  <c r="AH197" i="28"/>
  <c r="AH196" i="28"/>
  <c r="AH195" i="28"/>
  <c r="AH194" i="28"/>
  <c r="AH193" i="28"/>
  <c r="AH192" i="28"/>
  <c r="AH191" i="28"/>
  <c r="AH189" i="28"/>
  <c r="AH188" i="28"/>
  <c r="AH187" i="28"/>
  <c r="AH185" i="28"/>
  <c r="AH184" i="28"/>
  <c r="AH183" i="28"/>
  <c r="AH182" i="28"/>
  <c r="AH181" i="28"/>
  <c r="AH180" i="28"/>
  <c r="AH179" i="28"/>
  <c r="AH178" i="28"/>
  <c r="AH176" i="28"/>
  <c r="AH173" i="28"/>
  <c r="AH172" i="28"/>
  <c r="AH171" i="28"/>
  <c r="AH169" i="28"/>
  <c r="AH168" i="28"/>
  <c r="AH165" i="28"/>
  <c r="AH159" i="28"/>
  <c r="AH158" i="28"/>
  <c r="AH157" i="28"/>
  <c r="AH156" i="28"/>
  <c r="AH155" i="28"/>
  <c r="AH153" i="28"/>
  <c r="AH152" i="28"/>
  <c r="AH114" i="28"/>
  <c r="AH112" i="28"/>
  <c r="AH89" i="28"/>
  <c r="AH88" i="28"/>
  <c r="AH87" i="28"/>
  <c r="AH84" i="28"/>
  <c r="AH83" i="28"/>
  <c r="AH82" i="28"/>
  <c r="AH81" i="28"/>
  <c r="AH80" i="28"/>
  <c r="AH79" i="28"/>
  <c r="AH71" i="28"/>
  <c r="AH59" i="28"/>
  <c r="AH58" i="28"/>
  <c r="AH57" i="28"/>
  <c r="AH56" i="28"/>
  <c r="AH55" i="28"/>
  <c r="AH52" i="28"/>
  <c r="AH49" i="28"/>
  <c r="AH41" i="28"/>
  <c r="AH37" i="28"/>
  <c r="AH30" i="28"/>
  <c r="AH26" i="28"/>
  <c r="AH733" i="28" l="1"/>
  <c r="AG735" i="44" l="1"/>
  <c r="AH735" i="44"/>
  <c r="B1667" i="28"/>
  <c r="C1667" i="28"/>
  <c r="D1667" i="28"/>
  <c r="B1398" i="28"/>
  <c r="C1398" i="28"/>
  <c r="D1398" i="28"/>
  <c r="B1397" i="28"/>
  <c r="C1397" i="28"/>
  <c r="D1397" i="28"/>
  <c r="B1388" i="28"/>
  <c r="C1388" i="28"/>
  <c r="D1388" i="28"/>
  <c r="B1177" i="28"/>
  <c r="C1177" i="28"/>
  <c r="D1177" i="28"/>
  <c r="B1062" i="28"/>
  <c r="C1062" i="28"/>
  <c r="D1062" i="28"/>
  <c r="B261" i="28"/>
  <c r="C261" i="28"/>
  <c r="D261" i="28"/>
  <c r="N90" i="45"/>
  <c r="K90" i="45"/>
  <c r="N89" i="45"/>
  <c r="K89" i="45"/>
  <c r="N88" i="45"/>
  <c r="K88" i="45"/>
  <c r="K87" i="45" s="1"/>
  <c r="N85" i="45"/>
  <c r="K85" i="45"/>
  <c r="N84" i="45"/>
  <c r="K84" i="45"/>
  <c r="N83" i="45"/>
  <c r="K83" i="45"/>
  <c r="N81" i="45"/>
  <c r="K81" i="45"/>
  <c r="N80" i="45"/>
  <c r="N79" i="45" s="1"/>
  <c r="K80" i="45"/>
  <c r="N76" i="45"/>
  <c r="N75" i="45"/>
  <c r="N73" i="45"/>
  <c r="N72" i="45"/>
  <c r="K76" i="45"/>
  <c r="K75" i="45"/>
  <c r="K73" i="45"/>
  <c r="K72" i="45"/>
  <c r="N87" i="45" l="1"/>
  <c r="K79" i="45"/>
  <c r="N61" i="45" l="1"/>
  <c r="N55" i="45"/>
  <c r="S534" i="39"/>
  <c r="J51" i="45"/>
  <c r="N34" i="45"/>
  <c r="N29" i="45"/>
  <c r="N22" i="45" l="1"/>
  <c r="D224" i="46"/>
  <c r="D206" i="46"/>
  <c r="D178" i="46"/>
  <c r="D177" i="46"/>
  <c r="D172" i="46"/>
  <c r="D171" i="46"/>
  <c r="D167" i="46"/>
  <c r="D162" i="46"/>
  <c r="D161" i="46"/>
  <c r="D160" i="46"/>
  <c r="D153" i="46"/>
  <c r="D140" i="46"/>
  <c r="D126" i="46"/>
  <c r="D112" i="46"/>
  <c r="D111" i="46"/>
  <c r="D110" i="46"/>
  <c r="D104" i="46"/>
  <c r="D103" i="46"/>
  <c r="D102" i="46"/>
  <c r="D89" i="46"/>
  <c r="D60" i="46"/>
  <c r="D59" i="46"/>
  <c r="D58" i="46"/>
  <c r="D56" i="46"/>
  <c r="D48" i="46"/>
  <c r="D47" i="46"/>
  <c r="D44" i="46"/>
  <c r="D43" i="46"/>
  <c r="A246" i="46"/>
  <c r="A243" i="46"/>
  <c r="A241" i="46"/>
  <c r="A239" i="46"/>
  <c r="A237" i="46"/>
  <c r="A235" i="46"/>
  <c r="A233" i="46"/>
  <c r="A228" i="46"/>
  <c r="A226" i="46"/>
  <c r="A224" i="46"/>
  <c r="A222" i="46"/>
  <c r="A220" i="46"/>
  <c r="A218" i="46"/>
  <c r="A216" i="46"/>
  <c r="A214" i="46"/>
  <c r="A212" i="46"/>
  <c r="A210" i="46"/>
  <c r="A208" i="46"/>
  <c r="A206" i="46"/>
  <c r="A204" i="46"/>
  <c r="A203" i="46"/>
  <c r="A202" i="46"/>
  <c r="A201" i="46"/>
  <c r="A200" i="46"/>
  <c r="A198" i="46"/>
  <c r="A197" i="46"/>
  <c r="A196" i="46"/>
  <c r="A194" i="46"/>
  <c r="A193" i="46"/>
  <c r="A192" i="46"/>
  <c r="A190" i="46"/>
  <c r="A188" i="46"/>
  <c r="A187" i="46"/>
  <c r="A186" i="46"/>
  <c r="A184" i="46"/>
  <c r="A182" i="46"/>
  <c r="A180" i="46"/>
  <c r="A178" i="46"/>
  <c r="A177" i="46"/>
  <c r="A176" i="46"/>
  <c r="A175" i="46"/>
  <c r="A174" i="46"/>
  <c r="A172" i="46"/>
  <c r="A171" i="46"/>
  <c r="A170" i="46"/>
  <c r="A169" i="46"/>
  <c r="A167" i="46"/>
  <c r="A166" i="46"/>
  <c r="A165" i="46"/>
  <c r="A164" i="46"/>
  <c r="A162" i="46"/>
  <c r="A161" i="46"/>
  <c r="A160" i="46"/>
  <c r="A159" i="46"/>
  <c r="A158" i="46"/>
  <c r="A157" i="46"/>
  <c r="A156" i="46"/>
  <c r="A154" i="46"/>
  <c r="A153" i="46"/>
  <c r="A152" i="46"/>
  <c r="A151" i="46"/>
  <c r="A149" i="46"/>
  <c r="A140" i="46"/>
  <c r="A138" i="46"/>
  <c r="A137" i="46"/>
  <c r="A136" i="46"/>
  <c r="A135" i="46"/>
  <c r="A133" i="46"/>
  <c r="A131" i="46"/>
  <c r="A129" i="46"/>
  <c r="A127" i="46"/>
  <c r="A126" i="46"/>
  <c r="A125" i="46"/>
  <c r="A124" i="46"/>
  <c r="A123" i="46"/>
  <c r="A122" i="46"/>
  <c r="A121" i="46"/>
  <c r="A120" i="46"/>
  <c r="A118" i="46"/>
  <c r="A116" i="46"/>
  <c r="A114" i="46"/>
  <c r="A112" i="46"/>
  <c r="A111" i="46"/>
  <c r="A110" i="46"/>
  <c r="A109" i="46"/>
  <c r="A108" i="46"/>
  <c r="A107" i="46"/>
  <c r="A106" i="46"/>
  <c r="A104" i="46"/>
  <c r="A103" i="46"/>
  <c r="A102" i="46"/>
  <c r="A101" i="46"/>
  <c r="A100" i="46"/>
  <c r="A99" i="46"/>
  <c r="A98" i="46"/>
  <c r="A97" i="46"/>
  <c r="A96" i="46"/>
  <c r="A95" i="46"/>
  <c r="A94" i="46"/>
  <c r="A93" i="46"/>
  <c r="A91" i="46"/>
  <c r="A89" i="46"/>
  <c r="A87" i="46"/>
  <c r="A85" i="46"/>
  <c r="A83" i="46"/>
  <c r="D81" i="46"/>
  <c r="D145" i="46" s="1"/>
  <c r="A77" i="46"/>
  <c r="A76" i="46"/>
  <c r="A75" i="46"/>
  <c r="A74" i="46"/>
  <c r="A73" i="46"/>
  <c r="A72" i="46"/>
  <c r="A70" i="46"/>
  <c r="A69" i="46"/>
  <c r="A68" i="46"/>
  <c r="A66" i="46"/>
  <c r="A65" i="46"/>
  <c r="A64" i="46"/>
  <c r="A62" i="46"/>
  <c r="A60" i="46"/>
  <c r="A59" i="46"/>
  <c r="A58" i="46"/>
  <c r="A57" i="46"/>
  <c r="A56" i="46"/>
  <c r="A55" i="46"/>
  <c r="A54" i="46"/>
  <c r="A53" i="46"/>
  <c r="A52" i="46"/>
  <c r="A51" i="46"/>
  <c r="A50" i="46"/>
  <c r="A48" i="46"/>
  <c r="A47" i="46"/>
  <c r="A46" i="46"/>
  <c r="A45" i="46"/>
  <c r="A44" i="46"/>
  <c r="A43" i="46"/>
  <c r="A42" i="46"/>
  <c r="A41" i="46"/>
  <c r="A40" i="46"/>
  <c r="A39" i="46"/>
  <c r="A37" i="46"/>
  <c r="A35" i="46"/>
  <c r="A33" i="46"/>
  <c r="A32" i="46"/>
  <c r="A31" i="46"/>
  <c r="A30" i="46"/>
  <c r="A29" i="46"/>
  <c r="A27" i="46"/>
  <c r="A25" i="46"/>
  <c r="A24" i="46"/>
  <c r="A23" i="46"/>
  <c r="A21" i="46"/>
  <c r="A19" i="46"/>
  <c r="A18" i="46"/>
  <c r="A17" i="46"/>
  <c r="A15" i="46"/>
  <c r="A13" i="46"/>
  <c r="A11" i="46"/>
  <c r="A9" i="46"/>
  <c r="A7" i="46"/>
  <c r="D54" i="46"/>
  <c r="N9" i="45"/>
  <c r="N12" i="45"/>
  <c r="D109" i="46" l="1"/>
  <c r="D46" i="46"/>
  <c r="D32" i="46"/>
  <c r="D224" i="43" l="1"/>
  <c r="D206" i="43"/>
  <c r="D178" i="43"/>
  <c r="D177" i="43"/>
  <c r="D172" i="43"/>
  <c r="D171" i="43"/>
  <c r="D167" i="43"/>
  <c r="D162" i="43"/>
  <c r="D161" i="43"/>
  <c r="D160" i="43"/>
  <c r="D153" i="43"/>
  <c r="D140" i="43"/>
  <c r="D126" i="43"/>
  <c r="D112" i="43"/>
  <c r="D111" i="43"/>
  <c r="D110" i="43"/>
  <c r="D104" i="43"/>
  <c r="D103" i="43"/>
  <c r="D102" i="43"/>
  <c r="D89" i="43"/>
  <c r="D60" i="43"/>
  <c r="D59" i="43"/>
  <c r="D58" i="43"/>
  <c r="D56" i="43"/>
  <c r="D48" i="43"/>
  <c r="D47" i="43"/>
  <c r="D44" i="43"/>
  <c r="D43" i="43"/>
  <c r="D32" i="43"/>
  <c r="AJ1780" i="44"/>
  <c r="X1779" i="44"/>
  <c r="Z1778" i="44"/>
  <c r="Z1777" i="44"/>
  <c r="AJ1776" i="44"/>
  <c r="Z1776" i="44"/>
  <c r="Z1775" i="44"/>
  <c r="Z1774" i="44"/>
  <c r="AI1773" i="44"/>
  <c r="Z1771" i="44"/>
  <c r="AJ1770" i="44"/>
  <c r="AJ1773" i="44" s="1"/>
  <c r="Z1770" i="44"/>
  <c r="Z1769" i="44"/>
  <c r="X1766" i="44"/>
  <c r="U1766" i="44"/>
  <c r="R1766" i="44"/>
  <c r="O1766" i="44"/>
  <c r="L1766" i="44"/>
  <c r="I1766" i="44"/>
  <c r="F1766" i="44"/>
  <c r="C1766" i="44"/>
  <c r="X1765" i="44"/>
  <c r="U1765" i="44"/>
  <c r="R1765" i="44"/>
  <c r="O1765" i="44"/>
  <c r="L1765" i="44"/>
  <c r="I1765" i="44"/>
  <c r="F1765" i="44"/>
  <c r="C1765" i="44"/>
  <c r="X1764" i="44"/>
  <c r="U1764" i="44"/>
  <c r="R1764" i="44"/>
  <c r="O1764" i="44"/>
  <c r="L1764" i="44"/>
  <c r="I1764" i="44"/>
  <c r="F1764" i="44"/>
  <c r="C1764" i="44"/>
  <c r="X1763" i="44"/>
  <c r="U1763" i="44"/>
  <c r="R1763" i="44"/>
  <c r="O1763" i="44"/>
  <c r="L1763" i="44"/>
  <c r="I1763" i="44"/>
  <c r="F1763" i="44"/>
  <c r="C1763" i="44"/>
  <c r="X1762" i="44"/>
  <c r="U1762" i="44"/>
  <c r="R1762" i="44"/>
  <c r="O1762" i="44"/>
  <c r="L1762" i="44"/>
  <c r="I1762" i="44"/>
  <c r="F1762" i="44"/>
  <c r="C1762" i="44"/>
  <c r="X1761" i="44"/>
  <c r="U1761" i="44"/>
  <c r="R1761" i="44"/>
  <c r="O1761" i="44"/>
  <c r="L1761" i="44"/>
  <c r="I1761" i="44"/>
  <c r="F1761" i="44"/>
  <c r="C1761" i="44"/>
  <c r="X1740" i="44"/>
  <c r="U1740" i="44"/>
  <c r="R1740" i="44"/>
  <c r="O1740" i="44"/>
  <c r="L1740" i="44"/>
  <c r="I1740" i="44"/>
  <c r="F1740" i="44"/>
  <c r="C1740" i="44"/>
  <c r="X1739" i="44"/>
  <c r="U1739" i="44"/>
  <c r="R1739" i="44"/>
  <c r="O1739" i="44"/>
  <c r="L1739" i="44"/>
  <c r="I1739" i="44"/>
  <c r="F1739" i="44"/>
  <c r="C1739" i="44"/>
  <c r="X1738" i="44"/>
  <c r="U1738" i="44"/>
  <c r="R1738" i="44"/>
  <c r="O1738" i="44"/>
  <c r="L1738" i="44"/>
  <c r="I1738" i="44"/>
  <c r="F1738" i="44"/>
  <c r="C1738" i="44"/>
  <c r="X1737" i="44"/>
  <c r="U1737" i="44"/>
  <c r="R1737" i="44"/>
  <c r="O1737" i="44"/>
  <c r="L1737" i="44"/>
  <c r="I1737" i="44"/>
  <c r="F1737" i="44"/>
  <c r="C1737" i="44"/>
  <c r="X1736" i="44"/>
  <c r="U1736" i="44"/>
  <c r="R1736" i="44"/>
  <c r="O1736" i="44"/>
  <c r="L1736" i="44"/>
  <c r="I1736" i="44"/>
  <c r="F1736" i="44"/>
  <c r="C1736" i="44"/>
  <c r="X1735" i="44"/>
  <c r="U1735" i="44"/>
  <c r="R1735" i="44"/>
  <c r="O1735" i="44"/>
  <c r="L1735" i="44"/>
  <c r="I1735" i="44"/>
  <c r="F1735" i="44"/>
  <c r="C1735" i="44"/>
  <c r="X1734" i="44"/>
  <c r="U1734" i="44"/>
  <c r="R1734" i="44"/>
  <c r="O1734" i="44"/>
  <c r="L1734" i="44"/>
  <c r="I1734" i="44"/>
  <c r="F1734" i="44"/>
  <c r="C1734" i="44"/>
  <c r="X1703" i="44"/>
  <c r="U1703" i="44"/>
  <c r="R1703" i="44"/>
  <c r="O1703" i="44"/>
  <c r="L1703" i="44"/>
  <c r="I1703" i="44"/>
  <c r="F1703" i="44"/>
  <c r="C1703" i="44"/>
  <c r="X1699" i="44"/>
  <c r="U1699" i="44"/>
  <c r="R1699" i="44"/>
  <c r="O1699" i="44"/>
  <c r="L1699" i="44"/>
  <c r="I1699" i="44"/>
  <c r="F1699" i="44"/>
  <c r="C1699" i="44"/>
  <c r="X1696" i="44"/>
  <c r="U1696" i="44"/>
  <c r="R1696" i="44"/>
  <c r="O1696" i="44"/>
  <c r="L1696" i="44"/>
  <c r="I1696" i="44"/>
  <c r="F1696" i="44"/>
  <c r="C1696" i="44"/>
  <c r="X1695" i="44"/>
  <c r="U1695" i="44"/>
  <c r="R1695" i="44"/>
  <c r="O1695" i="44"/>
  <c r="L1695" i="44"/>
  <c r="I1695" i="44"/>
  <c r="F1695" i="44"/>
  <c r="C1695" i="44"/>
  <c r="X1694" i="44"/>
  <c r="U1694" i="44"/>
  <c r="R1694" i="44"/>
  <c r="O1694" i="44"/>
  <c r="L1694" i="44"/>
  <c r="I1694" i="44"/>
  <c r="F1694" i="44"/>
  <c r="C1694" i="44"/>
  <c r="X1693" i="44"/>
  <c r="U1693" i="44"/>
  <c r="R1693" i="44"/>
  <c r="O1693" i="44"/>
  <c r="L1693" i="44"/>
  <c r="I1693" i="44"/>
  <c r="F1693" i="44"/>
  <c r="C1693" i="44"/>
  <c r="X1686" i="44"/>
  <c r="U1686" i="44"/>
  <c r="R1686" i="44"/>
  <c r="O1686" i="44"/>
  <c r="L1686" i="44"/>
  <c r="I1686" i="44"/>
  <c r="F1686" i="44"/>
  <c r="C1686" i="44"/>
  <c r="X1685" i="44"/>
  <c r="U1685" i="44"/>
  <c r="R1685" i="44"/>
  <c r="O1685" i="44"/>
  <c r="L1685" i="44"/>
  <c r="I1685" i="44"/>
  <c r="F1685" i="44"/>
  <c r="C1685" i="44"/>
  <c r="X1684" i="44"/>
  <c r="U1684" i="44"/>
  <c r="R1684" i="44"/>
  <c r="O1684" i="44"/>
  <c r="L1684" i="44"/>
  <c r="I1684" i="44"/>
  <c r="F1684" i="44"/>
  <c r="C1684" i="44"/>
  <c r="X1683" i="44"/>
  <c r="U1683" i="44"/>
  <c r="R1683" i="44"/>
  <c r="O1683" i="44"/>
  <c r="L1683" i="44"/>
  <c r="I1683" i="44"/>
  <c r="F1683" i="44"/>
  <c r="C1683" i="44"/>
  <c r="X1679" i="44"/>
  <c r="U1679" i="44"/>
  <c r="R1679" i="44"/>
  <c r="O1679" i="44"/>
  <c r="L1679" i="44"/>
  <c r="I1679" i="44"/>
  <c r="F1679" i="44"/>
  <c r="C1679" i="44"/>
  <c r="X1678" i="44"/>
  <c r="U1678" i="44"/>
  <c r="R1678" i="44"/>
  <c r="O1678" i="44"/>
  <c r="L1678" i="44"/>
  <c r="I1678" i="44"/>
  <c r="F1678" i="44"/>
  <c r="C1678" i="44"/>
  <c r="X1677" i="44"/>
  <c r="U1677" i="44"/>
  <c r="R1677" i="44"/>
  <c r="O1677" i="44"/>
  <c r="L1677" i="44"/>
  <c r="I1677" i="44"/>
  <c r="F1677" i="44"/>
  <c r="C1677" i="44"/>
  <c r="X1676" i="44"/>
  <c r="U1676" i="44"/>
  <c r="R1676" i="44"/>
  <c r="O1676" i="44"/>
  <c r="L1676" i="44"/>
  <c r="I1676" i="44"/>
  <c r="F1676" i="44"/>
  <c r="C1676" i="44"/>
  <c r="X1675" i="44"/>
  <c r="U1675" i="44"/>
  <c r="R1675" i="44"/>
  <c r="O1675" i="44"/>
  <c r="L1675" i="44"/>
  <c r="I1675" i="44"/>
  <c r="F1675" i="44"/>
  <c r="C1675" i="44"/>
  <c r="X1674" i="44"/>
  <c r="U1674" i="44"/>
  <c r="R1674" i="44"/>
  <c r="O1674" i="44"/>
  <c r="L1674" i="44"/>
  <c r="I1674" i="44"/>
  <c r="F1674" i="44"/>
  <c r="C1674" i="44"/>
  <c r="X1673" i="44"/>
  <c r="U1673" i="44"/>
  <c r="R1673" i="44"/>
  <c r="O1673" i="44"/>
  <c r="L1673" i="44"/>
  <c r="I1673" i="44"/>
  <c r="F1673" i="44"/>
  <c r="C1673" i="44"/>
  <c r="X1672" i="44"/>
  <c r="U1672" i="44"/>
  <c r="R1672" i="44"/>
  <c r="O1672" i="44"/>
  <c r="L1672" i="44"/>
  <c r="I1672" i="44"/>
  <c r="F1672" i="44"/>
  <c r="C1672" i="44"/>
  <c r="X1668" i="44"/>
  <c r="X1662" i="44"/>
  <c r="U1662" i="44"/>
  <c r="R1662" i="44"/>
  <c r="O1662" i="44"/>
  <c r="L1662" i="44"/>
  <c r="I1662" i="44"/>
  <c r="F1662" i="44"/>
  <c r="C1662" i="44"/>
  <c r="X1661" i="44"/>
  <c r="U1661" i="44"/>
  <c r="R1661" i="44"/>
  <c r="O1661" i="44"/>
  <c r="L1661" i="44"/>
  <c r="I1661" i="44"/>
  <c r="F1661" i="44"/>
  <c r="C1661" i="44"/>
  <c r="X1660" i="44"/>
  <c r="U1660" i="44"/>
  <c r="R1660" i="44"/>
  <c r="O1660" i="44"/>
  <c r="L1660" i="44"/>
  <c r="I1660" i="44"/>
  <c r="F1660" i="44"/>
  <c r="C1660" i="44"/>
  <c r="X1659" i="44"/>
  <c r="U1659" i="44"/>
  <c r="R1659" i="44"/>
  <c r="O1659" i="44"/>
  <c r="L1659" i="44"/>
  <c r="I1659" i="44"/>
  <c r="F1659" i="44"/>
  <c r="C1659" i="44"/>
  <c r="X1658" i="44"/>
  <c r="U1658" i="44"/>
  <c r="R1658" i="44"/>
  <c r="O1658" i="44"/>
  <c r="L1658" i="44"/>
  <c r="I1658" i="44"/>
  <c r="F1658" i="44"/>
  <c r="C1658" i="44"/>
  <c r="X1657" i="44"/>
  <c r="U1657" i="44"/>
  <c r="R1657" i="44"/>
  <c r="O1657" i="44"/>
  <c r="L1657" i="44"/>
  <c r="I1657" i="44"/>
  <c r="F1657" i="44"/>
  <c r="C1657" i="44"/>
  <c r="X1656" i="44"/>
  <c r="U1656" i="44"/>
  <c r="R1656" i="44"/>
  <c r="O1656" i="44"/>
  <c r="L1656" i="44"/>
  <c r="I1656" i="44"/>
  <c r="F1656" i="44"/>
  <c r="C1656" i="44"/>
  <c r="X1655" i="44"/>
  <c r="U1655" i="44"/>
  <c r="R1655" i="44"/>
  <c r="O1655" i="44"/>
  <c r="L1655" i="44"/>
  <c r="I1655" i="44"/>
  <c r="F1655" i="44"/>
  <c r="C1655" i="44"/>
  <c r="X1654" i="44"/>
  <c r="U1654" i="44"/>
  <c r="R1654" i="44"/>
  <c r="O1654" i="44"/>
  <c r="L1654" i="44"/>
  <c r="I1654" i="44"/>
  <c r="F1654" i="44"/>
  <c r="C1654" i="44"/>
  <c r="X1653" i="44"/>
  <c r="U1653" i="44"/>
  <c r="R1653" i="44"/>
  <c r="O1653" i="44"/>
  <c r="L1653" i="44"/>
  <c r="I1653" i="44"/>
  <c r="F1653" i="44"/>
  <c r="C1653" i="44"/>
  <c r="X1652" i="44"/>
  <c r="U1652" i="44"/>
  <c r="R1652" i="44"/>
  <c r="O1652" i="44"/>
  <c r="L1652" i="44"/>
  <c r="I1652" i="44"/>
  <c r="F1652" i="44"/>
  <c r="C1652" i="44"/>
  <c r="X1651" i="44"/>
  <c r="U1651" i="44"/>
  <c r="R1651" i="44"/>
  <c r="O1651" i="44"/>
  <c r="L1651" i="44"/>
  <c r="I1651" i="44"/>
  <c r="F1651" i="44"/>
  <c r="C1651" i="44"/>
  <c r="X1650" i="44"/>
  <c r="U1650" i="44"/>
  <c r="R1650" i="44"/>
  <c r="O1650" i="44"/>
  <c r="L1650" i="44"/>
  <c r="I1650" i="44"/>
  <c r="F1650" i="44"/>
  <c r="C1650" i="44"/>
  <c r="X1649" i="44"/>
  <c r="U1649" i="44"/>
  <c r="R1649" i="44"/>
  <c r="O1649" i="44"/>
  <c r="L1649" i="44"/>
  <c r="I1649" i="44"/>
  <c r="F1649" i="44"/>
  <c r="C1649" i="44"/>
  <c r="X1648" i="44"/>
  <c r="U1648" i="44"/>
  <c r="R1648" i="44"/>
  <c r="O1648" i="44"/>
  <c r="L1648" i="44"/>
  <c r="I1648" i="44"/>
  <c r="F1648" i="44"/>
  <c r="C1648" i="44"/>
  <c r="X1647" i="44"/>
  <c r="U1647" i="44"/>
  <c r="R1647" i="44"/>
  <c r="O1647" i="44"/>
  <c r="L1647" i="44"/>
  <c r="I1647" i="44"/>
  <c r="F1647" i="44"/>
  <c r="C1647" i="44"/>
  <c r="X1646" i="44"/>
  <c r="U1646" i="44"/>
  <c r="R1646" i="44"/>
  <c r="O1646" i="44"/>
  <c r="L1646" i="44"/>
  <c r="I1646" i="44"/>
  <c r="F1646" i="44"/>
  <c r="C1646" i="44"/>
  <c r="X1645" i="44"/>
  <c r="U1645" i="44"/>
  <c r="R1645" i="44"/>
  <c r="O1645" i="44"/>
  <c r="L1645" i="44"/>
  <c r="I1645" i="44"/>
  <c r="F1645" i="44"/>
  <c r="C1645" i="44"/>
  <c r="X1642" i="44"/>
  <c r="U1642" i="44"/>
  <c r="R1642" i="44"/>
  <c r="O1642" i="44"/>
  <c r="L1642" i="44"/>
  <c r="I1642" i="44"/>
  <c r="F1642" i="44"/>
  <c r="C1642" i="44"/>
  <c r="X1641" i="44"/>
  <c r="U1641" i="44"/>
  <c r="R1641" i="44"/>
  <c r="O1641" i="44"/>
  <c r="L1641" i="44"/>
  <c r="I1641" i="44"/>
  <c r="F1641" i="44"/>
  <c r="C1641" i="44"/>
  <c r="X1640" i="44"/>
  <c r="U1640" i="44"/>
  <c r="R1640" i="44"/>
  <c r="O1640" i="44"/>
  <c r="L1640" i="44"/>
  <c r="I1640" i="44"/>
  <c r="F1640" i="44"/>
  <c r="C1640" i="44"/>
  <c r="X1639" i="44"/>
  <c r="U1639" i="44"/>
  <c r="R1639" i="44"/>
  <c r="O1639" i="44"/>
  <c r="L1639" i="44"/>
  <c r="I1639" i="44"/>
  <c r="F1639" i="44"/>
  <c r="C1639" i="44"/>
  <c r="X1638" i="44"/>
  <c r="U1638" i="44"/>
  <c r="R1638" i="44"/>
  <c r="O1638" i="44"/>
  <c r="L1638" i="44"/>
  <c r="I1638" i="44"/>
  <c r="F1638" i="44"/>
  <c r="C1638" i="44"/>
  <c r="X1637" i="44"/>
  <c r="U1637" i="44"/>
  <c r="R1637" i="44"/>
  <c r="O1637" i="44"/>
  <c r="L1637" i="44"/>
  <c r="I1637" i="44"/>
  <c r="F1637" i="44"/>
  <c r="C1637" i="44"/>
  <c r="X1636" i="44"/>
  <c r="U1636" i="44"/>
  <c r="R1636" i="44"/>
  <c r="O1636" i="44"/>
  <c r="L1636" i="44"/>
  <c r="I1636" i="44"/>
  <c r="F1636" i="44"/>
  <c r="C1636" i="44"/>
  <c r="X1635" i="44"/>
  <c r="U1635" i="44"/>
  <c r="R1635" i="44"/>
  <c r="O1635" i="44"/>
  <c r="L1635" i="44"/>
  <c r="I1635" i="44"/>
  <c r="F1635" i="44"/>
  <c r="C1635" i="44"/>
  <c r="X1634" i="44"/>
  <c r="U1634" i="44"/>
  <c r="R1634" i="44"/>
  <c r="O1634" i="44"/>
  <c r="L1634" i="44"/>
  <c r="I1634" i="44"/>
  <c r="F1634" i="44"/>
  <c r="C1634" i="44"/>
  <c r="X1633" i="44"/>
  <c r="U1633" i="44"/>
  <c r="R1633" i="44"/>
  <c r="O1633" i="44"/>
  <c r="L1633" i="44"/>
  <c r="I1633" i="44"/>
  <c r="F1633" i="44"/>
  <c r="C1633" i="44"/>
  <c r="X1632" i="44"/>
  <c r="U1632" i="44"/>
  <c r="R1632" i="44"/>
  <c r="O1632" i="44"/>
  <c r="L1632" i="44"/>
  <c r="I1632" i="44"/>
  <c r="F1632" i="44"/>
  <c r="C1632" i="44"/>
  <c r="X1631" i="44"/>
  <c r="U1631" i="44"/>
  <c r="R1631" i="44"/>
  <c r="O1631" i="44"/>
  <c r="L1631" i="44"/>
  <c r="I1631" i="44"/>
  <c r="F1631" i="44"/>
  <c r="C1631" i="44"/>
  <c r="X1630" i="44"/>
  <c r="U1630" i="44"/>
  <c r="R1630" i="44"/>
  <c r="O1630" i="44"/>
  <c r="L1630" i="44"/>
  <c r="I1630" i="44"/>
  <c r="F1630" i="44"/>
  <c r="C1630" i="44"/>
  <c r="X1629" i="44"/>
  <c r="U1629" i="44"/>
  <c r="R1629" i="44"/>
  <c r="O1629" i="44"/>
  <c r="L1629" i="44"/>
  <c r="I1629" i="44"/>
  <c r="F1629" i="44"/>
  <c r="C1629" i="44"/>
  <c r="X1628" i="44"/>
  <c r="U1628" i="44"/>
  <c r="R1628" i="44"/>
  <c r="O1628" i="44"/>
  <c r="L1628" i="44"/>
  <c r="I1628" i="44"/>
  <c r="F1628" i="44"/>
  <c r="C1628" i="44"/>
  <c r="X1626" i="44"/>
  <c r="U1626" i="44"/>
  <c r="R1626" i="44"/>
  <c r="O1626" i="44"/>
  <c r="L1626" i="44"/>
  <c r="I1626" i="44"/>
  <c r="F1626" i="44"/>
  <c r="C1626" i="44"/>
  <c r="X1625" i="44"/>
  <c r="U1625" i="44"/>
  <c r="R1625" i="44"/>
  <c r="O1625" i="44"/>
  <c r="L1625" i="44"/>
  <c r="I1625" i="44"/>
  <c r="F1625" i="44"/>
  <c r="C1625" i="44"/>
  <c r="X1624" i="44"/>
  <c r="U1624" i="44"/>
  <c r="R1624" i="44"/>
  <c r="O1624" i="44"/>
  <c r="L1624" i="44"/>
  <c r="I1624" i="44"/>
  <c r="F1624" i="44"/>
  <c r="C1624" i="44"/>
  <c r="X1623" i="44"/>
  <c r="U1623" i="44"/>
  <c r="R1623" i="44"/>
  <c r="O1623" i="44"/>
  <c r="L1623" i="44"/>
  <c r="I1623" i="44"/>
  <c r="F1623" i="44"/>
  <c r="C1623" i="44"/>
  <c r="X1615" i="44"/>
  <c r="U1615" i="44"/>
  <c r="R1615" i="44"/>
  <c r="O1615" i="44"/>
  <c r="L1615" i="44"/>
  <c r="I1615" i="44"/>
  <c r="F1615" i="44"/>
  <c r="C1615" i="44"/>
  <c r="X1614" i="44"/>
  <c r="U1614" i="44"/>
  <c r="R1614" i="44"/>
  <c r="O1614" i="44"/>
  <c r="L1614" i="44"/>
  <c r="I1614" i="44"/>
  <c r="F1614" i="44"/>
  <c r="C1614" i="44"/>
  <c r="X1613" i="44"/>
  <c r="U1613" i="44"/>
  <c r="R1613" i="44"/>
  <c r="O1613" i="44"/>
  <c r="L1613" i="44"/>
  <c r="I1613" i="44"/>
  <c r="F1613" i="44"/>
  <c r="C1613" i="44"/>
  <c r="X1612" i="44"/>
  <c r="U1612" i="44"/>
  <c r="R1612" i="44"/>
  <c r="O1612" i="44"/>
  <c r="L1612" i="44"/>
  <c r="I1612" i="44"/>
  <c r="F1612" i="44"/>
  <c r="C1612" i="44"/>
  <c r="X1611" i="44"/>
  <c r="U1611" i="44"/>
  <c r="R1611" i="44"/>
  <c r="O1611" i="44"/>
  <c r="L1611" i="44"/>
  <c r="I1611" i="44"/>
  <c r="F1611" i="44"/>
  <c r="C1611" i="44"/>
  <c r="X1610" i="44"/>
  <c r="U1610" i="44"/>
  <c r="R1610" i="44"/>
  <c r="O1610" i="44"/>
  <c r="L1610" i="44"/>
  <c r="I1610" i="44"/>
  <c r="F1610" i="44"/>
  <c r="C1610" i="44"/>
  <c r="X1609" i="44"/>
  <c r="U1609" i="44"/>
  <c r="R1609" i="44"/>
  <c r="O1609" i="44"/>
  <c r="L1609" i="44"/>
  <c r="I1609" i="44"/>
  <c r="F1609" i="44"/>
  <c r="C1609" i="44"/>
  <c r="X1608" i="44"/>
  <c r="U1608" i="44"/>
  <c r="R1608" i="44"/>
  <c r="O1608" i="44"/>
  <c r="L1608" i="44"/>
  <c r="I1608" i="44"/>
  <c r="F1608" i="44"/>
  <c r="C1608" i="44"/>
  <c r="X1607" i="44"/>
  <c r="U1607" i="44"/>
  <c r="R1607" i="44"/>
  <c r="O1607" i="44"/>
  <c r="L1607" i="44"/>
  <c r="I1607" i="44"/>
  <c r="F1607" i="44"/>
  <c r="C1607" i="44"/>
  <c r="X1606" i="44"/>
  <c r="U1606" i="44"/>
  <c r="R1606" i="44"/>
  <c r="O1606" i="44"/>
  <c r="L1606" i="44"/>
  <c r="I1606" i="44"/>
  <c r="F1606" i="44"/>
  <c r="C1606" i="44"/>
  <c r="X1605" i="44"/>
  <c r="U1605" i="44"/>
  <c r="R1605" i="44"/>
  <c r="O1605" i="44"/>
  <c r="L1605" i="44"/>
  <c r="I1605" i="44"/>
  <c r="F1605" i="44"/>
  <c r="C1605" i="44"/>
  <c r="X1604" i="44"/>
  <c r="U1604" i="44"/>
  <c r="R1604" i="44"/>
  <c r="O1604" i="44"/>
  <c r="L1604" i="44"/>
  <c r="I1604" i="44"/>
  <c r="F1604" i="44"/>
  <c r="C1604" i="44"/>
  <c r="X1603" i="44"/>
  <c r="U1603" i="44"/>
  <c r="R1603" i="44"/>
  <c r="O1603" i="44"/>
  <c r="L1603" i="44"/>
  <c r="I1603" i="44"/>
  <c r="F1603" i="44"/>
  <c r="C1603" i="44"/>
  <c r="X1602" i="44"/>
  <c r="U1602" i="44"/>
  <c r="R1602" i="44"/>
  <c r="O1602" i="44"/>
  <c r="L1602" i="44"/>
  <c r="I1602" i="44"/>
  <c r="F1602" i="44"/>
  <c r="C1602" i="44"/>
  <c r="X1601" i="44"/>
  <c r="U1601" i="44"/>
  <c r="R1601" i="44"/>
  <c r="O1601" i="44"/>
  <c r="L1601" i="44"/>
  <c r="I1601" i="44"/>
  <c r="F1601" i="44"/>
  <c r="C1601" i="44"/>
  <c r="X1600" i="44"/>
  <c r="U1600" i="44"/>
  <c r="R1600" i="44"/>
  <c r="O1600" i="44"/>
  <c r="L1600" i="44"/>
  <c r="I1600" i="44"/>
  <c r="F1600" i="44"/>
  <c r="C1600" i="44"/>
  <c r="X1599" i="44"/>
  <c r="U1599" i="44"/>
  <c r="R1599" i="44"/>
  <c r="O1599" i="44"/>
  <c r="L1599" i="44"/>
  <c r="I1599" i="44"/>
  <c r="F1599" i="44"/>
  <c r="C1599" i="44"/>
  <c r="X1594" i="44"/>
  <c r="U1594" i="44"/>
  <c r="R1594" i="44"/>
  <c r="O1594" i="44"/>
  <c r="L1594" i="44"/>
  <c r="I1594" i="44"/>
  <c r="F1594" i="44"/>
  <c r="C1594" i="44"/>
  <c r="X1593" i="44"/>
  <c r="U1593" i="44"/>
  <c r="R1593" i="44"/>
  <c r="O1593" i="44"/>
  <c r="L1593" i="44"/>
  <c r="I1593" i="44"/>
  <c r="F1593" i="44"/>
  <c r="C1593" i="44"/>
  <c r="X1592" i="44"/>
  <c r="U1592" i="44"/>
  <c r="R1592" i="44"/>
  <c r="O1592" i="44"/>
  <c r="L1592" i="44"/>
  <c r="I1592" i="44"/>
  <c r="F1592" i="44"/>
  <c r="C1592" i="44"/>
  <c r="X1591" i="44"/>
  <c r="U1591" i="44"/>
  <c r="R1591" i="44"/>
  <c r="O1591" i="44"/>
  <c r="L1591" i="44"/>
  <c r="I1591" i="44"/>
  <c r="F1591" i="44"/>
  <c r="C1591" i="44"/>
  <c r="X1590" i="44"/>
  <c r="U1590" i="44"/>
  <c r="R1590" i="44"/>
  <c r="O1590" i="44"/>
  <c r="L1590" i="44"/>
  <c r="I1590" i="44"/>
  <c r="F1590" i="44"/>
  <c r="C1590" i="44"/>
  <c r="X1589" i="44"/>
  <c r="U1589" i="44"/>
  <c r="R1589" i="44"/>
  <c r="O1589" i="44"/>
  <c r="L1589" i="44"/>
  <c r="I1589" i="44"/>
  <c r="F1589" i="44"/>
  <c r="C1589" i="44"/>
  <c r="X1588" i="44"/>
  <c r="U1588" i="44"/>
  <c r="R1588" i="44"/>
  <c r="O1588" i="44"/>
  <c r="L1588" i="44"/>
  <c r="I1588" i="44"/>
  <c r="F1588" i="44"/>
  <c r="C1588" i="44"/>
  <c r="X1587" i="44"/>
  <c r="U1587" i="44"/>
  <c r="R1587" i="44"/>
  <c r="O1587" i="44"/>
  <c r="L1587" i="44"/>
  <c r="I1587" i="44"/>
  <c r="F1587" i="44"/>
  <c r="C1587" i="44"/>
  <c r="X1586" i="44"/>
  <c r="U1586" i="44"/>
  <c r="R1586" i="44"/>
  <c r="O1586" i="44"/>
  <c r="L1586" i="44"/>
  <c r="I1586" i="44"/>
  <c r="F1586" i="44"/>
  <c r="C1586" i="44"/>
  <c r="X1585" i="44"/>
  <c r="U1585" i="44"/>
  <c r="R1585" i="44"/>
  <c r="O1585" i="44"/>
  <c r="L1585" i="44"/>
  <c r="I1585" i="44"/>
  <c r="F1585" i="44"/>
  <c r="C1585" i="44"/>
  <c r="X1584" i="44"/>
  <c r="U1584" i="44"/>
  <c r="R1584" i="44"/>
  <c r="O1584" i="44"/>
  <c r="L1584" i="44"/>
  <c r="I1584" i="44"/>
  <c r="F1584" i="44"/>
  <c r="C1584" i="44"/>
  <c r="X1583" i="44"/>
  <c r="U1583" i="44"/>
  <c r="R1583" i="44"/>
  <c r="O1583" i="44"/>
  <c r="L1583" i="44"/>
  <c r="I1583" i="44"/>
  <c r="F1583" i="44"/>
  <c r="C1583" i="44"/>
  <c r="X1582" i="44"/>
  <c r="U1582" i="44"/>
  <c r="R1582" i="44"/>
  <c r="O1582" i="44"/>
  <c r="L1582" i="44"/>
  <c r="I1582" i="44"/>
  <c r="F1582" i="44"/>
  <c r="C1582" i="44"/>
  <c r="X1581" i="44"/>
  <c r="U1581" i="44"/>
  <c r="R1581" i="44"/>
  <c r="O1581" i="44"/>
  <c r="L1581" i="44"/>
  <c r="I1581" i="44"/>
  <c r="F1581" i="44"/>
  <c r="C1581" i="44"/>
  <c r="X1580" i="44"/>
  <c r="U1580" i="44"/>
  <c r="R1580" i="44"/>
  <c r="O1580" i="44"/>
  <c r="L1580" i="44"/>
  <c r="I1580" i="44"/>
  <c r="F1580" i="44"/>
  <c r="C1580" i="44"/>
  <c r="X1567" i="44"/>
  <c r="U1567" i="44"/>
  <c r="R1567" i="44"/>
  <c r="O1567" i="44"/>
  <c r="L1567" i="44"/>
  <c r="I1567" i="44"/>
  <c r="F1567" i="44"/>
  <c r="C1567" i="44"/>
  <c r="X1566" i="44"/>
  <c r="U1566" i="44"/>
  <c r="R1566" i="44"/>
  <c r="O1566" i="44"/>
  <c r="L1566" i="44"/>
  <c r="I1566" i="44"/>
  <c r="F1566" i="44"/>
  <c r="C1566" i="44"/>
  <c r="X1565" i="44"/>
  <c r="U1565" i="44"/>
  <c r="R1565" i="44"/>
  <c r="O1565" i="44"/>
  <c r="L1565" i="44"/>
  <c r="I1565" i="44"/>
  <c r="F1565" i="44"/>
  <c r="C1565" i="44"/>
  <c r="X1564" i="44"/>
  <c r="U1564" i="44"/>
  <c r="R1564" i="44"/>
  <c r="O1564" i="44"/>
  <c r="L1564" i="44"/>
  <c r="I1564" i="44"/>
  <c r="F1564" i="44"/>
  <c r="C1564" i="44"/>
  <c r="X1563" i="44"/>
  <c r="U1563" i="44"/>
  <c r="R1563" i="44"/>
  <c r="O1563" i="44"/>
  <c r="L1563" i="44"/>
  <c r="I1563" i="44"/>
  <c r="F1563" i="44"/>
  <c r="C1563" i="44"/>
  <c r="X1562" i="44"/>
  <c r="U1562" i="44"/>
  <c r="R1562" i="44"/>
  <c r="O1562" i="44"/>
  <c r="L1562" i="44"/>
  <c r="I1562" i="44"/>
  <c r="F1562" i="44"/>
  <c r="C1562" i="44"/>
  <c r="X1561" i="44"/>
  <c r="U1561" i="44"/>
  <c r="R1561" i="44"/>
  <c r="O1561" i="44"/>
  <c r="L1561" i="44"/>
  <c r="I1561" i="44"/>
  <c r="F1561" i="44"/>
  <c r="C1561" i="44"/>
  <c r="X1560" i="44"/>
  <c r="U1560" i="44"/>
  <c r="R1560" i="44"/>
  <c r="O1560" i="44"/>
  <c r="L1560" i="44"/>
  <c r="I1560" i="44"/>
  <c r="F1560" i="44"/>
  <c r="C1560" i="44"/>
  <c r="X1559" i="44"/>
  <c r="U1559" i="44"/>
  <c r="R1559" i="44"/>
  <c r="O1559" i="44"/>
  <c r="L1559" i="44"/>
  <c r="I1559" i="44"/>
  <c r="F1559" i="44"/>
  <c r="C1559" i="44"/>
  <c r="X1558" i="44"/>
  <c r="U1558" i="44"/>
  <c r="R1558" i="44"/>
  <c r="O1558" i="44"/>
  <c r="L1558" i="44"/>
  <c r="I1558" i="44"/>
  <c r="F1558" i="44"/>
  <c r="C1558" i="44"/>
  <c r="X1557" i="44"/>
  <c r="U1557" i="44"/>
  <c r="R1557" i="44"/>
  <c r="O1557" i="44"/>
  <c r="L1557" i="44"/>
  <c r="I1557" i="44"/>
  <c r="F1557" i="44"/>
  <c r="C1557" i="44"/>
  <c r="X1556" i="44"/>
  <c r="U1556" i="44"/>
  <c r="R1556" i="44"/>
  <c r="O1556" i="44"/>
  <c r="L1556" i="44"/>
  <c r="I1556" i="44"/>
  <c r="F1556" i="44"/>
  <c r="C1556" i="44"/>
  <c r="X1555" i="44"/>
  <c r="U1555" i="44"/>
  <c r="R1555" i="44"/>
  <c r="O1555" i="44"/>
  <c r="L1555" i="44"/>
  <c r="I1555" i="44"/>
  <c r="F1555" i="44"/>
  <c r="C1555" i="44"/>
  <c r="X1554" i="44"/>
  <c r="U1554" i="44"/>
  <c r="R1554" i="44"/>
  <c r="O1554" i="44"/>
  <c r="L1554" i="44"/>
  <c r="I1554" i="44"/>
  <c r="F1554" i="44"/>
  <c r="C1554" i="44"/>
  <c r="X1553" i="44"/>
  <c r="U1553" i="44"/>
  <c r="R1553" i="44"/>
  <c r="O1553" i="44"/>
  <c r="L1553" i="44"/>
  <c r="I1553" i="44"/>
  <c r="F1553" i="44"/>
  <c r="C1553" i="44"/>
  <c r="X1552" i="44"/>
  <c r="U1552" i="44"/>
  <c r="R1552" i="44"/>
  <c r="O1552" i="44"/>
  <c r="L1552" i="44"/>
  <c r="I1552" i="44"/>
  <c r="F1552" i="44"/>
  <c r="C1552" i="44"/>
  <c r="X1551" i="44"/>
  <c r="U1551" i="44"/>
  <c r="R1551" i="44"/>
  <c r="O1551" i="44"/>
  <c r="L1551" i="44"/>
  <c r="I1551" i="44"/>
  <c r="F1551" i="44"/>
  <c r="C1551" i="44"/>
  <c r="X1550" i="44"/>
  <c r="U1550" i="44"/>
  <c r="R1550" i="44"/>
  <c r="O1550" i="44"/>
  <c r="L1550" i="44"/>
  <c r="I1550" i="44"/>
  <c r="F1550" i="44"/>
  <c r="C1550" i="44"/>
  <c r="X1549" i="44"/>
  <c r="U1549" i="44"/>
  <c r="R1549" i="44"/>
  <c r="O1549" i="44"/>
  <c r="L1549" i="44"/>
  <c r="I1549" i="44"/>
  <c r="F1549" i="44"/>
  <c r="C1549" i="44"/>
  <c r="X1548" i="44"/>
  <c r="U1548" i="44"/>
  <c r="R1548" i="44"/>
  <c r="O1548" i="44"/>
  <c r="L1548" i="44"/>
  <c r="I1548" i="44"/>
  <c r="F1548" i="44"/>
  <c r="C1548" i="44"/>
  <c r="X1547" i="44"/>
  <c r="U1547" i="44"/>
  <c r="R1547" i="44"/>
  <c r="O1547" i="44"/>
  <c r="L1547" i="44"/>
  <c r="I1547" i="44"/>
  <c r="F1547" i="44"/>
  <c r="C1547" i="44"/>
  <c r="X1546" i="44"/>
  <c r="U1546" i="44"/>
  <c r="R1546" i="44"/>
  <c r="O1546" i="44"/>
  <c r="L1546" i="44"/>
  <c r="I1546" i="44"/>
  <c r="F1546" i="44"/>
  <c r="C1546" i="44"/>
  <c r="X1545" i="44"/>
  <c r="U1545" i="44"/>
  <c r="R1545" i="44"/>
  <c r="O1545" i="44"/>
  <c r="L1545" i="44"/>
  <c r="I1545" i="44"/>
  <c r="F1545" i="44"/>
  <c r="C1545" i="44"/>
  <c r="X1544" i="44"/>
  <c r="U1544" i="44"/>
  <c r="R1544" i="44"/>
  <c r="O1544" i="44"/>
  <c r="L1544" i="44"/>
  <c r="I1544" i="44"/>
  <c r="F1544" i="44"/>
  <c r="C1544" i="44"/>
  <c r="X1543" i="44"/>
  <c r="U1543" i="44"/>
  <c r="R1543" i="44"/>
  <c r="O1543" i="44"/>
  <c r="L1543" i="44"/>
  <c r="I1543" i="44"/>
  <c r="F1543" i="44"/>
  <c r="C1543" i="44"/>
  <c r="X1542" i="44"/>
  <c r="U1542" i="44"/>
  <c r="R1542" i="44"/>
  <c r="O1542" i="44"/>
  <c r="L1542" i="44"/>
  <c r="I1542" i="44"/>
  <c r="F1542" i="44"/>
  <c r="C1542" i="44"/>
  <c r="X1541" i="44"/>
  <c r="U1541" i="44"/>
  <c r="R1541" i="44"/>
  <c r="O1541" i="44"/>
  <c r="L1541" i="44"/>
  <c r="I1541" i="44"/>
  <c r="F1541" i="44"/>
  <c r="C1541" i="44"/>
  <c r="X1540" i="44"/>
  <c r="U1540" i="44"/>
  <c r="R1540" i="44"/>
  <c r="O1540" i="44"/>
  <c r="L1540" i="44"/>
  <c r="I1540" i="44"/>
  <c r="F1540" i="44"/>
  <c r="C1540" i="44"/>
  <c r="X1539" i="44"/>
  <c r="U1539" i="44"/>
  <c r="R1539" i="44"/>
  <c r="O1539" i="44"/>
  <c r="L1539" i="44"/>
  <c r="I1539" i="44"/>
  <c r="F1539" i="44"/>
  <c r="C1539" i="44"/>
  <c r="X1530" i="44"/>
  <c r="U1530" i="44"/>
  <c r="R1530" i="44"/>
  <c r="O1530" i="44"/>
  <c r="L1530" i="44"/>
  <c r="I1530" i="44"/>
  <c r="F1530" i="44"/>
  <c r="C1530" i="44"/>
  <c r="X1529" i="44"/>
  <c r="U1529" i="44"/>
  <c r="R1529" i="44"/>
  <c r="O1529" i="44"/>
  <c r="L1529" i="44"/>
  <c r="I1529" i="44"/>
  <c r="F1529" i="44"/>
  <c r="C1529" i="44"/>
  <c r="X1527" i="44"/>
  <c r="U1527" i="44"/>
  <c r="R1527" i="44"/>
  <c r="O1527" i="44"/>
  <c r="L1527" i="44"/>
  <c r="I1527" i="44"/>
  <c r="F1527" i="44"/>
  <c r="C1527" i="44"/>
  <c r="X1526" i="44"/>
  <c r="U1526" i="44"/>
  <c r="R1526" i="44"/>
  <c r="O1526" i="44"/>
  <c r="L1526" i="44"/>
  <c r="I1526" i="44"/>
  <c r="F1526" i="44"/>
  <c r="C1526" i="44"/>
  <c r="X1525" i="44"/>
  <c r="U1525" i="44"/>
  <c r="R1525" i="44"/>
  <c r="O1525" i="44"/>
  <c r="L1525" i="44"/>
  <c r="I1525" i="44"/>
  <c r="F1525" i="44"/>
  <c r="C1525" i="44"/>
  <c r="X1524" i="44"/>
  <c r="U1524" i="44"/>
  <c r="R1524" i="44"/>
  <c r="O1524" i="44"/>
  <c r="L1524" i="44"/>
  <c r="I1524" i="44"/>
  <c r="F1524" i="44"/>
  <c r="C1524" i="44"/>
  <c r="X1523" i="44"/>
  <c r="U1523" i="44"/>
  <c r="R1523" i="44"/>
  <c r="O1523" i="44"/>
  <c r="L1523" i="44"/>
  <c r="I1523" i="44"/>
  <c r="F1523" i="44"/>
  <c r="C1523" i="44"/>
  <c r="X1522" i="44"/>
  <c r="U1522" i="44"/>
  <c r="R1522" i="44"/>
  <c r="O1522" i="44"/>
  <c r="L1522" i="44"/>
  <c r="I1522" i="44"/>
  <c r="F1522" i="44"/>
  <c r="C1522" i="44"/>
  <c r="X1521" i="44"/>
  <c r="U1521" i="44"/>
  <c r="R1521" i="44"/>
  <c r="O1521" i="44"/>
  <c r="L1521" i="44"/>
  <c r="I1521" i="44"/>
  <c r="F1521" i="44"/>
  <c r="C1521" i="44"/>
  <c r="X1520" i="44"/>
  <c r="U1520" i="44"/>
  <c r="R1520" i="44"/>
  <c r="O1520" i="44"/>
  <c r="L1520" i="44"/>
  <c r="I1520" i="44"/>
  <c r="F1520" i="44"/>
  <c r="C1520" i="44"/>
  <c r="X1519" i="44"/>
  <c r="U1519" i="44"/>
  <c r="R1519" i="44"/>
  <c r="O1519" i="44"/>
  <c r="L1519" i="44"/>
  <c r="I1519" i="44"/>
  <c r="F1519" i="44"/>
  <c r="C1519" i="44"/>
  <c r="X1518" i="44"/>
  <c r="U1518" i="44"/>
  <c r="R1518" i="44"/>
  <c r="O1518" i="44"/>
  <c r="L1518" i="44"/>
  <c r="I1518" i="44"/>
  <c r="F1518" i="44"/>
  <c r="C1518" i="44"/>
  <c r="X1517" i="44"/>
  <c r="U1517" i="44"/>
  <c r="R1517" i="44"/>
  <c r="O1517" i="44"/>
  <c r="L1517" i="44"/>
  <c r="I1517" i="44"/>
  <c r="F1517" i="44"/>
  <c r="C1517" i="44"/>
  <c r="X1516" i="44"/>
  <c r="U1516" i="44"/>
  <c r="R1516" i="44"/>
  <c r="O1516" i="44"/>
  <c r="L1516" i="44"/>
  <c r="I1516" i="44"/>
  <c r="F1516" i="44"/>
  <c r="C1516" i="44"/>
  <c r="X1515" i="44"/>
  <c r="U1515" i="44"/>
  <c r="R1515" i="44"/>
  <c r="O1515" i="44"/>
  <c r="L1515" i="44"/>
  <c r="I1515" i="44"/>
  <c r="F1515" i="44"/>
  <c r="C1515" i="44"/>
  <c r="X1514" i="44"/>
  <c r="U1514" i="44"/>
  <c r="R1514" i="44"/>
  <c r="O1514" i="44"/>
  <c r="L1514" i="44"/>
  <c r="I1514" i="44"/>
  <c r="F1514" i="44"/>
  <c r="C1514" i="44"/>
  <c r="X1513" i="44"/>
  <c r="U1513" i="44"/>
  <c r="R1513" i="44"/>
  <c r="O1513" i="44"/>
  <c r="L1513" i="44"/>
  <c r="I1513" i="44"/>
  <c r="F1513" i="44"/>
  <c r="C1513" i="44"/>
  <c r="X1512" i="44"/>
  <c r="U1512" i="44"/>
  <c r="R1512" i="44"/>
  <c r="O1512" i="44"/>
  <c r="L1512" i="44"/>
  <c r="I1512" i="44"/>
  <c r="F1512" i="44"/>
  <c r="C1512" i="44"/>
  <c r="X1511" i="44"/>
  <c r="U1511" i="44"/>
  <c r="R1511" i="44"/>
  <c r="O1511" i="44"/>
  <c r="L1511" i="44"/>
  <c r="I1511" i="44"/>
  <c r="F1511" i="44"/>
  <c r="C1511" i="44"/>
  <c r="X1510" i="44"/>
  <c r="U1510" i="44"/>
  <c r="R1510" i="44"/>
  <c r="O1510" i="44"/>
  <c r="L1510" i="44"/>
  <c r="I1510" i="44"/>
  <c r="F1510" i="44"/>
  <c r="C1510" i="44"/>
  <c r="X1509" i="44"/>
  <c r="U1509" i="44"/>
  <c r="R1509" i="44"/>
  <c r="O1509" i="44"/>
  <c r="L1509" i="44"/>
  <c r="I1509" i="44"/>
  <c r="F1509" i="44"/>
  <c r="C1509" i="44"/>
  <c r="X1508" i="44"/>
  <c r="U1508" i="44"/>
  <c r="R1508" i="44"/>
  <c r="O1508" i="44"/>
  <c r="L1508" i="44"/>
  <c r="I1508" i="44"/>
  <c r="F1508" i="44"/>
  <c r="C1508" i="44"/>
  <c r="X1507" i="44"/>
  <c r="U1507" i="44"/>
  <c r="R1507" i="44"/>
  <c r="O1507" i="44"/>
  <c r="L1507" i="44"/>
  <c r="I1507" i="44"/>
  <c r="F1507" i="44"/>
  <c r="C1507" i="44"/>
  <c r="X1506" i="44"/>
  <c r="U1506" i="44"/>
  <c r="R1506" i="44"/>
  <c r="O1506" i="44"/>
  <c r="L1506" i="44"/>
  <c r="I1506" i="44"/>
  <c r="F1506" i="44"/>
  <c r="C1506" i="44"/>
  <c r="X1505" i="44"/>
  <c r="U1505" i="44"/>
  <c r="R1505" i="44"/>
  <c r="O1505" i="44"/>
  <c r="L1505" i="44"/>
  <c r="I1505" i="44"/>
  <c r="F1505" i="44"/>
  <c r="C1505" i="44"/>
  <c r="X1504" i="44"/>
  <c r="U1504" i="44"/>
  <c r="R1504" i="44"/>
  <c r="O1504" i="44"/>
  <c r="L1504" i="44"/>
  <c r="I1504" i="44"/>
  <c r="F1504" i="44"/>
  <c r="C1504" i="44"/>
  <c r="X1503" i="44"/>
  <c r="U1503" i="44"/>
  <c r="R1503" i="44"/>
  <c r="O1503" i="44"/>
  <c r="L1503" i="44"/>
  <c r="I1503" i="44"/>
  <c r="F1503" i="44"/>
  <c r="C1503" i="44"/>
  <c r="X1502" i="44"/>
  <c r="U1502" i="44"/>
  <c r="R1502" i="44"/>
  <c r="O1502" i="44"/>
  <c r="L1502" i="44"/>
  <c r="I1502" i="44"/>
  <c r="F1502" i="44"/>
  <c r="C1502" i="44"/>
  <c r="X1501" i="44"/>
  <c r="U1501" i="44"/>
  <c r="R1501" i="44"/>
  <c r="O1501" i="44"/>
  <c r="L1501" i="44"/>
  <c r="I1501" i="44"/>
  <c r="F1501" i="44"/>
  <c r="C1501" i="44"/>
  <c r="X1500" i="44"/>
  <c r="U1500" i="44"/>
  <c r="R1500" i="44"/>
  <c r="O1500" i="44"/>
  <c r="L1500" i="44"/>
  <c r="I1500" i="44"/>
  <c r="F1500" i="44"/>
  <c r="C1500" i="44"/>
  <c r="X1499" i="44"/>
  <c r="U1499" i="44"/>
  <c r="R1499" i="44"/>
  <c r="O1499" i="44"/>
  <c r="L1499" i="44"/>
  <c r="I1499" i="44"/>
  <c r="F1499" i="44"/>
  <c r="C1499" i="44"/>
  <c r="U1493" i="44"/>
  <c r="U1492" i="44"/>
  <c r="U1491" i="44"/>
  <c r="U1490" i="44"/>
  <c r="U1489" i="44"/>
  <c r="U1488" i="44"/>
  <c r="U1487" i="44"/>
  <c r="U1486" i="44"/>
  <c r="U1485" i="44"/>
  <c r="U1484" i="44"/>
  <c r="U1483" i="44"/>
  <c r="U1482" i="44"/>
  <c r="U1481" i="44"/>
  <c r="U1480" i="44"/>
  <c r="U1479" i="44"/>
  <c r="X1478" i="44"/>
  <c r="U1478" i="44"/>
  <c r="R1478" i="44"/>
  <c r="O1478" i="44"/>
  <c r="L1478" i="44"/>
  <c r="I1478" i="44"/>
  <c r="F1478" i="44"/>
  <c r="C1478" i="44"/>
  <c r="X1477" i="44"/>
  <c r="U1477" i="44"/>
  <c r="R1477" i="44"/>
  <c r="O1477" i="44"/>
  <c r="L1477" i="44"/>
  <c r="I1477" i="44"/>
  <c r="F1477" i="44"/>
  <c r="C1477" i="44"/>
  <c r="X1476" i="44"/>
  <c r="U1476" i="44"/>
  <c r="R1476" i="44"/>
  <c r="O1476" i="44"/>
  <c r="L1476" i="44"/>
  <c r="I1476" i="44"/>
  <c r="F1476" i="44"/>
  <c r="C1476" i="44"/>
  <c r="X1475" i="44"/>
  <c r="U1475" i="44"/>
  <c r="R1475" i="44"/>
  <c r="O1475" i="44"/>
  <c r="L1475" i="44"/>
  <c r="I1475" i="44"/>
  <c r="F1475" i="44"/>
  <c r="C1475" i="44"/>
  <c r="X1474" i="44"/>
  <c r="U1474" i="44"/>
  <c r="R1474" i="44"/>
  <c r="O1474" i="44"/>
  <c r="L1474" i="44"/>
  <c r="I1474" i="44"/>
  <c r="F1474" i="44"/>
  <c r="C1474" i="44"/>
  <c r="X1473" i="44"/>
  <c r="U1473" i="44"/>
  <c r="R1473" i="44"/>
  <c r="O1473" i="44"/>
  <c r="L1473" i="44"/>
  <c r="I1473" i="44"/>
  <c r="F1473" i="44"/>
  <c r="C1473" i="44"/>
  <c r="X1472" i="44"/>
  <c r="U1472" i="44"/>
  <c r="R1472" i="44"/>
  <c r="O1472" i="44"/>
  <c r="L1472" i="44"/>
  <c r="I1472" i="44"/>
  <c r="F1472" i="44"/>
  <c r="C1472" i="44"/>
  <c r="X1471" i="44"/>
  <c r="U1471" i="44"/>
  <c r="R1471" i="44"/>
  <c r="O1471" i="44"/>
  <c r="L1471" i="44"/>
  <c r="I1471" i="44"/>
  <c r="F1471" i="44"/>
  <c r="C1471" i="44"/>
  <c r="X1470" i="44"/>
  <c r="U1470" i="44"/>
  <c r="R1470" i="44"/>
  <c r="O1470" i="44"/>
  <c r="L1470" i="44"/>
  <c r="I1470" i="44"/>
  <c r="F1470" i="44"/>
  <c r="C1470" i="44"/>
  <c r="X1469" i="44"/>
  <c r="U1469" i="44"/>
  <c r="R1469" i="44"/>
  <c r="O1469" i="44"/>
  <c r="L1469" i="44"/>
  <c r="I1469" i="44"/>
  <c r="F1469" i="44"/>
  <c r="C1469" i="44"/>
  <c r="X1468" i="44"/>
  <c r="U1468" i="44"/>
  <c r="R1468" i="44"/>
  <c r="O1468" i="44"/>
  <c r="L1468" i="44"/>
  <c r="I1468" i="44"/>
  <c r="F1468" i="44"/>
  <c r="C1468" i="44"/>
  <c r="X1467" i="44"/>
  <c r="U1467" i="44"/>
  <c r="R1467" i="44"/>
  <c r="O1467" i="44"/>
  <c r="L1467" i="44"/>
  <c r="I1467" i="44"/>
  <c r="F1467" i="44"/>
  <c r="C1467" i="44"/>
  <c r="X1466" i="44"/>
  <c r="U1466" i="44"/>
  <c r="R1466" i="44"/>
  <c r="O1466" i="44"/>
  <c r="L1466" i="44"/>
  <c r="I1466" i="44"/>
  <c r="F1466" i="44"/>
  <c r="C1466" i="44"/>
  <c r="X1465" i="44"/>
  <c r="U1465" i="44"/>
  <c r="R1465" i="44"/>
  <c r="O1465" i="44"/>
  <c r="L1465" i="44"/>
  <c r="I1465" i="44"/>
  <c r="F1465" i="44"/>
  <c r="C1465" i="44"/>
  <c r="X1464" i="44"/>
  <c r="U1464" i="44"/>
  <c r="R1464" i="44"/>
  <c r="O1464" i="44"/>
  <c r="L1464" i="44"/>
  <c r="I1464" i="44"/>
  <c r="F1464" i="44"/>
  <c r="C1464" i="44"/>
  <c r="X1463" i="44"/>
  <c r="U1463" i="44"/>
  <c r="R1463" i="44"/>
  <c r="O1463" i="44"/>
  <c r="L1463" i="44"/>
  <c r="I1463" i="44"/>
  <c r="F1463" i="44"/>
  <c r="C1463" i="44"/>
  <c r="X1462" i="44"/>
  <c r="U1462" i="44"/>
  <c r="R1462" i="44"/>
  <c r="O1462" i="44"/>
  <c r="L1462" i="44"/>
  <c r="I1462" i="44"/>
  <c r="F1462" i="44"/>
  <c r="C1462" i="44"/>
  <c r="X1461" i="44"/>
  <c r="U1461" i="44"/>
  <c r="R1461" i="44"/>
  <c r="O1461" i="44"/>
  <c r="L1461" i="44"/>
  <c r="I1461" i="44"/>
  <c r="F1461" i="44"/>
  <c r="C1461" i="44"/>
  <c r="X1460" i="44"/>
  <c r="U1460" i="44"/>
  <c r="R1460" i="44"/>
  <c r="O1460" i="44"/>
  <c r="L1460" i="44"/>
  <c r="I1460" i="44"/>
  <c r="F1460" i="44"/>
  <c r="C1460" i="44"/>
  <c r="X1459" i="44"/>
  <c r="U1459" i="44"/>
  <c r="R1459" i="44"/>
  <c r="O1459" i="44"/>
  <c r="L1459" i="44"/>
  <c r="I1459" i="44"/>
  <c r="F1459" i="44"/>
  <c r="C1459" i="44"/>
  <c r="X1458" i="44"/>
  <c r="U1458" i="44"/>
  <c r="R1458" i="44"/>
  <c r="O1458" i="44"/>
  <c r="L1458" i="44"/>
  <c r="I1458" i="44"/>
  <c r="F1458" i="44"/>
  <c r="C1458" i="44"/>
  <c r="X1457" i="44"/>
  <c r="U1457" i="44"/>
  <c r="R1457" i="44"/>
  <c r="O1457" i="44"/>
  <c r="L1457" i="44"/>
  <c r="I1457" i="44"/>
  <c r="F1457" i="44"/>
  <c r="C1457" i="44"/>
  <c r="X1456" i="44"/>
  <c r="U1456" i="44"/>
  <c r="R1456" i="44"/>
  <c r="O1456" i="44"/>
  <c r="L1456" i="44"/>
  <c r="I1456" i="44"/>
  <c r="F1456" i="44"/>
  <c r="C1456" i="44"/>
  <c r="X1455" i="44"/>
  <c r="U1455" i="44"/>
  <c r="R1455" i="44"/>
  <c r="O1455" i="44"/>
  <c r="L1455" i="44"/>
  <c r="I1455" i="44"/>
  <c r="F1455" i="44"/>
  <c r="C1455" i="44"/>
  <c r="X1448" i="44"/>
  <c r="U1448" i="44"/>
  <c r="R1448" i="44"/>
  <c r="O1448" i="44"/>
  <c r="L1448" i="44"/>
  <c r="I1448" i="44"/>
  <c r="F1448" i="44"/>
  <c r="C1448" i="44"/>
  <c r="X1447" i="44"/>
  <c r="U1447" i="44"/>
  <c r="R1447" i="44"/>
  <c r="O1447" i="44"/>
  <c r="L1447" i="44"/>
  <c r="I1447" i="44"/>
  <c r="F1447" i="44"/>
  <c r="C1447" i="44"/>
  <c r="X1446" i="44"/>
  <c r="U1446" i="44"/>
  <c r="R1446" i="44"/>
  <c r="O1446" i="44"/>
  <c r="L1446" i="44"/>
  <c r="I1446" i="44"/>
  <c r="F1446" i="44"/>
  <c r="C1446" i="44"/>
  <c r="X1445" i="44"/>
  <c r="U1445" i="44"/>
  <c r="R1445" i="44"/>
  <c r="O1445" i="44"/>
  <c r="L1445" i="44"/>
  <c r="I1445" i="44"/>
  <c r="F1445" i="44"/>
  <c r="C1445" i="44"/>
  <c r="X1444" i="44"/>
  <c r="U1444" i="44"/>
  <c r="R1444" i="44"/>
  <c r="O1444" i="44"/>
  <c r="L1444" i="44"/>
  <c r="I1444" i="44"/>
  <c r="F1444" i="44"/>
  <c r="C1444" i="44"/>
  <c r="X1443" i="44"/>
  <c r="U1443" i="44"/>
  <c r="R1443" i="44"/>
  <c r="O1443" i="44"/>
  <c r="L1443" i="44"/>
  <c r="I1443" i="44"/>
  <c r="F1443" i="44"/>
  <c r="C1443" i="44"/>
  <c r="X1442" i="44"/>
  <c r="U1442" i="44"/>
  <c r="R1442" i="44"/>
  <c r="O1442" i="44"/>
  <c r="L1442" i="44"/>
  <c r="I1442" i="44"/>
  <c r="F1442" i="44"/>
  <c r="C1442" i="44"/>
  <c r="X1441" i="44"/>
  <c r="U1441" i="44"/>
  <c r="R1441" i="44"/>
  <c r="O1441" i="44"/>
  <c r="L1441" i="44"/>
  <c r="I1441" i="44"/>
  <c r="F1441" i="44"/>
  <c r="C1441" i="44"/>
  <c r="X1440" i="44"/>
  <c r="U1440" i="44"/>
  <c r="R1440" i="44"/>
  <c r="O1440" i="44"/>
  <c r="L1440" i="44"/>
  <c r="I1440" i="44"/>
  <c r="F1440" i="44"/>
  <c r="C1440" i="44"/>
  <c r="X1439" i="44"/>
  <c r="U1439" i="44"/>
  <c r="R1439" i="44"/>
  <c r="O1439" i="44"/>
  <c r="L1439" i="44"/>
  <c r="I1439" i="44"/>
  <c r="F1439" i="44"/>
  <c r="C1439" i="44"/>
  <c r="X1438" i="44"/>
  <c r="U1438" i="44"/>
  <c r="R1438" i="44"/>
  <c r="O1438" i="44"/>
  <c r="L1438" i="44"/>
  <c r="I1438" i="44"/>
  <c r="F1438" i="44"/>
  <c r="C1438" i="44"/>
  <c r="X1437" i="44"/>
  <c r="U1437" i="44"/>
  <c r="R1437" i="44"/>
  <c r="O1437" i="44"/>
  <c r="L1437" i="44"/>
  <c r="I1437" i="44"/>
  <c r="F1437" i="44"/>
  <c r="C1437" i="44"/>
  <c r="X1436" i="44"/>
  <c r="U1436" i="44"/>
  <c r="R1436" i="44"/>
  <c r="O1436" i="44"/>
  <c r="L1436" i="44"/>
  <c r="I1436" i="44"/>
  <c r="F1436" i="44"/>
  <c r="C1436" i="44"/>
  <c r="X1435" i="44"/>
  <c r="U1435" i="44"/>
  <c r="R1435" i="44"/>
  <c r="O1435" i="44"/>
  <c r="L1435" i="44"/>
  <c r="I1435" i="44"/>
  <c r="F1435" i="44"/>
  <c r="C1435" i="44"/>
  <c r="X1434" i="44"/>
  <c r="U1434" i="44"/>
  <c r="R1434" i="44"/>
  <c r="O1434" i="44"/>
  <c r="L1434" i="44"/>
  <c r="I1434" i="44"/>
  <c r="F1434" i="44"/>
  <c r="C1434" i="44"/>
  <c r="X1433" i="44"/>
  <c r="U1433" i="44"/>
  <c r="R1433" i="44"/>
  <c r="O1433" i="44"/>
  <c r="L1433" i="44"/>
  <c r="I1433" i="44"/>
  <c r="F1433" i="44"/>
  <c r="C1433" i="44"/>
  <c r="X1432" i="44"/>
  <c r="U1432" i="44"/>
  <c r="R1432" i="44"/>
  <c r="O1432" i="44"/>
  <c r="L1432" i="44"/>
  <c r="I1432" i="44"/>
  <c r="F1432" i="44"/>
  <c r="C1432" i="44"/>
  <c r="X1431" i="44"/>
  <c r="U1431" i="44"/>
  <c r="R1431" i="44"/>
  <c r="O1431" i="44"/>
  <c r="L1431" i="44"/>
  <c r="I1431" i="44"/>
  <c r="F1431" i="44"/>
  <c r="C1431" i="44"/>
  <c r="X1430" i="44"/>
  <c r="U1430" i="44"/>
  <c r="R1430" i="44"/>
  <c r="O1430" i="44"/>
  <c r="L1430" i="44"/>
  <c r="I1430" i="44"/>
  <c r="F1430" i="44"/>
  <c r="C1430" i="44"/>
  <c r="X1429" i="44"/>
  <c r="U1429" i="44"/>
  <c r="R1429" i="44"/>
  <c r="O1429" i="44"/>
  <c r="L1429" i="44"/>
  <c r="I1429" i="44"/>
  <c r="F1429" i="44"/>
  <c r="C1429" i="44"/>
  <c r="X1428" i="44"/>
  <c r="U1428" i="44"/>
  <c r="R1428" i="44"/>
  <c r="O1428" i="44"/>
  <c r="L1428" i="44"/>
  <c r="I1428" i="44"/>
  <c r="F1428" i="44"/>
  <c r="C1428" i="44"/>
  <c r="X1427" i="44"/>
  <c r="U1427" i="44"/>
  <c r="R1427" i="44"/>
  <c r="O1427" i="44"/>
  <c r="L1427" i="44"/>
  <c r="I1427" i="44"/>
  <c r="F1427" i="44"/>
  <c r="C1427" i="44"/>
  <c r="X1426" i="44"/>
  <c r="U1426" i="44"/>
  <c r="R1426" i="44"/>
  <c r="O1426" i="44"/>
  <c r="L1426" i="44"/>
  <c r="I1426" i="44"/>
  <c r="F1426" i="44"/>
  <c r="C1426" i="44"/>
  <c r="X1425" i="44"/>
  <c r="U1425" i="44"/>
  <c r="R1425" i="44"/>
  <c r="O1425" i="44"/>
  <c r="L1425" i="44"/>
  <c r="I1425" i="44"/>
  <c r="F1425" i="44"/>
  <c r="C1425" i="44"/>
  <c r="X1424" i="44"/>
  <c r="U1424" i="44"/>
  <c r="R1424" i="44"/>
  <c r="O1424" i="44"/>
  <c r="L1424" i="44"/>
  <c r="I1424" i="44"/>
  <c r="F1424" i="44"/>
  <c r="C1424" i="44"/>
  <c r="X1423" i="44"/>
  <c r="U1423" i="44"/>
  <c r="R1423" i="44"/>
  <c r="O1423" i="44"/>
  <c r="L1423" i="44"/>
  <c r="I1423" i="44"/>
  <c r="F1423" i="44"/>
  <c r="C1423" i="44"/>
  <c r="X1414" i="44"/>
  <c r="U1414" i="44"/>
  <c r="R1414" i="44"/>
  <c r="O1414" i="44"/>
  <c r="L1414" i="44"/>
  <c r="I1414" i="44"/>
  <c r="F1414" i="44"/>
  <c r="C1414" i="44"/>
  <c r="X1413" i="44"/>
  <c r="U1413" i="44"/>
  <c r="R1413" i="44"/>
  <c r="O1413" i="44"/>
  <c r="L1413" i="44"/>
  <c r="I1413" i="44"/>
  <c r="F1413" i="44"/>
  <c r="C1413" i="44"/>
  <c r="X1411" i="44"/>
  <c r="U1411" i="44"/>
  <c r="R1411" i="44"/>
  <c r="O1411" i="44"/>
  <c r="L1411" i="44"/>
  <c r="I1411" i="44"/>
  <c r="F1411" i="44"/>
  <c r="C1411" i="44"/>
  <c r="X1410" i="44"/>
  <c r="U1410" i="44"/>
  <c r="R1410" i="44"/>
  <c r="O1410" i="44"/>
  <c r="L1410" i="44"/>
  <c r="I1410" i="44"/>
  <c r="F1410" i="44"/>
  <c r="C1410" i="44"/>
  <c r="X1409" i="44"/>
  <c r="U1409" i="44"/>
  <c r="R1409" i="44"/>
  <c r="O1409" i="44"/>
  <c r="L1409" i="44"/>
  <c r="I1409" i="44"/>
  <c r="F1409" i="44"/>
  <c r="C1409" i="44"/>
  <c r="X1408" i="44"/>
  <c r="U1408" i="44"/>
  <c r="R1408" i="44"/>
  <c r="O1408" i="44"/>
  <c r="L1408" i="44"/>
  <c r="I1408" i="44"/>
  <c r="F1408" i="44"/>
  <c r="C1408" i="44"/>
  <c r="U1407" i="44"/>
  <c r="X1406" i="44"/>
  <c r="U1406" i="44"/>
  <c r="R1406" i="44"/>
  <c r="O1406" i="44"/>
  <c r="L1406" i="44"/>
  <c r="I1406" i="44"/>
  <c r="F1406" i="44"/>
  <c r="C1406" i="44"/>
  <c r="X1403" i="44"/>
  <c r="U1403" i="44"/>
  <c r="R1403" i="44"/>
  <c r="O1403" i="44"/>
  <c r="L1403" i="44"/>
  <c r="I1403" i="44"/>
  <c r="F1403" i="44"/>
  <c r="C1403" i="44"/>
  <c r="X1402" i="44"/>
  <c r="U1402" i="44"/>
  <c r="R1402" i="44"/>
  <c r="O1402" i="44"/>
  <c r="L1402" i="44"/>
  <c r="I1402" i="44"/>
  <c r="F1402" i="44"/>
  <c r="C1402" i="44"/>
  <c r="X1401" i="44"/>
  <c r="U1401" i="44"/>
  <c r="R1401" i="44"/>
  <c r="O1401" i="44"/>
  <c r="L1401" i="44"/>
  <c r="I1401" i="44"/>
  <c r="F1401" i="44"/>
  <c r="C1401" i="44"/>
  <c r="X1397" i="44"/>
  <c r="U1397" i="44"/>
  <c r="R1397" i="44"/>
  <c r="O1397" i="44"/>
  <c r="L1397" i="44"/>
  <c r="I1397" i="44"/>
  <c r="F1397" i="44"/>
  <c r="C1397" i="44"/>
  <c r="X1393" i="44"/>
  <c r="U1393" i="44"/>
  <c r="R1393" i="44"/>
  <c r="O1393" i="44"/>
  <c r="L1393" i="44"/>
  <c r="I1393" i="44"/>
  <c r="F1393" i="44"/>
  <c r="C1393" i="44"/>
  <c r="X1392" i="44"/>
  <c r="U1392" i="44"/>
  <c r="R1392" i="44"/>
  <c r="O1392" i="44"/>
  <c r="L1392" i="44"/>
  <c r="I1392" i="44"/>
  <c r="F1392" i="44"/>
  <c r="C1392" i="44"/>
  <c r="X1391" i="44"/>
  <c r="U1391" i="44"/>
  <c r="R1391" i="44"/>
  <c r="O1391" i="44"/>
  <c r="L1391" i="44"/>
  <c r="I1391" i="44"/>
  <c r="F1391" i="44"/>
  <c r="C1391" i="44"/>
  <c r="X1389" i="44"/>
  <c r="U1389" i="44"/>
  <c r="R1389" i="44"/>
  <c r="O1389" i="44"/>
  <c r="L1389" i="44"/>
  <c r="I1389" i="44"/>
  <c r="F1389" i="44"/>
  <c r="C1389" i="44"/>
  <c r="X1388" i="44"/>
  <c r="U1388" i="44"/>
  <c r="R1388" i="44"/>
  <c r="O1388" i="44"/>
  <c r="L1388" i="44"/>
  <c r="I1388" i="44"/>
  <c r="F1388" i="44"/>
  <c r="C1388" i="44"/>
  <c r="U1387" i="44"/>
  <c r="R1387" i="44"/>
  <c r="O1387" i="44"/>
  <c r="L1387" i="44"/>
  <c r="I1387" i="44"/>
  <c r="F1387" i="44"/>
  <c r="C1387" i="44"/>
  <c r="X1383" i="44"/>
  <c r="U1383" i="44"/>
  <c r="R1383" i="44"/>
  <c r="O1383" i="44"/>
  <c r="L1383" i="44"/>
  <c r="I1383" i="44"/>
  <c r="F1383" i="44"/>
  <c r="C1383" i="44"/>
  <c r="X1382" i="44"/>
  <c r="U1382" i="44"/>
  <c r="R1382" i="44"/>
  <c r="O1382" i="44"/>
  <c r="L1382" i="44"/>
  <c r="I1382" i="44"/>
  <c r="F1382" i="44"/>
  <c r="C1382" i="44"/>
  <c r="X1381" i="44"/>
  <c r="U1381" i="44"/>
  <c r="R1381" i="44"/>
  <c r="O1381" i="44"/>
  <c r="L1381" i="44"/>
  <c r="I1381" i="44"/>
  <c r="F1381" i="44"/>
  <c r="C1381" i="44"/>
  <c r="X1380" i="44"/>
  <c r="U1380" i="44"/>
  <c r="R1380" i="44"/>
  <c r="O1380" i="44"/>
  <c r="L1380" i="44"/>
  <c r="I1380" i="44"/>
  <c r="F1380" i="44"/>
  <c r="C1380" i="44"/>
  <c r="X1379" i="44"/>
  <c r="U1379" i="44"/>
  <c r="R1379" i="44"/>
  <c r="O1379" i="44"/>
  <c r="L1379" i="44"/>
  <c r="I1379" i="44"/>
  <c r="F1379" i="44"/>
  <c r="C1379" i="44"/>
  <c r="X1378" i="44"/>
  <c r="U1378" i="44"/>
  <c r="R1378" i="44"/>
  <c r="O1378" i="44"/>
  <c r="L1378" i="44"/>
  <c r="I1378" i="44"/>
  <c r="F1378" i="44"/>
  <c r="C1378" i="44"/>
  <c r="F1376" i="44"/>
  <c r="C1376" i="44"/>
  <c r="X1375" i="44"/>
  <c r="U1375" i="44"/>
  <c r="R1375" i="44"/>
  <c r="O1375" i="44"/>
  <c r="L1375" i="44"/>
  <c r="I1375" i="44"/>
  <c r="F1375" i="44"/>
  <c r="C1375" i="44"/>
  <c r="X1374" i="44"/>
  <c r="U1374" i="44"/>
  <c r="R1374" i="44"/>
  <c r="O1374" i="44"/>
  <c r="L1374" i="44"/>
  <c r="I1374" i="44"/>
  <c r="F1374" i="44"/>
  <c r="C1374" i="44"/>
  <c r="X1373" i="44"/>
  <c r="U1373" i="44"/>
  <c r="R1373" i="44"/>
  <c r="O1373" i="44"/>
  <c r="L1373" i="44"/>
  <c r="I1373" i="44"/>
  <c r="F1373" i="44"/>
  <c r="C1373" i="44"/>
  <c r="X1372" i="44"/>
  <c r="U1372" i="44"/>
  <c r="R1372" i="44"/>
  <c r="O1372" i="44"/>
  <c r="L1372" i="44"/>
  <c r="I1372" i="44"/>
  <c r="F1372" i="44"/>
  <c r="C1372" i="44"/>
  <c r="X1371" i="44"/>
  <c r="U1371" i="44"/>
  <c r="R1371" i="44"/>
  <c r="O1371" i="44"/>
  <c r="L1371" i="44"/>
  <c r="I1371" i="44"/>
  <c r="F1371" i="44"/>
  <c r="C1371" i="44"/>
  <c r="X1370" i="44"/>
  <c r="U1370" i="44"/>
  <c r="R1370" i="44"/>
  <c r="O1370" i="44"/>
  <c r="L1370" i="44"/>
  <c r="I1370" i="44"/>
  <c r="F1370" i="44"/>
  <c r="C1370" i="44"/>
  <c r="X1369" i="44"/>
  <c r="U1369" i="44"/>
  <c r="R1369" i="44"/>
  <c r="O1369" i="44"/>
  <c r="L1369" i="44"/>
  <c r="I1369" i="44"/>
  <c r="F1369" i="44"/>
  <c r="C1369" i="44"/>
  <c r="X1368" i="44"/>
  <c r="U1368" i="44"/>
  <c r="R1368" i="44"/>
  <c r="O1368" i="44"/>
  <c r="L1368" i="44"/>
  <c r="I1368" i="44"/>
  <c r="F1368" i="44"/>
  <c r="C1368" i="44"/>
  <c r="X1367" i="44"/>
  <c r="U1367" i="44"/>
  <c r="R1367" i="44"/>
  <c r="O1367" i="44"/>
  <c r="L1367" i="44"/>
  <c r="I1367" i="44"/>
  <c r="F1367" i="44"/>
  <c r="C1367" i="44"/>
  <c r="X1366" i="44"/>
  <c r="U1366" i="44"/>
  <c r="R1366" i="44"/>
  <c r="O1366" i="44"/>
  <c r="L1366" i="44"/>
  <c r="I1366" i="44"/>
  <c r="F1366" i="44"/>
  <c r="C1366" i="44"/>
  <c r="X1365" i="44"/>
  <c r="U1365" i="44"/>
  <c r="R1365" i="44"/>
  <c r="O1365" i="44"/>
  <c r="L1365" i="44"/>
  <c r="I1365" i="44"/>
  <c r="F1365" i="44"/>
  <c r="C1365" i="44"/>
  <c r="X1363" i="44"/>
  <c r="X1362" i="44"/>
  <c r="X1361" i="44"/>
  <c r="X1360" i="44"/>
  <c r="X1359" i="44"/>
  <c r="X1358" i="44"/>
  <c r="X1357" i="44"/>
  <c r="X1356" i="44"/>
  <c r="X1355" i="44"/>
  <c r="X1354" i="44"/>
  <c r="X1353" i="44"/>
  <c r="X1352" i="44"/>
  <c r="X1351" i="44"/>
  <c r="X1350" i="44"/>
  <c r="X1349" i="44"/>
  <c r="X1348" i="44"/>
  <c r="X1347" i="44"/>
  <c r="X1346" i="44"/>
  <c r="X1345" i="44"/>
  <c r="X1344" i="44"/>
  <c r="X1343" i="44"/>
  <c r="X1342" i="44"/>
  <c r="X1341" i="44"/>
  <c r="X1340" i="44"/>
  <c r="X1339" i="44"/>
  <c r="X1338" i="44"/>
  <c r="X1337" i="44"/>
  <c r="X1336" i="44"/>
  <c r="X1335" i="44"/>
  <c r="X1334" i="44"/>
  <c r="U1334" i="44"/>
  <c r="R1334" i="44"/>
  <c r="O1334" i="44"/>
  <c r="L1334" i="44"/>
  <c r="I1334" i="44"/>
  <c r="F1334" i="44"/>
  <c r="C1334" i="44"/>
  <c r="X1333" i="44"/>
  <c r="U1333" i="44"/>
  <c r="R1333" i="44"/>
  <c r="O1333" i="44"/>
  <c r="L1333" i="44"/>
  <c r="I1333" i="44"/>
  <c r="F1333" i="44"/>
  <c r="C1333" i="44"/>
  <c r="X1332" i="44"/>
  <c r="U1332" i="44"/>
  <c r="R1332" i="44"/>
  <c r="O1332" i="44"/>
  <c r="L1332" i="44"/>
  <c r="I1332" i="44"/>
  <c r="F1332" i="44"/>
  <c r="C1332" i="44"/>
  <c r="X1331" i="44"/>
  <c r="U1331" i="44"/>
  <c r="R1331" i="44"/>
  <c r="O1331" i="44"/>
  <c r="L1331" i="44"/>
  <c r="I1331" i="44"/>
  <c r="F1331" i="44"/>
  <c r="C1331" i="44"/>
  <c r="X1330" i="44"/>
  <c r="U1330" i="44"/>
  <c r="R1330" i="44"/>
  <c r="O1330" i="44"/>
  <c r="L1330" i="44"/>
  <c r="I1330" i="44"/>
  <c r="F1330" i="44"/>
  <c r="C1330" i="44"/>
  <c r="X1329" i="44"/>
  <c r="U1329" i="44"/>
  <c r="R1329" i="44"/>
  <c r="O1329" i="44"/>
  <c r="L1329" i="44"/>
  <c r="I1329" i="44"/>
  <c r="F1329" i="44"/>
  <c r="C1329" i="44"/>
  <c r="X1328" i="44"/>
  <c r="U1328" i="44"/>
  <c r="R1328" i="44"/>
  <c r="O1328" i="44"/>
  <c r="L1328" i="44"/>
  <c r="I1328" i="44"/>
  <c r="F1328" i="44"/>
  <c r="C1328" i="44"/>
  <c r="X1327" i="44"/>
  <c r="U1327" i="44"/>
  <c r="R1327" i="44"/>
  <c r="O1327" i="44"/>
  <c r="L1327" i="44"/>
  <c r="I1327" i="44"/>
  <c r="F1327" i="44"/>
  <c r="C1327" i="44"/>
  <c r="X1326" i="44"/>
  <c r="U1326" i="44"/>
  <c r="R1326" i="44"/>
  <c r="O1326" i="44"/>
  <c r="L1326" i="44"/>
  <c r="I1326" i="44"/>
  <c r="F1326" i="44"/>
  <c r="C1326" i="44"/>
  <c r="X1325" i="44"/>
  <c r="U1325" i="44"/>
  <c r="R1325" i="44"/>
  <c r="O1325" i="44"/>
  <c r="L1325" i="44"/>
  <c r="I1325" i="44"/>
  <c r="F1325" i="44"/>
  <c r="C1325" i="44"/>
  <c r="X1324" i="44"/>
  <c r="U1324" i="44"/>
  <c r="R1324" i="44"/>
  <c r="O1324" i="44"/>
  <c r="L1324" i="44"/>
  <c r="I1324" i="44"/>
  <c r="F1324" i="44"/>
  <c r="C1324" i="44"/>
  <c r="X1323" i="44"/>
  <c r="U1323" i="44"/>
  <c r="R1323" i="44"/>
  <c r="O1323" i="44"/>
  <c r="L1323" i="44"/>
  <c r="I1323" i="44"/>
  <c r="F1323" i="44"/>
  <c r="C1323" i="44"/>
  <c r="X1322" i="44"/>
  <c r="U1322" i="44"/>
  <c r="R1322" i="44"/>
  <c r="O1322" i="44"/>
  <c r="L1322" i="44"/>
  <c r="I1322" i="44"/>
  <c r="F1322" i="44"/>
  <c r="C1322" i="44"/>
  <c r="X1321" i="44"/>
  <c r="U1321" i="44"/>
  <c r="R1321" i="44"/>
  <c r="O1321" i="44"/>
  <c r="L1321" i="44"/>
  <c r="I1321" i="44"/>
  <c r="F1321" i="44"/>
  <c r="C1321" i="44"/>
  <c r="X1320" i="44"/>
  <c r="U1320" i="44"/>
  <c r="R1320" i="44"/>
  <c r="O1320" i="44"/>
  <c r="L1320" i="44"/>
  <c r="I1320" i="44"/>
  <c r="F1320" i="44"/>
  <c r="C1320" i="44"/>
  <c r="X1319" i="44"/>
  <c r="U1319" i="44"/>
  <c r="R1319" i="44"/>
  <c r="O1319" i="44"/>
  <c r="L1319" i="44"/>
  <c r="I1319" i="44"/>
  <c r="F1319" i="44"/>
  <c r="C1319" i="44"/>
  <c r="X1318" i="44"/>
  <c r="U1318" i="44"/>
  <c r="R1318" i="44"/>
  <c r="O1318" i="44"/>
  <c r="L1318" i="44"/>
  <c r="I1318" i="44"/>
  <c r="F1318" i="44"/>
  <c r="C1318" i="44"/>
  <c r="X1317" i="44"/>
  <c r="U1317" i="44"/>
  <c r="R1317" i="44"/>
  <c r="O1317" i="44"/>
  <c r="L1317" i="44"/>
  <c r="I1317" i="44"/>
  <c r="F1317" i="44"/>
  <c r="C1317" i="44"/>
  <c r="X1316" i="44"/>
  <c r="U1316" i="44"/>
  <c r="R1316" i="44"/>
  <c r="O1316" i="44"/>
  <c r="L1316" i="44"/>
  <c r="I1316" i="44"/>
  <c r="F1316" i="44"/>
  <c r="C1316" i="44"/>
  <c r="X1315" i="44"/>
  <c r="U1315" i="44"/>
  <c r="R1315" i="44"/>
  <c r="O1315" i="44"/>
  <c r="L1315" i="44"/>
  <c r="I1315" i="44"/>
  <c r="F1315" i="44"/>
  <c r="C1315" i="44"/>
  <c r="X1314" i="44"/>
  <c r="U1314" i="44"/>
  <c r="R1314" i="44"/>
  <c r="O1314" i="44"/>
  <c r="L1314" i="44"/>
  <c r="I1314" i="44"/>
  <c r="F1314" i="44"/>
  <c r="C1314" i="44"/>
  <c r="X1313" i="44"/>
  <c r="U1313" i="44"/>
  <c r="R1313" i="44"/>
  <c r="O1313" i="44"/>
  <c r="L1313" i="44"/>
  <c r="I1313" i="44"/>
  <c r="F1313" i="44"/>
  <c r="C1313" i="44"/>
  <c r="X1312" i="44"/>
  <c r="U1312" i="44"/>
  <c r="R1312" i="44"/>
  <c r="O1312" i="44"/>
  <c r="L1312" i="44"/>
  <c r="I1312" i="44"/>
  <c r="F1312" i="44"/>
  <c r="C1312" i="44"/>
  <c r="X1311" i="44"/>
  <c r="U1311" i="44"/>
  <c r="R1311" i="44"/>
  <c r="O1311" i="44"/>
  <c r="L1311" i="44"/>
  <c r="I1311" i="44"/>
  <c r="F1311" i="44"/>
  <c r="C1311" i="44"/>
  <c r="X1310" i="44"/>
  <c r="U1310" i="44"/>
  <c r="R1310" i="44"/>
  <c r="O1310" i="44"/>
  <c r="L1310" i="44"/>
  <c r="I1310" i="44"/>
  <c r="F1310" i="44"/>
  <c r="C1310" i="44"/>
  <c r="X1309" i="44"/>
  <c r="U1309" i="44"/>
  <c r="R1309" i="44"/>
  <c r="O1309" i="44"/>
  <c r="L1309" i="44"/>
  <c r="I1309" i="44"/>
  <c r="F1309" i="44"/>
  <c r="C1309" i="44"/>
  <c r="X1308" i="44"/>
  <c r="U1308" i="44"/>
  <c r="R1308" i="44"/>
  <c r="O1308" i="44"/>
  <c r="L1308" i="44"/>
  <c r="I1308" i="44"/>
  <c r="F1308" i="44"/>
  <c r="C1308" i="44"/>
  <c r="X1307" i="44"/>
  <c r="U1307" i="44"/>
  <c r="R1307" i="44"/>
  <c r="O1307" i="44"/>
  <c r="L1307" i="44"/>
  <c r="I1307" i="44"/>
  <c r="F1307" i="44"/>
  <c r="C1307" i="44"/>
  <c r="X1306" i="44"/>
  <c r="U1306" i="44"/>
  <c r="R1306" i="44"/>
  <c r="O1306" i="44"/>
  <c r="L1306" i="44"/>
  <c r="I1306" i="44"/>
  <c r="F1306" i="44"/>
  <c r="C1306" i="44"/>
  <c r="X1305" i="44"/>
  <c r="U1305" i="44"/>
  <c r="R1305" i="44"/>
  <c r="O1305" i="44"/>
  <c r="L1305" i="44"/>
  <c r="I1305" i="44"/>
  <c r="F1305" i="44"/>
  <c r="C1305" i="44"/>
  <c r="X1304" i="44"/>
  <c r="U1304" i="44"/>
  <c r="R1304" i="44"/>
  <c r="O1304" i="44"/>
  <c r="L1304" i="44"/>
  <c r="I1304" i="44"/>
  <c r="F1304" i="44"/>
  <c r="C1304" i="44"/>
  <c r="X1303" i="44"/>
  <c r="U1303" i="44"/>
  <c r="R1303" i="44"/>
  <c r="O1303" i="44"/>
  <c r="L1303" i="44"/>
  <c r="I1303" i="44"/>
  <c r="F1303" i="44"/>
  <c r="C1303" i="44"/>
  <c r="X1302" i="44"/>
  <c r="U1302" i="44"/>
  <c r="R1302" i="44"/>
  <c r="O1302" i="44"/>
  <c r="L1302" i="44"/>
  <c r="I1302" i="44"/>
  <c r="F1302" i="44"/>
  <c r="C1302" i="44"/>
  <c r="X1301" i="44"/>
  <c r="U1301" i="44"/>
  <c r="R1301" i="44"/>
  <c r="O1301" i="44"/>
  <c r="L1301" i="44"/>
  <c r="I1301" i="44"/>
  <c r="F1301" i="44"/>
  <c r="C1301" i="44"/>
  <c r="X1300" i="44"/>
  <c r="U1300" i="44"/>
  <c r="R1300" i="44"/>
  <c r="O1300" i="44"/>
  <c r="L1300" i="44"/>
  <c r="I1300" i="44"/>
  <c r="F1300" i="44"/>
  <c r="C1300" i="44"/>
  <c r="X1271" i="44"/>
  <c r="U1271" i="44"/>
  <c r="R1271" i="44"/>
  <c r="O1271" i="44"/>
  <c r="L1271" i="44"/>
  <c r="I1271" i="44"/>
  <c r="F1271" i="44"/>
  <c r="C1271" i="44"/>
  <c r="X1240" i="44"/>
  <c r="U1240" i="44"/>
  <c r="R1240" i="44"/>
  <c r="O1240" i="44"/>
  <c r="L1240" i="44"/>
  <c r="I1240" i="44"/>
  <c r="F1240" i="44"/>
  <c r="C1240" i="44"/>
  <c r="X1239" i="44"/>
  <c r="U1239" i="44"/>
  <c r="R1239" i="44"/>
  <c r="O1239" i="44"/>
  <c r="L1239" i="44"/>
  <c r="I1239" i="44"/>
  <c r="F1239" i="44"/>
  <c r="C1239" i="44"/>
  <c r="X1238" i="44"/>
  <c r="U1238" i="44"/>
  <c r="R1238" i="44"/>
  <c r="O1238" i="44"/>
  <c r="L1238" i="44"/>
  <c r="I1238" i="44"/>
  <c r="F1238" i="44"/>
  <c r="C1238" i="44"/>
  <c r="X1237" i="44"/>
  <c r="U1237" i="44"/>
  <c r="R1237" i="44"/>
  <c r="O1237" i="44"/>
  <c r="L1237" i="44"/>
  <c r="I1237" i="44"/>
  <c r="F1237" i="44"/>
  <c r="C1237" i="44"/>
  <c r="X1236" i="44"/>
  <c r="U1236" i="44"/>
  <c r="R1236" i="44"/>
  <c r="O1236" i="44"/>
  <c r="L1236" i="44"/>
  <c r="I1236" i="44"/>
  <c r="F1236" i="44"/>
  <c r="C1236" i="44"/>
  <c r="X1227" i="44"/>
  <c r="U1227" i="44"/>
  <c r="R1227" i="44"/>
  <c r="O1227" i="44"/>
  <c r="L1227" i="44"/>
  <c r="I1227" i="44"/>
  <c r="F1227" i="44"/>
  <c r="C1227" i="44"/>
  <c r="X1226" i="44"/>
  <c r="U1226" i="44"/>
  <c r="R1226" i="44"/>
  <c r="O1226" i="44"/>
  <c r="L1226" i="44"/>
  <c r="I1226" i="44"/>
  <c r="F1226" i="44"/>
  <c r="C1226" i="44"/>
  <c r="X1225" i="44"/>
  <c r="U1225" i="44"/>
  <c r="R1225" i="44"/>
  <c r="O1225" i="44"/>
  <c r="L1225" i="44"/>
  <c r="I1225" i="44"/>
  <c r="F1225" i="44"/>
  <c r="C1225" i="44"/>
  <c r="X1222" i="44"/>
  <c r="U1222" i="44"/>
  <c r="R1222" i="44"/>
  <c r="O1222" i="44"/>
  <c r="L1222" i="44"/>
  <c r="I1222" i="44"/>
  <c r="F1222" i="44"/>
  <c r="C1222" i="44"/>
  <c r="X1221" i="44"/>
  <c r="U1221" i="44"/>
  <c r="R1221" i="44"/>
  <c r="O1221" i="44"/>
  <c r="L1221" i="44"/>
  <c r="I1221" i="44"/>
  <c r="F1221" i="44"/>
  <c r="C1221" i="44"/>
  <c r="X1219" i="44"/>
  <c r="U1219" i="44"/>
  <c r="R1219" i="44"/>
  <c r="O1219" i="44"/>
  <c r="L1219" i="44"/>
  <c r="I1219" i="44"/>
  <c r="F1219" i="44"/>
  <c r="C1219" i="44"/>
  <c r="X1218" i="44"/>
  <c r="U1218" i="44"/>
  <c r="R1218" i="44"/>
  <c r="O1218" i="44"/>
  <c r="L1218" i="44"/>
  <c r="I1218" i="44"/>
  <c r="F1218" i="44"/>
  <c r="C1218" i="44"/>
  <c r="X1217" i="44"/>
  <c r="U1217" i="44"/>
  <c r="R1217" i="44"/>
  <c r="O1217" i="44"/>
  <c r="L1217" i="44"/>
  <c r="I1217" i="44"/>
  <c r="F1217" i="44"/>
  <c r="C1217" i="44"/>
  <c r="X1216" i="44"/>
  <c r="U1216" i="44"/>
  <c r="R1216" i="44"/>
  <c r="O1216" i="44"/>
  <c r="L1216" i="44"/>
  <c r="I1216" i="44"/>
  <c r="F1216" i="44"/>
  <c r="C1216" i="44"/>
  <c r="X1215" i="44"/>
  <c r="U1215" i="44"/>
  <c r="R1215" i="44"/>
  <c r="O1215" i="44"/>
  <c r="L1215" i="44"/>
  <c r="I1215" i="44"/>
  <c r="F1215" i="44"/>
  <c r="C1215" i="44"/>
  <c r="X1214" i="44"/>
  <c r="U1214" i="44"/>
  <c r="R1214" i="44"/>
  <c r="O1214" i="44"/>
  <c r="L1214" i="44"/>
  <c r="I1214" i="44"/>
  <c r="F1214" i="44"/>
  <c r="C1214" i="44"/>
  <c r="X1213" i="44"/>
  <c r="U1213" i="44"/>
  <c r="R1213" i="44"/>
  <c r="O1213" i="44"/>
  <c r="L1213" i="44"/>
  <c r="I1213" i="44"/>
  <c r="F1213" i="44"/>
  <c r="C1213" i="44"/>
  <c r="X1212" i="44"/>
  <c r="U1212" i="44"/>
  <c r="R1212" i="44"/>
  <c r="O1212" i="44"/>
  <c r="L1212" i="44"/>
  <c r="I1212" i="44"/>
  <c r="F1212" i="44"/>
  <c r="C1212" i="44"/>
  <c r="X1211" i="44"/>
  <c r="U1211" i="44"/>
  <c r="R1211" i="44"/>
  <c r="O1211" i="44"/>
  <c r="L1211" i="44"/>
  <c r="I1211" i="44"/>
  <c r="F1211" i="44"/>
  <c r="C1211" i="44"/>
  <c r="X1210" i="44"/>
  <c r="U1210" i="44"/>
  <c r="R1210" i="44"/>
  <c r="O1210" i="44"/>
  <c r="L1210" i="44"/>
  <c r="I1210" i="44"/>
  <c r="F1210" i="44"/>
  <c r="C1210" i="44"/>
  <c r="X1209" i="44"/>
  <c r="U1209" i="44"/>
  <c r="R1209" i="44"/>
  <c r="O1209" i="44"/>
  <c r="L1209" i="44"/>
  <c r="I1209" i="44"/>
  <c r="F1209" i="44"/>
  <c r="C1209" i="44"/>
  <c r="X1208" i="44"/>
  <c r="U1208" i="44"/>
  <c r="R1208" i="44"/>
  <c r="O1208" i="44"/>
  <c r="L1208" i="44"/>
  <c r="I1208" i="44"/>
  <c r="F1208" i="44"/>
  <c r="C1208" i="44"/>
  <c r="X1207" i="44"/>
  <c r="U1207" i="44"/>
  <c r="R1207" i="44"/>
  <c r="O1207" i="44"/>
  <c r="L1207" i="44"/>
  <c r="I1207" i="44"/>
  <c r="F1207" i="44"/>
  <c r="C1207" i="44"/>
  <c r="X1206" i="44"/>
  <c r="U1206" i="44"/>
  <c r="R1206" i="44"/>
  <c r="O1206" i="44"/>
  <c r="L1206" i="44"/>
  <c r="I1206" i="44"/>
  <c r="F1206" i="44"/>
  <c r="C1206" i="44"/>
  <c r="X1205" i="44"/>
  <c r="U1205" i="44"/>
  <c r="R1205" i="44"/>
  <c r="O1205" i="44"/>
  <c r="L1205" i="44"/>
  <c r="I1205" i="44"/>
  <c r="F1205" i="44"/>
  <c r="C1205" i="44"/>
  <c r="X1204" i="44"/>
  <c r="U1204" i="44"/>
  <c r="R1204" i="44"/>
  <c r="O1204" i="44"/>
  <c r="L1204" i="44"/>
  <c r="I1204" i="44"/>
  <c r="F1204" i="44"/>
  <c r="C1204" i="44"/>
  <c r="X1203" i="44"/>
  <c r="U1203" i="44"/>
  <c r="R1203" i="44"/>
  <c r="O1203" i="44"/>
  <c r="L1203" i="44"/>
  <c r="I1203" i="44"/>
  <c r="F1203" i="44"/>
  <c r="C1203" i="44"/>
  <c r="X1202" i="44"/>
  <c r="U1202" i="44"/>
  <c r="R1202" i="44"/>
  <c r="O1202" i="44"/>
  <c r="L1202" i="44"/>
  <c r="I1202" i="44"/>
  <c r="F1202" i="44"/>
  <c r="C1202" i="44"/>
  <c r="X1201" i="44"/>
  <c r="U1201" i="44"/>
  <c r="R1201" i="44"/>
  <c r="O1201" i="44"/>
  <c r="L1201" i="44"/>
  <c r="I1201" i="44"/>
  <c r="F1201" i="44"/>
  <c r="C1201" i="44"/>
  <c r="X1191" i="44"/>
  <c r="U1191" i="44"/>
  <c r="R1191" i="44"/>
  <c r="O1191" i="44"/>
  <c r="L1191" i="44"/>
  <c r="I1191" i="44"/>
  <c r="F1191" i="44"/>
  <c r="C1191" i="44"/>
  <c r="X1190" i="44"/>
  <c r="U1190" i="44"/>
  <c r="R1190" i="44"/>
  <c r="O1190" i="44"/>
  <c r="L1190" i="44"/>
  <c r="I1190" i="44"/>
  <c r="F1190" i="44"/>
  <c r="C1190" i="44"/>
  <c r="X1189" i="44"/>
  <c r="U1189" i="44"/>
  <c r="R1189" i="44"/>
  <c r="O1189" i="44"/>
  <c r="L1189" i="44"/>
  <c r="I1189" i="44"/>
  <c r="F1189" i="44"/>
  <c r="C1189" i="44"/>
  <c r="X1188" i="44"/>
  <c r="U1188" i="44"/>
  <c r="R1188" i="44"/>
  <c r="O1188" i="44"/>
  <c r="L1188" i="44"/>
  <c r="I1188" i="44"/>
  <c r="F1188" i="44"/>
  <c r="C1188" i="44"/>
  <c r="X1187" i="44"/>
  <c r="U1187" i="44"/>
  <c r="R1187" i="44"/>
  <c r="O1187" i="44"/>
  <c r="L1187" i="44"/>
  <c r="I1187" i="44"/>
  <c r="F1187" i="44"/>
  <c r="C1187" i="44"/>
  <c r="X1186" i="44"/>
  <c r="U1186" i="44"/>
  <c r="R1186" i="44"/>
  <c r="O1186" i="44"/>
  <c r="L1186" i="44"/>
  <c r="I1186" i="44"/>
  <c r="F1186" i="44"/>
  <c r="C1186" i="44"/>
  <c r="X1185" i="44"/>
  <c r="U1185" i="44"/>
  <c r="R1185" i="44"/>
  <c r="O1185" i="44"/>
  <c r="L1185" i="44"/>
  <c r="I1185" i="44"/>
  <c r="F1185" i="44"/>
  <c r="C1185" i="44"/>
  <c r="X1184" i="44"/>
  <c r="U1184" i="44"/>
  <c r="R1184" i="44"/>
  <c r="O1184" i="44"/>
  <c r="L1184" i="44"/>
  <c r="I1184" i="44"/>
  <c r="F1184" i="44"/>
  <c r="C1184" i="44"/>
  <c r="X1183" i="44"/>
  <c r="U1183" i="44"/>
  <c r="R1183" i="44"/>
  <c r="O1183" i="44"/>
  <c r="L1183" i="44"/>
  <c r="I1183" i="44"/>
  <c r="F1183" i="44"/>
  <c r="C1183" i="44"/>
  <c r="X1182" i="44"/>
  <c r="U1182" i="44"/>
  <c r="R1182" i="44"/>
  <c r="O1182" i="44"/>
  <c r="L1182" i="44"/>
  <c r="I1182" i="44"/>
  <c r="F1182" i="44"/>
  <c r="C1182" i="44"/>
  <c r="X1181" i="44"/>
  <c r="U1181" i="44"/>
  <c r="R1181" i="44"/>
  <c r="O1181" i="44"/>
  <c r="L1181" i="44"/>
  <c r="I1181" i="44"/>
  <c r="F1181" i="44"/>
  <c r="C1181" i="44"/>
  <c r="X1180" i="44"/>
  <c r="U1180" i="44"/>
  <c r="R1180" i="44"/>
  <c r="O1180" i="44"/>
  <c r="L1180" i="44"/>
  <c r="I1180" i="44"/>
  <c r="F1180" i="44"/>
  <c r="C1180" i="44"/>
  <c r="X1167" i="44"/>
  <c r="U1167" i="44"/>
  <c r="R1167" i="44"/>
  <c r="O1167" i="44"/>
  <c r="L1167" i="44"/>
  <c r="I1167" i="44"/>
  <c r="F1167" i="44"/>
  <c r="C1167" i="44"/>
  <c r="X1126" i="44"/>
  <c r="U1126" i="44"/>
  <c r="R1126" i="44"/>
  <c r="O1126" i="44"/>
  <c r="L1126" i="44"/>
  <c r="I1126" i="44"/>
  <c r="F1126" i="44"/>
  <c r="C1126" i="44"/>
  <c r="X1125" i="44"/>
  <c r="U1125" i="44"/>
  <c r="R1125" i="44"/>
  <c r="O1125" i="44"/>
  <c r="L1125" i="44"/>
  <c r="I1125" i="44"/>
  <c r="F1125" i="44"/>
  <c r="C1125" i="44"/>
  <c r="X1124" i="44"/>
  <c r="U1124" i="44"/>
  <c r="R1124" i="44"/>
  <c r="O1124" i="44"/>
  <c r="L1124" i="44"/>
  <c r="I1124" i="44"/>
  <c r="F1124" i="44"/>
  <c r="C1124" i="44"/>
  <c r="X1123" i="44"/>
  <c r="U1123" i="44"/>
  <c r="R1123" i="44"/>
  <c r="O1123" i="44"/>
  <c r="L1123" i="44"/>
  <c r="I1123" i="44"/>
  <c r="F1123" i="44"/>
  <c r="C1123" i="44"/>
  <c r="X1122" i="44"/>
  <c r="U1122" i="44"/>
  <c r="R1122" i="44"/>
  <c r="O1122" i="44"/>
  <c r="L1122" i="44"/>
  <c r="I1122" i="44"/>
  <c r="F1122" i="44"/>
  <c r="C1122" i="44"/>
  <c r="X1121" i="44"/>
  <c r="U1121" i="44"/>
  <c r="R1121" i="44"/>
  <c r="O1121" i="44"/>
  <c r="L1121" i="44"/>
  <c r="I1121" i="44"/>
  <c r="F1121" i="44"/>
  <c r="C1121" i="44"/>
  <c r="X1120" i="44"/>
  <c r="U1120" i="44"/>
  <c r="R1120" i="44"/>
  <c r="O1120" i="44"/>
  <c r="L1120" i="44"/>
  <c r="I1120" i="44"/>
  <c r="F1120" i="44"/>
  <c r="C1120" i="44"/>
  <c r="X1119" i="44"/>
  <c r="U1119" i="44"/>
  <c r="R1119" i="44"/>
  <c r="O1119" i="44"/>
  <c r="L1119" i="44"/>
  <c r="I1119" i="44"/>
  <c r="F1119" i="44"/>
  <c r="C1119" i="44"/>
  <c r="X1118" i="44"/>
  <c r="U1118" i="44"/>
  <c r="R1118" i="44"/>
  <c r="O1118" i="44"/>
  <c r="L1118" i="44"/>
  <c r="I1118" i="44"/>
  <c r="F1118" i="44"/>
  <c r="C1118" i="44"/>
  <c r="X1117" i="44"/>
  <c r="U1117" i="44"/>
  <c r="R1117" i="44"/>
  <c r="O1117" i="44"/>
  <c r="L1117" i="44"/>
  <c r="I1117" i="44"/>
  <c r="F1117" i="44"/>
  <c r="C1117" i="44"/>
  <c r="X1116" i="44"/>
  <c r="U1116" i="44"/>
  <c r="R1116" i="44"/>
  <c r="O1116" i="44"/>
  <c r="L1116" i="44"/>
  <c r="I1116" i="44"/>
  <c r="F1116" i="44"/>
  <c r="C1116" i="44"/>
  <c r="X1115" i="44"/>
  <c r="U1115" i="44"/>
  <c r="R1115" i="44"/>
  <c r="O1115" i="44"/>
  <c r="L1115" i="44"/>
  <c r="I1115" i="44"/>
  <c r="F1115" i="44"/>
  <c r="C1115" i="44"/>
  <c r="X1114" i="44"/>
  <c r="U1114" i="44"/>
  <c r="R1114" i="44"/>
  <c r="O1114" i="44"/>
  <c r="L1114" i="44"/>
  <c r="I1114" i="44"/>
  <c r="F1114" i="44"/>
  <c r="C1114" i="44"/>
  <c r="X1113" i="44"/>
  <c r="U1113" i="44"/>
  <c r="R1113" i="44"/>
  <c r="O1113" i="44"/>
  <c r="L1113" i="44"/>
  <c r="I1113" i="44"/>
  <c r="F1113" i="44"/>
  <c r="C1113" i="44"/>
  <c r="X1112" i="44"/>
  <c r="U1112" i="44"/>
  <c r="R1112" i="44"/>
  <c r="O1112" i="44"/>
  <c r="L1112" i="44"/>
  <c r="I1112" i="44"/>
  <c r="F1112" i="44"/>
  <c r="C1112" i="44"/>
  <c r="X1111" i="44"/>
  <c r="U1111" i="44"/>
  <c r="R1111" i="44"/>
  <c r="O1111" i="44"/>
  <c r="L1111" i="44"/>
  <c r="I1111" i="44"/>
  <c r="F1111" i="44"/>
  <c r="C1111" i="44"/>
  <c r="X1110" i="44"/>
  <c r="U1110" i="44"/>
  <c r="R1110" i="44"/>
  <c r="O1110" i="44"/>
  <c r="L1110" i="44"/>
  <c r="I1110" i="44"/>
  <c r="F1110" i="44"/>
  <c r="C1110" i="44"/>
  <c r="X1109" i="44"/>
  <c r="U1109" i="44"/>
  <c r="R1109" i="44"/>
  <c r="O1109" i="44"/>
  <c r="L1109" i="44"/>
  <c r="I1109" i="44"/>
  <c r="F1109" i="44"/>
  <c r="C1109" i="44"/>
  <c r="X1108" i="44"/>
  <c r="U1108" i="44"/>
  <c r="R1108" i="44"/>
  <c r="O1108" i="44"/>
  <c r="L1108" i="44"/>
  <c r="I1108" i="44"/>
  <c r="F1108" i="44"/>
  <c r="C1108" i="44"/>
  <c r="X1107" i="44"/>
  <c r="U1107" i="44"/>
  <c r="R1107" i="44"/>
  <c r="O1107" i="44"/>
  <c r="L1107" i="44"/>
  <c r="I1107" i="44"/>
  <c r="F1107" i="44"/>
  <c r="C1107" i="44"/>
  <c r="X1106" i="44"/>
  <c r="U1106" i="44"/>
  <c r="R1106" i="44"/>
  <c r="O1106" i="44"/>
  <c r="L1106" i="44"/>
  <c r="I1106" i="44"/>
  <c r="F1106" i="44"/>
  <c r="C1106" i="44"/>
  <c r="X1105" i="44"/>
  <c r="U1105" i="44"/>
  <c r="R1105" i="44"/>
  <c r="O1105" i="44"/>
  <c r="L1105" i="44"/>
  <c r="I1105" i="44"/>
  <c r="F1105" i="44"/>
  <c r="C1105" i="44"/>
  <c r="X1104" i="44"/>
  <c r="U1104" i="44"/>
  <c r="R1104" i="44"/>
  <c r="O1104" i="44"/>
  <c r="L1104" i="44"/>
  <c r="I1104" i="44"/>
  <c r="F1104" i="44"/>
  <c r="C1104" i="44"/>
  <c r="X1103" i="44"/>
  <c r="U1103" i="44"/>
  <c r="R1103" i="44"/>
  <c r="O1103" i="44"/>
  <c r="L1103" i="44"/>
  <c r="I1103" i="44"/>
  <c r="F1103" i="44"/>
  <c r="C1103" i="44"/>
  <c r="X1102" i="44"/>
  <c r="U1102" i="44"/>
  <c r="R1102" i="44"/>
  <c r="O1102" i="44"/>
  <c r="L1102" i="44"/>
  <c r="I1102" i="44"/>
  <c r="F1102" i="44"/>
  <c r="C1102" i="44"/>
  <c r="X1101" i="44"/>
  <c r="U1101" i="44"/>
  <c r="R1101" i="44"/>
  <c r="O1101" i="44"/>
  <c r="L1101" i="44"/>
  <c r="I1101" i="44"/>
  <c r="F1101" i="44"/>
  <c r="C1101" i="44"/>
  <c r="X1100" i="44"/>
  <c r="U1100" i="44"/>
  <c r="R1100" i="44"/>
  <c r="O1100" i="44"/>
  <c r="L1100" i="44"/>
  <c r="I1100" i="44"/>
  <c r="F1100" i="44"/>
  <c r="C1100" i="44"/>
  <c r="X1099" i="44"/>
  <c r="U1099" i="44"/>
  <c r="R1099" i="44"/>
  <c r="O1099" i="44"/>
  <c r="L1099" i="44"/>
  <c r="I1099" i="44"/>
  <c r="F1099" i="44"/>
  <c r="C1099" i="44"/>
  <c r="X1098" i="44"/>
  <c r="U1098" i="44"/>
  <c r="R1098" i="44"/>
  <c r="O1098" i="44"/>
  <c r="L1098" i="44"/>
  <c r="I1098" i="44"/>
  <c r="F1098" i="44"/>
  <c r="C1098" i="44"/>
  <c r="X1097" i="44"/>
  <c r="U1097" i="44"/>
  <c r="R1097" i="44"/>
  <c r="O1097" i="44"/>
  <c r="L1097" i="44"/>
  <c r="I1097" i="44"/>
  <c r="F1097" i="44"/>
  <c r="C1097" i="44"/>
  <c r="X1096" i="44"/>
  <c r="U1096" i="44"/>
  <c r="R1096" i="44"/>
  <c r="O1096" i="44"/>
  <c r="L1096" i="44"/>
  <c r="I1096" i="44"/>
  <c r="F1096" i="44"/>
  <c r="C1096" i="44"/>
  <c r="X1095" i="44"/>
  <c r="U1095" i="44"/>
  <c r="R1095" i="44"/>
  <c r="O1095" i="44"/>
  <c r="L1095" i="44"/>
  <c r="I1095" i="44"/>
  <c r="F1095" i="44"/>
  <c r="C1095" i="44"/>
  <c r="X1094" i="44"/>
  <c r="U1094" i="44"/>
  <c r="R1094" i="44"/>
  <c r="O1094" i="44"/>
  <c r="L1094" i="44"/>
  <c r="I1094" i="44"/>
  <c r="F1094" i="44"/>
  <c r="C1094" i="44"/>
  <c r="X1093" i="44"/>
  <c r="U1093" i="44"/>
  <c r="R1093" i="44"/>
  <c r="O1093" i="44"/>
  <c r="L1093" i="44"/>
  <c r="I1093" i="44"/>
  <c r="F1093" i="44"/>
  <c r="C1093" i="44"/>
  <c r="X1092" i="44"/>
  <c r="U1092" i="44"/>
  <c r="R1092" i="44"/>
  <c r="O1092" i="44"/>
  <c r="L1092" i="44"/>
  <c r="I1092" i="44"/>
  <c r="F1092" i="44"/>
  <c r="C1092" i="44"/>
  <c r="X1091" i="44"/>
  <c r="U1091" i="44"/>
  <c r="R1091" i="44"/>
  <c r="O1091" i="44"/>
  <c r="L1091" i="44"/>
  <c r="I1091" i="44"/>
  <c r="F1091" i="44"/>
  <c r="C1091" i="44"/>
  <c r="X1090" i="44"/>
  <c r="U1090" i="44"/>
  <c r="R1090" i="44"/>
  <c r="O1090" i="44"/>
  <c r="L1090" i="44"/>
  <c r="I1090" i="44"/>
  <c r="F1090" i="44"/>
  <c r="C1090" i="44"/>
  <c r="X1089" i="44"/>
  <c r="U1089" i="44"/>
  <c r="R1089" i="44"/>
  <c r="O1089" i="44"/>
  <c r="L1089" i="44"/>
  <c r="I1089" i="44"/>
  <c r="F1089" i="44"/>
  <c r="C1089" i="44"/>
  <c r="X1088" i="44"/>
  <c r="U1088" i="44"/>
  <c r="R1088" i="44"/>
  <c r="O1088" i="44"/>
  <c r="L1088" i="44"/>
  <c r="I1088" i="44"/>
  <c r="F1088" i="44"/>
  <c r="C1088" i="44"/>
  <c r="X1087" i="44"/>
  <c r="U1087" i="44"/>
  <c r="R1087" i="44"/>
  <c r="O1087" i="44"/>
  <c r="L1087" i="44"/>
  <c r="I1087" i="44"/>
  <c r="F1087" i="44"/>
  <c r="C1087" i="44"/>
  <c r="X1086" i="44"/>
  <c r="U1086" i="44"/>
  <c r="R1086" i="44"/>
  <c r="O1086" i="44"/>
  <c r="L1086" i="44"/>
  <c r="I1086" i="44"/>
  <c r="F1086" i="44"/>
  <c r="C1086" i="44"/>
  <c r="X1085" i="44"/>
  <c r="U1085" i="44"/>
  <c r="R1085" i="44"/>
  <c r="O1085" i="44"/>
  <c r="L1085" i="44"/>
  <c r="I1085" i="44"/>
  <c r="F1085" i="44"/>
  <c r="C1085" i="44"/>
  <c r="X1084" i="44"/>
  <c r="U1084" i="44"/>
  <c r="R1084" i="44"/>
  <c r="O1084" i="44"/>
  <c r="L1084" i="44"/>
  <c r="I1084" i="44"/>
  <c r="F1084" i="44"/>
  <c r="C1084" i="44"/>
  <c r="X1083" i="44"/>
  <c r="U1083" i="44"/>
  <c r="R1083" i="44"/>
  <c r="O1083" i="44"/>
  <c r="L1083" i="44"/>
  <c r="I1083" i="44"/>
  <c r="F1083" i="44"/>
  <c r="C1083" i="44"/>
  <c r="X1082" i="44"/>
  <c r="U1082" i="44"/>
  <c r="R1082" i="44"/>
  <c r="O1082" i="44"/>
  <c r="L1082" i="44"/>
  <c r="I1082" i="44"/>
  <c r="F1082" i="44"/>
  <c r="C1082" i="44"/>
  <c r="X1081" i="44"/>
  <c r="U1081" i="44"/>
  <c r="R1081" i="44"/>
  <c r="O1081" i="44"/>
  <c r="L1081" i="44"/>
  <c r="I1081" i="44"/>
  <c r="F1081" i="44"/>
  <c r="C1081" i="44"/>
  <c r="X1080" i="44"/>
  <c r="U1080" i="44"/>
  <c r="R1080" i="44"/>
  <c r="O1080" i="44"/>
  <c r="L1080" i="44"/>
  <c r="I1080" i="44"/>
  <c r="F1080" i="44"/>
  <c r="C1080" i="44"/>
  <c r="X1079" i="44"/>
  <c r="U1079" i="44"/>
  <c r="R1079" i="44"/>
  <c r="O1079" i="44"/>
  <c r="L1079" i="44"/>
  <c r="I1079" i="44"/>
  <c r="F1079" i="44"/>
  <c r="C1079" i="44"/>
  <c r="X1078" i="44"/>
  <c r="U1078" i="44"/>
  <c r="R1078" i="44"/>
  <c r="O1078" i="44"/>
  <c r="L1078" i="44"/>
  <c r="I1078" i="44"/>
  <c r="F1078" i="44"/>
  <c r="C1078" i="44"/>
  <c r="X1077" i="44"/>
  <c r="U1077" i="44"/>
  <c r="R1077" i="44"/>
  <c r="O1077" i="44"/>
  <c r="L1077" i="44"/>
  <c r="I1077" i="44"/>
  <c r="F1077" i="44"/>
  <c r="C1077" i="44"/>
  <c r="X1076" i="44"/>
  <c r="U1076" i="44"/>
  <c r="R1076" i="44"/>
  <c r="O1076" i="44"/>
  <c r="L1076" i="44"/>
  <c r="I1076" i="44"/>
  <c r="F1076" i="44"/>
  <c r="C1076" i="44"/>
  <c r="X1075" i="44"/>
  <c r="U1075" i="44"/>
  <c r="R1075" i="44"/>
  <c r="O1075" i="44"/>
  <c r="L1075" i="44"/>
  <c r="I1075" i="44"/>
  <c r="F1075" i="44"/>
  <c r="C1075" i="44"/>
  <c r="X1074" i="44"/>
  <c r="U1074" i="44"/>
  <c r="R1074" i="44"/>
  <c r="O1074" i="44"/>
  <c r="L1074" i="44"/>
  <c r="I1074" i="44"/>
  <c r="F1074" i="44"/>
  <c r="C1074" i="44"/>
  <c r="X1073" i="44"/>
  <c r="U1073" i="44"/>
  <c r="R1073" i="44"/>
  <c r="O1073" i="44"/>
  <c r="L1073" i="44"/>
  <c r="I1073" i="44"/>
  <c r="F1073" i="44"/>
  <c r="C1073" i="44"/>
  <c r="X1072" i="44"/>
  <c r="U1072" i="44"/>
  <c r="R1072" i="44"/>
  <c r="O1072" i="44"/>
  <c r="L1072" i="44"/>
  <c r="I1072" i="44"/>
  <c r="F1072" i="44"/>
  <c r="C1072" i="44"/>
  <c r="X1071" i="44"/>
  <c r="U1071" i="44"/>
  <c r="R1071" i="44"/>
  <c r="O1071" i="44"/>
  <c r="L1071" i="44"/>
  <c r="I1071" i="44"/>
  <c r="F1071" i="44"/>
  <c r="C1071" i="44"/>
  <c r="X1070" i="44"/>
  <c r="U1070" i="44"/>
  <c r="R1070" i="44"/>
  <c r="O1070" i="44"/>
  <c r="L1070" i="44"/>
  <c r="I1070" i="44"/>
  <c r="F1070" i="44"/>
  <c r="C1070" i="44"/>
  <c r="X1069" i="44"/>
  <c r="U1069" i="44"/>
  <c r="R1069" i="44"/>
  <c r="O1069" i="44"/>
  <c r="L1069" i="44"/>
  <c r="I1069" i="44"/>
  <c r="F1069" i="44"/>
  <c r="C1069" i="44"/>
  <c r="X1068" i="44"/>
  <c r="U1068" i="44"/>
  <c r="R1068" i="44"/>
  <c r="O1068" i="44"/>
  <c r="L1068" i="44"/>
  <c r="I1068" i="44"/>
  <c r="F1068" i="44"/>
  <c r="C1068" i="44"/>
  <c r="X1067" i="44"/>
  <c r="U1067" i="44"/>
  <c r="R1067" i="44"/>
  <c r="O1067" i="44"/>
  <c r="L1067" i="44"/>
  <c r="I1067" i="44"/>
  <c r="F1067" i="44"/>
  <c r="C1067" i="44"/>
  <c r="X1066" i="44"/>
  <c r="U1066" i="44"/>
  <c r="R1066" i="44"/>
  <c r="O1066" i="44"/>
  <c r="L1066" i="44"/>
  <c r="I1066" i="44"/>
  <c r="F1066" i="44"/>
  <c r="C1066" i="44"/>
  <c r="X1065" i="44"/>
  <c r="U1065" i="44"/>
  <c r="R1065" i="44"/>
  <c r="O1065" i="44"/>
  <c r="L1065" i="44"/>
  <c r="I1065" i="44"/>
  <c r="F1065" i="44"/>
  <c r="C1065" i="44"/>
  <c r="X1063" i="44"/>
  <c r="U1063" i="44"/>
  <c r="R1063" i="44"/>
  <c r="O1063" i="44"/>
  <c r="L1063" i="44"/>
  <c r="I1063" i="44"/>
  <c r="F1063" i="44"/>
  <c r="C1063" i="44"/>
  <c r="X1062" i="44"/>
  <c r="U1062" i="44"/>
  <c r="R1062" i="44"/>
  <c r="O1062" i="44"/>
  <c r="L1062" i="44"/>
  <c r="I1062" i="44"/>
  <c r="F1062" i="44"/>
  <c r="C1062" i="44"/>
  <c r="X1061" i="44"/>
  <c r="U1061" i="44"/>
  <c r="R1061" i="44"/>
  <c r="O1061" i="44"/>
  <c r="L1061" i="44"/>
  <c r="I1061" i="44"/>
  <c r="F1061" i="44"/>
  <c r="C1061" i="44"/>
  <c r="X1060" i="44"/>
  <c r="U1060" i="44"/>
  <c r="R1060" i="44"/>
  <c r="O1060" i="44"/>
  <c r="L1060" i="44"/>
  <c r="I1060" i="44"/>
  <c r="F1060" i="44"/>
  <c r="C1060" i="44"/>
  <c r="X1059" i="44"/>
  <c r="U1059" i="44"/>
  <c r="R1059" i="44"/>
  <c r="O1059" i="44"/>
  <c r="L1059" i="44"/>
  <c r="I1059" i="44"/>
  <c r="F1059" i="44"/>
  <c r="C1059" i="44"/>
  <c r="X1057" i="44"/>
  <c r="U1057" i="44"/>
  <c r="R1057" i="44"/>
  <c r="O1057" i="44"/>
  <c r="L1057" i="44"/>
  <c r="I1057" i="44"/>
  <c r="F1057" i="44"/>
  <c r="C1057" i="44"/>
  <c r="X1054" i="44"/>
  <c r="U1054" i="44"/>
  <c r="R1054" i="44"/>
  <c r="O1054" i="44"/>
  <c r="L1054" i="44"/>
  <c r="I1054" i="44"/>
  <c r="F1054" i="44"/>
  <c r="C1054" i="44"/>
  <c r="X1052" i="44"/>
  <c r="U1052" i="44"/>
  <c r="R1052" i="44"/>
  <c r="O1052" i="44"/>
  <c r="L1052" i="44"/>
  <c r="I1052" i="44"/>
  <c r="F1052" i="44"/>
  <c r="C1052" i="44"/>
  <c r="X1051" i="44"/>
  <c r="U1051" i="44"/>
  <c r="R1051" i="44"/>
  <c r="O1051" i="44"/>
  <c r="L1051" i="44"/>
  <c r="I1051" i="44"/>
  <c r="F1051" i="44"/>
  <c r="C1051" i="44"/>
  <c r="X1050" i="44"/>
  <c r="U1050" i="44"/>
  <c r="R1050" i="44"/>
  <c r="O1050" i="44"/>
  <c r="L1050" i="44"/>
  <c r="I1050" i="44"/>
  <c r="F1050" i="44"/>
  <c r="C1050" i="44"/>
  <c r="X1049" i="44"/>
  <c r="U1049" i="44"/>
  <c r="R1049" i="44"/>
  <c r="O1049" i="44"/>
  <c r="L1049" i="44"/>
  <c r="I1049" i="44"/>
  <c r="F1049" i="44"/>
  <c r="C1049" i="44"/>
  <c r="X1048" i="44"/>
  <c r="U1048" i="44"/>
  <c r="R1048" i="44"/>
  <c r="O1048" i="44"/>
  <c r="L1048" i="44"/>
  <c r="I1048" i="44"/>
  <c r="F1048" i="44"/>
  <c r="C1048" i="44"/>
  <c r="X1047" i="44"/>
  <c r="U1047" i="44"/>
  <c r="R1047" i="44"/>
  <c r="O1047" i="44"/>
  <c r="L1047" i="44"/>
  <c r="I1047" i="44"/>
  <c r="F1047" i="44"/>
  <c r="C1047" i="44"/>
  <c r="X1042" i="44"/>
  <c r="U1042" i="44"/>
  <c r="R1042" i="44"/>
  <c r="O1042" i="44"/>
  <c r="L1042" i="44"/>
  <c r="I1042" i="44"/>
  <c r="F1042" i="44"/>
  <c r="C1042" i="44"/>
  <c r="X1041" i="44"/>
  <c r="U1041" i="44"/>
  <c r="R1041" i="44"/>
  <c r="O1041" i="44"/>
  <c r="L1041" i="44"/>
  <c r="I1041" i="44"/>
  <c r="F1041" i="44"/>
  <c r="C1041" i="44"/>
  <c r="X1040" i="44"/>
  <c r="U1040" i="44"/>
  <c r="R1040" i="44"/>
  <c r="O1040" i="44"/>
  <c r="L1040" i="44"/>
  <c r="I1040" i="44"/>
  <c r="F1040" i="44"/>
  <c r="C1040" i="44"/>
  <c r="X1039" i="44"/>
  <c r="U1039" i="44"/>
  <c r="R1039" i="44"/>
  <c r="O1039" i="44"/>
  <c r="L1039" i="44"/>
  <c r="I1039" i="44"/>
  <c r="F1039" i="44"/>
  <c r="C1039" i="44"/>
  <c r="X1038" i="44"/>
  <c r="U1038" i="44"/>
  <c r="R1038" i="44"/>
  <c r="O1038" i="44"/>
  <c r="L1038" i="44"/>
  <c r="I1038" i="44"/>
  <c r="F1038" i="44"/>
  <c r="C1038" i="44"/>
  <c r="X1037" i="44"/>
  <c r="U1037" i="44"/>
  <c r="R1037" i="44"/>
  <c r="O1037" i="44"/>
  <c r="L1037" i="44"/>
  <c r="I1037" i="44"/>
  <c r="F1037" i="44"/>
  <c r="C1037" i="44"/>
  <c r="X1036" i="44"/>
  <c r="U1036" i="44"/>
  <c r="R1036" i="44"/>
  <c r="O1036" i="44"/>
  <c r="L1036" i="44"/>
  <c r="I1036" i="44"/>
  <c r="F1036" i="44"/>
  <c r="C1036" i="44"/>
  <c r="X1032" i="44"/>
  <c r="U1032" i="44"/>
  <c r="R1032" i="44"/>
  <c r="O1032" i="44"/>
  <c r="L1032" i="44"/>
  <c r="I1032" i="44"/>
  <c r="F1032" i="44"/>
  <c r="C1032" i="44"/>
  <c r="X1031" i="44"/>
  <c r="U1031" i="44"/>
  <c r="R1031" i="44"/>
  <c r="O1031" i="44"/>
  <c r="L1031" i="44"/>
  <c r="I1031" i="44"/>
  <c r="F1031" i="44"/>
  <c r="C1031" i="44"/>
  <c r="X1030" i="44"/>
  <c r="U1030" i="44"/>
  <c r="R1030" i="44"/>
  <c r="O1030" i="44"/>
  <c r="L1030" i="44"/>
  <c r="I1030" i="44"/>
  <c r="F1030" i="44"/>
  <c r="C1030" i="44"/>
  <c r="X1029" i="44"/>
  <c r="U1029" i="44"/>
  <c r="R1029" i="44"/>
  <c r="O1029" i="44"/>
  <c r="L1029" i="44"/>
  <c r="I1029" i="44"/>
  <c r="F1029" i="44"/>
  <c r="C1029" i="44"/>
  <c r="X1028" i="44"/>
  <c r="U1028" i="44"/>
  <c r="R1028" i="44"/>
  <c r="O1028" i="44"/>
  <c r="L1028" i="44"/>
  <c r="I1028" i="44"/>
  <c r="F1028" i="44"/>
  <c r="C1028" i="44"/>
  <c r="X1027" i="44"/>
  <c r="U1027" i="44"/>
  <c r="R1027" i="44"/>
  <c r="O1027" i="44"/>
  <c r="L1027" i="44"/>
  <c r="I1027" i="44"/>
  <c r="F1027" i="44"/>
  <c r="C1027" i="44"/>
  <c r="X1026" i="44"/>
  <c r="U1026" i="44"/>
  <c r="R1026" i="44"/>
  <c r="O1026" i="44"/>
  <c r="L1026" i="44"/>
  <c r="I1026" i="44"/>
  <c r="F1026" i="44"/>
  <c r="C1026" i="44"/>
  <c r="X1025" i="44"/>
  <c r="U1025" i="44"/>
  <c r="R1025" i="44"/>
  <c r="O1025" i="44"/>
  <c r="L1025" i="44"/>
  <c r="I1025" i="44"/>
  <c r="F1025" i="44"/>
  <c r="C1025" i="44"/>
  <c r="X1024" i="44"/>
  <c r="U1024" i="44"/>
  <c r="R1024" i="44"/>
  <c r="O1024" i="44"/>
  <c r="L1024" i="44"/>
  <c r="I1024" i="44"/>
  <c r="F1024" i="44"/>
  <c r="C1024" i="44"/>
  <c r="X1023" i="44"/>
  <c r="U1023" i="44"/>
  <c r="R1023" i="44"/>
  <c r="O1023" i="44"/>
  <c r="L1023" i="44"/>
  <c r="I1023" i="44"/>
  <c r="F1023" i="44"/>
  <c r="C1023" i="44"/>
  <c r="X1022" i="44"/>
  <c r="U1022" i="44"/>
  <c r="R1022" i="44"/>
  <c r="O1022" i="44"/>
  <c r="L1022" i="44"/>
  <c r="I1022" i="44"/>
  <c r="F1022" i="44"/>
  <c r="C1022" i="44"/>
  <c r="X1021" i="44"/>
  <c r="U1021" i="44"/>
  <c r="R1021" i="44"/>
  <c r="O1021" i="44"/>
  <c r="L1021" i="44"/>
  <c r="I1021" i="44"/>
  <c r="F1021" i="44"/>
  <c r="C1021" i="44"/>
  <c r="X1020" i="44"/>
  <c r="U1020" i="44"/>
  <c r="R1020" i="44"/>
  <c r="O1020" i="44"/>
  <c r="L1020" i="44"/>
  <c r="I1020" i="44"/>
  <c r="F1020" i="44"/>
  <c r="C1020" i="44"/>
  <c r="X1019" i="44"/>
  <c r="U1019" i="44"/>
  <c r="R1019" i="44"/>
  <c r="O1019" i="44"/>
  <c r="L1019" i="44"/>
  <c r="I1019" i="44"/>
  <c r="F1019" i="44"/>
  <c r="C1019" i="44"/>
  <c r="X1018" i="44"/>
  <c r="U1018" i="44"/>
  <c r="R1018" i="44"/>
  <c r="O1018" i="44"/>
  <c r="L1018" i="44"/>
  <c r="I1018" i="44"/>
  <c r="F1018" i="44"/>
  <c r="C1018" i="44"/>
  <c r="X1017" i="44"/>
  <c r="U1017" i="44"/>
  <c r="R1017" i="44"/>
  <c r="O1017" i="44"/>
  <c r="L1017" i="44"/>
  <c r="I1017" i="44"/>
  <c r="F1017" i="44"/>
  <c r="C1017" i="44"/>
  <c r="X1016" i="44"/>
  <c r="U1016" i="44"/>
  <c r="R1016" i="44"/>
  <c r="O1016" i="44"/>
  <c r="L1016" i="44"/>
  <c r="I1016" i="44"/>
  <c r="F1016" i="44"/>
  <c r="C1016" i="44"/>
  <c r="X1015" i="44"/>
  <c r="U1015" i="44"/>
  <c r="R1015" i="44"/>
  <c r="O1015" i="44"/>
  <c r="L1015" i="44"/>
  <c r="I1015" i="44"/>
  <c r="F1015" i="44"/>
  <c r="C1015" i="44"/>
  <c r="X1014" i="44"/>
  <c r="U1014" i="44"/>
  <c r="R1014" i="44"/>
  <c r="O1014" i="44"/>
  <c r="L1014" i="44"/>
  <c r="I1014" i="44"/>
  <c r="F1014" i="44"/>
  <c r="C1014" i="44"/>
  <c r="X1013" i="44"/>
  <c r="U1013" i="44"/>
  <c r="R1013" i="44"/>
  <c r="O1013" i="44"/>
  <c r="L1013" i="44"/>
  <c r="I1013" i="44"/>
  <c r="F1013" i="44"/>
  <c r="C1013" i="44"/>
  <c r="X1012" i="44"/>
  <c r="U1012" i="44"/>
  <c r="R1012" i="44"/>
  <c r="O1012" i="44"/>
  <c r="L1012" i="44"/>
  <c r="I1012" i="44"/>
  <c r="F1012" i="44"/>
  <c r="C1012" i="44"/>
  <c r="X1011" i="44"/>
  <c r="U1011" i="44"/>
  <c r="R1011" i="44"/>
  <c r="O1011" i="44"/>
  <c r="L1011" i="44"/>
  <c r="I1011" i="44"/>
  <c r="F1011" i="44"/>
  <c r="C1011" i="44"/>
  <c r="X1010" i="44"/>
  <c r="U1010" i="44"/>
  <c r="R1010" i="44"/>
  <c r="O1010" i="44"/>
  <c r="L1010" i="44"/>
  <c r="I1010" i="44"/>
  <c r="F1010" i="44"/>
  <c r="C1010" i="44"/>
  <c r="X1009" i="44"/>
  <c r="U1009" i="44"/>
  <c r="R1009" i="44"/>
  <c r="O1009" i="44"/>
  <c r="L1009" i="44"/>
  <c r="I1009" i="44"/>
  <c r="F1009" i="44"/>
  <c r="C1009" i="44"/>
  <c r="X1008" i="44"/>
  <c r="U1008" i="44"/>
  <c r="R1008" i="44"/>
  <c r="O1008" i="44"/>
  <c r="L1008" i="44"/>
  <c r="I1008" i="44"/>
  <c r="F1008" i="44"/>
  <c r="C1008" i="44"/>
  <c r="X1007" i="44"/>
  <c r="U1007" i="44"/>
  <c r="R1007" i="44"/>
  <c r="O1007" i="44"/>
  <c r="L1007" i="44"/>
  <c r="I1007" i="44"/>
  <c r="F1007" i="44"/>
  <c r="C1007" i="44"/>
  <c r="X1006" i="44"/>
  <c r="U1006" i="44"/>
  <c r="R1006" i="44"/>
  <c r="O1006" i="44"/>
  <c r="L1006" i="44"/>
  <c r="I1006" i="44"/>
  <c r="F1006" i="44"/>
  <c r="C1006" i="44"/>
  <c r="X1005" i="44"/>
  <c r="U1005" i="44"/>
  <c r="R1005" i="44"/>
  <c r="O1005" i="44"/>
  <c r="L1005" i="44"/>
  <c r="I1005" i="44"/>
  <c r="F1005" i="44"/>
  <c r="C1005" i="44"/>
  <c r="X1004" i="44"/>
  <c r="U1004" i="44"/>
  <c r="R1004" i="44"/>
  <c r="O1004" i="44"/>
  <c r="L1004" i="44"/>
  <c r="I1004" i="44"/>
  <c r="F1004" i="44"/>
  <c r="C1004" i="44"/>
  <c r="X1003" i="44"/>
  <c r="U1003" i="44"/>
  <c r="R1003" i="44"/>
  <c r="O1003" i="44"/>
  <c r="L1003" i="44"/>
  <c r="I1003" i="44"/>
  <c r="F1003" i="44"/>
  <c r="C1003" i="44"/>
  <c r="X1002" i="44"/>
  <c r="U1002" i="44"/>
  <c r="R1002" i="44"/>
  <c r="O1002" i="44"/>
  <c r="L1002" i="44"/>
  <c r="I1002" i="44"/>
  <c r="F1002" i="44"/>
  <c r="C1002" i="44"/>
  <c r="X1001" i="44"/>
  <c r="U1001" i="44"/>
  <c r="R1001" i="44"/>
  <c r="O1001" i="44"/>
  <c r="L1001" i="44"/>
  <c r="I1001" i="44"/>
  <c r="F1001" i="44"/>
  <c r="C1001" i="44"/>
  <c r="X996" i="44"/>
  <c r="U996" i="44"/>
  <c r="R996" i="44"/>
  <c r="O996" i="44"/>
  <c r="L996" i="44"/>
  <c r="I996" i="44"/>
  <c r="F996" i="44"/>
  <c r="C996" i="44"/>
  <c r="X994" i="44"/>
  <c r="X993" i="44"/>
  <c r="X992" i="44"/>
  <c r="U992" i="44"/>
  <c r="R992" i="44"/>
  <c r="O992" i="44"/>
  <c r="L992" i="44"/>
  <c r="I992" i="44"/>
  <c r="F992" i="44"/>
  <c r="C992" i="44"/>
  <c r="X991" i="44"/>
  <c r="U991" i="44"/>
  <c r="R991" i="44"/>
  <c r="O991" i="44"/>
  <c r="L991" i="44"/>
  <c r="I991" i="44"/>
  <c r="F991" i="44"/>
  <c r="C991" i="44"/>
  <c r="X990" i="44"/>
  <c r="X987" i="44"/>
  <c r="U987" i="44"/>
  <c r="R987" i="44"/>
  <c r="O987" i="44"/>
  <c r="L987" i="44"/>
  <c r="I987" i="44"/>
  <c r="F987" i="44"/>
  <c r="C987" i="44"/>
  <c r="X986" i="44"/>
  <c r="U986" i="44"/>
  <c r="R986" i="44"/>
  <c r="O986" i="44"/>
  <c r="L986" i="44"/>
  <c r="I986" i="44"/>
  <c r="F986" i="44"/>
  <c r="C986" i="44"/>
  <c r="X985" i="44"/>
  <c r="U985" i="44"/>
  <c r="R985" i="44"/>
  <c r="O985" i="44"/>
  <c r="L985" i="44"/>
  <c r="I985" i="44"/>
  <c r="F985" i="44"/>
  <c r="C985" i="44"/>
  <c r="X984" i="44"/>
  <c r="U984" i="44"/>
  <c r="R984" i="44"/>
  <c r="O984" i="44"/>
  <c r="L984" i="44"/>
  <c r="I984" i="44"/>
  <c r="F984" i="44"/>
  <c r="C984" i="44"/>
  <c r="X983" i="44"/>
  <c r="U983" i="44"/>
  <c r="R983" i="44"/>
  <c r="O983" i="44"/>
  <c r="L983" i="44"/>
  <c r="I983" i="44"/>
  <c r="F983" i="44"/>
  <c r="C983" i="44"/>
  <c r="X982" i="44"/>
  <c r="U982" i="44"/>
  <c r="R982" i="44"/>
  <c r="O982" i="44"/>
  <c r="L982" i="44"/>
  <c r="I982" i="44"/>
  <c r="F982" i="44"/>
  <c r="C982" i="44"/>
  <c r="X981" i="44"/>
  <c r="X980" i="44"/>
  <c r="X979" i="44"/>
  <c r="X978" i="44"/>
  <c r="X977" i="44"/>
  <c r="X976" i="44"/>
  <c r="U976" i="44"/>
  <c r="R976" i="44"/>
  <c r="O976" i="44"/>
  <c r="L976" i="44"/>
  <c r="I976" i="44"/>
  <c r="F976" i="44"/>
  <c r="C976" i="44"/>
  <c r="X975" i="44"/>
  <c r="U975" i="44"/>
  <c r="R975" i="44"/>
  <c r="O975" i="44"/>
  <c r="L975" i="44"/>
  <c r="I975" i="44"/>
  <c r="F975" i="44"/>
  <c r="C975" i="44"/>
  <c r="X974" i="44"/>
  <c r="U974" i="44"/>
  <c r="R974" i="44"/>
  <c r="O974" i="44"/>
  <c r="L974" i="44"/>
  <c r="I974" i="44"/>
  <c r="F974" i="44"/>
  <c r="C974" i="44"/>
  <c r="X973" i="44"/>
  <c r="U973" i="44"/>
  <c r="R973" i="44"/>
  <c r="O973" i="44"/>
  <c r="L973" i="44"/>
  <c r="I973" i="44"/>
  <c r="F973" i="44"/>
  <c r="C973" i="44"/>
  <c r="X972" i="44"/>
  <c r="U972" i="44"/>
  <c r="R972" i="44"/>
  <c r="O972" i="44"/>
  <c r="L972" i="44"/>
  <c r="I972" i="44"/>
  <c r="F972" i="44"/>
  <c r="C972" i="44"/>
  <c r="X971" i="44"/>
  <c r="U971" i="44"/>
  <c r="R971" i="44"/>
  <c r="O971" i="44"/>
  <c r="L971" i="44"/>
  <c r="I971" i="44"/>
  <c r="F971" i="44"/>
  <c r="C971" i="44"/>
  <c r="X970" i="44"/>
  <c r="U970" i="44"/>
  <c r="R970" i="44"/>
  <c r="O970" i="44"/>
  <c r="L970" i="44"/>
  <c r="I970" i="44"/>
  <c r="F970" i="44"/>
  <c r="C970" i="44"/>
  <c r="X969" i="44"/>
  <c r="U969" i="44"/>
  <c r="R969" i="44"/>
  <c r="O969" i="44"/>
  <c r="L969" i="44"/>
  <c r="I969" i="44"/>
  <c r="F969" i="44"/>
  <c r="C969" i="44"/>
  <c r="X968" i="44"/>
  <c r="X967" i="44"/>
  <c r="X966" i="44"/>
  <c r="X965" i="44"/>
  <c r="X964" i="44"/>
  <c r="X963" i="44"/>
  <c r="X962" i="44"/>
  <c r="X960" i="44"/>
  <c r="U960" i="44"/>
  <c r="R960" i="44"/>
  <c r="O960" i="44"/>
  <c r="L960" i="44"/>
  <c r="I960" i="44"/>
  <c r="F960" i="44"/>
  <c r="C960" i="44"/>
  <c r="X959" i="44"/>
  <c r="X958" i="44"/>
  <c r="X957" i="44"/>
  <c r="X956" i="44"/>
  <c r="X950" i="44"/>
  <c r="X949" i="44"/>
  <c r="X948" i="44"/>
  <c r="X947" i="44"/>
  <c r="U947" i="44"/>
  <c r="R947" i="44"/>
  <c r="O947" i="44"/>
  <c r="L947" i="44"/>
  <c r="I947" i="44"/>
  <c r="F947" i="44"/>
  <c r="C947" i="44"/>
  <c r="X946" i="44"/>
  <c r="X944" i="44"/>
  <c r="X943" i="44"/>
  <c r="X942" i="44"/>
  <c r="X941" i="44"/>
  <c r="X940" i="44"/>
  <c r="X939" i="44"/>
  <c r="X938" i="44"/>
  <c r="X937" i="44"/>
  <c r="X936" i="44"/>
  <c r="X935" i="44"/>
  <c r="X934" i="44"/>
  <c r="X933" i="44"/>
  <c r="X932" i="44"/>
  <c r="X931" i="44"/>
  <c r="X930" i="44"/>
  <c r="X929" i="44"/>
  <c r="X928" i="44"/>
  <c r="U928" i="44"/>
  <c r="R928" i="44"/>
  <c r="O928" i="44"/>
  <c r="L928" i="44"/>
  <c r="I928" i="44"/>
  <c r="F928" i="44"/>
  <c r="C928" i="44"/>
  <c r="X922" i="44"/>
  <c r="X921" i="44"/>
  <c r="X920" i="44"/>
  <c r="X919" i="44"/>
  <c r="X918" i="44"/>
  <c r="X917" i="44"/>
  <c r="X916" i="44"/>
  <c r="U916" i="44"/>
  <c r="R916" i="44"/>
  <c r="O916" i="44"/>
  <c r="L916" i="44"/>
  <c r="I916" i="44"/>
  <c r="F916" i="44"/>
  <c r="C916" i="44"/>
  <c r="X915" i="44"/>
  <c r="U915" i="44"/>
  <c r="R915" i="44"/>
  <c r="O915" i="44"/>
  <c r="L915" i="44"/>
  <c r="I915" i="44"/>
  <c r="F915" i="44"/>
  <c r="C915" i="44"/>
  <c r="X914" i="44"/>
  <c r="U914" i="44"/>
  <c r="R914" i="44"/>
  <c r="O914" i="44"/>
  <c r="L914" i="44"/>
  <c r="I914" i="44"/>
  <c r="F914" i="44"/>
  <c r="C914" i="44"/>
  <c r="X913" i="44"/>
  <c r="U913" i="44"/>
  <c r="R913" i="44"/>
  <c r="O913" i="44"/>
  <c r="L913" i="44"/>
  <c r="I913" i="44"/>
  <c r="F913" i="44"/>
  <c r="C913" i="44"/>
  <c r="X912" i="44"/>
  <c r="U912" i="44"/>
  <c r="R912" i="44"/>
  <c r="O912" i="44"/>
  <c r="L912" i="44"/>
  <c r="I912" i="44"/>
  <c r="F912" i="44"/>
  <c r="C912" i="44"/>
  <c r="X911" i="44"/>
  <c r="U911" i="44"/>
  <c r="R911" i="44"/>
  <c r="O911" i="44"/>
  <c r="L911" i="44"/>
  <c r="I911" i="44"/>
  <c r="F911" i="44"/>
  <c r="C911" i="44"/>
  <c r="X910" i="44"/>
  <c r="U910" i="44"/>
  <c r="R910" i="44"/>
  <c r="O910" i="44"/>
  <c r="L910" i="44"/>
  <c r="I910" i="44"/>
  <c r="F910" i="44"/>
  <c r="C910" i="44"/>
  <c r="X909" i="44"/>
  <c r="U909" i="44"/>
  <c r="R909" i="44"/>
  <c r="O909" i="44"/>
  <c r="L909" i="44"/>
  <c r="I909" i="44"/>
  <c r="F909" i="44"/>
  <c r="C909" i="44"/>
  <c r="X908" i="44"/>
  <c r="U908" i="44"/>
  <c r="R908" i="44"/>
  <c r="O908" i="44"/>
  <c r="L908" i="44"/>
  <c r="I908" i="44"/>
  <c r="F908" i="44"/>
  <c r="C908" i="44"/>
  <c r="X907" i="44"/>
  <c r="U907" i="44"/>
  <c r="R907" i="44"/>
  <c r="O907" i="44"/>
  <c r="L907" i="44"/>
  <c r="I907" i="44"/>
  <c r="F907" i="44"/>
  <c r="C907" i="44"/>
  <c r="X906" i="44"/>
  <c r="U906" i="44"/>
  <c r="R906" i="44"/>
  <c r="O906" i="44"/>
  <c r="L906" i="44"/>
  <c r="I906" i="44"/>
  <c r="F906" i="44"/>
  <c r="C906" i="44"/>
  <c r="X905" i="44"/>
  <c r="U905" i="44"/>
  <c r="R905" i="44"/>
  <c r="O905" i="44"/>
  <c r="L905" i="44"/>
  <c r="I905" i="44"/>
  <c r="F905" i="44"/>
  <c r="C905" i="44"/>
  <c r="X904" i="44"/>
  <c r="U904" i="44"/>
  <c r="R904" i="44"/>
  <c r="O904" i="44"/>
  <c r="L904" i="44"/>
  <c r="I904" i="44"/>
  <c r="F904" i="44"/>
  <c r="C904" i="44"/>
  <c r="X903" i="44"/>
  <c r="U903" i="44"/>
  <c r="R903" i="44"/>
  <c r="O903" i="44"/>
  <c r="L903" i="44"/>
  <c r="I903" i="44"/>
  <c r="F903" i="44"/>
  <c r="C903" i="44"/>
  <c r="X902" i="44"/>
  <c r="U902" i="44"/>
  <c r="R902" i="44"/>
  <c r="O902" i="44"/>
  <c r="L902" i="44"/>
  <c r="I902" i="44"/>
  <c r="F902" i="44"/>
  <c r="C902" i="44"/>
  <c r="X901" i="44"/>
  <c r="U901" i="44"/>
  <c r="R901" i="44"/>
  <c r="O901" i="44"/>
  <c r="L901" i="44"/>
  <c r="I901" i="44"/>
  <c r="F901" i="44"/>
  <c r="C901" i="44"/>
  <c r="X900" i="44"/>
  <c r="U900" i="44"/>
  <c r="R900" i="44"/>
  <c r="O900" i="44"/>
  <c r="L900" i="44"/>
  <c r="I900" i="44"/>
  <c r="F900" i="44"/>
  <c r="C900" i="44"/>
  <c r="X899" i="44"/>
  <c r="U899" i="44"/>
  <c r="R899" i="44"/>
  <c r="O899" i="44"/>
  <c r="L899" i="44"/>
  <c r="I899" i="44"/>
  <c r="F899" i="44"/>
  <c r="C899" i="44"/>
  <c r="X898" i="44"/>
  <c r="U898" i="44"/>
  <c r="R898" i="44"/>
  <c r="O898" i="44"/>
  <c r="L898" i="44"/>
  <c r="I898" i="44"/>
  <c r="F898" i="44"/>
  <c r="C898" i="44"/>
  <c r="X897" i="44"/>
  <c r="U897" i="44"/>
  <c r="R897" i="44"/>
  <c r="O897" i="44"/>
  <c r="L897" i="44"/>
  <c r="I897" i="44"/>
  <c r="F897" i="44"/>
  <c r="C897" i="44"/>
  <c r="X896" i="44"/>
  <c r="X895" i="44"/>
  <c r="U895" i="44"/>
  <c r="R895" i="44"/>
  <c r="O895" i="44"/>
  <c r="L895" i="44"/>
  <c r="I895" i="44"/>
  <c r="F895" i="44"/>
  <c r="C895" i="44"/>
  <c r="X894" i="44"/>
  <c r="U894" i="44"/>
  <c r="R894" i="44"/>
  <c r="O894" i="44"/>
  <c r="L894" i="44"/>
  <c r="I894" i="44"/>
  <c r="F894" i="44"/>
  <c r="C894" i="44"/>
  <c r="X891" i="44"/>
  <c r="U891" i="44"/>
  <c r="R891" i="44"/>
  <c r="O891" i="44"/>
  <c r="L891" i="44"/>
  <c r="I891" i="44"/>
  <c r="F891" i="44"/>
  <c r="C891" i="44"/>
  <c r="X890" i="44"/>
  <c r="X887" i="44"/>
  <c r="U887" i="44"/>
  <c r="R887" i="44"/>
  <c r="O887" i="44"/>
  <c r="L887" i="44"/>
  <c r="I887" i="44"/>
  <c r="F887" i="44"/>
  <c r="C887" i="44"/>
  <c r="X886" i="44"/>
  <c r="U886" i="44"/>
  <c r="R886" i="44"/>
  <c r="O886" i="44"/>
  <c r="L886" i="44"/>
  <c r="I886" i="44"/>
  <c r="F886" i="44"/>
  <c r="C886" i="44"/>
  <c r="X885" i="44"/>
  <c r="U885" i="44"/>
  <c r="R885" i="44"/>
  <c r="O885" i="44"/>
  <c r="L885" i="44"/>
  <c r="I885" i="44"/>
  <c r="F885" i="44"/>
  <c r="C885" i="44"/>
  <c r="X884" i="44"/>
  <c r="U884" i="44"/>
  <c r="R884" i="44"/>
  <c r="O884" i="44"/>
  <c r="L884" i="44"/>
  <c r="I884" i="44"/>
  <c r="F884" i="44"/>
  <c r="C884" i="44"/>
  <c r="X872" i="44"/>
  <c r="X870" i="44"/>
  <c r="X869" i="44"/>
  <c r="X867" i="44"/>
  <c r="X865" i="44"/>
  <c r="U865" i="44"/>
  <c r="R865" i="44"/>
  <c r="O865" i="44"/>
  <c r="L865" i="44"/>
  <c r="I865" i="44"/>
  <c r="F865" i="44"/>
  <c r="C865" i="44"/>
  <c r="X864" i="44"/>
  <c r="U864" i="44"/>
  <c r="R864" i="44"/>
  <c r="O864" i="44"/>
  <c r="L864" i="44"/>
  <c r="I864" i="44"/>
  <c r="F864" i="44"/>
  <c r="C864" i="44"/>
  <c r="X863" i="44"/>
  <c r="U863" i="44"/>
  <c r="R863" i="44"/>
  <c r="O863" i="44"/>
  <c r="L863" i="44"/>
  <c r="I863" i="44"/>
  <c r="F863" i="44"/>
  <c r="C863" i="44"/>
  <c r="X862" i="44"/>
  <c r="U862" i="44"/>
  <c r="R862" i="44"/>
  <c r="O862" i="44"/>
  <c r="L862" i="44"/>
  <c r="I862" i="44"/>
  <c r="F862" i="44"/>
  <c r="C862" i="44"/>
  <c r="X861" i="44"/>
  <c r="U861" i="44"/>
  <c r="R861" i="44"/>
  <c r="O861" i="44"/>
  <c r="L861" i="44"/>
  <c r="I861" i="44"/>
  <c r="F861" i="44"/>
  <c r="C861" i="44"/>
  <c r="X860" i="44"/>
  <c r="U860" i="44"/>
  <c r="R860" i="44"/>
  <c r="O860" i="44"/>
  <c r="L860" i="44"/>
  <c r="I860" i="44"/>
  <c r="F860" i="44"/>
  <c r="C860" i="44"/>
  <c r="U859" i="44"/>
  <c r="R859" i="44"/>
  <c r="O859" i="44"/>
  <c r="L859" i="44"/>
  <c r="I859" i="44"/>
  <c r="F859" i="44"/>
  <c r="C859" i="44"/>
  <c r="X858" i="44"/>
  <c r="U858" i="44"/>
  <c r="R858" i="44"/>
  <c r="O858" i="44"/>
  <c r="L858" i="44"/>
  <c r="I858" i="44"/>
  <c r="F858" i="44"/>
  <c r="C858" i="44"/>
  <c r="X857" i="44"/>
  <c r="U857" i="44"/>
  <c r="R857" i="44"/>
  <c r="O857" i="44"/>
  <c r="L857" i="44"/>
  <c r="I857" i="44"/>
  <c r="F857" i="44"/>
  <c r="C857" i="44"/>
  <c r="X856" i="44"/>
  <c r="U856" i="44"/>
  <c r="R856" i="44"/>
  <c r="O856" i="44"/>
  <c r="L856" i="44"/>
  <c r="I856" i="44"/>
  <c r="F856" i="44"/>
  <c r="C856" i="44"/>
  <c r="X855" i="44"/>
  <c r="U855" i="44"/>
  <c r="R855" i="44"/>
  <c r="O855" i="44"/>
  <c r="L855" i="44"/>
  <c r="I855" i="44"/>
  <c r="F855" i="44"/>
  <c r="C855" i="44"/>
  <c r="X854" i="44"/>
  <c r="U854" i="44"/>
  <c r="R854" i="44"/>
  <c r="O854" i="44"/>
  <c r="L854" i="44"/>
  <c r="I854" i="44"/>
  <c r="F854" i="44"/>
  <c r="C854" i="44"/>
  <c r="X853" i="44"/>
  <c r="U853" i="44"/>
  <c r="R853" i="44"/>
  <c r="O853" i="44"/>
  <c r="L853" i="44"/>
  <c r="I853" i="44"/>
  <c r="F853" i="44"/>
  <c r="C853" i="44"/>
  <c r="X852" i="44"/>
  <c r="U852" i="44"/>
  <c r="R852" i="44"/>
  <c r="O852" i="44"/>
  <c r="L852" i="44"/>
  <c r="I852" i="44"/>
  <c r="F852" i="44"/>
  <c r="C852" i="44"/>
  <c r="X851" i="44"/>
  <c r="U851" i="44"/>
  <c r="R851" i="44"/>
  <c r="O851" i="44"/>
  <c r="L851" i="44"/>
  <c r="I851" i="44"/>
  <c r="F851" i="44"/>
  <c r="C851" i="44"/>
  <c r="X850" i="44"/>
  <c r="U850" i="44"/>
  <c r="R850" i="44"/>
  <c r="O850" i="44"/>
  <c r="L850" i="44"/>
  <c r="I850" i="44"/>
  <c r="F850" i="44"/>
  <c r="C850" i="44"/>
  <c r="X849" i="44"/>
  <c r="U849" i="44"/>
  <c r="R849" i="44"/>
  <c r="O849" i="44"/>
  <c r="L849" i="44"/>
  <c r="I849" i="44"/>
  <c r="F849" i="44"/>
  <c r="C849" i="44"/>
  <c r="X848" i="44"/>
  <c r="U848" i="44"/>
  <c r="R848" i="44"/>
  <c r="O848" i="44"/>
  <c r="L848" i="44"/>
  <c r="I848" i="44"/>
  <c r="F848" i="44"/>
  <c r="C848" i="44"/>
  <c r="X847" i="44"/>
  <c r="U847" i="44"/>
  <c r="R847" i="44"/>
  <c r="O847" i="44"/>
  <c r="L847" i="44"/>
  <c r="I847" i="44"/>
  <c r="F847" i="44"/>
  <c r="C847" i="44"/>
  <c r="X846" i="44"/>
  <c r="U846" i="44"/>
  <c r="R846" i="44"/>
  <c r="O846" i="44"/>
  <c r="L846" i="44"/>
  <c r="I846" i="44"/>
  <c r="F846" i="44"/>
  <c r="C846" i="44"/>
  <c r="X845" i="44"/>
  <c r="U845" i="44"/>
  <c r="R845" i="44"/>
  <c r="O845" i="44"/>
  <c r="L845" i="44"/>
  <c r="I845" i="44"/>
  <c r="F845" i="44"/>
  <c r="C845" i="44"/>
  <c r="X844" i="44"/>
  <c r="U844" i="44"/>
  <c r="R844" i="44"/>
  <c r="O844" i="44"/>
  <c r="L844" i="44"/>
  <c r="I844" i="44"/>
  <c r="F844" i="44"/>
  <c r="C844" i="44"/>
  <c r="X843" i="44"/>
  <c r="U843" i="44"/>
  <c r="R843" i="44"/>
  <c r="O843" i="44"/>
  <c r="L843" i="44"/>
  <c r="I843" i="44"/>
  <c r="F843" i="44"/>
  <c r="C843" i="44"/>
  <c r="X842" i="44"/>
  <c r="U842" i="44"/>
  <c r="R842" i="44"/>
  <c r="O842" i="44"/>
  <c r="L842" i="44"/>
  <c r="I842" i="44"/>
  <c r="F842" i="44"/>
  <c r="C842" i="44"/>
  <c r="X841" i="44"/>
  <c r="U841" i="44"/>
  <c r="R841" i="44"/>
  <c r="O841" i="44"/>
  <c r="L841" i="44"/>
  <c r="I841" i="44"/>
  <c r="F841" i="44"/>
  <c r="C841" i="44"/>
  <c r="X840" i="44"/>
  <c r="U840" i="44"/>
  <c r="R840" i="44"/>
  <c r="O840" i="44"/>
  <c r="L840" i="44"/>
  <c r="I840" i="44"/>
  <c r="F840" i="44"/>
  <c r="C840" i="44"/>
  <c r="X839" i="44"/>
  <c r="U839" i="44"/>
  <c r="R839" i="44"/>
  <c r="O839" i="44"/>
  <c r="L839" i="44"/>
  <c r="I839" i="44"/>
  <c r="F839" i="44"/>
  <c r="C839" i="44"/>
  <c r="X838" i="44"/>
  <c r="U838" i="44"/>
  <c r="R838" i="44"/>
  <c r="O838" i="44"/>
  <c r="L838" i="44"/>
  <c r="I838" i="44"/>
  <c r="F838" i="44"/>
  <c r="C838" i="44"/>
  <c r="X837" i="44"/>
  <c r="U837" i="44"/>
  <c r="R837" i="44"/>
  <c r="O837" i="44"/>
  <c r="L837" i="44"/>
  <c r="I837" i="44"/>
  <c r="F837" i="44"/>
  <c r="C837" i="44"/>
  <c r="X836" i="44"/>
  <c r="U836" i="44"/>
  <c r="R836" i="44"/>
  <c r="O836" i="44"/>
  <c r="L836" i="44"/>
  <c r="I836" i="44"/>
  <c r="F836" i="44"/>
  <c r="C836" i="44"/>
  <c r="X835" i="44"/>
  <c r="U835" i="44"/>
  <c r="R835" i="44"/>
  <c r="O835" i="44"/>
  <c r="L835" i="44"/>
  <c r="I835" i="44"/>
  <c r="F835" i="44"/>
  <c r="C835" i="44"/>
  <c r="X833" i="44"/>
  <c r="X832" i="44"/>
  <c r="X831" i="44"/>
  <c r="U831" i="44"/>
  <c r="R831" i="44"/>
  <c r="O831" i="44"/>
  <c r="L831" i="44"/>
  <c r="I831" i="44"/>
  <c r="F831" i="44"/>
  <c r="C831" i="44"/>
  <c r="X830" i="44"/>
  <c r="U830" i="44"/>
  <c r="R830" i="44"/>
  <c r="O830" i="44"/>
  <c r="L830" i="44"/>
  <c r="I830" i="44"/>
  <c r="F830" i="44"/>
  <c r="C830" i="44"/>
  <c r="X829" i="44"/>
  <c r="U829" i="44"/>
  <c r="R829" i="44"/>
  <c r="O829" i="44"/>
  <c r="L829" i="44"/>
  <c r="I829" i="44"/>
  <c r="F829" i="44"/>
  <c r="C829" i="44"/>
  <c r="X828" i="44"/>
  <c r="U828" i="44"/>
  <c r="R828" i="44"/>
  <c r="O828" i="44"/>
  <c r="L828" i="44"/>
  <c r="I828" i="44"/>
  <c r="F828" i="44"/>
  <c r="C828" i="44"/>
  <c r="X827" i="44"/>
  <c r="U827" i="44"/>
  <c r="R827" i="44"/>
  <c r="O827" i="44"/>
  <c r="L827" i="44"/>
  <c r="I827" i="44"/>
  <c r="F827" i="44"/>
  <c r="C827" i="44"/>
  <c r="X826" i="44"/>
  <c r="U826" i="44"/>
  <c r="R826" i="44"/>
  <c r="O826" i="44"/>
  <c r="L826" i="44"/>
  <c r="I826" i="44"/>
  <c r="F826" i="44"/>
  <c r="C826" i="44"/>
  <c r="X825" i="44"/>
  <c r="U825" i="44"/>
  <c r="R825" i="44"/>
  <c r="O825" i="44"/>
  <c r="L825" i="44"/>
  <c r="I825" i="44"/>
  <c r="F825" i="44"/>
  <c r="C825" i="44"/>
  <c r="X824" i="44"/>
  <c r="U824" i="44"/>
  <c r="R824" i="44"/>
  <c r="O824" i="44"/>
  <c r="L824" i="44"/>
  <c r="I824" i="44"/>
  <c r="F824" i="44"/>
  <c r="C824" i="44"/>
  <c r="X823" i="44"/>
  <c r="U823" i="44"/>
  <c r="R823" i="44"/>
  <c r="O823" i="44"/>
  <c r="L823" i="44"/>
  <c r="I823" i="44"/>
  <c r="F823" i="44"/>
  <c r="C823" i="44"/>
  <c r="X822" i="44"/>
  <c r="U822" i="44"/>
  <c r="R822" i="44"/>
  <c r="O822" i="44"/>
  <c r="L822" i="44"/>
  <c r="I822" i="44"/>
  <c r="F822" i="44"/>
  <c r="C822" i="44"/>
  <c r="X821" i="44"/>
  <c r="U821" i="44"/>
  <c r="R821" i="44"/>
  <c r="O821" i="44"/>
  <c r="L821" i="44"/>
  <c r="I821" i="44"/>
  <c r="F821" i="44"/>
  <c r="C821" i="44"/>
  <c r="X816" i="44"/>
  <c r="X815" i="44"/>
  <c r="U815" i="44"/>
  <c r="R815" i="44"/>
  <c r="O815" i="44"/>
  <c r="L815" i="44"/>
  <c r="I815" i="44"/>
  <c r="F815" i="44"/>
  <c r="C815" i="44"/>
  <c r="X814" i="44"/>
  <c r="U814" i="44"/>
  <c r="R814" i="44"/>
  <c r="O814" i="44"/>
  <c r="L814" i="44"/>
  <c r="I814" i="44"/>
  <c r="F814" i="44"/>
  <c r="C814" i="44"/>
  <c r="X813" i="44"/>
  <c r="U813" i="44"/>
  <c r="R813" i="44"/>
  <c r="O813" i="44"/>
  <c r="L813" i="44"/>
  <c r="I813" i="44"/>
  <c r="F813" i="44"/>
  <c r="C813" i="44"/>
  <c r="X812" i="44"/>
  <c r="U812" i="44"/>
  <c r="R812" i="44"/>
  <c r="O812" i="44"/>
  <c r="L812" i="44"/>
  <c r="I812" i="44"/>
  <c r="F812" i="44"/>
  <c r="C812" i="44"/>
  <c r="X811" i="44"/>
  <c r="U811" i="44"/>
  <c r="R811" i="44"/>
  <c r="O811" i="44"/>
  <c r="L811" i="44"/>
  <c r="I811" i="44"/>
  <c r="F811" i="44"/>
  <c r="C811" i="44"/>
  <c r="X810" i="44"/>
  <c r="U810" i="44"/>
  <c r="R810" i="44"/>
  <c r="O810" i="44"/>
  <c r="L810" i="44"/>
  <c r="I810" i="44"/>
  <c r="F810" i="44"/>
  <c r="C810" i="44"/>
  <c r="X809" i="44"/>
  <c r="U809" i="44"/>
  <c r="R809" i="44"/>
  <c r="O809" i="44"/>
  <c r="L809" i="44"/>
  <c r="I809" i="44"/>
  <c r="F809" i="44"/>
  <c r="C809" i="44"/>
  <c r="X808" i="44"/>
  <c r="U808" i="44"/>
  <c r="R808" i="44"/>
  <c r="O808" i="44"/>
  <c r="L808" i="44"/>
  <c r="I808" i="44"/>
  <c r="F808" i="44"/>
  <c r="C808" i="44"/>
  <c r="X807" i="44"/>
  <c r="U807" i="44"/>
  <c r="R807" i="44"/>
  <c r="O807" i="44"/>
  <c r="L807" i="44"/>
  <c r="I807" i="44"/>
  <c r="F807" i="44"/>
  <c r="C807" i="44"/>
  <c r="X806" i="44"/>
  <c r="U806" i="44"/>
  <c r="R806" i="44"/>
  <c r="O806" i="44"/>
  <c r="L806" i="44"/>
  <c r="I806" i="44"/>
  <c r="F806" i="44"/>
  <c r="C806" i="44"/>
  <c r="X805" i="44"/>
  <c r="U805" i="44"/>
  <c r="R805" i="44"/>
  <c r="O805" i="44"/>
  <c r="L805" i="44"/>
  <c r="I805" i="44"/>
  <c r="F805" i="44"/>
  <c r="C805" i="44"/>
  <c r="X804" i="44"/>
  <c r="U804" i="44"/>
  <c r="R804" i="44"/>
  <c r="O804" i="44"/>
  <c r="L804" i="44"/>
  <c r="I804" i="44"/>
  <c r="F804" i="44"/>
  <c r="C804" i="44"/>
  <c r="X803" i="44"/>
  <c r="U803" i="44"/>
  <c r="R803" i="44"/>
  <c r="O803" i="44"/>
  <c r="L803" i="44"/>
  <c r="I803" i="44"/>
  <c r="F803" i="44"/>
  <c r="C803" i="44"/>
  <c r="AI802" i="44"/>
  <c r="AI774" i="44" s="1"/>
  <c r="X802" i="44"/>
  <c r="U802" i="44"/>
  <c r="R802" i="44"/>
  <c r="O802" i="44"/>
  <c r="L802" i="44"/>
  <c r="I802" i="44"/>
  <c r="F802" i="44"/>
  <c r="C802" i="44"/>
  <c r="X800" i="44"/>
  <c r="U800" i="44"/>
  <c r="R800" i="44"/>
  <c r="O800" i="44"/>
  <c r="L800" i="44"/>
  <c r="I800" i="44"/>
  <c r="F800" i="44"/>
  <c r="C800" i="44"/>
  <c r="X799" i="44"/>
  <c r="U799" i="44"/>
  <c r="R799" i="44"/>
  <c r="O799" i="44"/>
  <c r="L799" i="44"/>
  <c r="I799" i="44"/>
  <c r="F799" i="44"/>
  <c r="C799" i="44"/>
  <c r="X798" i="44"/>
  <c r="U798" i="44"/>
  <c r="R798" i="44"/>
  <c r="O798" i="44"/>
  <c r="L798" i="44"/>
  <c r="I798" i="44"/>
  <c r="F798" i="44"/>
  <c r="C798" i="44"/>
  <c r="X797" i="44"/>
  <c r="U797" i="44"/>
  <c r="R797" i="44"/>
  <c r="O797" i="44"/>
  <c r="L797" i="44"/>
  <c r="I797" i="44"/>
  <c r="F797" i="44"/>
  <c r="C797" i="44"/>
  <c r="X796" i="44"/>
  <c r="U796" i="44"/>
  <c r="R796" i="44"/>
  <c r="O796" i="44"/>
  <c r="L796" i="44"/>
  <c r="I796" i="44"/>
  <c r="F796" i="44"/>
  <c r="C796" i="44"/>
  <c r="X795" i="44"/>
  <c r="U795" i="44"/>
  <c r="R795" i="44"/>
  <c r="O795" i="44"/>
  <c r="L795" i="44"/>
  <c r="I795" i="44"/>
  <c r="F795" i="44"/>
  <c r="C795" i="44"/>
  <c r="X794" i="44"/>
  <c r="U794" i="44"/>
  <c r="R794" i="44"/>
  <c r="O794" i="44"/>
  <c r="L794" i="44"/>
  <c r="I794" i="44"/>
  <c r="F794" i="44"/>
  <c r="C794" i="44"/>
  <c r="X793" i="44"/>
  <c r="U793" i="44"/>
  <c r="R793" i="44"/>
  <c r="O793" i="44"/>
  <c r="L793" i="44"/>
  <c r="I793" i="44"/>
  <c r="F793" i="44"/>
  <c r="C793" i="44"/>
  <c r="X792" i="44"/>
  <c r="U792" i="44"/>
  <c r="R792" i="44"/>
  <c r="O792" i="44"/>
  <c r="L792" i="44"/>
  <c r="I792" i="44"/>
  <c r="F792" i="44"/>
  <c r="C792" i="44"/>
  <c r="X791" i="44"/>
  <c r="U791" i="44"/>
  <c r="R791" i="44"/>
  <c r="O791" i="44"/>
  <c r="L791" i="44"/>
  <c r="I791" i="44"/>
  <c r="F791" i="44"/>
  <c r="C791" i="44"/>
  <c r="X790" i="44"/>
  <c r="U790" i="44"/>
  <c r="R790" i="44"/>
  <c r="O790" i="44"/>
  <c r="L790" i="44"/>
  <c r="I790" i="44"/>
  <c r="F790" i="44"/>
  <c r="C790" i="44"/>
  <c r="X789" i="44"/>
  <c r="U789" i="44"/>
  <c r="R789" i="44"/>
  <c r="O789" i="44"/>
  <c r="L789" i="44"/>
  <c r="I789" i="44"/>
  <c r="F789" i="44"/>
  <c r="C789" i="44"/>
  <c r="X788" i="44"/>
  <c r="U788" i="44"/>
  <c r="R788" i="44"/>
  <c r="O788" i="44"/>
  <c r="L788" i="44"/>
  <c r="I788" i="44"/>
  <c r="F788" i="44"/>
  <c r="C788" i="44"/>
  <c r="X787" i="44"/>
  <c r="U787" i="44"/>
  <c r="R787" i="44"/>
  <c r="O787" i="44"/>
  <c r="L787" i="44"/>
  <c r="I787" i="44"/>
  <c r="F787" i="44"/>
  <c r="C787" i="44"/>
  <c r="X786" i="44"/>
  <c r="U786" i="44"/>
  <c r="R786" i="44"/>
  <c r="O786" i="44"/>
  <c r="L786" i="44"/>
  <c r="I786" i="44"/>
  <c r="F786" i="44"/>
  <c r="C786" i="44"/>
  <c r="X785" i="44"/>
  <c r="U785" i="44"/>
  <c r="R785" i="44"/>
  <c r="O785" i="44"/>
  <c r="L785" i="44"/>
  <c r="I785" i="44"/>
  <c r="F785" i="44"/>
  <c r="C785" i="44"/>
  <c r="X784" i="44"/>
  <c r="U784" i="44"/>
  <c r="R784" i="44"/>
  <c r="O784" i="44"/>
  <c r="L784" i="44"/>
  <c r="I784" i="44"/>
  <c r="F784" i="44"/>
  <c r="C784" i="44"/>
  <c r="X783" i="44"/>
  <c r="U783" i="44"/>
  <c r="R783" i="44"/>
  <c r="O783" i="44"/>
  <c r="L783" i="44"/>
  <c r="I783" i="44"/>
  <c r="F783" i="44"/>
  <c r="C783" i="44"/>
  <c r="X782" i="44"/>
  <c r="U782" i="44"/>
  <c r="R782" i="44"/>
  <c r="O782" i="44"/>
  <c r="L782" i="44"/>
  <c r="I782" i="44"/>
  <c r="F782" i="44"/>
  <c r="C782" i="44"/>
  <c r="X781" i="44"/>
  <c r="U781" i="44"/>
  <c r="R781" i="44"/>
  <c r="O781" i="44"/>
  <c r="L781" i="44"/>
  <c r="I781" i="44"/>
  <c r="F781" i="44"/>
  <c r="C781" i="44"/>
  <c r="X780" i="44"/>
  <c r="U780" i="44"/>
  <c r="R780" i="44"/>
  <c r="O780" i="44"/>
  <c r="L780" i="44"/>
  <c r="I780" i="44"/>
  <c r="F780" i="44"/>
  <c r="C780" i="44"/>
  <c r="X779" i="44"/>
  <c r="U779" i="44"/>
  <c r="R779" i="44"/>
  <c r="O779" i="44"/>
  <c r="L779" i="44"/>
  <c r="I779" i="44"/>
  <c r="F779" i="44"/>
  <c r="C779" i="44"/>
  <c r="X778" i="44"/>
  <c r="U778" i="44"/>
  <c r="R778" i="44"/>
  <c r="O778" i="44"/>
  <c r="L778" i="44"/>
  <c r="I778" i="44"/>
  <c r="F778" i="44"/>
  <c r="C778" i="44"/>
  <c r="X777" i="44"/>
  <c r="U777" i="44"/>
  <c r="R777" i="44"/>
  <c r="O777" i="44"/>
  <c r="L777" i="44"/>
  <c r="I777" i="44"/>
  <c r="F777" i="44"/>
  <c r="C777" i="44"/>
  <c r="X776" i="44"/>
  <c r="U776" i="44"/>
  <c r="R776" i="44"/>
  <c r="O776" i="44"/>
  <c r="L776" i="44"/>
  <c r="I776" i="44"/>
  <c r="F776" i="44"/>
  <c r="C776" i="44"/>
  <c r="X775" i="44"/>
  <c r="U775" i="44"/>
  <c r="R775" i="44"/>
  <c r="O775" i="44"/>
  <c r="L775" i="44"/>
  <c r="I775" i="44"/>
  <c r="F775" i="44"/>
  <c r="C775" i="44"/>
  <c r="X774" i="44"/>
  <c r="U774" i="44"/>
  <c r="R774" i="44"/>
  <c r="O774" i="44"/>
  <c r="L774" i="44"/>
  <c r="I774" i="44"/>
  <c r="F774" i="44"/>
  <c r="C774" i="44"/>
  <c r="X773" i="44"/>
  <c r="U773" i="44"/>
  <c r="R773" i="44"/>
  <c r="O773" i="44"/>
  <c r="L773" i="44"/>
  <c r="I773" i="44"/>
  <c r="F773" i="44"/>
  <c r="C773" i="44"/>
  <c r="X771" i="44"/>
  <c r="X770" i="44"/>
  <c r="U770" i="44"/>
  <c r="R770" i="44"/>
  <c r="O770" i="44"/>
  <c r="L770" i="44"/>
  <c r="I770" i="44"/>
  <c r="F770" i="44"/>
  <c r="C770" i="44"/>
  <c r="X769" i="44"/>
  <c r="U769" i="44"/>
  <c r="R769" i="44"/>
  <c r="O769" i="44"/>
  <c r="L769" i="44"/>
  <c r="I769" i="44"/>
  <c r="F769" i="44"/>
  <c r="C769" i="44"/>
  <c r="X768" i="44"/>
  <c r="U768" i="44"/>
  <c r="R768" i="44"/>
  <c r="O768" i="44"/>
  <c r="L768" i="44"/>
  <c r="I768" i="44"/>
  <c r="F768" i="44"/>
  <c r="C768" i="44"/>
  <c r="X767" i="44"/>
  <c r="U767" i="44"/>
  <c r="R767" i="44"/>
  <c r="O767" i="44"/>
  <c r="L767" i="44"/>
  <c r="I767" i="44"/>
  <c r="F767" i="44"/>
  <c r="C767" i="44"/>
  <c r="X766" i="44"/>
  <c r="U766" i="44"/>
  <c r="R766" i="44"/>
  <c r="O766" i="44"/>
  <c r="L766" i="44"/>
  <c r="I766" i="44"/>
  <c r="F766" i="44"/>
  <c r="C766" i="44"/>
  <c r="X765" i="44"/>
  <c r="U765" i="44"/>
  <c r="R765" i="44"/>
  <c r="O765" i="44"/>
  <c r="L765" i="44"/>
  <c r="I765" i="44"/>
  <c r="F765" i="44"/>
  <c r="C765" i="44"/>
  <c r="X764" i="44"/>
  <c r="U764" i="44"/>
  <c r="R764" i="44"/>
  <c r="O764" i="44"/>
  <c r="L764" i="44"/>
  <c r="I764" i="44"/>
  <c r="F764" i="44"/>
  <c r="C764" i="44"/>
  <c r="X763" i="44"/>
  <c r="U763" i="44"/>
  <c r="R763" i="44"/>
  <c r="O763" i="44"/>
  <c r="L763" i="44"/>
  <c r="I763" i="44"/>
  <c r="F763" i="44"/>
  <c r="C763" i="44"/>
  <c r="X762" i="44"/>
  <c r="U762" i="44"/>
  <c r="R762" i="44"/>
  <c r="O762" i="44"/>
  <c r="L762" i="44"/>
  <c r="I762" i="44"/>
  <c r="F762" i="44"/>
  <c r="C762" i="44"/>
  <c r="X761" i="44"/>
  <c r="U761" i="44"/>
  <c r="R761" i="44"/>
  <c r="O761" i="44"/>
  <c r="L761" i="44"/>
  <c r="I761" i="44"/>
  <c r="F761" i="44"/>
  <c r="C761" i="44"/>
  <c r="X758" i="44"/>
  <c r="U758" i="44"/>
  <c r="R758" i="44"/>
  <c r="O758" i="44"/>
  <c r="L758" i="44"/>
  <c r="I758" i="44"/>
  <c r="F758" i="44"/>
  <c r="C758" i="44"/>
  <c r="X757" i="44"/>
  <c r="U757" i="44"/>
  <c r="R757" i="44"/>
  <c r="O757" i="44"/>
  <c r="L757" i="44"/>
  <c r="I757" i="44"/>
  <c r="F757" i="44"/>
  <c r="C757" i="44"/>
  <c r="X756" i="44"/>
  <c r="U756" i="44"/>
  <c r="R756" i="44"/>
  <c r="O756" i="44"/>
  <c r="L756" i="44"/>
  <c r="I756" i="44"/>
  <c r="F756" i="44"/>
  <c r="C756" i="44"/>
  <c r="X755" i="44"/>
  <c r="U755" i="44"/>
  <c r="R755" i="44"/>
  <c r="O755" i="44"/>
  <c r="L755" i="44"/>
  <c r="I755" i="44"/>
  <c r="F755" i="44"/>
  <c r="C755" i="44"/>
  <c r="X754" i="44"/>
  <c r="U754" i="44"/>
  <c r="R754" i="44"/>
  <c r="O754" i="44"/>
  <c r="L754" i="44"/>
  <c r="I754" i="44"/>
  <c r="F754" i="44"/>
  <c r="C754" i="44"/>
  <c r="X753" i="44"/>
  <c r="U753" i="44"/>
  <c r="R753" i="44"/>
  <c r="O753" i="44"/>
  <c r="L753" i="44"/>
  <c r="I753" i="44"/>
  <c r="F753" i="44"/>
  <c r="C753" i="44"/>
  <c r="X752" i="44"/>
  <c r="U752" i="44"/>
  <c r="R752" i="44"/>
  <c r="O752" i="44"/>
  <c r="L752" i="44"/>
  <c r="I752" i="44"/>
  <c r="F752" i="44"/>
  <c r="C752" i="44"/>
  <c r="X749" i="44"/>
  <c r="U749" i="44"/>
  <c r="R749" i="44"/>
  <c r="O749" i="44"/>
  <c r="L749" i="44"/>
  <c r="F749" i="44"/>
  <c r="C749" i="44"/>
  <c r="X748" i="44"/>
  <c r="X747" i="44"/>
  <c r="O747" i="44"/>
  <c r="X746" i="44"/>
  <c r="O746" i="44"/>
  <c r="X745" i="44"/>
  <c r="O745" i="44"/>
  <c r="X744" i="44"/>
  <c r="O744" i="44"/>
  <c r="X743" i="44"/>
  <c r="O743" i="44"/>
  <c r="X742" i="44"/>
  <c r="O742" i="44"/>
  <c r="X741" i="44"/>
  <c r="O741" i="44"/>
  <c r="X740" i="44"/>
  <c r="O740" i="44"/>
  <c r="X739" i="44"/>
  <c r="O739" i="44"/>
  <c r="X738" i="44"/>
  <c r="O738" i="44"/>
  <c r="X737" i="44"/>
  <c r="O737" i="44"/>
  <c r="X736" i="44"/>
  <c r="O736" i="44"/>
  <c r="X735" i="44"/>
  <c r="O735" i="44"/>
  <c r="X734" i="44"/>
  <c r="O734" i="44"/>
  <c r="X733" i="44"/>
  <c r="O733" i="44"/>
  <c r="X732" i="44"/>
  <c r="O732" i="44"/>
  <c r="X731" i="44"/>
  <c r="O731" i="44"/>
  <c r="X730" i="44"/>
  <c r="O730" i="44"/>
  <c r="X729" i="44"/>
  <c r="U729" i="44"/>
  <c r="R729" i="44"/>
  <c r="O729" i="44"/>
  <c r="L729" i="44"/>
  <c r="I729" i="44"/>
  <c r="F729" i="44"/>
  <c r="C729" i="44"/>
  <c r="X728" i="44"/>
  <c r="U728" i="44"/>
  <c r="R728" i="44"/>
  <c r="O728" i="44"/>
  <c r="L728" i="44"/>
  <c r="I728" i="44"/>
  <c r="F728" i="44"/>
  <c r="C728" i="44"/>
  <c r="X727" i="44"/>
  <c r="U727" i="44"/>
  <c r="R727" i="44"/>
  <c r="O727" i="44"/>
  <c r="L727" i="44"/>
  <c r="I727" i="44"/>
  <c r="F727" i="44"/>
  <c r="C727" i="44"/>
  <c r="X726" i="44"/>
  <c r="O726" i="44"/>
  <c r="X725" i="44"/>
  <c r="O725" i="44"/>
  <c r="X724" i="44"/>
  <c r="O724" i="44"/>
  <c r="X723" i="44"/>
  <c r="O723" i="44"/>
  <c r="X722" i="44"/>
  <c r="O722" i="44"/>
  <c r="X721" i="44"/>
  <c r="O721" i="44"/>
  <c r="X720" i="44"/>
  <c r="O720" i="44"/>
  <c r="X719" i="44"/>
  <c r="U719" i="44"/>
  <c r="R719" i="44"/>
  <c r="O719" i="44"/>
  <c r="L719" i="44"/>
  <c r="I719" i="44"/>
  <c r="F719" i="44"/>
  <c r="C719" i="44"/>
  <c r="AI718" i="44"/>
  <c r="X718" i="44"/>
  <c r="U718" i="44"/>
  <c r="R718" i="44"/>
  <c r="O718" i="44"/>
  <c r="L718" i="44"/>
  <c r="I718" i="44"/>
  <c r="F718" i="44"/>
  <c r="C718" i="44"/>
  <c r="X717" i="44"/>
  <c r="U717" i="44"/>
  <c r="R717" i="44"/>
  <c r="O717" i="44"/>
  <c r="L717" i="44"/>
  <c r="I717" i="44"/>
  <c r="F717" i="44"/>
  <c r="C717" i="44"/>
  <c r="X716" i="44"/>
  <c r="U716" i="44"/>
  <c r="R716" i="44"/>
  <c r="O716" i="44"/>
  <c r="L716" i="44"/>
  <c r="I716" i="44"/>
  <c r="F716" i="44"/>
  <c r="C716" i="44"/>
  <c r="X715" i="44"/>
  <c r="U715" i="44"/>
  <c r="R715" i="44"/>
  <c r="O715" i="44"/>
  <c r="L715" i="44"/>
  <c r="I715" i="44"/>
  <c r="F715" i="44"/>
  <c r="C715" i="44"/>
  <c r="X714" i="44"/>
  <c r="U714" i="44"/>
  <c r="R714" i="44"/>
  <c r="O714" i="44"/>
  <c r="L714" i="44"/>
  <c r="I714" i="44"/>
  <c r="F714" i="44"/>
  <c r="C714" i="44"/>
  <c r="X713" i="44"/>
  <c r="U713" i="44"/>
  <c r="R713" i="44"/>
  <c r="O713" i="44"/>
  <c r="L713" i="44"/>
  <c r="I713" i="44"/>
  <c r="F713" i="44"/>
  <c r="C713" i="44"/>
  <c r="X712" i="44"/>
  <c r="U712" i="44"/>
  <c r="R712" i="44"/>
  <c r="O712" i="44"/>
  <c r="L712" i="44"/>
  <c r="I712" i="44"/>
  <c r="F712" i="44"/>
  <c r="C712" i="44"/>
  <c r="X711" i="44"/>
  <c r="U711" i="44"/>
  <c r="R711" i="44"/>
  <c r="O711" i="44"/>
  <c r="L711" i="44"/>
  <c r="I711" i="44"/>
  <c r="F711" i="44"/>
  <c r="C711" i="44"/>
  <c r="X710" i="44"/>
  <c r="U710" i="44"/>
  <c r="R710" i="44"/>
  <c r="O710" i="44"/>
  <c r="L710" i="44"/>
  <c r="I710" i="44"/>
  <c r="F710" i="44"/>
  <c r="C710" i="44"/>
  <c r="X709" i="44"/>
  <c r="U709" i="44"/>
  <c r="R709" i="44"/>
  <c r="O709" i="44"/>
  <c r="L709" i="44"/>
  <c r="I709" i="44"/>
  <c r="F709" i="44"/>
  <c r="C709" i="44"/>
  <c r="X708" i="44"/>
  <c r="U708" i="44"/>
  <c r="R708" i="44"/>
  <c r="O708" i="44"/>
  <c r="L708" i="44"/>
  <c r="I708" i="44"/>
  <c r="F708" i="44"/>
  <c r="C708" i="44"/>
  <c r="X707" i="44"/>
  <c r="U707" i="44"/>
  <c r="R707" i="44"/>
  <c r="O707" i="44"/>
  <c r="L707" i="44"/>
  <c r="I707" i="44"/>
  <c r="F707" i="44"/>
  <c r="C707" i="44"/>
  <c r="X706" i="44"/>
  <c r="U706" i="44"/>
  <c r="R706" i="44"/>
  <c r="O706" i="44"/>
  <c r="L706" i="44"/>
  <c r="I706" i="44"/>
  <c r="F706" i="44"/>
  <c r="C706" i="44"/>
  <c r="X705" i="44"/>
  <c r="U705" i="44"/>
  <c r="R705" i="44"/>
  <c r="O705" i="44"/>
  <c r="L705" i="44"/>
  <c r="I705" i="44"/>
  <c r="F705" i="44"/>
  <c r="C705" i="44"/>
  <c r="X704" i="44"/>
  <c r="U704" i="44"/>
  <c r="R704" i="44"/>
  <c r="O704" i="44"/>
  <c r="L704" i="44"/>
  <c r="I704" i="44"/>
  <c r="F704" i="44"/>
  <c r="C704" i="44"/>
  <c r="X703" i="44"/>
  <c r="U703" i="44"/>
  <c r="R703" i="44"/>
  <c r="O703" i="44"/>
  <c r="L703" i="44"/>
  <c r="I703" i="44"/>
  <c r="F703" i="44"/>
  <c r="C703" i="44"/>
  <c r="X702" i="44"/>
  <c r="U702" i="44"/>
  <c r="R702" i="44"/>
  <c r="O702" i="44"/>
  <c r="L702" i="44"/>
  <c r="I702" i="44"/>
  <c r="F702" i="44"/>
  <c r="C702" i="44"/>
  <c r="X701" i="44"/>
  <c r="U701" i="44"/>
  <c r="R701" i="44"/>
  <c r="O701" i="44"/>
  <c r="L701" i="44"/>
  <c r="I701" i="44"/>
  <c r="F701" i="44"/>
  <c r="C701" i="44"/>
  <c r="X700" i="44"/>
  <c r="U700" i="44"/>
  <c r="R700" i="44"/>
  <c r="O700" i="44"/>
  <c r="L700" i="44"/>
  <c r="I700" i="44"/>
  <c r="F700" i="44"/>
  <c r="C700" i="44"/>
  <c r="X699" i="44"/>
  <c r="U699" i="44"/>
  <c r="R699" i="44"/>
  <c r="O699" i="44"/>
  <c r="L699" i="44"/>
  <c r="I699" i="44"/>
  <c r="F699" i="44"/>
  <c r="C699" i="44"/>
  <c r="X698" i="44"/>
  <c r="U698" i="44"/>
  <c r="R698" i="44"/>
  <c r="O698" i="44"/>
  <c r="L698" i="44"/>
  <c r="I698" i="44"/>
  <c r="F698" i="44"/>
  <c r="C698" i="44"/>
  <c r="X697" i="44"/>
  <c r="U697" i="44"/>
  <c r="R697" i="44"/>
  <c r="O697" i="44"/>
  <c r="L697" i="44"/>
  <c r="I697" i="44"/>
  <c r="F697" i="44"/>
  <c r="C697" i="44"/>
  <c r="X696" i="44"/>
  <c r="U696" i="44"/>
  <c r="R696" i="44"/>
  <c r="O696" i="44"/>
  <c r="L696" i="44"/>
  <c r="I696" i="44"/>
  <c r="F696" i="44"/>
  <c r="C696" i="44"/>
  <c r="X695" i="44"/>
  <c r="U695" i="44"/>
  <c r="R695" i="44"/>
  <c r="O695" i="44"/>
  <c r="L695" i="44"/>
  <c r="I695" i="44"/>
  <c r="F695" i="44"/>
  <c r="C695" i="44"/>
  <c r="X694" i="44"/>
  <c r="U694" i="44"/>
  <c r="R694" i="44"/>
  <c r="O694" i="44"/>
  <c r="L694" i="44"/>
  <c r="I694" i="44"/>
  <c r="F694" i="44"/>
  <c r="C694" i="44"/>
  <c r="X693" i="44"/>
  <c r="U693" i="44"/>
  <c r="R693" i="44"/>
  <c r="O693" i="44"/>
  <c r="L693" i="44"/>
  <c r="I693" i="44"/>
  <c r="F693" i="44"/>
  <c r="C693" i="44"/>
  <c r="X692" i="44"/>
  <c r="U692" i="44"/>
  <c r="R692" i="44"/>
  <c r="O692" i="44"/>
  <c r="L692" i="44"/>
  <c r="I692" i="44"/>
  <c r="F692" i="44"/>
  <c r="C692" i="44"/>
  <c r="X691" i="44"/>
  <c r="U691" i="44"/>
  <c r="R691" i="44"/>
  <c r="O691" i="44"/>
  <c r="L691" i="44"/>
  <c r="I691" i="44"/>
  <c r="F691" i="44"/>
  <c r="C691" i="44"/>
  <c r="X690" i="44"/>
  <c r="U690" i="44"/>
  <c r="R690" i="44"/>
  <c r="O690" i="44"/>
  <c r="L690" i="44"/>
  <c r="I690" i="44"/>
  <c r="F690" i="44"/>
  <c r="C690" i="44"/>
  <c r="X689" i="44"/>
  <c r="U689" i="44"/>
  <c r="R689" i="44"/>
  <c r="O689" i="44"/>
  <c r="L689" i="44"/>
  <c r="I689" i="44"/>
  <c r="F689" i="44"/>
  <c r="C689" i="44"/>
  <c r="X688" i="44"/>
  <c r="U688" i="44"/>
  <c r="R688" i="44"/>
  <c r="O688" i="44"/>
  <c r="L688" i="44"/>
  <c r="I688" i="44"/>
  <c r="F688" i="44"/>
  <c r="C688" i="44"/>
  <c r="X687" i="44"/>
  <c r="U687" i="44"/>
  <c r="R687" i="44"/>
  <c r="O687" i="44"/>
  <c r="L687" i="44"/>
  <c r="I687" i="44"/>
  <c r="F687" i="44"/>
  <c r="C687" i="44"/>
  <c r="X686" i="44"/>
  <c r="U686" i="44"/>
  <c r="R686" i="44"/>
  <c r="O686" i="44"/>
  <c r="L686" i="44"/>
  <c r="I686" i="44"/>
  <c r="F686" i="44"/>
  <c r="C686" i="44"/>
  <c r="X685" i="44"/>
  <c r="U685" i="44"/>
  <c r="R685" i="44"/>
  <c r="O685" i="44"/>
  <c r="L685" i="44"/>
  <c r="I685" i="44"/>
  <c r="F685" i="44"/>
  <c r="C685" i="44"/>
  <c r="X684" i="44"/>
  <c r="U684" i="44"/>
  <c r="R684" i="44"/>
  <c r="O684" i="44"/>
  <c r="L684" i="44"/>
  <c r="I684" i="44"/>
  <c r="F684" i="44"/>
  <c r="C684" i="44"/>
  <c r="X683" i="44"/>
  <c r="U683" i="44"/>
  <c r="R683" i="44"/>
  <c r="O683" i="44"/>
  <c r="L683" i="44"/>
  <c r="I683" i="44"/>
  <c r="F683" i="44"/>
  <c r="C683" i="44"/>
  <c r="X682" i="44"/>
  <c r="U682" i="44"/>
  <c r="R682" i="44"/>
  <c r="O682" i="44"/>
  <c r="L682" i="44"/>
  <c r="I682" i="44"/>
  <c r="F682" i="44"/>
  <c r="C682" i="44"/>
  <c r="X681" i="44"/>
  <c r="U681" i="44"/>
  <c r="R681" i="44"/>
  <c r="O681" i="44"/>
  <c r="L681" i="44"/>
  <c r="I681" i="44"/>
  <c r="F681" i="44"/>
  <c r="C681" i="44"/>
  <c r="X680" i="44"/>
  <c r="U680" i="44"/>
  <c r="R680" i="44"/>
  <c r="O680" i="44"/>
  <c r="L680" i="44"/>
  <c r="I680" i="44"/>
  <c r="F680" i="44"/>
  <c r="C680" i="44"/>
  <c r="X679" i="44"/>
  <c r="U679" i="44"/>
  <c r="R679" i="44"/>
  <c r="O679" i="44"/>
  <c r="L679" i="44"/>
  <c r="I679" i="44"/>
  <c r="F679" i="44"/>
  <c r="C679" i="44"/>
  <c r="X678" i="44"/>
  <c r="U678" i="44"/>
  <c r="R678" i="44"/>
  <c r="O678" i="44"/>
  <c r="L678" i="44"/>
  <c r="I678" i="44"/>
  <c r="F678" i="44"/>
  <c r="C678" i="44"/>
  <c r="X677" i="44"/>
  <c r="U677" i="44"/>
  <c r="R677" i="44"/>
  <c r="O677" i="44"/>
  <c r="L677" i="44"/>
  <c r="I677" i="44"/>
  <c r="F677" i="44"/>
  <c r="C677" i="44"/>
  <c r="X676" i="44"/>
  <c r="U676" i="44"/>
  <c r="R676" i="44"/>
  <c r="O676" i="44"/>
  <c r="L676" i="44"/>
  <c r="I676" i="44"/>
  <c r="F676" i="44"/>
  <c r="C676" i="44"/>
  <c r="X675" i="44"/>
  <c r="U675" i="44"/>
  <c r="R675" i="44"/>
  <c r="O675" i="44"/>
  <c r="L675" i="44"/>
  <c r="I675" i="44"/>
  <c r="F675" i="44"/>
  <c r="C675" i="44"/>
  <c r="X674" i="44"/>
  <c r="U674" i="44"/>
  <c r="R674" i="44"/>
  <c r="O674" i="44"/>
  <c r="L674" i="44"/>
  <c r="I674" i="44"/>
  <c r="F674" i="44"/>
  <c r="C674" i="44"/>
  <c r="X673" i="44"/>
  <c r="U673" i="44"/>
  <c r="R673" i="44"/>
  <c r="O673" i="44"/>
  <c r="L673" i="44"/>
  <c r="I673" i="44"/>
  <c r="F673" i="44"/>
  <c r="C673" i="44"/>
  <c r="X672" i="44"/>
  <c r="U672" i="44"/>
  <c r="R672" i="44"/>
  <c r="O672" i="44"/>
  <c r="L672" i="44"/>
  <c r="I672" i="44"/>
  <c r="F672" i="44"/>
  <c r="C672" i="44"/>
  <c r="X671" i="44"/>
  <c r="U671" i="44"/>
  <c r="R671" i="44"/>
  <c r="O671" i="44"/>
  <c r="L671" i="44"/>
  <c r="I671" i="44"/>
  <c r="F671" i="44"/>
  <c r="C671" i="44"/>
  <c r="X670" i="44"/>
  <c r="U670" i="44"/>
  <c r="R670" i="44"/>
  <c r="O670" i="44"/>
  <c r="L670" i="44"/>
  <c r="I670" i="44"/>
  <c r="F670" i="44"/>
  <c r="C670" i="44"/>
  <c r="X669" i="44"/>
  <c r="U669" i="44"/>
  <c r="R669" i="44"/>
  <c r="O669" i="44"/>
  <c r="L669" i="44"/>
  <c r="I669" i="44"/>
  <c r="F669" i="44"/>
  <c r="C669" i="44"/>
  <c r="X668" i="44"/>
  <c r="U668" i="44"/>
  <c r="R668" i="44"/>
  <c r="O668" i="44"/>
  <c r="L668" i="44"/>
  <c r="I668" i="44"/>
  <c r="F668" i="44"/>
  <c r="C668" i="44"/>
  <c r="X667" i="44"/>
  <c r="U667" i="44"/>
  <c r="R667" i="44"/>
  <c r="O667" i="44"/>
  <c r="L667" i="44"/>
  <c r="I667" i="44"/>
  <c r="F667" i="44"/>
  <c r="C667" i="44"/>
  <c r="X666" i="44"/>
  <c r="U666" i="44"/>
  <c r="R666" i="44"/>
  <c r="O666" i="44"/>
  <c r="L666" i="44"/>
  <c r="I666" i="44"/>
  <c r="F666" i="44"/>
  <c r="C666" i="44"/>
  <c r="X665" i="44"/>
  <c r="U665" i="44"/>
  <c r="R665" i="44"/>
  <c r="O665" i="44"/>
  <c r="L665" i="44"/>
  <c r="I665" i="44"/>
  <c r="F665" i="44"/>
  <c r="C665" i="44"/>
  <c r="X664" i="44"/>
  <c r="U664" i="44"/>
  <c r="R664" i="44"/>
  <c r="O664" i="44"/>
  <c r="L664" i="44"/>
  <c r="I664" i="44"/>
  <c r="F664" i="44"/>
  <c r="C664" i="44"/>
  <c r="X663" i="44"/>
  <c r="U663" i="44"/>
  <c r="R663" i="44"/>
  <c r="O663" i="44"/>
  <c r="L663" i="44"/>
  <c r="I663" i="44"/>
  <c r="F663" i="44"/>
  <c r="C663" i="44"/>
  <c r="X662" i="44"/>
  <c r="X661" i="44"/>
  <c r="X660" i="44"/>
  <c r="X659" i="44"/>
  <c r="X658" i="44"/>
  <c r="X657" i="44"/>
  <c r="X656" i="44"/>
  <c r="X655" i="44"/>
  <c r="X654" i="44"/>
  <c r="X653" i="44"/>
  <c r="U653" i="44"/>
  <c r="R653" i="44"/>
  <c r="O653" i="44"/>
  <c r="L653" i="44"/>
  <c r="I653" i="44"/>
  <c r="F653" i="44"/>
  <c r="C653" i="44"/>
  <c r="X652" i="44"/>
  <c r="U652" i="44"/>
  <c r="R652" i="44"/>
  <c r="O652" i="44"/>
  <c r="L652" i="44"/>
  <c r="I652" i="44"/>
  <c r="F652" i="44"/>
  <c r="C652" i="44"/>
  <c r="X643" i="44"/>
  <c r="X642" i="44"/>
  <c r="U642" i="44"/>
  <c r="R642" i="44"/>
  <c r="O642" i="44"/>
  <c r="L642" i="44"/>
  <c r="I642" i="44"/>
  <c r="F642" i="44"/>
  <c r="C642" i="44"/>
  <c r="X641" i="44"/>
  <c r="X640" i="44"/>
  <c r="X639" i="44"/>
  <c r="X635" i="44"/>
  <c r="X634" i="44"/>
  <c r="X633" i="44"/>
  <c r="U633" i="44"/>
  <c r="R633" i="44"/>
  <c r="O633" i="44"/>
  <c r="L633" i="44"/>
  <c r="I633" i="44"/>
  <c r="F633" i="44"/>
  <c r="C633" i="44"/>
  <c r="X632" i="44"/>
  <c r="U632" i="44"/>
  <c r="R632" i="44"/>
  <c r="O632" i="44"/>
  <c r="L632" i="44"/>
  <c r="I632" i="44"/>
  <c r="F632" i="44"/>
  <c r="C632" i="44"/>
  <c r="X631" i="44"/>
  <c r="U631" i="44"/>
  <c r="R631" i="44"/>
  <c r="O631" i="44"/>
  <c r="L631" i="44"/>
  <c r="I631" i="44"/>
  <c r="F631" i="44"/>
  <c r="C631" i="44"/>
  <c r="X630" i="44"/>
  <c r="U630" i="44"/>
  <c r="R630" i="44"/>
  <c r="O630" i="44"/>
  <c r="L630" i="44"/>
  <c r="I630" i="44"/>
  <c r="F630" i="44"/>
  <c r="C630" i="44"/>
  <c r="X629" i="44"/>
  <c r="U629" i="44"/>
  <c r="R629" i="44"/>
  <c r="O629" i="44"/>
  <c r="L629" i="44"/>
  <c r="I629" i="44"/>
  <c r="F629" i="44"/>
  <c r="C629" i="44"/>
  <c r="X627" i="44"/>
  <c r="U627" i="44"/>
  <c r="R627" i="44"/>
  <c r="O627" i="44"/>
  <c r="L627" i="44"/>
  <c r="I627" i="44"/>
  <c r="F627" i="44"/>
  <c r="C627" i="44"/>
  <c r="X626" i="44"/>
  <c r="U626" i="44"/>
  <c r="R626" i="44"/>
  <c r="O626" i="44"/>
  <c r="L626" i="44"/>
  <c r="I626" i="44"/>
  <c r="F626" i="44"/>
  <c r="C626" i="44"/>
  <c r="X625" i="44"/>
  <c r="U625" i="44"/>
  <c r="R625" i="44"/>
  <c r="O625" i="44"/>
  <c r="L625" i="44"/>
  <c r="I625" i="44"/>
  <c r="F625" i="44"/>
  <c r="C625" i="44"/>
  <c r="X624" i="44"/>
  <c r="U624" i="44"/>
  <c r="R624" i="44"/>
  <c r="O624" i="44"/>
  <c r="L624" i="44"/>
  <c r="I624" i="44"/>
  <c r="F624" i="44"/>
  <c r="C624" i="44"/>
  <c r="X623" i="44"/>
  <c r="X622" i="44"/>
  <c r="U622" i="44"/>
  <c r="R622" i="44"/>
  <c r="O622" i="44"/>
  <c r="L622" i="44"/>
  <c r="I622" i="44"/>
  <c r="F622" i="44"/>
  <c r="C622" i="44"/>
  <c r="X621" i="44"/>
  <c r="U621" i="44"/>
  <c r="R621" i="44"/>
  <c r="O621" i="44"/>
  <c r="L621" i="44"/>
  <c r="I621" i="44"/>
  <c r="F621" i="44"/>
  <c r="C621" i="44"/>
  <c r="X620" i="44"/>
  <c r="U620" i="44"/>
  <c r="R620" i="44"/>
  <c r="O620" i="44"/>
  <c r="L620" i="44"/>
  <c r="I620" i="44"/>
  <c r="F620" i="44"/>
  <c r="C620" i="44"/>
  <c r="X619" i="44"/>
  <c r="U619" i="44"/>
  <c r="R619" i="44"/>
  <c r="O619" i="44"/>
  <c r="L619" i="44"/>
  <c r="I619" i="44"/>
  <c r="F619" i="44"/>
  <c r="C619" i="44"/>
  <c r="X618" i="44"/>
  <c r="U618" i="44"/>
  <c r="R618" i="44"/>
  <c r="O618" i="44"/>
  <c r="L618" i="44"/>
  <c r="I618" i="44"/>
  <c r="F618" i="44"/>
  <c r="C618" i="44"/>
  <c r="X617" i="44"/>
  <c r="U617" i="44"/>
  <c r="R617" i="44"/>
  <c r="O617" i="44"/>
  <c r="L617" i="44"/>
  <c r="I617" i="44"/>
  <c r="F617" i="44"/>
  <c r="C617" i="44"/>
  <c r="X616" i="44"/>
  <c r="U616" i="44"/>
  <c r="R616" i="44"/>
  <c r="O616" i="44"/>
  <c r="L616" i="44"/>
  <c r="I616" i="44"/>
  <c r="F616" i="44"/>
  <c r="C616" i="44"/>
  <c r="X609" i="44"/>
  <c r="X608" i="44"/>
  <c r="X607" i="44"/>
  <c r="X606" i="44"/>
  <c r="U606" i="44"/>
  <c r="R606" i="44"/>
  <c r="O606" i="44"/>
  <c r="L606" i="44"/>
  <c r="I606" i="44"/>
  <c r="F606" i="44"/>
  <c r="C606" i="44"/>
  <c r="X605" i="44"/>
  <c r="U605" i="44"/>
  <c r="R605" i="44"/>
  <c r="O605" i="44"/>
  <c r="L605" i="44"/>
  <c r="I605" i="44"/>
  <c r="F605" i="44"/>
  <c r="C605" i="44"/>
  <c r="X604" i="44"/>
  <c r="U604" i="44"/>
  <c r="R604" i="44"/>
  <c r="O604" i="44"/>
  <c r="L604" i="44"/>
  <c r="I604" i="44"/>
  <c r="F604" i="44"/>
  <c r="C604" i="44"/>
  <c r="X603" i="44"/>
  <c r="U603" i="44"/>
  <c r="R603" i="44"/>
  <c r="O603" i="44"/>
  <c r="L603" i="44"/>
  <c r="I603" i="44"/>
  <c r="F603" i="44"/>
  <c r="C603" i="44"/>
  <c r="X602" i="44"/>
  <c r="U602" i="44"/>
  <c r="R602" i="44"/>
  <c r="O602" i="44"/>
  <c r="L602" i="44"/>
  <c r="I602" i="44"/>
  <c r="F602" i="44"/>
  <c r="C602" i="44"/>
  <c r="X601" i="44"/>
  <c r="U601" i="44"/>
  <c r="R601" i="44"/>
  <c r="O601" i="44"/>
  <c r="L601" i="44"/>
  <c r="I601" i="44"/>
  <c r="F601" i="44"/>
  <c r="C601" i="44"/>
  <c r="X600" i="44"/>
  <c r="U600" i="44"/>
  <c r="R600" i="44"/>
  <c r="O600" i="44"/>
  <c r="L600" i="44"/>
  <c r="I600" i="44"/>
  <c r="F600" i="44"/>
  <c r="C600" i="44"/>
  <c r="X599" i="44"/>
  <c r="U599" i="44"/>
  <c r="R599" i="44"/>
  <c r="O599" i="44"/>
  <c r="L599" i="44"/>
  <c r="I599" i="44"/>
  <c r="F599" i="44"/>
  <c r="C599" i="44"/>
  <c r="X598" i="44"/>
  <c r="U598" i="44"/>
  <c r="R598" i="44"/>
  <c r="O598" i="44"/>
  <c r="L598" i="44"/>
  <c r="I598" i="44"/>
  <c r="F598" i="44"/>
  <c r="C598" i="44"/>
  <c r="X597" i="44"/>
  <c r="U597" i="44"/>
  <c r="R597" i="44"/>
  <c r="O597" i="44"/>
  <c r="L597" i="44"/>
  <c r="I597" i="44"/>
  <c r="F597" i="44"/>
  <c r="C597" i="44"/>
  <c r="U596" i="44"/>
  <c r="R596" i="44"/>
  <c r="O596" i="44"/>
  <c r="L596" i="44"/>
  <c r="I596" i="44"/>
  <c r="F596" i="44"/>
  <c r="C596" i="44"/>
  <c r="U595" i="44"/>
  <c r="R595" i="44"/>
  <c r="O595" i="44"/>
  <c r="L595" i="44"/>
  <c r="I595" i="44"/>
  <c r="F595" i="44"/>
  <c r="C595" i="44"/>
  <c r="X594" i="44"/>
  <c r="U594" i="44"/>
  <c r="R594" i="44"/>
  <c r="O594" i="44"/>
  <c r="L594" i="44"/>
  <c r="I594" i="44"/>
  <c r="F594" i="44"/>
  <c r="C594" i="44"/>
  <c r="X593" i="44"/>
  <c r="U593" i="44"/>
  <c r="R593" i="44"/>
  <c r="O593" i="44"/>
  <c r="L593" i="44"/>
  <c r="I593" i="44"/>
  <c r="F593" i="44"/>
  <c r="C593" i="44"/>
  <c r="X592" i="44"/>
  <c r="U592" i="44"/>
  <c r="R592" i="44"/>
  <c r="O592" i="44"/>
  <c r="L592" i="44"/>
  <c r="I592" i="44"/>
  <c r="F592" i="44"/>
  <c r="C592" i="44"/>
  <c r="X591" i="44"/>
  <c r="U591" i="44"/>
  <c r="R591" i="44"/>
  <c r="O591" i="44"/>
  <c r="L591" i="44"/>
  <c r="I591" i="44"/>
  <c r="F591" i="44"/>
  <c r="C591" i="44"/>
  <c r="X589" i="44"/>
  <c r="U589" i="44"/>
  <c r="R589" i="44"/>
  <c r="O589" i="44"/>
  <c r="L589" i="44"/>
  <c r="I589" i="44"/>
  <c r="F589" i="44"/>
  <c r="C589" i="44"/>
  <c r="X588" i="44"/>
  <c r="U588" i="44"/>
  <c r="R588" i="44"/>
  <c r="O588" i="44"/>
  <c r="L588" i="44"/>
  <c r="I588" i="44"/>
  <c r="F588" i="44"/>
  <c r="C588" i="44"/>
  <c r="X586" i="44"/>
  <c r="U586" i="44"/>
  <c r="R586" i="44"/>
  <c r="O586" i="44"/>
  <c r="L586" i="44"/>
  <c r="I586" i="44"/>
  <c r="F586" i="44"/>
  <c r="C586" i="44"/>
  <c r="X584" i="44"/>
  <c r="X582" i="44"/>
  <c r="X580" i="44"/>
  <c r="U580" i="44"/>
  <c r="R580" i="44"/>
  <c r="O580" i="44"/>
  <c r="L580" i="44"/>
  <c r="I580" i="44"/>
  <c r="F580" i="44"/>
  <c r="C580" i="44"/>
  <c r="X576" i="44"/>
  <c r="U576" i="44"/>
  <c r="R576" i="44"/>
  <c r="O576" i="44"/>
  <c r="L576" i="44"/>
  <c r="I576" i="44"/>
  <c r="F576" i="44"/>
  <c r="C576" i="44"/>
  <c r="X575" i="44"/>
  <c r="U575" i="44"/>
  <c r="R575" i="44"/>
  <c r="O575" i="44"/>
  <c r="L575" i="44"/>
  <c r="I575" i="44"/>
  <c r="F575" i="44"/>
  <c r="C575" i="44"/>
  <c r="X572" i="44"/>
  <c r="U572" i="44"/>
  <c r="R572" i="44"/>
  <c r="O572" i="44"/>
  <c r="L572" i="44"/>
  <c r="I572" i="44"/>
  <c r="F572" i="44"/>
  <c r="C572" i="44"/>
  <c r="X571" i="44"/>
  <c r="U571" i="44"/>
  <c r="R571" i="44"/>
  <c r="O571" i="44"/>
  <c r="L571" i="44"/>
  <c r="I571" i="44"/>
  <c r="F571" i="44"/>
  <c r="C571" i="44"/>
  <c r="X570" i="44"/>
  <c r="U570" i="44"/>
  <c r="R570" i="44"/>
  <c r="O570" i="44"/>
  <c r="L570" i="44"/>
  <c r="I570" i="44"/>
  <c r="F570" i="44"/>
  <c r="C570" i="44"/>
  <c r="X569" i="44"/>
  <c r="U569" i="44"/>
  <c r="R569" i="44"/>
  <c r="O569" i="44"/>
  <c r="L569" i="44"/>
  <c r="I569" i="44"/>
  <c r="F569" i="44"/>
  <c r="C569" i="44"/>
  <c r="X568" i="44"/>
  <c r="U568" i="44"/>
  <c r="R568" i="44"/>
  <c r="O568" i="44"/>
  <c r="L568" i="44"/>
  <c r="I568" i="44"/>
  <c r="F568" i="44"/>
  <c r="C568" i="44"/>
  <c r="X567" i="44"/>
  <c r="U567" i="44"/>
  <c r="R567" i="44"/>
  <c r="O567" i="44"/>
  <c r="L567" i="44"/>
  <c r="I567" i="44"/>
  <c r="F567" i="44"/>
  <c r="C567" i="44"/>
  <c r="X566" i="44"/>
  <c r="U566" i="44"/>
  <c r="R566" i="44"/>
  <c r="O566" i="44"/>
  <c r="L566" i="44"/>
  <c r="I566" i="44"/>
  <c r="F566" i="44"/>
  <c r="C566" i="44"/>
  <c r="X565" i="44"/>
  <c r="U565" i="44"/>
  <c r="R565" i="44"/>
  <c r="O565" i="44"/>
  <c r="L565" i="44"/>
  <c r="I565" i="44"/>
  <c r="F565" i="44"/>
  <c r="C565" i="44"/>
  <c r="X564" i="44"/>
  <c r="U564" i="44"/>
  <c r="R564" i="44"/>
  <c r="O564" i="44"/>
  <c r="L564" i="44"/>
  <c r="I564" i="44"/>
  <c r="F564" i="44"/>
  <c r="C564" i="44"/>
  <c r="X563" i="44"/>
  <c r="U563" i="44"/>
  <c r="R563" i="44"/>
  <c r="O563" i="44"/>
  <c r="L563" i="44"/>
  <c r="I563" i="44"/>
  <c r="F563" i="44"/>
  <c r="C563" i="44"/>
  <c r="X562" i="44"/>
  <c r="U562" i="44"/>
  <c r="R562" i="44"/>
  <c r="O562" i="44"/>
  <c r="L562" i="44"/>
  <c r="I562" i="44"/>
  <c r="F562" i="44"/>
  <c r="C562" i="44"/>
  <c r="X561" i="44"/>
  <c r="U561" i="44"/>
  <c r="R561" i="44"/>
  <c r="O561" i="44"/>
  <c r="L561" i="44"/>
  <c r="I561" i="44"/>
  <c r="F561" i="44"/>
  <c r="C561" i="44"/>
  <c r="X560" i="44"/>
  <c r="U560" i="44"/>
  <c r="R560" i="44"/>
  <c r="O560" i="44"/>
  <c r="L560" i="44"/>
  <c r="I560" i="44"/>
  <c r="F560" i="44"/>
  <c r="C560" i="44"/>
  <c r="X559" i="44"/>
  <c r="U559" i="44"/>
  <c r="R559" i="44"/>
  <c r="O559" i="44"/>
  <c r="L559" i="44"/>
  <c r="I559" i="44"/>
  <c r="F559" i="44"/>
  <c r="C559" i="44"/>
  <c r="X558" i="44"/>
  <c r="U558" i="44"/>
  <c r="R558" i="44"/>
  <c r="O558" i="44"/>
  <c r="L558" i="44"/>
  <c r="I558" i="44"/>
  <c r="F558" i="44"/>
  <c r="C558" i="44"/>
  <c r="X557" i="44"/>
  <c r="U557" i="44"/>
  <c r="R557" i="44"/>
  <c r="O557" i="44"/>
  <c r="L557" i="44"/>
  <c r="I557" i="44"/>
  <c r="F557" i="44"/>
  <c r="C557" i="44"/>
  <c r="X556" i="44"/>
  <c r="U556" i="44"/>
  <c r="R556" i="44"/>
  <c r="O556" i="44"/>
  <c r="L556" i="44"/>
  <c r="I556" i="44"/>
  <c r="F556" i="44"/>
  <c r="C556" i="44"/>
  <c r="X555" i="44"/>
  <c r="U555" i="44"/>
  <c r="R555" i="44"/>
  <c r="O555" i="44"/>
  <c r="L555" i="44"/>
  <c r="I555" i="44"/>
  <c r="F555" i="44"/>
  <c r="C555" i="44"/>
  <c r="X554" i="44"/>
  <c r="U554" i="44"/>
  <c r="R554" i="44"/>
  <c r="O554" i="44"/>
  <c r="L554" i="44"/>
  <c r="I554" i="44"/>
  <c r="F554" i="44"/>
  <c r="C554" i="44"/>
  <c r="X553" i="44"/>
  <c r="U553" i="44"/>
  <c r="R553" i="44"/>
  <c r="O553" i="44"/>
  <c r="L553" i="44"/>
  <c r="I553" i="44"/>
  <c r="F553" i="44"/>
  <c r="C553" i="44"/>
  <c r="X552" i="44"/>
  <c r="U552" i="44"/>
  <c r="R552" i="44"/>
  <c r="O552" i="44"/>
  <c r="L552" i="44"/>
  <c r="I552" i="44"/>
  <c r="F552" i="44"/>
  <c r="C552" i="44"/>
  <c r="X551" i="44"/>
  <c r="U551" i="44"/>
  <c r="R551" i="44"/>
  <c r="O551" i="44"/>
  <c r="L551" i="44"/>
  <c r="I551" i="44"/>
  <c r="F551" i="44"/>
  <c r="C551" i="44"/>
  <c r="X549" i="44"/>
  <c r="U549" i="44"/>
  <c r="R549" i="44"/>
  <c r="O549" i="44"/>
  <c r="L549" i="44"/>
  <c r="I549" i="44"/>
  <c r="F549" i="44"/>
  <c r="C549" i="44"/>
  <c r="X548" i="44"/>
  <c r="U548" i="44"/>
  <c r="R548" i="44"/>
  <c r="O548" i="44"/>
  <c r="L548" i="44"/>
  <c r="I548" i="44"/>
  <c r="F548" i="44"/>
  <c r="C548" i="44"/>
  <c r="X542" i="44"/>
  <c r="X540" i="44"/>
  <c r="X539" i="44"/>
  <c r="X538" i="44"/>
  <c r="X537" i="44"/>
  <c r="X535" i="44"/>
  <c r="X534" i="44"/>
  <c r="X533" i="44"/>
  <c r="X532" i="44"/>
  <c r="X531" i="44"/>
  <c r="X530" i="44"/>
  <c r="X528" i="44"/>
  <c r="X527" i="44"/>
  <c r="X526" i="44"/>
  <c r="X525" i="44"/>
  <c r="X524" i="44"/>
  <c r="U524" i="44"/>
  <c r="R524" i="44"/>
  <c r="O524" i="44"/>
  <c r="L524" i="44"/>
  <c r="I524" i="44"/>
  <c r="F524" i="44"/>
  <c r="C524" i="44"/>
  <c r="X523" i="44"/>
  <c r="U523" i="44"/>
  <c r="R523" i="44"/>
  <c r="O523" i="44"/>
  <c r="L523" i="44"/>
  <c r="I523" i="44"/>
  <c r="F523" i="44"/>
  <c r="C523" i="44"/>
  <c r="X522" i="44"/>
  <c r="X521" i="44"/>
  <c r="X514" i="44"/>
  <c r="X512" i="44"/>
  <c r="U512" i="44"/>
  <c r="R512" i="44"/>
  <c r="O512" i="44"/>
  <c r="L512" i="44"/>
  <c r="I512" i="44"/>
  <c r="F512" i="44"/>
  <c r="C512" i="44"/>
  <c r="X511" i="44"/>
  <c r="U511" i="44"/>
  <c r="R511" i="44"/>
  <c r="O511" i="44"/>
  <c r="L511" i="44"/>
  <c r="I511" i="44"/>
  <c r="F511" i="44"/>
  <c r="C511" i="44"/>
  <c r="X509" i="44"/>
  <c r="U509" i="44"/>
  <c r="R509" i="44"/>
  <c r="O509" i="44"/>
  <c r="L509" i="44"/>
  <c r="I509" i="44"/>
  <c r="F509" i="44"/>
  <c r="C509" i="44"/>
  <c r="X508" i="44"/>
  <c r="U508" i="44"/>
  <c r="R508" i="44"/>
  <c r="O508" i="44"/>
  <c r="L508" i="44"/>
  <c r="I508" i="44"/>
  <c r="F508" i="44"/>
  <c r="C508" i="44"/>
  <c r="X507" i="44"/>
  <c r="U507" i="44"/>
  <c r="R507" i="44"/>
  <c r="O507" i="44"/>
  <c r="L507" i="44"/>
  <c r="I507" i="44"/>
  <c r="F507" i="44"/>
  <c r="C507" i="44"/>
  <c r="X506" i="44"/>
  <c r="U506" i="44"/>
  <c r="R506" i="44"/>
  <c r="O506" i="44"/>
  <c r="L506" i="44"/>
  <c r="I506" i="44"/>
  <c r="F506" i="44"/>
  <c r="C506" i="44"/>
  <c r="X505" i="44"/>
  <c r="U505" i="44"/>
  <c r="R505" i="44"/>
  <c r="O505" i="44"/>
  <c r="L505" i="44"/>
  <c r="I505" i="44"/>
  <c r="F505" i="44"/>
  <c r="C505" i="44"/>
  <c r="X504" i="44"/>
  <c r="U504" i="44"/>
  <c r="R504" i="44"/>
  <c r="O504" i="44"/>
  <c r="L504" i="44"/>
  <c r="I504" i="44"/>
  <c r="F504" i="44"/>
  <c r="C504" i="44"/>
  <c r="X503" i="44"/>
  <c r="U503" i="44"/>
  <c r="R503" i="44"/>
  <c r="O503" i="44"/>
  <c r="L503" i="44"/>
  <c r="I503" i="44"/>
  <c r="F503" i="44"/>
  <c r="C503" i="44"/>
  <c r="X502" i="44"/>
  <c r="U502" i="44"/>
  <c r="R502" i="44"/>
  <c r="O502" i="44"/>
  <c r="L502" i="44"/>
  <c r="I502" i="44"/>
  <c r="F502" i="44"/>
  <c r="C502" i="44"/>
  <c r="X501" i="44"/>
  <c r="U501" i="44"/>
  <c r="R501" i="44"/>
  <c r="O501" i="44"/>
  <c r="L501" i="44"/>
  <c r="I501" i="44"/>
  <c r="F501" i="44"/>
  <c r="C501" i="44"/>
  <c r="X500" i="44"/>
  <c r="U500" i="44"/>
  <c r="R500" i="44"/>
  <c r="O500" i="44"/>
  <c r="L500" i="44"/>
  <c r="I500" i="44"/>
  <c r="F500" i="44"/>
  <c r="C500" i="44"/>
  <c r="X499" i="44"/>
  <c r="U499" i="44"/>
  <c r="R499" i="44"/>
  <c r="O499" i="44"/>
  <c r="L499" i="44"/>
  <c r="I499" i="44"/>
  <c r="F499" i="44"/>
  <c r="C499" i="44"/>
  <c r="X498" i="44"/>
  <c r="U498" i="44"/>
  <c r="R498" i="44"/>
  <c r="O498" i="44"/>
  <c r="L498" i="44"/>
  <c r="I498" i="44"/>
  <c r="F498" i="44"/>
  <c r="C498" i="44"/>
  <c r="X497" i="44"/>
  <c r="U497" i="44"/>
  <c r="R497" i="44"/>
  <c r="O497" i="44"/>
  <c r="L497" i="44"/>
  <c r="I497" i="44"/>
  <c r="F497" i="44"/>
  <c r="C497" i="44"/>
  <c r="X496" i="44"/>
  <c r="U496" i="44"/>
  <c r="R496" i="44"/>
  <c r="O496" i="44"/>
  <c r="L496" i="44"/>
  <c r="I496" i="44"/>
  <c r="F496" i="44"/>
  <c r="C496" i="44"/>
  <c r="X495" i="44"/>
  <c r="U495" i="44"/>
  <c r="R495" i="44"/>
  <c r="O495" i="44"/>
  <c r="L495" i="44"/>
  <c r="I495" i="44"/>
  <c r="F495" i="44"/>
  <c r="C495" i="44"/>
  <c r="X494" i="44"/>
  <c r="U494" i="44"/>
  <c r="R494" i="44"/>
  <c r="O494" i="44"/>
  <c r="L494" i="44"/>
  <c r="I494" i="44"/>
  <c r="F494" i="44"/>
  <c r="C494" i="44"/>
  <c r="X493" i="44"/>
  <c r="U493" i="44"/>
  <c r="R493" i="44"/>
  <c r="O493" i="44"/>
  <c r="L493" i="44"/>
  <c r="I493" i="44"/>
  <c r="F493" i="44"/>
  <c r="C493" i="44"/>
  <c r="X492" i="44"/>
  <c r="U492" i="44"/>
  <c r="R492" i="44"/>
  <c r="O492" i="44"/>
  <c r="L492" i="44"/>
  <c r="I492" i="44"/>
  <c r="F492" i="44"/>
  <c r="C492" i="44"/>
  <c r="X491" i="44"/>
  <c r="U491" i="44"/>
  <c r="R491" i="44"/>
  <c r="O491" i="44"/>
  <c r="L491" i="44"/>
  <c r="I491" i="44"/>
  <c r="F491" i="44"/>
  <c r="C491" i="44"/>
  <c r="X490" i="44"/>
  <c r="U490" i="44"/>
  <c r="R490" i="44"/>
  <c r="O490" i="44"/>
  <c r="L490" i="44"/>
  <c r="I490" i="44"/>
  <c r="F490" i="44"/>
  <c r="C490" i="44"/>
  <c r="X489" i="44"/>
  <c r="U489" i="44"/>
  <c r="R489" i="44"/>
  <c r="O489" i="44"/>
  <c r="L489" i="44"/>
  <c r="I489" i="44"/>
  <c r="F489" i="44"/>
  <c r="C489" i="44"/>
  <c r="X488" i="44"/>
  <c r="U488" i="44"/>
  <c r="R488" i="44"/>
  <c r="O488" i="44"/>
  <c r="L488" i="44"/>
  <c r="I488" i="44"/>
  <c r="F488" i="44"/>
  <c r="C488" i="44"/>
  <c r="X487" i="44"/>
  <c r="U487" i="44"/>
  <c r="R487" i="44"/>
  <c r="O487" i="44"/>
  <c r="L487" i="44"/>
  <c r="I487" i="44"/>
  <c r="F487" i="44"/>
  <c r="C487" i="44"/>
  <c r="X486" i="44"/>
  <c r="U486" i="44"/>
  <c r="R486" i="44"/>
  <c r="O486" i="44"/>
  <c r="L486" i="44"/>
  <c r="I486" i="44"/>
  <c r="F486" i="44"/>
  <c r="C486" i="44"/>
  <c r="X485" i="44"/>
  <c r="U485" i="44"/>
  <c r="R485" i="44"/>
  <c r="O485" i="44"/>
  <c r="L485" i="44"/>
  <c r="I485" i="44"/>
  <c r="F485" i="44"/>
  <c r="C485" i="44"/>
  <c r="X484" i="44"/>
  <c r="U484" i="44"/>
  <c r="R484" i="44"/>
  <c r="O484" i="44"/>
  <c r="L484" i="44"/>
  <c r="I484" i="44"/>
  <c r="F484" i="44"/>
  <c r="C484" i="44"/>
  <c r="X483" i="44"/>
  <c r="U483" i="44"/>
  <c r="R483" i="44"/>
  <c r="O483" i="44"/>
  <c r="L483" i="44"/>
  <c r="I483" i="44"/>
  <c r="F483" i="44"/>
  <c r="C483" i="44"/>
  <c r="AJ482" i="44"/>
  <c r="X482" i="44"/>
  <c r="U482" i="44"/>
  <c r="R482" i="44"/>
  <c r="O482" i="44"/>
  <c r="L482" i="44"/>
  <c r="I482" i="44"/>
  <c r="F482" i="44"/>
  <c r="C482" i="44"/>
  <c r="X481" i="44"/>
  <c r="U481" i="44"/>
  <c r="R481" i="44"/>
  <c r="O481" i="44"/>
  <c r="L481" i="44"/>
  <c r="I481" i="44"/>
  <c r="F481" i="44"/>
  <c r="C481" i="44"/>
  <c r="X480" i="44"/>
  <c r="U480" i="44"/>
  <c r="R480" i="44"/>
  <c r="O480" i="44"/>
  <c r="L480" i="44"/>
  <c r="I480" i="44"/>
  <c r="F480" i="44"/>
  <c r="C480" i="44"/>
  <c r="X479" i="44"/>
  <c r="U479" i="44"/>
  <c r="R479" i="44"/>
  <c r="O479" i="44"/>
  <c r="L479" i="44"/>
  <c r="I479" i="44"/>
  <c r="F479" i="44"/>
  <c r="C479" i="44"/>
  <c r="X478" i="44"/>
  <c r="X477" i="44"/>
  <c r="U477" i="44"/>
  <c r="R477" i="44"/>
  <c r="O477" i="44"/>
  <c r="L477" i="44"/>
  <c r="I477" i="44"/>
  <c r="F477" i="44"/>
  <c r="C477" i="44"/>
  <c r="X476" i="44"/>
  <c r="U476" i="44"/>
  <c r="R476" i="44"/>
  <c r="O476" i="44"/>
  <c r="L476" i="44"/>
  <c r="I476" i="44"/>
  <c r="F476" i="44"/>
  <c r="C476" i="44"/>
  <c r="X475" i="44"/>
  <c r="U475" i="44"/>
  <c r="R475" i="44"/>
  <c r="O475" i="44"/>
  <c r="L475" i="44"/>
  <c r="I475" i="44"/>
  <c r="F475" i="44"/>
  <c r="C475" i="44"/>
  <c r="X474" i="44"/>
  <c r="U474" i="44"/>
  <c r="R474" i="44"/>
  <c r="O474" i="44"/>
  <c r="L474" i="44"/>
  <c r="I474" i="44"/>
  <c r="F474" i="44"/>
  <c r="C474" i="44"/>
  <c r="X473" i="44"/>
  <c r="U473" i="44"/>
  <c r="R473" i="44"/>
  <c r="O473" i="44"/>
  <c r="L473" i="44"/>
  <c r="I473" i="44"/>
  <c r="F473" i="44"/>
  <c r="C473" i="44"/>
  <c r="X472" i="44"/>
  <c r="X471" i="44"/>
  <c r="X470" i="44"/>
  <c r="X469" i="44"/>
  <c r="X468" i="44"/>
  <c r="X467" i="44"/>
  <c r="X466" i="44"/>
  <c r="X464" i="44"/>
  <c r="U464" i="44"/>
  <c r="R464" i="44"/>
  <c r="O464" i="44"/>
  <c r="L464" i="44"/>
  <c r="I464" i="44"/>
  <c r="F464" i="44"/>
  <c r="C464" i="44"/>
  <c r="X463" i="44"/>
  <c r="U463" i="44"/>
  <c r="R463" i="44"/>
  <c r="O463" i="44"/>
  <c r="L463" i="44"/>
  <c r="I463" i="44"/>
  <c r="F463" i="44"/>
  <c r="C463" i="44"/>
  <c r="X462" i="44"/>
  <c r="U462" i="44"/>
  <c r="R462" i="44"/>
  <c r="O462" i="44"/>
  <c r="L462" i="44"/>
  <c r="I462" i="44"/>
  <c r="F462" i="44"/>
  <c r="C462" i="44"/>
  <c r="X461" i="44"/>
  <c r="U461" i="44"/>
  <c r="R461" i="44"/>
  <c r="O461" i="44"/>
  <c r="L461" i="44"/>
  <c r="I461" i="44"/>
  <c r="F461" i="44"/>
  <c r="C461" i="44"/>
  <c r="X460" i="44"/>
  <c r="U460" i="44"/>
  <c r="R460" i="44"/>
  <c r="O460" i="44"/>
  <c r="L460" i="44"/>
  <c r="I460" i="44"/>
  <c r="F460" i="44"/>
  <c r="C460" i="44"/>
  <c r="X459" i="44"/>
  <c r="U459" i="44"/>
  <c r="R459" i="44"/>
  <c r="O459" i="44"/>
  <c r="L459" i="44"/>
  <c r="I459" i="44"/>
  <c r="F459" i="44"/>
  <c r="C459" i="44"/>
  <c r="X458" i="44"/>
  <c r="U458" i="44"/>
  <c r="R458" i="44"/>
  <c r="O458" i="44"/>
  <c r="L458" i="44"/>
  <c r="I458" i="44"/>
  <c r="F458" i="44"/>
  <c r="C458" i="44"/>
  <c r="X457" i="44"/>
  <c r="U457" i="44"/>
  <c r="R457" i="44"/>
  <c r="O457" i="44"/>
  <c r="L457" i="44"/>
  <c r="I457" i="44"/>
  <c r="F457" i="44"/>
  <c r="C457" i="44"/>
  <c r="X456" i="44"/>
  <c r="U456" i="44"/>
  <c r="R456" i="44"/>
  <c r="O456" i="44"/>
  <c r="L456" i="44"/>
  <c r="I456" i="44"/>
  <c r="F456" i="44"/>
  <c r="C456" i="44"/>
  <c r="X455" i="44"/>
  <c r="U455" i="44"/>
  <c r="R455" i="44"/>
  <c r="O455" i="44"/>
  <c r="L455" i="44"/>
  <c r="I455" i="44"/>
  <c r="F455" i="44"/>
  <c r="C455" i="44"/>
  <c r="X454" i="44"/>
  <c r="U454" i="44"/>
  <c r="R454" i="44"/>
  <c r="O454" i="44"/>
  <c r="L454" i="44"/>
  <c r="I454" i="44"/>
  <c r="F454" i="44"/>
  <c r="C454" i="44"/>
  <c r="X449" i="44"/>
  <c r="U449" i="44"/>
  <c r="R449" i="44"/>
  <c r="O449" i="44"/>
  <c r="L449" i="44"/>
  <c r="I449" i="44"/>
  <c r="F449" i="44"/>
  <c r="C449" i="44"/>
  <c r="X448" i="44"/>
  <c r="U448" i="44"/>
  <c r="R448" i="44"/>
  <c r="O448" i="44"/>
  <c r="L448" i="44"/>
  <c r="I448" i="44"/>
  <c r="F448" i="44"/>
  <c r="C448" i="44"/>
  <c r="X447" i="44"/>
  <c r="U447" i="44"/>
  <c r="R447" i="44"/>
  <c r="O447" i="44"/>
  <c r="L447" i="44"/>
  <c r="I447" i="44"/>
  <c r="F447" i="44"/>
  <c r="C447" i="44"/>
  <c r="X446" i="44"/>
  <c r="U446" i="44"/>
  <c r="R446" i="44"/>
  <c r="O446" i="44"/>
  <c r="L446" i="44"/>
  <c r="I446" i="44"/>
  <c r="F446" i="44"/>
  <c r="C446" i="44"/>
  <c r="X445" i="44"/>
  <c r="U445" i="44"/>
  <c r="R445" i="44"/>
  <c r="O445" i="44"/>
  <c r="L445" i="44"/>
  <c r="I445" i="44"/>
  <c r="F445" i="44"/>
  <c r="C445" i="44"/>
  <c r="X444" i="44"/>
  <c r="U444" i="44"/>
  <c r="R444" i="44"/>
  <c r="O444" i="44"/>
  <c r="L444" i="44"/>
  <c r="I444" i="44"/>
  <c r="F444" i="44"/>
  <c r="C444" i="44"/>
  <c r="X443" i="44"/>
  <c r="U443" i="44"/>
  <c r="R443" i="44"/>
  <c r="O443" i="44"/>
  <c r="L443" i="44"/>
  <c r="I443" i="44"/>
  <c r="F443" i="44"/>
  <c r="C443" i="44"/>
  <c r="X442" i="44"/>
  <c r="U442" i="44"/>
  <c r="R442" i="44"/>
  <c r="O442" i="44"/>
  <c r="L442" i="44"/>
  <c r="I442" i="44"/>
  <c r="F442" i="44"/>
  <c r="C442" i="44"/>
  <c r="X433" i="44"/>
  <c r="X432" i="44"/>
  <c r="X427" i="44"/>
  <c r="X426" i="44"/>
  <c r="X425" i="44"/>
  <c r="X424" i="44"/>
  <c r="X423" i="44"/>
  <c r="X422" i="44"/>
  <c r="X421" i="44"/>
  <c r="X420" i="44"/>
  <c r="X419" i="44"/>
  <c r="X418" i="44"/>
  <c r="X417" i="44"/>
  <c r="U417" i="44"/>
  <c r="R417" i="44"/>
  <c r="O417" i="44"/>
  <c r="L417" i="44"/>
  <c r="I417" i="44"/>
  <c r="F417" i="44"/>
  <c r="C417" i="44"/>
  <c r="X416" i="44"/>
  <c r="X415" i="44"/>
  <c r="X414" i="44"/>
  <c r="X413" i="44"/>
  <c r="X412" i="44"/>
  <c r="X411" i="44"/>
  <c r="X410" i="44"/>
  <c r="U410" i="44"/>
  <c r="R410" i="44"/>
  <c r="O410" i="44"/>
  <c r="L410" i="44"/>
  <c r="I410" i="44"/>
  <c r="F410" i="44"/>
  <c r="C410" i="44"/>
  <c r="X409" i="44"/>
  <c r="U409" i="44"/>
  <c r="R409" i="44"/>
  <c r="O409" i="44"/>
  <c r="L409" i="44"/>
  <c r="I409" i="44"/>
  <c r="F409" i="44"/>
  <c r="C409" i="44"/>
  <c r="X408" i="44"/>
  <c r="U408" i="44"/>
  <c r="R408" i="44"/>
  <c r="O408" i="44"/>
  <c r="L408" i="44"/>
  <c r="I408" i="44"/>
  <c r="F408" i="44"/>
  <c r="C408" i="44"/>
  <c r="X407" i="44"/>
  <c r="X406" i="44"/>
  <c r="U406" i="44"/>
  <c r="R406" i="44"/>
  <c r="O406" i="44"/>
  <c r="L406" i="44"/>
  <c r="I406" i="44"/>
  <c r="F406" i="44"/>
  <c r="C406" i="44"/>
  <c r="X405" i="44"/>
  <c r="U405" i="44"/>
  <c r="R405" i="44"/>
  <c r="O405" i="44"/>
  <c r="L405" i="44"/>
  <c r="I405" i="44"/>
  <c r="F405" i="44"/>
  <c r="C405" i="44"/>
  <c r="X404" i="44"/>
  <c r="U404" i="44"/>
  <c r="R404" i="44"/>
  <c r="O404" i="44"/>
  <c r="L404" i="44"/>
  <c r="I404" i="44"/>
  <c r="F404" i="44"/>
  <c r="C404" i="44"/>
  <c r="X403" i="44"/>
  <c r="U403" i="44"/>
  <c r="R403" i="44"/>
  <c r="O403" i="44"/>
  <c r="L403" i="44"/>
  <c r="I403" i="44"/>
  <c r="F403" i="44"/>
  <c r="C403" i="44"/>
  <c r="X402" i="44"/>
  <c r="U402" i="44"/>
  <c r="R402" i="44"/>
  <c r="O402" i="44"/>
  <c r="L402" i="44"/>
  <c r="I402" i="44"/>
  <c r="F402" i="44"/>
  <c r="C402" i="44"/>
  <c r="X401" i="44"/>
  <c r="U401" i="44"/>
  <c r="R401" i="44"/>
  <c r="O401" i="44"/>
  <c r="L401" i="44"/>
  <c r="I401" i="44"/>
  <c r="F401" i="44"/>
  <c r="C401" i="44"/>
  <c r="X400" i="44"/>
  <c r="U400" i="44"/>
  <c r="R400" i="44"/>
  <c r="O400" i="44"/>
  <c r="L400" i="44"/>
  <c r="I400" i="44"/>
  <c r="F400" i="44"/>
  <c r="C400" i="44"/>
  <c r="X399" i="44"/>
  <c r="U399" i="44"/>
  <c r="R399" i="44"/>
  <c r="O399" i="44"/>
  <c r="L399" i="44"/>
  <c r="I399" i="44"/>
  <c r="F399" i="44"/>
  <c r="C399" i="44"/>
  <c r="X398" i="44"/>
  <c r="U398" i="44"/>
  <c r="R398" i="44"/>
  <c r="O398" i="44"/>
  <c r="L398" i="44"/>
  <c r="I398" i="44"/>
  <c r="F398" i="44"/>
  <c r="C398" i="44"/>
  <c r="X397" i="44"/>
  <c r="U397" i="44"/>
  <c r="R397" i="44"/>
  <c r="O397" i="44"/>
  <c r="L397" i="44"/>
  <c r="I397" i="44"/>
  <c r="F397" i="44"/>
  <c r="C397" i="44"/>
  <c r="X396" i="44"/>
  <c r="U396" i="44"/>
  <c r="R396" i="44"/>
  <c r="O396" i="44"/>
  <c r="L396" i="44"/>
  <c r="I396" i="44"/>
  <c r="F396" i="44"/>
  <c r="C396" i="44"/>
  <c r="X395" i="44"/>
  <c r="U395" i="44"/>
  <c r="R395" i="44"/>
  <c r="O395" i="44"/>
  <c r="L395" i="44"/>
  <c r="I395" i="44"/>
  <c r="F395" i="44"/>
  <c r="C395" i="44"/>
  <c r="X394" i="44"/>
  <c r="U394" i="44"/>
  <c r="R394" i="44"/>
  <c r="O394" i="44"/>
  <c r="L394" i="44"/>
  <c r="I394" i="44"/>
  <c r="F394" i="44"/>
  <c r="C394" i="44"/>
  <c r="X393" i="44"/>
  <c r="U393" i="44"/>
  <c r="R393" i="44"/>
  <c r="O393" i="44"/>
  <c r="L393" i="44"/>
  <c r="I393" i="44"/>
  <c r="F393" i="44"/>
  <c r="C393" i="44"/>
  <c r="X392" i="44"/>
  <c r="U392" i="44"/>
  <c r="R392" i="44"/>
  <c r="O392" i="44"/>
  <c r="L392" i="44"/>
  <c r="I392" i="44"/>
  <c r="F392" i="44"/>
  <c r="C392" i="44"/>
  <c r="X391" i="44"/>
  <c r="U391" i="44"/>
  <c r="R391" i="44"/>
  <c r="O391" i="44"/>
  <c r="L391" i="44"/>
  <c r="I391" i="44"/>
  <c r="F391" i="44"/>
  <c r="C391" i="44"/>
  <c r="X390" i="44"/>
  <c r="U390" i="44"/>
  <c r="R390" i="44"/>
  <c r="O390" i="44"/>
  <c r="L390" i="44"/>
  <c r="I390" i="44"/>
  <c r="F390" i="44"/>
  <c r="C390" i="44"/>
  <c r="X389" i="44"/>
  <c r="U389" i="44"/>
  <c r="R389" i="44"/>
  <c r="O389" i="44"/>
  <c r="L389" i="44"/>
  <c r="I389" i="44"/>
  <c r="F389" i="44"/>
  <c r="C389" i="44"/>
  <c r="X388" i="44"/>
  <c r="U388" i="44"/>
  <c r="R388" i="44"/>
  <c r="O388" i="44"/>
  <c r="L388" i="44"/>
  <c r="I388" i="44"/>
  <c r="F388" i="44"/>
  <c r="C388" i="44"/>
  <c r="X387" i="44"/>
  <c r="U387" i="44"/>
  <c r="R387" i="44"/>
  <c r="O387" i="44"/>
  <c r="L387" i="44"/>
  <c r="I387" i="44"/>
  <c r="F387" i="44"/>
  <c r="C387" i="44"/>
  <c r="X386" i="44"/>
  <c r="U386" i="44"/>
  <c r="R386" i="44"/>
  <c r="O386" i="44"/>
  <c r="L386" i="44"/>
  <c r="I386" i="44"/>
  <c r="F386" i="44"/>
  <c r="C386" i="44"/>
  <c r="X383" i="44"/>
  <c r="X382" i="44"/>
  <c r="X381" i="44"/>
  <c r="X380" i="44"/>
  <c r="U380" i="44"/>
  <c r="R380" i="44"/>
  <c r="O380" i="44"/>
  <c r="L380" i="44"/>
  <c r="I380" i="44"/>
  <c r="F380" i="44"/>
  <c r="C380" i="44"/>
  <c r="X379" i="44"/>
  <c r="U379" i="44"/>
  <c r="R379" i="44"/>
  <c r="O379" i="44"/>
  <c r="L379" i="44"/>
  <c r="I379" i="44"/>
  <c r="F379" i="44"/>
  <c r="C379" i="44"/>
  <c r="X378" i="44"/>
  <c r="U378" i="44"/>
  <c r="R378" i="44"/>
  <c r="O378" i="44"/>
  <c r="L378" i="44"/>
  <c r="I378" i="44"/>
  <c r="F378" i="44"/>
  <c r="C378" i="44"/>
  <c r="X377" i="44"/>
  <c r="U377" i="44"/>
  <c r="R377" i="44"/>
  <c r="O377" i="44"/>
  <c r="L377" i="44"/>
  <c r="I377" i="44"/>
  <c r="F377" i="44"/>
  <c r="C377" i="44"/>
  <c r="X376" i="44"/>
  <c r="U376" i="44"/>
  <c r="R376" i="44"/>
  <c r="O376" i="44"/>
  <c r="L376" i="44"/>
  <c r="I376" i="44"/>
  <c r="F376" i="44"/>
  <c r="C376" i="44"/>
  <c r="X375" i="44"/>
  <c r="U375" i="44"/>
  <c r="R375" i="44"/>
  <c r="O375" i="44"/>
  <c r="L375" i="44"/>
  <c r="I375" i="44"/>
  <c r="F375" i="44"/>
  <c r="C375" i="44"/>
  <c r="X374" i="44"/>
  <c r="U374" i="44"/>
  <c r="R374" i="44"/>
  <c r="O374" i="44"/>
  <c r="L374" i="44"/>
  <c r="I374" i="44"/>
  <c r="F374" i="44"/>
  <c r="C374" i="44"/>
  <c r="X373" i="44"/>
  <c r="U373" i="44"/>
  <c r="R373" i="44"/>
  <c r="O373" i="44"/>
  <c r="L373" i="44"/>
  <c r="I373" i="44"/>
  <c r="F373" i="44"/>
  <c r="C373" i="44"/>
  <c r="X372" i="44"/>
  <c r="U372" i="44"/>
  <c r="R372" i="44"/>
  <c r="O372" i="44"/>
  <c r="L372" i="44"/>
  <c r="I372" i="44"/>
  <c r="F372" i="44"/>
  <c r="C372" i="44"/>
  <c r="X371" i="44"/>
  <c r="U371" i="44"/>
  <c r="R371" i="44"/>
  <c r="O371" i="44"/>
  <c r="L371" i="44"/>
  <c r="I371" i="44"/>
  <c r="F371" i="44"/>
  <c r="C371" i="44"/>
  <c r="X365" i="44"/>
  <c r="X364" i="44"/>
  <c r="X363" i="44"/>
  <c r="X362" i="44"/>
  <c r="X361" i="44"/>
  <c r="X360" i="44"/>
  <c r="X359" i="44"/>
  <c r="X358" i="44"/>
  <c r="U358" i="44"/>
  <c r="R358" i="44"/>
  <c r="O358" i="44"/>
  <c r="L358" i="44"/>
  <c r="I358" i="44"/>
  <c r="F358" i="44"/>
  <c r="C358" i="44"/>
  <c r="X357" i="44"/>
  <c r="U357" i="44"/>
  <c r="R357" i="44"/>
  <c r="O357" i="44"/>
  <c r="L357" i="44"/>
  <c r="I357" i="44"/>
  <c r="F357" i="44"/>
  <c r="C357" i="44"/>
  <c r="X356" i="44"/>
  <c r="U356" i="44"/>
  <c r="R356" i="44"/>
  <c r="O356" i="44"/>
  <c r="L356" i="44"/>
  <c r="I356" i="44"/>
  <c r="F356" i="44"/>
  <c r="C356" i="44"/>
  <c r="X355" i="44"/>
  <c r="U355" i="44"/>
  <c r="R355" i="44"/>
  <c r="O355" i="44"/>
  <c r="L355" i="44"/>
  <c r="I355" i="44"/>
  <c r="F355" i="44"/>
  <c r="C355" i="44"/>
  <c r="X354" i="44"/>
  <c r="U354" i="44"/>
  <c r="R354" i="44"/>
  <c r="O354" i="44"/>
  <c r="L354" i="44"/>
  <c r="I354" i="44"/>
  <c r="F354" i="44"/>
  <c r="C354" i="44"/>
  <c r="X353" i="44"/>
  <c r="U353" i="44"/>
  <c r="R353" i="44"/>
  <c r="O353" i="44"/>
  <c r="L353" i="44"/>
  <c r="I353" i="44"/>
  <c r="F353" i="44"/>
  <c r="C353" i="44"/>
  <c r="X352" i="44"/>
  <c r="U352" i="44"/>
  <c r="R352" i="44"/>
  <c r="O352" i="44"/>
  <c r="L352" i="44"/>
  <c r="I352" i="44"/>
  <c r="F352" i="44"/>
  <c r="C352" i="44"/>
  <c r="X351" i="44"/>
  <c r="U351" i="44"/>
  <c r="R351" i="44"/>
  <c r="O351" i="44"/>
  <c r="L351" i="44"/>
  <c r="I351" i="44"/>
  <c r="F351" i="44"/>
  <c r="C351" i="44"/>
  <c r="X350" i="44"/>
  <c r="U350" i="44"/>
  <c r="R350" i="44"/>
  <c r="O350" i="44"/>
  <c r="L350" i="44"/>
  <c r="I350" i="44"/>
  <c r="F350" i="44"/>
  <c r="C350" i="44"/>
  <c r="X349" i="44"/>
  <c r="U349" i="44"/>
  <c r="R349" i="44"/>
  <c r="O349" i="44"/>
  <c r="L349" i="44"/>
  <c r="I349" i="44"/>
  <c r="F349" i="44"/>
  <c r="C349" i="44"/>
  <c r="X348" i="44"/>
  <c r="U348" i="44"/>
  <c r="R348" i="44"/>
  <c r="O348" i="44"/>
  <c r="L348" i="44"/>
  <c r="I348" i="44"/>
  <c r="F348" i="44"/>
  <c r="C348" i="44"/>
  <c r="X347" i="44"/>
  <c r="X346" i="44"/>
  <c r="X345" i="44"/>
  <c r="X344" i="44"/>
  <c r="X343" i="44"/>
  <c r="X342" i="44"/>
  <c r="X341" i="44"/>
  <c r="X337" i="44"/>
  <c r="U337" i="44"/>
  <c r="R337" i="44"/>
  <c r="O337" i="44"/>
  <c r="L337" i="44"/>
  <c r="I337" i="44"/>
  <c r="F337" i="44"/>
  <c r="C337" i="44"/>
  <c r="X336" i="44"/>
  <c r="U336" i="44"/>
  <c r="R336" i="44"/>
  <c r="O336" i="44"/>
  <c r="L336" i="44"/>
  <c r="I336" i="44"/>
  <c r="F336" i="44"/>
  <c r="C336" i="44"/>
  <c r="X335" i="44"/>
  <c r="U335" i="44"/>
  <c r="R335" i="44"/>
  <c r="O335" i="44"/>
  <c r="L335" i="44"/>
  <c r="I335" i="44"/>
  <c r="F335" i="44"/>
  <c r="C335" i="44"/>
  <c r="X334" i="44"/>
  <c r="U334" i="44"/>
  <c r="R334" i="44"/>
  <c r="O334" i="44"/>
  <c r="L334" i="44"/>
  <c r="I334" i="44"/>
  <c r="F334" i="44"/>
  <c r="C334" i="44"/>
  <c r="X333" i="44"/>
  <c r="U333" i="44"/>
  <c r="R333" i="44"/>
  <c r="O333" i="44"/>
  <c r="L333" i="44"/>
  <c r="I333" i="44"/>
  <c r="F333" i="44"/>
  <c r="C333" i="44"/>
  <c r="X332" i="44"/>
  <c r="U332" i="44"/>
  <c r="R332" i="44"/>
  <c r="O332" i="44"/>
  <c r="L332" i="44"/>
  <c r="I332" i="44"/>
  <c r="F332" i="44"/>
  <c r="C332" i="44"/>
  <c r="X331" i="44"/>
  <c r="U331" i="44"/>
  <c r="R331" i="44"/>
  <c r="O331" i="44"/>
  <c r="L331" i="44"/>
  <c r="I331" i="44"/>
  <c r="F331" i="44"/>
  <c r="C331" i="44"/>
  <c r="X330" i="44"/>
  <c r="U330" i="44"/>
  <c r="R330" i="44"/>
  <c r="O330" i="44"/>
  <c r="L330" i="44"/>
  <c r="I330" i="44"/>
  <c r="F330" i="44"/>
  <c r="C330" i="44"/>
  <c r="X329" i="44"/>
  <c r="U329" i="44"/>
  <c r="R329" i="44"/>
  <c r="O329" i="44"/>
  <c r="L329" i="44"/>
  <c r="I329" i="44"/>
  <c r="F329" i="44"/>
  <c r="C329" i="44"/>
  <c r="X327" i="44"/>
  <c r="X326" i="44"/>
  <c r="X325" i="44"/>
  <c r="X324" i="44"/>
  <c r="X323" i="44"/>
  <c r="U323" i="44"/>
  <c r="R323" i="44"/>
  <c r="O323" i="44"/>
  <c r="L323" i="44"/>
  <c r="I323" i="44"/>
  <c r="F323" i="44"/>
  <c r="C323" i="44"/>
  <c r="X322" i="44"/>
  <c r="U322" i="44"/>
  <c r="R322" i="44"/>
  <c r="O322" i="44"/>
  <c r="L322" i="44"/>
  <c r="I322" i="44"/>
  <c r="F322" i="44"/>
  <c r="C322" i="44"/>
  <c r="X321" i="44"/>
  <c r="U321" i="44"/>
  <c r="R321" i="44"/>
  <c r="O321" i="44"/>
  <c r="L321" i="44"/>
  <c r="I321" i="44"/>
  <c r="F321" i="44"/>
  <c r="C321" i="44"/>
  <c r="X320" i="44"/>
  <c r="U320" i="44"/>
  <c r="R320" i="44"/>
  <c r="O320" i="44"/>
  <c r="L320" i="44"/>
  <c r="I320" i="44"/>
  <c r="F320" i="44"/>
  <c r="C320" i="44"/>
  <c r="X319" i="44"/>
  <c r="U319" i="44"/>
  <c r="R319" i="44"/>
  <c r="O319" i="44"/>
  <c r="L319" i="44"/>
  <c r="I319" i="44"/>
  <c r="F319" i="44"/>
  <c r="C319" i="44"/>
  <c r="X318" i="44"/>
  <c r="U318" i="44"/>
  <c r="R318" i="44"/>
  <c r="O318" i="44"/>
  <c r="L318" i="44"/>
  <c r="I318" i="44"/>
  <c r="F318" i="44"/>
  <c r="C318" i="44"/>
  <c r="D54" i="43"/>
  <c r="X312" i="44"/>
  <c r="X311" i="44"/>
  <c r="U311" i="44"/>
  <c r="R311" i="44"/>
  <c r="O311" i="44"/>
  <c r="L311" i="44"/>
  <c r="I311" i="44"/>
  <c r="F311" i="44"/>
  <c r="C311" i="44"/>
  <c r="X310" i="44"/>
  <c r="U310" i="44"/>
  <c r="R310" i="44"/>
  <c r="O310" i="44"/>
  <c r="L310" i="44"/>
  <c r="I310" i="44"/>
  <c r="F310" i="44"/>
  <c r="C310" i="44"/>
  <c r="X309" i="44"/>
  <c r="U309" i="44"/>
  <c r="R309" i="44"/>
  <c r="O309" i="44"/>
  <c r="L309" i="44"/>
  <c r="I309" i="44"/>
  <c r="F309" i="44"/>
  <c r="C309" i="44"/>
  <c r="X308" i="44"/>
  <c r="U308" i="44"/>
  <c r="R308" i="44"/>
  <c r="O308" i="44"/>
  <c r="L308" i="44"/>
  <c r="I308" i="44"/>
  <c r="F308" i="44"/>
  <c r="C308" i="44"/>
  <c r="X307" i="44"/>
  <c r="U307" i="44"/>
  <c r="R307" i="44"/>
  <c r="O307" i="44"/>
  <c r="L307" i="44"/>
  <c r="I307" i="44"/>
  <c r="F307" i="44"/>
  <c r="C307" i="44"/>
  <c r="X284" i="44"/>
  <c r="U284" i="44"/>
  <c r="R284" i="44"/>
  <c r="O284" i="44"/>
  <c r="L284" i="44"/>
  <c r="I284" i="44"/>
  <c r="F284" i="44"/>
  <c r="C284" i="44"/>
  <c r="X283" i="44"/>
  <c r="U283" i="44"/>
  <c r="R283" i="44"/>
  <c r="O283" i="44"/>
  <c r="L283" i="44"/>
  <c r="I283" i="44"/>
  <c r="F283" i="44"/>
  <c r="C283" i="44"/>
  <c r="X282" i="44"/>
  <c r="U282" i="44"/>
  <c r="R282" i="44"/>
  <c r="O282" i="44"/>
  <c r="L282" i="44"/>
  <c r="I282" i="44"/>
  <c r="F282" i="44"/>
  <c r="C282" i="44"/>
  <c r="X281" i="44"/>
  <c r="U281" i="44"/>
  <c r="R281" i="44"/>
  <c r="O281" i="44"/>
  <c r="L281" i="44"/>
  <c r="I281" i="44"/>
  <c r="F281" i="44"/>
  <c r="C281" i="44"/>
  <c r="X280" i="44"/>
  <c r="U280" i="44"/>
  <c r="R280" i="44"/>
  <c r="O280" i="44"/>
  <c r="L280" i="44"/>
  <c r="I280" i="44"/>
  <c r="F280" i="44"/>
  <c r="C280" i="44"/>
  <c r="X279" i="44"/>
  <c r="U279" i="44"/>
  <c r="R279" i="44"/>
  <c r="O279" i="44"/>
  <c r="L279" i="44"/>
  <c r="I279" i="44"/>
  <c r="F279" i="44"/>
  <c r="C279" i="44"/>
  <c r="X278" i="44"/>
  <c r="U278" i="44"/>
  <c r="R278" i="44"/>
  <c r="O278" i="44"/>
  <c r="L278" i="44"/>
  <c r="I278" i="44"/>
  <c r="F278" i="44"/>
  <c r="C278" i="44"/>
  <c r="X277" i="44"/>
  <c r="U277" i="44"/>
  <c r="R277" i="44"/>
  <c r="O277" i="44"/>
  <c r="L277" i="44"/>
  <c r="I277" i="44"/>
  <c r="F277" i="44"/>
  <c r="C277" i="44"/>
  <c r="X276" i="44"/>
  <c r="U276" i="44"/>
  <c r="R276" i="44"/>
  <c r="O276" i="44"/>
  <c r="L276" i="44"/>
  <c r="I276" i="44"/>
  <c r="F276" i="44"/>
  <c r="C276" i="44"/>
  <c r="X275" i="44"/>
  <c r="U275" i="44"/>
  <c r="R275" i="44"/>
  <c r="O275" i="44"/>
  <c r="L275" i="44"/>
  <c r="I275" i="44"/>
  <c r="F275" i="44"/>
  <c r="C275" i="44"/>
  <c r="X274" i="44"/>
  <c r="U274" i="44"/>
  <c r="R274" i="44"/>
  <c r="O274" i="44"/>
  <c r="L274" i="44"/>
  <c r="I274" i="44"/>
  <c r="F274" i="44"/>
  <c r="C274" i="44"/>
  <c r="X273" i="44"/>
  <c r="U273" i="44"/>
  <c r="R273" i="44"/>
  <c r="O273" i="44"/>
  <c r="L273" i="44"/>
  <c r="I273" i="44"/>
  <c r="F273" i="44"/>
  <c r="C273" i="44"/>
  <c r="X272" i="44"/>
  <c r="U272" i="44"/>
  <c r="R272" i="44"/>
  <c r="O272" i="44"/>
  <c r="L272" i="44"/>
  <c r="I272" i="44"/>
  <c r="F272" i="44"/>
  <c r="C272" i="44"/>
  <c r="X271" i="44"/>
  <c r="U271" i="44"/>
  <c r="R271" i="44"/>
  <c r="O271" i="44"/>
  <c r="L271" i="44"/>
  <c r="I271" i="44"/>
  <c r="F271" i="44"/>
  <c r="C271" i="44"/>
  <c r="X270" i="44"/>
  <c r="U270" i="44"/>
  <c r="R270" i="44"/>
  <c r="O270" i="44"/>
  <c r="L270" i="44"/>
  <c r="I270" i="44"/>
  <c r="F270" i="44"/>
  <c r="C270" i="44"/>
  <c r="X269" i="44"/>
  <c r="U269" i="44"/>
  <c r="R269" i="44"/>
  <c r="O269" i="44"/>
  <c r="L269" i="44"/>
  <c r="I269" i="44"/>
  <c r="F269" i="44"/>
  <c r="C269" i="44"/>
  <c r="X268" i="44"/>
  <c r="U268" i="44"/>
  <c r="R268" i="44"/>
  <c r="O268" i="44"/>
  <c r="L268" i="44"/>
  <c r="I268" i="44"/>
  <c r="F268" i="44"/>
  <c r="C268" i="44"/>
  <c r="X267" i="44"/>
  <c r="U267" i="44"/>
  <c r="R267" i="44"/>
  <c r="O267" i="44"/>
  <c r="L267" i="44"/>
  <c r="I267" i="44"/>
  <c r="F267" i="44"/>
  <c r="C267" i="44"/>
  <c r="X266" i="44"/>
  <c r="U266" i="44"/>
  <c r="R266" i="44"/>
  <c r="O266" i="44"/>
  <c r="L266" i="44"/>
  <c r="I266" i="44"/>
  <c r="F266" i="44"/>
  <c r="C266" i="44"/>
  <c r="X265" i="44"/>
  <c r="U265" i="44"/>
  <c r="R265" i="44"/>
  <c r="O265" i="44"/>
  <c r="L265" i="44"/>
  <c r="I265" i="44"/>
  <c r="F265" i="44"/>
  <c r="C265" i="44"/>
  <c r="X264" i="44"/>
  <c r="U264" i="44"/>
  <c r="R264" i="44"/>
  <c r="O264" i="44"/>
  <c r="L264" i="44"/>
  <c r="I264" i="44"/>
  <c r="F264" i="44"/>
  <c r="C264" i="44"/>
  <c r="X263" i="44"/>
  <c r="U263" i="44"/>
  <c r="R263" i="44"/>
  <c r="O263" i="44"/>
  <c r="L263" i="44"/>
  <c r="I263" i="44"/>
  <c r="F263" i="44"/>
  <c r="C263" i="44"/>
  <c r="X254" i="44"/>
  <c r="U254" i="44"/>
  <c r="R254" i="44"/>
  <c r="O254" i="44"/>
  <c r="L254" i="44"/>
  <c r="I254" i="44"/>
  <c r="F254" i="44"/>
  <c r="C254" i="44"/>
  <c r="X253" i="44"/>
  <c r="U253" i="44"/>
  <c r="R253" i="44"/>
  <c r="O253" i="44"/>
  <c r="L253" i="44"/>
  <c r="I253" i="44"/>
  <c r="F253" i="44"/>
  <c r="C253" i="44"/>
  <c r="X252" i="44"/>
  <c r="U252" i="44"/>
  <c r="R252" i="44"/>
  <c r="O252" i="44"/>
  <c r="L252" i="44"/>
  <c r="I252" i="44"/>
  <c r="F252" i="44"/>
  <c r="C252" i="44"/>
  <c r="X251" i="44"/>
  <c r="U251" i="44"/>
  <c r="R251" i="44"/>
  <c r="O251" i="44"/>
  <c r="L251" i="44"/>
  <c r="I251" i="44"/>
  <c r="F251" i="44"/>
  <c r="C251" i="44"/>
  <c r="X250" i="44"/>
  <c r="U250" i="44"/>
  <c r="R250" i="44"/>
  <c r="O250" i="44"/>
  <c r="L250" i="44"/>
  <c r="I250" i="44"/>
  <c r="F250" i="44"/>
  <c r="C250" i="44"/>
  <c r="X249" i="44"/>
  <c r="U249" i="44"/>
  <c r="R249" i="44"/>
  <c r="O249" i="44"/>
  <c r="L249" i="44"/>
  <c r="I249" i="44"/>
  <c r="F249" i="44"/>
  <c r="C249" i="44"/>
  <c r="X248" i="44"/>
  <c r="U248" i="44"/>
  <c r="R248" i="44"/>
  <c r="O248" i="44"/>
  <c r="L248" i="44"/>
  <c r="I248" i="44"/>
  <c r="F248" i="44"/>
  <c r="C248" i="44"/>
  <c r="X247" i="44"/>
  <c r="U247" i="44"/>
  <c r="R247" i="44"/>
  <c r="O247" i="44"/>
  <c r="L247" i="44"/>
  <c r="I247" i="44"/>
  <c r="F247" i="44"/>
  <c r="C247" i="44"/>
  <c r="X246" i="44"/>
  <c r="U246" i="44"/>
  <c r="R246" i="44"/>
  <c r="O246" i="44"/>
  <c r="L246" i="44"/>
  <c r="I246" i="44"/>
  <c r="F246" i="44"/>
  <c r="C246" i="44"/>
  <c r="X245" i="44"/>
  <c r="U245" i="44"/>
  <c r="R245" i="44"/>
  <c r="O245" i="44"/>
  <c r="L245" i="44"/>
  <c r="I245" i="44"/>
  <c r="F245" i="44"/>
  <c r="C245" i="44"/>
  <c r="X244" i="44"/>
  <c r="U244" i="44"/>
  <c r="R244" i="44"/>
  <c r="O244" i="44"/>
  <c r="L244" i="44"/>
  <c r="I244" i="44"/>
  <c r="F244" i="44"/>
  <c r="C244" i="44"/>
  <c r="X243" i="44"/>
  <c r="U243" i="44"/>
  <c r="R243" i="44"/>
  <c r="O243" i="44"/>
  <c r="L243" i="44"/>
  <c r="I243" i="44"/>
  <c r="F243" i="44"/>
  <c r="C243" i="44"/>
  <c r="X242" i="44"/>
  <c r="U242" i="44"/>
  <c r="R242" i="44"/>
  <c r="O242" i="44"/>
  <c r="L242" i="44"/>
  <c r="I242" i="44"/>
  <c r="F242" i="44"/>
  <c r="C242" i="44"/>
  <c r="X241" i="44"/>
  <c r="U241" i="44"/>
  <c r="R241" i="44"/>
  <c r="O241" i="44"/>
  <c r="L241" i="44"/>
  <c r="I241" i="44"/>
  <c r="F241" i="44"/>
  <c r="C241" i="44"/>
  <c r="X240" i="44"/>
  <c r="U240" i="44"/>
  <c r="R240" i="44"/>
  <c r="O240" i="44"/>
  <c r="L240" i="44"/>
  <c r="I240" i="44"/>
  <c r="F240" i="44"/>
  <c r="C240" i="44"/>
  <c r="X239" i="44"/>
  <c r="U239" i="44"/>
  <c r="R239" i="44"/>
  <c r="O239" i="44"/>
  <c r="L239" i="44"/>
  <c r="I239" i="44"/>
  <c r="F239" i="44"/>
  <c r="C239" i="44"/>
  <c r="X238" i="44"/>
  <c r="U238" i="44"/>
  <c r="R238" i="44"/>
  <c r="O238" i="44"/>
  <c r="L238" i="44"/>
  <c r="I238" i="44"/>
  <c r="F238" i="44"/>
  <c r="C238" i="44"/>
  <c r="X237" i="44"/>
  <c r="U237" i="44"/>
  <c r="R237" i="44"/>
  <c r="O237" i="44"/>
  <c r="L237" i="44"/>
  <c r="I237" i="44"/>
  <c r="F237" i="44"/>
  <c r="C237" i="44"/>
  <c r="X236" i="44"/>
  <c r="U236" i="44"/>
  <c r="R236" i="44"/>
  <c r="O236" i="44"/>
  <c r="L236" i="44"/>
  <c r="I236" i="44"/>
  <c r="F236" i="44"/>
  <c r="C236" i="44"/>
  <c r="X235" i="44"/>
  <c r="U235" i="44"/>
  <c r="R235" i="44"/>
  <c r="O235" i="44"/>
  <c r="L235" i="44"/>
  <c r="I235" i="44"/>
  <c r="F235" i="44"/>
  <c r="C235" i="44"/>
  <c r="X234" i="44"/>
  <c r="U234" i="44"/>
  <c r="R234" i="44"/>
  <c r="O234" i="44"/>
  <c r="L234" i="44"/>
  <c r="I234" i="44"/>
  <c r="F234" i="44"/>
  <c r="C234" i="44"/>
  <c r="X229" i="44"/>
  <c r="U229" i="44"/>
  <c r="R229" i="44"/>
  <c r="O229" i="44"/>
  <c r="L229" i="44"/>
  <c r="I229" i="44"/>
  <c r="F229" i="44"/>
  <c r="C229" i="44"/>
  <c r="X228" i="44"/>
  <c r="U228" i="44"/>
  <c r="R228" i="44"/>
  <c r="O228" i="44"/>
  <c r="L228" i="44"/>
  <c r="I228" i="44"/>
  <c r="F228" i="44"/>
  <c r="C228" i="44"/>
  <c r="X227" i="44"/>
  <c r="U227" i="44"/>
  <c r="R227" i="44"/>
  <c r="O227" i="44"/>
  <c r="L227" i="44"/>
  <c r="I227" i="44"/>
  <c r="F227" i="44"/>
  <c r="C227" i="44"/>
  <c r="X226" i="44"/>
  <c r="U226" i="44"/>
  <c r="R226" i="44"/>
  <c r="O226" i="44"/>
  <c r="L226" i="44"/>
  <c r="I226" i="44"/>
  <c r="F226" i="44"/>
  <c r="C226" i="44"/>
  <c r="X225" i="44"/>
  <c r="U225" i="44"/>
  <c r="R225" i="44"/>
  <c r="O225" i="44"/>
  <c r="L225" i="44"/>
  <c r="I225" i="44"/>
  <c r="F225" i="44"/>
  <c r="C225" i="44"/>
  <c r="X224" i="44"/>
  <c r="U224" i="44"/>
  <c r="R224" i="44"/>
  <c r="O224" i="44"/>
  <c r="L224" i="44"/>
  <c r="I224" i="44"/>
  <c r="F224" i="44"/>
  <c r="C224" i="44"/>
  <c r="X223" i="44"/>
  <c r="U223" i="44"/>
  <c r="R223" i="44"/>
  <c r="O223" i="44"/>
  <c r="L223" i="44"/>
  <c r="I223" i="44"/>
  <c r="F223" i="44"/>
  <c r="C223" i="44"/>
  <c r="X222" i="44"/>
  <c r="U222" i="44"/>
  <c r="R222" i="44"/>
  <c r="O222" i="44"/>
  <c r="L222" i="44"/>
  <c r="I222" i="44"/>
  <c r="F222" i="44"/>
  <c r="C222" i="44"/>
  <c r="X221" i="44"/>
  <c r="U221" i="44"/>
  <c r="R221" i="44"/>
  <c r="O221" i="44"/>
  <c r="L221" i="44"/>
  <c r="I221" i="44"/>
  <c r="F221" i="44"/>
  <c r="C221" i="44"/>
  <c r="X220" i="44"/>
  <c r="U220" i="44"/>
  <c r="R220" i="44"/>
  <c r="O220" i="44"/>
  <c r="L220" i="44"/>
  <c r="I220" i="44"/>
  <c r="F220" i="44"/>
  <c r="C220" i="44"/>
  <c r="X219" i="44"/>
  <c r="U219" i="44"/>
  <c r="R219" i="44"/>
  <c r="O219" i="44"/>
  <c r="L219" i="44"/>
  <c r="I219" i="44"/>
  <c r="F219" i="44"/>
  <c r="C219" i="44"/>
  <c r="X218" i="44"/>
  <c r="U218" i="44"/>
  <c r="R218" i="44"/>
  <c r="O218" i="44"/>
  <c r="L218" i="44"/>
  <c r="I218" i="44"/>
  <c r="F218" i="44"/>
  <c r="C218" i="44"/>
  <c r="X217" i="44"/>
  <c r="U217" i="44"/>
  <c r="R217" i="44"/>
  <c r="O217" i="44"/>
  <c r="L217" i="44"/>
  <c r="I217" i="44"/>
  <c r="F217" i="44"/>
  <c r="C217" i="44"/>
  <c r="X216" i="44"/>
  <c r="U216" i="44"/>
  <c r="R216" i="44"/>
  <c r="O216" i="44"/>
  <c r="L216" i="44"/>
  <c r="I216" i="44"/>
  <c r="F216" i="44"/>
  <c r="C216" i="44"/>
  <c r="X215" i="44"/>
  <c r="U215" i="44"/>
  <c r="R215" i="44"/>
  <c r="O215" i="44"/>
  <c r="L215" i="44"/>
  <c r="I215" i="44"/>
  <c r="F215" i="44"/>
  <c r="C215" i="44"/>
  <c r="X214" i="44"/>
  <c r="U214" i="44"/>
  <c r="R214" i="44"/>
  <c r="O214" i="44"/>
  <c r="L214" i="44"/>
  <c r="I214" i="44"/>
  <c r="F214" i="44"/>
  <c r="C214" i="44"/>
  <c r="X209" i="44"/>
  <c r="U209" i="44"/>
  <c r="R209" i="44"/>
  <c r="O209" i="44"/>
  <c r="L209" i="44"/>
  <c r="I209" i="44"/>
  <c r="F209" i="44"/>
  <c r="C209" i="44"/>
  <c r="X206" i="44"/>
  <c r="U206" i="44"/>
  <c r="R206" i="44"/>
  <c r="O206" i="44"/>
  <c r="L206" i="44"/>
  <c r="I206" i="44"/>
  <c r="F206" i="44"/>
  <c r="C206" i="44"/>
  <c r="X205" i="44"/>
  <c r="U205" i="44"/>
  <c r="R205" i="44"/>
  <c r="O205" i="44"/>
  <c r="L205" i="44"/>
  <c r="I205" i="44"/>
  <c r="F205" i="44"/>
  <c r="C205" i="44"/>
  <c r="X204" i="44"/>
  <c r="U204" i="44"/>
  <c r="R204" i="44"/>
  <c r="O204" i="44"/>
  <c r="L204" i="44"/>
  <c r="I204" i="44"/>
  <c r="F204" i="44"/>
  <c r="C204" i="44"/>
  <c r="X203" i="44"/>
  <c r="U203" i="44"/>
  <c r="R203" i="44"/>
  <c r="O203" i="44"/>
  <c r="L203" i="44"/>
  <c r="I203" i="44"/>
  <c r="F203" i="44"/>
  <c r="C203" i="44"/>
  <c r="X202" i="44"/>
  <c r="U202" i="44"/>
  <c r="R202" i="44"/>
  <c r="O202" i="44"/>
  <c r="L202" i="44"/>
  <c r="I202" i="44"/>
  <c r="F202" i="44"/>
  <c r="C202" i="44"/>
  <c r="X201" i="44"/>
  <c r="U201" i="44"/>
  <c r="R201" i="44"/>
  <c r="O201" i="44"/>
  <c r="L201" i="44"/>
  <c r="I201" i="44"/>
  <c r="F201" i="44"/>
  <c r="C201" i="44"/>
  <c r="X200" i="44"/>
  <c r="U200" i="44"/>
  <c r="R200" i="44"/>
  <c r="O200" i="44"/>
  <c r="L200" i="44"/>
  <c r="I200" i="44"/>
  <c r="F200" i="44"/>
  <c r="C200" i="44"/>
  <c r="X199" i="44"/>
  <c r="U199" i="44"/>
  <c r="R199" i="44"/>
  <c r="O199" i="44"/>
  <c r="L199" i="44"/>
  <c r="I199" i="44"/>
  <c r="F199" i="44"/>
  <c r="C199" i="44"/>
  <c r="X198" i="44"/>
  <c r="U198" i="44"/>
  <c r="R198" i="44"/>
  <c r="O198" i="44"/>
  <c r="L198" i="44"/>
  <c r="I198" i="44"/>
  <c r="F198" i="44"/>
  <c r="C198" i="44"/>
  <c r="X197" i="44"/>
  <c r="U197" i="44"/>
  <c r="R197" i="44"/>
  <c r="O197" i="44"/>
  <c r="L197" i="44"/>
  <c r="I197" i="44"/>
  <c r="F197" i="44"/>
  <c r="C197" i="44"/>
  <c r="X196" i="44"/>
  <c r="U196" i="44"/>
  <c r="R196" i="44"/>
  <c r="O196" i="44"/>
  <c r="L196" i="44"/>
  <c r="I196" i="44"/>
  <c r="F196" i="44"/>
  <c r="C196" i="44"/>
  <c r="X195" i="44"/>
  <c r="U195" i="44"/>
  <c r="R195" i="44"/>
  <c r="O195" i="44"/>
  <c r="L195" i="44"/>
  <c r="I195" i="44"/>
  <c r="F195" i="44"/>
  <c r="C195" i="44"/>
  <c r="X190" i="44"/>
  <c r="U190" i="44"/>
  <c r="R190" i="44"/>
  <c r="O190" i="44"/>
  <c r="L190" i="44"/>
  <c r="I190" i="44"/>
  <c r="F190" i="44"/>
  <c r="C190" i="44"/>
  <c r="X189" i="44"/>
  <c r="U189" i="44"/>
  <c r="R189" i="44"/>
  <c r="O189" i="44"/>
  <c r="L189" i="44"/>
  <c r="I189" i="44"/>
  <c r="F189" i="44"/>
  <c r="C189" i="44"/>
  <c r="X188" i="44"/>
  <c r="U188" i="44"/>
  <c r="R188" i="44"/>
  <c r="O188" i="44"/>
  <c r="L188" i="44"/>
  <c r="I188" i="44"/>
  <c r="F188" i="44"/>
  <c r="C188" i="44"/>
  <c r="X187" i="44"/>
  <c r="U187" i="44"/>
  <c r="R187" i="44"/>
  <c r="O187" i="44"/>
  <c r="L187" i="44"/>
  <c r="I187" i="44"/>
  <c r="F187" i="44"/>
  <c r="C187" i="44"/>
  <c r="X186" i="44"/>
  <c r="U186" i="44"/>
  <c r="R186" i="44"/>
  <c r="O186" i="44"/>
  <c r="L186" i="44"/>
  <c r="I186" i="44"/>
  <c r="F186" i="44"/>
  <c r="C186" i="44"/>
  <c r="X185" i="44"/>
  <c r="U185" i="44"/>
  <c r="R185" i="44"/>
  <c r="O185" i="44"/>
  <c r="L185" i="44"/>
  <c r="I185" i="44"/>
  <c r="F185" i="44"/>
  <c r="C185" i="44"/>
  <c r="X184" i="44"/>
  <c r="U184" i="44"/>
  <c r="R184" i="44"/>
  <c r="O184" i="44"/>
  <c r="L184" i="44"/>
  <c r="I184" i="44"/>
  <c r="F184" i="44"/>
  <c r="C184" i="44"/>
  <c r="X183" i="44"/>
  <c r="U183" i="44"/>
  <c r="R183" i="44"/>
  <c r="O183" i="44"/>
  <c r="L183" i="44"/>
  <c r="I183" i="44"/>
  <c r="F183" i="44"/>
  <c r="C183" i="44"/>
  <c r="X182" i="44"/>
  <c r="U182" i="44"/>
  <c r="R182" i="44"/>
  <c r="O182" i="44"/>
  <c r="L182" i="44"/>
  <c r="I182" i="44"/>
  <c r="F182" i="44"/>
  <c r="C182" i="44"/>
  <c r="X181" i="44"/>
  <c r="U181" i="44"/>
  <c r="R181" i="44"/>
  <c r="O181" i="44"/>
  <c r="L181" i="44"/>
  <c r="I181" i="44"/>
  <c r="F181" i="44"/>
  <c r="C181" i="44"/>
  <c r="X180" i="44"/>
  <c r="U180" i="44"/>
  <c r="R180" i="44"/>
  <c r="O180" i="44"/>
  <c r="L180" i="44"/>
  <c r="I180" i="44"/>
  <c r="F180" i="44"/>
  <c r="C180" i="44"/>
  <c r="X179" i="44"/>
  <c r="U179" i="44"/>
  <c r="R179" i="44"/>
  <c r="O179" i="44"/>
  <c r="L179" i="44"/>
  <c r="I179" i="44"/>
  <c r="F179" i="44"/>
  <c r="C179" i="44"/>
  <c r="X178" i="44"/>
  <c r="U178" i="44"/>
  <c r="R178" i="44"/>
  <c r="O178" i="44"/>
  <c r="L178" i="44"/>
  <c r="I178" i="44"/>
  <c r="F178" i="44"/>
  <c r="C178" i="44"/>
  <c r="X177" i="44"/>
  <c r="U177" i="44"/>
  <c r="R177" i="44"/>
  <c r="O177" i="44"/>
  <c r="L177" i="44"/>
  <c r="I177" i="44"/>
  <c r="F177" i="44"/>
  <c r="C177" i="44"/>
  <c r="X176" i="44"/>
  <c r="U176" i="44"/>
  <c r="R176" i="44"/>
  <c r="O176" i="44"/>
  <c r="L176" i="44"/>
  <c r="I176" i="44"/>
  <c r="F176" i="44"/>
  <c r="C176" i="44"/>
  <c r="X175" i="44"/>
  <c r="U175" i="44"/>
  <c r="R175" i="44"/>
  <c r="O175" i="44"/>
  <c r="L175" i="44"/>
  <c r="I175" i="44"/>
  <c r="F175" i="44"/>
  <c r="C175" i="44"/>
  <c r="X165" i="44"/>
  <c r="U165" i="44"/>
  <c r="R165" i="44"/>
  <c r="O165" i="44"/>
  <c r="L165" i="44"/>
  <c r="I165" i="44"/>
  <c r="F165" i="44"/>
  <c r="C165" i="44"/>
  <c r="U162" i="44"/>
  <c r="R162" i="44"/>
  <c r="O162" i="44"/>
  <c r="L162" i="44"/>
  <c r="I162" i="44"/>
  <c r="F162" i="44"/>
  <c r="C162" i="44"/>
  <c r="U161" i="44"/>
  <c r="R161" i="44"/>
  <c r="O161" i="44"/>
  <c r="L161" i="44"/>
  <c r="I161" i="44"/>
  <c r="F161" i="44"/>
  <c r="C161" i="44"/>
  <c r="X160" i="44"/>
  <c r="U160" i="44"/>
  <c r="R160" i="44"/>
  <c r="O160" i="44"/>
  <c r="L160" i="44"/>
  <c r="I160" i="44"/>
  <c r="F160" i="44"/>
  <c r="C160" i="44"/>
  <c r="X157" i="44"/>
  <c r="U157" i="44"/>
  <c r="R157" i="44"/>
  <c r="O157" i="44"/>
  <c r="L157" i="44"/>
  <c r="I157" i="44"/>
  <c r="F157" i="44"/>
  <c r="C157" i="44"/>
  <c r="X156" i="44"/>
  <c r="U156" i="44"/>
  <c r="R156" i="44"/>
  <c r="O156" i="44"/>
  <c r="L156" i="44"/>
  <c r="I156" i="44"/>
  <c r="F156" i="44"/>
  <c r="C156" i="44"/>
  <c r="X155" i="44"/>
  <c r="U155" i="44"/>
  <c r="R155" i="44"/>
  <c r="O155" i="44"/>
  <c r="L155" i="44"/>
  <c r="I155" i="44"/>
  <c r="F155" i="44"/>
  <c r="C155" i="44"/>
  <c r="X154" i="44"/>
  <c r="U154" i="44"/>
  <c r="R154" i="44"/>
  <c r="O154" i="44"/>
  <c r="L154" i="44"/>
  <c r="I154" i="44"/>
  <c r="F154" i="44"/>
  <c r="C154" i="44"/>
  <c r="X153" i="44"/>
  <c r="U153" i="44"/>
  <c r="R153" i="44"/>
  <c r="O153" i="44"/>
  <c r="L153" i="44"/>
  <c r="I153" i="44"/>
  <c r="F153" i="44"/>
  <c r="C153" i="44"/>
  <c r="X152" i="44"/>
  <c r="U152" i="44"/>
  <c r="R152" i="44"/>
  <c r="O152" i="44"/>
  <c r="L152" i="44"/>
  <c r="I152" i="44"/>
  <c r="F152" i="44"/>
  <c r="C152" i="44"/>
  <c r="U151" i="44"/>
  <c r="R151" i="44"/>
  <c r="O151" i="44"/>
  <c r="L151" i="44"/>
  <c r="I151" i="44"/>
  <c r="F151" i="44"/>
  <c r="C151" i="44"/>
  <c r="X150" i="44"/>
  <c r="U150" i="44"/>
  <c r="R150" i="44"/>
  <c r="O150" i="44"/>
  <c r="L150" i="44"/>
  <c r="I150" i="44"/>
  <c r="F150" i="44"/>
  <c r="C150" i="44"/>
  <c r="X149" i="44"/>
  <c r="U149" i="44"/>
  <c r="R149" i="44"/>
  <c r="O149" i="44"/>
  <c r="L149" i="44"/>
  <c r="I149" i="44"/>
  <c r="F149" i="44"/>
  <c r="C149" i="44"/>
  <c r="X148" i="44"/>
  <c r="U148" i="44"/>
  <c r="R148" i="44"/>
  <c r="O148" i="44"/>
  <c r="L148" i="44"/>
  <c r="I148" i="44"/>
  <c r="F148" i="44"/>
  <c r="C148" i="44"/>
  <c r="X147" i="44"/>
  <c r="U147" i="44"/>
  <c r="R147" i="44"/>
  <c r="O147" i="44"/>
  <c r="L147" i="44"/>
  <c r="I147" i="44"/>
  <c r="F147" i="44"/>
  <c r="C147" i="44"/>
  <c r="X146" i="44"/>
  <c r="U146" i="44"/>
  <c r="R146" i="44"/>
  <c r="O146" i="44"/>
  <c r="L146" i="44"/>
  <c r="I146" i="44"/>
  <c r="F146" i="44"/>
  <c r="C146" i="44"/>
  <c r="X145" i="44"/>
  <c r="U145" i="44"/>
  <c r="R145" i="44"/>
  <c r="O145" i="44"/>
  <c r="L145" i="44"/>
  <c r="I145" i="44"/>
  <c r="F145" i="44"/>
  <c r="C145" i="44"/>
  <c r="X133" i="44"/>
  <c r="U133" i="44"/>
  <c r="R133" i="44"/>
  <c r="O133" i="44"/>
  <c r="L133" i="44"/>
  <c r="I133" i="44"/>
  <c r="F133" i="44"/>
  <c r="C133" i="44"/>
  <c r="X132" i="44"/>
  <c r="U132" i="44"/>
  <c r="R132" i="44"/>
  <c r="O132" i="44"/>
  <c r="L132" i="44"/>
  <c r="I132" i="44"/>
  <c r="F132" i="44"/>
  <c r="C132" i="44"/>
  <c r="X131" i="44"/>
  <c r="X129" i="44"/>
  <c r="X128" i="44"/>
  <c r="U128" i="44"/>
  <c r="R128" i="44"/>
  <c r="O128" i="44"/>
  <c r="L128" i="44"/>
  <c r="I128" i="44"/>
  <c r="F128" i="44"/>
  <c r="C128" i="44"/>
  <c r="X127" i="44"/>
  <c r="U127" i="44"/>
  <c r="R127" i="44"/>
  <c r="O127" i="44"/>
  <c r="L127" i="44"/>
  <c r="I127" i="44"/>
  <c r="F127" i="44"/>
  <c r="C127" i="44"/>
  <c r="X126" i="44"/>
  <c r="U126" i="44"/>
  <c r="R126" i="44"/>
  <c r="O126" i="44"/>
  <c r="L126" i="44"/>
  <c r="I126" i="44"/>
  <c r="F126" i="44"/>
  <c r="C126" i="44"/>
  <c r="X125" i="44"/>
  <c r="U125" i="44"/>
  <c r="R125" i="44"/>
  <c r="O125" i="44"/>
  <c r="L125" i="44"/>
  <c r="I125" i="44"/>
  <c r="F125" i="44"/>
  <c r="C125" i="44"/>
  <c r="X124" i="44"/>
  <c r="U124" i="44"/>
  <c r="R124" i="44"/>
  <c r="O124" i="44"/>
  <c r="L124" i="44"/>
  <c r="I124" i="44"/>
  <c r="F124" i="44"/>
  <c r="C124" i="44"/>
  <c r="X123" i="44"/>
  <c r="U123" i="44"/>
  <c r="R123" i="44"/>
  <c r="O123" i="44"/>
  <c r="L123" i="44"/>
  <c r="I123" i="44"/>
  <c r="F123" i="44"/>
  <c r="C123" i="44"/>
  <c r="X122" i="44"/>
  <c r="U122" i="44"/>
  <c r="R122" i="44"/>
  <c r="O122" i="44"/>
  <c r="L122" i="44"/>
  <c r="I122" i="44"/>
  <c r="F122" i="44"/>
  <c r="C122" i="44"/>
  <c r="X121" i="44"/>
  <c r="U121" i="44"/>
  <c r="R121" i="44"/>
  <c r="O121" i="44"/>
  <c r="L121" i="44"/>
  <c r="I121" i="44"/>
  <c r="F121" i="44"/>
  <c r="C121" i="44"/>
  <c r="X120" i="44"/>
  <c r="U120" i="44"/>
  <c r="R120" i="44"/>
  <c r="O120" i="44"/>
  <c r="L120" i="44"/>
  <c r="I120" i="44"/>
  <c r="F120" i="44"/>
  <c r="C120" i="44"/>
  <c r="X118" i="44"/>
  <c r="U118" i="44"/>
  <c r="R118" i="44"/>
  <c r="O118" i="44"/>
  <c r="L118" i="44"/>
  <c r="I118" i="44"/>
  <c r="F118" i="44"/>
  <c r="C118" i="44"/>
  <c r="X117" i="44"/>
  <c r="U117" i="44"/>
  <c r="R117" i="44"/>
  <c r="O117" i="44"/>
  <c r="L117" i="44"/>
  <c r="I117" i="44"/>
  <c r="F117" i="44"/>
  <c r="C117" i="44"/>
  <c r="U115" i="44"/>
  <c r="R115" i="44"/>
  <c r="O115" i="44"/>
  <c r="L115" i="44"/>
  <c r="I115" i="44"/>
  <c r="F115" i="44"/>
  <c r="C115" i="44"/>
  <c r="X110" i="44"/>
  <c r="U110" i="44"/>
  <c r="R110" i="44"/>
  <c r="O110" i="44"/>
  <c r="L110" i="44"/>
  <c r="I110" i="44"/>
  <c r="F110" i="44"/>
  <c r="C110" i="44"/>
  <c r="X109" i="44"/>
  <c r="U109" i="44"/>
  <c r="R109" i="44"/>
  <c r="O109" i="44"/>
  <c r="L109" i="44"/>
  <c r="I109" i="44"/>
  <c r="F109" i="44"/>
  <c r="C109" i="44"/>
  <c r="X108" i="44"/>
  <c r="U108" i="44"/>
  <c r="R108" i="44"/>
  <c r="O108" i="44"/>
  <c r="L108" i="44"/>
  <c r="I108" i="44"/>
  <c r="F108" i="44"/>
  <c r="C108" i="44"/>
  <c r="X107" i="44"/>
  <c r="U107" i="44"/>
  <c r="R107" i="44"/>
  <c r="O107" i="44"/>
  <c r="L107" i="44"/>
  <c r="I107" i="44"/>
  <c r="F107" i="44"/>
  <c r="C107" i="44"/>
  <c r="X106" i="44"/>
  <c r="U106" i="44"/>
  <c r="R106" i="44"/>
  <c r="O106" i="44"/>
  <c r="L106" i="44"/>
  <c r="I106" i="44"/>
  <c r="F106" i="44"/>
  <c r="C106" i="44"/>
  <c r="X105" i="44"/>
  <c r="U105" i="44"/>
  <c r="R105" i="44"/>
  <c r="O105" i="44"/>
  <c r="L105" i="44"/>
  <c r="I105" i="44"/>
  <c r="F105" i="44"/>
  <c r="C105" i="44"/>
  <c r="U104" i="44"/>
  <c r="R104" i="44"/>
  <c r="O104" i="44"/>
  <c r="L104" i="44"/>
  <c r="I104" i="44"/>
  <c r="F104" i="44"/>
  <c r="C104" i="44"/>
  <c r="X103" i="44"/>
  <c r="U103" i="44"/>
  <c r="R103" i="44"/>
  <c r="O103" i="44"/>
  <c r="L103" i="44"/>
  <c r="I103" i="44"/>
  <c r="F103" i="44"/>
  <c r="C103" i="44"/>
  <c r="X102" i="44"/>
  <c r="U102" i="44"/>
  <c r="R102" i="44"/>
  <c r="O102" i="44"/>
  <c r="L102" i="44"/>
  <c r="I102" i="44"/>
  <c r="F102" i="44"/>
  <c r="C102" i="44"/>
  <c r="X101" i="44"/>
  <c r="U101" i="44"/>
  <c r="R101" i="44"/>
  <c r="O101" i="44"/>
  <c r="L101" i="44"/>
  <c r="I101" i="44"/>
  <c r="F101" i="44"/>
  <c r="C101" i="44"/>
  <c r="X100" i="44"/>
  <c r="U100" i="44"/>
  <c r="R100" i="44"/>
  <c r="O100" i="44"/>
  <c r="L100" i="44"/>
  <c r="I100" i="44"/>
  <c r="F100" i="44"/>
  <c r="C100" i="44"/>
  <c r="X99" i="44"/>
  <c r="U99" i="44"/>
  <c r="R99" i="44"/>
  <c r="O99" i="44"/>
  <c r="L99" i="44"/>
  <c r="I99" i="44"/>
  <c r="F99" i="44"/>
  <c r="C99" i="44"/>
  <c r="X98" i="44"/>
  <c r="U98" i="44"/>
  <c r="R98" i="44"/>
  <c r="O98" i="44"/>
  <c r="L98" i="44"/>
  <c r="I98" i="44"/>
  <c r="F98" i="44"/>
  <c r="C98" i="44"/>
  <c r="X97" i="44"/>
  <c r="U97" i="44"/>
  <c r="R97" i="44"/>
  <c r="O97" i="44"/>
  <c r="L97" i="44"/>
  <c r="I97" i="44"/>
  <c r="F97" i="44"/>
  <c r="C97" i="44"/>
  <c r="X96" i="44"/>
  <c r="U96" i="44"/>
  <c r="R96" i="44"/>
  <c r="O96" i="44"/>
  <c r="L96" i="44"/>
  <c r="I96" i="44"/>
  <c r="F96" i="44"/>
  <c r="C96" i="44"/>
  <c r="X95" i="44"/>
  <c r="U95" i="44"/>
  <c r="R95" i="44"/>
  <c r="O95" i="44"/>
  <c r="L95" i="44"/>
  <c r="I95" i="44"/>
  <c r="F95" i="44"/>
  <c r="C95" i="44"/>
  <c r="X94" i="44"/>
  <c r="U94" i="44"/>
  <c r="R94" i="44"/>
  <c r="O94" i="44"/>
  <c r="L94" i="44"/>
  <c r="I94" i="44"/>
  <c r="F94" i="44"/>
  <c r="C94" i="44"/>
  <c r="X93" i="44"/>
  <c r="U93" i="44"/>
  <c r="R93" i="44"/>
  <c r="O93" i="44"/>
  <c r="L93" i="44"/>
  <c r="I93" i="44"/>
  <c r="F93" i="44"/>
  <c r="C93" i="44"/>
  <c r="X92" i="44"/>
  <c r="U92" i="44"/>
  <c r="R92" i="44"/>
  <c r="O92" i="44"/>
  <c r="L92" i="44"/>
  <c r="I92" i="44"/>
  <c r="F92" i="44"/>
  <c r="C92" i="44"/>
  <c r="X91" i="44"/>
  <c r="X90" i="44"/>
  <c r="U90" i="44"/>
  <c r="R90" i="44"/>
  <c r="O90" i="44"/>
  <c r="L90" i="44"/>
  <c r="I90" i="44"/>
  <c r="F90" i="44"/>
  <c r="C90" i="44"/>
  <c r="X89" i="44"/>
  <c r="U89" i="44"/>
  <c r="R89" i="44"/>
  <c r="O89" i="44"/>
  <c r="L89" i="44"/>
  <c r="I89" i="44"/>
  <c r="F89" i="44"/>
  <c r="C89" i="44"/>
  <c r="X88" i="44"/>
  <c r="U88" i="44"/>
  <c r="R88" i="44"/>
  <c r="O88" i="44"/>
  <c r="L88" i="44"/>
  <c r="I88" i="44"/>
  <c r="F88" i="44"/>
  <c r="C88" i="44"/>
  <c r="X87" i="44"/>
  <c r="U87" i="44"/>
  <c r="R87" i="44"/>
  <c r="O87" i="44"/>
  <c r="L87" i="44"/>
  <c r="I87" i="44"/>
  <c r="F87" i="44"/>
  <c r="C87" i="44"/>
  <c r="X85" i="44"/>
  <c r="X84" i="44"/>
  <c r="X83" i="44"/>
  <c r="X82" i="44"/>
  <c r="X81" i="44"/>
  <c r="X80" i="44"/>
  <c r="X79" i="44"/>
  <c r="U79" i="44"/>
  <c r="R79" i="44"/>
  <c r="O79" i="44"/>
  <c r="L79" i="44"/>
  <c r="I79" i="44"/>
  <c r="F79" i="44"/>
  <c r="C79" i="44"/>
  <c r="X78" i="44"/>
  <c r="X77" i="44"/>
  <c r="X76" i="44"/>
  <c r="U76" i="44"/>
  <c r="R76" i="44"/>
  <c r="O76" i="44"/>
  <c r="L76" i="44"/>
  <c r="I76" i="44"/>
  <c r="F76" i="44"/>
  <c r="C76" i="44"/>
  <c r="X75" i="44"/>
  <c r="U75" i="44"/>
  <c r="R75" i="44"/>
  <c r="O75" i="44"/>
  <c r="L75" i="44"/>
  <c r="I75" i="44"/>
  <c r="F75" i="44"/>
  <c r="C75" i="44"/>
  <c r="X74" i="44"/>
  <c r="U74" i="44"/>
  <c r="R74" i="44"/>
  <c r="O74" i="44"/>
  <c r="L74" i="44"/>
  <c r="I74" i="44"/>
  <c r="F74" i="44"/>
  <c r="C74" i="44"/>
  <c r="X73" i="44"/>
  <c r="U73" i="44"/>
  <c r="R73" i="44"/>
  <c r="O73" i="44"/>
  <c r="L73" i="44"/>
  <c r="I73" i="44"/>
  <c r="F73" i="44"/>
  <c r="C73" i="44"/>
  <c r="X72" i="44"/>
  <c r="U72" i="44"/>
  <c r="R72" i="44"/>
  <c r="O72" i="44"/>
  <c r="L72" i="44"/>
  <c r="I72" i="44"/>
  <c r="F72" i="44"/>
  <c r="C72" i="44"/>
  <c r="X71" i="44"/>
  <c r="U71" i="44"/>
  <c r="R71" i="44"/>
  <c r="O71" i="44"/>
  <c r="L71" i="44"/>
  <c r="I71" i="44"/>
  <c r="F71" i="44"/>
  <c r="C71" i="44"/>
  <c r="X70" i="44"/>
  <c r="U70" i="44"/>
  <c r="R70" i="44"/>
  <c r="O70" i="44"/>
  <c r="L70" i="44"/>
  <c r="I70" i="44"/>
  <c r="F70" i="44"/>
  <c r="C70" i="44"/>
  <c r="X67" i="44"/>
  <c r="X66" i="44"/>
  <c r="X65" i="44"/>
  <c r="X64" i="44"/>
  <c r="X63" i="44"/>
  <c r="X62" i="44"/>
  <c r="U62" i="44"/>
  <c r="R62" i="44"/>
  <c r="O62" i="44"/>
  <c r="L62" i="44"/>
  <c r="I62" i="44"/>
  <c r="F62" i="44"/>
  <c r="C62" i="44"/>
  <c r="X61" i="44"/>
  <c r="U61" i="44"/>
  <c r="R61" i="44"/>
  <c r="O61" i="44"/>
  <c r="L61" i="44"/>
  <c r="I61" i="44"/>
  <c r="F61" i="44"/>
  <c r="C61" i="44"/>
  <c r="X60" i="44"/>
  <c r="U60" i="44"/>
  <c r="R60" i="44"/>
  <c r="O60" i="44"/>
  <c r="L60" i="44"/>
  <c r="I60" i="44"/>
  <c r="F60" i="44"/>
  <c r="C60" i="44"/>
  <c r="X59" i="44"/>
  <c r="U59" i="44"/>
  <c r="R59" i="44"/>
  <c r="O59" i="44"/>
  <c r="L59" i="44"/>
  <c r="I59" i="44"/>
  <c r="F59" i="44"/>
  <c r="C59" i="44"/>
  <c r="X58" i="44"/>
  <c r="X57" i="44"/>
  <c r="X56" i="44"/>
  <c r="X55" i="44"/>
  <c r="X54" i="44"/>
  <c r="X53" i="44"/>
  <c r="X52" i="44"/>
  <c r="X51" i="44"/>
  <c r="U51" i="44"/>
  <c r="R51" i="44"/>
  <c r="O51" i="44"/>
  <c r="L51" i="44"/>
  <c r="I51" i="44"/>
  <c r="F51" i="44"/>
  <c r="C51" i="44"/>
  <c r="X50" i="44"/>
  <c r="X49" i="44"/>
  <c r="U49" i="44"/>
  <c r="R49" i="44"/>
  <c r="O49" i="44"/>
  <c r="L49" i="44"/>
  <c r="I49" i="44"/>
  <c r="F49" i="44"/>
  <c r="C49" i="44"/>
  <c r="X48" i="44"/>
  <c r="U48" i="44"/>
  <c r="R48" i="44"/>
  <c r="O48" i="44"/>
  <c r="L48" i="44"/>
  <c r="I48" i="44"/>
  <c r="F48" i="44"/>
  <c r="C48" i="44"/>
  <c r="X47" i="44"/>
  <c r="U47" i="44"/>
  <c r="R47" i="44"/>
  <c r="O47" i="44"/>
  <c r="L47" i="44"/>
  <c r="I47" i="44"/>
  <c r="F47" i="44"/>
  <c r="C47" i="44"/>
  <c r="X46" i="44"/>
  <c r="U46" i="44"/>
  <c r="R46" i="44"/>
  <c r="O46" i="44"/>
  <c r="L46" i="44"/>
  <c r="I46" i="44"/>
  <c r="F46" i="44"/>
  <c r="C46" i="44"/>
  <c r="X45" i="44"/>
  <c r="U45" i="44"/>
  <c r="R45" i="44"/>
  <c r="O45" i="44"/>
  <c r="L45" i="44"/>
  <c r="I45" i="44"/>
  <c r="F45" i="44"/>
  <c r="C45" i="44"/>
  <c r="X44" i="44"/>
  <c r="U44" i="44"/>
  <c r="R44" i="44"/>
  <c r="O44" i="44"/>
  <c r="L44" i="44"/>
  <c r="I44" i="44"/>
  <c r="F44" i="44"/>
  <c r="C44" i="44"/>
  <c r="X43" i="44"/>
  <c r="U43" i="44"/>
  <c r="R43" i="44"/>
  <c r="O43" i="44"/>
  <c r="L43" i="44"/>
  <c r="I43" i="44"/>
  <c r="F43" i="44"/>
  <c r="C43" i="44"/>
  <c r="X42" i="44"/>
  <c r="U42" i="44"/>
  <c r="R42" i="44"/>
  <c r="O42" i="44"/>
  <c r="L42" i="44"/>
  <c r="I42" i="44"/>
  <c r="F42" i="44"/>
  <c r="C42" i="44"/>
  <c r="X41" i="44"/>
  <c r="U41" i="44"/>
  <c r="R41" i="44"/>
  <c r="O41" i="44"/>
  <c r="L41" i="44"/>
  <c r="I41" i="44"/>
  <c r="F41" i="44"/>
  <c r="C41" i="44"/>
  <c r="X40" i="44"/>
  <c r="U40" i="44"/>
  <c r="R40" i="44"/>
  <c r="O40" i="44"/>
  <c r="L40" i="44"/>
  <c r="I40" i="44"/>
  <c r="F40" i="44"/>
  <c r="C40" i="44"/>
  <c r="X39" i="44"/>
  <c r="X38" i="44"/>
  <c r="U38" i="44"/>
  <c r="R38" i="44"/>
  <c r="O38" i="44"/>
  <c r="L38" i="44"/>
  <c r="I38" i="44"/>
  <c r="F38" i="44"/>
  <c r="C38" i="44"/>
  <c r="X37" i="44"/>
  <c r="U37" i="44"/>
  <c r="R37" i="44"/>
  <c r="O37" i="44"/>
  <c r="L37" i="44"/>
  <c r="I37" i="44"/>
  <c r="F37" i="44"/>
  <c r="C37" i="44"/>
  <c r="X36" i="44"/>
  <c r="U36" i="44"/>
  <c r="R36" i="44"/>
  <c r="O36" i="44"/>
  <c r="L36" i="44"/>
  <c r="I36" i="44"/>
  <c r="F36" i="44"/>
  <c r="C36" i="44"/>
  <c r="X35" i="44"/>
  <c r="U35" i="44"/>
  <c r="R35" i="44"/>
  <c r="O35" i="44"/>
  <c r="L35" i="44"/>
  <c r="I35" i="44"/>
  <c r="F35" i="44"/>
  <c r="X34" i="44"/>
  <c r="U34" i="44"/>
  <c r="R34" i="44"/>
  <c r="O34" i="44"/>
  <c r="L34" i="44"/>
  <c r="I34" i="44"/>
  <c r="F34" i="44"/>
  <c r="C34" i="44"/>
  <c r="X33" i="44"/>
  <c r="U33" i="44"/>
  <c r="R33" i="44"/>
  <c r="O33" i="44"/>
  <c r="L33" i="44"/>
  <c r="I33" i="44"/>
  <c r="F33" i="44"/>
  <c r="C33" i="44"/>
  <c r="X32" i="44"/>
  <c r="U32" i="44"/>
  <c r="R32" i="44"/>
  <c r="O32" i="44"/>
  <c r="L32" i="44"/>
  <c r="I32" i="44"/>
  <c r="F32" i="44"/>
  <c r="C32" i="44"/>
  <c r="X31" i="44"/>
  <c r="U31" i="44"/>
  <c r="R31" i="44"/>
  <c r="O31" i="44"/>
  <c r="L31" i="44"/>
  <c r="I31" i="44"/>
  <c r="F31" i="44"/>
  <c r="C31" i="44"/>
  <c r="X30" i="44"/>
  <c r="U30" i="44"/>
  <c r="R30" i="44"/>
  <c r="O30" i="44"/>
  <c r="L30" i="44"/>
  <c r="I30" i="44"/>
  <c r="F30" i="44"/>
  <c r="C30" i="44"/>
  <c r="X29" i="44"/>
  <c r="U29" i="44"/>
  <c r="R29" i="44"/>
  <c r="O29" i="44"/>
  <c r="L29" i="44"/>
  <c r="I29" i="44"/>
  <c r="F29" i="44"/>
  <c r="C29" i="44"/>
  <c r="X28" i="44"/>
  <c r="U28" i="44"/>
  <c r="R28" i="44"/>
  <c r="O28" i="44"/>
  <c r="L28" i="44"/>
  <c r="I28" i="44"/>
  <c r="F28" i="44"/>
  <c r="C28" i="44"/>
  <c r="X27" i="44"/>
  <c r="U27" i="44"/>
  <c r="R27" i="44"/>
  <c r="O27" i="44"/>
  <c r="L27" i="44"/>
  <c r="I27" i="44"/>
  <c r="F27" i="44"/>
  <c r="C27" i="44"/>
  <c r="X26" i="44"/>
  <c r="U26" i="44"/>
  <c r="R26" i="44"/>
  <c r="O26" i="44"/>
  <c r="L26" i="44"/>
  <c r="I26" i="44"/>
  <c r="F26" i="44"/>
  <c r="C26" i="44"/>
  <c r="X25" i="44"/>
  <c r="U25" i="44"/>
  <c r="R25" i="44"/>
  <c r="O25" i="44"/>
  <c r="L25" i="44"/>
  <c r="I25" i="44"/>
  <c r="F25" i="44"/>
  <c r="C25" i="44"/>
  <c r="X24" i="44"/>
  <c r="U24" i="44"/>
  <c r="R24" i="44"/>
  <c r="O24" i="44"/>
  <c r="L24" i="44"/>
  <c r="I24" i="44"/>
  <c r="F24" i="44"/>
  <c r="C24" i="44"/>
  <c r="X23" i="44"/>
  <c r="U23" i="44"/>
  <c r="R23" i="44"/>
  <c r="O23" i="44"/>
  <c r="L23" i="44"/>
  <c r="I23" i="44"/>
  <c r="F23" i="44"/>
  <c r="C23" i="44"/>
  <c r="X22" i="44"/>
  <c r="U22" i="44"/>
  <c r="R22" i="44"/>
  <c r="O22" i="44"/>
  <c r="L22" i="44"/>
  <c r="I22" i="44"/>
  <c r="F22" i="44"/>
  <c r="C22" i="44"/>
  <c r="X21" i="44"/>
  <c r="U21" i="44"/>
  <c r="R21" i="44"/>
  <c r="O21" i="44"/>
  <c r="L21" i="44"/>
  <c r="I21" i="44"/>
  <c r="F21" i="44"/>
  <c r="C21" i="44"/>
  <c r="X20" i="44"/>
  <c r="U20" i="44"/>
  <c r="R20" i="44"/>
  <c r="O20" i="44"/>
  <c r="L20" i="44"/>
  <c r="I20" i="44"/>
  <c r="F20" i="44"/>
  <c r="C20" i="44"/>
  <c r="X19" i="44"/>
  <c r="U19" i="44"/>
  <c r="R19" i="44"/>
  <c r="O19" i="44"/>
  <c r="L19" i="44"/>
  <c r="I19" i="44"/>
  <c r="F19" i="44"/>
  <c r="C19" i="44"/>
  <c r="X18" i="44"/>
  <c r="U18" i="44"/>
  <c r="R18" i="44"/>
  <c r="O18" i="44"/>
  <c r="L18" i="44"/>
  <c r="I18" i="44"/>
  <c r="F18" i="44"/>
  <c r="C18" i="44"/>
  <c r="X17" i="44"/>
  <c r="U17" i="44"/>
  <c r="R17" i="44"/>
  <c r="O17" i="44"/>
  <c r="L17" i="44"/>
  <c r="I17" i="44"/>
  <c r="F17" i="44"/>
  <c r="C17" i="44"/>
  <c r="X16" i="44"/>
  <c r="U16" i="44"/>
  <c r="R16" i="44"/>
  <c r="O16" i="44"/>
  <c r="L16" i="44"/>
  <c r="I16" i="44"/>
  <c r="F16" i="44"/>
  <c r="C16" i="44"/>
  <c r="X15" i="44"/>
  <c r="U15" i="44"/>
  <c r="R15" i="44"/>
  <c r="O15" i="44"/>
  <c r="L15" i="44"/>
  <c r="I15" i="44"/>
  <c r="F15" i="44"/>
  <c r="C15" i="44"/>
  <c r="X14" i="44"/>
  <c r="U14" i="44"/>
  <c r="R14" i="44"/>
  <c r="O14" i="44"/>
  <c r="L14" i="44"/>
  <c r="I14" i="44"/>
  <c r="F14" i="44"/>
  <c r="C14" i="44"/>
  <c r="X13" i="44"/>
  <c r="U13" i="44"/>
  <c r="R13" i="44"/>
  <c r="O13" i="44"/>
  <c r="L13" i="44"/>
  <c r="I13" i="44"/>
  <c r="F13" i="44"/>
  <c r="C13" i="44"/>
  <c r="X12" i="44"/>
  <c r="U12" i="44"/>
  <c r="R12" i="44"/>
  <c r="O12" i="44"/>
  <c r="L12" i="44"/>
  <c r="I12" i="44"/>
  <c r="F12" i="44"/>
  <c r="C12" i="44"/>
  <c r="X11" i="44"/>
  <c r="U11" i="44"/>
  <c r="R11" i="44"/>
  <c r="O11" i="44"/>
  <c r="L11" i="44"/>
  <c r="I11" i="44"/>
  <c r="F11" i="44"/>
  <c r="C11" i="44"/>
  <c r="X10" i="44"/>
  <c r="U10" i="44"/>
  <c r="R10" i="44"/>
  <c r="O10" i="44"/>
  <c r="L10" i="44"/>
  <c r="I10" i="44"/>
  <c r="F10" i="44"/>
  <c r="C10" i="44"/>
  <c r="X9" i="44"/>
  <c r="U9" i="44"/>
  <c r="R9" i="44"/>
  <c r="O9" i="44"/>
  <c r="L9" i="44"/>
  <c r="I9" i="44"/>
  <c r="F9" i="44"/>
  <c r="C9" i="44"/>
  <c r="X8" i="44"/>
  <c r="U8" i="44"/>
  <c r="R8" i="44"/>
  <c r="O8" i="44"/>
  <c r="L8" i="44"/>
  <c r="I8" i="44"/>
  <c r="F8" i="44"/>
  <c r="C8" i="44"/>
  <c r="X7" i="44"/>
  <c r="U7" i="44"/>
  <c r="R7" i="44"/>
  <c r="O7" i="44"/>
  <c r="L7" i="44"/>
  <c r="I7" i="44"/>
  <c r="F7" i="44"/>
  <c r="C7" i="44"/>
  <c r="A246" i="43"/>
  <c r="A243" i="43"/>
  <c r="A241" i="43"/>
  <c r="A239" i="43"/>
  <c r="A237" i="43"/>
  <c r="A235" i="43"/>
  <c r="A233" i="43"/>
  <c r="A228" i="43"/>
  <c r="A226" i="43"/>
  <c r="A224" i="43"/>
  <c r="A222" i="43"/>
  <c r="A220" i="43"/>
  <c r="A218" i="43"/>
  <c r="A216" i="43"/>
  <c r="A214" i="43"/>
  <c r="A212" i="43"/>
  <c r="A210" i="43"/>
  <c r="A208" i="43"/>
  <c r="A206" i="43"/>
  <c r="A204" i="43"/>
  <c r="A203" i="43"/>
  <c r="A202" i="43"/>
  <c r="A201" i="43"/>
  <c r="A200" i="43"/>
  <c r="A198" i="43"/>
  <c r="A197" i="43"/>
  <c r="A196" i="43"/>
  <c r="A194" i="43"/>
  <c r="A193" i="43"/>
  <c r="A192" i="43"/>
  <c r="A190" i="43"/>
  <c r="A188" i="43"/>
  <c r="A187" i="43"/>
  <c r="A186" i="43"/>
  <c r="A184" i="43"/>
  <c r="A182" i="43"/>
  <c r="A180" i="43"/>
  <c r="A178" i="43"/>
  <c r="A177" i="43"/>
  <c r="A176" i="43"/>
  <c r="A175" i="43"/>
  <c r="A174" i="43"/>
  <c r="A172" i="43"/>
  <c r="A171" i="43"/>
  <c r="A170" i="43"/>
  <c r="A169" i="43"/>
  <c r="A167" i="43"/>
  <c r="A166" i="43"/>
  <c r="A165" i="43"/>
  <c r="A164" i="43"/>
  <c r="A162" i="43"/>
  <c r="A161" i="43"/>
  <c r="A160" i="43"/>
  <c r="A159" i="43"/>
  <c r="A158" i="43"/>
  <c r="A157" i="43"/>
  <c r="A156" i="43"/>
  <c r="A154" i="43"/>
  <c r="A153" i="43"/>
  <c r="A152" i="43"/>
  <c r="A151" i="43"/>
  <c r="A149" i="43"/>
  <c r="A140" i="43"/>
  <c r="A138" i="43"/>
  <c r="A137" i="43"/>
  <c r="A136" i="43"/>
  <c r="A135" i="43"/>
  <c r="A133" i="43"/>
  <c r="A131" i="43"/>
  <c r="A129" i="43"/>
  <c r="A127" i="43"/>
  <c r="A126" i="43"/>
  <c r="A125" i="43"/>
  <c r="A124" i="43"/>
  <c r="A123" i="43"/>
  <c r="A122" i="43"/>
  <c r="A121" i="43"/>
  <c r="A120" i="43"/>
  <c r="A118" i="43"/>
  <c r="A116" i="43"/>
  <c r="A114" i="43"/>
  <c r="A112" i="43"/>
  <c r="A111" i="43"/>
  <c r="A110" i="43"/>
  <c r="A109" i="43"/>
  <c r="A108" i="43"/>
  <c r="A107" i="43"/>
  <c r="A106" i="43"/>
  <c r="A104" i="43"/>
  <c r="A103" i="43"/>
  <c r="A102" i="43"/>
  <c r="A101" i="43"/>
  <c r="A100" i="43"/>
  <c r="A99" i="43"/>
  <c r="A98" i="43"/>
  <c r="A97" i="43"/>
  <c r="A96" i="43"/>
  <c r="A95" i="43"/>
  <c r="A94" i="43"/>
  <c r="A93" i="43"/>
  <c r="A91" i="43"/>
  <c r="A89" i="43"/>
  <c r="A87" i="43"/>
  <c r="A85" i="43"/>
  <c r="A83" i="43"/>
  <c r="D81" i="43"/>
  <c r="D145" i="43" s="1"/>
  <c r="A77" i="43"/>
  <c r="A76" i="43"/>
  <c r="A75" i="43"/>
  <c r="A74" i="43"/>
  <c r="A73" i="43"/>
  <c r="A72" i="43"/>
  <c r="A70" i="43"/>
  <c r="A69" i="43"/>
  <c r="A68" i="43"/>
  <c r="A66" i="43"/>
  <c r="A65" i="43"/>
  <c r="A64" i="43"/>
  <c r="A62" i="43"/>
  <c r="A60" i="43"/>
  <c r="A59" i="43"/>
  <c r="A58" i="43"/>
  <c r="A57" i="43"/>
  <c r="A56" i="43"/>
  <c r="A55" i="43"/>
  <c r="A54" i="43"/>
  <c r="A53" i="43"/>
  <c r="A52" i="43"/>
  <c r="A51" i="43"/>
  <c r="A50" i="43"/>
  <c r="A48" i="43"/>
  <c r="A47" i="43"/>
  <c r="A46" i="43"/>
  <c r="A45" i="43"/>
  <c r="A44" i="43"/>
  <c r="A43" i="43"/>
  <c r="A42" i="43"/>
  <c r="A41" i="43"/>
  <c r="A40" i="43"/>
  <c r="A39" i="43"/>
  <c r="A37" i="43"/>
  <c r="A35" i="43"/>
  <c r="A33" i="43"/>
  <c r="A32" i="43"/>
  <c r="A31" i="43"/>
  <c r="A30" i="43"/>
  <c r="A29" i="43"/>
  <c r="A27" i="43"/>
  <c r="A25" i="43"/>
  <c r="A24" i="43"/>
  <c r="A23" i="43"/>
  <c r="A21" i="43"/>
  <c r="A19" i="43"/>
  <c r="A18" i="43"/>
  <c r="A17" i="43"/>
  <c r="A15" i="43"/>
  <c r="A13" i="43"/>
  <c r="A11" i="43"/>
  <c r="A9" i="43"/>
  <c r="A7" i="43"/>
  <c r="D317" i="28"/>
  <c r="C317" i="28"/>
  <c r="B317" i="28"/>
  <c r="B832" i="28"/>
  <c r="C832" i="28"/>
  <c r="D832" i="28"/>
  <c r="B316" i="28"/>
  <c r="B315" i="28"/>
  <c r="B314" i="28"/>
  <c r="B313" i="28"/>
  <c r="C316" i="28"/>
  <c r="C315" i="28"/>
  <c r="C314" i="28"/>
  <c r="C313" i="28"/>
  <c r="D316" i="28"/>
  <c r="D315" i="28"/>
  <c r="D314" i="28"/>
  <c r="D313" i="28"/>
  <c r="B1747" i="28"/>
  <c r="C1747" i="28"/>
  <c r="D1747" i="28"/>
  <c r="B1362" i="28"/>
  <c r="C1362" i="28"/>
  <c r="D1362" i="28"/>
  <c r="B995" i="28"/>
  <c r="C995" i="28"/>
  <c r="D995" i="28"/>
  <c r="B993" i="28"/>
  <c r="C993" i="28"/>
  <c r="D993" i="28"/>
  <c r="B886" i="28"/>
  <c r="C886" i="28"/>
  <c r="D886" i="28"/>
  <c r="B869" i="28"/>
  <c r="C869" i="28"/>
  <c r="D869" i="28"/>
  <c r="B328" i="28"/>
  <c r="C328" i="28"/>
  <c r="D328" i="28"/>
  <c r="B305" i="28"/>
  <c r="C305" i="28"/>
  <c r="D305" i="28"/>
  <c r="J95" i="31"/>
  <c r="J97" i="31" s="1"/>
  <c r="T414" i="39"/>
  <c r="R414" i="39"/>
  <c r="P920" i="39"/>
  <c r="P946" i="39"/>
  <c r="P899" i="39"/>
  <c r="P901" i="39" s="1"/>
  <c r="P904" i="39"/>
  <c r="G20" i="34"/>
  <c r="J694" i="39"/>
  <c r="J696" i="39" s="1"/>
  <c r="J538" i="39"/>
  <c r="W595" i="39"/>
  <c r="N428" i="39"/>
  <c r="J546" i="39"/>
  <c r="J542" i="39"/>
  <c r="S543" i="39"/>
  <c r="S551" i="39" s="1"/>
  <c r="S553" i="39" s="1"/>
  <c r="B1136" i="28"/>
  <c r="C1136" i="28"/>
  <c r="D1136" i="28"/>
  <c r="AI716" i="28"/>
  <c r="AG901" i="28"/>
  <c r="B1536" i="28"/>
  <c r="C1536" i="28"/>
  <c r="D1536" i="28"/>
  <c r="AA427" i="28"/>
  <c r="B427" i="28"/>
  <c r="C427" i="28"/>
  <c r="D427" i="28"/>
  <c r="B1577" i="28"/>
  <c r="C1577" i="28"/>
  <c r="D1577" i="28"/>
  <c r="B1198" i="28"/>
  <c r="C1198" i="28"/>
  <c r="D1198" i="28"/>
  <c r="AA364" i="28"/>
  <c r="B364" i="28"/>
  <c r="C364" i="28"/>
  <c r="D364" i="28"/>
  <c r="AA347" i="28"/>
  <c r="B347" i="28"/>
  <c r="C347" i="28"/>
  <c r="D347" i="28"/>
  <c r="AA584" i="28"/>
  <c r="B1194" i="28"/>
  <c r="C1194" i="28"/>
  <c r="D1194" i="28"/>
  <c r="B585" i="28"/>
  <c r="C585" i="28"/>
  <c r="D585" i="28"/>
  <c r="B584" i="28"/>
  <c r="C584" i="28"/>
  <c r="D584" i="28"/>
  <c r="B583" i="28"/>
  <c r="C583" i="28"/>
  <c r="D583" i="28"/>
  <c r="AA433" i="28"/>
  <c r="AA432" i="28"/>
  <c r="B433" i="28"/>
  <c r="C433" i="28"/>
  <c r="D433" i="28"/>
  <c r="B432" i="28"/>
  <c r="C432" i="28"/>
  <c r="D432" i="28"/>
  <c r="P949" i="39"/>
  <c r="AC1028" i="39"/>
  <c r="AC1027" i="39"/>
  <c r="AC1026" i="39"/>
  <c r="AG163" i="28"/>
  <c r="T95" i="31"/>
  <c r="T98" i="31" s="1"/>
  <c r="AA745" i="28"/>
  <c r="AA744" i="28"/>
  <c r="AA743" i="28"/>
  <c r="AA742" i="28"/>
  <c r="AA741" i="28"/>
  <c r="AA740" i="28"/>
  <c r="AA739" i="28"/>
  <c r="AA738" i="28"/>
  <c r="AA737" i="28"/>
  <c r="R745" i="28"/>
  <c r="R744" i="28"/>
  <c r="R743" i="28"/>
  <c r="R742" i="28"/>
  <c r="R741" i="28"/>
  <c r="R740" i="28"/>
  <c r="R739" i="28"/>
  <c r="R738" i="28"/>
  <c r="R737" i="28"/>
  <c r="G51" i="41"/>
  <c r="D745" i="28"/>
  <c r="C745" i="28"/>
  <c r="B745" i="28"/>
  <c r="D744" i="28"/>
  <c r="C744" i="28"/>
  <c r="B744" i="28"/>
  <c r="D743" i="28"/>
  <c r="C743" i="28"/>
  <c r="B743" i="28"/>
  <c r="D742" i="28"/>
  <c r="C742" i="28"/>
  <c r="B742" i="28"/>
  <c r="D741" i="28"/>
  <c r="C741" i="28"/>
  <c r="B741" i="28"/>
  <c r="D740" i="28"/>
  <c r="C740" i="28"/>
  <c r="B740" i="28"/>
  <c r="D739" i="28"/>
  <c r="C739" i="28"/>
  <c r="B739" i="28"/>
  <c r="D738" i="28"/>
  <c r="C738" i="28"/>
  <c r="B738" i="28"/>
  <c r="D737" i="28"/>
  <c r="C737" i="28"/>
  <c r="B737" i="28"/>
  <c r="AA85" i="28"/>
  <c r="A85" i="28"/>
  <c r="B85" i="28"/>
  <c r="C85" i="28"/>
  <c r="D85" i="28"/>
  <c r="AA78" i="28"/>
  <c r="A78" i="28"/>
  <c r="B78" i="28"/>
  <c r="C78" i="28"/>
  <c r="D78" i="28"/>
  <c r="AA901" i="28"/>
  <c r="R732" i="28"/>
  <c r="B732" i="28"/>
  <c r="C732" i="28"/>
  <c r="D732" i="28"/>
  <c r="AA732" i="28"/>
  <c r="B730" i="28"/>
  <c r="C730" i="28"/>
  <c r="D730" i="28"/>
  <c r="AA730" i="28"/>
  <c r="R730" i="28"/>
  <c r="B818" i="28"/>
  <c r="C818" i="28"/>
  <c r="D818" i="28"/>
  <c r="B292" i="28"/>
  <c r="C292" i="28"/>
  <c r="D292" i="28"/>
  <c r="P690" i="39"/>
  <c r="M690" i="39"/>
  <c r="P894" i="39"/>
  <c r="I3" i="3"/>
  <c r="E22" i="29" s="1"/>
  <c r="E4" i="38" s="1"/>
  <c r="O23" i="39"/>
  <c r="R23" i="39"/>
  <c r="B32" i="39"/>
  <c r="B33" i="39"/>
  <c r="B34" i="39"/>
  <c r="B35" i="39"/>
  <c r="B36" i="39"/>
  <c r="B37" i="39"/>
  <c r="B38" i="39"/>
  <c r="B39" i="39"/>
  <c r="B40" i="39"/>
  <c r="B41" i="39"/>
  <c r="B42" i="39"/>
  <c r="B43" i="39"/>
  <c r="B44" i="39"/>
  <c r="B45" i="39"/>
  <c r="B57" i="39"/>
  <c r="B58" i="39"/>
  <c r="B59" i="39"/>
  <c r="B63" i="39"/>
  <c r="B66" i="39"/>
  <c r="B67" i="39"/>
  <c r="B68" i="39"/>
  <c r="B69" i="39"/>
  <c r="B70" i="39"/>
  <c r="B71" i="39"/>
  <c r="B72" i="39"/>
  <c r="B73" i="39"/>
  <c r="P79" i="39"/>
  <c r="M104" i="39"/>
  <c r="M106" i="39"/>
  <c r="M116" i="39"/>
  <c r="M149" i="39"/>
  <c r="V145" i="39"/>
  <c r="J146" i="39"/>
  <c r="J145" i="39" s="1"/>
  <c r="Y148" i="39"/>
  <c r="G149" i="39"/>
  <c r="I156" i="39"/>
  <c r="I160" i="39" s="1"/>
  <c r="T168" i="39"/>
  <c r="T169" i="39"/>
  <c r="T170" i="39"/>
  <c r="T171" i="39"/>
  <c r="T172" i="39"/>
  <c r="N173" i="39"/>
  <c r="N178" i="39" s="1"/>
  <c r="Q173" i="39"/>
  <c r="Q178" i="39" s="1"/>
  <c r="N177" i="39"/>
  <c r="Q177" i="39"/>
  <c r="T177" i="39"/>
  <c r="I213" i="39"/>
  <c r="R213" i="39"/>
  <c r="T213" i="39"/>
  <c r="I240" i="39"/>
  <c r="R240" i="39"/>
  <c r="T240" i="39"/>
  <c r="I414" i="39"/>
  <c r="N484" i="39"/>
  <c r="S484" i="39" s="1"/>
  <c r="N498" i="39"/>
  <c r="S498" i="39" s="1"/>
  <c r="S538" i="39"/>
  <c r="M551" i="39"/>
  <c r="M553" i="39" s="1"/>
  <c r="P551" i="39"/>
  <c r="P553" i="39" s="1"/>
  <c r="J569" i="39"/>
  <c r="M569" i="39"/>
  <c r="P569" i="39"/>
  <c r="S569" i="39"/>
  <c r="J571" i="39"/>
  <c r="M571" i="39"/>
  <c r="P571" i="39"/>
  <c r="S571" i="39"/>
  <c r="S577" i="39"/>
  <c r="J677" i="39"/>
  <c r="J678" i="39" s="1"/>
  <c r="P678" i="39"/>
  <c r="S678" i="39"/>
  <c r="G696" i="39"/>
  <c r="M696" i="39"/>
  <c r="P696" i="39"/>
  <c r="S696" i="39"/>
  <c r="V696" i="39"/>
  <c r="I866" i="39"/>
  <c r="R866" i="39"/>
  <c r="T866" i="39"/>
  <c r="P934" i="39"/>
  <c r="P940" i="39"/>
  <c r="O954" i="39"/>
  <c r="I988" i="39"/>
  <c r="R988" i="39"/>
  <c r="T988" i="39"/>
  <c r="I1019" i="39"/>
  <c r="R1019" i="39"/>
  <c r="T1019" i="39"/>
  <c r="F1029" i="39"/>
  <c r="I1029" i="39"/>
  <c r="L1029" i="39"/>
  <c r="O1029" i="39"/>
  <c r="R1029" i="39"/>
  <c r="U1029" i="39"/>
  <c r="W1029" i="39"/>
  <c r="Z1029" i="39"/>
  <c r="E6" i="38"/>
  <c r="F6" i="38"/>
  <c r="G6" i="38"/>
  <c r="H6" i="38"/>
  <c r="I6" i="38"/>
  <c r="J6" i="38"/>
  <c r="K6" i="38"/>
  <c r="L6" i="38"/>
  <c r="M6" i="38"/>
  <c r="N6" i="38"/>
  <c r="O6" i="38"/>
  <c r="R6" i="38"/>
  <c r="S6" i="38"/>
  <c r="T6" i="38"/>
  <c r="U6" i="38"/>
  <c r="V6" i="38"/>
  <c r="W6" i="38"/>
  <c r="X6" i="38"/>
  <c r="Y6" i="38"/>
  <c r="AA6" i="38"/>
  <c r="AB6" i="38"/>
  <c r="AC6" i="38"/>
  <c r="AD6" i="38"/>
  <c r="AE6" i="38"/>
  <c r="AF6" i="38"/>
  <c r="E10" i="38"/>
  <c r="F10" i="38"/>
  <c r="E11" i="38"/>
  <c r="F11" i="38"/>
  <c r="E12" i="38"/>
  <c r="F12" i="38"/>
  <c r="E13" i="38"/>
  <c r="F13" i="38"/>
  <c r="E14" i="38"/>
  <c r="F14" i="38"/>
  <c r="E15" i="38"/>
  <c r="F15" i="38"/>
  <c r="E16" i="38"/>
  <c r="F16" i="38"/>
  <c r="E18" i="38"/>
  <c r="F18" i="38"/>
  <c r="E21" i="38"/>
  <c r="F21" i="38"/>
  <c r="E22" i="38"/>
  <c r="F22" i="38"/>
  <c r="E23" i="38"/>
  <c r="F23" i="38"/>
  <c r="E24" i="38"/>
  <c r="F24" i="38"/>
  <c r="E20" i="38"/>
  <c r="F20" i="38"/>
  <c r="E19" i="38"/>
  <c r="F19" i="38"/>
  <c r="E27" i="38"/>
  <c r="F27" i="38"/>
  <c r="E28" i="38"/>
  <c r="F28" i="38"/>
  <c r="E29" i="38"/>
  <c r="F29" i="38"/>
  <c r="E30" i="38"/>
  <c r="F30" i="38"/>
  <c r="E6" i="37"/>
  <c r="F6" i="37"/>
  <c r="G6" i="37"/>
  <c r="H6" i="37"/>
  <c r="I6" i="37"/>
  <c r="J6" i="37"/>
  <c r="K6" i="37"/>
  <c r="L6" i="37"/>
  <c r="M6" i="37"/>
  <c r="N6" i="37"/>
  <c r="O6" i="37"/>
  <c r="R6" i="37"/>
  <c r="S6" i="37"/>
  <c r="T6" i="37"/>
  <c r="U6" i="37"/>
  <c r="V6" i="37"/>
  <c r="W6" i="37"/>
  <c r="X6" i="37"/>
  <c r="Y6" i="37"/>
  <c r="Z6" i="37"/>
  <c r="AA6" i="37"/>
  <c r="AB6" i="37"/>
  <c r="AD6" i="37"/>
  <c r="AE6" i="37"/>
  <c r="AF6" i="37"/>
  <c r="AG6" i="37"/>
  <c r="AH6" i="37"/>
  <c r="AI6" i="37"/>
  <c r="AJ6" i="37"/>
  <c r="K12" i="37"/>
  <c r="K21" i="37" s="1"/>
  <c r="T16" i="37"/>
  <c r="V16" i="37"/>
  <c r="W16" i="37"/>
  <c r="X16" i="37"/>
  <c r="Y16" i="37"/>
  <c r="Z16" i="37"/>
  <c r="AA16" i="37"/>
  <c r="AE16" i="37"/>
  <c r="E17" i="37"/>
  <c r="F17" i="37"/>
  <c r="T18" i="37"/>
  <c r="V18" i="37"/>
  <c r="W18" i="37"/>
  <c r="X18" i="37"/>
  <c r="Y18" i="37"/>
  <c r="Z18" i="37"/>
  <c r="AA18" i="37"/>
  <c r="AE18" i="37"/>
  <c r="AF18" i="37"/>
  <c r="K19" i="37"/>
  <c r="AG19" i="37"/>
  <c r="H26" i="37"/>
  <c r="H16" i="37" s="1"/>
  <c r="I26" i="37"/>
  <c r="I16" i="37" s="1"/>
  <c r="J26" i="37"/>
  <c r="J16" i="37" s="1"/>
  <c r="K26" i="37"/>
  <c r="L26" i="37"/>
  <c r="L8" i="37" s="1"/>
  <c r="L16" i="37" s="1"/>
  <c r="M26" i="37"/>
  <c r="M8" i="37" s="1"/>
  <c r="M16" i="37" s="1"/>
  <c r="N26" i="37"/>
  <c r="N16" i="37" s="1"/>
  <c r="O26" i="37"/>
  <c r="O16" i="37" s="1"/>
  <c r="P26" i="37"/>
  <c r="P16" i="37" s="1"/>
  <c r="Q26" i="37"/>
  <c r="Q8" i="37" s="1"/>
  <c r="Q16" i="37" s="1"/>
  <c r="R26" i="37"/>
  <c r="R16" i="37" s="1"/>
  <c r="S26" i="37"/>
  <c r="T26" i="37"/>
  <c r="T8" i="37" s="1"/>
  <c r="U26" i="37"/>
  <c r="U16" i="37" s="1"/>
  <c r="V26" i="37"/>
  <c r="W26" i="37"/>
  <c r="X26" i="37"/>
  <c r="Y26" i="37"/>
  <c r="Z26" i="37"/>
  <c r="AA26" i="37"/>
  <c r="AB26" i="37"/>
  <c r="AB16" i="37" s="1"/>
  <c r="AC26" i="37"/>
  <c r="AC16" i="37" s="1"/>
  <c r="AD26" i="37"/>
  <c r="AD16" i="37" s="1"/>
  <c r="AE26" i="37"/>
  <c r="AF26" i="37"/>
  <c r="AG26" i="37"/>
  <c r="AH26" i="37"/>
  <c r="AI26" i="37"/>
  <c r="G28" i="37"/>
  <c r="H28" i="37"/>
  <c r="I28" i="37"/>
  <c r="I18" i="37" s="1"/>
  <c r="J28" i="37"/>
  <c r="J18" i="37" s="1"/>
  <c r="K28" i="37"/>
  <c r="K10" i="37" s="1"/>
  <c r="L28" i="37"/>
  <c r="L10" i="37" s="1"/>
  <c r="L18" i="37" s="1"/>
  <c r="M28" i="37"/>
  <c r="M10" i="37" s="1"/>
  <c r="M18" i="37" s="1"/>
  <c r="N28" i="37"/>
  <c r="N10" i="37" s="1"/>
  <c r="N18" i="37" s="1"/>
  <c r="O28" i="37"/>
  <c r="O18" i="37" s="1"/>
  <c r="P28" i="37"/>
  <c r="P18" i="37" s="1"/>
  <c r="Q28" i="37"/>
  <c r="Q10" i="37" s="1"/>
  <c r="Q18" i="37" s="1"/>
  <c r="R28" i="37"/>
  <c r="R18" i="37" s="1"/>
  <c r="S28" i="37"/>
  <c r="S18" i="37" s="1"/>
  <c r="T28" i="37"/>
  <c r="T10" i="37" s="1"/>
  <c r="U28" i="37"/>
  <c r="U18" i="37" s="1"/>
  <c r="V28" i="37"/>
  <c r="V10" i="37" s="1"/>
  <c r="W28" i="37"/>
  <c r="W10" i="37" s="1"/>
  <c r="X28" i="37"/>
  <c r="X10" i="37" s="1"/>
  <c r="Y28" i="37"/>
  <c r="Y10" i="37" s="1"/>
  <c r="Z28" i="37"/>
  <c r="Z10" i="37" s="1"/>
  <c r="AA28" i="37"/>
  <c r="AA10" i="37" s="1"/>
  <c r="AB28" i="37"/>
  <c r="AB18" i="37" s="1"/>
  <c r="AC28" i="37"/>
  <c r="AC18" i="37" s="1"/>
  <c r="AD28" i="37"/>
  <c r="AD18" i="37" s="1"/>
  <c r="AE28" i="37"/>
  <c r="AF28" i="37"/>
  <c r="AG28" i="37"/>
  <c r="AH28" i="37"/>
  <c r="AI28" i="37"/>
  <c r="AJ28" i="37"/>
  <c r="E12" i="36"/>
  <c r="I12" i="36"/>
  <c r="K12" i="36"/>
  <c r="M12" i="36"/>
  <c r="B15" i="36"/>
  <c r="B16" i="36"/>
  <c r="B17" i="36"/>
  <c r="B18" i="36"/>
  <c r="I18" i="36"/>
  <c r="K18" i="36"/>
  <c r="M18" i="36"/>
  <c r="N18" i="36"/>
  <c r="B19" i="36"/>
  <c r="I19" i="36"/>
  <c r="K19" i="36"/>
  <c r="M19" i="36"/>
  <c r="N19" i="36"/>
  <c r="B20" i="36"/>
  <c r="I20" i="36"/>
  <c r="K20" i="36"/>
  <c r="M20" i="36"/>
  <c r="N20" i="36"/>
  <c r="B21" i="36"/>
  <c r="B22" i="36"/>
  <c r="E22" i="36"/>
  <c r="B23" i="36"/>
  <c r="B24" i="36"/>
  <c r="E24" i="36"/>
  <c r="B25" i="36"/>
  <c r="I25" i="36"/>
  <c r="K25" i="36"/>
  <c r="M25" i="36"/>
  <c r="N25" i="36"/>
  <c r="E9" i="35"/>
  <c r="F9" i="35"/>
  <c r="G9" i="35"/>
  <c r="H9" i="35"/>
  <c r="I9" i="35"/>
  <c r="J9" i="35"/>
  <c r="K9" i="35"/>
  <c r="L9" i="35"/>
  <c r="M9" i="35"/>
  <c r="N9" i="35"/>
  <c r="O9" i="35"/>
  <c r="P9" i="35"/>
  <c r="Q9" i="35"/>
  <c r="R9" i="35"/>
  <c r="S9" i="35"/>
  <c r="T9" i="35"/>
  <c r="U9" i="35"/>
  <c r="V9" i="35"/>
  <c r="W9" i="35"/>
  <c r="X9" i="35"/>
  <c r="Y9" i="35"/>
  <c r="Z9" i="35"/>
  <c r="AA9" i="35"/>
  <c r="AB9" i="35"/>
  <c r="AC9" i="35"/>
  <c r="AD9" i="35"/>
  <c r="AE9" i="35"/>
  <c r="AF9" i="35"/>
  <c r="AG9" i="35"/>
  <c r="AH9" i="35"/>
  <c r="AI9" i="35"/>
  <c r="AJ9" i="35"/>
  <c r="D45" i="35"/>
  <c r="AK58" i="35"/>
  <c r="E11" i="34"/>
  <c r="H11" i="34"/>
  <c r="I11" i="34"/>
  <c r="J11" i="34"/>
  <c r="L11" i="34"/>
  <c r="E20" i="34"/>
  <c r="F20" i="34"/>
  <c r="G26" i="34"/>
  <c r="I39" i="34"/>
  <c r="J39" i="34"/>
  <c r="K39" i="34"/>
  <c r="L39" i="34"/>
  <c r="E33" i="34"/>
  <c r="F33" i="34"/>
  <c r="G33" i="34"/>
  <c r="E34" i="34"/>
  <c r="F34" i="34"/>
  <c r="G34" i="34"/>
  <c r="F48" i="34"/>
  <c r="E50" i="34"/>
  <c r="E52" i="34" s="1"/>
  <c r="F50" i="34"/>
  <c r="F51" i="34"/>
  <c r="G56" i="34"/>
  <c r="G57" i="34"/>
  <c r="E8" i="41"/>
  <c r="G8" i="41"/>
  <c r="H8" i="41"/>
  <c r="I8" i="41"/>
  <c r="J8" i="41"/>
  <c r="K8" i="41"/>
  <c r="L8" i="41"/>
  <c r="M8" i="41"/>
  <c r="N8" i="41"/>
  <c r="O8" i="41"/>
  <c r="P8" i="41"/>
  <c r="Q8" i="41"/>
  <c r="R8" i="41"/>
  <c r="T8" i="41"/>
  <c r="U8" i="41"/>
  <c r="V8" i="41"/>
  <c r="W8" i="41"/>
  <c r="X8" i="41"/>
  <c r="Y8" i="41"/>
  <c r="Z8" i="41"/>
  <c r="AA8" i="41"/>
  <c r="AB8" i="41"/>
  <c r="AC8" i="41"/>
  <c r="AD8" i="41"/>
  <c r="AE8" i="41"/>
  <c r="AF8" i="41"/>
  <c r="AG8" i="41"/>
  <c r="AH8" i="41"/>
  <c r="AI8" i="41"/>
  <c r="AJ8" i="41"/>
  <c r="AK8" i="41"/>
  <c r="AL8" i="41"/>
  <c r="I51" i="41"/>
  <c r="J51" i="41"/>
  <c r="K51" i="41"/>
  <c r="L51" i="41"/>
  <c r="M51" i="41"/>
  <c r="N51" i="41"/>
  <c r="O51" i="41"/>
  <c r="P51" i="41"/>
  <c r="Q51" i="41"/>
  <c r="R51" i="41"/>
  <c r="T51" i="41"/>
  <c r="U51" i="41"/>
  <c r="V51" i="41"/>
  <c r="X51" i="41"/>
  <c r="Y51" i="41"/>
  <c r="Z51" i="41"/>
  <c r="AA51" i="41"/>
  <c r="AB51" i="41"/>
  <c r="AC51" i="41"/>
  <c r="AD51" i="41"/>
  <c r="AE51" i="41"/>
  <c r="AF51" i="41"/>
  <c r="AG51" i="41"/>
  <c r="AH62" i="41"/>
  <c r="AI51" i="41"/>
  <c r="AJ51" i="41"/>
  <c r="AK51" i="41"/>
  <c r="E47" i="41"/>
  <c r="E49" i="41"/>
  <c r="W51" i="41"/>
  <c r="AL51" i="41"/>
  <c r="E8" i="32"/>
  <c r="G8" i="32"/>
  <c r="H8" i="32"/>
  <c r="I8" i="32"/>
  <c r="J8" i="32"/>
  <c r="K8" i="32"/>
  <c r="L8" i="32"/>
  <c r="M8" i="32"/>
  <c r="N8" i="32"/>
  <c r="O8" i="32"/>
  <c r="P8" i="32"/>
  <c r="Q8" i="32"/>
  <c r="R8" i="32"/>
  <c r="S8" i="32"/>
  <c r="T8" i="32"/>
  <c r="U8" i="32"/>
  <c r="V8" i="32"/>
  <c r="W8" i="32"/>
  <c r="X8" i="32"/>
  <c r="Y8" i="32"/>
  <c r="Z8" i="32"/>
  <c r="AA8" i="32"/>
  <c r="AB8" i="32"/>
  <c r="AC8" i="32"/>
  <c r="AD8" i="32"/>
  <c r="AE8" i="32"/>
  <c r="AF8" i="32"/>
  <c r="AH8" i="32"/>
  <c r="AI8" i="32"/>
  <c r="AJ8" i="32"/>
  <c r="AK8" i="32"/>
  <c r="AL8" i="32"/>
  <c r="I15" i="32"/>
  <c r="J15" i="32"/>
  <c r="K15" i="32"/>
  <c r="L15" i="32"/>
  <c r="M15" i="32"/>
  <c r="N15" i="32"/>
  <c r="O15" i="32"/>
  <c r="P15" i="32"/>
  <c r="Q15" i="32"/>
  <c r="R15" i="32"/>
  <c r="S15" i="32"/>
  <c r="T15" i="32"/>
  <c r="U15" i="32"/>
  <c r="V15" i="32"/>
  <c r="W15" i="32"/>
  <c r="X15" i="32"/>
  <c r="Y15" i="32"/>
  <c r="Z15" i="32"/>
  <c r="AA15" i="32"/>
  <c r="AB15" i="32"/>
  <c r="AC15" i="32"/>
  <c r="AD15" i="32"/>
  <c r="AE15" i="32"/>
  <c r="AF15" i="32"/>
  <c r="AG15" i="32"/>
  <c r="AI15" i="32"/>
  <c r="AJ15" i="32"/>
  <c r="AK15" i="32"/>
  <c r="AK14" i="32" s="1"/>
  <c r="H18" i="32"/>
  <c r="I18" i="32"/>
  <c r="J18" i="32"/>
  <c r="K18" i="32"/>
  <c r="L18" i="32"/>
  <c r="M18" i="32"/>
  <c r="N18" i="32"/>
  <c r="O18" i="32"/>
  <c r="P18" i="32"/>
  <c r="Q18" i="32"/>
  <c r="R18" i="32"/>
  <c r="S18" i="32"/>
  <c r="T18" i="32"/>
  <c r="U18" i="32"/>
  <c r="V18" i="32"/>
  <c r="W18" i="32"/>
  <c r="X18" i="32"/>
  <c r="Y18" i="32"/>
  <c r="Z18" i="32"/>
  <c r="Z25" i="32" s="1"/>
  <c r="AA18" i="32"/>
  <c r="AB18" i="32"/>
  <c r="AB25" i="32" s="1"/>
  <c r="AC18" i="32"/>
  <c r="AD18" i="32"/>
  <c r="AE18" i="32"/>
  <c r="AF18" i="32"/>
  <c r="AG18" i="32"/>
  <c r="AG25" i="32" s="1"/>
  <c r="AI18" i="32"/>
  <c r="AJ18" i="32"/>
  <c r="AK18" i="32"/>
  <c r="AL18" i="32"/>
  <c r="S32" i="32"/>
  <c r="E42" i="32"/>
  <c r="E45" i="32"/>
  <c r="D8" i="31"/>
  <c r="F8" i="31"/>
  <c r="G8" i="31"/>
  <c r="H8" i="31"/>
  <c r="I8" i="31"/>
  <c r="J8" i="31"/>
  <c r="K8" i="31"/>
  <c r="L8" i="31"/>
  <c r="M8" i="31"/>
  <c r="N8" i="31"/>
  <c r="O8" i="31"/>
  <c r="P8" i="31"/>
  <c r="Q8" i="31"/>
  <c r="S8" i="31"/>
  <c r="T8" i="31"/>
  <c r="U8" i="31"/>
  <c r="V8" i="31"/>
  <c r="W8" i="31"/>
  <c r="X8" i="31"/>
  <c r="Y8" i="31"/>
  <c r="Z8" i="31"/>
  <c r="AA8" i="31"/>
  <c r="AB8" i="31"/>
  <c r="AC8" i="31"/>
  <c r="AD8" i="31"/>
  <c r="AE8" i="31"/>
  <c r="AF8" i="31"/>
  <c r="AH8" i="31"/>
  <c r="AI8" i="31"/>
  <c r="AJ8" i="31"/>
  <c r="AK8" i="31"/>
  <c r="AL8" i="31"/>
  <c r="G12" i="31"/>
  <c r="H12" i="31"/>
  <c r="I12" i="31"/>
  <c r="J12" i="31"/>
  <c r="K12" i="31"/>
  <c r="L12" i="31"/>
  <c r="M12" i="31"/>
  <c r="N12" i="31"/>
  <c r="O12" i="31"/>
  <c r="Q12" i="31"/>
  <c r="R12" i="31"/>
  <c r="S12" i="31"/>
  <c r="T12" i="31"/>
  <c r="U12" i="31"/>
  <c r="V12" i="31"/>
  <c r="W12" i="31"/>
  <c r="X12" i="31"/>
  <c r="Y12" i="31"/>
  <c r="Z12" i="31"/>
  <c r="AA12" i="31"/>
  <c r="AB12" i="31"/>
  <c r="AC12" i="31"/>
  <c r="AD12" i="31"/>
  <c r="AE12" i="31"/>
  <c r="AF12" i="31"/>
  <c r="AG12" i="31"/>
  <c r="AH12" i="31"/>
  <c r="AI12" i="31"/>
  <c r="AJ12" i="31"/>
  <c r="AK12" i="31"/>
  <c r="AL12" i="31"/>
  <c r="D14" i="31"/>
  <c r="D15" i="31"/>
  <c r="D20" i="31"/>
  <c r="G26" i="31"/>
  <c r="H26" i="31"/>
  <c r="I26" i="31"/>
  <c r="K26" i="31"/>
  <c r="L26" i="31"/>
  <c r="M26" i="31"/>
  <c r="N26" i="31"/>
  <c r="O26" i="31"/>
  <c r="Q26" i="31"/>
  <c r="R26" i="31"/>
  <c r="S26" i="31"/>
  <c r="T26" i="31"/>
  <c r="U26" i="31"/>
  <c r="V26" i="31"/>
  <c r="W26" i="31"/>
  <c r="X26" i="31"/>
  <c r="Y26" i="31"/>
  <c r="Z26" i="31"/>
  <c r="AA26" i="31"/>
  <c r="AB26" i="31"/>
  <c r="AC26" i="31"/>
  <c r="AD26" i="31"/>
  <c r="AE26" i="31"/>
  <c r="AF26" i="31"/>
  <c r="AH26" i="31"/>
  <c r="D29" i="31"/>
  <c r="D28" i="31"/>
  <c r="I30" i="31"/>
  <c r="J30" i="31"/>
  <c r="K30" i="31"/>
  <c r="L30" i="31"/>
  <c r="M30" i="31"/>
  <c r="O30" i="31"/>
  <c r="R30" i="31"/>
  <c r="S30" i="31"/>
  <c r="T30" i="31"/>
  <c r="V30" i="31"/>
  <c r="W30" i="31"/>
  <c r="X30" i="31"/>
  <c r="Y30" i="31"/>
  <c r="Z30" i="31"/>
  <c r="AA30" i="31"/>
  <c r="AD30" i="31"/>
  <c r="AE30" i="31"/>
  <c r="AF30" i="31"/>
  <c r="AH30" i="31"/>
  <c r="AI30" i="31"/>
  <c r="I23" i="36" s="1"/>
  <c r="G30" i="31"/>
  <c r="H30" i="31"/>
  <c r="N30" i="31"/>
  <c r="Q30" i="31"/>
  <c r="U30" i="31"/>
  <c r="AB30" i="31"/>
  <c r="AC30" i="31"/>
  <c r="D32" i="31"/>
  <c r="AJ30" i="31"/>
  <c r="K23" i="36" s="1"/>
  <c r="D34" i="31"/>
  <c r="D37" i="31"/>
  <c r="F92" i="31"/>
  <c r="F93" i="31" s="1"/>
  <c r="G92" i="31"/>
  <c r="G93" i="31" s="1"/>
  <c r="H92" i="31"/>
  <c r="I92" i="31"/>
  <c r="I93" i="31" s="1"/>
  <c r="J92" i="31"/>
  <c r="J93" i="31" s="1"/>
  <c r="K92" i="31"/>
  <c r="K93" i="31" s="1"/>
  <c r="L92" i="31"/>
  <c r="L93" i="31" s="1"/>
  <c r="M92" i="31"/>
  <c r="M93" i="31" s="1"/>
  <c r="N92" i="31"/>
  <c r="N93" i="31" s="1"/>
  <c r="O92" i="31"/>
  <c r="O93" i="31" s="1"/>
  <c r="P92" i="31"/>
  <c r="P93" i="31" s="1"/>
  <c r="Q92" i="31"/>
  <c r="Q93" i="31" s="1"/>
  <c r="R92" i="31"/>
  <c r="R93" i="31" s="1"/>
  <c r="S92" i="31"/>
  <c r="S93" i="31" s="1"/>
  <c r="T92" i="31"/>
  <c r="T93" i="31" s="1"/>
  <c r="U92" i="31"/>
  <c r="U93" i="31" s="1"/>
  <c r="V92" i="31"/>
  <c r="V93" i="31" s="1"/>
  <c r="W92" i="31"/>
  <c r="W93" i="31" s="1"/>
  <c r="X92" i="31"/>
  <c r="X93" i="31" s="1"/>
  <c r="Y92" i="31"/>
  <c r="Y93" i="31" s="1"/>
  <c r="Z92" i="31"/>
  <c r="Z93" i="31" s="1"/>
  <c r="AA92" i="31"/>
  <c r="AA93" i="31" s="1"/>
  <c r="AB92" i="31"/>
  <c r="AB93" i="31" s="1"/>
  <c r="AC92" i="31"/>
  <c r="AC93" i="31" s="1"/>
  <c r="AD92" i="31"/>
  <c r="AD93" i="31" s="1"/>
  <c r="AE92" i="31"/>
  <c r="AE93" i="31" s="1"/>
  <c r="AF92" i="31"/>
  <c r="AF93" i="31" s="1"/>
  <c r="AG92" i="31"/>
  <c r="AG93" i="31" s="1"/>
  <c r="H93" i="31"/>
  <c r="G95" i="31"/>
  <c r="G96" i="31" s="1"/>
  <c r="D99" i="31"/>
  <c r="G104" i="31"/>
  <c r="H104" i="31"/>
  <c r="J104" i="31"/>
  <c r="N104" i="31"/>
  <c r="O104" i="31"/>
  <c r="Q104" i="31"/>
  <c r="U104" i="31"/>
  <c r="AB104" i="31"/>
  <c r="AC104" i="31"/>
  <c r="AI104" i="31"/>
  <c r="AJ104" i="31"/>
  <c r="AB105" i="31"/>
  <c r="AI105" i="31"/>
  <c r="AJ105" i="31"/>
  <c r="AE32" i="42"/>
  <c r="AE42" i="42"/>
  <c r="AK50" i="42"/>
  <c r="AK51" i="42"/>
  <c r="AE57" i="42"/>
  <c r="AK58" i="42"/>
  <c r="AE59" i="42"/>
  <c r="B10" i="29"/>
  <c r="G10" i="29"/>
  <c r="B11" i="29"/>
  <c r="G11" i="29"/>
  <c r="B12" i="29"/>
  <c r="G12" i="29"/>
  <c r="B13" i="29"/>
  <c r="G13" i="29"/>
  <c r="B14" i="29"/>
  <c r="G14" i="29"/>
  <c r="B15" i="29"/>
  <c r="G15" i="29"/>
  <c r="G16" i="29"/>
  <c r="G17" i="29"/>
  <c r="G18" i="29"/>
  <c r="B19" i="29"/>
  <c r="G19" i="29"/>
  <c r="B24" i="29"/>
  <c r="B25" i="29"/>
  <c r="B26" i="29"/>
  <c r="B27" i="29"/>
  <c r="B28" i="29"/>
  <c r="B29" i="29"/>
  <c r="B30" i="29"/>
  <c r="B31" i="29"/>
  <c r="B32" i="29"/>
  <c r="B33" i="29"/>
  <c r="B34" i="29"/>
  <c r="B35" i="29"/>
  <c r="B36" i="29"/>
  <c r="B37" i="29"/>
  <c r="B38" i="29"/>
  <c r="B39" i="29"/>
  <c r="B40" i="29"/>
  <c r="B41" i="29"/>
  <c r="B42" i="29"/>
  <c r="B43" i="29"/>
  <c r="B44" i="29"/>
  <c r="B45" i="29"/>
  <c r="B46" i="29"/>
  <c r="B47" i="29"/>
  <c r="B48" i="29"/>
  <c r="B49" i="29"/>
  <c r="B8" i="30"/>
  <c r="B9" i="30"/>
  <c r="B10" i="30"/>
  <c r="B11" i="30"/>
  <c r="B12" i="30"/>
  <c r="B13" i="30"/>
  <c r="B14" i="30"/>
  <c r="B15" i="30"/>
  <c r="B16" i="30"/>
  <c r="B17" i="30"/>
  <c r="B18" i="30"/>
  <c r="B19" i="30"/>
  <c r="B20" i="30"/>
  <c r="B21" i="30"/>
  <c r="B22" i="30"/>
  <c r="B23" i="30"/>
  <c r="B24" i="30"/>
  <c r="E24" i="30"/>
  <c r="M47" i="39" s="1"/>
  <c r="B25" i="30"/>
  <c r="B26" i="30"/>
  <c r="E26" i="30"/>
  <c r="M49" i="39" s="1"/>
  <c r="B27" i="30"/>
  <c r="B28" i="30"/>
  <c r="B29" i="30"/>
  <c r="B30" i="30"/>
  <c r="B31" i="30"/>
  <c r="B32" i="30"/>
  <c r="B33" i="30"/>
  <c r="B34" i="30"/>
  <c r="B35" i="30"/>
  <c r="B36" i="30"/>
  <c r="B38" i="30"/>
  <c r="B39" i="30"/>
  <c r="B40" i="30"/>
  <c r="B41" i="30"/>
  <c r="E41" i="30"/>
  <c r="M65" i="39" s="1"/>
  <c r="B42" i="30"/>
  <c r="E42" i="30"/>
  <c r="M67" i="39" s="1"/>
  <c r="B43" i="30"/>
  <c r="B44" i="30"/>
  <c r="B45" i="30"/>
  <c r="B46" i="30"/>
  <c r="B47" i="30"/>
  <c r="B48" i="30"/>
  <c r="B49" i="30"/>
  <c r="B50" i="30"/>
  <c r="B51" i="30"/>
  <c r="B52" i="30"/>
  <c r="E52" i="30"/>
  <c r="B53" i="30"/>
  <c r="B54" i="30"/>
  <c r="B55" i="30"/>
  <c r="F55" i="30"/>
  <c r="B56" i="30"/>
  <c r="B57" i="30"/>
  <c r="B58" i="30"/>
  <c r="B59" i="30"/>
  <c r="B60" i="30"/>
  <c r="B61" i="30"/>
  <c r="B62" i="30"/>
  <c r="B63" i="30"/>
  <c r="B64" i="30"/>
  <c r="B65" i="30"/>
  <c r="B66" i="30"/>
  <c r="B67" i="30"/>
  <c r="B68" i="30"/>
  <c r="B69" i="30"/>
  <c r="B70" i="30"/>
  <c r="B71" i="30"/>
  <c r="B72" i="30"/>
  <c r="B73" i="30"/>
  <c r="B79" i="30"/>
  <c r="B80" i="30"/>
  <c r="B81" i="30"/>
  <c r="B82" i="30"/>
  <c r="B83" i="30"/>
  <c r="B84" i="30"/>
  <c r="B85" i="30"/>
  <c r="B86" i="30"/>
  <c r="B87" i="30"/>
  <c r="B88" i="30"/>
  <c r="B89" i="30"/>
  <c r="B90" i="30"/>
  <c r="B91" i="30"/>
  <c r="B92" i="30"/>
  <c r="B93" i="30"/>
  <c r="B94" i="30"/>
  <c r="B95" i="30"/>
  <c r="B96" i="30"/>
  <c r="E96" i="30"/>
  <c r="B97" i="30"/>
  <c r="E97" i="30"/>
  <c r="B98" i="30"/>
  <c r="E98" i="30"/>
  <c r="B99" i="30"/>
  <c r="B100" i="30"/>
  <c r="B101" i="30"/>
  <c r="B102" i="30"/>
  <c r="B103" i="30"/>
  <c r="B104" i="30"/>
  <c r="F104" i="30"/>
  <c r="B105" i="30"/>
  <c r="B106" i="30"/>
  <c r="B107" i="30"/>
  <c r="F107" i="30"/>
  <c r="B108" i="30"/>
  <c r="B109" i="30"/>
  <c r="B110" i="30"/>
  <c r="B111" i="30"/>
  <c r="B112" i="30"/>
  <c r="B113" i="30"/>
  <c r="B114" i="30"/>
  <c r="B115" i="30"/>
  <c r="B116" i="30"/>
  <c r="B117" i="30"/>
  <c r="E117" i="30"/>
  <c r="B118" i="30"/>
  <c r="B119" i="30"/>
  <c r="B120" i="30"/>
  <c r="B121" i="30"/>
  <c r="B122" i="30"/>
  <c r="E122" i="30"/>
  <c r="B123" i="30"/>
  <c r="B124" i="30"/>
  <c r="B125" i="30"/>
  <c r="B126" i="30"/>
  <c r="B127" i="30"/>
  <c r="B128" i="30"/>
  <c r="B129" i="30"/>
  <c r="B130" i="30"/>
  <c r="B131" i="30"/>
  <c r="B132" i="30"/>
  <c r="B133" i="30"/>
  <c r="B134" i="30"/>
  <c r="B135" i="30"/>
  <c r="B136" i="30"/>
  <c r="B137" i="30"/>
  <c r="B138" i="30"/>
  <c r="B139" i="30"/>
  <c r="B140" i="30"/>
  <c r="B141" i="30"/>
  <c r="B142" i="30"/>
  <c r="B143" i="30"/>
  <c r="B144" i="30"/>
  <c r="E144" i="30"/>
  <c r="B146" i="30"/>
  <c r="B150" i="30"/>
  <c r="B151" i="30"/>
  <c r="B152" i="30"/>
  <c r="B153" i="30"/>
  <c r="B154" i="30"/>
  <c r="E154" i="30"/>
  <c r="E28" i="29" s="1"/>
  <c r="B155" i="30"/>
  <c r="B156" i="30"/>
  <c r="B157" i="30"/>
  <c r="B158" i="30"/>
  <c r="B159" i="30"/>
  <c r="F159" i="30"/>
  <c r="E33" i="29" s="1"/>
  <c r="B160" i="30"/>
  <c r="B161" i="30"/>
  <c r="B162" i="30"/>
  <c r="E162" i="30"/>
  <c r="B163" i="30"/>
  <c r="E163" i="30"/>
  <c r="B164" i="30"/>
  <c r="B165" i="30"/>
  <c r="B166" i="30"/>
  <c r="E166" i="30"/>
  <c r="B167" i="30"/>
  <c r="B168" i="30"/>
  <c r="B169" i="30"/>
  <c r="B170" i="30"/>
  <c r="B171" i="30"/>
  <c r="E171" i="30"/>
  <c r="B172" i="30"/>
  <c r="E172" i="30"/>
  <c r="B173" i="30"/>
  <c r="B174" i="30"/>
  <c r="B175" i="30"/>
  <c r="B176" i="30"/>
  <c r="B177" i="30"/>
  <c r="B178" i="30"/>
  <c r="B179" i="30"/>
  <c r="B180" i="30"/>
  <c r="B181" i="30"/>
  <c r="B182" i="30"/>
  <c r="B183" i="30"/>
  <c r="B184" i="30"/>
  <c r="B185" i="30"/>
  <c r="B186" i="30"/>
  <c r="B187" i="30"/>
  <c r="B188" i="30"/>
  <c r="B189" i="30"/>
  <c r="G189" i="30"/>
  <c r="B190" i="30"/>
  <c r="B191" i="30"/>
  <c r="B192" i="30"/>
  <c r="B193" i="30"/>
  <c r="F193" i="30"/>
  <c r="B194" i="30"/>
  <c r="B195" i="30"/>
  <c r="B196" i="30"/>
  <c r="B197" i="30"/>
  <c r="B198" i="30"/>
  <c r="B199" i="30"/>
  <c r="F199" i="30"/>
  <c r="B200" i="30"/>
  <c r="B201" i="30"/>
  <c r="B202" i="30"/>
  <c r="B203" i="30"/>
  <c r="B204" i="30"/>
  <c r="H204" i="30"/>
  <c r="F46" i="29" s="1"/>
  <c r="B205" i="30"/>
  <c r="B206" i="30"/>
  <c r="B207" i="30"/>
  <c r="A7" i="28"/>
  <c r="B7" i="28"/>
  <c r="C7" i="28"/>
  <c r="D7" i="28"/>
  <c r="F7" i="28"/>
  <c r="I7" i="28"/>
  <c r="L7" i="28"/>
  <c r="O7" i="28"/>
  <c r="R7" i="28"/>
  <c r="U7" i="28"/>
  <c r="X7" i="28"/>
  <c r="AA7" i="28"/>
  <c r="AM7" i="28"/>
  <c r="A8" i="28"/>
  <c r="B8" i="28"/>
  <c r="C8" i="28"/>
  <c r="D8" i="28"/>
  <c r="F8" i="28"/>
  <c r="I8" i="28"/>
  <c r="L8" i="28"/>
  <c r="O8" i="28"/>
  <c r="R8" i="28"/>
  <c r="U8" i="28"/>
  <c r="X8" i="28"/>
  <c r="AA8" i="28"/>
  <c r="AM8" i="28"/>
  <c r="A9" i="28"/>
  <c r="B9" i="28"/>
  <c r="C9" i="28"/>
  <c r="D9" i="28"/>
  <c r="F9" i="28"/>
  <c r="I9" i="28"/>
  <c r="L9" i="28"/>
  <c r="O9" i="28"/>
  <c r="R9" i="28"/>
  <c r="U9" i="28"/>
  <c r="X9" i="28"/>
  <c r="AA9" i="28"/>
  <c r="AM9" i="28"/>
  <c r="A10" i="28"/>
  <c r="B10" i="28"/>
  <c r="C10" i="28"/>
  <c r="D10" i="28"/>
  <c r="F10" i="28"/>
  <c r="I10" i="28"/>
  <c r="L10" i="28"/>
  <c r="O10" i="28"/>
  <c r="R10" i="28"/>
  <c r="U10" i="28"/>
  <c r="X10" i="28"/>
  <c r="AA10" i="28"/>
  <c r="AM10" i="28"/>
  <c r="A11" i="28"/>
  <c r="B11" i="28"/>
  <c r="C11" i="28"/>
  <c r="D11" i="28"/>
  <c r="F11" i="28"/>
  <c r="I11" i="28"/>
  <c r="L11" i="28"/>
  <c r="O11" i="28"/>
  <c r="R11" i="28"/>
  <c r="U11" i="28"/>
  <c r="X11" i="28"/>
  <c r="AA11" i="28"/>
  <c r="AM11" i="28"/>
  <c r="A12" i="28"/>
  <c r="B12" i="28"/>
  <c r="C12" i="28"/>
  <c r="D12" i="28"/>
  <c r="F12" i="28"/>
  <c r="I12" i="28"/>
  <c r="L12" i="28"/>
  <c r="O12" i="28"/>
  <c r="R12" i="28"/>
  <c r="U12" i="28"/>
  <c r="X12" i="28"/>
  <c r="AA12" i="28"/>
  <c r="AM12" i="28"/>
  <c r="A13" i="28"/>
  <c r="B13" i="28"/>
  <c r="C13" i="28"/>
  <c r="D13" i="28"/>
  <c r="F13" i="28"/>
  <c r="I13" i="28"/>
  <c r="L13" i="28"/>
  <c r="O13" i="28"/>
  <c r="R13" i="28"/>
  <c r="U13" i="28"/>
  <c r="X13" i="28"/>
  <c r="AA13" i="28"/>
  <c r="AM13" i="28"/>
  <c r="A14" i="28"/>
  <c r="B14" i="28"/>
  <c r="C14" i="28"/>
  <c r="D14" i="28"/>
  <c r="F14" i="28"/>
  <c r="I14" i="28"/>
  <c r="L14" i="28"/>
  <c r="O14" i="28"/>
  <c r="R14" i="28"/>
  <c r="U14" i="28"/>
  <c r="X14" i="28"/>
  <c r="AA14" i="28"/>
  <c r="AM14" i="28"/>
  <c r="A15" i="28"/>
  <c r="B15" i="28"/>
  <c r="C15" i="28"/>
  <c r="D15" i="28"/>
  <c r="F15" i="28"/>
  <c r="I15" i="28"/>
  <c r="L15" i="28"/>
  <c r="O15" i="28"/>
  <c r="R15" i="28"/>
  <c r="U15" i="28"/>
  <c r="X15" i="28"/>
  <c r="AA15" i="28"/>
  <c r="AM15" i="28"/>
  <c r="A16" i="28"/>
  <c r="B16" i="28"/>
  <c r="C16" i="28"/>
  <c r="D16" i="28"/>
  <c r="F16" i="28"/>
  <c r="I16" i="28"/>
  <c r="L16" i="28"/>
  <c r="O16" i="28"/>
  <c r="R16" i="28"/>
  <c r="U16" i="28"/>
  <c r="X16" i="28"/>
  <c r="AA16" i="28"/>
  <c r="AM16" i="28"/>
  <c r="A17" i="28"/>
  <c r="B17" i="28"/>
  <c r="C17" i="28"/>
  <c r="D17" i="28"/>
  <c r="F17" i="28"/>
  <c r="I17" i="28"/>
  <c r="L17" i="28"/>
  <c r="O17" i="28"/>
  <c r="R17" i="28"/>
  <c r="U17" i="28"/>
  <c r="X17" i="28"/>
  <c r="AA17" i="28"/>
  <c r="AM17" i="28"/>
  <c r="A18" i="28"/>
  <c r="B18" i="28"/>
  <c r="C18" i="28"/>
  <c r="D18" i="28"/>
  <c r="F18" i="28"/>
  <c r="I18" i="28"/>
  <c r="L18" i="28"/>
  <c r="O18" i="28"/>
  <c r="R18" i="28"/>
  <c r="U18" i="28"/>
  <c r="X18" i="28"/>
  <c r="AA18" i="28"/>
  <c r="AM18" i="28"/>
  <c r="A19" i="28"/>
  <c r="B19" i="28"/>
  <c r="C19" i="28"/>
  <c r="D19" i="28"/>
  <c r="F19" i="28"/>
  <c r="I19" i="28"/>
  <c r="L19" i="28"/>
  <c r="O19" i="28"/>
  <c r="R19" i="28"/>
  <c r="U19" i="28"/>
  <c r="X19" i="28"/>
  <c r="AA19" i="28"/>
  <c r="AM19" i="28"/>
  <c r="A20" i="28"/>
  <c r="B20" i="28"/>
  <c r="C20" i="28"/>
  <c r="D20" i="28"/>
  <c r="F20" i="28"/>
  <c r="I20" i="28"/>
  <c r="L20" i="28"/>
  <c r="O20" i="28"/>
  <c r="R20" i="28"/>
  <c r="U20" i="28"/>
  <c r="X20" i="28"/>
  <c r="AA20" i="28"/>
  <c r="AM20" i="28"/>
  <c r="A21" i="28"/>
  <c r="B21" i="28"/>
  <c r="C21" i="28"/>
  <c r="D21" i="28"/>
  <c r="F21" i="28"/>
  <c r="I21" i="28"/>
  <c r="L21" i="28"/>
  <c r="O21" i="28"/>
  <c r="R21" i="28"/>
  <c r="U21" i="28"/>
  <c r="X21" i="28"/>
  <c r="AA21" i="28"/>
  <c r="AM21" i="28"/>
  <c r="A22" i="28"/>
  <c r="B22" i="28"/>
  <c r="C22" i="28"/>
  <c r="D22" i="28"/>
  <c r="F22" i="28"/>
  <c r="I22" i="28"/>
  <c r="L22" i="28"/>
  <c r="O22" i="28"/>
  <c r="R22" i="28"/>
  <c r="U22" i="28"/>
  <c r="X22" i="28"/>
  <c r="AA22" i="28"/>
  <c r="AM22" i="28"/>
  <c r="A23" i="28"/>
  <c r="B23" i="28"/>
  <c r="C23" i="28"/>
  <c r="D23" i="28"/>
  <c r="F23" i="28"/>
  <c r="I23" i="28"/>
  <c r="L23" i="28"/>
  <c r="O23" i="28"/>
  <c r="R23" i="28"/>
  <c r="U23" i="28"/>
  <c r="X23" i="28"/>
  <c r="AA23" i="28"/>
  <c r="AM23" i="28"/>
  <c r="A24" i="28"/>
  <c r="B24" i="28"/>
  <c r="C24" i="28"/>
  <c r="D24" i="28"/>
  <c r="F24" i="28"/>
  <c r="I24" i="28"/>
  <c r="L24" i="28"/>
  <c r="O24" i="28"/>
  <c r="R24" i="28"/>
  <c r="U24" i="28"/>
  <c r="X24" i="28"/>
  <c r="AA24" i="28"/>
  <c r="AM24" i="28"/>
  <c r="A25" i="28"/>
  <c r="B25" i="28"/>
  <c r="C25" i="28"/>
  <c r="D25" i="28"/>
  <c r="F25" i="28"/>
  <c r="I25" i="28"/>
  <c r="L25" i="28"/>
  <c r="O25" i="28"/>
  <c r="R25" i="28"/>
  <c r="U25" i="28"/>
  <c r="X25" i="28"/>
  <c r="AA25" i="28"/>
  <c r="AM25" i="28"/>
  <c r="A26" i="28"/>
  <c r="B26" i="28"/>
  <c r="C26" i="28"/>
  <c r="D26" i="28"/>
  <c r="F26" i="28"/>
  <c r="I26" i="28"/>
  <c r="L26" i="28"/>
  <c r="O26" i="28"/>
  <c r="R26" i="28"/>
  <c r="U26" i="28"/>
  <c r="X26" i="28"/>
  <c r="AA26" i="28"/>
  <c r="AM26" i="28"/>
  <c r="A27" i="28"/>
  <c r="B27" i="28"/>
  <c r="C27" i="28"/>
  <c r="D27" i="28"/>
  <c r="F27" i="28"/>
  <c r="I27" i="28"/>
  <c r="L27" i="28"/>
  <c r="O27" i="28"/>
  <c r="R27" i="28"/>
  <c r="U27" i="28"/>
  <c r="X27" i="28"/>
  <c r="AA27" i="28"/>
  <c r="AM27" i="28"/>
  <c r="A28" i="28"/>
  <c r="B28" i="28"/>
  <c r="C28" i="28"/>
  <c r="D28" i="28"/>
  <c r="F28" i="28"/>
  <c r="I28" i="28"/>
  <c r="L28" i="28"/>
  <c r="O28" i="28"/>
  <c r="R28" i="28"/>
  <c r="U28" i="28"/>
  <c r="X28" i="28"/>
  <c r="AA28" i="28"/>
  <c r="AM28" i="28"/>
  <c r="A29" i="28"/>
  <c r="B29" i="28"/>
  <c r="C29" i="28"/>
  <c r="D29" i="28"/>
  <c r="F29" i="28"/>
  <c r="I29" i="28"/>
  <c r="L29" i="28"/>
  <c r="O29" i="28"/>
  <c r="R29" i="28"/>
  <c r="U29" i="28"/>
  <c r="X29" i="28"/>
  <c r="AA29" i="28"/>
  <c r="AM29" i="28"/>
  <c r="A30" i="28"/>
  <c r="B30" i="28"/>
  <c r="C30" i="28"/>
  <c r="D30" i="28"/>
  <c r="F30" i="28"/>
  <c r="I30" i="28"/>
  <c r="L30" i="28"/>
  <c r="O30" i="28"/>
  <c r="R30" i="28"/>
  <c r="U30" i="28"/>
  <c r="X30" i="28"/>
  <c r="AA30" i="28"/>
  <c r="AM30" i="28"/>
  <c r="A31" i="28"/>
  <c r="B31" i="28"/>
  <c r="C31" i="28"/>
  <c r="D31" i="28"/>
  <c r="F31" i="28"/>
  <c r="I31" i="28"/>
  <c r="L31" i="28"/>
  <c r="O31" i="28"/>
  <c r="R31" i="28"/>
  <c r="U31" i="28"/>
  <c r="X31" i="28"/>
  <c r="AA31" i="28"/>
  <c r="AM31" i="28"/>
  <c r="A32" i="28"/>
  <c r="B32" i="28"/>
  <c r="C32" i="28"/>
  <c r="D32" i="28"/>
  <c r="F32" i="28"/>
  <c r="I32" i="28"/>
  <c r="L32" i="28"/>
  <c r="O32" i="28"/>
  <c r="R32" i="28"/>
  <c r="U32" i="28"/>
  <c r="X32" i="28"/>
  <c r="AA32" i="28"/>
  <c r="AM32" i="28"/>
  <c r="A33" i="28"/>
  <c r="B33" i="28"/>
  <c r="C33" i="28"/>
  <c r="D33" i="28"/>
  <c r="F33" i="28"/>
  <c r="I33" i="28"/>
  <c r="L33" i="28"/>
  <c r="O33" i="28"/>
  <c r="R33" i="28"/>
  <c r="U33" i="28"/>
  <c r="X33" i="28"/>
  <c r="AA33" i="28"/>
  <c r="AM33" i="28"/>
  <c r="A34" i="28"/>
  <c r="B34" i="28"/>
  <c r="C34" i="28"/>
  <c r="D34" i="28"/>
  <c r="F34" i="28"/>
  <c r="I34" i="28"/>
  <c r="L34" i="28"/>
  <c r="O34" i="28"/>
  <c r="R34" i="28"/>
  <c r="U34" i="28"/>
  <c r="X34" i="28"/>
  <c r="AA34" i="28"/>
  <c r="AM34" i="28"/>
  <c r="A35" i="28"/>
  <c r="B35" i="28"/>
  <c r="C35" i="28"/>
  <c r="D35" i="28"/>
  <c r="I35" i="28"/>
  <c r="L35" i="28"/>
  <c r="O35" i="28"/>
  <c r="R35" i="28"/>
  <c r="U35" i="28"/>
  <c r="X35" i="28"/>
  <c r="AA35" i="28"/>
  <c r="AM35" i="28"/>
  <c r="A36" i="28"/>
  <c r="B36" i="28"/>
  <c r="C36" i="28"/>
  <c r="D36" i="28"/>
  <c r="F36" i="28"/>
  <c r="I36" i="28"/>
  <c r="L36" i="28"/>
  <c r="O36" i="28"/>
  <c r="R36" i="28"/>
  <c r="U36" i="28"/>
  <c r="X36" i="28"/>
  <c r="AA36" i="28"/>
  <c r="AM36" i="28"/>
  <c r="A37" i="28"/>
  <c r="B37" i="28"/>
  <c r="C37" i="28"/>
  <c r="D37" i="28"/>
  <c r="F37" i="28"/>
  <c r="I37" i="28"/>
  <c r="L37" i="28"/>
  <c r="O37" i="28"/>
  <c r="R37" i="28"/>
  <c r="U37" i="28"/>
  <c r="X37" i="28"/>
  <c r="AA37" i="28"/>
  <c r="AM37" i="28"/>
  <c r="A38" i="28"/>
  <c r="B38" i="28"/>
  <c r="C38" i="28"/>
  <c r="D38" i="28"/>
  <c r="F38" i="28"/>
  <c r="I38" i="28"/>
  <c r="L38" i="28"/>
  <c r="O38" i="28"/>
  <c r="R38" i="28"/>
  <c r="U38" i="28"/>
  <c r="X38" i="28"/>
  <c r="AA38" i="28"/>
  <c r="AM38" i="28"/>
  <c r="A39" i="28"/>
  <c r="B39" i="28"/>
  <c r="C39" i="28"/>
  <c r="D39" i="28"/>
  <c r="AA39" i="28"/>
  <c r="AM39" i="28"/>
  <c r="A40" i="28"/>
  <c r="B40" i="28"/>
  <c r="C40" i="28"/>
  <c r="D40" i="28"/>
  <c r="F40" i="28"/>
  <c r="I40" i="28"/>
  <c r="L40" i="28"/>
  <c r="O40" i="28"/>
  <c r="R40" i="28"/>
  <c r="U40" i="28"/>
  <c r="X40" i="28"/>
  <c r="AA40" i="28"/>
  <c r="AM40" i="28"/>
  <c r="A41" i="28"/>
  <c r="B41" i="28"/>
  <c r="C41" i="28"/>
  <c r="D41" i="28"/>
  <c r="F41" i="28"/>
  <c r="I41" i="28"/>
  <c r="L41" i="28"/>
  <c r="O41" i="28"/>
  <c r="R41" i="28"/>
  <c r="U41" i="28"/>
  <c r="X41" i="28"/>
  <c r="AA41" i="28"/>
  <c r="AM41" i="28"/>
  <c r="A42" i="28"/>
  <c r="B42" i="28"/>
  <c r="C42" i="28"/>
  <c r="D42" i="28"/>
  <c r="F42" i="28"/>
  <c r="I42" i="28"/>
  <c r="L42" i="28"/>
  <c r="O42" i="28"/>
  <c r="R42" i="28"/>
  <c r="U42" i="28"/>
  <c r="X42" i="28"/>
  <c r="AA42" i="28"/>
  <c r="AM42" i="28"/>
  <c r="A43" i="28"/>
  <c r="B43" i="28"/>
  <c r="C43" i="28"/>
  <c r="D43" i="28"/>
  <c r="F43" i="28"/>
  <c r="I43" i="28"/>
  <c r="L43" i="28"/>
  <c r="O43" i="28"/>
  <c r="R43" i="28"/>
  <c r="U43" i="28"/>
  <c r="X43" i="28"/>
  <c r="AA43" i="28"/>
  <c r="AM43" i="28"/>
  <c r="A44" i="28"/>
  <c r="B44" i="28"/>
  <c r="C44" i="28"/>
  <c r="D44" i="28"/>
  <c r="F44" i="28"/>
  <c r="I44" i="28"/>
  <c r="L44" i="28"/>
  <c r="O44" i="28"/>
  <c r="R44" i="28"/>
  <c r="U44" i="28"/>
  <c r="X44" i="28"/>
  <c r="AA44" i="28"/>
  <c r="AM44" i="28"/>
  <c r="A45" i="28"/>
  <c r="B45" i="28"/>
  <c r="C45" i="28"/>
  <c r="D45" i="28"/>
  <c r="F45" i="28"/>
  <c r="I45" i="28"/>
  <c r="L45" i="28"/>
  <c r="O45" i="28"/>
  <c r="R45" i="28"/>
  <c r="U45" i="28"/>
  <c r="X45" i="28"/>
  <c r="AA45" i="28"/>
  <c r="AM45" i="28"/>
  <c r="A46" i="28"/>
  <c r="B46" i="28"/>
  <c r="C46" i="28"/>
  <c r="D46" i="28"/>
  <c r="F46" i="28"/>
  <c r="I46" i="28"/>
  <c r="L46" i="28"/>
  <c r="O46" i="28"/>
  <c r="R46" i="28"/>
  <c r="U46" i="28"/>
  <c r="X46" i="28"/>
  <c r="AA46" i="28"/>
  <c r="AM46" i="28"/>
  <c r="A47" i="28"/>
  <c r="B47" i="28"/>
  <c r="C47" i="28"/>
  <c r="D47" i="28"/>
  <c r="F47" i="28"/>
  <c r="I47" i="28"/>
  <c r="L47" i="28"/>
  <c r="O47" i="28"/>
  <c r="R47" i="28"/>
  <c r="U47" i="28"/>
  <c r="X47" i="28"/>
  <c r="AA47" i="28"/>
  <c r="AM47" i="28"/>
  <c r="A48" i="28"/>
  <c r="B48" i="28"/>
  <c r="C48" i="28"/>
  <c r="D48" i="28"/>
  <c r="F48" i="28"/>
  <c r="I48" i="28"/>
  <c r="L48" i="28"/>
  <c r="O48" i="28"/>
  <c r="R48" i="28"/>
  <c r="U48" i="28"/>
  <c r="X48" i="28"/>
  <c r="AA48" i="28"/>
  <c r="AM48" i="28"/>
  <c r="A49" i="28"/>
  <c r="B49" i="28"/>
  <c r="C49" i="28"/>
  <c r="D49" i="28"/>
  <c r="F49" i="28"/>
  <c r="I49" i="28"/>
  <c r="L49" i="28"/>
  <c r="O49" i="28"/>
  <c r="R49" i="28"/>
  <c r="U49" i="28"/>
  <c r="X49" i="28"/>
  <c r="AA49" i="28"/>
  <c r="AM49" i="28"/>
  <c r="A50" i="28"/>
  <c r="B50" i="28"/>
  <c r="C50" i="28"/>
  <c r="D50" i="28"/>
  <c r="AA50" i="28"/>
  <c r="AM50" i="28"/>
  <c r="A51" i="28"/>
  <c r="B51" i="28"/>
  <c r="C51" i="28"/>
  <c r="D51" i="28"/>
  <c r="F51" i="28"/>
  <c r="I51" i="28"/>
  <c r="L51" i="28"/>
  <c r="O51" i="28"/>
  <c r="R51" i="28"/>
  <c r="U51" i="28"/>
  <c r="X51" i="28"/>
  <c r="AA51" i="28"/>
  <c r="AM51" i="28"/>
  <c r="A52" i="28"/>
  <c r="B52" i="28"/>
  <c r="C52" i="28"/>
  <c r="D52" i="28"/>
  <c r="AA52" i="28"/>
  <c r="AM52" i="28"/>
  <c r="A53" i="28"/>
  <c r="B53" i="28"/>
  <c r="C53" i="28"/>
  <c r="D53" i="28"/>
  <c r="AA53" i="28"/>
  <c r="AM53" i="28"/>
  <c r="A54" i="28"/>
  <c r="B54" i="28"/>
  <c r="C54" i="28"/>
  <c r="D54" i="28"/>
  <c r="AA54" i="28"/>
  <c r="AM54" i="28"/>
  <c r="A55" i="28"/>
  <c r="B55" i="28"/>
  <c r="C55" i="28"/>
  <c r="D55" i="28"/>
  <c r="AA55" i="28"/>
  <c r="AM55" i="28"/>
  <c r="A56" i="28"/>
  <c r="B56" i="28"/>
  <c r="C56" i="28"/>
  <c r="D56" i="28"/>
  <c r="AA56" i="28"/>
  <c r="AM56" i="28"/>
  <c r="A57" i="28"/>
  <c r="B57" i="28"/>
  <c r="C57" i="28"/>
  <c r="D57" i="28"/>
  <c r="AA57" i="28"/>
  <c r="AM57" i="28"/>
  <c r="A58" i="28"/>
  <c r="B58" i="28"/>
  <c r="C58" i="28"/>
  <c r="D58" i="28"/>
  <c r="AA58" i="28"/>
  <c r="AM58" i="28"/>
  <c r="A59" i="28"/>
  <c r="B59" i="28"/>
  <c r="C59" i="28"/>
  <c r="D59" i="28"/>
  <c r="F59" i="28"/>
  <c r="I59" i="28"/>
  <c r="L59" i="28"/>
  <c r="O59" i="28"/>
  <c r="R59" i="28"/>
  <c r="U59" i="28"/>
  <c r="X59" i="28"/>
  <c r="AA59" i="28"/>
  <c r="AM59" i="28"/>
  <c r="A60" i="28"/>
  <c r="B60" i="28"/>
  <c r="C60" i="28"/>
  <c r="D60" i="28"/>
  <c r="F60" i="28"/>
  <c r="I60" i="28"/>
  <c r="L60" i="28"/>
  <c r="O60" i="28"/>
  <c r="R60" i="28"/>
  <c r="U60" i="28"/>
  <c r="X60" i="28"/>
  <c r="AA60" i="28"/>
  <c r="AM60" i="28"/>
  <c r="A61" i="28"/>
  <c r="B61" i="28"/>
  <c r="C61" i="28"/>
  <c r="D61" i="28"/>
  <c r="F61" i="28"/>
  <c r="I61" i="28"/>
  <c r="L61" i="28"/>
  <c r="O61" i="28"/>
  <c r="R61" i="28"/>
  <c r="U61" i="28"/>
  <c r="X61" i="28"/>
  <c r="AA61" i="28"/>
  <c r="AM61" i="28"/>
  <c r="A62" i="28"/>
  <c r="B62" i="28"/>
  <c r="C62" i="28"/>
  <c r="D62" i="28"/>
  <c r="F62" i="28"/>
  <c r="I62" i="28"/>
  <c r="L62" i="28"/>
  <c r="O62" i="28"/>
  <c r="R62" i="28"/>
  <c r="U62" i="28"/>
  <c r="X62" i="28"/>
  <c r="AA62" i="28"/>
  <c r="AM62" i="28"/>
  <c r="A63" i="28"/>
  <c r="B63" i="28"/>
  <c r="C63" i="28"/>
  <c r="D63" i="28"/>
  <c r="AA63" i="28"/>
  <c r="AM63" i="28"/>
  <c r="A64" i="28"/>
  <c r="B64" i="28"/>
  <c r="C64" i="28"/>
  <c r="D64" i="28"/>
  <c r="AA64" i="28"/>
  <c r="AM64" i="28"/>
  <c r="A65" i="28"/>
  <c r="B65" i="28"/>
  <c r="C65" i="28"/>
  <c r="D65" i="28"/>
  <c r="AA65" i="28"/>
  <c r="AM65" i="28"/>
  <c r="A66" i="28"/>
  <c r="B66" i="28"/>
  <c r="C66" i="28"/>
  <c r="D66" i="28"/>
  <c r="AA66" i="28"/>
  <c r="AM66" i="28"/>
  <c r="A67" i="28"/>
  <c r="B67" i="28"/>
  <c r="C67" i="28"/>
  <c r="D67" i="28"/>
  <c r="AA67" i="28"/>
  <c r="AM67" i="28"/>
  <c r="A70" i="28"/>
  <c r="B70" i="28"/>
  <c r="C70" i="28"/>
  <c r="D70" i="28"/>
  <c r="F70" i="28"/>
  <c r="I70" i="28"/>
  <c r="L70" i="28"/>
  <c r="O70" i="28"/>
  <c r="R70" i="28"/>
  <c r="U70" i="28"/>
  <c r="X70" i="28"/>
  <c r="AA70" i="28"/>
  <c r="AM70" i="28"/>
  <c r="A71" i="28"/>
  <c r="B71" i="28"/>
  <c r="C71" i="28"/>
  <c r="D71" i="28"/>
  <c r="F71" i="28"/>
  <c r="I71" i="28"/>
  <c r="L71" i="28"/>
  <c r="O71" i="28"/>
  <c r="R71" i="28"/>
  <c r="U71" i="28"/>
  <c r="X71" i="28"/>
  <c r="AA71" i="28"/>
  <c r="AM71" i="28"/>
  <c r="A72" i="28"/>
  <c r="B72" i="28"/>
  <c r="C72" i="28"/>
  <c r="D72" i="28"/>
  <c r="F72" i="28"/>
  <c r="I72" i="28"/>
  <c r="L72" i="28"/>
  <c r="O72" i="28"/>
  <c r="R72" i="28"/>
  <c r="U72" i="28"/>
  <c r="X72" i="28"/>
  <c r="AA72" i="28"/>
  <c r="AM72" i="28"/>
  <c r="A73" i="28"/>
  <c r="B73" i="28"/>
  <c r="C73" i="28"/>
  <c r="D73" i="28"/>
  <c r="F73" i="28"/>
  <c r="I73" i="28"/>
  <c r="L73" i="28"/>
  <c r="O73" i="28"/>
  <c r="R73" i="28"/>
  <c r="U73" i="28"/>
  <c r="X73" i="28"/>
  <c r="AA73" i="28"/>
  <c r="AM73" i="28"/>
  <c r="A74" i="28"/>
  <c r="B74" i="28"/>
  <c r="C74" i="28"/>
  <c r="D74" i="28"/>
  <c r="F74" i="28"/>
  <c r="I74" i="28"/>
  <c r="L74" i="28"/>
  <c r="O74" i="28"/>
  <c r="R74" i="28"/>
  <c r="U74" i="28"/>
  <c r="X74" i="28"/>
  <c r="AA74" i="28"/>
  <c r="AM74" i="28"/>
  <c r="A75" i="28"/>
  <c r="B75" i="28"/>
  <c r="C75" i="28"/>
  <c r="D75" i="28"/>
  <c r="F75" i="28"/>
  <c r="I75" i="28"/>
  <c r="L75" i="28"/>
  <c r="O75" i="28"/>
  <c r="R75" i="28"/>
  <c r="U75" i="28"/>
  <c r="X75" i="28"/>
  <c r="AA75" i="28"/>
  <c r="AM75" i="28"/>
  <c r="A76" i="28"/>
  <c r="B76" i="28"/>
  <c r="C76" i="28"/>
  <c r="D76" i="28"/>
  <c r="F76" i="28"/>
  <c r="I76" i="28"/>
  <c r="L76" i="28"/>
  <c r="O76" i="28"/>
  <c r="R76" i="28"/>
  <c r="U76" i="28"/>
  <c r="X76" i="28"/>
  <c r="AA76" i="28"/>
  <c r="AM76" i="28"/>
  <c r="A77" i="28"/>
  <c r="B77" i="28"/>
  <c r="C77" i="28"/>
  <c r="D77" i="28"/>
  <c r="AA77" i="28"/>
  <c r="AM77" i="28"/>
  <c r="A79" i="28"/>
  <c r="B79" i="28"/>
  <c r="C79" i="28"/>
  <c r="D79" i="28"/>
  <c r="F79" i="28"/>
  <c r="I79" i="28"/>
  <c r="L79" i="28"/>
  <c r="O79" i="28"/>
  <c r="R79" i="28"/>
  <c r="U79" i="28"/>
  <c r="X79" i="28"/>
  <c r="AA79" i="28"/>
  <c r="AM79" i="28"/>
  <c r="A80" i="28"/>
  <c r="B80" i="28"/>
  <c r="C80" i="28"/>
  <c r="D80" i="28"/>
  <c r="AA80" i="28"/>
  <c r="AM80" i="28"/>
  <c r="A81" i="28"/>
  <c r="B81" i="28"/>
  <c r="C81" i="28"/>
  <c r="D81" i="28"/>
  <c r="AA81" i="28"/>
  <c r="AM81" i="28"/>
  <c r="A82" i="28"/>
  <c r="B82" i="28"/>
  <c r="C82" i="28"/>
  <c r="D82" i="28"/>
  <c r="AA82" i="28"/>
  <c r="AM82" i="28"/>
  <c r="A83" i="28"/>
  <c r="B83" i="28"/>
  <c r="C83" i="28"/>
  <c r="D83" i="28"/>
  <c r="AA83" i="28"/>
  <c r="AM83" i="28"/>
  <c r="A84" i="28"/>
  <c r="B84" i="28"/>
  <c r="C84" i="28"/>
  <c r="D84" i="28"/>
  <c r="AA84" i="28"/>
  <c r="AM84" i="28"/>
  <c r="A87" i="28"/>
  <c r="B87" i="28"/>
  <c r="C87" i="28"/>
  <c r="D87" i="28"/>
  <c r="F87" i="28"/>
  <c r="I87" i="28"/>
  <c r="L87" i="28"/>
  <c r="O87" i="28"/>
  <c r="R87" i="28"/>
  <c r="U87" i="28"/>
  <c r="X87" i="28"/>
  <c r="AA87" i="28"/>
  <c r="AM87" i="28"/>
  <c r="A88" i="28"/>
  <c r="B88" i="28"/>
  <c r="C88" i="28"/>
  <c r="D88" i="28"/>
  <c r="F88" i="28"/>
  <c r="I88" i="28"/>
  <c r="L88" i="28"/>
  <c r="O88" i="28"/>
  <c r="R88" i="28"/>
  <c r="U88" i="28"/>
  <c r="X88" i="28"/>
  <c r="AA88" i="28"/>
  <c r="AM88" i="28"/>
  <c r="A89" i="28"/>
  <c r="B89" i="28"/>
  <c r="C89" i="28"/>
  <c r="D89" i="28"/>
  <c r="F89" i="28"/>
  <c r="I89" i="28"/>
  <c r="L89" i="28"/>
  <c r="O89" i="28"/>
  <c r="R89" i="28"/>
  <c r="U89" i="28"/>
  <c r="X89" i="28"/>
  <c r="AA89" i="28"/>
  <c r="AM89" i="28"/>
  <c r="A90" i="28"/>
  <c r="B90" i="28"/>
  <c r="C90" i="28"/>
  <c r="D90" i="28"/>
  <c r="F90" i="28"/>
  <c r="I90" i="28"/>
  <c r="L90" i="28"/>
  <c r="O90" i="28"/>
  <c r="R90" i="28"/>
  <c r="U90" i="28"/>
  <c r="X90" i="28"/>
  <c r="AA90" i="28"/>
  <c r="AM90" i="28"/>
  <c r="A91" i="28"/>
  <c r="B91" i="28"/>
  <c r="C91" i="28"/>
  <c r="D91" i="28"/>
  <c r="AA91" i="28"/>
  <c r="AM91" i="28"/>
  <c r="A92" i="28"/>
  <c r="B92" i="28"/>
  <c r="C92" i="28"/>
  <c r="D92" i="28"/>
  <c r="F92" i="28"/>
  <c r="I92" i="28"/>
  <c r="L92" i="28"/>
  <c r="O92" i="28"/>
  <c r="R92" i="28"/>
  <c r="U92" i="28"/>
  <c r="X92" i="28"/>
  <c r="AA92" i="28"/>
  <c r="AM92" i="28"/>
  <c r="A93" i="28"/>
  <c r="B93" i="28"/>
  <c r="C93" i="28"/>
  <c r="D93" i="28"/>
  <c r="F93" i="28"/>
  <c r="I93" i="28"/>
  <c r="L93" i="28"/>
  <c r="O93" i="28"/>
  <c r="R93" i="28"/>
  <c r="U93" i="28"/>
  <c r="X93" i="28"/>
  <c r="AA93" i="28"/>
  <c r="AK93" i="28"/>
  <c r="AM93" i="28"/>
  <c r="A94" i="28"/>
  <c r="B94" i="28"/>
  <c r="C94" i="28"/>
  <c r="D94" i="28"/>
  <c r="F94" i="28"/>
  <c r="I94" i="28"/>
  <c r="L94" i="28"/>
  <c r="O94" i="28"/>
  <c r="R94" i="28"/>
  <c r="U94" i="28"/>
  <c r="X94" i="28"/>
  <c r="AA94" i="28"/>
  <c r="AL94" i="28"/>
  <c r="AM94" i="28"/>
  <c r="A95" i="28"/>
  <c r="B95" i="28"/>
  <c r="C95" i="28"/>
  <c r="D95" i="28"/>
  <c r="F95" i="28"/>
  <c r="I95" i="28"/>
  <c r="L95" i="28"/>
  <c r="O95" i="28"/>
  <c r="R95" i="28"/>
  <c r="U95" i="28"/>
  <c r="X95" i="28"/>
  <c r="AA95" i="28"/>
  <c r="AL95" i="28"/>
  <c r="AM95" i="28"/>
  <c r="A96" i="28"/>
  <c r="B96" i="28"/>
  <c r="C96" i="28"/>
  <c r="D96" i="28"/>
  <c r="F96" i="28"/>
  <c r="I96" i="28"/>
  <c r="L96" i="28"/>
  <c r="O96" i="28"/>
  <c r="R96" i="28"/>
  <c r="U96" i="28"/>
  <c r="X96" i="28"/>
  <c r="AA96" i="28"/>
  <c r="AM96" i="28"/>
  <c r="A97" i="28"/>
  <c r="B97" i="28"/>
  <c r="C97" i="28"/>
  <c r="D97" i="28"/>
  <c r="F97" i="28"/>
  <c r="I97" i="28"/>
  <c r="L97" i="28"/>
  <c r="O97" i="28"/>
  <c r="R97" i="28"/>
  <c r="U97" i="28"/>
  <c r="X97" i="28"/>
  <c r="AA97" i="28"/>
  <c r="AM97" i="28"/>
  <c r="A98" i="28"/>
  <c r="B98" i="28"/>
  <c r="C98" i="28"/>
  <c r="D98" i="28"/>
  <c r="F98" i="28"/>
  <c r="I98" i="28"/>
  <c r="L98" i="28"/>
  <c r="O98" i="28"/>
  <c r="R98" i="28"/>
  <c r="U98" i="28"/>
  <c r="X98" i="28"/>
  <c r="AA98" i="28"/>
  <c r="AL98" i="28"/>
  <c r="AM98" i="28"/>
  <c r="A99" i="28"/>
  <c r="B99" i="28"/>
  <c r="C99" i="28"/>
  <c r="D99" i="28"/>
  <c r="F99" i="28"/>
  <c r="I99" i="28"/>
  <c r="L99" i="28"/>
  <c r="O99" i="28"/>
  <c r="R99" i="28"/>
  <c r="U99" i="28"/>
  <c r="X99" i="28"/>
  <c r="AA99" i="28"/>
  <c r="AM99" i="28"/>
  <c r="A100" i="28"/>
  <c r="B100" i="28"/>
  <c r="C100" i="28"/>
  <c r="D100" i="28"/>
  <c r="F100" i="28"/>
  <c r="I100" i="28"/>
  <c r="L100" i="28"/>
  <c r="O100" i="28"/>
  <c r="R100" i="28"/>
  <c r="U100" i="28"/>
  <c r="X100" i="28"/>
  <c r="AA100" i="28"/>
  <c r="AM100" i="28"/>
  <c r="A101" i="28"/>
  <c r="B101" i="28"/>
  <c r="C101" i="28"/>
  <c r="D101" i="28"/>
  <c r="F101" i="28"/>
  <c r="I101" i="28"/>
  <c r="L101" i="28"/>
  <c r="O101" i="28"/>
  <c r="R101" i="28"/>
  <c r="U101" i="28"/>
  <c r="X101" i="28"/>
  <c r="AA101" i="28"/>
  <c r="AM101" i="28"/>
  <c r="A102" i="28"/>
  <c r="B102" i="28"/>
  <c r="C102" i="28"/>
  <c r="D102" i="28"/>
  <c r="F102" i="28"/>
  <c r="I102" i="28"/>
  <c r="L102" i="28"/>
  <c r="O102" i="28"/>
  <c r="R102" i="28"/>
  <c r="U102" i="28"/>
  <c r="X102" i="28"/>
  <c r="AA102" i="28"/>
  <c r="AL102" i="28"/>
  <c r="AM102" i="28"/>
  <c r="A103" i="28"/>
  <c r="B103" i="28"/>
  <c r="C103" i="28"/>
  <c r="D103" i="28"/>
  <c r="F103" i="28"/>
  <c r="I103" i="28"/>
  <c r="L103" i="28"/>
  <c r="O103" i="28"/>
  <c r="R103" i="28"/>
  <c r="U103" i="28"/>
  <c r="X103" i="28"/>
  <c r="AA103" i="28"/>
  <c r="AL103" i="28"/>
  <c r="AM103" i="28"/>
  <c r="A104" i="28"/>
  <c r="B104" i="28"/>
  <c r="C104" i="28"/>
  <c r="D104" i="28"/>
  <c r="F104" i="28"/>
  <c r="I104" i="28"/>
  <c r="L104" i="28"/>
  <c r="O104" i="28"/>
  <c r="R104" i="28"/>
  <c r="U104" i="28"/>
  <c r="X104" i="28"/>
  <c r="AL104" i="28"/>
  <c r="AM104" i="28"/>
  <c r="A105" i="28"/>
  <c r="B105" i="28"/>
  <c r="C105" i="28"/>
  <c r="D105" i="28"/>
  <c r="F105" i="28"/>
  <c r="I105" i="28"/>
  <c r="L105" i="28"/>
  <c r="O105" i="28"/>
  <c r="R105" i="28"/>
  <c r="U105" i="28"/>
  <c r="X105" i="28"/>
  <c r="AA105" i="28"/>
  <c r="AL105" i="28"/>
  <c r="AM105" i="28"/>
  <c r="A106" i="28"/>
  <c r="B106" i="28"/>
  <c r="C106" i="28"/>
  <c r="D106" i="28"/>
  <c r="F106" i="28"/>
  <c r="I106" i="28"/>
  <c r="L106" i="28"/>
  <c r="O106" i="28"/>
  <c r="R106" i="28"/>
  <c r="U106" i="28"/>
  <c r="X106" i="28"/>
  <c r="AA106" i="28"/>
  <c r="AL106" i="28"/>
  <c r="AM106" i="28"/>
  <c r="A107" i="28"/>
  <c r="B107" i="28"/>
  <c r="C107" i="28"/>
  <c r="D107" i="28"/>
  <c r="F107" i="28"/>
  <c r="I107" i="28"/>
  <c r="L107" i="28"/>
  <c r="O107" i="28"/>
  <c r="R107" i="28"/>
  <c r="U107" i="28"/>
  <c r="X107" i="28"/>
  <c r="AA107" i="28"/>
  <c r="AM107" i="28"/>
  <c r="A108" i="28"/>
  <c r="B108" i="28"/>
  <c r="C108" i="28"/>
  <c r="D108" i="28"/>
  <c r="F108" i="28"/>
  <c r="I108" i="28"/>
  <c r="L108" i="28"/>
  <c r="O108" i="28"/>
  <c r="R108" i="28"/>
  <c r="U108" i="28"/>
  <c r="X108" i="28"/>
  <c r="AA108" i="28"/>
  <c r="AM108" i="28"/>
  <c r="A109" i="28"/>
  <c r="B109" i="28"/>
  <c r="C109" i="28"/>
  <c r="D109" i="28"/>
  <c r="F109" i="28"/>
  <c r="I109" i="28"/>
  <c r="L109" i="28"/>
  <c r="O109" i="28"/>
  <c r="R109" i="28"/>
  <c r="U109" i="28"/>
  <c r="X109" i="28"/>
  <c r="AA109" i="28"/>
  <c r="AM109" i="28"/>
  <c r="A110" i="28"/>
  <c r="B110" i="28"/>
  <c r="C110" i="28"/>
  <c r="D110" i="28"/>
  <c r="F110" i="28"/>
  <c r="I110" i="28"/>
  <c r="L110" i="28"/>
  <c r="O110" i="28"/>
  <c r="R110" i="28"/>
  <c r="U110" i="28"/>
  <c r="X110" i="28"/>
  <c r="AA110" i="28"/>
  <c r="AM110" i="28"/>
  <c r="A111" i="28"/>
  <c r="AM111" i="28"/>
  <c r="A112" i="28"/>
  <c r="AM112" i="28"/>
  <c r="A113" i="28"/>
  <c r="AM113" i="28"/>
  <c r="A114" i="28"/>
  <c r="AM114" i="28"/>
  <c r="A115" i="28"/>
  <c r="B115" i="28"/>
  <c r="C115" i="28"/>
  <c r="D115" i="28"/>
  <c r="F115" i="28"/>
  <c r="I115" i="28"/>
  <c r="L115" i="28"/>
  <c r="O115" i="28"/>
  <c r="R115" i="28"/>
  <c r="U115" i="28"/>
  <c r="X115" i="28"/>
  <c r="AM115" i="28"/>
  <c r="A116" i="28"/>
  <c r="B116" i="28"/>
  <c r="C116" i="28"/>
  <c r="D116" i="28"/>
  <c r="AM116" i="28"/>
  <c r="A117" i="28"/>
  <c r="B117" i="28"/>
  <c r="C117" i="28"/>
  <c r="D117" i="28"/>
  <c r="F117" i="28"/>
  <c r="I117" i="28"/>
  <c r="L117" i="28"/>
  <c r="O117" i="28"/>
  <c r="R117" i="28"/>
  <c r="U117" i="28"/>
  <c r="X117" i="28"/>
  <c r="AA117" i="28"/>
  <c r="AM117" i="28"/>
  <c r="A118" i="28"/>
  <c r="B118" i="28"/>
  <c r="C118" i="28"/>
  <c r="D118" i="28"/>
  <c r="F118" i="28"/>
  <c r="I118" i="28"/>
  <c r="L118" i="28"/>
  <c r="O118" i="28"/>
  <c r="R118" i="28"/>
  <c r="U118" i="28"/>
  <c r="X118" i="28"/>
  <c r="AA118" i="28"/>
  <c r="AM118" i="28"/>
  <c r="A119" i="28"/>
  <c r="B119" i="28"/>
  <c r="C119" i="28"/>
  <c r="D119" i="28"/>
  <c r="AM119" i="28"/>
  <c r="A120" i="28"/>
  <c r="B120" i="28"/>
  <c r="C120" i="28"/>
  <c r="D120" i="28"/>
  <c r="F120" i="28"/>
  <c r="I120" i="28"/>
  <c r="L120" i="28"/>
  <c r="O120" i="28"/>
  <c r="R120" i="28"/>
  <c r="U120" i="28"/>
  <c r="X120" i="28"/>
  <c r="AA120" i="28"/>
  <c r="AM120" i="28"/>
  <c r="A121" i="28"/>
  <c r="B121" i="28"/>
  <c r="C121" i="28"/>
  <c r="D121" i="28"/>
  <c r="F121" i="28"/>
  <c r="I121" i="28"/>
  <c r="L121" i="28"/>
  <c r="O121" i="28"/>
  <c r="R121" i="28"/>
  <c r="U121" i="28"/>
  <c r="X121" i="28"/>
  <c r="AA121" i="28"/>
  <c r="AM121" i="28"/>
  <c r="A122" i="28"/>
  <c r="B122" i="28"/>
  <c r="C122" i="28"/>
  <c r="D122" i="28"/>
  <c r="F122" i="28"/>
  <c r="I122" i="28"/>
  <c r="L122" i="28"/>
  <c r="O122" i="28"/>
  <c r="R122" i="28"/>
  <c r="U122" i="28"/>
  <c r="X122" i="28"/>
  <c r="AA122" i="28"/>
  <c r="AM122" i="28"/>
  <c r="A123" i="28"/>
  <c r="B123" i="28"/>
  <c r="C123" i="28"/>
  <c r="D123" i="28"/>
  <c r="F123" i="28"/>
  <c r="I123" i="28"/>
  <c r="L123" i="28"/>
  <c r="O123" i="28"/>
  <c r="R123" i="28"/>
  <c r="U123" i="28"/>
  <c r="X123" i="28"/>
  <c r="AA123" i="28"/>
  <c r="AM123" i="28"/>
  <c r="A124" i="28"/>
  <c r="B124" i="28"/>
  <c r="C124" i="28"/>
  <c r="D124" i="28"/>
  <c r="F124" i="28"/>
  <c r="I124" i="28"/>
  <c r="L124" i="28"/>
  <c r="O124" i="28"/>
  <c r="R124" i="28"/>
  <c r="U124" i="28"/>
  <c r="X124" i="28"/>
  <c r="AA124" i="28"/>
  <c r="AM124" i="28"/>
  <c r="A125" i="28"/>
  <c r="B125" i="28"/>
  <c r="C125" i="28"/>
  <c r="D125" i="28"/>
  <c r="F125" i="28"/>
  <c r="I125" i="28"/>
  <c r="L125" i="28"/>
  <c r="O125" i="28"/>
  <c r="R125" i="28"/>
  <c r="U125" i="28"/>
  <c r="X125" i="28"/>
  <c r="AA125" i="28"/>
  <c r="AM125" i="28"/>
  <c r="A126" i="28"/>
  <c r="B126" i="28"/>
  <c r="C126" i="28"/>
  <c r="D126" i="28"/>
  <c r="F126" i="28"/>
  <c r="I126" i="28"/>
  <c r="L126" i="28"/>
  <c r="O126" i="28"/>
  <c r="R126" i="28"/>
  <c r="U126" i="28"/>
  <c r="X126" i="28"/>
  <c r="AA126" i="28"/>
  <c r="AM126" i="28"/>
  <c r="A127" i="28"/>
  <c r="B127" i="28"/>
  <c r="C127" i="28"/>
  <c r="D127" i="28"/>
  <c r="F127" i="28"/>
  <c r="I127" i="28"/>
  <c r="L127" i="28"/>
  <c r="O127" i="28"/>
  <c r="R127" i="28"/>
  <c r="U127" i="28"/>
  <c r="X127" i="28"/>
  <c r="AA127" i="28"/>
  <c r="AL127" i="28"/>
  <c r="AM127" i="28"/>
  <c r="A128" i="28"/>
  <c r="B128" i="28"/>
  <c r="C128" i="28"/>
  <c r="D128" i="28"/>
  <c r="F128" i="28"/>
  <c r="I128" i="28"/>
  <c r="L128" i="28"/>
  <c r="O128" i="28"/>
  <c r="R128" i="28"/>
  <c r="U128" i="28"/>
  <c r="X128" i="28"/>
  <c r="AA128" i="28"/>
  <c r="AM128" i="28"/>
  <c r="A129" i="28"/>
  <c r="B129" i="28"/>
  <c r="C129" i="28"/>
  <c r="D129" i="28"/>
  <c r="AA129" i="28"/>
  <c r="AM129" i="28"/>
  <c r="A130" i="28"/>
  <c r="B130" i="28"/>
  <c r="C130" i="28"/>
  <c r="D130" i="28"/>
  <c r="AL130" i="28"/>
  <c r="AM130" i="28"/>
  <c r="A131" i="28"/>
  <c r="B131" i="28"/>
  <c r="C131" i="28"/>
  <c r="D131" i="28"/>
  <c r="AA131" i="28"/>
  <c r="AM131" i="28"/>
  <c r="A132" i="28"/>
  <c r="B132" i="28"/>
  <c r="C132" i="28"/>
  <c r="D132" i="28"/>
  <c r="F132" i="28"/>
  <c r="I132" i="28"/>
  <c r="L132" i="28"/>
  <c r="O132" i="28"/>
  <c r="R132" i="28"/>
  <c r="U132" i="28"/>
  <c r="X132" i="28"/>
  <c r="AA132" i="28"/>
  <c r="AM132" i="28"/>
  <c r="A133" i="28"/>
  <c r="B133" i="28"/>
  <c r="C133" i="28"/>
  <c r="D133" i="28"/>
  <c r="F133" i="28"/>
  <c r="I133" i="28"/>
  <c r="L133" i="28"/>
  <c r="O133" i="28"/>
  <c r="R133" i="28"/>
  <c r="U133" i="28"/>
  <c r="X133" i="28"/>
  <c r="AA133" i="28"/>
  <c r="AM133" i="28"/>
  <c r="A145" i="28"/>
  <c r="B145" i="28"/>
  <c r="C145" i="28"/>
  <c r="D145" i="28"/>
  <c r="F145" i="28"/>
  <c r="I145" i="28"/>
  <c r="L145" i="28"/>
  <c r="O145" i="28"/>
  <c r="R145" i="28"/>
  <c r="U145" i="28"/>
  <c r="X145" i="28"/>
  <c r="AA145" i="28"/>
  <c r="AL145" i="28"/>
  <c r="AM145" i="28"/>
  <c r="A146" i="28"/>
  <c r="B146" i="28"/>
  <c r="C146" i="28"/>
  <c r="D146" i="28"/>
  <c r="F146" i="28"/>
  <c r="I146" i="28"/>
  <c r="L146" i="28"/>
  <c r="O146" i="28"/>
  <c r="R146" i="28"/>
  <c r="U146" i="28"/>
  <c r="X146" i="28"/>
  <c r="AA146" i="28"/>
  <c r="AM146" i="28"/>
  <c r="A147" i="28"/>
  <c r="B147" i="28"/>
  <c r="C147" i="28"/>
  <c r="D147" i="28"/>
  <c r="F147" i="28"/>
  <c r="I147" i="28"/>
  <c r="L147" i="28"/>
  <c r="O147" i="28"/>
  <c r="R147" i="28"/>
  <c r="U147" i="28"/>
  <c r="X147" i="28"/>
  <c r="AA147" i="28"/>
  <c r="AM147" i="28"/>
  <c r="A148" i="28"/>
  <c r="B148" i="28"/>
  <c r="C148" i="28"/>
  <c r="D148" i="28"/>
  <c r="F148" i="28"/>
  <c r="I148" i="28"/>
  <c r="L148" i="28"/>
  <c r="O148" i="28"/>
  <c r="R148" i="28"/>
  <c r="U148" i="28"/>
  <c r="X148" i="28"/>
  <c r="AA148" i="28"/>
  <c r="AM148" i="28"/>
  <c r="A149" i="28"/>
  <c r="B149" i="28"/>
  <c r="C149" i="28"/>
  <c r="D149" i="28"/>
  <c r="F149" i="28"/>
  <c r="I149" i="28"/>
  <c r="L149" i="28"/>
  <c r="O149" i="28"/>
  <c r="R149" i="28"/>
  <c r="U149" i="28"/>
  <c r="X149" i="28"/>
  <c r="AA149" i="28"/>
  <c r="AL149" i="28"/>
  <c r="AM149" i="28"/>
  <c r="A150" i="28"/>
  <c r="B150" i="28"/>
  <c r="C150" i="28"/>
  <c r="D150" i="28"/>
  <c r="F150" i="28"/>
  <c r="I150" i="28"/>
  <c r="L150" i="28"/>
  <c r="O150" i="28"/>
  <c r="R150" i="28"/>
  <c r="U150" i="28"/>
  <c r="X150" i="28"/>
  <c r="AA150" i="28"/>
  <c r="AM150" i="28"/>
  <c r="A151" i="28"/>
  <c r="B151" i="28"/>
  <c r="C151" i="28"/>
  <c r="D151" i="28"/>
  <c r="F151" i="28"/>
  <c r="I151" i="28"/>
  <c r="L151" i="28"/>
  <c r="O151" i="28"/>
  <c r="R151" i="28"/>
  <c r="U151" i="28"/>
  <c r="X151" i="28"/>
  <c r="AM151" i="28"/>
  <c r="A152" i="28"/>
  <c r="B152" i="28"/>
  <c r="C152" i="28"/>
  <c r="D152" i="28"/>
  <c r="F152" i="28"/>
  <c r="I152" i="28"/>
  <c r="L152" i="28"/>
  <c r="O152" i="28"/>
  <c r="R152" i="28"/>
  <c r="U152" i="28"/>
  <c r="X152" i="28"/>
  <c r="AA152" i="28"/>
  <c r="AM152" i="28"/>
  <c r="A153" i="28"/>
  <c r="B153" i="28"/>
  <c r="C153" i="28"/>
  <c r="D153" i="28"/>
  <c r="F153" i="28"/>
  <c r="I153" i="28"/>
  <c r="L153" i="28"/>
  <c r="O153" i="28"/>
  <c r="R153" i="28"/>
  <c r="U153" i="28"/>
  <c r="X153" i="28"/>
  <c r="AA153" i="28"/>
  <c r="AM153" i="28"/>
  <c r="A154" i="28"/>
  <c r="B154" i="28"/>
  <c r="C154" i="28"/>
  <c r="D154" i="28"/>
  <c r="F154" i="28"/>
  <c r="I154" i="28"/>
  <c r="L154" i="28"/>
  <c r="O154" i="28"/>
  <c r="R154" i="28"/>
  <c r="U154" i="28"/>
  <c r="X154" i="28"/>
  <c r="AA154" i="28"/>
  <c r="AM154" i="28"/>
  <c r="A155" i="28"/>
  <c r="B155" i="28"/>
  <c r="C155" i="28"/>
  <c r="D155" i="28"/>
  <c r="F155" i="28"/>
  <c r="I155" i="28"/>
  <c r="L155" i="28"/>
  <c r="O155" i="28"/>
  <c r="R155" i="28"/>
  <c r="U155" i="28"/>
  <c r="X155" i="28"/>
  <c r="AA155" i="28"/>
  <c r="AM155" i="28"/>
  <c r="A156" i="28"/>
  <c r="B156" i="28"/>
  <c r="C156" i="28"/>
  <c r="D156" i="28"/>
  <c r="F156" i="28"/>
  <c r="I156" i="28"/>
  <c r="L156" i="28"/>
  <c r="O156" i="28"/>
  <c r="R156" i="28"/>
  <c r="U156" i="28"/>
  <c r="X156" i="28"/>
  <c r="AA156" i="28"/>
  <c r="AM156" i="28"/>
  <c r="A157" i="28"/>
  <c r="B157" i="28"/>
  <c r="C157" i="28"/>
  <c r="D157" i="28"/>
  <c r="F157" i="28"/>
  <c r="I157" i="28"/>
  <c r="L157" i="28"/>
  <c r="O157" i="28"/>
  <c r="R157" i="28"/>
  <c r="U157" i="28"/>
  <c r="X157" i="28"/>
  <c r="AA157" i="28"/>
  <c r="AM157" i="28"/>
  <c r="A158" i="28"/>
  <c r="B158" i="28"/>
  <c r="C158" i="28"/>
  <c r="D158" i="28"/>
  <c r="AM158" i="28"/>
  <c r="A159" i="28"/>
  <c r="B159" i="28"/>
  <c r="C159" i="28"/>
  <c r="D159" i="28"/>
  <c r="AM159" i="28"/>
  <c r="A160" i="28"/>
  <c r="B160" i="28"/>
  <c r="C160" i="28"/>
  <c r="D160" i="28"/>
  <c r="F160" i="28"/>
  <c r="I160" i="28"/>
  <c r="L160" i="28"/>
  <c r="O160" i="28"/>
  <c r="R160" i="28"/>
  <c r="U160" i="28"/>
  <c r="X160" i="28"/>
  <c r="AA160" i="28"/>
  <c r="AM160" i="28"/>
  <c r="A161" i="28"/>
  <c r="B161" i="28"/>
  <c r="C161" i="28"/>
  <c r="D161" i="28"/>
  <c r="F161" i="28"/>
  <c r="I161" i="28"/>
  <c r="L161" i="28"/>
  <c r="O161" i="28"/>
  <c r="R161" i="28"/>
  <c r="U161" i="28"/>
  <c r="X161" i="28"/>
  <c r="AM161" i="28"/>
  <c r="A162" i="28"/>
  <c r="B162" i="28"/>
  <c r="C162" i="28"/>
  <c r="D162" i="28"/>
  <c r="F162" i="28"/>
  <c r="I162" i="28"/>
  <c r="L162" i="28"/>
  <c r="O162" i="28"/>
  <c r="R162" i="28"/>
  <c r="U162" i="28"/>
  <c r="X162" i="28"/>
  <c r="AM162" i="28"/>
  <c r="A163" i="28"/>
  <c r="B163" i="28"/>
  <c r="C163" i="28"/>
  <c r="D163" i="28"/>
  <c r="AM163" i="28"/>
  <c r="A164" i="28"/>
  <c r="B164" i="28"/>
  <c r="C164" i="28"/>
  <c r="D164" i="28"/>
  <c r="AM164" i="28"/>
  <c r="A165" i="28"/>
  <c r="B165" i="28"/>
  <c r="C165" i="28"/>
  <c r="D165" i="28"/>
  <c r="F165" i="28"/>
  <c r="I165" i="28"/>
  <c r="L165" i="28"/>
  <c r="O165" i="28"/>
  <c r="R165" i="28"/>
  <c r="U165" i="28"/>
  <c r="X165" i="28"/>
  <c r="AA165" i="28"/>
  <c r="AM165" i="28"/>
  <c r="A166" i="28"/>
  <c r="B166" i="28"/>
  <c r="C166" i="28"/>
  <c r="D166" i="28"/>
  <c r="AM166" i="28"/>
  <c r="A167" i="28"/>
  <c r="B167" i="28"/>
  <c r="C167" i="28"/>
  <c r="D167" i="28"/>
  <c r="AM167" i="28"/>
  <c r="A168" i="28"/>
  <c r="B168" i="28"/>
  <c r="C168" i="28"/>
  <c r="D168" i="28"/>
  <c r="AM168" i="28"/>
  <c r="B169" i="28"/>
  <c r="C169" i="28"/>
  <c r="D169" i="28"/>
  <c r="AM169" i="28"/>
  <c r="B170" i="28"/>
  <c r="C170" i="28"/>
  <c r="D170" i="28"/>
  <c r="AM170" i="28"/>
  <c r="B171" i="28"/>
  <c r="C171" i="28"/>
  <c r="D171" i="28"/>
  <c r="AM171" i="28"/>
  <c r="B172" i="28"/>
  <c r="C172" i="28"/>
  <c r="D172" i="28"/>
  <c r="AM172" i="28"/>
  <c r="B173" i="28"/>
  <c r="C173" i="28"/>
  <c r="D173" i="28"/>
  <c r="AM173" i="28"/>
  <c r="B174" i="28"/>
  <c r="C174" i="28"/>
  <c r="D174" i="28"/>
  <c r="AM174" i="28"/>
  <c r="B175" i="28"/>
  <c r="C175" i="28"/>
  <c r="D175" i="28"/>
  <c r="F175" i="28"/>
  <c r="I175" i="28"/>
  <c r="L175" i="28"/>
  <c r="O175" i="28"/>
  <c r="R175" i="28"/>
  <c r="U175" i="28"/>
  <c r="X175" i="28"/>
  <c r="AA175" i="28"/>
  <c r="AM175" i="28"/>
  <c r="B176" i="28"/>
  <c r="C176" i="28"/>
  <c r="D176" i="28"/>
  <c r="F176" i="28"/>
  <c r="I176" i="28"/>
  <c r="L176" i="28"/>
  <c r="O176" i="28"/>
  <c r="R176" i="28"/>
  <c r="U176" i="28"/>
  <c r="X176" i="28"/>
  <c r="AA176" i="28"/>
  <c r="AM176" i="28"/>
  <c r="B177" i="28"/>
  <c r="C177" i="28"/>
  <c r="D177" i="28"/>
  <c r="F177" i="28"/>
  <c r="I177" i="28"/>
  <c r="L177" i="28"/>
  <c r="O177" i="28"/>
  <c r="R177" i="28"/>
  <c r="U177" i="28"/>
  <c r="X177" i="28"/>
  <c r="AA177" i="28"/>
  <c r="AM177" i="28"/>
  <c r="B178" i="28"/>
  <c r="C178" i="28"/>
  <c r="D178" i="28"/>
  <c r="F178" i="28"/>
  <c r="I178" i="28"/>
  <c r="L178" i="28"/>
  <c r="O178" i="28"/>
  <c r="R178" i="28"/>
  <c r="U178" i="28"/>
  <c r="X178" i="28"/>
  <c r="AA178" i="28"/>
  <c r="AM178" i="28"/>
  <c r="B179" i="28"/>
  <c r="C179" i="28"/>
  <c r="D179" i="28"/>
  <c r="F179" i="28"/>
  <c r="I179" i="28"/>
  <c r="L179" i="28"/>
  <c r="O179" i="28"/>
  <c r="R179" i="28"/>
  <c r="U179" i="28"/>
  <c r="X179" i="28"/>
  <c r="AA179" i="28"/>
  <c r="AM179" i="28"/>
  <c r="B180" i="28"/>
  <c r="C180" i="28"/>
  <c r="D180" i="28"/>
  <c r="F180" i="28"/>
  <c r="I180" i="28"/>
  <c r="L180" i="28"/>
  <c r="O180" i="28"/>
  <c r="R180" i="28"/>
  <c r="U180" i="28"/>
  <c r="X180" i="28"/>
  <c r="AA180" i="28"/>
  <c r="AM180" i="28"/>
  <c r="B181" i="28"/>
  <c r="C181" i="28"/>
  <c r="D181" i="28"/>
  <c r="F181" i="28"/>
  <c r="I181" i="28"/>
  <c r="L181" i="28"/>
  <c r="O181" i="28"/>
  <c r="R181" i="28"/>
  <c r="U181" i="28"/>
  <c r="X181" i="28"/>
  <c r="AA181" i="28"/>
  <c r="AM181" i="28"/>
  <c r="B182" i="28"/>
  <c r="C182" i="28"/>
  <c r="D182" i="28"/>
  <c r="F182" i="28"/>
  <c r="I182" i="28"/>
  <c r="L182" i="28"/>
  <c r="O182" i="28"/>
  <c r="R182" i="28"/>
  <c r="U182" i="28"/>
  <c r="X182" i="28"/>
  <c r="AA182" i="28"/>
  <c r="AM182" i="28"/>
  <c r="B183" i="28"/>
  <c r="C183" i="28"/>
  <c r="D183" i="28"/>
  <c r="F183" i="28"/>
  <c r="I183" i="28"/>
  <c r="L183" i="28"/>
  <c r="O183" i="28"/>
  <c r="R183" i="28"/>
  <c r="U183" i="28"/>
  <c r="X183" i="28"/>
  <c r="AA183" i="28"/>
  <c r="AM183" i="28"/>
  <c r="B184" i="28"/>
  <c r="C184" i="28"/>
  <c r="D184" i="28"/>
  <c r="F184" i="28"/>
  <c r="I184" i="28"/>
  <c r="L184" i="28"/>
  <c r="O184" i="28"/>
  <c r="R184" i="28"/>
  <c r="U184" i="28"/>
  <c r="X184" i="28"/>
  <c r="AA184" i="28"/>
  <c r="AM184" i="28"/>
  <c r="B185" i="28"/>
  <c r="C185" i="28"/>
  <c r="D185" i="28"/>
  <c r="F185" i="28"/>
  <c r="I185" i="28"/>
  <c r="L185" i="28"/>
  <c r="O185" i="28"/>
  <c r="R185" i="28"/>
  <c r="U185" i="28"/>
  <c r="X185" i="28"/>
  <c r="AA185" i="28"/>
  <c r="AM185" i="28"/>
  <c r="B186" i="28"/>
  <c r="C186" i="28"/>
  <c r="D186" i="28"/>
  <c r="F186" i="28"/>
  <c r="I186" i="28"/>
  <c r="L186" i="28"/>
  <c r="O186" i="28"/>
  <c r="R186" i="28"/>
  <c r="U186" i="28"/>
  <c r="X186" i="28"/>
  <c r="AA186" i="28"/>
  <c r="AM186" i="28"/>
  <c r="B187" i="28"/>
  <c r="C187" i="28"/>
  <c r="D187" i="28"/>
  <c r="F187" i="28"/>
  <c r="I187" i="28"/>
  <c r="L187" i="28"/>
  <c r="O187" i="28"/>
  <c r="R187" i="28"/>
  <c r="U187" i="28"/>
  <c r="X187" i="28"/>
  <c r="AA187" i="28"/>
  <c r="AM187" i="28"/>
  <c r="B188" i="28"/>
  <c r="C188" i="28"/>
  <c r="D188" i="28"/>
  <c r="F188" i="28"/>
  <c r="I188" i="28"/>
  <c r="L188" i="28"/>
  <c r="O188" i="28"/>
  <c r="R188" i="28"/>
  <c r="U188" i="28"/>
  <c r="X188" i="28"/>
  <c r="AA188" i="28"/>
  <c r="AM188" i="28"/>
  <c r="B189" i="28"/>
  <c r="C189" i="28"/>
  <c r="D189" i="28"/>
  <c r="F189" i="28"/>
  <c r="I189" i="28"/>
  <c r="L189" i="28"/>
  <c r="O189" i="28"/>
  <c r="R189" i="28"/>
  <c r="U189" i="28"/>
  <c r="X189" i="28"/>
  <c r="AA189" i="28"/>
  <c r="AM189" i="28"/>
  <c r="B190" i="28"/>
  <c r="C190" i="28"/>
  <c r="D190" i="28"/>
  <c r="F190" i="28"/>
  <c r="I190" i="28"/>
  <c r="L190" i="28"/>
  <c r="O190" i="28"/>
  <c r="R190" i="28"/>
  <c r="U190" i="28"/>
  <c r="X190" i="28"/>
  <c r="AA190" i="28"/>
  <c r="AM190" i="28"/>
  <c r="B191" i="28"/>
  <c r="C191" i="28"/>
  <c r="D191" i="28"/>
  <c r="AM191" i="28"/>
  <c r="B192" i="28"/>
  <c r="C192" i="28"/>
  <c r="D192" i="28"/>
  <c r="AM192" i="28"/>
  <c r="B193" i="28"/>
  <c r="C193" i="28"/>
  <c r="D193" i="28"/>
  <c r="AM193" i="28"/>
  <c r="B194" i="28"/>
  <c r="C194" i="28"/>
  <c r="D194" i="28"/>
  <c r="AM194" i="28"/>
  <c r="B195" i="28"/>
  <c r="C195" i="28"/>
  <c r="D195" i="28"/>
  <c r="F195" i="28"/>
  <c r="I195" i="28"/>
  <c r="L195" i="28"/>
  <c r="O195" i="28"/>
  <c r="R195" i="28"/>
  <c r="U195" i="28"/>
  <c r="X195" i="28"/>
  <c r="AA195" i="28"/>
  <c r="AM195" i="28"/>
  <c r="B196" i="28"/>
  <c r="C196" i="28"/>
  <c r="D196" i="28"/>
  <c r="F196" i="28"/>
  <c r="I196" i="28"/>
  <c r="L196" i="28"/>
  <c r="O196" i="28"/>
  <c r="R196" i="28"/>
  <c r="U196" i="28"/>
  <c r="X196" i="28"/>
  <c r="AA196" i="28"/>
  <c r="AM196" i="28"/>
  <c r="B197" i="28"/>
  <c r="C197" i="28"/>
  <c r="D197" i="28"/>
  <c r="F197" i="28"/>
  <c r="I197" i="28"/>
  <c r="L197" i="28"/>
  <c r="O197" i="28"/>
  <c r="R197" i="28"/>
  <c r="U197" i="28"/>
  <c r="X197" i="28"/>
  <c r="AA197" i="28"/>
  <c r="AM197" i="28"/>
  <c r="B198" i="28"/>
  <c r="C198" i="28"/>
  <c r="D198" i="28"/>
  <c r="F198" i="28"/>
  <c r="I198" i="28"/>
  <c r="L198" i="28"/>
  <c r="O198" i="28"/>
  <c r="R198" i="28"/>
  <c r="U198" i="28"/>
  <c r="X198" i="28"/>
  <c r="AA198" i="28"/>
  <c r="AM198" i="28"/>
  <c r="B199" i="28"/>
  <c r="C199" i="28"/>
  <c r="D199" i="28"/>
  <c r="F199" i="28"/>
  <c r="I199" i="28"/>
  <c r="L199" i="28"/>
  <c r="O199" i="28"/>
  <c r="R199" i="28"/>
  <c r="U199" i="28"/>
  <c r="X199" i="28"/>
  <c r="AA199" i="28"/>
  <c r="AM199" i="28"/>
  <c r="B200" i="28"/>
  <c r="C200" i="28"/>
  <c r="D200" i="28"/>
  <c r="F200" i="28"/>
  <c r="I200" i="28"/>
  <c r="L200" i="28"/>
  <c r="O200" i="28"/>
  <c r="R200" i="28"/>
  <c r="U200" i="28"/>
  <c r="X200" i="28"/>
  <c r="AA200" i="28"/>
  <c r="AM200" i="28"/>
  <c r="B201" i="28"/>
  <c r="C201" i="28"/>
  <c r="D201" i="28"/>
  <c r="F201" i="28"/>
  <c r="I201" i="28"/>
  <c r="L201" i="28"/>
  <c r="O201" i="28"/>
  <c r="R201" i="28"/>
  <c r="U201" i="28"/>
  <c r="X201" i="28"/>
  <c r="AA201" i="28"/>
  <c r="AM201" i="28"/>
  <c r="B202" i="28"/>
  <c r="C202" i="28"/>
  <c r="D202" i="28"/>
  <c r="F202" i="28"/>
  <c r="I202" i="28"/>
  <c r="L202" i="28"/>
  <c r="O202" i="28"/>
  <c r="R202" i="28"/>
  <c r="U202" i="28"/>
  <c r="X202" i="28"/>
  <c r="AA202" i="28"/>
  <c r="AM202" i="28"/>
  <c r="B203" i="28"/>
  <c r="C203" i="28"/>
  <c r="D203" i="28"/>
  <c r="F203" i="28"/>
  <c r="I203" i="28"/>
  <c r="L203" i="28"/>
  <c r="O203" i="28"/>
  <c r="R203" i="28"/>
  <c r="U203" i="28"/>
  <c r="X203" i="28"/>
  <c r="AA203" i="28"/>
  <c r="AM203" i="28"/>
  <c r="B204" i="28"/>
  <c r="C204" i="28"/>
  <c r="D204" i="28"/>
  <c r="F204" i="28"/>
  <c r="I204" i="28"/>
  <c r="L204" i="28"/>
  <c r="O204" i="28"/>
  <c r="R204" i="28"/>
  <c r="U204" i="28"/>
  <c r="X204" i="28"/>
  <c r="AA204" i="28"/>
  <c r="AM204" i="28"/>
  <c r="B205" i="28"/>
  <c r="C205" i="28"/>
  <c r="D205" i="28"/>
  <c r="F205" i="28"/>
  <c r="I205" i="28"/>
  <c r="L205" i="28"/>
  <c r="O205" i="28"/>
  <c r="R205" i="28"/>
  <c r="U205" i="28"/>
  <c r="X205" i="28"/>
  <c r="AA205" i="28"/>
  <c r="AM205" i="28"/>
  <c r="B206" i="28"/>
  <c r="C206" i="28"/>
  <c r="D206" i="28"/>
  <c r="F206" i="28"/>
  <c r="I206" i="28"/>
  <c r="L206" i="28"/>
  <c r="O206" i="28"/>
  <c r="R206" i="28"/>
  <c r="U206" i="28"/>
  <c r="X206" i="28"/>
  <c r="AA206" i="28"/>
  <c r="AM206" i="28"/>
  <c r="B207" i="28"/>
  <c r="C207" i="28"/>
  <c r="D207" i="28"/>
  <c r="AM207" i="28"/>
  <c r="B208" i="28"/>
  <c r="C208" i="28"/>
  <c r="D208" i="28"/>
  <c r="AM208" i="28"/>
  <c r="B209" i="28"/>
  <c r="C209" i="28"/>
  <c r="D209" i="28"/>
  <c r="F209" i="28"/>
  <c r="I209" i="28"/>
  <c r="L209" i="28"/>
  <c r="O209" i="28"/>
  <c r="R209" i="28"/>
  <c r="U209" i="28"/>
  <c r="X209" i="28"/>
  <c r="AA209" i="28"/>
  <c r="AL209" i="28"/>
  <c r="AM209" i="28"/>
  <c r="B210" i="28"/>
  <c r="C210" i="28"/>
  <c r="D210" i="28"/>
  <c r="AM210" i="28"/>
  <c r="B211" i="28"/>
  <c r="C211" i="28"/>
  <c r="D211" i="28"/>
  <c r="AM211" i="28"/>
  <c r="B212" i="28"/>
  <c r="C212" i="28"/>
  <c r="D212" i="28"/>
  <c r="AM212" i="28"/>
  <c r="B213" i="28"/>
  <c r="C213" i="28"/>
  <c r="D213" i="28"/>
  <c r="AM213" i="28"/>
  <c r="B214" i="28"/>
  <c r="C214" i="28"/>
  <c r="D214" i="28"/>
  <c r="F214" i="28"/>
  <c r="I214" i="28"/>
  <c r="L214" i="28"/>
  <c r="O214" i="28"/>
  <c r="R214" i="28"/>
  <c r="U214" i="28"/>
  <c r="X214" i="28"/>
  <c r="AA214" i="28"/>
  <c r="AM214" i="28"/>
  <c r="B215" i="28"/>
  <c r="C215" i="28"/>
  <c r="D215" i="28"/>
  <c r="F215" i="28"/>
  <c r="I215" i="28"/>
  <c r="L215" i="28"/>
  <c r="O215" i="28"/>
  <c r="R215" i="28"/>
  <c r="U215" i="28"/>
  <c r="X215" i="28"/>
  <c r="AA215" i="28"/>
  <c r="AM215" i="28"/>
  <c r="B216" i="28"/>
  <c r="C216" i="28"/>
  <c r="D216" i="28"/>
  <c r="F216" i="28"/>
  <c r="I216" i="28"/>
  <c r="L216" i="28"/>
  <c r="O216" i="28"/>
  <c r="R216" i="28"/>
  <c r="U216" i="28"/>
  <c r="X216" i="28"/>
  <c r="AA216" i="28"/>
  <c r="AM216" i="28"/>
  <c r="B217" i="28"/>
  <c r="C217" i="28"/>
  <c r="D217" i="28"/>
  <c r="F217" i="28"/>
  <c r="I217" i="28"/>
  <c r="L217" i="28"/>
  <c r="O217" i="28"/>
  <c r="R217" i="28"/>
  <c r="U217" i="28"/>
  <c r="X217" i="28"/>
  <c r="AA217" i="28"/>
  <c r="AM217" i="28"/>
  <c r="B218" i="28"/>
  <c r="C218" i="28"/>
  <c r="D218" i="28"/>
  <c r="F218" i="28"/>
  <c r="I218" i="28"/>
  <c r="L218" i="28"/>
  <c r="O218" i="28"/>
  <c r="R218" i="28"/>
  <c r="U218" i="28"/>
  <c r="X218" i="28"/>
  <c r="AA218" i="28"/>
  <c r="AM218" i="28"/>
  <c r="B219" i="28"/>
  <c r="C219" i="28"/>
  <c r="D219" i="28"/>
  <c r="F219" i="28"/>
  <c r="I219" i="28"/>
  <c r="L219" i="28"/>
  <c r="O219" i="28"/>
  <c r="R219" i="28"/>
  <c r="U219" i="28"/>
  <c r="X219" i="28"/>
  <c r="AA219" i="28"/>
  <c r="AM219" i="28"/>
  <c r="B220" i="28"/>
  <c r="C220" i="28"/>
  <c r="D220" i="28"/>
  <c r="F220" i="28"/>
  <c r="I220" i="28"/>
  <c r="L220" i="28"/>
  <c r="O220" i="28"/>
  <c r="R220" i="28"/>
  <c r="U220" i="28"/>
  <c r="X220" i="28"/>
  <c r="AA220" i="28"/>
  <c r="AM220" i="28"/>
  <c r="B221" i="28"/>
  <c r="C221" i="28"/>
  <c r="D221" i="28"/>
  <c r="F221" i="28"/>
  <c r="I221" i="28"/>
  <c r="L221" i="28"/>
  <c r="O221" i="28"/>
  <c r="R221" i="28"/>
  <c r="U221" i="28"/>
  <c r="X221" i="28"/>
  <c r="AA221" i="28"/>
  <c r="AM221" i="28"/>
  <c r="B222" i="28"/>
  <c r="C222" i="28"/>
  <c r="D222" i="28"/>
  <c r="F222" i="28"/>
  <c r="I222" i="28"/>
  <c r="L222" i="28"/>
  <c r="O222" i="28"/>
  <c r="R222" i="28"/>
  <c r="U222" i="28"/>
  <c r="X222" i="28"/>
  <c r="AA222" i="28"/>
  <c r="AM222" i="28"/>
  <c r="B223" i="28"/>
  <c r="C223" i="28"/>
  <c r="D223" i="28"/>
  <c r="F223" i="28"/>
  <c r="I223" i="28"/>
  <c r="L223" i="28"/>
  <c r="O223" i="28"/>
  <c r="R223" i="28"/>
  <c r="U223" i="28"/>
  <c r="X223" i="28"/>
  <c r="AA223" i="28"/>
  <c r="AM223" i="28"/>
  <c r="B224" i="28"/>
  <c r="C224" i="28"/>
  <c r="D224" i="28"/>
  <c r="F224" i="28"/>
  <c r="I224" i="28"/>
  <c r="L224" i="28"/>
  <c r="O224" i="28"/>
  <c r="R224" i="28"/>
  <c r="U224" i="28"/>
  <c r="X224" i="28"/>
  <c r="AA224" i="28"/>
  <c r="AM224" i="28"/>
  <c r="B225" i="28"/>
  <c r="C225" i="28"/>
  <c r="D225" i="28"/>
  <c r="F225" i="28"/>
  <c r="I225" i="28"/>
  <c r="L225" i="28"/>
  <c r="O225" i="28"/>
  <c r="R225" i="28"/>
  <c r="U225" i="28"/>
  <c r="X225" i="28"/>
  <c r="AA225" i="28"/>
  <c r="AL225" i="28"/>
  <c r="AM225" i="28"/>
  <c r="B226" i="28"/>
  <c r="C226" i="28"/>
  <c r="D226" i="28"/>
  <c r="F226" i="28"/>
  <c r="I226" i="28"/>
  <c r="L226" i="28"/>
  <c r="O226" i="28"/>
  <c r="R226" i="28"/>
  <c r="U226" i="28"/>
  <c r="X226" i="28"/>
  <c r="AA226" i="28"/>
  <c r="AM226" i="28"/>
  <c r="B227" i="28"/>
  <c r="C227" i="28"/>
  <c r="D227" i="28"/>
  <c r="F227" i="28"/>
  <c r="I227" i="28"/>
  <c r="L227" i="28"/>
  <c r="O227" i="28"/>
  <c r="R227" i="28"/>
  <c r="U227" i="28"/>
  <c r="X227" i="28"/>
  <c r="AA227" i="28"/>
  <c r="AM227" i="28"/>
  <c r="B228" i="28"/>
  <c r="C228" i="28"/>
  <c r="D228" i="28"/>
  <c r="F228" i="28"/>
  <c r="I228" i="28"/>
  <c r="L228" i="28"/>
  <c r="O228" i="28"/>
  <c r="R228" i="28"/>
  <c r="U228" i="28"/>
  <c r="X228" i="28"/>
  <c r="AA228" i="28"/>
  <c r="AM228" i="28"/>
  <c r="B229" i="28"/>
  <c r="C229" i="28"/>
  <c r="D229" i="28"/>
  <c r="F229" i="28"/>
  <c r="I229" i="28"/>
  <c r="L229" i="28"/>
  <c r="O229" i="28"/>
  <c r="R229" i="28"/>
  <c r="U229" i="28"/>
  <c r="X229" i="28"/>
  <c r="AA229" i="28"/>
  <c r="AM229" i="28"/>
  <c r="AM230" i="28"/>
  <c r="B231" i="28"/>
  <c r="C231" i="28"/>
  <c r="D231" i="28"/>
  <c r="AM231" i="28"/>
  <c r="B232" i="28"/>
  <c r="C232" i="28"/>
  <c r="D232" i="28"/>
  <c r="AM232" i="28"/>
  <c r="B233" i="28"/>
  <c r="C233" i="28"/>
  <c r="D233" i="28"/>
  <c r="AM233" i="28"/>
  <c r="B234" i="28"/>
  <c r="C234" i="28"/>
  <c r="D234" i="28"/>
  <c r="F234" i="28"/>
  <c r="I234" i="28"/>
  <c r="L234" i="28"/>
  <c r="O234" i="28"/>
  <c r="R234" i="28"/>
  <c r="U234" i="28"/>
  <c r="X234" i="28"/>
  <c r="AA234" i="28"/>
  <c r="AM234" i="28"/>
  <c r="B235" i="28"/>
  <c r="C235" i="28"/>
  <c r="D235" i="28"/>
  <c r="F235" i="28"/>
  <c r="I235" i="28"/>
  <c r="L235" i="28"/>
  <c r="O235" i="28"/>
  <c r="R235" i="28"/>
  <c r="U235" i="28"/>
  <c r="X235" i="28"/>
  <c r="AA235" i="28"/>
  <c r="AM235" i="28"/>
  <c r="B236" i="28"/>
  <c r="C236" i="28"/>
  <c r="D236" i="28"/>
  <c r="F236" i="28"/>
  <c r="I236" i="28"/>
  <c r="L236" i="28"/>
  <c r="O236" i="28"/>
  <c r="R236" i="28"/>
  <c r="U236" i="28"/>
  <c r="X236" i="28"/>
  <c r="AA236" i="28"/>
  <c r="AM236" i="28"/>
  <c r="B237" i="28"/>
  <c r="C237" i="28"/>
  <c r="D237" i="28"/>
  <c r="F237" i="28"/>
  <c r="I237" i="28"/>
  <c r="L237" i="28"/>
  <c r="O237" i="28"/>
  <c r="R237" i="28"/>
  <c r="U237" i="28"/>
  <c r="X237" i="28"/>
  <c r="AA237" i="28"/>
  <c r="AM237" i="28"/>
  <c r="B238" i="28"/>
  <c r="C238" i="28"/>
  <c r="D238" i="28"/>
  <c r="F238" i="28"/>
  <c r="I238" i="28"/>
  <c r="L238" i="28"/>
  <c r="O238" i="28"/>
  <c r="R238" i="28"/>
  <c r="U238" i="28"/>
  <c r="X238" i="28"/>
  <c r="AA238" i="28"/>
  <c r="AM238" i="28"/>
  <c r="B239" i="28"/>
  <c r="C239" i="28"/>
  <c r="D239" i="28"/>
  <c r="F239" i="28"/>
  <c r="I239" i="28"/>
  <c r="L239" i="28"/>
  <c r="O239" i="28"/>
  <c r="R239" i="28"/>
  <c r="U239" i="28"/>
  <c r="X239" i="28"/>
  <c r="AA239" i="28"/>
  <c r="AM239" i="28"/>
  <c r="B240" i="28"/>
  <c r="C240" i="28"/>
  <c r="D240" i="28"/>
  <c r="F240" i="28"/>
  <c r="I240" i="28"/>
  <c r="L240" i="28"/>
  <c r="O240" i="28"/>
  <c r="R240" i="28"/>
  <c r="U240" i="28"/>
  <c r="X240" i="28"/>
  <c r="AA240" i="28"/>
  <c r="AM240" i="28"/>
  <c r="B241" i="28"/>
  <c r="C241" i="28"/>
  <c r="D241" i="28"/>
  <c r="F241" i="28"/>
  <c r="I241" i="28"/>
  <c r="L241" i="28"/>
  <c r="O241" i="28"/>
  <c r="R241" i="28"/>
  <c r="U241" i="28"/>
  <c r="X241" i="28"/>
  <c r="AA241" i="28"/>
  <c r="AM241" i="28"/>
  <c r="B242" i="28"/>
  <c r="C242" i="28"/>
  <c r="D242" i="28"/>
  <c r="F242" i="28"/>
  <c r="I242" i="28"/>
  <c r="L242" i="28"/>
  <c r="O242" i="28"/>
  <c r="R242" i="28"/>
  <c r="U242" i="28"/>
  <c r="X242" i="28"/>
  <c r="AA242" i="28"/>
  <c r="AM242" i="28"/>
  <c r="B243" i="28"/>
  <c r="C243" i="28"/>
  <c r="D243" i="28"/>
  <c r="F243" i="28"/>
  <c r="I243" i="28"/>
  <c r="L243" i="28"/>
  <c r="O243" i="28"/>
  <c r="R243" i="28"/>
  <c r="U243" i="28"/>
  <c r="X243" i="28"/>
  <c r="AA243" i="28"/>
  <c r="AM243" i="28"/>
  <c r="B244" i="28"/>
  <c r="C244" i="28"/>
  <c r="D244" i="28"/>
  <c r="F244" i="28"/>
  <c r="I244" i="28"/>
  <c r="L244" i="28"/>
  <c r="O244" i="28"/>
  <c r="R244" i="28"/>
  <c r="U244" i="28"/>
  <c r="X244" i="28"/>
  <c r="AA244" i="28"/>
  <c r="AM244" i="28"/>
  <c r="B245" i="28"/>
  <c r="C245" i="28"/>
  <c r="D245" i="28"/>
  <c r="F245" i="28"/>
  <c r="I245" i="28"/>
  <c r="L245" i="28"/>
  <c r="O245" i="28"/>
  <c r="R245" i="28"/>
  <c r="U245" i="28"/>
  <c r="X245" i="28"/>
  <c r="AA245" i="28"/>
  <c r="AM245" i="28"/>
  <c r="B246" i="28"/>
  <c r="C246" i="28"/>
  <c r="D246" i="28"/>
  <c r="F246" i="28"/>
  <c r="I246" i="28"/>
  <c r="L246" i="28"/>
  <c r="O246" i="28"/>
  <c r="R246" i="28"/>
  <c r="U246" i="28"/>
  <c r="X246" i="28"/>
  <c r="AA246" i="28"/>
  <c r="AM246" i="28"/>
  <c r="B247" i="28"/>
  <c r="C247" i="28"/>
  <c r="D247" i="28"/>
  <c r="F247" i="28"/>
  <c r="I247" i="28"/>
  <c r="L247" i="28"/>
  <c r="O247" i="28"/>
  <c r="R247" i="28"/>
  <c r="U247" i="28"/>
  <c r="X247" i="28"/>
  <c r="AA247" i="28"/>
  <c r="AM247" i="28"/>
  <c r="B248" i="28"/>
  <c r="C248" i="28"/>
  <c r="D248" i="28"/>
  <c r="F248" i="28"/>
  <c r="I248" i="28"/>
  <c r="L248" i="28"/>
  <c r="O248" i="28"/>
  <c r="R248" i="28"/>
  <c r="U248" i="28"/>
  <c r="X248" i="28"/>
  <c r="AA248" i="28"/>
  <c r="AM248" i="28"/>
  <c r="B249" i="28"/>
  <c r="C249" i="28"/>
  <c r="D249" i="28"/>
  <c r="F249" i="28"/>
  <c r="I249" i="28"/>
  <c r="L249" i="28"/>
  <c r="O249" i="28"/>
  <c r="R249" i="28"/>
  <c r="U249" i="28"/>
  <c r="X249" i="28"/>
  <c r="AA249" i="28"/>
  <c r="AM249" i="28"/>
  <c r="B250" i="28"/>
  <c r="C250" i="28"/>
  <c r="D250" i="28"/>
  <c r="F250" i="28"/>
  <c r="I250" i="28"/>
  <c r="L250" i="28"/>
  <c r="O250" i="28"/>
  <c r="R250" i="28"/>
  <c r="U250" i="28"/>
  <c r="X250" i="28"/>
  <c r="AA250" i="28"/>
  <c r="AM250" i="28"/>
  <c r="B251" i="28"/>
  <c r="C251" i="28"/>
  <c r="D251" i="28"/>
  <c r="F251" i="28"/>
  <c r="I251" i="28"/>
  <c r="L251" i="28"/>
  <c r="O251" i="28"/>
  <c r="R251" i="28"/>
  <c r="U251" i="28"/>
  <c r="X251" i="28"/>
  <c r="AA251" i="28"/>
  <c r="AM251" i="28"/>
  <c r="B252" i="28"/>
  <c r="C252" i="28"/>
  <c r="D252" i="28"/>
  <c r="F252" i="28"/>
  <c r="I252" i="28"/>
  <c r="L252" i="28"/>
  <c r="O252" i="28"/>
  <c r="R252" i="28"/>
  <c r="U252" i="28"/>
  <c r="X252" i="28"/>
  <c r="AA252" i="28"/>
  <c r="AM252" i="28"/>
  <c r="B253" i="28"/>
  <c r="C253" i="28"/>
  <c r="D253" i="28"/>
  <c r="F253" i="28"/>
  <c r="I253" i="28"/>
  <c r="L253" i="28"/>
  <c r="O253" i="28"/>
  <c r="R253" i="28"/>
  <c r="U253" i="28"/>
  <c r="X253" i="28"/>
  <c r="AA253" i="28"/>
  <c r="AM253" i="28"/>
  <c r="B254" i="28"/>
  <c r="C254" i="28"/>
  <c r="D254" i="28"/>
  <c r="F254" i="28"/>
  <c r="I254" i="28"/>
  <c r="L254" i="28"/>
  <c r="O254" i="28"/>
  <c r="R254" i="28"/>
  <c r="U254" i="28"/>
  <c r="X254" i="28"/>
  <c r="AA254" i="28"/>
  <c r="AM254" i="28"/>
  <c r="AM255" i="28"/>
  <c r="B256" i="28"/>
  <c r="C256" i="28"/>
  <c r="D256" i="28"/>
  <c r="AM256" i="28"/>
  <c r="B257" i="28"/>
  <c r="C257" i="28"/>
  <c r="D257" i="28"/>
  <c r="AM257" i="28"/>
  <c r="B258" i="28"/>
  <c r="C258" i="28"/>
  <c r="D258" i="28"/>
  <c r="AM258" i="28"/>
  <c r="B259" i="28"/>
  <c r="C259" i="28"/>
  <c r="D259" i="28"/>
  <c r="AM259" i="28"/>
  <c r="B260" i="28"/>
  <c r="C260" i="28"/>
  <c r="D260" i="28"/>
  <c r="AM260" i="28"/>
  <c r="B263" i="28"/>
  <c r="C263" i="28"/>
  <c r="D263" i="28"/>
  <c r="F263" i="28"/>
  <c r="I263" i="28"/>
  <c r="L263" i="28"/>
  <c r="O263" i="28"/>
  <c r="R263" i="28"/>
  <c r="U263" i="28"/>
  <c r="X263" i="28"/>
  <c r="AA263" i="28"/>
  <c r="AM263" i="28"/>
  <c r="B264" i="28"/>
  <c r="C264" i="28"/>
  <c r="D264" i="28"/>
  <c r="F264" i="28"/>
  <c r="I264" i="28"/>
  <c r="L264" i="28"/>
  <c r="O264" i="28"/>
  <c r="R264" i="28"/>
  <c r="U264" i="28"/>
  <c r="X264" i="28"/>
  <c r="AA264" i="28"/>
  <c r="AM264" i="28"/>
  <c r="B265" i="28"/>
  <c r="C265" i="28"/>
  <c r="D265" i="28"/>
  <c r="F265" i="28"/>
  <c r="I265" i="28"/>
  <c r="L265" i="28"/>
  <c r="O265" i="28"/>
  <c r="R265" i="28"/>
  <c r="U265" i="28"/>
  <c r="X265" i="28"/>
  <c r="AA265" i="28"/>
  <c r="AM265" i="28"/>
  <c r="B266" i="28"/>
  <c r="C266" i="28"/>
  <c r="D266" i="28"/>
  <c r="F266" i="28"/>
  <c r="I266" i="28"/>
  <c r="L266" i="28"/>
  <c r="O266" i="28"/>
  <c r="R266" i="28"/>
  <c r="U266" i="28"/>
  <c r="X266" i="28"/>
  <c r="AA266" i="28"/>
  <c r="AM266" i="28"/>
  <c r="B267" i="28"/>
  <c r="C267" i="28"/>
  <c r="D267" i="28"/>
  <c r="F267" i="28"/>
  <c r="I267" i="28"/>
  <c r="L267" i="28"/>
  <c r="O267" i="28"/>
  <c r="R267" i="28"/>
  <c r="U267" i="28"/>
  <c r="X267" i="28"/>
  <c r="AA267" i="28"/>
  <c r="AM267" i="28"/>
  <c r="B268" i="28"/>
  <c r="C268" i="28"/>
  <c r="D268" i="28"/>
  <c r="F268" i="28"/>
  <c r="I268" i="28"/>
  <c r="L268" i="28"/>
  <c r="O268" i="28"/>
  <c r="R268" i="28"/>
  <c r="U268" i="28"/>
  <c r="X268" i="28"/>
  <c r="AA268" i="28"/>
  <c r="AM268" i="28"/>
  <c r="B269" i="28"/>
  <c r="C269" i="28"/>
  <c r="D269" i="28"/>
  <c r="F269" i="28"/>
  <c r="I269" i="28"/>
  <c r="L269" i="28"/>
  <c r="O269" i="28"/>
  <c r="R269" i="28"/>
  <c r="U269" i="28"/>
  <c r="X269" i="28"/>
  <c r="AA269" i="28"/>
  <c r="AM269" i="28"/>
  <c r="B270" i="28"/>
  <c r="C270" i="28"/>
  <c r="D270" i="28"/>
  <c r="F270" i="28"/>
  <c r="I270" i="28"/>
  <c r="L270" i="28"/>
  <c r="O270" i="28"/>
  <c r="R270" i="28"/>
  <c r="U270" i="28"/>
  <c r="X270" i="28"/>
  <c r="AA270" i="28"/>
  <c r="AM270" i="28"/>
  <c r="B271" i="28"/>
  <c r="C271" i="28"/>
  <c r="D271" i="28"/>
  <c r="F271" i="28"/>
  <c r="I271" i="28"/>
  <c r="L271" i="28"/>
  <c r="O271" i="28"/>
  <c r="R271" i="28"/>
  <c r="U271" i="28"/>
  <c r="X271" i="28"/>
  <c r="AA271" i="28"/>
  <c r="AM271" i="28"/>
  <c r="B272" i="28"/>
  <c r="C272" i="28"/>
  <c r="D272" i="28"/>
  <c r="F272" i="28"/>
  <c r="I272" i="28"/>
  <c r="L272" i="28"/>
  <c r="O272" i="28"/>
  <c r="R272" i="28"/>
  <c r="U272" i="28"/>
  <c r="X272" i="28"/>
  <c r="AA272" i="28"/>
  <c r="AM272" i="28"/>
  <c r="B273" i="28"/>
  <c r="C273" i="28"/>
  <c r="D273" i="28"/>
  <c r="F273" i="28"/>
  <c r="I273" i="28"/>
  <c r="L273" i="28"/>
  <c r="O273" i="28"/>
  <c r="R273" i="28"/>
  <c r="U273" i="28"/>
  <c r="X273" i="28"/>
  <c r="AA273" i="28"/>
  <c r="AM273" i="28"/>
  <c r="B274" i="28"/>
  <c r="C274" i="28"/>
  <c r="D274" i="28"/>
  <c r="F274" i="28"/>
  <c r="I274" i="28"/>
  <c r="L274" i="28"/>
  <c r="O274" i="28"/>
  <c r="R274" i="28"/>
  <c r="U274" i="28"/>
  <c r="X274" i="28"/>
  <c r="AA274" i="28"/>
  <c r="AM274" i="28"/>
  <c r="B275" i="28"/>
  <c r="C275" i="28"/>
  <c r="D275" i="28"/>
  <c r="F275" i="28"/>
  <c r="I275" i="28"/>
  <c r="L275" i="28"/>
  <c r="O275" i="28"/>
  <c r="R275" i="28"/>
  <c r="U275" i="28"/>
  <c r="X275" i="28"/>
  <c r="AA275" i="28"/>
  <c r="AM275" i="28"/>
  <c r="B276" i="28"/>
  <c r="C276" i="28"/>
  <c r="D276" i="28"/>
  <c r="F276" i="28"/>
  <c r="I276" i="28"/>
  <c r="L276" i="28"/>
  <c r="O276" i="28"/>
  <c r="R276" i="28"/>
  <c r="U276" i="28"/>
  <c r="X276" i="28"/>
  <c r="AA276" i="28"/>
  <c r="AM276" i="28"/>
  <c r="B277" i="28"/>
  <c r="C277" i="28"/>
  <c r="D277" i="28"/>
  <c r="F277" i="28"/>
  <c r="I277" i="28"/>
  <c r="L277" i="28"/>
  <c r="O277" i="28"/>
  <c r="R277" i="28"/>
  <c r="U277" i="28"/>
  <c r="X277" i="28"/>
  <c r="AA277" i="28"/>
  <c r="AM277" i="28"/>
  <c r="B278" i="28"/>
  <c r="C278" i="28"/>
  <c r="D278" i="28"/>
  <c r="F278" i="28"/>
  <c r="I278" i="28"/>
  <c r="L278" i="28"/>
  <c r="O278" i="28"/>
  <c r="R278" i="28"/>
  <c r="U278" i="28"/>
  <c r="X278" i="28"/>
  <c r="AA278" i="28"/>
  <c r="AM278" i="28"/>
  <c r="B279" i="28"/>
  <c r="C279" i="28"/>
  <c r="D279" i="28"/>
  <c r="F279" i="28"/>
  <c r="I279" i="28"/>
  <c r="L279" i="28"/>
  <c r="O279" i="28"/>
  <c r="R279" i="28"/>
  <c r="U279" i="28"/>
  <c r="X279" i="28"/>
  <c r="AA279" i="28"/>
  <c r="AM279" i="28"/>
  <c r="B280" i="28"/>
  <c r="C280" i="28"/>
  <c r="D280" i="28"/>
  <c r="F280" i="28"/>
  <c r="I280" i="28"/>
  <c r="L280" i="28"/>
  <c r="O280" i="28"/>
  <c r="R280" i="28"/>
  <c r="U280" i="28"/>
  <c r="X280" i="28"/>
  <c r="AA280" i="28"/>
  <c r="AM280" i="28"/>
  <c r="B281" i="28"/>
  <c r="C281" i="28"/>
  <c r="D281" i="28"/>
  <c r="F281" i="28"/>
  <c r="I281" i="28"/>
  <c r="L281" i="28"/>
  <c r="O281" i="28"/>
  <c r="R281" i="28"/>
  <c r="U281" i="28"/>
  <c r="X281" i="28"/>
  <c r="AA281" i="28"/>
  <c r="AM281" i="28"/>
  <c r="B282" i="28"/>
  <c r="C282" i="28"/>
  <c r="D282" i="28"/>
  <c r="F282" i="28"/>
  <c r="I282" i="28"/>
  <c r="L282" i="28"/>
  <c r="O282" i="28"/>
  <c r="R282" i="28"/>
  <c r="U282" i="28"/>
  <c r="X282" i="28"/>
  <c r="AA282" i="28"/>
  <c r="AM282" i="28"/>
  <c r="B283" i="28"/>
  <c r="C283" i="28"/>
  <c r="D283" i="28"/>
  <c r="F283" i="28"/>
  <c r="I283" i="28"/>
  <c r="L283" i="28"/>
  <c r="O283" i="28"/>
  <c r="R283" i="28"/>
  <c r="U283" i="28"/>
  <c r="X283" i="28"/>
  <c r="AA283" i="28"/>
  <c r="AM283" i="28"/>
  <c r="B284" i="28"/>
  <c r="C284" i="28"/>
  <c r="D284" i="28"/>
  <c r="F284" i="28"/>
  <c r="I284" i="28"/>
  <c r="L284" i="28"/>
  <c r="O284" i="28"/>
  <c r="R284" i="28"/>
  <c r="U284" i="28"/>
  <c r="X284" i="28"/>
  <c r="AA284" i="28"/>
  <c r="AM284" i="28"/>
  <c r="B285" i="28"/>
  <c r="C285" i="28"/>
  <c r="D285" i="28"/>
  <c r="AM285" i="28"/>
  <c r="B286" i="28"/>
  <c r="C286" i="28"/>
  <c r="D286" i="28"/>
  <c r="AM286" i="28"/>
  <c r="B287" i="28"/>
  <c r="C287" i="28"/>
  <c r="D287" i="28"/>
  <c r="AM287" i="28"/>
  <c r="B288" i="28"/>
  <c r="C288" i="28"/>
  <c r="D288" i="28"/>
  <c r="AM288" i="28"/>
  <c r="B289" i="28"/>
  <c r="C289" i="28"/>
  <c r="D289" i="28"/>
  <c r="AM289" i="28"/>
  <c r="B290" i="28"/>
  <c r="C290" i="28"/>
  <c r="D290" i="28"/>
  <c r="AM290" i="28"/>
  <c r="B291" i="28"/>
  <c r="C291" i="28"/>
  <c r="D291" i="28"/>
  <c r="AM291" i="28"/>
  <c r="B294" i="28"/>
  <c r="C294" i="28"/>
  <c r="D294" i="28"/>
  <c r="AM294" i="28"/>
  <c r="B295" i="28"/>
  <c r="C295" i="28"/>
  <c r="D295" i="28"/>
  <c r="AM295" i="28"/>
  <c r="B296" i="28"/>
  <c r="C296" i="28"/>
  <c r="D296" i="28"/>
  <c r="AM296" i="28"/>
  <c r="B297" i="28"/>
  <c r="C297" i="28"/>
  <c r="D297" i="28"/>
  <c r="AM297" i="28"/>
  <c r="B298" i="28"/>
  <c r="C298" i="28"/>
  <c r="D298" i="28"/>
  <c r="AM298" i="28"/>
  <c r="B299" i="28"/>
  <c r="C299" i="28"/>
  <c r="D299" i="28"/>
  <c r="AM299" i="28"/>
  <c r="B300" i="28"/>
  <c r="C300" i="28"/>
  <c r="D300" i="28"/>
  <c r="AM300" i="28"/>
  <c r="B301" i="28"/>
  <c r="C301" i="28"/>
  <c r="D301" i="28"/>
  <c r="AM301" i="28"/>
  <c r="B302" i="28"/>
  <c r="C302" i="28"/>
  <c r="D302" i="28"/>
  <c r="AM302" i="28"/>
  <c r="B303" i="28"/>
  <c r="C303" i="28"/>
  <c r="D303" i="28"/>
  <c r="AM303" i="28"/>
  <c r="B304" i="28"/>
  <c r="C304" i="28"/>
  <c r="D304" i="28"/>
  <c r="AM304" i="28"/>
  <c r="B307" i="28"/>
  <c r="C307" i="28"/>
  <c r="D307" i="28"/>
  <c r="F307" i="28"/>
  <c r="I307" i="28"/>
  <c r="L307" i="28"/>
  <c r="O307" i="28"/>
  <c r="R307" i="28"/>
  <c r="U307" i="28"/>
  <c r="X307" i="28"/>
  <c r="AA307" i="28"/>
  <c r="AM307" i="28"/>
  <c r="B308" i="28"/>
  <c r="C308" i="28"/>
  <c r="D308" i="28"/>
  <c r="F308" i="28"/>
  <c r="I308" i="28"/>
  <c r="L308" i="28"/>
  <c r="O308" i="28"/>
  <c r="R308" i="28"/>
  <c r="U308" i="28"/>
  <c r="X308" i="28"/>
  <c r="AA308" i="28"/>
  <c r="AM308" i="28"/>
  <c r="B309" i="28"/>
  <c r="C309" i="28"/>
  <c r="D309" i="28"/>
  <c r="F309" i="28"/>
  <c r="I309" i="28"/>
  <c r="L309" i="28"/>
  <c r="O309" i="28"/>
  <c r="R309" i="28"/>
  <c r="U309" i="28"/>
  <c r="X309" i="28"/>
  <c r="AA309" i="28"/>
  <c r="AM309" i="28"/>
  <c r="B310" i="28"/>
  <c r="C310" i="28"/>
  <c r="D310" i="28"/>
  <c r="F310" i="28"/>
  <c r="I310" i="28"/>
  <c r="L310" i="28"/>
  <c r="O310" i="28"/>
  <c r="R310" i="28"/>
  <c r="U310" i="28"/>
  <c r="X310" i="28"/>
  <c r="AA310" i="28"/>
  <c r="AM310" i="28"/>
  <c r="B311" i="28"/>
  <c r="C311" i="28"/>
  <c r="D311" i="28"/>
  <c r="F311" i="28"/>
  <c r="I311" i="28"/>
  <c r="L311" i="28"/>
  <c r="O311" i="28"/>
  <c r="R311" i="28"/>
  <c r="U311" i="28"/>
  <c r="X311" i="28"/>
  <c r="AA311" i="28"/>
  <c r="AM311" i="28"/>
  <c r="B312" i="28"/>
  <c r="C312" i="28"/>
  <c r="D312" i="28"/>
  <c r="AA312" i="28"/>
  <c r="AM312" i="28"/>
  <c r="B318" i="28"/>
  <c r="C318" i="28"/>
  <c r="D318" i="28"/>
  <c r="F318" i="28"/>
  <c r="I318" i="28"/>
  <c r="L318" i="28"/>
  <c r="O318" i="28"/>
  <c r="R318" i="28"/>
  <c r="U318" i="28"/>
  <c r="X318" i="28"/>
  <c r="AA318" i="28"/>
  <c r="AM318" i="28"/>
  <c r="B319" i="28"/>
  <c r="C319" i="28"/>
  <c r="D319" i="28"/>
  <c r="F319" i="28"/>
  <c r="I319" i="28"/>
  <c r="L319" i="28"/>
  <c r="O319" i="28"/>
  <c r="R319" i="28"/>
  <c r="U319" i="28"/>
  <c r="X319" i="28"/>
  <c r="AA319" i="28"/>
  <c r="AM319" i="28"/>
  <c r="B320" i="28"/>
  <c r="C320" i="28"/>
  <c r="D320" i="28"/>
  <c r="F320" i="28"/>
  <c r="I320" i="28"/>
  <c r="L320" i="28"/>
  <c r="O320" i="28"/>
  <c r="R320" i="28"/>
  <c r="U320" i="28"/>
  <c r="X320" i="28"/>
  <c r="AA320" i="28"/>
  <c r="AM320" i="28"/>
  <c r="B321" i="28"/>
  <c r="C321" i="28"/>
  <c r="D321" i="28"/>
  <c r="F321" i="28"/>
  <c r="I321" i="28"/>
  <c r="L321" i="28"/>
  <c r="O321" i="28"/>
  <c r="R321" i="28"/>
  <c r="U321" i="28"/>
  <c r="X321" i="28"/>
  <c r="AA321" i="28"/>
  <c r="AM321" i="28"/>
  <c r="B322" i="28"/>
  <c r="C322" i="28"/>
  <c r="D322" i="28"/>
  <c r="F322" i="28"/>
  <c r="I322" i="28"/>
  <c r="L322" i="28"/>
  <c r="O322" i="28"/>
  <c r="R322" i="28"/>
  <c r="U322" i="28"/>
  <c r="X322" i="28"/>
  <c r="AA322" i="28"/>
  <c r="AM322" i="28"/>
  <c r="B323" i="28"/>
  <c r="C323" i="28"/>
  <c r="D323" i="28"/>
  <c r="F323" i="28"/>
  <c r="I323" i="28"/>
  <c r="L323" i="28"/>
  <c r="O323" i="28"/>
  <c r="R323" i="28"/>
  <c r="U323" i="28"/>
  <c r="X323" i="28"/>
  <c r="AA323" i="28"/>
  <c r="AM323" i="28"/>
  <c r="B324" i="28"/>
  <c r="C324" i="28"/>
  <c r="D324" i="28"/>
  <c r="AA324" i="28"/>
  <c r="AM324" i="28"/>
  <c r="B325" i="28"/>
  <c r="C325" i="28"/>
  <c r="D325" i="28"/>
  <c r="AA325" i="28"/>
  <c r="AM325" i="28"/>
  <c r="B326" i="28"/>
  <c r="C326" i="28"/>
  <c r="D326" i="28"/>
  <c r="AA326" i="28"/>
  <c r="AM326" i="28"/>
  <c r="B327" i="28"/>
  <c r="C327" i="28"/>
  <c r="D327" i="28"/>
  <c r="AA327" i="28"/>
  <c r="AM327" i="28"/>
  <c r="B329" i="28"/>
  <c r="C329" i="28"/>
  <c r="D329" i="28"/>
  <c r="F329" i="28"/>
  <c r="I329" i="28"/>
  <c r="L329" i="28"/>
  <c r="O329" i="28"/>
  <c r="R329" i="28"/>
  <c r="U329" i="28"/>
  <c r="X329" i="28"/>
  <c r="AA329" i="28"/>
  <c r="AM329" i="28"/>
  <c r="B330" i="28"/>
  <c r="C330" i="28"/>
  <c r="D330" i="28"/>
  <c r="F330" i="28"/>
  <c r="I330" i="28"/>
  <c r="L330" i="28"/>
  <c r="O330" i="28"/>
  <c r="R330" i="28"/>
  <c r="U330" i="28"/>
  <c r="X330" i="28"/>
  <c r="AA330" i="28"/>
  <c r="AM330" i="28"/>
  <c r="B331" i="28"/>
  <c r="C331" i="28"/>
  <c r="D331" i="28"/>
  <c r="F331" i="28"/>
  <c r="I331" i="28"/>
  <c r="L331" i="28"/>
  <c r="O331" i="28"/>
  <c r="R331" i="28"/>
  <c r="U331" i="28"/>
  <c r="X331" i="28"/>
  <c r="AA331" i="28"/>
  <c r="AM331" i="28"/>
  <c r="B332" i="28"/>
  <c r="C332" i="28"/>
  <c r="D332" i="28"/>
  <c r="F332" i="28"/>
  <c r="I332" i="28"/>
  <c r="L332" i="28"/>
  <c r="O332" i="28"/>
  <c r="R332" i="28"/>
  <c r="U332" i="28"/>
  <c r="X332" i="28"/>
  <c r="AA332" i="28"/>
  <c r="AG332" i="28"/>
  <c r="AH332" i="28" s="1"/>
  <c r="AM332" i="28"/>
  <c r="B333" i="28"/>
  <c r="C333" i="28"/>
  <c r="D333" i="28"/>
  <c r="F333" i="28"/>
  <c r="I333" i="28"/>
  <c r="L333" i="28"/>
  <c r="O333" i="28"/>
  <c r="R333" i="28"/>
  <c r="U333" i="28"/>
  <c r="X333" i="28"/>
  <c r="AA333" i="28"/>
  <c r="AM333" i="28"/>
  <c r="B334" i="28"/>
  <c r="C334" i="28"/>
  <c r="D334" i="28"/>
  <c r="F334" i="28"/>
  <c r="I334" i="28"/>
  <c r="L334" i="28"/>
  <c r="O334" i="28"/>
  <c r="R334" i="28"/>
  <c r="U334" i="28"/>
  <c r="X334" i="28"/>
  <c r="AA334" i="28"/>
  <c r="AM334" i="28"/>
  <c r="B335" i="28"/>
  <c r="C335" i="28"/>
  <c r="D335" i="28"/>
  <c r="F335" i="28"/>
  <c r="I335" i="28"/>
  <c r="L335" i="28"/>
  <c r="O335" i="28"/>
  <c r="R335" i="28"/>
  <c r="U335" i="28"/>
  <c r="X335" i="28"/>
  <c r="AA335" i="28"/>
  <c r="AM335" i="28"/>
  <c r="B336" i="28"/>
  <c r="C336" i="28"/>
  <c r="D336" i="28"/>
  <c r="F336" i="28"/>
  <c r="I336" i="28"/>
  <c r="L336" i="28"/>
  <c r="O336" i="28"/>
  <c r="R336" i="28"/>
  <c r="U336" i="28"/>
  <c r="X336" i="28"/>
  <c r="AA336" i="28"/>
  <c r="AM336" i="28"/>
  <c r="B337" i="28"/>
  <c r="C337" i="28"/>
  <c r="D337" i="28"/>
  <c r="F337" i="28"/>
  <c r="I337" i="28"/>
  <c r="L337" i="28"/>
  <c r="O337" i="28"/>
  <c r="R337" i="28"/>
  <c r="U337" i="28"/>
  <c r="X337" i="28"/>
  <c r="AA337" i="28"/>
  <c r="AM337" i="28"/>
  <c r="AM338" i="28"/>
  <c r="B339" i="28"/>
  <c r="C339" i="28"/>
  <c r="D339" i="28"/>
  <c r="AM339" i="28"/>
  <c r="B341" i="28"/>
  <c r="C341" i="28"/>
  <c r="D341" i="28"/>
  <c r="AA341" i="28"/>
  <c r="AM341" i="28"/>
  <c r="B342" i="28"/>
  <c r="C342" i="28"/>
  <c r="D342" i="28"/>
  <c r="AA342" i="28"/>
  <c r="AM342" i="28"/>
  <c r="B343" i="28"/>
  <c r="C343" i="28"/>
  <c r="D343" i="28"/>
  <c r="AA343" i="28"/>
  <c r="AM343" i="28"/>
  <c r="B344" i="28"/>
  <c r="C344" i="28"/>
  <c r="D344" i="28"/>
  <c r="AA344" i="28"/>
  <c r="AM344" i="28"/>
  <c r="B345" i="28"/>
  <c r="C345" i="28"/>
  <c r="D345" i="28"/>
  <c r="AA345" i="28"/>
  <c r="AM345" i="28"/>
  <c r="B346" i="28"/>
  <c r="C346" i="28"/>
  <c r="D346" i="28"/>
  <c r="AA346" i="28"/>
  <c r="AM346" i="28"/>
  <c r="B348" i="28"/>
  <c r="C348" i="28"/>
  <c r="D348" i="28"/>
  <c r="F348" i="28"/>
  <c r="I348" i="28"/>
  <c r="L348" i="28"/>
  <c r="O348" i="28"/>
  <c r="R348" i="28"/>
  <c r="U348" i="28"/>
  <c r="X348" i="28"/>
  <c r="AA348" i="28"/>
  <c r="AM348" i="28"/>
  <c r="B349" i="28"/>
  <c r="C349" i="28"/>
  <c r="D349" i="28"/>
  <c r="F349" i="28"/>
  <c r="I349" i="28"/>
  <c r="L349" i="28"/>
  <c r="O349" i="28"/>
  <c r="R349" i="28"/>
  <c r="U349" i="28"/>
  <c r="X349" i="28"/>
  <c r="AA349" i="28"/>
  <c r="AM349" i="28"/>
  <c r="B350" i="28"/>
  <c r="C350" i="28"/>
  <c r="D350" i="28"/>
  <c r="F350" i="28"/>
  <c r="I350" i="28"/>
  <c r="L350" i="28"/>
  <c r="O350" i="28"/>
  <c r="R350" i="28"/>
  <c r="U350" i="28"/>
  <c r="X350" i="28"/>
  <c r="AA350" i="28"/>
  <c r="AM350" i="28"/>
  <c r="B351" i="28"/>
  <c r="C351" i="28"/>
  <c r="D351" i="28"/>
  <c r="F351" i="28"/>
  <c r="I351" i="28"/>
  <c r="L351" i="28"/>
  <c r="O351" i="28"/>
  <c r="R351" i="28"/>
  <c r="U351" i="28"/>
  <c r="X351" i="28"/>
  <c r="AA351" i="28"/>
  <c r="AM351" i="28"/>
  <c r="B352" i="28"/>
  <c r="C352" i="28"/>
  <c r="D352" i="28"/>
  <c r="F352" i="28"/>
  <c r="I352" i="28"/>
  <c r="L352" i="28"/>
  <c r="O352" i="28"/>
  <c r="R352" i="28"/>
  <c r="U352" i="28"/>
  <c r="X352" i="28"/>
  <c r="AA352" i="28"/>
  <c r="AM352" i="28"/>
  <c r="B353" i="28"/>
  <c r="C353" i="28"/>
  <c r="D353" i="28"/>
  <c r="F353" i="28"/>
  <c r="I353" i="28"/>
  <c r="L353" i="28"/>
  <c r="O353" i="28"/>
  <c r="R353" i="28"/>
  <c r="U353" i="28"/>
  <c r="X353" i="28"/>
  <c r="AA353" i="28"/>
  <c r="AM353" i="28"/>
  <c r="B354" i="28"/>
  <c r="C354" i="28"/>
  <c r="D354" i="28"/>
  <c r="F354" i="28"/>
  <c r="I354" i="28"/>
  <c r="L354" i="28"/>
  <c r="O354" i="28"/>
  <c r="R354" i="28"/>
  <c r="U354" i="28"/>
  <c r="X354" i="28"/>
  <c r="AA354" i="28"/>
  <c r="AM354" i="28"/>
  <c r="B355" i="28"/>
  <c r="C355" i="28"/>
  <c r="D355" i="28"/>
  <c r="F355" i="28"/>
  <c r="I355" i="28"/>
  <c r="L355" i="28"/>
  <c r="O355" i="28"/>
  <c r="R355" i="28"/>
  <c r="U355" i="28"/>
  <c r="X355" i="28"/>
  <c r="AA355" i="28"/>
  <c r="AM355" i="28"/>
  <c r="B356" i="28"/>
  <c r="C356" i="28"/>
  <c r="D356" i="28"/>
  <c r="F356" i="28"/>
  <c r="I356" i="28"/>
  <c r="L356" i="28"/>
  <c r="O356" i="28"/>
  <c r="R356" i="28"/>
  <c r="U356" i="28"/>
  <c r="X356" i="28"/>
  <c r="AA356" i="28"/>
  <c r="AM356" i="28"/>
  <c r="B357" i="28"/>
  <c r="C357" i="28"/>
  <c r="D357" i="28"/>
  <c r="F357" i="28"/>
  <c r="I357" i="28"/>
  <c r="L357" i="28"/>
  <c r="O357" i="28"/>
  <c r="R357" i="28"/>
  <c r="U357" i="28"/>
  <c r="X357" i="28"/>
  <c r="AA357" i="28"/>
  <c r="AM357" i="28"/>
  <c r="B358" i="28"/>
  <c r="C358" i="28"/>
  <c r="D358" i="28"/>
  <c r="F358" i="28"/>
  <c r="I358" i="28"/>
  <c r="L358" i="28"/>
  <c r="O358" i="28"/>
  <c r="R358" i="28"/>
  <c r="U358" i="28"/>
  <c r="X358" i="28"/>
  <c r="AA358" i="28"/>
  <c r="AM358" i="28"/>
  <c r="B359" i="28"/>
  <c r="C359" i="28"/>
  <c r="D359" i="28"/>
  <c r="AA359" i="28"/>
  <c r="AM359" i="28"/>
  <c r="B360" i="28"/>
  <c r="C360" i="28"/>
  <c r="D360" i="28"/>
  <c r="AA360" i="28"/>
  <c r="AM360" i="28"/>
  <c r="B361" i="28"/>
  <c r="C361" i="28"/>
  <c r="D361" i="28"/>
  <c r="AA361" i="28"/>
  <c r="AM361" i="28"/>
  <c r="B362" i="28"/>
  <c r="C362" i="28"/>
  <c r="D362" i="28"/>
  <c r="AA362" i="28"/>
  <c r="AM362" i="28"/>
  <c r="B363" i="28"/>
  <c r="C363" i="28"/>
  <c r="D363" i="28"/>
  <c r="AA363" i="28"/>
  <c r="AM363" i="28"/>
  <c r="B365" i="28"/>
  <c r="C365" i="28"/>
  <c r="D365" i="28"/>
  <c r="AA365" i="28"/>
  <c r="AM365" i="28"/>
  <c r="B366" i="28"/>
  <c r="C366" i="28"/>
  <c r="D366" i="28"/>
  <c r="B367" i="28"/>
  <c r="C367" i="28"/>
  <c r="D367" i="28"/>
  <c r="AM367" i="28"/>
  <c r="B371" i="28"/>
  <c r="C371" i="28"/>
  <c r="D371" i="28"/>
  <c r="F371" i="28"/>
  <c r="I371" i="28"/>
  <c r="L371" i="28"/>
  <c r="O371" i="28"/>
  <c r="R371" i="28"/>
  <c r="U371" i="28"/>
  <c r="X371" i="28"/>
  <c r="AA371" i="28"/>
  <c r="AM371" i="28"/>
  <c r="B372" i="28"/>
  <c r="C372" i="28"/>
  <c r="D372" i="28"/>
  <c r="F372" i="28"/>
  <c r="I372" i="28"/>
  <c r="L372" i="28"/>
  <c r="O372" i="28"/>
  <c r="R372" i="28"/>
  <c r="U372" i="28"/>
  <c r="X372" i="28"/>
  <c r="AA372" i="28"/>
  <c r="AM372" i="28"/>
  <c r="B373" i="28"/>
  <c r="C373" i="28"/>
  <c r="D373" i="28"/>
  <c r="F373" i="28"/>
  <c r="I373" i="28"/>
  <c r="L373" i="28"/>
  <c r="O373" i="28"/>
  <c r="R373" i="28"/>
  <c r="U373" i="28"/>
  <c r="X373" i="28"/>
  <c r="AA373" i="28"/>
  <c r="AM373" i="28"/>
  <c r="B374" i="28"/>
  <c r="C374" i="28"/>
  <c r="D374" i="28"/>
  <c r="F374" i="28"/>
  <c r="I374" i="28"/>
  <c r="L374" i="28"/>
  <c r="O374" i="28"/>
  <c r="R374" i="28"/>
  <c r="U374" i="28"/>
  <c r="X374" i="28"/>
  <c r="AA374" i="28"/>
  <c r="AM374" i="28"/>
  <c r="B375" i="28"/>
  <c r="C375" i="28"/>
  <c r="D375" i="28"/>
  <c r="F375" i="28"/>
  <c r="I375" i="28"/>
  <c r="L375" i="28"/>
  <c r="O375" i="28"/>
  <c r="R375" i="28"/>
  <c r="U375" i="28"/>
  <c r="X375" i="28"/>
  <c r="AA375" i="28"/>
  <c r="AM375" i="28"/>
  <c r="B376" i="28"/>
  <c r="C376" i="28"/>
  <c r="D376" i="28"/>
  <c r="F376" i="28"/>
  <c r="I376" i="28"/>
  <c r="L376" i="28"/>
  <c r="O376" i="28"/>
  <c r="R376" i="28"/>
  <c r="U376" i="28"/>
  <c r="X376" i="28"/>
  <c r="AA376" i="28"/>
  <c r="AM376" i="28"/>
  <c r="B377" i="28"/>
  <c r="C377" i="28"/>
  <c r="D377" i="28"/>
  <c r="F377" i="28"/>
  <c r="I377" i="28"/>
  <c r="L377" i="28"/>
  <c r="O377" i="28"/>
  <c r="R377" i="28"/>
  <c r="U377" i="28"/>
  <c r="X377" i="28"/>
  <c r="AA377" i="28"/>
  <c r="AM377" i="28"/>
  <c r="B378" i="28"/>
  <c r="C378" i="28"/>
  <c r="D378" i="28"/>
  <c r="F378" i="28"/>
  <c r="I378" i="28"/>
  <c r="L378" i="28"/>
  <c r="O378" i="28"/>
  <c r="R378" i="28"/>
  <c r="U378" i="28"/>
  <c r="X378" i="28"/>
  <c r="AA378" i="28"/>
  <c r="AM378" i="28"/>
  <c r="B379" i="28"/>
  <c r="C379" i="28"/>
  <c r="D379" i="28"/>
  <c r="F379" i="28"/>
  <c r="I379" i="28"/>
  <c r="L379" i="28"/>
  <c r="O379" i="28"/>
  <c r="R379" i="28"/>
  <c r="U379" i="28"/>
  <c r="X379" i="28"/>
  <c r="AA379" i="28"/>
  <c r="AM379" i="28"/>
  <c r="B380" i="28"/>
  <c r="C380" i="28"/>
  <c r="D380" i="28"/>
  <c r="F380" i="28"/>
  <c r="I380" i="28"/>
  <c r="L380" i="28"/>
  <c r="O380" i="28"/>
  <c r="R380" i="28"/>
  <c r="U380" i="28"/>
  <c r="X380" i="28"/>
  <c r="AA380" i="28"/>
  <c r="AM380" i="28"/>
  <c r="B381" i="28"/>
  <c r="C381" i="28"/>
  <c r="D381" i="28"/>
  <c r="AA381" i="28"/>
  <c r="AM381" i="28"/>
  <c r="B382" i="28"/>
  <c r="C382" i="28"/>
  <c r="D382" i="28"/>
  <c r="AA382" i="28"/>
  <c r="AM382" i="28"/>
  <c r="B383" i="28"/>
  <c r="C383" i="28"/>
  <c r="D383" i="28"/>
  <c r="AA383" i="28"/>
  <c r="AM383" i="28"/>
  <c r="B386" i="28"/>
  <c r="C386" i="28"/>
  <c r="D386" i="28"/>
  <c r="F386" i="28"/>
  <c r="I386" i="28"/>
  <c r="L386" i="28"/>
  <c r="O386" i="28"/>
  <c r="R386" i="28"/>
  <c r="U386" i="28"/>
  <c r="X386" i="28"/>
  <c r="AA386" i="28"/>
  <c r="AM386" i="28"/>
  <c r="B387" i="28"/>
  <c r="C387" i="28"/>
  <c r="D387" i="28"/>
  <c r="F387" i="28"/>
  <c r="I387" i="28"/>
  <c r="L387" i="28"/>
  <c r="O387" i="28"/>
  <c r="R387" i="28"/>
  <c r="U387" i="28"/>
  <c r="X387" i="28"/>
  <c r="AA387" i="28"/>
  <c r="AM387" i="28"/>
  <c r="B388" i="28"/>
  <c r="C388" i="28"/>
  <c r="D388" i="28"/>
  <c r="F388" i="28"/>
  <c r="I388" i="28"/>
  <c r="L388" i="28"/>
  <c r="O388" i="28"/>
  <c r="R388" i="28"/>
  <c r="U388" i="28"/>
  <c r="X388" i="28"/>
  <c r="AA388" i="28"/>
  <c r="AM388" i="28"/>
  <c r="B389" i="28"/>
  <c r="C389" i="28"/>
  <c r="D389" i="28"/>
  <c r="F389" i="28"/>
  <c r="I389" i="28"/>
  <c r="L389" i="28"/>
  <c r="O389" i="28"/>
  <c r="R389" i="28"/>
  <c r="U389" i="28"/>
  <c r="X389" i="28"/>
  <c r="AA389" i="28"/>
  <c r="AM389" i="28"/>
  <c r="B390" i="28"/>
  <c r="C390" i="28"/>
  <c r="D390" i="28"/>
  <c r="F390" i="28"/>
  <c r="I390" i="28"/>
  <c r="L390" i="28"/>
  <c r="O390" i="28"/>
  <c r="R390" i="28"/>
  <c r="U390" i="28"/>
  <c r="X390" i="28"/>
  <c r="AA390" i="28"/>
  <c r="AM390" i="28"/>
  <c r="B391" i="28"/>
  <c r="C391" i="28"/>
  <c r="D391" i="28"/>
  <c r="F391" i="28"/>
  <c r="I391" i="28"/>
  <c r="L391" i="28"/>
  <c r="O391" i="28"/>
  <c r="R391" i="28"/>
  <c r="U391" i="28"/>
  <c r="X391" i="28"/>
  <c r="AA391" i="28"/>
  <c r="AM391" i="28"/>
  <c r="B392" i="28"/>
  <c r="C392" i="28"/>
  <c r="D392" i="28"/>
  <c r="F392" i="28"/>
  <c r="I392" i="28"/>
  <c r="L392" i="28"/>
  <c r="O392" i="28"/>
  <c r="R392" i="28"/>
  <c r="U392" i="28"/>
  <c r="X392" i="28"/>
  <c r="AA392" i="28"/>
  <c r="AM392" i="28"/>
  <c r="B393" i="28"/>
  <c r="C393" i="28"/>
  <c r="D393" i="28"/>
  <c r="F393" i="28"/>
  <c r="I393" i="28"/>
  <c r="L393" i="28"/>
  <c r="O393" i="28"/>
  <c r="R393" i="28"/>
  <c r="U393" i="28"/>
  <c r="X393" i="28"/>
  <c r="AA393" i="28"/>
  <c r="AM393" i="28"/>
  <c r="B394" i="28"/>
  <c r="C394" i="28"/>
  <c r="D394" i="28"/>
  <c r="F394" i="28"/>
  <c r="I394" i="28"/>
  <c r="L394" i="28"/>
  <c r="O394" i="28"/>
  <c r="R394" i="28"/>
  <c r="U394" i="28"/>
  <c r="X394" i="28"/>
  <c r="AA394" i="28"/>
  <c r="AM394" i="28"/>
  <c r="B395" i="28"/>
  <c r="C395" i="28"/>
  <c r="D395" i="28"/>
  <c r="F395" i="28"/>
  <c r="I395" i="28"/>
  <c r="L395" i="28"/>
  <c r="O395" i="28"/>
  <c r="R395" i="28"/>
  <c r="U395" i="28"/>
  <c r="X395" i="28"/>
  <c r="AA395" i="28"/>
  <c r="AM395" i="28"/>
  <c r="B396" i="28"/>
  <c r="C396" i="28"/>
  <c r="D396" i="28"/>
  <c r="F396" i="28"/>
  <c r="I396" i="28"/>
  <c r="L396" i="28"/>
  <c r="O396" i="28"/>
  <c r="R396" i="28"/>
  <c r="U396" i="28"/>
  <c r="X396" i="28"/>
  <c r="AA396" i="28"/>
  <c r="AM396" i="28"/>
  <c r="B397" i="28"/>
  <c r="C397" i="28"/>
  <c r="D397" i="28"/>
  <c r="F397" i="28"/>
  <c r="I397" i="28"/>
  <c r="L397" i="28"/>
  <c r="O397" i="28"/>
  <c r="R397" i="28"/>
  <c r="U397" i="28"/>
  <c r="X397" i="28"/>
  <c r="AA397" i="28"/>
  <c r="AM397" i="28"/>
  <c r="B398" i="28"/>
  <c r="C398" i="28"/>
  <c r="D398" i="28"/>
  <c r="F398" i="28"/>
  <c r="I398" i="28"/>
  <c r="L398" i="28"/>
  <c r="O398" i="28"/>
  <c r="R398" i="28"/>
  <c r="U398" i="28"/>
  <c r="X398" i="28"/>
  <c r="AA398" i="28"/>
  <c r="AM398" i="28"/>
  <c r="B399" i="28"/>
  <c r="C399" i="28"/>
  <c r="D399" i="28"/>
  <c r="F399" i="28"/>
  <c r="I399" i="28"/>
  <c r="L399" i="28"/>
  <c r="O399" i="28"/>
  <c r="R399" i="28"/>
  <c r="U399" i="28"/>
  <c r="X399" i="28"/>
  <c r="AA399" i="28"/>
  <c r="AM399" i="28"/>
  <c r="B400" i="28"/>
  <c r="C400" i="28"/>
  <c r="D400" i="28"/>
  <c r="F400" i="28"/>
  <c r="I400" i="28"/>
  <c r="L400" i="28"/>
  <c r="O400" i="28"/>
  <c r="R400" i="28"/>
  <c r="U400" i="28"/>
  <c r="X400" i="28"/>
  <c r="AA400" i="28"/>
  <c r="AM400" i="28"/>
  <c r="B401" i="28"/>
  <c r="C401" i="28"/>
  <c r="D401" i="28"/>
  <c r="F401" i="28"/>
  <c r="I401" i="28"/>
  <c r="L401" i="28"/>
  <c r="O401" i="28"/>
  <c r="R401" i="28"/>
  <c r="U401" i="28"/>
  <c r="X401" i="28"/>
  <c r="AA401" i="28"/>
  <c r="AM401" i="28"/>
  <c r="B402" i="28"/>
  <c r="C402" i="28"/>
  <c r="D402" i="28"/>
  <c r="F402" i="28"/>
  <c r="I402" i="28"/>
  <c r="L402" i="28"/>
  <c r="O402" i="28"/>
  <c r="R402" i="28"/>
  <c r="U402" i="28"/>
  <c r="X402" i="28"/>
  <c r="AA402" i="28"/>
  <c r="AM402" i="28"/>
  <c r="B403" i="28"/>
  <c r="C403" i="28"/>
  <c r="D403" i="28"/>
  <c r="F403" i="28"/>
  <c r="I403" i="28"/>
  <c r="L403" i="28"/>
  <c r="O403" i="28"/>
  <c r="R403" i="28"/>
  <c r="U403" i="28"/>
  <c r="X403" i="28"/>
  <c r="AA403" i="28"/>
  <c r="AM403" i="28"/>
  <c r="B404" i="28"/>
  <c r="C404" i="28"/>
  <c r="D404" i="28"/>
  <c r="F404" i="28"/>
  <c r="I404" i="28"/>
  <c r="L404" i="28"/>
  <c r="O404" i="28"/>
  <c r="R404" i="28"/>
  <c r="U404" i="28"/>
  <c r="X404" i="28"/>
  <c r="AA404" i="28"/>
  <c r="AM404" i="28"/>
  <c r="B405" i="28"/>
  <c r="C405" i="28"/>
  <c r="D405" i="28"/>
  <c r="F405" i="28"/>
  <c r="I405" i="28"/>
  <c r="L405" i="28"/>
  <c r="O405" i="28"/>
  <c r="R405" i="28"/>
  <c r="U405" i="28"/>
  <c r="X405" i="28"/>
  <c r="AA405" i="28"/>
  <c r="AM405" i="28"/>
  <c r="B406" i="28"/>
  <c r="C406" i="28"/>
  <c r="D406" i="28"/>
  <c r="F406" i="28"/>
  <c r="I406" i="28"/>
  <c r="L406" i="28"/>
  <c r="O406" i="28"/>
  <c r="R406" i="28"/>
  <c r="U406" i="28"/>
  <c r="X406" i="28"/>
  <c r="AA406" i="28"/>
  <c r="AM406" i="28"/>
  <c r="B407" i="28"/>
  <c r="C407" i="28"/>
  <c r="D407" i="28"/>
  <c r="AA407" i="28"/>
  <c r="AM407" i="28"/>
  <c r="B408" i="28"/>
  <c r="C408" i="28"/>
  <c r="D408" i="28"/>
  <c r="F408" i="28"/>
  <c r="I408" i="28"/>
  <c r="L408" i="28"/>
  <c r="O408" i="28"/>
  <c r="R408" i="28"/>
  <c r="U408" i="28"/>
  <c r="X408" i="28"/>
  <c r="AA408" i="28"/>
  <c r="AM408" i="28"/>
  <c r="B409" i="28"/>
  <c r="C409" i="28"/>
  <c r="D409" i="28"/>
  <c r="F409" i="28"/>
  <c r="I409" i="28"/>
  <c r="L409" i="28"/>
  <c r="O409" i="28"/>
  <c r="R409" i="28"/>
  <c r="U409" i="28"/>
  <c r="X409" i="28"/>
  <c r="AA409" i="28"/>
  <c r="AM409" i="28"/>
  <c r="B410" i="28"/>
  <c r="C410" i="28"/>
  <c r="D410" i="28"/>
  <c r="F410" i="28"/>
  <c r="I410" i="28"/>
  <c r="L410" i="28"/>
  <c r="O410" i="28"/>
  <c r="R410" i="28"/>
  <c r="U410" i="28"/>
  <c r="X410" i="28"/>
  <c r="AA410" i="28"/>
  <c r="AM410" i="28"/>
  <c r="B411" i="28"/>
  <c r="C411" i="28"/>
  <c r="D411" i="28"/>
  <c r="AA411" i="28"/>
  <c r="AM411" i="28"/>
  <c r="B412" i="28"/>
  <c r="C412" i="28"/>
  <c r="D412" i="28"/>
  <c r="AA412" i="28"/>
  <c r="AM412" i="28"/>
  <c r="B413" i="28"/>
  <c r="C413" i="28"/>
  <c r="D413" i="28"/>
  <c r="AA413" i="28"/>
  <c r="AM413" i="28"/>
  <c r="B414" i="28"/>
  <c r="C414" i="28"/>
  <c r="D414" i="28"/>
  <c r="AA414" i="28"/>
  <c r="AM414" i="28"/>
  <c r="B415" i="28"/>
  <c r="C415" i="28"/>
  <c r="D415" i="28"/>
  <c r="AA415" i="28"/>
  <c r="AM415" i="28"/>
  <c r="B416" i="28"/>
  <c r="C416" i="28"/>
  <c r="D416" i="28"/>
  <c r="AA416" i="28"/>
  <c r="AM416" i="28"/>
  <c r="B417" i="28"/>
  <c r="C417" i="28"/>
  <c r="D417" i="28"/>
  <c r="F417" i="28"/>
  <c r="I417" i="28"/>
  <c r="L417" i="28"/>
  <c r="O417" i="28"/>
  <c r="R417" i="28"/>
  <c r="U417" i="28"/>
  <c r="X417" i="28"/>
  <c r="AA417" i="28"/>
  <c r="AM417" i="28"/>
  <c r="B418" i="28"/>
  <c r="C418" i="28"/>
  <c r="D418" i="28"/>
  <c r="AA418" i="28"/>
  <c r="AM418" i="28"/>
  <c r="B419" i="28"/>
  <c r="C419" i="28"/>
  <c r="D419" i="28"/>
  <c r="AA419" i="28"/>
  <c r="AM419" i="28"/>
  <c r="B420" i="28"/>
  <c r="C420" i="28"/>
  <c r="D420" i="28"/>
  <c r="AA420" i="28"/>
  <c r="AM420" i="28"/>
  <c r="B421" i="28"/>
  <c r="C421" i="28"/>
  <c r="D421" i="28"/>
  <c r="AA421" i="28"/>
  <c r="AM421" i="28"/>
  <c r="B422" i="28"/>
  <c r="C422" i="28"/>
  <c r="D422" i="28"/>
  <c r="AA422" i="28"/>
  <c r="AM422" i="28"/>
  <c r="B423" i="28"/>
  <c r="C423" i="28"/>
  <c r="D423" i="28"/>
  <c r="AA423" i="28"/>
  <c r="AM423" i="28"/>
  <c r="B424" i="28"/>
  <c r="C424" i="28"/>
  <c r="D424" i="28"/>
  <c r="AA424" i="28"/>
  <c r="AM424" i="28"/>
  <c r="B425" i="28"/>
  <c r="C425" i="28"/>
  <c r="D425" i="28"/>
  <c r="AA425" i="28"/>
  <c r="AM425" i="28"/>
  <c r="B426" i="28"/>
  <c r="C426" i="28"/>
  <c r="D426" i="28"/>
  <c r="AA426" i="28"/>
  <c r="AM426" i="28"/>
  <c r="B442" i="28"/>
  <c r="C442" i="28"/>
  <c r="D442" i="28"/>
  <c r="F442" i="28"/>
  <c r="I442" i="28"/>
  <c r="L442" i="28"/>
  <c r="O442" i="28"/>
  <c r="R442" i="28"/>
  <c r="U442" i="28"/>
  <c r="X442" i="28"/>
  <c r="AA442" i="28"/>
  <c r="AM442" i="28"/>
  <c r="B443" i="28"/>
  <c r="C443" i="28"/>
  <c r="D443" i="28"/>
  <c r="F443" i="28"/>
  <c r="I443" i="28"/>
  <c r="L443" i="28"/>
  <c r="O443" i="28"/>
  <c r="R443" i="28"/>
  <c r="U443" i="28"/>
  <c r="X443" i="28"/>
  <c r="AA443" i="28"/>
  <c r="AM443" i="28"/>
  <c r="B444" i="28"/>
  <c r="C444" i="28"/>
  <c r="D444" i="28"/>
  <c r="F444" i="28"/>
  <c r="I444" i="28"/>
  <c r="L444" i="28"/>
  <c r="O444" i="28"/>
  <c r="R444" i="28"/>
  <c r="U444" i="28"/>
  <c r="X444" i="28"/>
  <c r="AA444" i="28"/>
  <c r="AM444" i="28"/>
  <c r="B445" i="28"/>
  <c r="C445" i="28"/>
  <c r="D445" i="28"/>
  <c r="F445" i="28"/>
  <c r="I445" i="28"/>
  <c r="L445" i="28"/>
  <c r="O445" i="28"/>
  <c r="R445" i="28"/>
  <c r="U445" i="28"/>
  <c r="X445" i="28"/>
  <c r="AA445" i="28"/>
  <c r="AM445" i="28"/>
  <c r="B446" i="28"/>
  <c r="C446" i="28"/>
  <c r="D446" i="28"/>
  <c r="F446" i="28"/>
  <c r="I446" i="28"/>
  <c r="L446" i="28"/>
  <c r="O446" i="28"/>
  <c r="R446" i="28"/>
  <c r="U446" i="28"/>
  <c r="X446" i="28"/>
  <c r="AA446" i="28"/>
  <c r="AM446" i="28"/>
  <c r="B447" i="28"/>
  <c r="C447" i="28"/>
  <c r="D447" i="28"/>
  <c r="F447" i="28"/>
  <c r="I447" i="28"/>
  <c r="L447" i="28"/>
  <c r="O447" i="28"/>
  <c r="R447" i="28"/>
  <c r="U447" i="28"/>
  <c r="X447" i="28"/>
  <c r="AA447" i="28"/>
  <c r="AM447" i="28"/>
  <c r="B448" i="28"/>
  <c r="C448" i="28"/>
  <c r="D448" i="28"/>
  <c r="F448" i="28"/>
  <c r="I448" i="28"/>
  <c r="L448" i="28"/>
  <c r="O448" i="28"/>
  <c r="R448" i="28"/>
  <c r="U448" i="28"/>
  <c r="X448" i="28"/>
  <c r="AA448" i="28"/>
  <c r="AM448" i="28"/>
  <c r="B449" i="28"/>
  <c r="C449" i="28"/>
  <c r="D449" i="28"/>
  <c r="F449" i="28"/>
  <c r="I449" i="28"/>
  <c r="L449" i="28"/>
  <c r="O449" i="28"/>
  <c r="R449" i="28"/>
  <c r="U449" i="28"/>
  <c r="X449" i="28"/>
  <c r="AA449" i="28"/>
  <c r="AM449" i="28"/>
  <c r="AM450" i="28"/>
  <c r="B451" i="28"/>
  <c r="C451" i="28"/>
  <c r="D451" i="28"/>
  <c r="AM451" i="28"/>
  <c r="B454" i="28"/>
  <c r="C454" i="28"/>
  <c r="D454" i="28"/>
  <c r="F454" i="28"/>
  <c r="I454" i="28"/>
  <c r="L454" i="28"/>
  <c r="O454" i="28"/>
  <c r="R454" i="28"/>
  <c r="U454" i="28"/>
  <c r="X454" i="28"/>
  <c r="AA454" i="28"/>
  <c r="AM454" i="28"/>
  <c r="B455" i="28"/>
  <c r="C455" i="28"/>
  <c r="D455" i="28"/>
  <c r="F455" i="28"/>
  <c r="I455" i="28"/>
  <c r="L455" i="28"/>
  <c r="O455" i="28"/>
  <c r="R455" i="28"/>
  <c r="U455" i="28"/>
  <c r="X455" i="28"/>
  <c r="AA455" i="28"/>
  <c r="AM455" i="28"/>
  <c r="B456" i="28"/>
  <c r="C456" i="28"/>
  <c r="D456" i="28"/>
  <c r="F456" i="28"/>
  <c r="I456" i="28"/>
  <c r="L456" i="28"/>
  <c r="O456" i="28"/>
  <c r="R456" i="28"/>
  <c r="U456" i="28"/>
  <c r="X456" i="28"/>
  <c r="AA456" i="28"/>
  <c r="AM456" i="28"/>
  <c r="B457" i="28"/>
  <c r="C457" i="28"/>
  <c r="D457" i="28"/>
  <c r="F457" i="28"/>
  <c r="I457" i="28"/>
  <c r="L457" i="28"/>
  <c r="O457" i="28"/>
  <c r="R457" i="28"/>
  <c r="U457" i="28"/>
  <c r="X457" i="28"/>
  <c r="AA457" i="28"/>
  <c r="AM457" i="28"/>
  <c r="B458" i="28"/>
  <c r="C458" i="28"/>
  <c r="D458" i="28"/>
  <c r="F458" i="28"/>
  <c r="I458" i="28"/>
  <c r="L458" i="28"/>
  <c r="O458" i="28"/>
  <c r="R458" i="28"/>
  <c r="U458" i="28"/>
  <c r="X458" i="28"/>
  <c r="AA458" i="28"/>
  <c r="AM458" i="28"/>
  <c r="B459" i="28"/>
  <c r="C459" i="28"/>
  <c r="D459" i="28"/>
  <c r="F459" i="28"/>
  <c r="I459" i="28"/>
  <c r="L459" i="28"/>
  <c r="O459" i="28"/>
  <c r="R459" i="28"/>
  <c r="U459" i="28"/>
  <c r="X459" i="28"/>
  <c r="AA459" i="28"/>
  <c r="AM459" i="28"/>
  <c r="B460" i="28"/>
  <c r="C460" i="28"/>
  <c r="D460" i="28"/>
  <c r="F460" i="28"/>
  <c r="I460" i="28"/>
  <c r="L460" i="28"/>
  <c r="O460" i="28"/>
  <c r="R460" i="28"/>
  <c r="U460" i="28"/>
  <c r="X460" i="28"/>
  <c r="AA460" i="28"/>
  <c r="AM460" i="28"/>
  <c r="B461" i="28"/>
  <c r="C461" i="28"/>
  <c r="D461" i="28"/>
  <c r="F461" i="28"/>
  <c r="I461" i="28"/>
  <c r="L461" i="28"/>
  <c r="O461" i="28"/>
  <c r="R461" i="28"/>
  <c r="U461" i="28"/>
  <c r="X461" i="28"/>
  <c r="AA461" i="28"/>
  <c r="AM461" i="28"/>
  <c r="B462" i="28"/>
  <c r="C462" i="28"/>
  <c r="D462" i="28"/>
  <c r="F462" i="28"/>
  <c r="I462" i="28"/>
  <c r="L462" i="28"/>
  <c r="O462" i="28"/>
  <c r="R462" i="28"/>
  <c r="U462" i="28"/>
  <c r="X462" i="28"/>
  <c r="AA462" i="28"/>
  <c r="AM462" i="28"/>
  <c r="B463" i="28"/>
  <c r="C463" i="28"/>
  <c r="D463" i="28"/>
  <c r="F463" i="28"/>
  <c r="I463" i="28"/>
  <c r="L463" i="28"/>
  <c r="O463" i="28"/>
  <c r="R463" i="28"/>
  <c r="U463" i="28"/>
  <c r="X463" i="28"/>
  <c r="AA463" i="28"/>
  <c r="AM463" i="28"/>
  <c r="B464" i="28"/>
  <c r="C464" i="28"/>
  <c r="D464" i="28"/>
  <c r="F464" i="28"/>
  <c r="I464" i="28"/>
  <c r="L464" i="28"/>
  <c r="O464" i="28"/>
  <c r="R464" i="28"/>
  <c r="U464" i="28"/>
  <c r="X464" i="28"/>
  <c r="AA464" i="28"/>
  <c r="AM464" i="28"/>
  <c r="B465" i="28"/>
  <c r="C465" i="28"/>
  <c r="D465" i="28"/>
  <c r="AM465" i="28"/>
  <c r="B466" i="28"/>
  <c r="C466" i="28"/>
  <c r="D466" i="28"/>
  <c r="AA466" i="28"/>
  <c r="AM466" i="28"/>
  <c r="B467" i="28"/>
  <c r="C467" i="28"/>
  <c r="D467" i="28"/>
  <c r="AA467" i="28"/>
  <c r="AM467" i="28"/>
  <c r="B468" i="28"/>
  <c r="C468" i="28"/>
  <c r="D468" i="28"/>
  <c r="AA468" i="28"/>
  <c r="AM468" i="28"/>
  <c r="B469" i="28"/>
  <c r="C469" i="28"/>
  <c r="D469" i="28"/>
  <c r="AA469" i="28"/>
  <c r="AM469" i="28"/>
  <c r="B470" i="28"/>
  <c r="C470" i="28"/>
  <c r="D470" i="28"/>
  <c r="AA470" i="28"/>
  <c r="AM470" i="28"/>
  <c r="B471" i="28"/>
  <c r="C471" i="28"/>
  <c r="D471" i="28"/>
  <c r="AA471" i="28"/>
  <c r="AM471" i="28"/>
  <c r="B472" i="28"/>
  <c r="C472" i="28"/>
  <c r="D472" i="28"/>
  <c r="AA472" i="28"/>
  <c r="AM472" i="28"/>
  <c r="B473" i="28"/>
  <c r="C473" i="28"/>
  <c r="D473" i="28"/>
  <c r="F473" i="28"/>
  <c r="I473" i="28"/>
  <c r="L473" i="28"/>
  <c r="O473" i="28"/>
  <c r="R473" i="28"/>
  <c r="U473" i="28"/>
  <c r="X473" i="28"/>
  <c r="AA473" i="28"/>
  <c r="AM473" i="28"/>
  <c r="B474" i="28"/>
  <c r="C474" i="28"/>
  <c r="D474" i="28"/>
  <c r="F474" i="28"/>
  <c r="I474" i="28"/>
  <c r="L474" i="28"/>
  <c r="O474" i="28"/>
  <c r="R474" i="28"/>
  <c r="U474" i="28"/>
  <c r="X474" i="28"/>
  <c r="AA474" i="28"/>
  <c r="AM474" i="28"/>
  <c r="B475" i="28"/>
  <c r="C475" i="28"/>
  <c r="D475" i="28"/>
  <c r="F475" i="28"/>
  <c r="I475" i="28"/>
  <c r="L475" i="28"/>
  <c r="O475" i="28"/>
  <c r="R475" i="28"/>
  <c r="U475" i="28"/>
  <c r="X475" i="28"/>
  <c r="AA475" i="28"/>
  <c r="AM475" i="28"/>
  <c r="B476" i="28"/>
  <c r="C476" i="28"/>
  <c r="D476" i="28"/>
  <c r="F476" i="28"/>
  <c r="I476" i="28"/>
  <c r="L476" i="28"/>
  <c r="O476" i="28"/>
  <c r="R476" i="28"/>
  <c r="U476" i="28"/>
  <c r="X476" i="28"/>
  <c r="AA476" i="28"/>
  <c r="AM476" i="28"/>
  <c r="B477" i="28"/>
  <c r="C477" i="28"/>
  <c r="D477" i="28"/>
  <c r="F477" i="28"/>
  <c r="I477" i="28"/>
  <c r="L477" i="28"/>
  <c r="O477" i="28"/>
  <c r="R477" i="28"/>
  <c r="U477" i="28"/>
  <c r="X477" i="28"/>
  <c r="AA477" i="28"/>
  <c r="AM477" i="28"/>
  <c r="B478" i="28"/>
  <c r="C478" i="28"/>
  <c r="D478" i="28"/>
  <c r="AA478" i="28"/>
  <c r="AM478" i="28"/>
  <c r="B479" i="28"/>
  <c r="C479" i="28"/>
  <c r="D479" i="28"/>
  <c r="F479" i="28"/>
  <c r="I479" i="28"/>
  <c r="L479" i="28"/>
  <c r="O479" i="28"/>
  <c r="R479" i="28"/>
  <c r="U479" i="28"/>
  <c r="X479" i="28"/>
  <c r="AA479" i="28"/>
  <c r="AM479" i="28"/>
  <c r="B480" i="28"/>
  <c r="C480" i="28"/>
  <c r="D480" i="28"/>
  <c r="F480" i="28"/>
  <c r="I480" i="28"/>
  <c r="L480" i="28"/>
  <c r="O480" i="28"/>
  <c r="R480" i="28"/>
  <c r="U480" i="28"/>
  <c r="X480" i="28"/>
  <c r="AA480" i="28"/>
  <c r="AM480" i="28"/>
  <c r="B481" i="28"/>
  <c r="C481" i="28"/>
  <c r="D481" i="28"/>
  <c r="F481" i="28"/>
  <c r="I481" i="28"/>
  <c r="L481" i="28"/>
  <c r="O481" i="28"/>
  <c r="R481" i="28"/>
  <c r="U481" i="28"/>
  <c r="X481" i="28"/>
  <c r="AA481" i="28"/>
  <c r="AM481" i="28"/>
  <c r="B482" i="28"/>
  <c r="C482" i="28"/>
  <c r="D482" i="28"/>
  <c r="F482" i="28"/>
  <c r="I482" i="28"/>
  <c r="L482" i="28"/>
  <c r="O482" i="28"/>
  <c r="R482" i="28"/>
  <c r="U482" i="28"/>
  <c r="X482" i="28"/>
  <c r="AA482" i="28"/>
  <c r="AM482" i="28"/>
  <c r="B483" i="28"/>
  <c r="C483" i="28"/>
  <c r="D483" i="28"/>
  <c r="F483" i="28"/>
  <c r="I483" i="28"/>
  <c r="L483" i="28"/>
  <c r="O483" i="28"/>
  <c r="R483" i="28"/>
  <c r="U483" i="28"/>
  <c r="X483" i="28"/>
  <c r="AA483" i="28"/>
  <c r="AM483" i="28"/>
  <c r="B484" i="28"/>
  <c r="C484" i="28"/>
  <c r="D484" i="28"/>
  <c r="F484" i="28"/>
  <c r="I484" i="28"/>
  <c r="L484" i="28"/>
  <c r="O484" i="28"/>
  <c r="R484" i="28"/>
  <c r="U484" i="28"/>
  <c r="X484" i="28"/>
  <c r="AA484" i="28"/>
  <c r="AM484" i="28"/>
  <c r="B485" i="28"/>
  <c r="C485" i="28"/>
  <c r="D485" i="28"/>
  <c r="F485" i="28"/>
  <c r="I485" i="28"/>
  <c r="L485" i="28"/>
  <c r="O485" i="28"/>
  <c r="R485" i="28"/>
  <c r="U485" i="28"/>
  <c r="X485" i="28"/>
  <c r="AA485" i="28"/>
  <c r="AM485" i="28"/>
  <c r="B486" i="28"/>
  <c r="C486" i="28"/>
  <c r="D486" i="28"/>
  <c r="F486" i="28"/>
  <c r="I486" i="28"/>
  <c r="L486" i="28"/>
  <c r="O486" i="28"/>
  <c r="R486" i="28"/>
  <c r="U486" i="28"/>
  <c r="X486" i="28"/>
  <c r="AA486" i="28"/>
  <c r="AM486" i="28"/>
  <c r="B487" i="28"/>
  <c r="C487" i="28"/>
  <c r="D487" i="28"/>
  <c r="F487" i="28"/>
  <c r="I487" i="28"/>
  <c r="L487" i="28"/>
  <c r="O487" i="28"/>
  <c r="R487" i="28"/>
  <c r="U487" i="28"/>
  <c r="X487" i="28"/>
  <c r="AA487" i="28"/>
  <c r="AM487" i="28"/>
  <c r="B488" i="28"/>
  <c r="C488" i="28"/>
  <c r="D488" i="28"/>
  <c r="F488" i="28"/>
  <c r="I488" i="28"/>
  <c r="L488" i="28"/>
  <c r="O488" i="28"/>
  <c r="R488" i="28"/>
  <c r="U488" i="28"/>
  <c r="X488" i="28"/>
  <c r="AA488" i="28"/>
  <c r="AM488" i="28"/>
  <c r="B489" i="28"/>
  <c r="C489" i="28"/>
  <c r="D489" i="28"/>
  <c r="F489" i="28"/>
  <c r="I489" i="28"/>
  <c r="L489" i="28"/>
  <c r="O489" i="28"/>
  <c r="R489" i="28"/>
  <c r="U489" i="28"/>
  <c r="X489" i="28"/>
  <c r="AA489" i="28"/>
  <c r="AM489" i="28"/>
  <c r="B490" i="28"/>
  <c r="C490" i="28"/>
  <c r="D490" i="28"/>
  <c r="F490" i="28"/>
  <c r="I490" i="28"/>
  <c r="L490" i="28"/>
  <c r="O490" i="28"/>
  <c r="R490" i="28"/>
  <c r="U490" i="28"/>
  <c r="X490" i="28"/>
  <c r="AA490" i="28"/>
  <c r="AM490" i="28"/>
  <c r="B491" i="28"/>
  <c r="C491" i="28"/>
  <c r="D491" i="28"/>
  <c r="F491" i="28"/>
  <c r="I491" i="28"/>
  <c r="L491" i="28"/>
  <c r="O491" i="28"/>
  <c r="R491" i="28"/>
  <c r="U491" i="28"/>
  <c r="X491" i="28"/>
  <c r="AA491" i="28"/>
  <c r="AM491" i="28"/>
  <c r="B492" i="28"/>
  <c r="C492" i="28"/>
  <c r="D492" i="28"/>
  <c r="F492" i="28"/>
  <c r="I492" i="28"/>
  <c r="L492" i="28"/>
  <c r="O492" i="28"/>
  <c r="R492" i="28"/>
  <c r="U492" i="28"/>
  <c r="X492" i="28"/>
  <c r="AA492" i="28"/>
  <c r="AM492" i="28"/>
  <c r="B493" i="28"/>
  <c r="C493" i="28"/>
  <c r="D493" i="28"/>
  <c r="F493" i="28"/>
  <c r="I493" i="28"/>
  <c r="L493" i="28"/>
  <c r="O493" i="28"/>
  <c r="R493" i="28"/>
  <c r="U493" i="28"/>
  <c r="X493" i="28"/>
  <c r="AA493" i="28"/>
  <c r="AM493" i="28"/>
  <c r="B494" i="28"/>
  <c r="C494" i="28"/>
  <c r="D494" i="28"/>
  <c r="F494" i="28"/>
  <c r="I494" i="28"/>
  <c r="L494" i="28"/>
  <c r="O494" i="28"/>
  <c r="R494" i="28"/>
  <c r="U494" i="28"/>
  <c r="X494" i="28"/>
  <c r="AA494" i="28"/>
  <c r="AM494" i="28"/>
  <c r="B495" i="28"/>
  <c r="C495" i="28"/>
  <c r="D495" i="28"/>
  <c r="F495" i="28"/>
  <c r="I495" i="28"/>
  <c r="L495" i="28"/>
  <c r="O495" i="28"/>
  <c r="R495" i="28"/>
  <c r="U495" i="28"/>
  <c r="X495" i="28"/>
  <c r="AA495" i="28"/>
  <c r="AM495" i="28"/>
  <c r="B496" i="28"/>
  <c r="C496" i="28"/>
  <c r="D496" i="28"/>
  <c r="F496" i="28"/>
  <c r="I496" i="28"/>
  <c r="L496" i="28"/>
  <c r="O496" i="28"/>
  <c r="R496" i="28"/>
  <c r="U496" i="28"/>
  <c r="X496" i="28"/>
  <c r="AA496" i="28"/>
  <c r="AM496" i="28"/>
  <c r="B497" i="28"/>
  <c r="C497" i="28"/>
  <c r="D497" i="28"/>
  <c r="F497" i="28"/>
  <c r="I497" i="28"/>
  <c r="L497" i="28"/>
  <c r="O497" i="28"/>
  <c r="R497" i="28"/>
  <c r="U497" i="28"/>
  <c r="X497" i="28"/>
  <c r="AA497" i="28"/>
  <c r="AM497" i="28"/>
  <c r="B498" i="28"/>
  <c r="C498" i="28"/>
  <c r="D498" i="28"/>
  <c r="F498" i="28"/>
  <c r="I498" i="28"/>
  <c r="L498" i="28"/>
  <c r="O498" i="28"/>
  <c r="R498" i="28"/>
  <c r="U498" i="28"/>
  <c r="X498" i="28"/>
  <c r="AA498" i="28"/>
  <c r="AM498" i="28"/>
  <c r="B499" i="28"/>
  <c r="C499" i="28"/>
  <c r="D499" i="28"/>
  <c r="F499" i="28"/>
  <c r="I499" i="28"/>
  <c r="L499" i="28"/>
  <c r="O499" i="28"/>
  <c r="R499" i="28"/>
  <c r="U499" i="28"/>
  <c r="X499" i="28"/>
  <c r="AA499" i="28"/>
  <c r="AM499" i="28"/>
  <c r="B500" i="28"/>
  <c r="C500" i="28"/>
  <c r="D500" i="28"/>
  <c r="F500" i="28"/>
  <c r="I500" i="28"/>
  <c r="L500" i="28"/>
  <c r="O500" i="28"/>
  <c r="R500" i="28"/>
  <c r="U500" i="28"/>
  <c r="X500" i="28"/>
  <c r="AA500" i="28"/>
  <c r="AM500" i="28"/>
  <c r="B501" i="28"/>
  <c r="C501" i="28"/>
  <c r="D501" i="28"/>
  <c r="F501" i="28"/>
  <c r="I501" i="28"/>
  <c r="L501" i="28"/>
  <c r="O501" i="28"/>
  <c r="R501" i="28"/>
  <c r="U501" i="28"/>
  <c r="X501" i="28"/>
  <c r="AA501" i="28"/>
  <c r="AM501" i="28"/>
  <c r="B502" i="28"/>
  <c r="C502" i="28"/>
  <c r="D502" i="28"/>
  <c r="F502" i="28"/>
  <c r="I502" i="28"/>
  <c r="L502" i="28"/>
  <c r="O502" i="28"/>
  <c r="R502" i="28"/>
  <c r="U502" i="28"/>
  <c r="X502" i="28"/>
  <c r="AA502" i="28"/>
  <c r="AM502" i="28"/>
  <c r="B503" i="28"/>
  <c r="C503" i="28"/>
  <c r="D503" i="28"/>
  <c r="F503" i="28"/>
  <c r="I503" i="28"/>
  <c r="L503" i="28"/>
  <c r="O503" i="28"/>
  <c r="R503" i="28"/>
  <c r="U503" i="28"/>
  <c r="X503" i="28"/>
  <c r="AA503" i="28"/>
  <c r="AM503" i="28"/>
  <c r="B504" i="28"/>
  <c r="C504" i="28"/>
  <c r="D504" i="28"/>
  <c r="F504" i="28"/>
  <c r="I504" i="28"/>
  <c r="L504" i="28"/>
  <c r="O504" i="28"/>
  <c r="R504" i="28"/>
  <c r="U504" i="28"/>
  <c r="X504" i="28"/>
  <c r="AA504" i="28"/>
  <c r="AM504" i="28"/>
  <c r="B505" i="28"/>
  <c r="C505" i="28"/>
  <c r="D505" i="28"/>
  <c r="F505" i="28"/>
  <c r="I505" i="28"/>
  <c r="L505" i="28"/>
  <c r="O505" i="28"/>
  <c r="R505" i="28"/>
  <c r="U505" i="28"/>
  <c r="X505" i="28"/>
  <c r="AA505" i="28"/>
  <c r="AM505" i="28"/>
  <c r="B506" i="28"/>
  <c r="C506" i="28"/>
  <c r="D506" i="28"/>
  <c r="F506" i="28"/>
  <c r="I506" i="28"/>
  <c r="L506" i="28"/>
  <c r="O506" i="28"/>
  <c r="R506" i="28"/>
  <c r="U506" i="28"/>
  <c r="X506" i="28"/>
  <c r="AA506" i="28"/>
  <c r="AM506" i="28"/>
  <c r="B507" i="28"/>
  <c r="C507" i="28"/>
  <c r="D507" i="28"/>
  <c r="F507" i="28"/>
  <c r="I507" i="28"/>
  <c r="L507" i="28"/>
  <c r="O507" i="28"/>
  <c r="R507" i="28"/>
  <c r="U507" i="28"/>
  <c r="X507" i="28"/>
  <c r="AA507" i="28"/>
  <c r="AM507" i="28"/>
  <c r="B508" i="28"/>
  <c r="C508" i="28"/>
  <c r="D508" i="28"/>
  <c r="F508" i="28"/>
  <c r="I508" i="28"/>
  <c r="L508" i="28"/>
  <c r="O508" i="28"/>
  <c r="R508" i="28"/>
  <c r="U508" i="28"/>
  <c r="X508" i="28"/>
  <c r="AA508" i="28"/>
  <c r="AM508" i="28"/>
  <c r="B509" i="28"/>
  <c r="C509" i="28"/>
  <c r="D509" i="28"/>
  <c r="F509" i="28"/>
  <c r="I509" i="28"/>
  <c r="L509" i="28"/>
  <c r="O509" i="28"/>
  <c r="R509" i="28"/>
  <c r="U509" i="28"/>
  <c r="X509" i="28"/>
  <c r="AA509" i="28"/>
  <c r="AM509" i="28"/>
  <c r="B510" i="28"/>
  <c r="C510" i="28"/>
  <c r="D510" i="28"/>
  <c r="AM510" i="28"/>
  <c r="B511" i="28"/>
  <c r="C511" i="28"/>
  <c r="D511" i="28"/>
  <c r="F511" i="28"/>
  <c r="I511" i="28"/>
  <c r="L511" i="28"/>
  <c r="O511" i="28"/>
  <c r="R511" i="28"/>
  <c r="U511" i="28"/>
  <c r="X511" i="28"/>
  <c r="AA511" i="28"/>
  <c r="AM511" i="28"/>
  <c r="B512" i="28"/>
  <c r="C512" i="28"/>
  <c r="D512" i="28"/>
  <c r="F512" i="28"/>
  <c r="I512" i="28"/>
  <c r="L512" i="28"/>
  <c r="O512" i="28"/>
  <c r="R512" i="28"/>
  <c r="U512" i="28"/>
  <c r="X512" i="28"/>
  <c r="AA512" i="28"/>
  <c r="AM512" i="28"/>
  <c r="B513" i="28"/>
  <c r="C513" i="28"/>
  <c r="D513" i="28"/>
  <c r="AM513" i="28"/>
  <c r="B514" i="28"/>
  <c r="C514" i="28"/>
  <c r="D514" i="28"/>
  <c r="AA514" i="28"/>
  <c r="AM514" i="28"/>
  <c r="B515" i="28"/>
  <c r="C515" i="28"/>
  <c r="D515" i="28"/>
  <c r="AM515" i="28"/>
  <c r="B516" i="28"/>
  <c r="C516" i="28"/>
  <c r="D516" i="28"/>
  <c r="AM516" i="28"/>
  <c r="B517" i="28"/>
  <c r="C517" i="28"/>
  <c r="D517" i="28"/>
  <c r="AM517" i="28"/>
  <c r="B518" i="28"/>
  <c r="C518" i="28"/>
  <c r="D518" i="28"/>
  <c r="AM518" i="28"/>
  <c r="B519" i="28"/>
  <c r="C519" i="28"/>
  <c r="D519" i="28"/>
  <c r="AM519" i="28"/>
  <c r="B520" i="28"/>
  <c r="C520" i="28"/>
  <c r="D520" i="28"/>
  <c r="AM520" i="28"/>
  <c r="B521" i="28"/>
  <c r="C521" i="28"/>
  <c r="D521" i="28"/>
  <c r="AA521" i="28"/>
  <c r="AM521" i="28"/>
  <c r="B522" i="28"/>
  <c r="C522" i="28"/>
  <c r="D522" i="28"/>
  <c r="AA522" i="28"/>
  <c r="AM522" i="28"/>
  <c r="B523" i="28"/>
  <c r="C523" i="28"/>
  <c r="D523" i="28"/>
  <c r="F523" i="28"/>
  <c r="I523" i="28"/>
  <c r="L523" i="28"/>
  <c r="O523" i="28"/>
  <c r="R523" i="28"/>
  <c r="U523" i="28"/>
  <c r="X523" i="28"/>
  <c r="AA523" i="28"/>
  <c r="AM523" i="28"/>
  <c r="B524" i="28"/>
  <c r="C524" i="28"/>
  <c r="D524" i="28"/>
  <c r="F524" i="28"/>
  <c r="I524" i="28"/>
  <c r="L524" i="28"/>
  <c r="O524" i="28"/>
  <c r="R524" i="28"/>
  <c r="U524" i="28"/>
  <c r="X524" i="28"/>
  <c r="AA524" i="28"/>
  <c r="AM524" i="28"/>
  <c r="B525" i="28"/>
  <c r="C525" i="28"/>
  <c r="D525" i="28"/>
  <c r="AA525" i="28"/>
  <c r="AM525" i="28"/>
  <c r="B526" i="28"/>
  <c r="C526" i="28"/>
  <c r="D526" i="28"/>
  <c r="AA526" i="28"/>
  <c r="AM526" i="28"/>
  <c r="B527" i="28"/>
  <c r="C527" i="28"/>
  <c r="D527" i="28"/>
  <c r="AA527" i="28"/>
  <c r="AM527" i="28"/>
  <c r="B528" i="28"/>
  <c r="C528" i="28"/>
  <c r="D528" i="28"/>
  <c r="AA528" i="28"/>
  <c r="AM528" i="28"/>
  <c r="B529" i="28"/>
  <c r="C529" i="28"/>
  <c r="D529" i="28"/>
  <c r="AM529" i="28"/>
  <c r="B530" i="28"/>
  <c r="C530" i="28"/>
  <c r="D530" i="28"/>
  <c r="AA530" i="28"/>
  <c r="AM530" i="28"/>
  <c r="B531" i="28"/>
  <c r="C531" i="28"/>
  <c r="D531" i="28"/>
  <c r="AA531" i="28"/>
  <c r="AM531" i="28"/>
  <c r="B532" i="28"/>
  <c r="C532" i="28"/>
  <c r="D532" i="28"/>
  <c r="AA532" i="28"/>
  <c r="AM532" i="28"/>
  <c r="B533" i="28"/>
  <c r="C533" i="28"/>
  <c r="D533" i="28"/>
  <c r="AA533" i="28"/>
  <c r="AM533" i="28"/>
  <c r="B534" i="28"/>
  <c r="C534" i="28"/>
  <c r="D534" i="28"/>
  <c r="AA534" i="28"/>
  <c r="AM534" i="28"/>
  <c r="B535" i="28"/>
  <c r="C535" i="28"/>
  <c r="D535" i="28"/>
  <c r="AA535" i="28"/>
  <c r="AM535" i="28"/>
  <c r="B536" i="28"/>
  <c r="C536" i="28"/>
  <c r="D536" i="28"/>
  <c r="AM536" i="28"/>
  <c r="B537" i="28"/>
  <c r="C537" i="28"/>
  <c r="D537" i="28"/>
  <c r="AA537" i="28"/>
  <c r="AM537" i="28"/>
  <c r="B538" i="28"/>
  <c r="C538" i="28"/>
  <c r="D538" i="28"/>
  <c r="AA538" i="28"/>
  <c r="AM538" i="28"/>
  <c r="B539" i="28"/>
  <c r="C539" i="28"/>
  <c r="D539" i="28"/>
  <c r="AA539" i="28"/>
  <c r="AM539" i="28"/>
  <c r="B540" i="28"/>
  <c r="C540" i="28"/>
  <c r="D540" i="28"/>
  <c r="AA540" i="28"/>
  <c r="AM540" i="28"/>
  <c r="B541" i="28"/>
  <c r="C541" i="28"/>
  <c r="D541" i="28"/>
  <c r="AM541" i="28"/>
  <c r="B542" i="28"/>
  <c r="C542" i="28"/>
  <c r="D542" i="28"/>
  <c r="AA542" i="28"/>
  <c r="AM542" i="28"/>
  <c r="B548" i="28"/>
  <c r="C548" i="28"/>
  <c r="D548" i="28"/>
  <c r="F548" i="28"/>
  <c r="I548" i="28"/>
  <c r="L548" i="28"/>
  <c r="O548" i="28"/>
  <c r="R548" i="28"/>
  <c r="U548" i="28"/>
  <c r="X548" i="28"/>
  <c r="AA548" i="28"/>
  <c r="AM548" i="28"/>
  <c r="B549" i="28"/>
  <c r="C549" i="28"/>
  <c r="D549" i="28"/>
  <c r="F549" i="28"/>
  <c r="I549" i="28"/>
  <c r="L549" i="28"/>
  <c r="O549" i="28"/>
  <c r="R549" i="28"/>
  <c r="U549" i="28"/>
  <c r="X549" i="28"/>
  <c r="AA549" i="28"/>
  <c r="AM549" i="28"/>
  <c r="AM550" i="28"/>
  <c r="B551" i="28"/>
  <c r="C551" i="28"/>
  <c r="D551" i="28"/>
  <c r="F551" i="28"/>
  <c r="I551" i="28"/>
  <c r="L551" i="28"/>
  <c r="O551" i="28"/>
  <c r="R551" i="28"/>
  <c r="U551" i="28"/>
  <c r="X551" i="28"/>
  <c r="AA551" i="28"/>
  <c r="AM551" i="28"/>
  <c r="B552" i="28"/>
  <c r="C552" i="28"/>
  <c r="D552" i="28"/>
  <c r="F552" i="28"/>
  <c r="I552" i="28"/>
  <c r="L552" i="28"/>
  <c r="O552" i="28"/>
  <c r="R552" i="28"/>
  <c r="U552" i="28"/>
  <c r="X552" i="28"/>
  <c r="AA552" i="28"/>
  <c r="AM552" i="28"/>
  <c r="B553" i="28"/>
  <c r="C553" i="28"/>
  <c r="D553" i="28"/>
  <c r="F553" i="28"/>
  <c r="I553" i="28"/>
  <c r="L553" i="28"/>
  <c r="O553" i="28"/>
  <c r="R553" i="28"/>
  <c r="U553" i="28"/>
  <c r="X553" i="28"/>
  <c r="AA553" i="28"/>
  <c r="AM553" i="28"/>
  <c r="B554" i="28"/>
  <c r="C554" i="28"/>
  <c r="D554" i="28"/>
  <c r="F554" i="28"/>
  <c r="I554" i="28"/>
  <c r="L554" i="28"/>
  <c r="O554" i="28"/>
  <c r="R554" i="28"/>
  <c r="U554" i="28"/>
  <c r="X554" i="28"/>
  <c r="AA554" i="28"/>
  <c r="AM554" i="28"/>
  <c r="B555" i="28"/>
  <c r="C555" i="28"/>
  <c r="D555" i="28"/>
  <c r="F555" i="28"/>
  <c r="I555" i="28"/>
  <c r="L555" i="28"/>
  <c r="O555" i="28"/>
  <c r="R555" i="28"/>
  <c r="U555" i="28"/>
  <c r="X555" i="28"/>
  <c r="AA555" i="28"/>
  <c r="AL555" i="28"/>
  <c r="AM555" i="28"/>
  <c r="B556" i="28"/>
  <c r="C556" i="28"/>
  <c r="D556" i="28"/>
  <c r="F556" i="28"/>
  <c r="I556" i="28"/>
  <c r="L556" i="28"/>
  <c r="O556" i="28"/>
  <c r="R556" i="28"/>
  <c r="U556" i="28"/>
  <c r="X556" i="28"/>
  <c r="AA556" i="28"/>
  <c r="AM556" i="28"/>
  <c r="B557" i="28"/>
  <c r="C557" i="28"/>
  <c r="D557" i="28"/>
  <c r="F557" i="28"/>
  <c r="I557" i="28"/>
  <c r="L557" i="28"/>
  <c r="O557" i="28"/>
  <c r="R557" i="28"/>
  <c r="U557" i="28"/>
  <c r="X557" i="28"/>
  <c r="AA557" i="28"/>
  <c r="AM557" i="28"/>
  <c r="B558" i="28"/>
  <c r="C558" i="28"/>
  <c r="D558" i="28"/>
  <c r="F558" i="28"/>
  <c r="I558" i="28"/>
  <c r="L558" i="28"/>
  <c r="O558" i="28"/>
  <c r="R558" i="28"/>
  <c r="U558" i="28"/>
  <c r="X558" i="28"/>
  <c r="AA558" i="28"/>
  <c r="AM558" i="28"/>
  <c r="B559" i="28"/>
  <c r="C559" i="28"/>
  <c r="D559" i="28"/>
  <c r="F559" i="28"/>
  <c r="I559" i="28"/>
  <c r="L559" i="28"/>
  <c r="O559" i="28"/>
  <c r="R559" i="28"/>
  <c r="U559" i="28"/>
  <c r="X559" i="28"/>
  <c r="AA559" i="28"/>
  <c r="AM559" i="28"/>
  <c r="B560" i="28"/>
  <c r="C560" i="28"/>
  <c r="D560" i="28"/>
  <c r="F560" i="28"/>
  <c r="I560" i="28"/>
  <c r="L560" i="28"/>
  <c r="O560" i="28"/>
  <c r="R560" i="28"/>
  <c r="U560" i="28"/>
  <c r="X560" i="28"/>
  <c r="AA560" i="28"/>
  <c r="AM560" i="28"/>
  <c r="B561" i="28"/>
  <c r="C561" i="28"/>
  <c r="D561" i="28"/>
  <c r="F561" i="28"/>
  <c r="I561" i="28"/>
  <c r="L561" i="28"/>
  <c r="O561" i="28"/>
  <c r="R561" i="28"/>
  <c r="U561" i="28"/>
  <c r="X561" i="28"/>
  <c r="AA561" i="28"/>
  <c r="AM561" i="28"/>
  <c r="B562" i="28"/>
  <c r="C562" i="28"/>
  <c r="D562" i="28"/>
  <c r="F562" i="28"/>
  <c r="I562" i="28"/>
  <c r="L562" i="28"/>
  <c r="O562" i="28"/>
  <c r="R562" i="28"/>
  <c r="U562" i="28"/>
  <c r="X562" i="28"/>
  <c r="AA562" i="28"/>
  <c r="AM562" i="28"/>
  <c r="B563" i="28"/>
  <c r="C563" i="28"/>
  <c r="D563" i="28"/>
  <c r="F563" i="28"/>
  <c r="I563" i="28"/>
  <c r="L563" i="28"/>
  <c r="O563" i="28"/>
  <c r="R563" i="28"/>
  <c r="U563" i="28"/>
  <c r="X563" i="28"/>
  <c r="AA563" i="28"/>
  <c r="AM563" i="28"/>
  <c r="B564" i="28"/>
  <c r="C564" i="28"/>
  <c r="D564" i="28"/>
  <c r="F564" i="28"/>
  <c r="I564" i="28"/>
  <c r="L564" i="28"/>
  <c r="O564" i="28"/>
  <c r="R564" i="28"/>
  <c r="U564" i="28"/>
  <c r="X564" i="28"/>
  <c r="AA564" i="28"/>
  <c r="AM564" i="28"/>
  <c r="B565" i="28"/>
  <c r="C565" i="28"/>
  <c r="D565" i="28"/>
  <c r="F565" i="28"/>
  <c r="I565" i="28"/>
  <c r="L565" i="28"/>
  <c r="O565" i="28"/>
  <c r="R565" i="28"/>
  <c r="U565" i="28"/>
  <c r="X565" i="28"/>
  <c r="AA565" i="28"/>
  <c r="AM565" i="28"/>
  <c r="B566" i="28"/>
  <c r="C566" i="28"/>
  <c r="D566" i="28"/>
  <c r="F566" i="28"/>
  <c r="I566" i="28"/>
  <c r="L566" i="28"/>
  <c r="O566" i="28"/>
  <c r="R566" i="28"/>
  <c r="U566" i="28"/>
  <c r="X566" i="28"/>
  <c r="AA566" i="28"/>
  <c r="AM566" i="28"/>
  <c r="B567" i="28"/>
  <c r="C567" i="28"/>
  <c r="D567" i="28"/>
  <c r="F567" i="28"/>
  <c r="I567" i="28"/>
  <c r="L567" i="28"/>
  <c r="O567" i="28"/>
  <c r="R567" i="28"/>
  <c r="U567" i="28"/>
  <c r="X567" i="28"/>
  <c r="AA567" i="28"/>
  <c r="AM567" i="28"/>
  <c r="B568" i="28"/>
  <c r="C568" i="28"/>
  <c r="D568" i="28"/>
  <c r="F568" i="28"/>
  <c r="I568" i="28"/>
  <c r="L568" i="28"/>
  <c r="O568" i="28"/>
  <c r="R568" i="28"/>
  <c r="U568" i="28"/>
  <c r="X568" i="28"/>
  <c r="AA568" i="28"/>
  <c r="AM568" i="28"/>
  <c r="B569" i="28"/>
  <c r="C569" i="28"/>
  <c r="D569" i="28"/>
  <c r="F569" i="28"/>
  <c r="I569" i="28"/>
  <c r="L569" i="28"/>
  <c r="O569" i="28"/>
  <c r="R569" i="28"/>
  <c r="U569" i="28"/>
  <c r="X569" i="28"/>
  <c r="AA569" i="28"/>
  <c r="AM569" i="28"/>
  <c r="B570" i="28"/>
  <c r="C570" i="28"/>
  <c r="D570" i="28"/>
  <c r="F570" i="28"/>
  <c r="I570" i="28"/>
  <c r="L570" i="28"/>
  <c r="O570" i="28"/>
  <c r="R570" i="28"/>
  <c r="U570" i="28"/>
  <c r="X570" i="28"/>
  <c r="AA570" i="28"/>
  <c r="AM570" i="28"/>
  <c r="B571" i="28"/>
  <c r="C571" i="28"/>
  <c r="D571" i="28"/>
  <c r="F571" i="28"/>
  <c r="I571" i="28"/>
  <c r="L571" i="28"/>
  <c r="O571" i="28"/>
  <c r="R571" i="28"/>
  <c r="U571" i="28"/>
  <c r="X571" i="28"/>
  <c r="AA571" i="28"/>
  <c r="AM571" i="28"/>
  <c r="B572" i="28"/>
  <c r="C572" i="28"/>
  <c r="D572" i="28"/>
  <c r="F572" i="28"/>
  <c r="I572" i="28"/>
  <c r="L572" i="28"/>
  <c r="O572" i="28"/>
  <c r="R572" i="28"/>
  <c r="U572" i="28"/>
  <c r="X572" i="28"/>
  <c r="AA572" i="28"/>
  <c r="AM572" i="28"/>
  <c r="AM573" i="28"/>
  <c r="AM574" i="28"/>
  <c r="B575" i="28"/>
  <c r="C575" i="28"/>
  <c r="D575" i="28"/>
  <c r="F575" i="28"/>
  <c r="I575" i="28"/>
  <c r="L575" i="28"/>
  <c r="O575" i="28"/>
  <c r="R575" i="28"/>
  <c r="U575" i="28"/>
  <c r="X575" i="28"/>
  <c r="AA575" i="28"/>
  <c r="AM575" i="28"/>
  <c r="B576" i="28"/>
  <c r="C576" i="28"/>
  <c r="D576" i="28"/>
  <c r="F576" i="28"/>
  <c r="I576" i="28"/>
  <c r="L576" i="28"/>
  <c r="O576" i="28"/>
  <c r="R576" i="28"/>
  <c r="U576" i="28"/>
  <c r="X576" i="28"/>
  <c r="AA576" i="28"/>
  <c r="AJ482" i="28"/>
  <c r="AM576" i="28"/>
  <c r="AM577" i="28"/>
  <c r="AM578" i="28"/>
  <c r="B579" i="28"/>
  <c r="C579" i="28"/>
  <c r="D579" i="28"/>
  <c r="AM579" i="28"/>
  <c r="B580" i="28"/>
  <c r="C580" i="28"/>
  <c r="D580" i="28"/>
  <c r="F580" i="28"/>
  <c r="I580" i="28"/>
  <c r="L580" i="28"/>
  <c r="O580" i="28"/>
  <c r="R580" i="28"/>
  <c r="U580" i="28"/>
  <c r="X580" i="28"/>
  <c r="AA580" i="28"/>
  <c r="AM580" i="28"/>
  <c r="B581" i="28"/>
  <c r="C581" i="28"/>
  <c r="D581" i="28"/>
  <c r="AM581" i="28"/>
  <c r="B582" i="28"/>
  <c r="C582" i="28"/>
  <c r="D582" i="28"/>
  <c r="AA582" i="28"/>
  <c r="AM582" i="28"/>
  <c r="B586" i="28"/>
  <c r="C586" i="28"/>
  <c r="D586" i="28"/>
  <c r="F586" i="28"/>
  <c r="I586" i="28"/>
  <c r="L586" i="28"/>
  <c r="O586" i="28"/>
  <c r="R586" i="28"/>
  <c r="U586" i="28"/>
  <c r="X586" i="28"/>
  <c r="AA586" i="28"/>
  <c r="AM586" i="28"/>
  <c r="B587" i="28"/>
  <c r="C587" i="28"/>
  <c r="D587" i="28"/>
  <c r="F587" i="28"/>
  <c r="I587" i="28"/>
  <c r="L587" i="28"/>
  <c r="O587" i="28"/>
  <c r="R587" i="28"/>
  <c r="U587" i="28"/>
  <c r="X587" i="28"/>
  <c r="AA587" i="28"/>
  <c r="AM587" i="28"/>
  <c r="B588" i="28"/>
  <c r="C588" i="28"/>
  <c r="D588" i="28"/>
  <c r="F588" i="28"/>
  <c r="I588" i="28"/>
  <c r="L588" i="28"/>
  <c r="O588" i="28"/>
  <c r="R588" i="28"/>
  <c r="U588" i="28"/>
  <c r="X588" i="28"/>
  <c r="AA588" i="28"/>
  <c r="AL588" i="28"/>
  <c r="AM588" i="28"/>
  <c r="B589" i="28"/>
  <c r="C589" i="28"/>
  <c r="D589" i="28"/>
  <c r="F589" i="28"/>
  <c r="I589" i="28"/>
  <c r="L589" i="28"/>
  <c r="O589" i="28"/>
  <c r="R589" i="28"/>
  <c r="U589" i="28"/>
  <c r="X589" i="28"/>
  <c r="AA589" i="28"/>
  <c r="AM589" i="28"/>
  <c r="B590" i="28"/>
  <c r="C590" i="28"/>
  <c r="D590" i="28"/>
  <c r="F590" i="28"/>
  <c r="I590" i="28"/>
  <c r="L590" i="28"/>
  <c r="O590" i="28"/>
  <c r="R590" i="28"/>
  <c r="U590" i="28"/>
  <c r="X590" i="28"/>
  <c r="AA590" i="28"/>
  <c r="AM590" i="28"/>
  <c r="B591" i="28"/>
  <c r="C591" i="28"/>
  <c r="D591" i="28"/>
  <c r="F591" i="28"/>
  <c r="I591" i="28"/>
  <c r="L591" i="28"/>
  <c r="O591" i="28"/>
  <c r="R591" i="28"/>
  <c r="U591" i="28"/>
  <c r="X591" i="28"/>
  <c r="AA591" i="28"/>
  <c r="AM591" i="28"/>
  <c r="B592" i="28"/>
  <c r="C592" i="28"/>
  <c r="D592" i="28"/>
  <c r="F592" i="28"/>
  <c r="I592" i="28"/>
  <c r="L592" i="28"/>
  <c r="O592" i="28"/>
  <c r="R592" i="28"/>
  <c r="U592" i="28"/>
  <c r="X592" i="28"/>
  <c r="AA592" i="28"/>
  <c r="AM592" i="28"/>
  <c r="B593" i="28"/>
  <c r="C593" i="28"/>
  <c r="D593" i="28"/>
  <c r="F593" i="28"/>
  <c r="I593" i="28"/>
  <c r="L593" i="28"/>
  <c r="O593" i="28"/>
  <c r="R593" i="28"/>
  <c r="U593" i="28"/>
  <c r="X593" i="28"/>
  <c r="AM593" i="28"/>
  <c r="B594" i="28"/>
  <c r="C594" i="28"/>
  <c r="D594" i="28"/>
  <c r="F594" i="28"/>
  <c r="I594" i="28"/>
  <c r="L594" i="28"/>
  <c r="O594" i="28"/>
  <c r="R594" i="28"/>
  <c r="U594" i="28"/>
  <c r="X594" i="28"/>
  <c r="AM594" i="28"/>
  <c r="B595" i="28"/>
  <c r="C595" i="28"/>
  <c r="D595" i="28"/>
  <c r="F595" i="28"/>
  <c r="I595" i="28"/>
  <c r="L595" i="28"/>
  <c r="O595" i="28"/>
  <c r="R595" i="28"/>
  <c r="U595" i="28"/>
  <c r="X595" i="28"/>
  <c r="AA595" i="28"/>
  <c r="AM595" i="28"/>
  <c r="B596" i="28"/>
  <c r="C596" i="28"/>
  <c r="D596" i="28"/>
  <c r="F596" i="28"/>
  <c r="I596" i="28"/>
  <c r="L596" i="28"/>
  <c r="O596" i="28"/>
  <c r="R596" i="28"/>
  <c r="U596" i="28"/>
  <c r="X596" i="28"/>
  <c r="AA596" i="28"/>
  <c r="AM596" i="28"/>
  <c r="B597" i="28"/>
  <c r="C597" i="28"/>
  <c r="D597" i="28"/>
  <c r="F597" i="28"/>
  <c r="I597" i="28"/>
  <c r="L597" i="28"/>
  <c r="O597" i="28"/>
  <c r="R597" i="28"/>
  <c r="U597" i="28"/>
  <c r="X597" i="28"/>
  <c r="AA597" i="28"/>
  <c r="AM597" i="28"/>
  <c r="B598" i="28"/>
  <c r="C598" i="28"/>
  <c r="D598" i="28"/>
  <c r="F598" i="28"/>
  <c r="I598" i="28"/>
  <c r="L598" i="28"/>
  <c r="O598" i="28"/>
  <c r="R598" i="28"/>
  <c r="U598" i="28"/>
  <c r="X598" i="28"/>
  <c r="AA598" i="28"/>
  <c r="AM598" i="28"/>
  <c r="B599" i="28"/>
  <c r="C599" i="28"/>
  <c r="D599" i="28"/>
  <c r="F599" i="28"/>
  <c r="I599" i="28"/>
  <c r="L599" i="28"/>
  <c r="O599" i="28"/>
  <c r="R599" i="28"/>
  <c r="U599" i="28"/>
  <c r="X599" i="28"/>
  <c r="AA599" i="28"/>
  <c r="AM599" i="28"/>
  <c r="B600" i="28"/>
  <c r="C600" i="28"/>
  <c r="D600" i="28"/>
  <c r="F600" i="28"/>
  <c r="I600" i="28"/>
  <c r="L600" i="28"/>
  <c r="O600" i="28"/>
  <c r="R600" i="28"/>
  <c r="U600" i="28"/>
  <c r="X600" i="28"/>
  <c r="AA600" i="28"/>
  <c r="AM600" i="28"/>
  <c r="B601" i="28"/>
  <c r="C601" i="28"/>
  <c r="D601" i="28"/>
  <c r="F601" i="28"/>
  <c r="I601" i="28"/>
  <c r="L601" i="28"/>
  <c r="O601" i="28"/>
  <c r="R601" i="28"/>
  <c r="U601" i="28"/>
  <c r="X601" i="28"/>
  <c r="AA601" i="28"/>
  <c r="AM601" i="28"/>
  <c r="B602" i="28"/>
  <c r="C602" i="28"/>
  <c r="D602" i="28"/>
  <c r="F602" i="28"/>
  <c r="I602" i="28"/>
  <c r="L602" i="28"/>
  <c r="O602" i="28"/>
  <c r="R602" i="28"/>
  <c r="U602" i="28"/>
  <c r="X602" i="28"/>
  <c r="AA602" i="28"/>
  <c r="AM602" i="28"/>
  <c r="B603" i="28"/>
  <c r="C603" i="28"/>
  <c r="D603" i="28"/>
  <c r="F603" i="28"/>
  <c r="I603" i="28"/>
  <c r="L603" i="28"/>
  <c r="O603" i="28"/>
  <c r="R603" i="28"/>
  <c r="U603" i="28"/>
  <c r="X603" i="28"/>
  <c r="AA603" i="28"/>
  <c r="AM603" i="28"/>
  <c r="B604" i="28"/>
  <c r="C604" i="28"/>
  <c r="D604" i="28"/>
  <c r="F604" i="28"/>
  <c r="I604" i="28"/>
  <c r="L604" i="28"/>
  <c r="O604" i="28"/>
  <c r="R604" i="28"/>
  <c r="U604" i="28"/>
  <c r="X604" i="28"/>
  <c r="AA604" i="28"/>
  <c r="AM604" i="28"/>
  <c r="B605" i="28"/>
  <c r="C605" i="28"/>
  <c r="D605" i="28"/>
  <c r="AA605" i="28"/>
  <c r="AM605" i="28"/>
  <c r="B606" i="28"/>
  <c r="C606" i="28"/>
  <c r="D606" i="28"/>
  <c r="AA606" i="28"/>
  <c r="AM606" i="28"/>
  <c r="B607" i="28"/>
  <c r="C607" i="28"/>
  <c r="D607" i="28"/>
  <c r="AA607" i="28"/>
  <c r="AM607" i="28"/>
  <c r="B614" i="28"/>
  <c r="C614" i="28"/>
  <c r="D614" i="28"/>
  <c r="F614" i="28"/>
  <c r="I614" i="28"/>
  <c r="L614" i="28"/>
  <c r="O614" i="28"/>
  <c r="R614" i="28"/>
  <c r="U614" i="28"/>
  <c r="X614" i="28"/>
  <c r="AA614" i="28"/>
  <c r="AM614" i="28"/>
  <c r="B615" i="28"/>
  <c r="C615" i="28"/>
  <c r="D615" i="28"/>
  <c r="F615" i="28"/>
  <c r="I615" i="28"/>
  <c r="L615" i="28"/>
  <c r="O615" i="28"/>
  <c r="R615" i="28"/>
  <c r="U615" i="28"/>
  <c r="X615" i="28"/>
  <c r="AA615" i="28"/>
  <c r="AM615" i="28"/>
  <c r="B616" i="28"/>
  <c r="C616" i="28"/>
  <c r="D616" i="28"/>
  <c r="F616" i="28"/>
  <c r="I616" i="28"/>
  <c r="L616" i="28"/>
  <c r="O616" i="28"/>
  <c r="R616" i="28"/>
  <c r="U616" i="28"/>
  <c r="X616" i="28"/>
  <c r="AA616" i="28"/>
  <c r="AM616" i="28"/>
  <c r="B617" i="28"/>
  <c r="C617" i="28"/>
  <c r="D617" i="28"/>
  <c r="F617" i="28"/>
  <c r="I617" i="28"/>
  <c r="L617" i="28"/>
  <c r="O617" i="28"/>
  <c r="R617" i="28"/>
  <c r="U617" i="28"/>
  <c r="X617" i="28"/>
  <c r="AA617" i="28"/>
  <c r="AM617" i="28"/>
  <c r="B618" i="28"/>
  <c r="C618" i="28"/>
  <c r="D618" i="28"/>
  <c r="F618" i="28"/>
  <c r="I618" i="28"/>
  <c r="L618" i="28"/>
  <c r="O618" i="28"/>
  <c r="R618" i="28"/>
  <c r="U618" i="28"/>
  <c r="X618" i="28"/>
  <c r="AA618" i="28"/>
  <c r="AM618" i="28"/>
  <c r="B619" i="28"/>
  <c r="C619" i="28"/>
  <c r="D619" i="28"/>
  <c r="F619" i="28"/>
  <c r="I619" i="28"/>
  <c r="L619" i="28"/>
  <c r="O619" i="28"/>
  <c r="R619" i="28"/>
  <c r="U619" i="28"/>
  <c r="X619" i="28"/>
  <c r="AA619" i="28"/>
  <c r="AM619" i="28"/>
  <c r="B620" i="28"/>
  <c r="C620" i="28"/>
  <c r="D620" i="28"/>
  <c r="F620" i="28"/>
  <c r="I620" i="28"/>
  <c r="L620" i="28"/>
  <c r="O620" i="28"/>
  <c r="R620" i="28"/>
  <c r="U620" i="28"/>
  <c r="X620" i="28"/>
  <c r="AA620" i="28"/>
  <c r="AM620" i="28"/>
  <c r="B621" i="28"/>
  <c r="C621" i="28"/>
  <c r="D621" i="28"/>
  <c r="AA621" i="28"/>
  <c r="AM621" i="28"/>
  <c r="B622" i="28"/>
  <c r="C622" i="28"/>
  <c r="D622" i="28"/>
  <c r="F622" i="28"/>
  <c r="I622" i="28"/>
  <c r="L622" i="28"/>
  <c r="O622" i="28"/>
  <c r="R622" i="28"/>
  <c r="U622" i="28"/>
  <c r="X622" i="28"/>
  <c r="AA622" i="28"/>
  <c r="AM622" i="28"/>
  <c r="B623" i="28"/>
  <c r="C623" i="28"/>
  <c r="D623" i="28"/>
  <c r="F623" i="28"/>
  <c r="I623" i="28"/>
  <c r="L623" i="28"/>
  <c r="O623" i="28"/>
  <c r="R623" i="28"/>
  <c r="U623" i="28"/>
  <c r="X623" i="28"/>
  <c r="AA623" i="28"/>
  <c r="AM623" i="28"/>
  <c r="B624" i="28"/>
  <c r="C624" i="28"/>
  <c r="D624" i="28"/>
  <c r="F624" i="28"/>
  <c r="I624" i="28"/>
  <c r="L624" i="28"/>
  <c r="O624" i="28"/>
  <c r="R624" i="28"/>
  <c r="U624" i="28"/>
  <c r="X624" i="28"/>
  <c r="AA624" i="28"/>
  <c r="AM624" i="28"/>
  <c r="B625" i="28"/>
  <c r="C625" i="28"/>
  <c r="D625" i="28"/>
  <c r="F625" i="28"/>
  <c r="I625" i="28"/>
  <c r="L625" i="28"/>
  <c r="O625" i="28"/>
  <c r="R625" i="28"/>
  <c r="U625" i="28"/>
  <c r="X625" i="28"/>
  <c r="AA625" i="28"/>
  <c r="AM625" i="28"/>
  <c r="AM626" i="28"/>
  <c r="B627" i="28"/>
  <c r="C627" i="28"/>
  <c r="D627" i="28"/>
  <c r="F627" i="28"/>
  <c r="I627" i="28"/>
  <c r="L627" i="28"/>
  <c r="O627" i="28"/>
  <c r="R627" i="28"/>
  <c r="U627" i="28"/>
  <c r="X627" i="28"/>
  <c r="AA627" i="28"/>
  <c r="AM627" i="28"/>
  <c r="B628" i="28"/>
  <c r="C628" i="28"/>
  <c r="D628" i="28"/>
  <c r="F628" i="28"/>
  <c r="I628" i="28"/>
  <c r="L628" i="28"/>
  <c r="O628" i="28"/>
  <c r="R628" i="28"/>
  <c r="U628" i="28"/>
  <c r="X628" i="28"/>
  <c r="AA628" i="28"/>
  <c r="AM628" i="28"/>
  <c r="B629" i="28"/>
  <c r="C629" i="28"/>
  <c r="D629" i="28"/>
  <c r="F629" i="28"/>
  <c r="I629" i="28"/>
  <c r="L629" i="28"/>
  <c r="O629" i="28"/>
  <c r="R629" i="28"/>
  <c r="U629" i="28"/>
  <c r="X629" i="28"/>
  <c r="AA629" i="28"/>
  <c r="AM629" i="28"/>
  <c r="B630" i="28"/>
  <c r="C630" i="28"/>
  <c r="D630" i="28"/>
  <c r="F630" i="28"/>
  <c r="I630" i="28"/>
  <c r="L630" i="28"/>
  <c r="O630" i="28"/>
  <c r="R630" i="28"/>
  <c r="U630" i="28"/>
  <c r="X630" i="28"/>
  <c r="AA630" i="28"/>
  <c r="AM630" i="28"/>
  <c r="B631" i="28"/>
  <c r="C631" i="28"/>
  <c r="D631" i="28"/>
  <c r="F631" i="28"/>
  <c r="I631" i="28"/>
  <c r="L631" i="28"/>
  <c r="O631" i="28"/>
  <c r="R631" i="28"/>
  <c r="U631" i="28"/>
  <c r="X631" i="28"/>
  <c r="AA631" i="28"/>
  <c r="AM631" i="28"/>
  <c r="B632" i="28"/>
  <c r="C632" i="28"/>
  <c r="D632" i="28"/>
  <c r="AA632" i="28"/>
  <c r="AM632" i="28"/>
  <c r="B633" i="28"/>
  <c r="C633" i="28"/>
  <c r="D633" i="28"/>
  <c r="AA633" i="28"/>
  <c r="AM633" i="28"/>
  <c r="B634" i="28"/>
  <c r="C634" i="28"/>
  <c r="D634" i="28"/>
  <c r="AM634" i="28"/>
  <c r="B635" i="28"/>
  <c r="C635" i="28"/>
  <c r="D635" i="28"/>
  <c r="AM635" i="28"/>
  <c r="B636" i="28"/>
  <c r="C636" i="28"/>
  <c r="D636" i="28"/>
  <c r="AM636" i="28"/>
  <c r="B637" i="28"/>
  <c r="C637" i="28"/>
  <c r="D637" i="28"/>
  <c r="AA637" i="28"/>
  <c r="AG637" i="28"/>
  <c r="AM637" i="28"/>
  <c r="B638" i="28"/>
  <c r="C638" i="28"/>
  <c r="D638" i="28"/>
  <c r="AA638" i="28"/>
  <c r="AM638" i="28"/>
  <c r="B639" i="28"/>
  <c r="C639" i="28"/>
  <c r="D639" i="28"/>
  <c r="AA639" i="28"/>
  <c r="AM639" i="28"/>
  <c r="B640" i="28"/>
  <c r="C640" i="28"/>
  <c r="D640" i="28"/>
  <c r="F640" i="28"/>
  <c r="I640" i="28"/>
  <c r="L640" i="28"/>
  <c r="O640" i="28"/>
  <c r="R640" i="28"/>
  <c r="U640" i="28"/>
  <c r="X640" i="28"/>
  <c r="AA640" i="28"/>
  <c r="AM640" i="28"/>
  <c r="B641" i="28"/>
  <c r="C641" i="28"/>
  <c r="D641" i="28"/>
  <c r="AA641" i="28"/>
  <c r="AG641" i="28"/>
  <c r="AM641" i="28"/>
  <c r="B642" i="28"/>
  <c r="C642" i="28"/>
  <c r="D642" i="28"/>
  <c r="AM642" i="28"/>
  <c r="B643" i="28"/>
  <c r="C643" i="28"/>
  <c r="D643" i="28"/>
  <c r="AM643" i="28"/>
  <c r="B644" i="28"/>
  <c r="C644" i="28"/>
  <c r="D644" i="28"/>
  <c r="AM644" i="28"/>
  <c r="B650" i="28"/>
  <c r="C650" i="28"/>
  <c r="D650" i="28"/>
  <c r="F650" i="28"/>
  <c r="I650" i="28"/>
  <c r="L650" i="28"/>
  <c r="O650" i="28"/>
  <c r="R650" i="28"/>
  <c r="U650" i="28"/>
  <c r="X650" i="28"/>
  <c r="AA650" i="28"/>
  <c r="AM650" i="28"/>
  <c r="B651" i="28"/>
  <c r="C651" i="28"/>
  <c r="D651" i="28"/>
  <c r="F651" i="28"/>
  <c r="I651" i="28"/>
  <c r="L651" i="28"/>
  <c r="O651" i="28"/>
  <c r="R651" i="28"/>
  <c r="U651" i="28"/>
  <c r="X651" i="28"/>
  <c r="AA651" i="28"/>
  <c r="AM651" i="28"/>
  <c r="B652" i="28"/>
  <c r="C652" i="28"/>
  <c r="D652" i="28"/>
  <c r="AA652" i="28"/>
  <c r="AM652" i="28"/>
  <c r="B653" i="28"/>
  <c r="C653" i="28"/>
  <c r="D653" i="28"/>
  <c r="AA653" i="28"/>
  <c r="AM653" i="28"/>
  <c r="B654" i="28"/>
  <c r="C654" i="28"/>
  <c r="D654" i="28"/>
  <c r="AA654" i="28"/>
  <c r="AM654" i="28"/>
  <c r="B655" i="28"/>
  <c r="C655" i="28"/>
  <c r="D655" i="28"/>
  <c r="AA655" i="28"/>
  <c r="AM655" i="28"/>
  <c r="B656" i="28"/>
  <c r="C656" i="28"/>
  <c r="D656" i="28"/>
  <c r="AA656" i="28"/>
  <c r="AM656" i="28"/>
  <c r="B657" i="28"/>
  <c r="C657" i="28"/>
  <c r="D657" i="28"/>
  <c r="AA657" i="28"/>
  <c r="AM657" i="28"/>
  <c r="B658" i="28"/>
  <c r="C658" i="28"/>
  <c r="D658" i="28"/>
  <c r="AA658" i="28"/>
  <c r="AM658" i="28"/>
  <c r="B659" i="28"/>
  <c r="C659" i="28"/>
  <c r="D659" i="28"/>
  <c r="AA659" i="28"/>
  <c r="AM659" i="28"/>
  <c r="B660" i="28"/>
  <c r="C660" i="28"/>
  <c r="D660" i="28"/>
  <c r="AA660" i="28"/>
  <c r="AM660" i="28"/>
  <c r="B661" i="28"/>
  <c r="C661" i="28"/>
  <c r="D661" i="28"/>
  <c r="F661" i="28"/>
  <c r="I661" i="28"/>
  <c r="L661" i="28"/>
  <c r="O661" i="28"/>
  <c r="R661" i="28"/>
  <c r="U661" i="28"/>
  <c r="X661" i="28"/>
  <c r="AA661" i="28"/>
  <c r="AM661" i="28"/>
  <c r="B662" i="28"/>
  <c r="C662" i="28"/>
  <c r="D662" i="28"/>
  <c r="F662" i="28"/>
  <c r="I662" i="28"/>
  <c r="L662" i="28"/>
  <c r="O662" i="28"/>
  <c r="R662" i="28"/>
  <c r="U662" i="28"/>
  <c r="X662" i="28"/>
  <c r="AA662" i="28"/>
  <c r="AM662" i="28"/>
  <c r="B663" i="28"/>
  <c r="C663" i="28"/>
  <c r="D663" i="28"/>
  <c r="F663" i="28"/>
  <c r="I663" i="28"/>
  <c r="L663" i="28"/>
  <c r="O663" i="28"/>
  <c r="R663" i="28"/>
  <c r="U663" i="28"/>
  <c r="X663" i="28"/>
  <c r="AA663" i="28"/>
  <c r="AM663" i="28"/>
  <c r="B664" i="28"/>
  <c r="C664" i="28"/>
  <c r="D664" i="28"/>
  <c r="F664" i="28"/>
  <c r="I664" i="28"/>
  <c r="L664" i="28"/>
  <c r="O664" i="28"/>
  <c r="R664" i="28"/>
  <c r="U664" i="28"/>
  <c r="X664" i="28"/>
  <c r="AA664" i="28"/>
  <c r="AM664" i="28"/>
  <c r="B665" i="28"/>
  <c r="C665" i="28"/>
  <c r="D665" i="28"/>
  <c r="F665" i="28"/>
  <c r="I665" i="28"/>
  <c r="L665" i="28"/>
  <c r="O665" i="28"/>
  <c r="R665" i="28"/>
  <c r="U665" i="28"/>
  <c r="X665" i="28"/>
  <c r="AA665" i="28"/>
  <c r="AM665" i="28"/>
  <c r="B666" i="28"/>
  <c r="C666" i="28"/>
  <c r="D666" i="28"/>
  <c r="F666" i="28"/>
  <c r="I666" i="28"/>
  <c r="L666" i="28"/>
  <c r="O666" i="28"/>
  <c r="R666" i="28"/>
  <c r="U666" i="28"/>
  <c r="X666" i="28"/>
  <c r="AA666" i="28"/>
  <c r="AM666" i="28"/>
  <c r="B667" i="28"/>
  <c r="C667" i="28"/>
  <c r="D667" i="28"/>
  <c r="F667" i="28"/>
  <c r="I667" i="28"/>
  <c r="L667" i="28"/>
  <c r="O667" i="28"/>
  <c r="R667" i="28"/>
  <c r="U667" i="28"/>
  <c r="X667" i="28"/>
  <c r="AA667" i="28"/>
  <c r="AM667" i="28"/>
  <c r="B668" i="28"/>
  <c r="C668" i="28"/>
  <c r="D668" i="28"/>
  <c r="F668" i="28"/>
  <c r="I668" i="28"/>
  <c r="L668" i="28"/>
  <c r="O668" i="28"/>
  <c r="R668" i="28"/>
  <c r="U668" i="28"/>
  <c r="X668" i="28"/>
  <c r="AA668" i="28"/>
  <c r="AM668" i="28"/>
  <c r="B669" i="28"/>
  <c r="C669" i="28"/>
  <c r="D669" i="28"/>
  <c r="F669" i="28"/>
  <c r="I669" i="28"/>
  <c r="L669" i="28"/>
  <c r="O669" i="28"/>
  <c r="R669" i="28"/>
  <c r="U669" i="28"/>
  <c r="X669" i="28"/>
  <c r="AA669" i="28"/>
  <c r="AM669" i="28"/>
  <c r="B670" i="28"/>
  <c r="C670" i="28"/>
  <c r="D670" i="28"/>
  <c r="F670" i="28"/>
  <c r="I670" i="28"/>
  <c r="L670" i="28"/>
  <c r="O670" i="28"/>
  <c r="R670" i="28"/>
  <c r="U670" i="28"/>
  <c r="X670" i="28"/>
  <c r="AA670" i="28"/>
  <c r="AM670" i="28"/>
  <c r="B671" i="28"/>
  <c r="C671" i="28"/>
  <c r="D671" i="28"/>
  <c r="F671" i="28"/>
  <c r="I671" i="28"/>
  <c r="L671" i="28"/>
  <c r="O671" i="28"/>
  <c r="R671" i="28"/>
  <c r="U671" i="28"/>
  <c r="X671" i="28"/>
  <c r="AA671" i="28"/>
  <c r="AM671" i="28"/>
  <c r="B672" i="28"/>
  <c r="C672" i="28"/>
  <c r="D672" i="28"/>
  <c r="F672" i="28"/>
  <c r="I672" i="28"/>
  <c r="L672" i="28"/>
  <c r="O672" i="28"/>
  <c r="R672" i="28"/>
  <c r="U672" i="28"/>
  <c r="X672" i="28"/>
  <c r="AA672" i="28"/>
  <c r="AM672" i="28"/>
  <c r="B673" i="28"/>
  <c r="C673" i="28"/>
  <c r="D673" i="28"/>
  <c r="F673" i="28"/>
  <c r="I673" i="28"/>
  <c r="L673" i="28"/>
  <c r="O673" i="28"/>
  <c r="R673" i="28"/>
  <c r="U673" i="28"/>
  <c r="X673" i="28"/>
  <c r="AA673" i="28"/>
  <c r="AM673" i="28"/>
  <c r="B674" i="28"/>
  <c r="C674" i="28"/>
  <c r="D674" i="28"/>
  <c r="F674" i="28"/>
  <c r="I674" i="28"/>
  <c r="L674" i="28"/>
  <c r="O674" i="28"/>
  <c r="R674" i="28"/>
  <c r="U674" i="28"/>
  <c r="X674" i="28"/>
  <c r="AA674" i="28"/>
  <c r="AM674" i="28"/>
  <c r="B675" i="28"/>
  <c r="C675" i="28"/>
  <c r="D675" i="28"/>
  <c r="F675" i="28"/>
  <c r="I675" i="28"/>
  <c r="L675" i="28"/>
  <c r="O675" i="28"/>
  <c r="R675" i="28"/>
  <c r="U675" i="28"/>
  <c r="X675" i="28"/>
  <c r="AA675" i="28"/>
  <c r="AM675" i="28"/>
  <c r="B676" i="28"/>
  <c r="C676" i="28"/>
  <c r="D676" i="28"/>
  <c r="F676" i="28"/>
  <c r="I676" i="28"/>
  <c r="L676" i="28"/>
  <c r="O676" i="28"/>
  <c r="R676" i="28"/>
  <c r="U676" i="28"/>
  <c r="X676" i="28"/>
  <c r="AA676" i="28"/>
  <c r="AM676" i="28"/>
  <c r="B677" i="28"/>
  <c r="C677" i="28"/>
  <c r="D677" i="28"/>
  <c r="F677" i="28"/>
  <c r="I677" i="28"/>
  <c r="L677" i="28"/>
  <c r="O677" i="28"/>
  <c r="R677" i="28"/>
  <c r="U677" i="28"/>
  <c r="X677" i="28"/>
  <c r="AA677" i="28"/>
  <c r="AM677" i="28"/>
  <c r="B678" i="28"/>
  <c r="C678" i="28"/>
  <c r="D678" i="28"/>
  <c r="F678" i="28"/>
  <c r="I678" i="28"/>
  <c r="L678" i="28"/>
  <c r="O678" i="28"/>
  <c r="R678" i="28"/>
  <c r="U678" i="28"/>
  <c r="X678" i="28"/>
  <c r="AA678" i="28"/>
  <c r="AG678" i="28"/>
  <c r="AM678" i="28"/>
  <c r="B679" i="28"/>
  <c r="C679" i="28"/>
  <c r="D679" i="28"/>
  <c r="F679" i="28"/>
  <c r="I679" i="28"/>
  <c r="L679" i="28"/>
  <c r="O679" i="28"/>
  <c r="R679" i="28"/>
  <c r="U679" i="28"/>
  <c r="X679" i="28"/>
  <c r="AA679" i="28"/>
  <c r="AM679" i="28"/>
  <c r="B680" i="28"/>
  <c r="C680" i="28"/>
  <c r="D680" i="28"/>
  <c r="F680" i="28"/>
  <c r="I680" i="28"/>
  <c r="L680" i="28"/>
  <c r="O680" i="28"/>
  <c r="R680" i="28"/>
  <c r="U680" i="28"/>
  <c r="X680" i="28"/>
  <c r="AA680" i="28"/>
  <c r="AM680" i="28"/>
  <c r="B681" i="28"/>
  <c r="C681" i="28"/>
  <c r="D681" i="28"/>
  <c r="F681" i="28"/>
  <c r="I681" i="28"/>
  <c r="L681" i="28"/>
  <c r="O681" i="28"/>
  <c r="R681" i="28"/>
  <c r="U681" i="28"/>
  <c r="X681" i="28"/>
  <c r="AA681" i="28"/>
  <c r="AM681" i="28"/>
  <c r="B682" i="28"/>
  <c r="C682" i="28"/>
  <c r="D682" i="28"/>
  <c r="F682" i="28"/>
  <c r="I682" i="28"/>
  <c r="L682" i="28"/>
  <c r="O682" i="28"/>
  <c r="R682" i="28"/>
  <c r="U682" i="28"/>
  <c r="X682" i="28"/>
  <c r="AA682" i="28"/>
  <c r="AM682" i="28"/>
  <c r="B683" i="28"/>
  <c r="C683" i="28"/>
  <c r="D683" i="28"/>
  <c r="F683" i="28"/>
  <c r="I683" i="28"/>
  <c r="L683" i="28"/>
  <c r="O683" i="28"/>
  <c r="R683" i="28"/>
  <c r="U683" i="28"/>
  <c r="X683" i="28"/>
  <c r="AA683" i="28"/>
  <c r="AM683" i="28"/>
  <c r="B684" i="28"/>
  <c r="C684" i="28"/>
  <c r="D684" i="28"/>
  <c r="F684" i="28"/>
  <c r="I684" i="28"/>
  <c r="L684" i="28"/>
  <c r="O684" i="28"/>
  <c r="R684" i="28"/>
  <c r="U684" i="28"/>
  <c r="X684" i="28"/>
  <c r="AA684" i="28"/>
  <c r="AM684" i="28"/>
  <c r="B685" i="28"/>
  <c r="C685" i="28"/>
  <c r="D685" i="28"/>
  <c r="F685" i="28"/>
  <c r="I685" i="28"/>
  <c r="L685" i="28"/>
  <c r="O685" i="28"/>
  <c r="R685" i="28"/>
  <c r="U685" i="28"/>
  <c r="X685" i="28"/>
  <c r="AA685" i="28"/>
  <c r="AM685" i="28"/>
  <c r="B686" i="28"/>
  <c r="C686" i="28"/>
  <c r="D686" i="28"/>
  <c r="F686" i="28"/>
  <c r="I686" i="28"/>
  <c r="L686" i="28"/>
  <c r="O686" i="28"/>
  <c r="R686" i="28"/>
  <c r="U686" i="28"/>
  <c r="X686" i="28"/>
  <c r="AA686" i="28"/>
  <c r="AM686" i="28"/>
  <c r="B687" i="28"/>
  <c r="C687" i="28"/>
  <c r="D687" i="28"/>
  <c r="F687" i="28"/>
  <c r="I687" i="28"/>
  <c r="L687" i="28"/>
  <c r="O687" i="28"/>
  <c r="R687" i="28"/>
  <c r="U687" i="28"/>
  <c r="X687" i="28"/>
  <c r="AA687" i="28"/>
  <c r="AM687" i="28"/>
  <c r="B688" i="28"/>
  <c r="C688" i="28"/>
  <c r="D688" i="28"/>
  <c r="F688" i="28"/>
  <c r="I688" i="28"/>
  <c r="L688" i="28"/>
  <c r="O688" i="28"/>
  <c r="R688" i="28"/>
  <c r="U688" i="28"/>
  <c r="X688" i="28"/>
  <c r="AA688" i="28"/>
  <c r="AM688" i="28"/>
  <c r="B689" i="28"/>
  <c r="C689" i="28"/>
  <c r="D689" i="28"/>
  <c r="F689" i="28"/>
  <c r="I689" i="28"/>
  <c r="L689" i="28"/>
  <c r="O689" i="28"/>
  <c r="R689" i="28"/>
  <c r="U689" i="28"/>
  <c r="X689" i="28"/>
  <c r="AA689" i="28"/>
  <c r="AM689" i="28"/>
  <c r="B690" i="28"/>
  <c r="C690" i="28"/>
  <c r="D690" i="28"/>
  <c r="F690" i="28"/>
  <c r="I690" i="28"/>
  <c r="L690" i="28"/>
  <c r="O690" i="28"/>
  <c r="R690" i="28"/>
  <c r="U690" i="28"/>
  <c r="X690" i="28"/>
  <c r="AA690" i="28"/>
  <c r="AK690" i="28"/>
  <c r="AM690" i="28"/>
  <c r="B691" i="28"/>
  <c r="C691" i="28"/>
  <c r="D691" i="28"/>
  <c r="F691" i="28"/>
  <c r="I691" i="28"/>
  <c r="L691" i="28"/>
  <c r="O691" i="28"/>
  <c r="R691" i="28"/>
  <c r="U691" i="28"/>
  <c r="X691" i="28"/>
  <c r="AA691" i="28"/>
  <c r="AM691" i="28"/>
  <c r="B692" i="28"/>
  <c r="C692" i="28"/>
  <c r="D692" i="28"/>
  <c r="F692" i="28"/>
  <c r="I692" i="28"/>
  <c r="L692" i="28"/>
  <c r="O692" i="28"/>
  <c r="R692" i="28"/>
  <c r="U692" i="28"/>
  <c r="X692" i="28"/>
  <c r="AA692" i="28"/>
  <c r="AM692" i="28"/>
  <c r="B693" i="28"/>
  <c r="C693" i="28"/>
  <c r="D693" i="28"/>
  <c r="F693" i="28"/>
  <c r="I693" i="28"/>
  <c r="L693" i="28"/>
  <c r="O693" i="28"/>
  <c r="R693" i="28"/>
  <c r="U693" i="28"/>
  <c r="X693" i="28"/>
  <c r="AA693" i="28"/>
  <c r="AM693" i="28"/>
  <c r="B694" i="28"/>
  <c r="C694" i="28"/>
  <c r="D694" i="28"/>
  <c r="F694" i="28"/>
  <c r="I694" i="28"/>
  <c r="L694" i="28"/>
  <c r="O694" i="28"/>
  <c r="R694" i="28"/>
  <c r="U694" i="28"/>
  <c r="X694" i="28"/>
  <c r="AA694" i="28"/>
  <c r="AM694" i="28"/>
  <c r="B695" i="28"/>
  <c r="C695" i="28"/>
  <c r="D695" i="28"/>
  <c r="F695" i="28"/>
  <c r="I695" i="28"/>
  <c r="L695" i="28"/>
  <c r="O695" i="28"/>
  <c r="R695" i="28"/>
  <c r="U695" i="28"/>
  <c r="X695" i="28"/>
  <c r="AA695" i="28"/>
  <c r="AM695" i="28"/>
  <c r="B696" i="28"/>
  <c r="C696" i="28"/>
  <c r="D696" i="28"/>
  <c r="F696" i="28"/>
  <c r="I696" i="28"/>
  <c r="L696" i="28"/>
  <c r="O696" i="28"/>
  <c r="R696" i="28"/>
  <c r="U696" i="28"/>
  <c r="X696" i="28"/>
  <c r="AA696" i="28"/>
  <c r="AM696" i="28"/>
  <c r="B697" i="28"/>
  <c r="C697" i="28"/>
  <c r="D697" i="28"/>
  <c r="F697" i="28"/>
  <c r="I697" i="28"/>
  <c r="L697" i="28"/>
  <c r="O697" i="28"/>
  <c r="R697" i="28"/>
  <c r="U697" i="28"/>
  <c r="X697" i="28"/>
  <c r="AA697" i="28"/>
  <c r="AM697" i="28"/>
  <c r="B698" i="28"/>
  <c r="C698" i="28"/>
  <c r="D698" i="28"/>
  <c r="F698" i="28"/>
  <c r="I698" i="28"/>
  <c r="L698" i="28"/>
  <c r="O698" i="28"/>
  <c r="R698" i="28"/>
  <c r="U698" i="28"/>
  <c r="X698" i="28"/>
  <c r="AA698" i="28"/>
  <c r="AM698" i="28"/>
  <c r="B699" i="28"/>
  <c r="C699" i="28"/>
  <c r="D699" i="28"/>
  <c r="F699" i="28"/>
  <c r="I699" i="28"/>
  <c r="L699" i="28"/>
  <c r="O699" i="28"/>
  <c r="R699" i="28"/>
  <c r="U699" i="28"/>
  <c r="X699" i="28"/>
  <c r="AA699" i="28"/>
  <c r="AM699" i="28"/>
  <c r="B700" i="28"/>
  <c r="C700" i="28"/>
  <c r="D700" i="28"/>
  <c r="F700" i="28"/>
  <c r="I700" i="28"/>
  <c r="L700" i="28"/>
  <c r="O700" i="28"/>
  <c r="R700" i="28"/>
  <c r="U700" i="28"/>
  <c r="X700" i="28"/>
  <c r="AA700" i="28"/>
  <c r="AM700" i="28"/>
  <c r="B701" i="28"/>
  <c r="C701" i="28"/>
  <c r="D701" i="28"/>
  <c r="F701" i="28"/>
  <c r="I701" i="28"/>
  <c r="L701" i="28"/>
  <c r="O701" i="28"/>
  <c r="R701" i="28"/>
  <c r="U701" i="28"/>
  <c r="X701" i="28"/>
  <c r="AA701" i="28"/>
  <c r="AM701" i="28"/>
  <c r="B702" i="28"/>
  <c r="C702" i="28"/>
  <c r="D702" i="28"/>
  <c r="F702" i="28"/>
  <c r="I702" i="28"/>
  <c r="L702" i="28"/>
  <c r="O702" i="28"/>
  <c r="R702" i="28"/>
  <c r="U702" i="28"/>
  <c r="X702" i="28"/>
  <c r="AA702" i="28"/>
  <c r="AM702" i="28"/>
  <c r="B703" i="28"/>
  <c r="C703" i="28"/>
  <c r="D703" i="28"/>
  <c r="F703" i="28"/>
  <c r="I703" i="28"/>
  <c r="L703" i="28"/>
  <c r="O703" i="28"/>
  <c r="R703" i="28"/>
  <c r="U703" i="28"/>
  <c r="X703" i="28"/>
  <c r="AA703" i="28"/>
  <c r="AM703" i="28"/>
  <c r="B704" i="28"/>
  <c r="C704" i="28"/>
  <c r="D704" i="28"/>
  <c r="F704" i="28"/>
  <c r="I704" i="28"/>
  <c r="L704" i="28"/>
  <c r="O704" i="28"/>
  <c r="R704" i="28"/>
  <c r="U704" i="28"/>
  <c r="X704" i="28"/>
  <c r="AA704" i="28"/>
  <c r="AM704" i="28"/>
  <c r="B705" i="28"/>
  <c r="C705" i="28"/>
  <c r="D705" i="28"/>
  <c r="F705" i="28"/>
  <c r="I705" i="28"/>
  <c r="L705" i="28"/>
  <c r="O705" i="28"/>
  <c r="R705" i="28"/>
  <c r="U705" i="28"/>
  <c r="X705" i="28"/>
  <c r="AA705" i="28"/>
  <c r="AM705" i="28"/>
  <c r="B706" i="28"/>
  <c r="C706" i="28"/>
  <c r="D706" i="28"/>
  <c r="F706" i="28"/>
  <c r="I706" i="28"/>
  <c r="L706" i="28"/>
  <c r="O706" i="28"/>
  <c r="R706" i="28"/>
  <c r="U706" i="28"/>
  <c r="X706" i="28"/>
  <c r="AA706" i="28"/>
  <c r="AM706" i="28"/>
  <c r="B707" i="28"/>
  <c r="C707" i="28"/>
  <c r="D707" i="28"/>
  <c r="F707" i="28"/>
  <c r="I707" i="28"/>
  <c r="L707" i="28"/>
  <c r="O707" i="28"/>
  <c r="R707" i="28"/>
  <c r="U707" i="28"/>
  <c r="X707" i="28"/>
  <c r="AA707" i="28"/>
  <c r="AM707" i="28"/>
  <c r="B708" i="28"/>
  <c r="C708" i="28"/>
  <c r="D708" i="28"/>
  <c r="F708" i="28"/>
  <c r="I708" i="28"/>
  <c r="L708" i="28"/>
  <c r="O708" i="28"/>
  <c r="R708" i="28"/>
  <c r="U708" i="28"/>
  <c r="X708" i="28"/>
  <c r="AA708" i="28"/>
  <c r="AM708" i="28"/>
  <c r="B709" i="28"/>
  <c r="C709" i="28"/>
  <c r="D709" i="28"/>
  <c r="F709" i="28"/>
  <c r="I709" i="28"/>
  <c r="L709" i="28"/>
  <c r="O709" i="28"/>
  <c r="R709" i="28"/>
  <c r="U709" i="28"/>
  <c r="X709" i="28"/>
  <c r="AA709" i="28"/>
  <c r="AM709" i="28"/>
  <c r="B710" i="28"/>
  <c r="C710" i="28"/>
  <c r="D710" i="28"/>
  <c r="F710" i="28"/>
  <c r="I710" i="28"/>
  <c r="L710" i="28"/>
  <c r="O710" i="28"/>
  <c r="R710" i="28"/>
  <c r="U710" i="28"/>
  <c r="X710" i="28"/>
  <c r="AA710" i="28"/>
  <c r="AM710" i="28"/>
  <c r="B711" i="28"/>
  <c r="C711" i="28"/>
  <c r="D711" i="28"/>
  <c r="F711" i="28"/>
  <c r="I711" i="28"/>
  <c r="L711" i="28"/>
  <c r="O711" i="28"/>
  <c r="R711" i="28"/>
  <c r="U711" i="28"/>
  <c r="X711" i="28"/>
  <c r="AA711" i="28"/>
  <c r="AM711" i="28"/>
  <c r="B712" i="28"/>
  <c r="C712" i="28"/>
  <c r="D712" i="28"/>
  <c r="F712" i="28"/>
  <c r="I712" i="28"/>
  <c r="L712" i="28"/>
  <c r="O712" i="28"/>
  <c r="R712" i="28"/>
  <c r="U712" i="28"/>
  <c r="X712" i="28"/>
  <c r="AA712" i="28"/>
  <c r="AM712" i="28"/>
  <c r="B713" i="28"/>
  <c r="C713" i="28"/>
  <c r="D713" i="28"/>
  <c r="F713" i="28"/>
  <c r="I713" i="28"/>
  <c r="L713" i="28"/>
  <c r="O713" i="28"/>
  <c r="R713" i="28"/>
  <c r="U713" i="28"/>
  <c r="X713" i="28"/>
  <c r="AA713" i="28"/>
  <c r="AM713" i="28"/>
  <c r="B714" i="28"/>
  <c r="C714" i="28"/>
  <c r="D714" i="28"/>
  <c r="F714" i="28"/>
  <c r="I714" i="28"/>
  <c r="L714" i="28"/>
  <c r="O714" i="28"/>
  <c r="R714" i="28"/>
  <c r="U714" i="28"/>
  <c r="X714" i="28"/>
  <c r="AA714" i="28"/>
  <c r="AM714" i="28"/>
  <c r="B715" i="28"/>
  <c r="C715" i="28"/>
  <c r="D715" i="28"/>
  <c r="F715" i="28"/>
  <c r="I715" i="28"/>
  <c r="L715" i="28"/>
  <c r="O715" i="28"/>
  <c r="R715" i="28"/>
  <c r="U715" i="28"/>
  <c r="X715" i="28"/>
  <c r="AA715" i="28"/>
  <c r="AM715" i="28"/>
  <c r="B716" i="28"/>
  <c r="C716" i="28"/>
  <c r="D716" i="28"/>
  <c r="F716" i="28"/>
  <c r="I716" i="28"/>
  <c r="L716" i="28"/>
  <c r="O716" i="28"/>
  <c r="R716" i="28"/>
  <c r="U716" i="28"/>
  <c r="X716" i="28"/>
  <c r="AA716" i="28"/>
  <c r="AM716" i="28"/>
  <c r="B717" i="28"/>
  <c r="C717" i="28"/>
  <c r="D717" i="28"/>
  <c r="F717" i="28"/>
  <c r="I717" i="28"/>
  <c r="L717" i="28"/>
  <c r="O717" i="28"/>
  <c r="R717" i="28"/>
  <c r="U717" i="28"/>
  <c r="X717" i="28"/>
  <c r="AA717" i="28"/>
  <c r="AM717" i="28"/>
  <c r="B718" i="28"/>
  <c r="C718" i="28"/>
  <c r="D718" i="28"/>
  <c r="R718" i="28"/>
  <c r="AA718" i="28"/>
  <c r="AM718" i="28"/>
  <c r="B719" i="28"/>
  <c r="C719" i="28"/>
  <c r="D719" i="28"/>
  <c r="R719" i="28"/>
  <c r="AA719" i="28"/>
  <c r="AM719" i="28"/>
  <c r="B720" i="28"/>
  <c r="C720" i="28"/>
  <c r="D720" i="28"/>
  <c r="R720" i="28"/>
  <c r="AA720" i="28"/>
  <c r="AM720" i="28"/>
  <c r="B721" i="28"/>
  <c r="C721" i="28"/>
  <c r="D721" i="28"/>
  <c r="R721" i="28"/>
  <c r="AA721" i="28"/>
  <c r="AM721" i="28"/>
  <c r="B722" i="28"/>
  <c r="C722" i="28"/>
  <c r="D722" i="28"/>
  <c r="R722" i="28"/>
  <c r="AA722" i="28"/>
  <c r="AM722" i="28"/>
  <c r="B723" i="28"/>
  <c r="C723" i="28"/>
  <c r="D723" i="28"/>
  <c r="R723" i="28"/>
  <c r="AA723" i="28"/>
  <c r="AM723" i="28"/>
  <c r="B724" i="28"/>
  <c r="C724" i="28"/>
  <c r="D724" i="28"/>
  <c r="R724" i="28"/>
  <c r="AA724" i="28"/>
  <c r="AM724" i="28"/>
  <c r="B725" i="28"/>
  <c r="C725" i="28"/>
  <c r="D725" i="28"/>
  <c r="F725" i="28"/>
  <c r="I725" i="28"/>
  <c r="L725" i="28"/>
  <c r="O725" i="28"/>
  <c r="R725" i="28"/>
  <c r="U725" i="28"/>
  <c r="X725" i="28"/>
  <c r="AA725" i="28"/>
  <c r="AM725" i="28"/>
  <c r="B726" i="28"/>
  <c r="C726" i="28"/>
  <c r="D726" i="28"/>
  <c r="F726" i="28"/>
  <c r="I726" i="28"/>
  <c r="L726" i="28"/>
  <c r="O726" i="28"/>
  <c r="R726" i="28"/>
  <c r="U726" i="28"/>
  <c r="X726" i="28"/>
  <c r="AA726" i="28"/>
  <c r="AM726" i="28"/>
  <c r="B727" i="28"/>
  <c r="C727" i="28"/>
  <c r="D727" i="28"/>
  <c r="F727" i="28"/>
  <c r="I727" i="28"/>
  <c r="L727" i="28"/>
  <c r="O727" i="28"/>
  <c r="R727" i="28"/>
  <c r="U727" i="28"/>
  <c r="X727" i="28"/>
  <c r="AA727" i="28"/>
  <c r="AM727" i="28"/>
  <c r="B728" i="28"/>
  <c r="C728" i="28"/>
  <c r="D728" i="28"/>
  <c r="R728" i="28"/>
  <c r="AA728" i="28"/>
  <c r="B729" i="28"/>
  <c r="C729" i="28"/>
  <c r="D729" i="28"/>
  <c r="R729" i="28"/>
  <c r="AA729" i="28"/>
  <c r="B731" i="28"/>
  <c r="C731" i="28"/>
  <c r="D731" i="28"/>
  <c r="R731" i="28"/>
  <c r="AA731" i="28"/>
  <c r="B733" i="28"/>
  <c r="C733" i="28"/>
  <c r="D733" i="28"/>
  <c r="R733" i="28"/>
  <c r="AA733" i="28"/>
  <c r="B734" i="28"/>
  <c r="C734" i="28"/>
  <c r="D734" i="28"/>
  <c r="R734" i="28"/>
  <c r="AA734" i="28"/>
  <c r="B735" i="28"/>
  <c r="C735" i="28"/>
  <c r="D735" i="28"/>
  <c r="R735" i="28"/>
  <c r="AA735" i="28"/>
  <c r="B736" i="28"/>
  <c r="C736" i="28"/>
  <c r="D736" i="28"/>
  <c r="R736" i="28"/>
  <c r="AA736" i="28"/>
  <c r="B746" i="28"/>
  <c r="C746" i="28"/>
  <c r="D746" i="28"/>
  <c r="AA746" i="28"/>
  <c r="AM746" i="28"/>
  <c r="B747" i="28"/>
  <c r="C747" i="28"/>
  <c r="D747" i="28"/>
  <c r="F747" i="28"/>
  <c r="I747" i="28"/>
  <c r="O747" i="28"/>
  <c r="R747" i="28"/>
  <c r="U747" i="28"/>
  <c r="X747" i="28"/>
  <c r="AA747" i="28"/>
  <c r="AM747" i="28"/>
  <c r="B750" i="28"/>
  <c r="C750" i="28"/>
  <c r="D750" i="28"/>
  <c r="F750" i="28"/>
  <c r="I750" i="28"/>
  <c r="L750" i="28"/>
  <c r="O750" i="28"/>
  <c r="R750" i="28"/>
  <c r="U750" i="28"/>
  <c r="X750" i="28"/>
  <c r="AA750" i="28"/>
  <c r="AM750" i="28"/>
  <c r="B751" i="28"/>
  <c r="C751" i="28"/>
  <c r="D751" i="28"/>
  <c r="F751" i="28"/>
  <c r="I751" i="28"/>
  <c r="L751" i="28"/>
  <c r="O751" i="28"/>
  <c r="R751" i="28"/>
  <c r="U751" i="28"/>
  <c r="X751" i="28"/>
  <c r="AA751" i="28"/>
  <c r="AM751" i="28"/>
  <c r="B752" i="28"/>
  <c r="C752" i="28"/>
  <c r="D752" i="28"/>
  <c r="F752" i="28"/>
  <c r="I752" i="28"/>
  <c r="L752" i="28"/>
  <c r="O752" i="28"/>
  <c r="R752" i="28"/>
  <c r="U752" i="28"/>
  <c r="X752" i="28"/>
  <c r="AA752" i="28"/>
  <c r="AM752" i="28"/>
  <c r="B753" i="28"/>
  <c r="C753" i="28"/>
  <c r="D753" i="28"/>
  <c r="F753" i="28"/>
  <c r="I753" i="28"/>
  <c r="L753" i="28"/>
  <c r="O753" i="28"/>
  <c r="R753" i="28"/>
  <c r="U753" i="28"/>
  <c r="X753" i="28"/>
  <c r="AA753" i="28"/>
  <c r="AM753" i="28"/>
  <c r="B754" i="28"/>
  <c r="C754" i="28"/>
  <c r="D754" i="28"/>
  <c r="F754" i="28"/>
  <c r="I754" i="28"/>
  <c r="L754" i="28"/>
  <c r="O754" i="28"/>
  <c r="R754" i="28"/>
  <c r="U754" i="28"/>
  <c r="X754" i="28"/>
  <c r="AA754" i="28"/>
  <c r="AM754" i="28"/>
  <c r="B755" i="28"/>
  <c r="C755" i="28"/>
  <c r="D755" i="28"/>
  <c r="F755" i="28"/>
  <c r="I755" i="28"/>
  <c r="L755" i="28"/>
  <c r="O755" i="28"/>
  <c r="R755" i="28"/>
  <c r="U755" i="28"/>
  <c r="X755" i="28"/>
  <c r="AA755" i="28"/>
  <c r="AM755" i="28"/>
  <c r="B756" i="28"/>
  <c r="C756" i="28"/>
  <c r="D756" i="28"/>
  <c r="F756" i="28"/>
  <c r="I756" i="28"/>
  <c r="L756" i="28"/>
  <c r="O756" i="28"/>
  <c r="R756" i="28"/>
  <c r="U756" i="28"/>
  <c r="X756" i="28"/>
  <c r="AA756" i="28"/>
  <c r="AM756" i="28"/>
  <c r="B757" i="28"/>
  <c r="C757" i="28"/>
  <c r="D757" i="28"/>
  <c r="AM757" i="28"/>
  <c r="B759" i="28"/>
  <c r="C759" i="28"/>
  <c r="D759" i="28"/>
  <c r="F759" i="28"/>
  <c r="I759" i="28"/>
  <c r="L759" i="28"/>
  <c r="O759" i="28"/>
  <c r="R759" i="28"/>
  <c r="U759" i="28"/>
  <c r="X759" i="28"/>
  <c r="AA759" i="28"/>
  <c r="AM759" i="28"/>
  <c r="B760" i="28"/>
  <c r="C760" i="28"/>
  <c r="D760" i="28"/>
  <c r="F760" i="28"/>
  <c r="I760" i="28"/>
  <c r="L760" i="28"/>
  <c r="O760" i="28"/>
  <c r="R760" i="28"/>
  <c r="U760" i="28"/>
  <c r="X760" i="28"/>
  <c r="AA760" i="28"/>
  <c r="AM760" i="28"/>
  <c r="B761" i="28"/>
  <c r="C761" i="28"/>
  <c r="D761" i="28"/>
  <c r="F761" i="28"/>
  <c r="I761" i="28"/>
  <c r="L761" i="28"/>
  <c r="O761" i="28"/>
  <c r="R761" i="28"/>
  <c r="U761" i="28"/>
  <c r="X761" i="28"/>
  <c r="AA761" i="28"/>
  <c r="AM761" i="28"/>
  <c r="B762" i="28"/>
  <c r="C762" i="28"/>
  <c r="D762" i="28"/>
  <c r="F762" i="28"/>
  <c r="I762" i="28"/>
  <c r="L762" i="28"/>
  <c r="O762" i="28"/>
  <c r="R762" i="28"/>
  <c r="U762" i="28"/>
  <c r="X762" i="28"/>
  <c r="AA762" i="28"/>
  <c r="AM762" i="28"/>
  <c r="B763" i="28"/>
  <c r="C763" i="28"/>
  <c r="D763" i="28"/>
  <c r="F763" i="28"/>
  <c r="I763" i="28"/>
  <c r="L763" i="28"/>
  <c r="O763" i="28"/>
  <c r="R763" i="28"/>
  <c r="U763" i="28"/>
  <c r="X763" i="28"/>
  <c r="AA763" i="28"/>
  <c r="AM763" i="28"/>
  <c r="B764" i="28"/>
  <c r="C764" i="28"/>
  <c r="D764" i="28"/>
  <c r="F764" i="28"/>
  <c r="I764" i="28"/>
  <c r="L764" i="28"/>
  <c r="O764" i="28"/>
  <c r="R764" i="28"/>
  <c r="U764" i="28"/>
  <c r="X764" i="28"/>
  <c r="AA764" i="28"/>
  <c r="AM764" i="28"/>
  <c r="B765" i="28"/>
  <c r="C765" i="28"/>
  <c r="D765" i="28"/>
  <c r="F765" i="28"/>
  <c r="I765" i="28"/>
  <c r="L765" i="28"/>
  <c r="O765" i="28"/>
  <c r="R765" i="28"/>
  <c r="U765" i="28"/>
  <c r="X765" i="28"/>
  <c r="AA765" i="28"/>
  <c r="AM765" i="28"/>
  <c r="B766" i="28"/>
  <c r="C766" i="28"/>
  <c r="D766" i="28"/>
  <c r="F766" i="28"/>
  <c r="I766" i="28"/>
  <c r="L766" i="28"/>
  <c r="O766" i="28"/>
  <c r="R766" i="28"/>
  <c r="U766" i="28"/>
  <c r="X766" i="28"/>
  <c r="AA766" i="28"/>
  <c r="AM766" i="28"/>
  <c r="B767" i="28"/>
  <c r="C767" i="28"/>
  <c r="D767" i="28"/>
  <c r="F767" i="28"/>
  <c r="I767" i="28"/>
  <c r="L767" i="28"/>
  <c r="O767" i="28"/>
  <c r="R767" i="28"/>
  <c r="U767" i="28"/>
  <c r="X767" i="28"/>
  <c r="AA767" i="28"/>
  <c r="AM767" i="28"/>
  <c r="B768" i="28"/>
  <c r="C768" i="28"/>
  <c r="D768" i="28"/>
  <c r="F768" i="28"/>
  <c r="I768" i="28"/>
  <c r="L768" i="28"/>
  <c r="O768" i="28"/>
  <c r="R768" i="28"/>
  <c r="U768" i="28"/>
  <c r="X768" i="28"/>
  <c r="AA768" i="28"/>
  <c r="AM768" i="28"/>
  <c r="B769" i="28"/>
  <c r="C769" i="28"/>
  <c r="D769" i="28"/>
  <c r="AA769" i="28"/>
  <c r="AM769" i="28"/>
  <c r="B770" i="28"/>
  <c r="C770" i="28"/>
  <c r="D770" i="28"/>
  <c r="B771" i="28"/>
  <c r="C771" i="28"/>
  <c r="D771" i="28"/>
  <c r="F771" i="28"/>
  <c r="I771" i="28"/>
  <c r="L771" i="28"/>
  <c r="O771" i="28"/>
  <c r="R771" i="28"/>
  <c r="U771" i="28"/>
  <c r="X771" i="28"/>
  <c r="AA771" i="28"/>
  <c r="AM771" i="28"/>
  <c r="B772" i="28"/>
  <c r="C772" i="28"/>
  <c r="D772" i="28"/>
  <c r="F772" i="28"/>
  <c r="I772" i="28"/>
  <c r="L772" i="28"/>
  <c r="O772" i="28"/>
  <c r="R772" i="28"/>
  <c r="U772" i="28"/>
  <c r="X772" i="28"/>
  <c r="AA772" i="28"/>
  <c r="AM772" i="28"/>
  <c r="B773" i="28"/>
  <c r="C773" i="28"/>
  <c r="D773" i="28"/>
  <c r="F773" i="28"/>
  <c r="I773" i="28"/>
  <c r="L773" i="28"/>
  <c r="O773" i="28"/>
  <c r="R773" i="28"/>
  <c r="U773" i="28"/>
  <c r="X773" i="28"/>
  <c r="AA773" i="28"/>
  <c r="AM773" i="28"/>
  <c r="B774" i="28"/>
  <c r="C774" i="28"/>
  <c r="D774" i="28"/>
  <c r="F774" i="28"/>
  <c r="I774" i="28"/>
  <c r="L774" i="28"/>
  <c r="O774" i="28"/>
  <c r="R774" i="28"/>
  <c r="U774" i="28"/>
  <c r="X774" i="28"/>
  <c r="AA774" i="28"/>
  <c r="AM774" i="28"/>
  <c r="B775" i="28"/>
  <c r="C775" i="28"/>
  <c r="D775" i="28"/>
  <c r="F775" i="28"/>
  <c r="I775" i="28"/>
  <c r="L775" i="28"/>
  <c r="O775" i="28"/>
  <c r="R775" i="28"/>
  <c r="U775" i="28"/>
  <c r="X775" i="28"/>
  <c r="AA775" i="28"/>
  <c r="AM775" i="28"/>
  <c r="B776" i="28"/>
  <c r="C776" i="28"/>
  <c r="D776" i="28"/>
  <c r="F776" i="28"/>
  <c r="I776" i="28"/>
  <c r="L776" i="28"/>
  <c r="O776" i="28"/>
  <c r="R776" i="28"/>
  <c r="U776" i="28"/>
  <c r="X776" i="28"/>
  <c r="AA776" i="28"/>
  <c r="AM776" i="28"/>
  <c r="B777" i="28"/>
  <c r="C777" i="28"/>
  <c r="D777" i="28"/>
  <c r="F777" i="28"/>
  <c r="I777" i="28"/>
  <c r="L777" i="28"/>
  <c r="O777" i="28"/>
  <c r="R777" i="28"/>
  <c r="U777" i="28"/>
  <c r="X777" i="28"/>
  <c r="AA777" i="28"/>
  <c r="AM777" i="28"/>
  <c r="B778" i="28"/>
  <c r="C778" i="28"/>
  <c r="D778" i="28"/>
  <c r="F778" i="28"/>
  <c r="I778" i="28"/>
  <c r="L778" i="28"/>
  <c r="O778" i="28"/>
  <c r="R778" i="28"/>
  <c r="U778" i="28"/>
  <c r="X778" i="28"/>
  <c r="AA778" i="28"/>
  <c r="AM778" i="28"/>
  <c r="B779" i="28"/>
  <c r="C779" i="28"/>
  <c r="D779" i="28"/>
  <c r="F779" i="28"/>
  <c r="I779" i="28"/>
  <c r="L779" i="28"/>
  <c r="O779" i="28"/>
  <c r="R779" i="28"/>
  <c r="U779" i="28"/>
  <c r="X779" i="28"/>
  <c r="AA779" i="28"/>
  <c r="AM779" i="28"/>
  <c r="B780" i="28"/>
  <c r="C780" i="28"/>
  <c r="D780" i="28"/>
  <c r="F780" i="28"/>
  <c r="I780" i="28"/>
  <c r="L780" i="28"/>
  <c r="O780" i="28"/>
  <c r="R780" i="28"/>
  <c r="U780" i="28"/>
  <c r="X780" i="28"/>
  <c r="AA780" i="28"/>
  <c r="AM780" i="28"/>
  <c r="B781" i="28"/>
  <c r="C781" i="28"/>
  <c r="D781" i="28"/>
  <c r="F781" i="28"/>
  <c r="I781" i="28"/>
  <c r="L781" i="28"/>
  <c r="O781" i="28"/>
  <c r="R781" i="28"/>
  <c r="U781" i="28"/>
  <c r="X781" i="28"/>
  <c r="AA781" i="28"/>
  <c r="AM781" i="28"/>
  <c r="B782" i="28"/>
  <c r="C782" i="28"/>
  <c r="D782" i="28"/>
  <c r="F782" i="28"/>
  <c r="I782" i="28"/>
  <c r="L782" i="28"/>
  <c r="O782" i="28"/>
  <c r="R782" i="28"/>
  <c r="U782" i="28"/>
  <c r="X782" i="28"/>
  <c r="AA782" i="28"/>
  <c r="AM782" i="28"/>
  <c r="B783" i="28"/>
  <c r="C783" i="28"/>
  <c r="D783" i="28"/>
  <c r="F783" i="28"/>
  <c r="I783" i="28"/>
  <c r="L783" i="28"/>
  <c r="O783" i="28"/>
  <c r="R783" i="28"/>
  <c r="U783" i="28"/>
  <c r="X783" i="28"/>
  <c r="AA783" i="28"/>
  <c r="AM783" i="28"/>
  <c r="B784" i="28"/>
  <c r="C784" i="28"/>
  <c r="D784" i="28"/>
  <c r="F784" i="28"/>
  <c r="I784" i="28"/>
  <c r="L784" i="28"/>
  <c r="O784" i="28"/>
  <c r="R784" i="28"/>
  <c r="U784" i="28"/>
  <c r="X784" i="28"/>
  <c r="AA784" i="28"/>
  <c r="AM784" i="28"/>
  <c r="B785" i="28"/>
  <c r="C785" i="28"/>
  <c r="D785" i="28"/>
  <c r="F785" i="28"/>
  <c r="I785" i="28"/>
  <c r="L785" i="28"/>
  <c r="O785" i="28"/>
  <c r="R785" i="28"/>
  <c r="U785" i="28"/>
  <c r="X785" i="28"/>
  <c r="AA785" i="28"/>
  <c r="AM785" i="28"/>
  <c r="B786" i="28"/>
  <c r="C786" i="28"/>
  <c r="D786" i="28"/>
  <c r="F786" i="28"/>
  <c r="I786" i="28"/>
  <c r="L786" i="28"/>
  <c r="O786" i="28"/>
  <c r="R786" i="28"/>
  <c r="U786" i="28"/>
  <c r="X786" i="28"/>
  <c r="AA786" i="28"/>
  <c r="AM786" i="28"/>
  <c r="B787" i="28"/>
  <c r="C787" i="28"/>
  <c r="D787" i="28"/>
  <c r="F787" i="28"/>
  <c r="I787" i="28"/>
  <c r="L787" i="28"/>
  <c r="O787" i="28"/>
  <c r="R787" i="28"/>
  <c r="U787" i="28"/>
  <c r="X787" i="28"/>
  <c r="AA787" i="28"/>
  <c r="AM787" i="28"/>
  <c r="B788" i="28"/>
  <c r="C788" i="28"/>
  <c r="D788" i="28"/>
  <c r="F788" i="28"/>
  <c r="I788" i="28"/>
  <c r="L788" i="28"/>
  <c r="O788" i="28"/>
  <c r="R788" i="28"/>
  <c r="U788" i="28"/>
  <c r="X788" i="28"/>
  <c r="AA788" i="28"/>
  <c r="AM788" i="28"/>
  <c r="B789" i="28"/>
  <c r="C789" i="28"/>
  <c r="D789" i="28"/>
  <c r="F789" i="28"/>
  <c r="I789" i="28"/>
  <c r="L789" i="28"/>
  <c r="O789" i="28"/>
  <c r="R789" i="28"/>
  <c r="U789" i="28"/>
  <c r="X789" i="28"/>
  <c r="AA789" i="28"/>
  <c r="AM789" i="28"/>
  <c r="B790" i="28"/>
  <c r="C790" i="28"/>
  <c r="D790" i="28"/>
  <c r="F790" i="28"/>
  <c r="I790" i="28"/>
  <c r="L790" i="28"/>
  <c r="O790" i="28"/>
  <c r="R790" i="28"/>
  <c r="U790" i="28"/>
  <c r="X790" i="28"/>
  <c r="AA790" i="28"/>
  <c r="AM790" i="28"/>
  <c r="B791" i="28"/>
  <c r="C791" i="28"/>
  <c r="D791" i="28"/>
  <c r="F791" i="28"/>
  <c r="I791" i="28"/>
  <c r="L791" i="28"/>
  <c r="O791" i="28"/>
  <c r="R791" i="28"/>
  <c r="U791" i="28"/>
  <c r="X791" i="28"/>
  <c r="AA791" i="28"/>
  <c r="AM791" i="28"/>
  <c r="B792" i="28"/>
  <c r="C792" i="28"/>
  <c r="D792" i="28"/>
  <c r="F792" i="28"/>
  <c r="I792" i="28"/>
  <c r="L792" i="28"/>
  <c r="O792" i="28"/>
  <c r="R792" i="28"/>
  <c r="U792" i="28"/>
  <c r="X792" i="28"/>
  <c r="AA792" i="28"/>
  <c r="AM792" i="28"/>
  <c r="B793" i="28"/>
  <c r="C793" i="28"/>
  <c r="D793" i="28"/>
  <c r="F793" i="28"/>
  <c r="I793" i="28"/>
  <c r="L793" i="28"/>
  <c r="O793" i="28"/>
  <c r="R793" i="28"/>
  <c r="U793" i="28"/>
  <c r="X793" i="28"/>
  <c r="AA793" i="28"/>
  <c r="AM793" i="28"/>
  <c r="B794" i="28"/>
  <c r="C794" i="28"/>
  <c r="D794" i="28"/>
  <c r="F794" i="28"/>
  <c r="I794" i="28"/>
  <c r="L794" i="28"/>
  <c r="O794" i="28"/>
  <c r="R794" i="28"/>
  <c r="U794" i="28"/>
  <c r="X794" i="28"/>
  <c r="AA794" i="28"/>
  <c r="AM794" i="28"/>
  <c r="B795" i="28"/>
  <c r="C795" i="28"/>
  <c r="D795" i="28"/>
  <c r="F795" i="28"/>
  <c r="I795" i="28"/>
  <c r="L795" i="28"/>
  <c r="O795" i="28"/>
  <c r="R795" i="28"/>
  <c r="U795" i="28"/>
  <c r="X795" i="28"/>
  <c r="AA795" i="28"/>
  <c r="AM795" i="28"/>
  <c r="B796" i="28"/>
  <c r="C796" i="28"/>
  <c r="D796" i="28"/>
  <c r="F796" i="28"/>
  <c r="I796" i="28"/>
  <c r="L796" i="28"/>
  <c r="O796" i="28"/>
  <c r="R796" i="28"/>
  <c r="U796" i="28"/>
  <c r="X796" i="28"/>
  <c r="AA796" i="28"/>
  <c r="AM796" i="28"/>
  <c r="B797" i="28"/>
  <c r="C797" i="28"/>
  <c r="D797" i="28"/>
  <c r="F797" i="28"/>
  <c r="I797" i="28"/>
  <c r="L797" i="28"/>
  <c r="O797" i="28"/>
  <c r="R797" i="28"/>
  <c r="U797" i="28"/>
  <c r="X797" i="28"/>
  <c r="AA797" i="28"/>
  <c r="AM797" i="28"/>
  <c r="B798" i="28"/>
  <c r="C798" i="28"/>
  <c r="D798" i="28"/>
  <c r="F798" i="28"/>
  <c r="I798" i="28"/>
  <c r="L798" i="28"/>
  <c r="O798" i="28"/>
  <c r="R798" i="28"/>
  <c r="U798" i="28"/>
  <c r="X798" i="28"/>
  <c r="AA798" i="28"/>
  <c r="AM798" i="28"/>
  <c r="B799" i="28"/>
  <c r="C799" i="28"/>
  <c r="D799" i="28"/>
  <c r="AM799" i="28"/>
  <c r="B800" i="28"/>
  <c r="C800" i="28"/>
  <c r="D800" i="28"/>
  <c r="F800" i="28"/>
  <c r="I800" i="28"/>
  <c r="L800" i="28"/>
  <c r="O800" i="28"/>
  <c r="R800" i="28"/>
  <c r="U800" i="28"/>
  <c r="X800" i="28"/>
  <c r="AA800" i="28"/>
  <c r="AI800" i="28"/>
  <c r="AI772" i="28" s="1"/>
  <c r="AM800" i="28"/>
  <c r="B801" i="28"/>
  <c r="C801" i="28"/>
  <c r="D801" i="28"/>
  <c r="F801" i="28"/>
  <c r="I801" i="28"/>
  <c r="L801" i="28"/>
  <c r="O801" i="28"/>
  <c r="R801" i="28"/>
  <c r="U801" i="28"/>
  <c r="X801" i="28"/>
  <c r="AA801" i="28"/>
  <c r="AM801" i="28"/>
  <c r="B802" i="28"/>
  <c r="C802" i="28"/>
  <c r="D802" i="28"/>
  <c r="F802" i="28"/>
  <c r="I802" i="28"/>
  <c r="L802" i="28"/>
  <c r="O802" i="28"/>
  <c r="R802" i="28"/>
  <c r="U802" i="28"/>
  <c r="X802" i="28"/>
  <c r="AA802" i="28"/>
  <c r="AM802" i="28"/>
  <c r="B803" i="28"/>
  <c r="C803" i="28"/>
  <c r="D803" i="28"/>
  <c r="F803" i="28"/>
  <c r="I803" i="28"/>
  <c r="L803" i="28"/>
  <c r="O803" i="28"/>
  <c r="R803" i="28"/>
  <c r="U803" i="28"/>
  <c r="X803" i="28"/>
  <c r="AA803" i="28"/>
  <c r="AM803" i="28"/>
  <c r="B804" i="28"/>
  <c r="C804" i="28"/>
  <c r="D804" i="28"/>
  <c r="F804" i="28"/>
  <c r="I804" i="28"/>
  <c r="L804" i="28"/>
  <c r="O804" i="28"/>
  <c r="R804" i="28"/>
  <c r="U804" i="28"/>
  <c r="X804" i="28"/>
  <c r="AA804" i="28"/>
  <c r="AM804" i="28"/>
  <c r="B805" i="28"/>
  <c r="C805" i="28"/>
  <c r="D805" i="28"/>
  <c r="F805" i="28"/>
  <c r="I805" i="28"/>
  <c r="L805" i="28"/>
  <c r="O805" i="28"/>
  <c r="R805" i="28"/>
  <c r="U805" i="28"/>
  <c r="X805" i="28"/>
  <c r="AA805" i="28"/>
  <c r="AM805" i="28"/>
  <c r="B806" i="28"/>
  <c r="C806" i="28"/>
  <c r="D806" i="28"/>
  <c r="F806" i="28"/>
  <c r="I806" i="28"/>
  <c r="L806" i="28"/>
  <c r="O806" i="28"/>
  <c r="R806" i="28"/>
  <c r="U806" i="28"/>
  <c r="X806" i="28"/>
  <c r="AA806" i="28"/>
  <c r="AM806" i="28"/>
  <c r="B807" i="28"/>
  <c r="C807" i="28"/>
  <c r="D807" i="28"/>
  <c r="F807" i="28"/>
  <c r="I807" i="28"/>
  <c r="L807" i="28"/>
  <c r="O807" i="28"/>
  <c r="R807" i="28"/>
  <c r="U807" i="28"/>
  <c r="X807" i="28"/>
  <c r="AA807" i="28"/>
  <c r="AM807" i="28"/>
  <c r="B808" i="28"/>
  <c r="C808" i="28"/>
  <c r="D808" i="28"/>
  <c r="F808" i="28"/>
  <c r="I808" i="28"/>
  <c r="L808" i="28"/>
  <c r="O808" i="28"/>
  <c r="R808" i="28"/>
  <c r="U808" i="28"/>
  <c r="X808" i="28"/>
  <c r="AA808" i="28"/>
  <c r="AM808" i="28"/>
  <c r="B809" i="28"/>
  <c r="C809" i="28"/>
  <c r="D809" i="28"/>
  <c r="F809" i="28"/>
  <c r="I809" i="28"/>
  <c r="L809" i="28"/>
  <c r="O809" i="28"/>
  <c r="R809" i="28"/>
  <c r="U809" i="28"/>
  <c r="X809" i="28"/>
  <c r="AA809" i="28"/>
  <c r="AM809" i="28"/>
  <c r="B810" i="28"/>
  <c r="C810" i="28"/>
  <c r="D810" i="28"/>
  <c r="F810" i="28"/>
  <c r="I810" i="28"/>
  <c r="L810" i="28"/>
  <c r="O810" i="28"/>
  <c r="R810" i="28"/>
  <c r="U810" i="28"/>
  <c r="X810" i="28"/>
  <c r="AA810" i="28"/>
  <c r="AM810" i="28"/>
  <c r="B811" i="28"/>
  <c r="C811" i="28"/>
  <c r="D811" i="28"/>
  <c r="F811" i="28"/>
  <c r="I811" i="28"/>
  <c r="L811" i="28"/>
  <c r="O811" i="28"/>
  <c r="R811" i="28"/>
  <c r="U811" i="28"/>
  <c r="X811" i="28"/>
  <c r="AA811" i="28"/>
  <c r="AM811" i="28"/>
  <c r="B812" i="28"/>
  <c r="C812" i="28"/>
  <c r="D812" i="28"/>
  <c r="F812" i="28"/>
  <c r="I812" i="28"/>
  <c r="L812" i="28"/>
  <c r="O812" i="28"/>
  <c r="R812" i="28"/>
  <c r="U812" i="28"/>
  <c r="X812" i="28"/>
  <c r="AA812" i="28"/>
  <c r="AM812" i="28"/>
  <c r="B813" i="28"/>
  <c r="C813" i="28"/>
  <c r="D813" i="28"/>
  <c r="F813" i="28"/>
  <c r="I813" i="28"/>
  <c r="L813" i="28"/>
  <c r="O813" i="28"/>
  <c r="R813" i="28"/>
  <c r="U813" i="28"/>
  <c r="X813" i="28"/>
  <c r="AA813" i="28"/>
  <c r="AM813" i="28"/>
  <c r="B814" i="28"/>
  <c r="C814" i="28"/>
  <c r="D814" i="28"/>
  <c r="AA814" i="28"/>
  <c r="AM814" i="28"/>
  <c r="B815" i="28"/>
  <c r="C815" i="28"/>
  <c r="D815" i="28"/>
  <c r="AM815" i="28"/>
  <c r="B816" i="28"/>
  <c r="C816" i="28"/>
  <c r="D816" i="28"/>
  <c r="AM816" i="28"/>
  <c r="B817" i="28"/>
  <c r="C817" i="28"/>
  <c r="D817" i="28"/>
  <c r="AM817" i="28"/>
  <c r="B819" i="28"/>
  <c r="C819" i="28"/>
  <c r="D819" i="28"/>
  <c r="F819" i="28"/>
  <c r="I819" i="28"/>
  <c r="L819" i="28"/>
  <c r="O819" i="28"/>
  <c r="R819" i="28"/>
  <c r="U819" i="28"/>
  <c r="X819" i="28"/>
  <c r="AA819" i="28"/>
  <c r="AM819" i="28"/>
  <c r="B820" i="28"/>
  <c r="C820" i="28"/>
  <c r="D820" i="28"/>
  <c r="F820" i="28"/>
  <c r="I820" i="28"/>
  <c r="L820" i="28"/>
  <c r="O820" i="28"/>
  <c r="R820" i="28"/>
  <c r="U820" i="28"/>
  <c r="X820" i="28"/>
  <c r="AA820" i="28"/>
  <c r="AM820" i="28"/>
  <c r="B821" i="28"/>
  <c r="C821" i="28"/>
  <c r="D821" i="28"/>
  <c r="F821" i="28"/>
  <c r="I821" i="28"/>
  <c r="L821" i="28"/>
  <c r="O821" i="28"/>
  <c r="R821" i="28"/>
  <c r="U821" i="28"/>
  <c r="X821" i="28"/>
  <c r="AA821" i="28"/>
  <c r="AM821" i="28"/>
  <c r="B822" i="28"/>
  <c r="C822" i="28"/>
  <c r="D822" i="28"/>
  <c r="F822" i="28"/>
  <c r="I822" i="28"/>
  <c r="L822" i="28"/>
  <c r="O822" i="28"/>
  <c r="R822" i="28"/>
  <c r="U822" i="28"/>
  <c r="X822" i="28"/>
  <c r="AA822" i="28"/>
  <c r="AM822" i="28"/>
  <c r="B823" i="28"/>
  <c r="C823" i="28"/>
  <c r="D823" i="28"/>
  <c r="F823" i="28"/>
  <c r="I823" i="28"/>
  <c r="L823" i="28"/>
  <c r="O823" i="28"/>
  <c r="R823" i="28"/>
  <c r="U823" i="28"/>
  <c r="X823" i="28"/>
  <c r="AA823" i="28"/>
  <c r="AM823" i="28"/>
  <c r="B824" i="28"/>
  <c r="C824" i="28"/>
  <c r="D824" i="28"/>
  <c r="F824" i="28"/>
  <c r="I824" i="28"/>
  <c r="L824" i="28"/>
  <c r="O824" i="28"/>
  <c r="R824" i="28"/>
  <c r="U824" i="28"/>
  <c r="X824" i="28"/>
  <c r="AA824" i="28"/>
  <c r="AM824" i="28"/>
  <c r="B825" i="28"/>
  <c r="C825" i="28"/>
  <c r="D825" i="28"/>
  <c r="F825" i="28"/>
  <c r="I825" i="28"/>
  <c r="L825" i="28"/>
  <c r="O825" i="28"/>
  <c r="R825" i="28"/>
  <c r="U825" i="28"/>
  <c r="X825" i="28"/>
  <c r="AA825" i="28"/>
  <c r="AM825" i="28"/>
  <c r="B826" i="28"/>
  <c r="C826" i="28"/>
  <c r="D826" i="28"/>
  <c r="F826" i="28"/>
  <c r="I826" i="28"/>
  <c r="L826" i="28"/>
  <c r="O826" i="28"/>
  <c r="R826" i="28"/>
  <c r="U826" i="28"/>
  <c r="X826" i="28"/>
  <c r="AA826" i="28"/>
  <c r="AM826" i="28"/>
  <c r="B827" i="28"/>
  <c r="C827" i="28"/>
  <c r="D827" i="28"/>
  <c r="F827" i="28"/>
  <c r="I827" i="28"/>
  <c r="L827" i="28"/>
  <c r="O827" i="28"/>
  <c r="R827" i="28"/>
  <c r="U827" i="28"/>
  <c r="X827" i="28"/>
  <c r="AA827" i="28"/>
  <c r="AM827" i="28"/>
  <c r="B828" i="28"/>
  <c r="C828" i="28"/>
  <c r="D828" i="28"/>
  <c r="F828" i="28"/>
  <c r="I828" i="28"/>
  <c r="L828" i="28"/>
  <c r="O828" i="28"/>
  <c r="R828" i="28"/>
  <c r="U828" i="28"/>
  <c r="X828" i="28"/>
  <c r="AA828" i="28"/>
  <c r="AM828" i="28"/>
  <c r="B829" i="28"/>
  <c r="C829" i="28"/>
  <c r="D829" i="28"/>
  <c r="F829" i="28"/>
  <c r="I829" i="28"/>
  <c r="L829" i="28"/>
  <c r="O829" i="28"/>
  <c r="R829" i="28"/>
  <c r="U829" i="28"/>
  <c r="X829" i="28"/>
  <c r="AA829" i="28"/>
  <c r="AM829" i="28"/>
  <c r="B830" i="28"/>
  <c r="C830" i="28"/>
  <c r="D830" i="28"/>
  <c r="AA830" i="28"/>
  <c r="AM830" i="28"/>
  <c r="B831" i="28"/>
  <c r="C831" i="28"/>
  <c r="D831" i="28"/>
  <c r="AA831" i="28"/>
  <c r="AM831" i="28"/>
  <c r="B833" i="28"/>
  <c r="C833" i="28"/>
  <c r="D833" i="28"/>
  <c r="F833" i="28"/>
  <c r="I833" i="28"/>
  <c r="L833" i="28"/>
  <c r="O833" i="28"/>
  <c r="R833" i="28"/>
  <c r="U833" i="28"/>
  <c r="X833" i="28"/>
  <c r="AA833" i="28"/>
  <c r="AM833" i="28"/>
  <c r="B834" i="28"/>
  <c r="C834" i="28"/>
  <c r="D834" i="28"/>
  <c r="F834" i="28"/>
  <c r="I834" i="28"/>
  <c r="L834" i="28"/>
  <c r="O834" i="28"/>
  <c r="R834" i="28"/>
  <c r="U834" i="28"/>
  <c r="X834" i="28"/>
  <c r="AA834" i="28"/>
  <c r="AM834" i="28"/>
  <c r="B835" i="28"/>
  <c r="C835" i="28"/>
  <c r="D835" i="28"/>
  <c r="F835" i="28"/>
  <c r="I835" i="28"/>
  <c r="L835" i="28"/>
  <c r="O835" i="28"/>
  <c r="R835" i="28"/>
  <c r="U835" i="28"/>
  <c r="X835" i="28"/>
  <c r="AA835" i="28"/>
  <c r="AM835" i="28"/>
  <c r="B836" i="28"/>
  <c r="C836" i="28"/>
  <c r="D836" i="28"/>
  <c r="F836" i="28"/>
  <c r="I836" i="28"/>
  <c r="L836" i="28"/>
  <c r="O836" i="28"/>
  <c r="R836" i="28"/>
  <c r="U836" i="28"/>
  <c r="X836" i="28"/>
  <c r="AA836" i="28"/>
  <c r="AM836" i="28"/>
  <c r="B837" i="28"/>
  <c r="C837" i="28"/>
  <c r="D837" i="28"/>
  <c r="F837" i="28"/>
  <c r="I837" i="28"/>
  <c r="L837" i="28"/>
  <c r="O837" i="28"/>
  <c r="R837" i="28"/>
  <c r="U837" i="28"/>
  <c r="X837" i="28"/>
  <c r="AA837" i="28"/>
  <c r="AM837" i="28"/>
  <c r="B838" i="28"/>
  <c r="C838" i="28"/>
  <c r="D838" i="28"/>
  <c r="F838" i="28"/>
  <c r="I838" i="28"/>
  <c r="L838" i="28"/>
  <c r="O838" i="28"/>
  <c r="R838" i="28"/>
  <c r="U838" i="28"/>
  <c r="X838" i="28"/>
  <c r="AA838" i="28"/>
  <c r="AM838" i="28"/>
  <c r="B839" i="28"/>
  <c r="C839" i="28"/>
  <c r="D839" i="28"/>
  <c r="F839" i="28"/>
  <c r="I839" i="28"/>
  <c r="L839" i="28"/>
  <c r="O839" i="28"/>
  <c r="R839" i="28"/>
  <c r="U839" i="28"/>
  <c r="X839" i="28"/>
  <c r="AA839" i="28"/>
  <c r="AM839" i="28"/>
  <c r="B840" i="28"/>
  <c r="C840" i="28"/>
  <c r="D840" i="28"/>
  <c r="F840" i="28"/>
  <c r="I840" i="28"/>
  <c r="L840" i="28"/>
  <c r="O840" i="28"/>
  <c r="R840" i="28"/>
  <c r="U840" i="28"/>
  <c r="X840" i="28"/>
  <c r="AA840" i="28"/>
  <c r="AM840" i="28"/>
  <c r="B841" i="28"/>
  <c r="C841" i="28"/>
  <c r="D841" i="28"/>
  <c r="F841" i="28"/>
  <c r="I841" i="28"/>
  <c r="L841" i="28"/>
  <c r="O841" i="28"/>
  <c r="R841" i="28"/>
  <c r="U841" i="28"/>
  <c r="X841" i="28"/>
  <c r="AA841" i="28"/>
  <c r="AM841" i="28"/>
  <c r="B842" i="28"/>
  <c r="C842" i="28"/>
  <c r="D842" i="28"/>
  <c r="F842" i="28"/>
  <c r="I842" i="28"/>
  <c r="L842" i="28"/>
  <c r="O842" i="28"/>
  <c r="R842" i="28"/>
  <c r="U842" i="28"/>
  <c r="X842" i="28"/>
  <c r="AA842" i="28"/>
  <c r="AM842" i="28"/>
  <c r="B843" i="28"/>
  <c r="C843" i="28"/>
  <c r="D843" i="28"/>
  <c r="F843" i="28"/>
  <c r="I843" i="28"/>
  <c r="L843" i="28"/>
  <c r="O843" i="28"/>
  <c r="R843" i="28"/>
  <c r="U843" i="28"/>
  <c r="X843" i="28"/>
  <c r="AA843" i="28"/>
  <c r="AM843" i="28"/>
  <c r="B844" i="28"/>
  <c r="C844" i="28"/>
  <c r="D844" i="28"/>
  <c r="F844" i="28"/>
  <c r="I844" i="28"/>
  <c r="L844" i="28"/>
  <c r="O844" i="28"/>
  <c r="R844" i="28"/>
  <c r="U844" i="28"/>
  <c r="X844" i="28"/>
  <c r="AA844" i="28"/>
  <c r="AM844" i="28"/>
  <c r="B845" i="28"/>
  <c r="C845" i="28"/>
  <c r="D845" i="28"/>
  <c r="F845" i="28"/>
  <c r="I845" i="28"/>
  <c r="L845" i="28"/>
  <c r="O845" i="28"/>
  <c r="R845" i="28"/>
  <c r="U845" i="28"/>
  <c r="X845" i="28"/>
  <c r="AA845" i="28"/>
  <c r="AM845" i="28"/>
  <c r="B846" i="28"/>
  <c r="C846" i="28"/>
  <c r="D846" i="28"/>
  <c r="F846" i="28"/>
  <c r="I846" i="28"/>
  <c r="L846" i="28"/>
  <c r="O846" i="28"/>
  <c r="R846" i="28"/>
  <c r="U846" i="28"/>
  <c r="X846" i="28"/>
  <c r="AA846" i="28"/>
  <c r="AM846" i="28"/>
  <c r="B847" i="28"/>
  <c r="C847" i="28"/>
  <c r="D847" i="28"/>
  <c r="F847" i="28"/>
  <c r="I847" i="28"/>
  <c r="L847" i="28"/>
  <c r="O847" i="28"/>
  <c r="R847" i="28"/>
  <c r="U847" i="28"/>
  <c r="X847" i="28"/>
  <c r="AA847" i="28"/>
  <c r="AM847" i="28"/>
  <c r="B848" i="28"/>
  <c r="C848" i="28"/>
  <c r="D848" i="28"/>
  <c r="F848" i="28"/>
  <c r="I848" i="28"/>
  <c r="L848" i="28"/>
  <c r="O848" i="28"/>
  <c r="R848" i="28"/>
  <c r="U848" i="28"/>
  <c r="X848" i="28"/>
  <c r="AA848" i="28"/>
  <c r="AM848" i="28"/>
  <c r="B849" i="28"/>
  <c r="C849" i="28"/>
  <c r="D849" i="28"/>
  <c r="F849" i="28"/>
  <c r="I849" i="28"/>
  <c r="L849" i="28"/>
  <c r="O849" i="28"/>
  <c r="R849" i="28"/>
  <c r="U849" i="28"/>
  <c r="X849" i="28"/>
  <c r="AA849" i="28"/>
  <c r="AM849" i="28"/>
  <c r="B850" i="28"/>
  <c r="C850" i="28"/>
  <c r="D850" i="28"/>
  <c r="F850" i="28"/>
  <c r="I850" i="28"/>
  <c r="L850" i="28"/>
  <c r="O850" i="28"/>
  <c r="R850" i="28"/>
  <c r="U850" i="28"/>
  <c r="X850" i="28"/>
  <c r="AA850" i="28"/>
  <c r="AM850" i="28"/>
  <c r="B851" i="28"/>
  <c r="C851" i="28"/>
  <c r="D851" i="28"/>
  <c r="F851" i="28"/>
  <c r="I851" i="28"/>
  <c r="L851" i="28"/>
  <c r="O851" i="28"/>
  <c r="R851" i="28"/>
  <c r="U851" i="28"/>
  <c r="X851" i="28"/>
  <c r="AA851" i="28"/>
  <c r="AM851" i="28"/>
  <c r="B852" i="28"/>
  <c r="C852" i="28"/>
  <c r="D852" i="28"/>
  <c r="F852" i="28"/>
  <c r="I852" i="28"/>
  <c r="L852" i="28"/>
  <c r="O852" i="28"/>
  <c r="R852" i="28"/>
  <c r="U852" i="28"/>
  <c r="X852" i="28"/>
  <c r="AA852" i="28"/>
  <c r="AM852" i="28"/>
  <c r="B853" i="28"/>
  <c r="C853" i="28"/>
  <c r="D853" i="28"/>
  <c r="F853" i="28"/>
  <c r="I853" i="28"/>
  <c r="L853" i="28"/>
  <c r="O853" i="28"/>
  <c r="R853" i="28"/>
  <c r="U853" i="28"/>
  <c r="X853" i="28"/>
  <c r="AA853" i="28"/>
  <c r="AM853" i="28"/>
  <c r="B854" i="28"/>
  <c r="C854" i="28"/>
  <c r="D854" i="28"/>
  <c r="F854" i="28"/>
  <c r="I854" i="28"/>
  <c r="L854" i="28"/>
  <c r="O854" i="28"/>
  <c r="R854" i="28"/>
  <c r="U854" i="28"/>
  <c r="X854" i="28"/>
  <c r="AA854" i="28"/>
  <c r="AM854" i="28"/>
  <c r="B855" i="28"/>
  <c r="C855" i="28"/>
  <c r="D855" i="28"/>
  <c r="F855" i="28"/>
  <c r="I855" i="28"/>
  <c r="L855" i="28"/>
  <c r="O855" i="28"/>
  <c r="R855" i="28"/>
  <c r="U855" i="28"/>
  <c r="X855" i="28"/>
  <c r="AA855" i="28"/>
  <c r="AM855" i="28"/>
  <c r="B856" i="28"/>
  <c r="C856" i="28"/>
  <c r="D856" i="28"/>
  <c r="F856" i="28"/>
  <c r="I856" i="28"/>
  <c r="L856" i="28"/>
  <c r="O856" i="28"/>
  <c r="R856" i="28"/>
  <c r="U856" i="28"/>
  <c r="X856" i="28"/>
  <c r="AA856" i="28"/>
  <c r="AM856" i="28"/>
  <c r="B857" i="28"/>
  <c r="C857" i="28"/>
  <c r="D857" i="28"/>
  <c r="F857" i="28"/>
  <c r="I857" i="28"/>
  <c r="L857" i="28"/>
  <c r="O857" i="28"/>
  <c r="R857" i="28"/>
  <c r="U857" i="28"/>
  <c r="X857" i="28"/>
  <c r="AM857" i="28"/>
  <c r="B858" i="28"/>
  <c r="C858" i="28"/>
  <c r="D858" i="28"/>
  <c r="F858" i="28"/>
  <c r="I858" i="28"/>
  <c r="L858" i="28"/>
  <c r="O858" i="28"/>
  <c r="R858" i="28"/>
  <c r="U858" i="28"/>
  <c r="X858" i="28"/>
  <c r="AA858" i="28"/>
  <c r="AM858" i="28"/>
  <c r="B859" i="28"/>
  <c r="C859" i="28"/>
  <c r="D859" i="28"/>
  <c r="F859" i="28"/>
  <c r="I859" i="28"/>
  <c r="L859" i="28"/>
  <c r="O859" i="28"/>
  <c r="R859" i="28"/>
  <c r="U859" i="28"/>
  <c r="X859" i="28"/>
  <c r="AA859" i="28"/>
  <c r="AM859" i="28"/>
  <c r="B860" i="28"/>
  <c r="C860" i="28"/>
  <c r="D860" i="28"/>
  <c r="F860" i="28"/>
  <c r="I860" i="28"/>
  <c r="L860" i="28"/>
  <c r="O860" i="28"/>
  <c r="R860" i="28"/>
  <c r="U860" i="28"/>
  <c r="X860" i="28"/>
  <c r="AA860" i="28"/>
  <c r="AM860" i="28"/>
  <c r="B861" i="28"/>
  <c r="C861" i="28"/>
  <c r="D861" i="28"/>
  <c r="F861" i="28"/>
  <c r="I861" i="28"/>
  <c r="L861" i="28"/>
  <c r="O861" i="28"/>
  <c r="R861" i="28"/>
  <c r="U861" i="28"/>
  <c r="X861" i="28"/>
  <c r="AA861" i="28"/>
  <c r="AM861" i="28"/>
  <c r="B862" i="28"/>
  <c r="C862" i="28"/>
  <c r="D862" i="28"/>
  <c r="F862" i="28"/>
  <c r="I862" i="28"/>
  <c r="L862" i="28"/>
  <c r="O862" i="28"/>
  <c r="R862" i="28"/>
  <c r="U862" i="28"/>
  <c r="X862" i="28"/>
  <c r="AA862" i="28"/>
  <c r="AM862" i="28"/>
  <c r="B863" i="28"/>
  <c r="C863" i="28"/>
  <c r="D863" i="28"/>
  <c r="F863" i="28"/>
  <c r="I863" i="28"/>
  <c r="L863" i="28"/>
  <c r="O863" i="28"/>
  <c r="R863" i="28"/>
  <c r="U863" i="28"/>
  <c r="X863" i="28"/>
  <c r="AA863" i="28"/>
  <c r="AM863" i="28"/>
  <c r="B864" i="28"/>
  <c r="C864" i="28"/>
  <c r="D864" i="28"/>
  <c r="AM864" i="28"/>
  <c r="B865" i="28"/>
  <c r="C865" i="28"/>
  <c r="D865" i="28"/>
  <c r="AA865" i="28"/>
  <c r="AM865" i="28"/>
  <c r="B866" i="28"/>
  <c r="C866" i="28"/>
  <c r="D866" i="28"/>
  <c r="AM866" i="28"/>
  <c r="B867" i="28"/>
  <c r="C867" i="28"/>
  <c r="D867" i="28"/>
  <c r="AA867" i="28"/>
  <c r="AM867" i="28"/>
  <c r="B868" i="28"/>
  <c r="C868" i="28"/>
  <c r="D868" i="28"/>
  <c r="AA868" i="28"/>
  <c r="AM868" i="28"/>
  <c r="B870" i="28"/>
  <c r="C870" i="28"/>
  <c r="D870" i="28"/>
  <c r="AA870" i="28"/>
  <c r="AM870" i="28"/>
  <c r="B871" i="28"/>
  <c r="C871" i="28"/>
  <c r="D871" i="28"/>
  <c r="AM871" i="28"/>
  <c r="B872" i="28"/>
  <c r="C872" i="28"/>
  <c r="D872" i="28"/>
  <c r="AM872" i="28"/>
  <c r="B873" i="28"/>
  <c r="C873" i="28"/>
  <c r="D873" i="28"/>
  <c r="AM873" i="28"/>
  <c r="B874" i="28"/>
  <c r="C874" i="28"/>
  <c r="D874" i="28"/>
  <c r="AM874" i="28"/>
  <c r="B875" i="28"/>
  <c r="C875" i="28"/>
  <c r="D875" i="28"/>
  <c r="AM875" i="28"/>
  <c r="B876" i="28"/>
  <c r="C876" i="28"/>
  <c r="D876" i="28"/>
  <c r="AM876" i="28"/>
  <c r="B877" i="28"/>
  <c r="C877" i="28"/>
  <c r="D877" i="28"/>
  <c r="AM877" i="28"/>
  <c r="B878" i="28"/>
  <c r="C878" i="28"/>
  <c r="D878" i="28"/>
  <c r="AM878" i="28"/>
  <c r="B879" i="28"/>
  <c r="C879" i="28"/>
  <c r="D879" i="28"/>
  <c r="AM879" i="28"/>
  <c r="B880" i="28"/>
  <c r="C880" i="28"/>
  <c r="D880" i="28"/>
  <c r="AM880" i="28"/>
  <c r="B881" i="28"/>
  <c r="C881" i="28"/>
  <c r="D881" i="28"/>
  <c r="AM881" i="28"/>
  <c r="B882" i="28"/>
  <c r="C882" i="28"/>
  <c r="D882" i="28"/>
  <c r="F882" i="28"/>
  <c r="I882" i="28"/>
  <c r="L882" i="28"/>
  <c r="O882" i="28"/>
  <c r="R882" i="28"/>
  <c r="U882" i="28"/>
  <c r="X882" i="28"/>
  <c r="AA882" i="28"/>
  <c r="AM882" i="28"/>
  <c r="B883" i="28"/>
  <c r="C883" i="28"/>
  <c r="D883" i="28"/>
  <c r="F883" i="28"/>
  <c r="I883" i="28"/>
  <c r="L883" i="28"/>
  <c r="O883" i="28"/>
  <c r="R883" i="28"/>
  <c r="U883" i="28"/>
  <c r="X883" i="28"/>
  <c r="AA883" i="28"/>
  <c r="AM883" i="28"/>
  <c r="B884" i="28"/>
  <c r="C884" i="28"/>
  <c r="D884" i="28"/>
  <c r="F884" i="28"/>
  <c r="I884" i="28"/>
  <c r="L884" i="28"/>
  <c r="O884" i="28"/>
  <c r="R884" i="28"/>
  <c r="U884" i="28"/>
  <c r="X884" i="28"/>
  <c r="AA884" i="28"/>
  <c r="AM884" i="28"/>
  <c r="B885" i="28"/>
  <c r="C885" i="28"/>
  <c r="D885" i="28"/>
  <c r="F885" i="28"/>
  <c r="I885" i="28"/>
  <c r="L885" i="28"/>
  <c r="O885" i="28"/>
  <c r="R885" i="28"/>
  <c r="U885" i="28"/>
  <c r="X885" i="28"/>
  <c r="AA885" i="28"/>
  <c r="AM885" i="28"/>
  <c r="B887" i="28"/>
  <c r="C887" i="28"/>
  <c r="D887" i="28"/>
  <c r="AM887" i="28"/>
  <c r="B888" i="28"/>
  <c r="C888" i="28"/>
  <c r="D888" i="28"/>
  <c r="AA888" i="28"/>
  <c r="AM888" i="28"/>
  <c r="B889" i="28"/>
  <c r="C889" i="28"/>
  <c r="D889" i="28"/>
  <c r="F889" i="28"/>
  <c r="I889" i="28"/>
  <c r="L889" i="28"/>
  <c r="O889" i="28"/>
  <c r="R889" i="28"/>
  <c r="U889" i="28"/>
  <c r="X889" i="28"/>
  <c r="AA889" i="28"/>
  <c r="AM889" i="28"/>
  <c r="B890" i="28"/>
  <c r="C890" i="28"/>
  <c r="D890" i="28"/>
  <c r="AM890" i="28"/>
  <c r="B891" i="28"/>
  <c r="C891" i="28"/>
  <c r="D891" i="28"/>
  <c r="AM891" i="28"/>
  <c r="B892" i="28"/>
  <c r="C892" i="28"/>
  <c r="D892" i="28"/>
  <c r="F892" i="28"/>
  <c r="I892" i="28"/>
  <c r="L892" i="28"/>
  <c r="O892" i="28"/>
  <c r="R892" i="28"/>
  <c r="U892" i="28"/>
  <c r="X892" i="28"/>
  <c r="AA892" i="28"/>
  <c r="AM892" i="28"/>
  <c r="B893" i="28"/>
  <c r="C893" i="28"/>
  <c r="D893" i="28"/>
  <c r="F893" i="28"/>
  <c r="I893" i="28"/>
  <c r="L893" i="28"/>
  <c r="O893" i="28"/>
  <c r="R893" i="28"/>
  <c r="U893" i="28"/>
  <c r="X893" i="28"/>
  <c r="AA893" i="28"/>
  <c r="AM893" i="28"/>
  <c r="B894" i="28"/>
  <c r="C894" i="28"/>
  <c r="D894" i="28"/>
  <c r="AA894" i="28"/>
  <c r="AM894" i="28"/>
  <c r="B895" i="28"/>
  <c r="C895" i="28"/>
  <c r="D895" i="28"/>
  <c r="F895" i="28"/>
  <c r="I895" i="28"/>
  <c r="L895" i="28"/>
  <c r="O895" i="28"/>
  <c r="R895" i="28"/>
  <c r="U895" i="28"/>
  <c r="X895" i="28"/>
  <c r="AA895" i="28"/>
  <c r="AM895" i="28"/>
  <c r="B896" i="28"/>
  <c r="C896" i="28"/>
  <c r="D896" i="28"/>
  <c r="F896" i="28"/>
  <c r="I896" i="28"/>
  <c r="L896" i="28"/>
  <c r="O896" i="28"/>
  <c r="R896" i="28"/>
  <c r="U896" i="28"/>
  <c r="X896" i="28"/>
  <c r="AA896" i="28"/>
  <c r="AM896" i="28"/>
  <c r="B897" i="28"/>
  <c r="C897" i="28"/>
  <c r="D897" i="28"/>
  <c r="F897" i="28"/>
  <c r="I897" i="28"/>
  <c r="L897" i="28"/>
  <c r="O897" i="28"/>
  <c r="R897" i="28"/>
  <c r="U897" i="28"/>
  <c r="X897" i="28"/>
  <c r="AA897" i="28"/>
  <c r="AM897" i="28"/>
  <c r="B898" i="28"/>
  <c r="C898" i="28"/>
  <c r="D898" i="28"/>
  <c r="F898" i="28"/>
  <c r="I898" i="28"/>
  <c r="L898" i="28"/>
  <c r="O898" i="28"/>
  <c r="R898" i="28"/>
  <c r="U898" i="28"/>
  <c r="X898" i="28"/>
  <c r="AA898" i="28"/>
  <c r="AM898" i="28"/>
  <c r="B899" i="28"/>
  <c r="C899" i="28"/>
  <c r="D899" i="28"/>
  <c r="F899" i="28"/>
  <c r="I899" i="28"/>
  <c r="L899" i="28"/>
  <c r="O899" i="28"/>
  <c r="R899" i="28"/>
  <c r="U899" i="28"/>
  <c r="X899" i="28"/>
  <c r="AA899" i="28"/>
  <c r="AM899" i="28"/>
  <c r="B900" i="28"/>
  <c r="C900" i="28"/>
  <c r="D900" i="28"/>
  <c r="F900" i="28"/>
  <c r="I900" i="28"/>
  <c r="L900" i="28"/>
  <c r="O900" i="28"/>
  <c r="R900" i="28"/>
  <c r="U900" i="28"/>
  <c r="X900" i="28"/>
  <c r="AA900" i="28"/>
  <c r="AM900" i="28"/>
  <c r="B901" i="28"/>
  <c r="C901" i="28"/>
  <c r="D901" i="28"/>
  <c r="F901" i="28"/>
  <c r="I901" i="28"/>
  <c r="L901" i="28"/>
  <c r="O901" i="28"/>
  <c r="R901" i="28"/>
  <c r="U901" i="28"/>
  <c r="X901" i="28"/>
  <c r="F100" i="30"/>
  <c r="AM901" i="28"/>
  <c r="B902" i="28"/>
  <c r="C902" i="28"/>
  <c r="D902" i="28"/>
  <c r="F902" i="28"/>
  <c r="I902" i="28"/>
  <c r="L902" i="28"/>
  <c r="O902" i="28"/>
  <c r="R902" i="28"/>
  <c r="U902" i="28"/>
  <c r="X902" i="28"/>
  <c r="AA902" i="28"/>
  <c r="AM902" i="28"/>
  <c r="B903" i="28"/>
  <c r="C903" i="28"/>
  <c r="D903" i="28"/>
  <c r="F903" i="28"/>
  <c r="I903" i="28"/>
  <c r="L903" i="28"/>
  <c r="O903" i="28"/>
  <c r="R903" i="28"/>
  <c r="U903" i="28"/>
  <c r="X903" i="28"/>
  <c r="AA903" i="28"/>
  <c r="AM903" i="28"/>
  <c r="B904" i="28"/>
  <c r="C904" i="28"/>
  <c r="D904" i="28"/>
  <c r="F904" i="28"/>
  <c r="I904" i="28"/>
  <c r="L904" i="28"/>
  <c r="O904" i="28"/>
  <c r="R904" i="28"/>
  <c r="U904" i="28"/>
  <c r="X904" i="28"/>
  <c r="AA904" i="28"/>
  <c r="AM904" i="28"/>
  <c r="B905" i="28"/>
  <c r="C905" i="28"/>
  <c r="D905" i="28"/>
  <c r="F905" i="28"/>
  <c r="I905" i="28"/>
  <c r="L905" i="28"/>
  <c r="O905" i="28"/>
  <c r="R905" i="28"/>
  <c r="U905" i="28"/>
  <c r="X905" i="28"/>
  <c r="AA905" i="28"/>
  <c r="AM905" i="28"/>
  <c r="B906" i="28"/>
  <c r="C906" i="28"/>
  <c r="D906" i="28"/>
  <c r="F906" i="28"/>
  <c r="I906" i="28"/>
  <c r="L906" i="28"/>
  <c r="O906" i="28"/>
  <c r="R906" i="28"/>
  <c r="U906" i="28"/>
  <c r="X906" i="28"/>
  <c r="AA906" i="28"/>
  <c r="AM906" i="28"/>
  <c r="B907" i="28"/>
  <c r="C907" i="28"/>
  <c r="D907" i="28"/>
  <c r="F907" i="28"/>
  <c r="I907" i="28"/>
  <c r="L907" i="28"/>
  <c r="O907" i="28"/>
  <c r="R907" i="28"/>
  <c r="U907" i="28"/>
  <c r="X907" i="28"/>
  <c r="AA907" i="28"/>
  <c r="AM907" i="28"/>
  <c r="B908" i="28"/>
  <c r="C908" i="28"/>
  <c r="D908" i="28"/>
  <c r="F908" i="28"/>
  <c r="I908" i="28"/>
  <c r="L908" i="28"/>
  <c r="O908" i="28"/>
  <c r="R908" i="28"/>
  <c r="U908" i="28"/>
  <c r="X908" i="28"/>
  <c r="AA908" i="28"/>
  <c r="AM908" i="28"/>
  <c r="B909" i="28"/>
  <c r="C909" i="28"/>
  <c r="D909" i="28"/>
  <c r="F909" i="28"/>
  <c r="I909" i="28"/>
  <c r="L909" i="28"/>
  <c r="O909" i="28"/>
  <c r="R909" i="28"/>
  <c r="U909" i="28"/>
  <c r="X909" i="28"/>
  <c r="AA909" i="28"/>
  <c r="AM909" i="28"/>
  <c r="B910" i="28"/>
  <c r="C910" i="28"/>
  <c r="D910" i="28"/>
  <c r="F910" i="28"/>
  <c r="I910" i="28"/>
  <c r="L910" i="28"/>
  <c r="O910" i="28"/>
  <c r="R910" i="28"/>
  <c r="U910" i="28"/>
  <c r="X910" i="28"/>
  <c r="AA910" i="28"/>
  <c r="AM910" i="28"/>
  <c r="B911" i="28"/>
  <c r="C911" i="28"/>
  <c r="D911" i="28"/>
  <c r="F911" i="28"/>
  <c r="I911" i="28"/>
  <c r="L911" i="28"/>
  <c r="O911" i="28"/>
  <c r="R911" i="28"/>
  <c r="U911" i="28"/>
  <c r="X911" i="28"/>
  <c r="AA911" i="28"/>
  <c r="AM911" i="28"/>
  <c r="B912" i="28"/>
  <c r="C912" i="28"/>
  <c r="D912" i="28"/>
  <c r="F912" i="28"/>
  <c r="I912" i="28"/>
  <c r="L912" i="28"/>
  <c r="O912" i="28"/>
  <c r="R912" i="28"/>
  <c r="U912" i="28"/>
  <c r="X912" i="28"/>
  <c r="AA912" i="28"/>
  <c r="AM912" i="28"/>
  <c r="B913" i="28"/>
  <c r="C913" i="28"/>
  <c r="D913" i="28"/>
  <c r="F913" i="28"/>
  <c r="I913" i="28"/>
  <c r="L913" i="28"/>
  <c r="O913" i="28"/>
  <c r="R913" i="28"/>
  <c r="U913" i="28"/>
  <c r="X913" i="28"/>
  <c r="AA913" i="28"/>
  <c r="AM913" i="28"/>
  <c r="B914" i="28"/>
  <c r="C914" i="28"/>
  <c r="D914" i="28"/>
  <c r="F914" i="28"/>
  <c r="I914" i="28"/>
  <c r="L914" i="28"/>
  <c r="O914" i="28"/>
  <c r="R914" i="28"/>
  <c r="U914" i="28"/>
  <c r="X914" i="28"/>
  <c r="AA914" i="28"/>
  <c r="AM914" i="28"/>
  <c r="B915" i="28"/>
  <c r="C915" i="28"/>
  <c r="D915" i="28"/>
  <c r="AA915" i="28"/>
  <c r="AM915" i="28"/>
  <c r="B916" i="28"/>
  <c r="C916" i="28"/>
  <c r="D916" i="28"/>
  <c r="AA916" i="28"/>
  <c r="AM916" i="28"/>
  <c r="B917" i="28"/>
  <c r="C917" i="28"/>
  <c r="D917" i="28"/>
  <c r="AA917" i="28"/>
  <c r="AM917" i="28"/>
  <c r="B918" i="28"/>
  <c r="C918" i="28"/>
  <c r="D918" i="28"/>
  <c r="AA918" i="28"/>
  <c r="AM918" i="28"/>
  <c r="B919" i="28"/>
  <c r="C919" i="28"/>
  <c r="D919" i="28"/>
  <c r="AA919" i="28"/>
  <c r="AM919" i="28"/>
  <c r="B920" i="28"/>
  <c r="C920" i="28"/>
  <c r="D920" i="28"/>
  <c r="AA920" i="28"/>
  <c r="AM920" i="28"/>
  <c r="B921" i="28"/>
  <c r="C921" i="28"/>
  <c r="D921" i="28"/>
  <c r="AM921" i="28"/>
  <c r="B922" i="28"/>
  <c r="C922" i="28"/>
  <c r="D922" i="28"/>
  <c r="AM922" i="28"/>
  <c r="B923" i="28"/>
  <c r="C923" i="28"/>
  <c r="D923" i="28"/>
  <c r="AM923" i="28"/>
  <c r="B924" i="28"/>
  <c r="C924" i="28"/>
  <c r="D924" i="28"/>
  <c r="AM924" i="28"/>
  <c r="B925" i="28"/>
  <c r="C925" i="28"/>
  <c r="D925" i="28"/>
  <c r="AM925" i="28"/>
  <c r="B926" i="28"/>
  <c r="C926" i="28"/>
  <c r="D926" i="28"/>
  <c r="F926" i="28"/>
  <c r="I926" i="28"/>
  <c r="L926" i="28"/>
  <c r="O926" i="28"/>
  <c r="R926" i="28"/>
  <c r="U926" i="28"/>
  <c r="X926" i="28"/>
  <c r="AA926" i="28"/>
  <c r="AM926" i="28"/>
  <c r="B927" i="28"/>
  <c r="C927" i="28"/>
  <c r="D927" i="28"/>
  <c r="AA927" i="28"/>
  <c r="AM927" i="28"/>
  <c r="B928" i="28"/>
  <c r="C928" i="28"/>
  <c r="D928" i="28"/>
  <c r="AA928" i="28"/>
  <c r="AM928" i="28"/>
  <c r="B929" i="28"/>
  <c r="C929" i="28"/>
  <c r="D929" i="28"/>
  <c r="AA929" i="28"/>
  <c r="AM929" i="28"/>
  <c r="B930" i="28"/>
  <c r="C930" i="28"/>
  <c r="D930" i="28"/>
  <c r="AA930" i="28"/>
  <c r="AM930" i="28"/>
  <c r="B931" i="28"/>
  <c r="C931" i="28"/>
  <c r="D931" i="28"/>
  <c r="AA931" i="28"/>
  <c r="AM931" i="28"/>
  <c r="B932" i="28"/>
  <c r="C932" i="28"/>
  <c r="D932" i="28"/>
  <c r="AA932" i="28"/>
  <c r="AM932" i="28"/>
  <c r="B933" i="28"/>
  <c r="C933" i="28"/>
  <c r="D933" i="28"/>
  <c r="AA933" i="28"/>
  <c r="AM933" i="28"/>
  <c r="B934" i="28"/>
  <c r="C934" i="28"/>
  <c r="D934" i="28"/>
  <c r="AA934" i="28"/>
  <c r="AM934" i="28"/>
  <c r="B935" i="28"/>
  <c r="C935" i="28"/>
  <c r="D935" i="28"/>
  <c r="AA935" i="28"/>
  <c r="AM935" i="28"/>
  <c r="B936" i="28"/>
  <c r="C936" i="28"/>
  <c r="D936" i="28"/>
  <c r="AA936" i="28"/>
  <c r="AM936" i="28"/>
  <c r="B937" i="28"/>
  <c r="C937" i="28"/>
  <c r="D937" i="28"/>
  <c r="AA937" i="28"/>
  <c r="AM937" i="28"/>
  <c r="B938" i="28"/>
  <c r="C938" i="28"/>
  <c r="D938" i="28"/>
  <c r="AA938" i="28"/>
  <c r="AM938" i="28"/>
  <c r="B939" i="28"/>
  <c r="C939" i="28"/>
  <c r="D939" i="28"/>
  <c r="AA939" i="28"/>
  <c r="AM939" i="28"/>
  <c r="B940" i="28"/>
  <c r="C940" i="28"/>
  <c r="D940" i="28"/>
  <c r="AA940" i="28"/>
  <c r="AM940" i="28"/>
  <c r="B941" i="28"/>
  <c r="C941" i="28"/>
  <c r="D941" i="28"/>
  <c r="AA941" i="28"/>
  <c r="AM941" i="28"/>
  <c r="B942" i="28"/>
  <c r="C942" i="28"/>
  <c r="D942" i="28"/>
  <c r="AA942" i="28"/>
  <c r="AM942" i="28"/>
  <c r="B943" i="28"/>
  <c r="C943" i="28"/>
  <c r="D943" i="28"/>
  <c r="AM943" i="28"/>
  <c r="B944" i="28"/>
  <c r="C944" i="28"/>
  <c r="D944" i="28"/>
  <c r="AA944" i="28"/>
  <c r="AM944" i="28"/>
  <c r="B945" i="28"/>
  <c r="C945" i="28"/>
  <c r="D945" i="28"/>
  <c r="F945" i="28"/>
  <c r="I945" i="28"/>
  <c r="L945" i="28"/>
  <c r="O945" i="28"/>
  <c r="R945" i="28"/>
  <c r="U945" i="28"/>
  <c r="X945" i="28"/>
  <c r="AA945" i="28"/>
  <c r="AM945" i="28"/>
  <c r="B946" i="28"/>
  <c r="C946" i="28"/>
  <c r="D946" i="28"/>
  <c r="AA946" i="28"/>
  <c r="AM946" i="28"/>
  <c r="B947" i="28"/>
  <c r="C947" i="28"/>
  <c r="D947" i="28"/>
  <c r="AA947" i="28"/>
  <c r="AM947" i="28"/>
  <c r="B948" i="28"/>
  <c r="C948" i="28"/>
  <c r="D948" i="28"/>
  <c r="AA948" i="28"/>
  <c r="AM948" i="28"/>
  <c r="B949" i="28"/>
  <c r="C949" i="28"/>
  <c r="D949" i="28"/>
  <c r="AM949" i="28"/>
  <c r="B950" i="28"/>
  <c r="C950" i="28"/>
  <c r="D950" i="28"/>
  <c r="AM950" i="28"/>
  <c r="B951" i="28"/>
  <c r="C951" i="28"/>
  <c r="D951" i="28"/>
  <c r="AM951" i="28"/>
  <c r="B952" i="28"/>
  <c r="C952" i="28"/>
  <c r="D952" i="28"/>
  <c r="AM952" i="28"/>
  <c r="B953" i="28"/>
  <c r="C953" i="28"/>
  <c r="D953" i="28"/>
  <c r="AM953" i="28"/>
  <c r="B954" i="28"/>
  <c r="C954" i="28"/>
  <c r="D954" i="28"/>
  <c r="AA954" i="28"/>
  <c r="AM954" i="28"/>
  <c r="B955" i="28"/>
  <c r="C955" i="28"/>
  <c r="D955" i="28"/>
  <c r="AA955" i="28"/>
  <c r="AM955" i="28"/>
  <c r="B956" i="28"/>
  <c r="C956" i="28"/>
  <c r="D956" i="28"/>
  <c r="AA956" i="28"/>
  <c r="AM956" i="28"/>
  <c r="B957" i="28"/>
  <c r="C957" i="28"/>
  <c r="D957" i="28"/>
  <c r="AA957" i="28"/>
  <c r="AM957" i="28"/>
  <c r="B958" i="28"/>
  <c r="C958" i="28"/>
  <c r="D958" i="28"/>
  <c r="F958" i="28"/>
  <c r="I958" i="28"/>
  <c r="L958" i="28"/>
  <c r="O958" i="28"/>
  <c r="R958" i="28"/>
  <c r="U958" i="28"/>
  <c r="X958" i="28"/>
  <c r="AA958" i="28"/>
  <c r="AM958" i="28"/>
  <c r="B960" i="28"/>
  <c r="C960" i="28"/>
  <c r="D960" i="28"/>
  <c r="AA960" i="28"/>
  <c r="AM960" i="28"/>
  <c r="B961" i="28"/>
  <c r="C961" i="28"/>
  <c r="D961" i="28"/>
  <c r="AA961" i="28"/>
  <c r="AM961" i="28"/>
  <c r="B962" i="28"/>
  <c r="C962" i="28"/>
  <c r="D962" i="28"/>
  <c r="AA962" i="28"/>
  <c r="AM962" i="28"/>
  <c r="B963" i="28"/>
  <c r="C963" i="28"/>
  <c r="D963" i="28"/>
  <c r="AA963" i="28"/>
  <c r="AM963" i="28"/>
  <c r="B964" i="28"/>
  <c r="C964" i="28"/>
  <c r="D964" i="28"/>
  <c r="AA964" i="28"/>
  <c r="AM964" i="28"/>
  <c r="B965" i="28"/>
  <c r="C965" i="28"/>
  <c r="D965" i="28"/>
  <c r="AA965" i="28"/>
  <c r="AM965" i="28"/>
  <c r="B966" i="28"/>
  <c r="C966" i="28"/>
  <c r="D966" i="28"/>
  <c r="AA966" i="28"/>
  <c r="AM966" i="28"/>
  <c r="B967" i="28"/>
  <c r="C967" i="28"/>
  <c r="D967" i="28"/>
  <c r="F967" i="28"/>
  <c r="I967" i="28"/>
  <c r="L967" i="28"/>
  <c r="O967" i="28"/>
  <c r="R967" i="28"/>
  <c r="U967" i="28"/>
  <c r="X967" i="28"/>
  <c r="AA967" i="28"/>
  <c r="AM967" i="28"/>
  <c r="B968" i="28"/>
  <c r="C968" i="28"/>
  <c r="D968" i="28"/>
  <c r="F968" i="28"/>
  <c r="I968" i="28"/>
  <c r="L968" i="28"/>
  <c r="O968" i="28"/>
  <c r="R968" i="28"/>
  <c r="U968" i="28"/>
  <c r="X968" i="28"/>
  <c r="AA968" i="28"/>
  <c r="AM968" i="28"/>
  <c r="B969" i="28"/>
  <c r="C969" i="28"/>
  <c r="D969" i="28"/>
  <c r="F969" i="28"/>
  <c r="I969" i="28"/>
  <c r="L969" i="28"/>
  <c r="O969" i="28"/>
  <c r="R969" i="28"/>
  <c r="U969" i="28"/>
  <c r="X969" i="28"/>
  <c r="AA969" i="28"/>
  <c r="AM969" i="28"/>
  <c r="B970" i="28"/>
  <c r="C970" i="28"/>
  <c r="D970" i="28"/>
  <c r="F970" i="28"/>
  <c r="I970" i="28"/>
  <c r="L970" i="28"/>
  <c r="O970" i="28"/>
  <c r="R970" i="28"/>
  <c r="U970" i="28"/>
  <c r="X970" i="28"/>
  <c r="AA970" i="28"/>
  <c r="AG970" i="28"/>
  <c r="AM970" i="28"/>
  <c r="B971" i="28"/>
  <c r="C971" i="28"/>
  <c r="D971" i="28"/>
  <c r="F971" i="28"/>
  <c r="I971" i="28"/>
  <c r="L971" i="28"/>
  <c r="O971" i="28"/>
  <c r="R971" i="28"/>
  <c r="U971" i="28"/>
  <c r="X971" i="28"/>
  <c r="AA971" i="28"/>
  <c r="AM971" i="28"/>
  <c r="B972" i="28"/>
  <c r="C972" i="28"/>
  <c r="D972" i="28"/>
  <c r="F972" i="28"/>
  <c r="I972" i="28"/>
  <c r="L972" i="28"/>
  <c r="O972" i="28"/>
  <c r="R972" i="28"/>
  <c r="U972" i="28"/>
  <c r="X972" i="28"/>
  <c r="AA972" i="28"/>
  <c r="AM972" i="28"/>
  <c r="B973" i="28"/>
  <c r="C973" i="28"/>
  <c r="D973" i="28"/>
  <c r="F973" i="28"/>
  <c r="I973" i="28"/>
  <c r="L973" i="28"/>
  <c r="O973" i="28"/>
  <c r="R973" i="28"/>
  <c r="U973" i="28"/>
  <c r="X973" i="28"/>
  <c r="AA973" i="28"/>
  <c r="AM973" i="28"/>
  <c r="B974" i="28"/>
  <c r="C974" i="28"/>
  <c r="D974" i="28"/>
  <c r="F974" i="28"/>
  <c r="I974" i="28"/>
  <c r="L974" i="28"/>
  <c r="O974" i="28"/>
  <c r="R974" i="28"/>
  <c r="U974" i="28"/>
  <c r="X974" i="28"/>
  <c r="AA974" i="28"/>
  <c r="AM974" i="28"/>
  <c r="B975" i="28"/>
  <c r="C975" i="28"/>
  <c r="D975" i="28"/>
  <c r="AA975" i="28"/>
  <c r="AM975" i="28"/>
  <c r="B976" i="28"/>
  <c r="C976" i="28"/>
  <c r="D976" i="28"/>
  <c r="AA976" i="28"/>
  <c r="AM976" i="28"/>
  <c r="B977" i="28"/>
  <c r="C977" i="28"/>
  <c r="D977" i="28"/>
  <c r="AA977" i="28"/>
  <c r="AM977" i="28"/>
  <c r="B978" i="28"/>
  <c r="C978" i="28"/>
  <c r="D978" i="28"/>
  <c r="AA978" i="28"/>
  <c r="AM978" i="28"/>
  <c r="B979" i="28"/>
  <c r="C979" i="28"/>
  <c r="D979" i="28"/>
  <c r="AA979" i="28"/>
  <c r="AM979" i="28"/>
  <c r="B980" i="28"/>
  <c r="C980" i="28"/>
  <c r="D980" i="28"/>
  <c r="F980" i="28"/>
  <c r="I980" i="28"/>
  <c r="L980" i="28"/>
  <c r="O980" i="28"/>
  <c r="R980" i="28"/>
  <c r="U980" i="28"/>
  <c r="X980" i="28"/>
  <c r="AA980" i="28"/>
  <c r="AM980" i="28"/>
  <c r="B981" i="28"/>
  <c r="C981" i="28"/>
  <c r="D981" i="28"/>
  <c r="F981" i="28"/>
  <c r="I981" i="28"/>
  <c r="L981" i="28"/>
  <c r="O981" i="28"/>
  <c r="R981" i="28"/>
  <c r="U981" i="28"/>
  <c r="X981" i="28"/>
  <c r="AA981" i="28"/>
  <c r="AM981" i="28"/>
  <c r="B982" i="28"/>
  <c r="C982" i="28"/>
  <c r="D982" i="28"/>
  <c r="F982" i="28"/>
  <c r="I982" i="28"/>
  <c r="L982" i="28"/>
  <c r="O982" i="28"/>
  <c r="R982" i="28"/>
  <c r="U982" i="28"/>
  <c r="X982" i="28"/>
  <c r="AA982" i="28"/>
  <c r="AG982" i="28"/>
  <c r="AH982" i="28" s="1"/>
  <c r="AM982" i="28"/>
  <c r="B983" i="28"/>
  <c r="C983" i="28"/>
  <c r="D983" i="28"/>
  <c r="F983" i="28"/>
  <c r="I983" i="28"/>
  <c r="L983" i="28"/>
  <c r="O983" i="28"/>
  <c r="R983" i="28"/>
  <c r="U983" i="28"/>
  <c r="X983" i="28"/>
  <c r="AA983" i="28"/>
  <c r="AM983" i="28"/>
  <c r="B984" i="28"/>
  <c r="C984" i="28"/>
  <c r="D984" i="28"/>
  <c r="F984" i="28"/>
  <c r="I984" i="28"/>
  <c r="L984" i="28"/>
  <c r="O984" i="28"/>
  <c r="R984" i="28"/>
  <c r="U984" i="28"/>
  <c r="X984" i="28"/>
  <c r="AA984" i="28"/>
  <c r="AM984" i="28"/>
  <c r="B985" i="28"/>
  <c r="C985" i="28"/>
  <c r="D985" i="28"/>
  <c r="F985" i="28"/>
  <c r="I985" i="28"/>
  <c r="L985" i="28"/>
  <c r="O985" i="28"/>
  <c r="R985" i="28"/>
  <c r="U985" i="28"/>
  <c r="X985" i="28"/>
  <c r="AA985" i="28"/>
  <c r="AM985" i="28"/>
  <c r="B986" i="28"/>
  <c r="C986" i="28"/>
  <c r="D986" i="28"/>
  <c r="AM986" i="28"/>
  <c r="AM987" i="28"/>
  <c r="B988" i="28"/>
  <c r="C988" i="28"/>
  <c r="D988" i="28"/>
  <c r="AA988" i="28"/>
  <c r="AM988" i="28"/>
  <c r="B989" i="28"/>
  <c r="C989" i="28"/>
  <c r="D989" i="28"/>
  <c r="F989" i="28"/>
  <c r="I989" i="28"/>
  <c r="L989" i="28"/>
  <c r="O989" i="28"/>
  <c r="R989" i="28"/>
  <c r="U989" i="28"/>
  <c r="X989" i="28"/>
  <c r="AA989" i="28"/>
  <c r="AM989" i="28"/>
  <c r="B990" i="28"/>
  <c r="C990" i="28"/>
  <c r="D990" i="28"/>
  <c r="F990" i="28"/>
  <c r="I990" i="28"/>
  <c r="L990" i="28"/>
  <c r="O990" i="28"/>
  <c r="R990" i="28"/>
  <c r="U990" i="28"/>
  <c r="X990" i="28"/>
  <c r="AA990" i="28"/>
  <c r="AM990" i="28"/>
  <c r="B991" i="28"/>
  <c r="C991" i="28"/>
  <c r="D991" i="28"/>
  <c r="AA991" i="28"/>
  <c r="AM991" i="28"/>
  <c r="B992" i="28"/>
  <c r="C992" i="28"/>
  <c r="D992" i="28"/>
  <c r="AA992" i="28"/>
  <c r="AM992" i="28"/>
  <c r="B994" i="28"/>
  <c r="C994" i="28"/>
  <c r="D994" i="28"/>
  <c r="F994" i="28"/>
  <c r="I994" i="28"/>
  <c r="L994" i="28"/>
  <c r="O994" i="28"/>
  <c r="R994" i="28"/>
  <c r="U994" i="28"/>
  <c r="X994" i="28"/>
  <c r="AA994" i="28"/>
  <c r="AM994" i="28"/>
  <c r="B999" i="28"/>
  <c r="C999" i="28"/>
  <c r="D999" i="28"/>
  <c r="F999" i="28"/>
  <c r="I999" i="28"/>
  <c r="L999" i="28"/>
  <c r="O999" i="28"/>
  <c r="R999" i="28"/>
  <c r="U999" i="28"/>
  <c r="X999" i="28"/>
  <c r="AA999" i="28"/>
  <c r="AM999" i="28"/>
  <c r="B1000" i="28"/>
  <c r="C1000" i="28"/>
  <c r="D1000" i="28"/>
  <c r="F1000" i="28"/>
  <c r="I1000" i="28"/>
  <c r="L1000" i="28"/>
  <c r="O1000" i="28"/>
  <c r="R1000" i="28"/>
  <c r="U1000" i="28"/>
  <c r="X1000" i="28"/>
  <c r="AA1000" i="28"/>
  <c r="AM1000" i="28"/>
  <c r="B1001" i="28"/>
  <c r="C1001" i="28"/>
  <c r="D1001" i="28"/>
  <c r="F1001" i="28"/>
  <c r="I1001" i="28"/>
  <c r="L1001" i="28"/>
  <c r="O1001" i="28"/>
  <c r="R1001" i="28"/>
  <c r="U1001" i="28"/>
  <c r="X1001" i="28"/>
  <c r="AA1001" i="28"/>
  <c r="AM1001" i="28"/>
  <c r="B1002" i="28"/>
  <c r="C1002" i="28"/>
  <c r="D1002" i="28"/>
  <c r="F1002" i="28"/>
  <c r="I1002" i="28"/>
  <c r="L1002" i="28"/>
  <c r="O1002" i="28"/>
  <c r="R1002" i="28"/>
  <c r="U1002" i="28"/>
  <c r="X1002" i="28"/>
  <c r="AA1002" i="28"/>
  <c r="AM1002" i="28"/>
  <c r="B1003" i="28"/>
  <c r="C1003" i="28"/>
  <c r="D1003" i="28"/>
  <c r="F1003" i="28"/>
  <c r="I1003" i="28"/>
  <c r="L1003" i="28"/>
  <c r="O1003" i="28"/>
  <c r="R1003" i="28"/>
  <c r="U1003" i="28"/>
  <c r="X1003" i="28"/>
  <c r="AA1003" i="28"/>
  <c r="AM1003" i="28"/>
  <c r="B1004" i="28"/>
  <c r="C1004" i="28"/>
  <c r="D1004" i="28"/>
  <c r="F1004" i="28"/>
  <c r="I1004" i="28"/>
  <c r="L1004" i="28"/>
  <c r="O1004" i="28"/>
  <c r="R1004" i="28"/>
  <c r="U1004" i="28"/>
  <c r="X1004" i="28"/>
  <c r="AA1004" i="28"/>
  <c r="AM1004" i="28"/>
  <c r="B1005" i="28"/>
  <c r="C1005" i="28"/>
  <c r="D1005" i="28"/>
  <c r="F1005" i="28"/>
  <c r="I1005" i="28"/>
  <c r="L1005" i="28"/>
  <c r="O1005" i="28"/>
  <c r="R1005" i="28"/>
  <c r="U1005" i="28"/>
  <c r="X1005" i="28"/>
  <c r="AA1005" i="28"/>
  <c r="AM1005" i="28"/>
  <c r="B1006" i="28"/>
  <c r="C1006" i="28"/>
  <c r="D1006" i="28"/>
  <c r="F1006" i="28"/>
  <c r="I1006" i="28"/>
  <c r="L1006" i="28"/>
  <c r="O1006" i="28"/>
  <c r="R1006" i="28"/>
  <c r="U1006" i="28"/>
  <c r="X1006" i="28"/>
  <c r="AA1006" i="28"/>
  <c r="AM1006" i="28"/>
  <c r="B1007" i="28"/>
  <c r="C1007" i="28"/>
  <c r="D1007" i="28"/>
  <c r="F1007" i="28"/>
  <c r="I1007" i="28"/>
  <c r="L1007" i="28"/>
  <c r="O1007" i="28"/>
  <c r="R1007" i="28"/>
  <c r="U1007" i="28"/>
  <c r="X1007" i="28"/>
  <c r="AA1007" i="28"/>
  <c r="S146" i="39"/>
  <c r="AM1007" i="28"/>
  <c r="B1008" i="28"/>
  <c r="C1008" i="28"/>
  <c r="D1008" i="28"/>
  <c r="F1008" i="28"/>
  <c r="I1008" i="28"/>
  <c r="L1008" i="28"/>
  <c r="O1008" i="28"/>
  <c r="R1008" i="28"/>
  <c r="U1008" i="28"/>
  <c r="X1008" i="28"/>
  <c r="AA1008" i="28"/>
  <c r="AM1008" i="28"/>
  <c r="B1009" i="28"/>
  <c r="C1009" i="28"/>
  <c r="D1009" i="28"/>
  <c r="F1009" i="28"/>
  <c r="I1009" i="28"/>
  <c r="L1009" i="28"/>
  <c r="O1009" i="28"/>
  <c r="R1009" i="28"/>
  <c r="U1009" i="28"/>
  <c r="X1009" i="28"/>
  <c r="AA1009" i="28"/>
  <c r="AM1009" i="28"/>
  <c r="B1010" i="28"/>
  <c r="C1010" i="28"/>
  <c r="D1010" i="28"/>
  <c r="F1010" i="28"/>
  <c r="I1010" i="28"/>
  <c r="L1010" i="28"/>
  <c r="O1010" i="28"/>
  <c r="R1010" i="28"/>
  <c r="U1010" i="28"/>
  <c r="X1010" i="28"/>
  <c r="AA1010" i="28"/>
  <c r="AM1010" i="28"/>
  <c r="B1011" i="28"/>
  <c r="C1011" i="28"/>
  <c r="D1011" i="28"/>
  <c r="F1011" i="28"/>
  <c r="I1011" i="28"/>
  <c r="L1011" i="28"/>
  <c r="O1011" i="28"/>
  <c r="R1011" i="28"/>
  <c r="U1011" i="28"/>
  <c r="X1011" i="28"/>
  <c r="AA1011" i="28"/>
  <c r="AM1011" i="28"/>
  <c r="B1012" i="28"/>
  <c r="C1012" i="28"/>
  <c r="D1012" i="28"/>
  <c r="F1012" i="28"/>
  <c r="I1012" i="28"/>
  <c r="L1012" i="28"/>
  <c r="O1012" i="28"/>
  <c r="R1012" i="28"/>
  <c r="U1012" i="28"/>
  <c r="X1012" i="28"/>
  <c r="AA1012" i="28"/>
  <c r="AM1012" i="28"/>
  <c r="B1013" i="28"/>
  <c r="C1013" i="28"/>
  <c r="D1013" i="28"/>
  <c r="F1013" i="28"/>
  <c r="I1013" i="28"/>
  <c r="L1013" i="28"/>
  <c r="O1013" i="28"/>
  <c r="R1013" i="28"/>
  <c r="U1013" i="28"/>
  <c r="X1013" i="28"/>
  <c r="AA1013" i="28"/>
  <c r="AM1013" i="28"/>
  <c r="B1014" i="28"/>
  <c r="C1014" i="28"/>
  <c r="D1014" i="28"/>
  <c r="F1014" i="28"/>
  <c r="I1014" i="28"/>
  <c r="L1014" i="28"/>
  <c r="O1014" i="28"/>
  <c r="R1014" i="28"/>
  <c r="U1014" i="28"/>
  <c r="X1014" i="28"/>
  <c r="AA1014" i="28"/>
  <c r="AM1014" i="28"/>
  <c r="B1015" i="28"/>
  <c r="C1015" i="28"/>
  <c r="D1015" i="28"/>
  <c r="F1015" i="28"/>
  <c r="I1015" i="28"/>
  <c r="L1015" i="28"/>
  <c r="O1015" i="28"/>
  <c r="R1015" i="28"/>
  <c r="U1015" i="28"/>
  <c r="X1015" i="28"/>
  <c r="AA1015" i="28"/>
  <c r="AM1015" i="28"/>
  <c r="B1016" i="28"/>
  <c r="C1016" i="28"/>
  <c r="D1016" i="28"/>
  <c r="F1016" i="28"/>
  <c r="I1016" i="28"/>
  <c r="L1016" i="28"/>
  <c r="O1016" i="28"/>
  <c r="R1016" i="28"/>
  <c r="U1016" i="28"/>
  <c r="X1016" i="28"/>
  <c r="AA1016" i="28"/>
  <c r="AM1016" i="28"/>
  <c r="B1017" i="28"/>
  <c r="C1017" i="28"/>
  <c r="D1017" i="28"/>
  <c r="F1017" i="28"/>
  <c r="I1017" i="28"/>
  <c r="L1017" i="28"/>
  <c r="O1017" i="28"/>
  <c r="R1017" i="28"/>
  <c r="U1017" i="28"/>
  <c r="X1017" i="28"/>
  <c r="AA1017" i="28"/>
  <c r="AM1017" i="28"/>
  <c r="B1018" i="28"/>
  <c r="C1018" i="28"/>
  <c r="D1018" i="28"/>
  <c r="F1018" i="28"/>
  <c r="I1018" i="28"/>
  <c r="L1018" i="28"/>
  <c r="O1018" i="28"/>
  <c r="R1018" i="28"/>
  <c r="U1018" i="28"/>
  <c r="X1018" i="28"/>
  <c r="AA1018" i="28"/>
  <c r="AM1018" i="28"/>
  <c r="B1019" i="28"/>
  <c r="C1019" i="28"/>
  <c r="D1019" i="28"/>
  <c r="F1019" i="28"/>
  <c r="I1019" i="28"/>
  <c r="L1019" i="28"/>
  <c r="O1019" i="28"/>
  <c r="R1019" i="28"/>
  <c r="U1019" i="28"/>
  <c r="X1019" i="28"/>
  <c r="AA1019" i="28"/>
  <c r="AM1019" i="28"/>
  <c r="B1020" i="28"/>
  <c r="C1020" i="28"/>
  <c r="D1020" i="28"/>
  <c r="F1020" i="28"/>
  <c r="I1020" i="28"/>
  <c r="L1020" i="28"/>
  <c r="O1020" i="28"/>
  <c r="R1020" i="28"/>
  <c r="U1020" i="28"/>
  <c r="X1020" i="28"/>
  <c r="AA1020" i="28"/>
  <c r="AM1020" i="28"/>
  <c r="B1021" i="28"/>
  <c r="C1021" i="28"/>
  <c r="D1021" i="28"/>
  <c r="F1021" i="28"/>
  <c r="I1021" i="28"/>
  <c r="L1021" i="28"/>
  <c r="O1021" i="28"/>
  <c r="R1021" i="28"/>
  <c r="U1021" i="28"/>
  <c r="X1021" i="28"/>
  <c r="AA1021" i="28"/>
  <c r="AM1021" i="28"/>
  <c r="B1022" i="28"/>
  <c r="C1022" i="28"/>
  <c r="D1022" i="28"/>
  <c r="F1022" i="28"/>
  <c r="I1022" i="28"/>
  <c r="L1022" i="28"/>
  <c r="O1022" i="28"/>
  <c r="R1022" i="28"/>
  <c r="U1022" i="28"/>
  <c r="X1022" i="28"/>
  <c r="AA1022" i="28"/>
  <c r="AM1022" i="28"/>
  <c r="B1023" i="28"/>
  <c r="C1023" i="28"/>
  <c r="D1023" i="28"/>
  <c r="F1023" i="28"/>
  <c r="I1023" i="28"/>
  <c r="L1023" i="28"/>
  <c r="O1023" i="28"/>
  <c r="R1023" i="28"/>
  <c r="U1023" i="28"/>
  <c r="X1023" i="28"/>
  <c r="AA1023" i="28"/>
  <c r="AM1023" i="28"/>
  <c r="B1024" i="28"/>
  <c r="C1024" i="28"/>
  <c r="D1024" i="28"/>
  <c r="F1024" i="28"/>
  <c r="I1024" i="28"/>
  <c r="L1024" i="28"/>
  <c r="O1024" i="28"/>
  <c r="R1024" i="28"/>
  <c r="U1024" i="28"/>
  <c r="X1024" i="28"/>
  <c r="AA1024" i="28"/>
  <c r="AM1024" i="28"/>
  <c r="B1025" i="28"/>
  <c r="C1025" i="28"/>
  <c r="D1025" i="28"/>
  <c r="F1025" i="28"/>
  <c r="I1025" i="28"/>
  <c r="L1025" i="28"/>
  <c r="O1025" i="28"/>
  <c r="R1025" i="28"/>
  <c r="U1025" i="28"/>
  <c r="X1025" i="28"/>
  <c r="AA1025" i="28"/>
  <c r="AM1025" i="28"/>
  <c r="B1026" i="28"/>
  <c r="C1026" i="28"/>
  <c r="D1026" i="28"/>
  <c r="F1026" i="28"/>
  <c r="I1026" i="28"/>
  <c r="L1026" i="28"/>
  <c r="O1026" i="28"/>
  <c r="R1026" i="28"/>
  <c r="U1026" i="28"/>
  <c r="X1026" i="28"/>
  <c r="AA1026" i="28"/>
  <c r="AM1026" i="28"/>
  <c r="B1027" i="28"/>
  <c r="C1027" i="28"/>
  <c r="D1027" i="28"/>
  <c r="F1027" i="28"/>
  <c r="I1027" i="28"/>
  <c r="L1027" i="28"/>
  <c r="O1027" i="28"/>
  <c r="R1027" i="28"/>
  <c r="U1027" i="28"/>
  <c r="X1027" i="28"/>
  <c r="AA1027" i="28"/>
  <c r="AM1027" i="28"/>
  <c r="B1028" i="28"/>
  <c r="C1028" i="28"/>
  <c r="D1028" i="28"/>
  <c r="F1028" i="28"/>
  <c r="I1028" i="28"/>
  <c r="L1028" i="28"/>
  <c r="O1028" i="28"/>
  <c r="R1028" i="28"/>
  <c r="U1028" i="28"/>
  <c r="X1028" i="28"/>
  <c r="AA1028" i="28"/>
  <c r="AM1028" i="28"/>
  <c r="B1029" i="28"/>
  <c r="C1029" i="28"/>
  <c r="D1029" i="28"/>
  <c r="F1029" i="28"/>
  <c r="I1029" i="28"/>
  <c r="L1029" i="28"/>
  <c r="O1029" i="28"/>
  <c r="R1029" i="28"/>
  <c r="U1029" i="28"/>
  <c r="X1029" i="28"/>
  <c r="AA1029" i="28"/>
  <c r="AM1029" i="28"/>
  <c r="B1030" i="28"/>
  <c r="C1030" i="28"/>
  <c r="D1030" i="28"/>
  <c r="F1030" i="28"/>
  <c r="I1030" i="28"/>
  <c r="L1030" i="28"/>
  <c r="O1030" i="28"/>
  <c r="R1030" i="28"/>
  <c r="U1030" i="28"/>
  <c r="X1030" i="28"/>
  <c r="AA1030" i="28"/>
  <c r="AM1030" i="28"/>
  <c r="B1031" i="28"/>
  <c r="C1031" i="28"/>
  <c r="D1031" i="28"/>
  <c r="AM1031" i="28"/>
  <c r="B1032" i="28"/>
  <c r="C1032" i="28"/>
  <c r="D1032" i="28"/>
  <c r="AM1032" i="28"/>
  <c r="B1033" i="28"/>
  <c r="C1033" i="28"/>
  <c r="D1033" i="28"/>
  <c r="AM1033" i="28"/>
  <c r="B1034" i="28"/>
  <c r="C1034" i="28"/>
  <c r="D1034" i="28"/>
  <c r="F1034" i="28"/>
  <c r="I1034" i="28"/>
  <c r="L1034" i="28"/>
  <c r="O1034" i="28"/>
  <c r="R1034" i="28"/>
  <c r="U1034" i="28"/>
  <c r="X1034" i="28"/>
  <c r="AA1034" i="28"/>
  <c r="AM1034" i="28"/>
  <c r="B1035" i="28"/>
  <c r="C1035" i="28"/>
  <c r="D1035" i="28"/>
  <c r="F1035" i="28"/>
  <c r="I1035" i="28"/>
  <c r="L1035" i="28"/>
  <c r="O1035" i="28"/>
  <c r="R1035" i="28"/>
  <c r="U1035" i="28"/>
  <c r="X1035" i="28"/>
  <c r="AA1035" i="28"/>
  <c r="AM1035" i="28"/>
  <c r="B1036" i="28"/>
  <c r="C1036" i="28"/>
  <c r="D1036" i="28"/>
  <c r="F1036" i="28"/>
  <c r="I1036" i="28"/>
  <c r="L1036" i="28"/>
  <c r="O1036" i="28"/>
  <c r="R1036" i="28"/>
  <c r="U1036" i="28"/>
  <c r="X1036" i="28"/>
  <c r="AA1036" i="28"/>
  <c r="AM1036" i="28"/>
  <c r="B1037" i="28"/>
  <c r="C1037" i="28"/>
  <c r="D1037" i="28"/>
  <c r="F1037" i="28"/>
  <c r="I1037" i="28"/>
  <c r="L1037" i="28"/>
  <c r="O1037" i="28"/>
  <c r="R1037" i="28"/>
  <c r="U1037" i="28"/>
  <c r="X1037" i="28"/>
  <c r="AA1037" i="28"/>
  <c r="AM1037" i="28"/>
  <c r="B1038" i="28"/>
  <c r="C1038" i="28"/>
  <c r="D1038" i="28"/>
  <c r="F1038" i="28"/>
  <c r="I1038" i="28"/>
  <c r="L1038" i="28"/>
  <c r="O1038" i="28"/>
  <c r="R1038" i="28"/>
  <c r="U1038" i="28"/>
  <c r="X1038" i="28"/>
  <c r="AA1038" i="28"/>
  <c r="AM1038" i="28"/>
  <c r="B1039" i="28"/>
  <c r="C1039" i="28"/>
  <c r="D1039" i="28"/>
  <c r="F1039" i="28"/>
  <c r="I1039" i="28"/>
  <c r="L1039" i="28"/>
  <c r="O1039" i="28"/>
  <c r="R1039" i="28"/>
  <c r="U1039" i="28"/>
  <c r="X1039" i="28"/>
  <c r="AA1039" i="28"/>
  <c r="AM1039" i="28"/>
  <c r="B1040" i="28"/>
  <c r="C1040" i="28"/>
  <c r="D1040" i="28"/>
  <c r="F1040" i="28"/>
  <c r="I1040" i="28"/>
  <c r="L1040" i="28"/>
  <c r="O1040" i="28"/>
  <c r="R1040" i="28"/>
  <c r="U1040" i="28"/>
  <c r="X1040" i="28"/>
  <c r="AA1040" i="28"/>
  <c r="E143" i="30"/>
  <c r="AM1040" i="28"/>
  <c r="B1041" i="28"/>
  <c r="C1041" i="28"/>
  <c r="D1041" i="28"/>
  <c r="AM1041" i="28"/>
  <c r="B1042" i="28"/>
  <c r="C1042" i="28"/>
  <c r="D1042" i="28"/>
  <c r="AM1042" i="28"/>
  <c r="B1043" i="28"/>
  <c r="C1043" i="28"/>
  <c r="D1043" i="28"/>
  <c r="B1045" i="28"/>
  <c r="C1045" i="28"/>
  <c r="D1045" i="28"/>
  <c r="F1045" i="28"/>
  <c r="I1045" i="28"/>
  <c r="L1045" i="28"/>
  <c r="O1045" i="28"/>
  <c r="R1045" i="28"/>
  <c r="U1045" i="28"/>
  <c r="X1045" i="28"/>
  <c r="AA1045" i="28"/>
  <c r="AM1045" i="28"/>
  <c r="B1046" i="28"/>
  <c r="C1046" i="28"/>
  <c r="D1046" i="28"/>
  <c r="F1046" i="28"/>
  <c r="I1046" i="28"/>
  <c r="L1046" i="28"/>
  <c r="O1046" i="28"/>
  <c r="R1046" i="28"/>
  <c r="U1046" i="28"/>
  <c r="X1046" i="28"/>
  <c r="AA1046" i="28"/>
  <c r="E141" i="30"/>
  <c r="AM1046" i="28"/>
  <c r="B1047" i="28"/>
  <c r="C1047" i="28"/>
  <c r="D1047" i="28"/>
  <c r="F1047" i="28"/>
  <c r="I1047" i="28"/>
  <c r="L1047" i="28"/>
  <c r="O1047" i="28"/>
  <c r="R1047" i="28"/>
  <c r="U1047" i="28"/>
  <c r="X1047" i="28"/>
  <c r="AA1047" i="28"/>
  <c r="AM1047" i="28"/>
  <c r="B1048" i="28"/>
  <c r="C1048" i="28"/>
  <c r="D1048" i="28"/>
  <c r="F1048" i="28"/>
  <c r="I1048" i="28"/>
  <c r="L1048" i="28"/>
  <c r="O1048" i="28"/>
  <c r="R1048" i="28"/>
  <c r="U1048" i="28"/>
  <c r="X1048" i="28"/>
  <c r="AA1048" i="28"/>
  <c r="AM1048" i="28"/>
  <c r="B1049" i="28"/>
  <c r="C1049" i="28"/>
  <c r="D1049" i="28"/>
  <c r="F1049" i="28"/>
  <c r="I1049" i="28"/>
  <c r="L1049" i="28"/>
  <c r="O1049" i="28"/>
  <c r="R1049" i="28"/>
  <c r="U1049" i="28"/>
  <c r="X1049" i="28"/>
  <c r="AA1049" i="28"/>
  <c r="AM1049" i="28"/>
  <c r="B1050" i="28"/>
  <c r="C1050" i="28"/>
  <c r="D1050" i="28"/>
  <c r="F1050" i="28"/>
  <c r="I1050" i="28"/>
  <c r="L1050" i="28"/>
  <c r="O1050" i="28"/>
  <c r="R1050" i="28"/>
  <c r="U1050" i="28"/>
  <c r="X1050" i="28"/>
  <c r="AA1050" i="28"/>
  <c r="AM1050" i="28"/>
  <c r="B1051" i="28"/>
  <c r="C1051" i="28"/>
  <c r="D1051" i="28"/>
  <c r="AM1051" i="28"/>
  <c r="B1052" i="28"/>
  <c r="C1052" i="28"/>
  <c r="D1052" i="28"/>
  <c r="F1052" i="28"/>
  <c r="I1052" i="28"/>
  <c r="L1052" i="28"/>
  <c r="O1052" i="28"/>
  <c r="R1052" i="28"/>
  <c r="U1052" i="28"/>
  <c r="X1052" i="28"/>
  <c r="AA1052" i="28"/>
  <c r="AM1052" i="28"/>
  <c r="B1055" i="28"/>
  <c r="C1055" i="28"/>
  <c r="D1055" i="28"/>
  <c r="F1055" i="28"/>
  <c r="I1055" i="28"/>
  <c r="L1055" i="28"/>
  <c r="O1055" i="28"/>
  <c r="R1055" i="28"/>
  <c r="U1055" i="28"/>
  <c r="X1055" i="28"/>
  <c r="AA1055" i="28"/>
  <c r="AM1055" i="28"/>
  <c r="B1057" i="28"/>
  <c r="C1057" i="28"/>
  <c r="D1057" i="28"/>
  <c r="F1057" i="28"/>
  <c r="I1057" i="28"/>
  <c r="L1057" i="28"/>
  <c r="O1057" i="28"/>
  <c r="R1057" i="28"/>
  <c r="U1057" i="28"/>
  <c r="X1057" i="28"/>
  <c r="AA1057" i="28"/>
  <c r="AM1057" i="28"/>
  <c r="B1058" i="28"/>
  <c r="C1058" i="28"/>
  <c r="D1058" i="28"/>
  <c r="F1058" i="28"/>
  <c r="I1058" i="28"/>
  <c r="L1058" i="28"/>
  <c r="O1058" i="28"/>
  <c r="R1058" i="28"/>
  <c r="U1058" i="28"/>
  <c r="X1058" i="28"/>
  <c r="AA1058" i="28"/>
  <c r="AM1058" i="28"/>
  <c r="B1059" i="28"/>
  <c r="C1059" i="28"/>
  <c r="D1059" i="28"/>
  <c r="F1059" i="28"/>
  <c r="I1059" i="28"/>
  <c r="L1059" i="28"/>
  <c r="O1059" i="28"/>
  <c r="R1059" i="28"/>
  <c r="U1059" i="28"/>
  <c r="X1059" i="28"/>
  <c r="AA1059" i="28"/>
  <c r="AM1059" i="28"/>
  <c r="B1060" i="28"/>
  <c r="C1060" i="28"/>
  <c r="D1060" i="28"/>
  <c r="F1060" i="28"/>
  <c r="I1060" i="28"/>
  <c r="L1060" i="28"/>
  <c r="O1060" i="28"/>
  <c r="R1060" i="28"/>
  <c r="U1060" i="28"/>
  <c r="X1060" i="28"/>
  <c r="AA1060" i="28"/>
  <c r="AM1060" i="28"/>
  <c r="B1061" i="28"/>
  <c r="C1061" i="28"/>
  <c r="D1061" i="28"/>
  <c r="F1061" i="28"/>
  <c r="I1061" i="28"/>
  <c r="L1061" i="28"/>
  <c r="O1061" i="28"/>
  <c r="R1061" i="28"/>
  <c r="U1061" i="28"/>
  <c r="X1061" i="28"/>
  <c r="AA1061" i="28"/>
  <c r="AM1061" i="28"/>
  <c r="B1063" i="28"/>
  <c r="C1063" i="28"/>
  <c r="D1063" i="28"/>
  <c r="F1063" i="28"/>
  <c r="I1063" i="28"/>
  <c r="L1063" i="28"/>
  <c r="O1063" i="28"/>
  <c r="R1063" i="28"/>
  <c r="U1063" i="28"/>
  <c r="X1063" i="28"/>
  <c r="AA1063" i="28"/>
  <c r="AM1063" i="28"/>
  <c r="B1064" i="28"/>
  <c r="C1064" i="28"/>
  <c r="D1064" i="28"/>
  <c r="F1064" i="28"/>
  <c r="I1064" i="28"/>
  <c r="L1064" i="28"/>
  <c r="O1064" i="28"/>
  <c r="R1064" i="28"/>
  <c r="U1064" i="28"/>
  <c r="X1064" i="28"/>
  <c r="AA1064" i="28"/>
  <c r="AM1064" i="28"/>
  <c r="B1065" i="28"/>
  <c r="C1065" i="28"/>
  <c r="D1065" i="28"/>
  <c r="F1065" i="28"/>
  <c r="I1065" i="28"/>
  <c r="L1065" i="28"/>
  <c r="O1065" i="28"/>
  <c r="R1065" i="28"/>
  <c r="U1065" i="28"/>
  <c r="X1065" i="28"/>
  <c r="AA1065" i="28"/>
  <c r="AM1065" i="28"/>
  <c r="B1066" i="28"/>
  <c r="C1066" i="28"/>
  <c r="D1066" i="28"/>
  <c r="F1066" i="28"/>
  <c r="I1066" i="28"/>
  <c r="L1066" i="28"/>
  <c r="O1066" i="28"/>
  <c r="R1066" i="28"/>
  <c r="U1066" i="28"/>
  <c r="X1066" i="28"/>
  <c r="AA1066" i="28"/>
  <c r="AM1066" i="28"/>
  <c r="B1067" i="28"/>
  <c r="C1067" i="28"/>
  <c r="D1067" i="28"/>
  <c r="F1067" i="28"/>
  <c r="I1067" i="28"/>
  <c r="L1067" i="28"/>
  <c r="O1067" i="28"/>
  <c r="R1067" i="28"/>
  <c r="U1067" i="28"/>
  <c r="X1067" i="28"/>
  <c r="AA1067" i="28"/>
  <c r="AM1067" i="28"/>
  <c r="B1068" i="28"/>
  <c r="C1068" i="28"/>
  <c r="D1068" i="28"/>
  <c r="F1068" i="28"/>
  <c r="I1068" i="28"/>
  <c r="L1068" i="28"/>
  <c r="O1068" i="28"/>
  <c r="R1068" i="28"/>
  <c r="U1068" i="28"/>
  <c r="X1068" i="28"/>
  <c r="AA1068" i="28"/>
  <c r="AM1068" i="28"/>
  <c r="B1069" i="28"/>
  <c r="C1069" i="28"/>
  <c r="D1069" i="28"/>
  <c r="F1069" i="28"/>
  <c r="I1069" i="28"/>
  <c r="L1069" i="28"/>
  <c r="O1069" i="28"/>
  <c r="R1069" i="28"/>
  <c r="U1069" i="28"/>
  <c r="X1069" i="28"/>
  <c r="AA1069" i="28"/>
  <c r="AM1069" i="28"/>
  <c r="B1070" i="28"/>
  <c r="C1070" i="28"/>
  <c r="D1070" i="28"/>
  <c r="F1070" i="28"/>
  <c r="I1070" i="28"/>
  <c r="L1070" i="28"/>
  <c r="O1070" i="28"/>
  <c r="R1070" i="28"/>
  <c r="U1070" i="28"/>
  <c r="X1070" i="28"/>
  <c r="AA1070" i="28"/>
  <c r="AM1070" i="28"/>
  <c r="B1071" i="28"/>
  <c r="C1071" i="28"/>
  <c r="D1071" i="28"/>
  <c r="F1071" i="28"/>
  <c r="I1071" i="28"/>
  <c r="L1071" i="28"/>
  <c r="O1071" i="28"/>
  <c r="R1071" i="28"/>
  <c r="U1071" i="28"/>
  <c r="X1071" i="28"/>
  <c r="AA1071" i="28"/>
  <c r="AM1071" i="28"/>
  <c r="B1072" i="28"/>
  <c r="C1072" i="28"/>
  <c r="D1072" i="28"/>
  <c r="F1072" i="28"/>
  <c r="I1072" i="28"/>
  <c r="L1072" i="28"/>
  <c r="O1072" i="28"/>
  <c r="R1072" i="28"/>
  <c r="U1072" i="28"/>
  <c r="X1072" i="28"/>
  <c r="AA1072" i="28"/>
  <c r="AM1072" i="28"/>
  <c r="B1073" i="28"/>
  <c r="C1073" i="28"/>
  <c r="D1073" i="28"/>
  <c r="F1073" i="28"/>
  <c r="I1073" i="28"/>
  <c r="L1073" i="28"/>
  <c r="O1073" i="28"/>
  <c r="R1073" i="28"/>
  <c r="U1073" i="28"/>
  <c r="X1073" i="28"/>
  <c r="AA1073" i="28"/>
  <c r="AM1073" i="28"/>
  <c r="B1074" i="28"/>
  <c r="C1074" i="28"/>
  <c r="D1074" i="28"/>
  <c r="F1074" i="28"/>
  <c r="I1074" i="28"/>
  <c r="L1074" i="28"/>
  <c r="O1074" i="28"/>
  <c r="R1074" i="28"/>
  <c r="U1074" i="28"/>
  <c r="X1074" i="28"/>
  <c r="AA1074" i="28"/>
  <c r="AM1074" i="28"/>
  <c r="B1075" i="28"/>
  <c r="C1075" i="28"/>
  <c r="D1075" i="28"/>
  <c r="F1075" i="28"/>
  <c r="I1075" i="28"/>
  <c r="L1075" i="28"/>
  <c r="O1075" i="28"/>
  <c r="R1075" i="28"/>
  <c r="U1075" i="28"/>
  <c r="X1075" i="28"/>
  <c r="AA1075" i="28"/>
  <c r="AM1075" i="28"/>
  <c r="B1076" i="28"/>
  <c r="C1076" i="28"/>
  <c r="D1076" i="28"/>
  <c r="F1076" i="28"/>
  <c r="I1076" i="28"/>
  <c r="L1076" i="28"/>
  <c r="O1076" i="28"/>
  <c r="R1076" i="28"/>
  <c r="U1076" i="28"/>
  <c r="X1076" i="28"/>
  <c r="AA1076" i="28"/>
  <c r="AM1076" i="28"/>
  <c r="B1077" i="28"/>
  <c r="C1077" i="28"/>
  <c r="D1077" i="28"/>
  <c r="F1077" i="28"/>
  <c r="I1077" i="28"/>
  <c r="L1077" i="28"/>
  <c r="O1077" i="28"/>
  <c r="R1077" i="28"/>
  <c r="U1077" i="28"/>
  <c r="X1077" i="28"/>
  <c r="AA1077" i="28"/>
  <c r="AM1077" i="28"/>
  <c r="B1078" i="28"/>
  <c r="C1078" i="28"/>
  <c r="D1078" i="28"/>
  <c r="F1078" i="28"/>
  <c r="I1078" i="28"/>
  <c r="L1078" i="28"/>
  <c r="O1078" i="28"/>
  <c r="R1078" i="28"/>
  <c r="U1078" i="28"/>
  <c r="X1078" i="28"/>
  <c r="AA1078" i="28"/>
  <c r="AM1078" i="28"/>
  <c r="B1079" i="28"/>
  <c r="C1079" i="28"/>
  <c r="D1079" i="28"/>
  <c r="F1079" i="28"/>
  <c r="I1079" i="28"/>
  <c r="L1079" i="28"/>
  <c r="O1079" i="28"/>
  <c r="R1079" i="28"/>
  <c r="U1079" i="28"/>
  <c r="X1079" i="28"/>
  <c r="AA1079" i="28"/>
  <c r="AM1079" i="28"/>
  <c r="B1080" i="28"/>
  <c r="C1080" i="28"/>
  <c r="D1080" i="28"/>
  <c r="F1080" i="28"/>
  <c r="I1080" i="28"/>
  <c r="L1080" i="28"/>
  <c r="O1080" i="28"/>
  <c r="R1080" i="28"/>
  <c r="U1080" i="28"/>
  <c r="X1080" i="28"/>
  <c r="AA1080" i="28"/>
  <c r="AM1080" i="28"/>
  <c r="B1081" i="28"/>
  <c r="C1081" i="28"/>
  <c r="D1081" i="28"/>
  <c r="F1081" i="28"/>
  <c r="I1081" i="28"/>
  <c r="L1081" i="28"/>
  <c r="O1081" i="28"/>
  <c r="R1081" i="28"/>
  <c r="U1081" i="28"/>
  <c r="X1081" i="28"/>
  <c r="AA1081" i="28"/>
  <c r="AM1081" i="28"/>
  <c r="B1082" i="28"/>
  <c r="C1082" i="28"/>
  <c r="D1082" i="28"/>
  <c r="F1082" i="28"/>
  <c r="I1082" i="28"/>
  <c r="L1082" i="28"/>
  <c r="O1082" i="28"/>
  <c r="R1082" i="28"/>
  <c r="U1082" i="28"/>
  <c r="X1082" i="28"/>
  <c r="AA1082" i="28"/>
  <c r="AM1082" i="28"/>
  <c r="B1083" i="28"/>
  <c r="C1083" i="28"/>
  <c r="D1083" i="28"/>
  <c r="F1083" i="28"/>
  <c r="I1083" i="28"/>
  <c r="L1083" i="28"/>
  <c r="O1083" i="28"/>
  <c r="R1083" i="28"/>
  <c r="U1083" i="28"/>
  <c r="X1083" i="28"/>
  <c r="AA1083" i="28"/>
  <c r="AM1083" i="28"/>
  <c r="B1084" i="28"/>
  <c r="C1084" i="28"/>
  <c r="D1084" i="28"/>
  <c r="F1084" i="28"/>
  <c r="I1084" i="28"/>
  <c r="L1084" i="28"/>
  <c r="O1084" i="28"/>
  <c r="R1084" i="28"/>
  <c r="U1084" i="28"/>
  <c r="X1084" i="28"/>
  <c r="AA1084" i="28"/>
  <c r="AM1084" i="28"/>
  <c r="B1085" i="28"/>
  <c r="C1085" i="28"/>
  <c r="D1085" i="28"/>
  <c r="F1085" i="28"/>
  <c r="I1085" i="28"/>
  <c r="L1085" i="28"/>
  <c r="O1085" i="28"/>
  <c r="R1085" i="28"/>
  <c r="U1085" i="28"/>
  <c r="X1085" i="28"/>
  <c r="AA1085" i="28"/>
  <c r="AM1085" i="28"/>
  <c r="B1086" i="28"/>
  <c r="C1086" i="28"/>
  <c r="D1086" i="28"/>
  <c r="F1086" i="28"/>
  <c r="I1086" i="28"/>
  <c r="L1086" i="28"/>
  <c r="O1086" i="28"/>
  <c r="R1086" i="28"/>
  <c r="U1086" i="28"/>
  <c r="X1086" i="28"/>
  <c r="AA1086" i="28"/>
  <c r="AM1086" i="28"/>
  <c r="B1087" i="28"/>
  <c r="C1087" i="28"/>
  <c r="D1087" i="28"/>
  <c r="F1087" i="28"/>
  <c r="I1087" i="28"/>
  <c r="L1087" i="28"/>
  <c r="O1087" i="28"/>
  <c r="R1087" i="28"/>
  <c r="U1087" i="28"/>
  <c r="X1087" i="28"/>
  <c r="AA1087" i="28"/>
  <c r="AM1087" i="28"/>
  <c r="B1088" i="28"/>
  <c r="C1088" i="28"/>
  <c r="D1088" i="28"/>
  <c r="F1088" i="28"/>
  <c r="I1088" i="28"/>
  <c r="L1088" i="28"/>
  <c r="O1088" i="28"/>
  <c r="R1088" i="28"/>
  <c r="U1088" i="28"/>
  <c r="X1088" i="28"/>
  <c r="AA1088" i="28"/>
  <c r="AM1088" i="28"/>
  <c r="B1089" i="28"/>
  <c r="C1089" i="28"/>
  <c r="D1089" i="28"/>
  <c r="F1089" i="28"/>
  <c r="I1089" i="28"/>
  <c r="L1089" i="28"/>
  <c r="O1089" i="28"/>
  <c r="R1089" i="28"/>
  <c r="U1089" i="28"/>
  <c r="X1089" i="28"/>
  <c r="AA1089" i="28"/>
  <c r="AM1089" i="28"/>
  <c r="B1090" i="28"/>
  <c r="C1090" i="28"/>
  <c r="D1090" i="28"/>
  <c r="F1090" i="28"/>
  <c r="I1090" i="28"/>
  <c r="L1090" i="28"/>
  <c r="O1090" i="28"/>
  <c r="R1090" i="28"/>
  <c r="U1090" i="28"/>
  <c r="X1090" i="28"/>
  <c r="AA1090" i="28"/>
  <c r="AM1090" i="28"/>
  <c r="B1091" i="28"/>
  <c r="C1091" i="28"/>
  <c r="D1091" i="28"/>
  <c r="F1091" i="28"/>
  <c r="I1091" i="28"/>
  <c r="L1091" i="28"/>
  <c r="O1091" i="28"/>
  <c r="R1091" i="28"/>
  <c r="U1091" i="28"/>
  <c r="X1091" i="28"/>
  <c r="AA1091" i="28"/>
  <c r="AM1091" i="28"/>
  <c r="B1092" i="28"/>
  <c r="C1092" i="28"/>
  <c r="D1092" i="28"/>
  <c r="F1092" i="28"/>
  <c r="I1092" i="28"/>
  <c r="L1092" i="28"/>
  <c r="O1092" i="28"/>
  <c r="R1092" i="28"/>
  <c r="U1092" i="28"/>
  <c r="X1092" i="28"/>
  <c r="AA1092" i="28"/>
  <c r="AM1092" i="28"/>
  <c r="B1093" i="28"/>
  <c r="C1093" i="28"/>
  <c r="D1093" i="28"/>
  <c r="F1093" i="28"/>
  <c r="I1093" i="28"/>
  <c r="L1093" i="28"/>
  <c r="O1093" i="28"/>
  <c r="R1093" i="28"/>
  <c r="U1093" i="28"/>
  <c r="X1093" i="28"/>
  <c r="AA1093" i="28"/>
  <c r="AM1093" i="28"/>
  <c r="B1094" i="28"/>
  <c r="C1094" i="28"/>
  <c r="D1094" i="28"/>
  <c r="F1094" i="28"/>
  <c r="I1094" i="28"/>
  <c r="L1094" i="28"/>
  <c r="O1094" i="28"/>
  <c r="R1094" i="28"/>
  <c r="U1094" i="28"/>
  <c r="X1094" i="28"/>
  <c r="AA1094" i="28"/>
  <c r="AM1094" i="28"/>
  <c r="B1095" i="28"/>
  <c r="C1095" i="28"/>
  <c r="D1095" i="28"/>
  <c r="F1095" i="28"/>
  <c r="I1095" i="28"/>
  <c r="L1095" i="28"/>
  <c r="O1095" i="28"/>
  <c r="R1095" i="28"/>
  <c r="U1095" i="28"/>
  <c r="X1095" i="28"/>
  <c r="AA1095" i="28"/>
  <c r="AM1095" i="28"/>
  <c r="B1096" i="28"/>
  <c r="C1096" i="28"/>
  <c r="D1096" i="28"/>
  <c r="F1096" i="28"/>
  <c r="I1096" i="28"/>
  <c r="L1096" i="28"/>
  <c r="O1096" i="28"/>
  <c r="R1096" i="28"/>
  <c r="U1096" i="28"/>
  <c r="X1096" i="28"/>
  <c r="AA1096" i="28"/>
  <c r="AM1096" i="28"/>
  <c r="B1097" i="28"/>
  <c r="C1097" i="28"/>
  <c r="D1097" i="28"/>
  <c r="F1097" i="28"/>
  <c r="I1097" i="28"/>
  <c r="L1097" i="28"/>
  <c r="O1097" i="28"/>
  <c r="R1097" i="28"/>
  <c r="U1097" i="28"/>
  <c r="X1097" i="28"/>
  <c r="AA1097" i="28"/>
  <c r="AM1097" i="28"/>
  <c r="B1098" i="28"/>
  <c r="C1098" i="28"/>
  <c r="D1098" i="28"/>
  <c r="F1098" i="28"/>
  <c r="I1098" i="28"/>
  <c r="L1098" i="28"/>
  <c r="O1098" i="28"/>
  <c r="R1098" i="28"/>
  <c r="U1098" i="28"/>
  <c r="X1098" i="28"/>
  <c r="AA1098" i="28"/>
  <c r="AM1098" i="28"/>
  <c r="B1099" i="28"/>
  <c r="C1099" i="28"/>
  <c r="D1099" i="28"/>
  <c r="F1099" i="28"/>
  <c r="I1099" i="28"/>
  <c r="L1099" i="28"/>
  <c r="O1099" i="28"/>
  <c r="R1099" i="28"/>
  <c r="U1099" i="28"/>
  <c r="X1099" i="28"/>
  <c r="AA1099" i="28"/>
  <c r="AM1099" i="28"/>
  <c r="B1100" i="28"/>
  <c r="C1100" i="28"/>
  <c r="D1100" i="28"/>
  <c r="F1100" i="28"/>
  <c r="I1100" i="28"/>
  <c r="L1100" i="28"/>
  <c r="O1100" i="28"/>
  <c r="R1100" i="28"/>
  <c r="U1100" i="28"/>
  <c r="X1100" i="28"/>
  <c r="AA1100" i="28"/>
  <c r="AM1100" i="28"/>
  <c r="B1101" i="28"/>
  <c r="C1101" i="28"/>
  <c r="D1101" i="28"/>
  <c r="F1101" i="28"/>
  <c r="I1101" i="28"/>
  <c r="L1101" i="28"/>
  <c r="O1101" i="28"/>
  <c r="R1101" i="28"/>
  <c r="U1101" i="28"/>
  <c r="X1101" i="28"/>
  <c r="AA1101" i="28"/>
  <c r="AM1101" i="28"/>
  <c r="B1102" i="28"/>
  <c r="C1102" i="28"/>
  <c r="D1102" i="28"/>
  <c r="F1102" i="28"/>
  <c r="I1102" i="28"/>
  <c r="L1102" i="28"/>
  <c r="O1102" i="28"/>
  <c r="R1102" i="28"/>
  <c r="U1102" i="28"/>
  <c r="X1102" i="28"/>
  <c r="AA1102" i="28"/>
  <c r="AM1102" i="28"/>
  <c r="B1103" i="28"/>
  <c r="C1103" i="28"/>
  <c r="D1103" i="28"/>
  <c r="F1103" i="28"/>
  <c r="I1103" i="28"/>
  <c r="L1103" i="28"/>
  <c r="O1103" i="28"/>
  <c r="R1103" i="28"/>
  <c r="U1103" i="28"/>
  <c r="X1103" i="28"/>
  <c r="AA1103" i="28"/>
  <c r="AM1103" i="28"/>
  <c r="B1104" i="28"/>
  <c r="C1104" i="28"/>
  <c r="D1104" i="28"/>
  <c r="F1104" i="28"/>
  <c r="I1104" i="28"/>
  <c r="L1104" i="28"/>
  <c r="O1104" i="28"/>
  <c r="R1104" i="28"/>
  <c r="U1104" i="28"/>
  <c r="X1104" i="28"/>
  <c r="AA1104" i="28"/>
  <c r="AM1104" i="28"/>
  <c r="B1105" i="28"/>
  <c r="C1105" i="28"/>
  <c r="D1105" i="28"/>
  <c r="F1105" i="28"/>
  <c r="I1105" i="28"/>
  <c r="L1105" i="28"/>
  <c r="O1105" i="28"/>
  <c r="R1105" i="28"/>
  <c r="U1105" i="28"/>
  <c r="X1105" i="28"/>
  <c r="AA1105" i="28"/>
  <c r="AM1105" i="28"/>
  <c r="B1106" i="28"/>
  <c r="C1106" i="28"/>
  <c r="D1106" i="28"/>
  <c r="F1106" i="28"/>
  <c r="I1106" i="28"/>
  <c r="L1106" i="28"/>
  <c r="O1106" i="28"/>
  <c r="R1106" i="28"/>
  <c r="U1106" i="28"/>
  <c r="X1106" i="28"/>
  <c r="AA1106" i="28"/>
  <c r="AM1106" i="28"/>
  <c r="B1107" i="28"/>
  <c r="C1107" i="28"/>
  <c r="D1107" i="28"/>
  <c r="F1107" i="28"/>
  <c r="I1107" i="28"/>
  <c r="L1107" i="28"/>
  <c r="O1107" i="28"/>
  <c r="R1107" i="28"/>
  <c r="U1107" i="28"/>
  <c r="X1107" i="28"/>
  <c r="AA1107" i="28"/>
  <c r="AM1107" i="28"/>
  <c r="B1108" i="28"/>
  <c r="C1108" i="28"/>
  <c r="D1108" i="28"/>
  <c r="F1108" i="28"/>
  <c r="I1108" i="28"/>
  <c r="L1108" i="28"/>
  <c r="O1108" i="28"/>
  <c r="R1108" i="28"/>
  <c r="U1108" i="28"/>
  <c r="X1108" i="28"/>
  <c r="AA1108" i="28"/>
  <c r="AM1108" i="28"/>
  <c r="B1109" i="28"/>
  <c r="C1109" i="28"/>
  <c r="D1109" i="28"/>
  <c r="F1109" i="28"/>
  <c r="I1109" i="28"/>
  <c r="L1109" i="28"/>
  <c r="O1109" i="28"/>
  <c r="R1109" i="28"/>
  <c r="U1109" i="28"/>
  <c r="X1109" i="28"/>
  <c r="AA1109" i="28"/>
  <c r="AM1109" i="28"/>
  <c r="B1110" i="28"/>
  <c r="C1110" i="28"/>
  <c r="D1110" i="28"/>
  <c r="F1110" i="28"/>
  <c r="I1110" i="28"/>
  <c r="L1110" i="28"/>
  <c r="O1110" i="28"/>
  <c r="R1110" i="28"/>
  <c r="U1110" i="28"/>
  <c r="X1110" i="28"/>
  <c r="AA1110" i="28"/>
  <c r="AM1110" i="28"/>
  <c r="B1111" i="28"/>
  <c r="C1111" i="28"/>
  <c r="D1111" i="28"/>
  <c r="F1111" i="28"/>
  <c r="I1111" i="28"/>
  <c r="L1111" i="28"/>
  <c r="O1111" i="28"/>
  <c r="R1111" i="28"/>
  <c r="U1111" i="28"/>
  <c r="X1111" i="28"/>
  <c r="AA1111" i="28"/>
  <c r="AM1111" i="28"/>
  <c r="B1112" i="28"/>
  <c r="C1112" i="28"/>
  <c r="D1112" i="28"/>
  <c r="F1112" i="28"/>
  <c r="I1112" i="28"/>
  <c r="L1112" i="28"/>
  <c r="O1112" i="28"/>
  <c r="R1112" i="28"/>
  <c r="U1112" i="28"/>
  <c r="X1112" i="28"/>
  <c r="AA1112" i="28"/>
  <c r="AM1112" i="28"/>
  <c r="B1113" i="28"/>
  <c r="C1113" i="28"/>
  <c r="D1113" i="28"/>
  <c r="F1113" i="28"/>
  <c r="I1113" i="28"/>
  <c r="L1113" i="28"/>
  <c r="O1113" i="28"/>
  <c r="R1113" i="28"/>
  <c r="U1113" i="28"/>
  <c r="X1113" i="28"/>
  <c r="AA1113" i="28"/>
  <c r="AM1113" i="28"/>
  <c r="B1114" i="28"/>
  <c r="C1114" i="28"/>
  <c r="D1114" i="28"/>
  <c r="F1114" i="28"/>
  <c r="I1114" i="28"/>
  <c r="L1114" i="28"/>
  <c r="O1114" i="28"/>
  <c r="R1114" i="28"/>
  <c r="U1114" i="28"/>
  <c r="X1114" i="28"/>
  <c r="AA1114" i="28"/>
  <c r="AM1114" i="28"/>
  <c r="B1115" i="28"/>
  <c r="C1115" i="28"/>
  <c r="D1115" i="28"/>
  <c r="F1115" i="28"/>
  <c r="I1115" i="28"/>
  <c r="L1115" i="28"/>
  <c r="O1115" i="28"/>
  <c r="R1115" i="28"/>
  <c r="U1115" i="28"/>
  <c r="X1115" i="28"/>
  <c r="AA1115" i="28"/>
  <c r="AM1115" i="28"/>
  <c r="B1116" i="28"/>
  <c r="C1116" i="28"/>
  <c r="D1116" i="28"/>
  <c r="F1116" i="28"/>
  <c r="I1116" i="28"/>
  <c r="L1116" i="28"/>
  <c r="O1116" i="28"/>
  <c r="R1116" i="28"/>
  <c r="U1116" i="28"/>
  <c r="X1116" i="28"/>
  <c r="AA1116" i="28"/>
  <c r="AM1116" i="28"/>
  <c r="B1117" i="28"/>
  <c r="C1117" i="28"/>
  <c r="D1117" i="28"/>
  <c r="F1117" i="28"/>
  <c r="I1117" i="28"/>
  <c r="L1117" i="28"/>
  <c r="O1117" i="28"/>
  <c r="R1117" i="28"/>
  <c r="U1117" i="28"/>
  <c r="X1117" i="28"/>
  <c r="AA1117" i="28"/>
  <c r="AM1117" i="28"/>
  <c r="B1118" i="28"/>
  <c r="C1118" i="28"/>
  <c r="D1118" i="28"/>
  <c r="F1118" i="28"/>
  <c r="I1118" i="28"/>
  <c r="L1118" i="28"/>
  <c r="O1118" i="28"/>
  <c r="R1118" i="28"/>
  <c r="U1118" i="28"/>
  <c r="X1118" i="28"/>
  <c r="AA1118" i="28"/>
  <c r="AM1118" i="28"/>
  <c r="B1119" i="28"/>
  <c r="C1119" i="28"/>
  <c r="D1119" i="28"/>
  <c r="F1119" i="28"/>
  <c r="I1119" i="28"/>
  <c r="L1119" i="28"/>
  <c r="O1119" i="28"/>
  <c r="R1119" i="28"/>
  <c r="U1119" i="28"/>
  <c r="X1119" i="28"/>
  <c r="AA1119" i="28"/>
  <c r="AM1119" i="28"/>
  <c r="B1120" i="28"/>
  <c r="C1120" i="28"/>
  <c r="D1120" i="28"/>
  <c r="F1120" i="28"/>
  <c r="I1120" i="28"/>
  <c r="L1120" i="28"/>
  <c r="O1120" i="28"/>
  <c r="R1120" i="28"/>
  <c r="U1120" i="28"/>
  <c r="X1120" i="28"/>
  <c r="AA1120" i="28"/>
  <c r="AM1120" i="28"/>
  <c r="B1121" i="28"/>
  <c r="C1121" i="28"/>
  <c r="D1121" i="28"/>
  <c r="F1121" i="28"/>
  <c r="I1121" i="28"/>
  <c r="L1121" i="28"/>
  <c r="O1121" i="28"/>
  <c r="R1121" i="28"/>
  <c r="U1121" i="28"/>
  <c r="X1121" i="28"/>
  <c r="AA1121" i="28"/>
  <c r="AM1121" i="28"/>
  <c r="B1122" i="28"/>
  <c r="C1122" i="28"/>
  <c r="D1122" i="28"/>
  <c r="F1122" i="28"/>
  <c r="I1122" i="28"/>
  <c r="L1122" i="28"/>
  <c r="O1122" i="28"/>
  <c r="R1122" i="28"/>
  <c r="U1122" i="28"/>
  <c r="X1122" i="28"/>
  <c r="AA1122" i="28"/>
  <c r="AM1122" i="28"/>
  <c r="B1123" i="28"/>
  <c r="C1123" i="28"/>
  <c r="D1123" i="28"/>
  <c r="F1123" i="28"/>
  <c r="I1123" i="28"/>
  <c r="L1123" i="28"/>
  <c r="O1123" i="28"/>
  <c r="R1123" i="28"/>
  <c r="U1123" i="28"/>
  <c r="X1123" i="28"/>
  <c r="AA1123" i="28"/>
  <c r="AM1123" i="28"/>
  <c r="B1124" i="28"/>
  <c r="C1124" i="28"/>
  <c r="D1124" i="28"/>
  <c r="F1124" i="28"/>
  <c r="I1124" i="28"/>
  <c r="L1124" i="28"/>
  <c r="O1124" i="28"/>
  <c r="R1124" i="28"/>
  <c r="U1124" i="28"/>
  <c r="X1124" i="28"/>
  <c r="AA1124" i="28"/>
  <c r="AM1124" i="28"/>
  <c r="B1125" i="28"/>
  <c r="C1125" i="28"/>
  <c r="D1125" i="28"/>
  <c r="AM1125" i="28"/>
  <c r="B1126" i="28"/>
  <c r="C1126" i="28"/>
  <c r="D1126" i="28"/>
  <c r="AM1126" i="28"/>
  <c r="B1127" i="28"/>
  <c r="C1127" i="28"/>
  <c r="D1127" i="28"/>
  <c r="AM1127" i="28"/>
  <c r="B1128" i="28"/>
  <c r="C1128" i="28"/>
  <c r="D1128" i="28"/>
  <c r="AM1128" i="28"/>
  <c r="B1129" i="28"/>
  <c r="C1129" i="28"/>
  <c r="D1129" i="28"/>
  <c r="AM1129" i="28"/>
  <c r="B1130" i="28"/>
  <c r="C1130" i="28"/>
  <c r="D1130" i="28"/>
  <c r="AM1130" i="28"/>
  <c r="B1131" i="28"/>
  <c r="C1131" i="28"/>
  <c r="D1131" i="28"/>
  <c r="AM1131" i="28"/>
  <c r="B1132" i="28"/>
  <c r="C1132" i="28"/>
  <c r="D1132" i="28"/>
  <c r="AM1132" i="28"/>
  <c r="B1133" i="28"/>
  <c r="C1133" i="28"/>
  <c r="D1133" i="28"/>
  <c r="AM1133" i="28"/>
  <c r="B1134" i="28"/>
  <c r="C1134" i="28"/>
  <c r="D1134" i="28"/>
  <c r="AM1134" i="28"/>
  <c r="B1135" i="28"/>
  <c r="C1135" i="28"/>
  <c r="D1135" i="28"/>
  <c r="AM1135" i="28"/>
  <c r="B1137" i="28"/>
  <c r="C1137" i="28"/>
  <c r="D1137" i="28"/>
  <c r="AM1137" i="28"/>
  <c r="B1138" i="28"/>
  <c r="C1138" i="28"/>
  <c r="D1138" i="28"/>
  <c r="AM1138" i="28"/>
  <c r="B1139" i="28"/>
  <c r="C1139" i="28"/>
  <c r="D1139" i="28"/>
  <c r="AM1139" i="28"/>
  <c r="B1140" i="28"/>
  <c r="C1140" i="28"/>
  <c r="D1140" i="28"/>
  <c r="AM1140" i="28"/>
  <c r="B1141" i="28"/>
  <c r="C1141" i="28"/>
  <c r="D1141" i="28"/>
  <c r="AM1141" i="28"/>
  <c r="B1142" i="28"/>
  <c r="C1142" i="28"/>
  <c r="D1142" i="28"/>
  <c r="AM1142" i="28"/>
  <c r="B1143" i="28"/>
  <c r="C1143" i="28"/>
  <c r="D1143" i="28"/>
  <c r="AM1143" i="28"/>
  <c r="B1144" i="28"/>
  <c r="C1144" i="28"/>
  <c r="D1144" i="28"/>
  <c r="AM1144" i="28"/>
  <c r="B1145" i="28"/>
  <c r="C1145" i="28"/>
  <c r="D1145" i="28"/>
  <c r="AM1145" i="28"/>
  <c r="B1146" i="28"/>
  <c r="C1146" i="28"/>
  <c r="D1146" i="28"/>
  <c r="AM1146" i="28"/>
  <c r="B1147" i="28"/>
  <c r="C1147" i="28"/>
  <c r="D1147" i="28"/>
  <c r="AM1147" i="28"/>
  <c r="B1148" i="28"/>
  <c r="C1148" i="28"/>
  <c r="D1148" i="28"/>
  <c r="AM1148" i="28"/>
  <c r="B1149" i="28"/>
  <c r="C1149" i="28"/>
  <c r="D1149" i="28"/>
  <c r="AM1149" i="28"/>
  <c r="B1150" i="28"/>
  <c r="C1150" i="28"/>
  <c r="D1150" i="28"/>
  <c r="AM1150" i="28"/>
  <c r="B1151" i="28"/>
  <c r="C1151" i="28"/>
  <c r="D1151" i="28"/>
  <c r="AM1151" i="28"/>
  <c r="B1152" i="28"/>
  <c r="C1152" i="28"/>
  <c r="D1152" i="28"/>
  <c r="AM1152" i="28"/>
  <c r="B1153" i="28"/>
  <c r="C1153" i="28"/>
  <c r="D1153" i="28"/>
  <c r="AM1153" i="28"/>
  <c r="B1154" i="28"/>
  <c r="C1154" i="28"/>
  <c r="D1154" i="28"/>
  <c r="AM1154" i="28"/>
  <c r="B1155" i="28"/>
  <c r="C1155" i="28"/>
  <c r="D1155" i="28"/>
  <c r="AM1155" i="28"/>
  <c r="B1156" i="28"/>
  <c r="C1156" i="28"/>
  <c r="D1156" i="28"/>
  <c r="AM1156" i="28"/>
  <c r="B1157" i="28"/>
  <c r="C1157" i="28"/>
  <c r="D1157" i="28"/>
  <c r="AM1157" i="28"/>
  <c r="B1158" i="28"/>
  <c r="C1158" i="28"/>
  <c r="D1158" i="28"/>
  <c r="AM1158" i="28"/>
  <c r="B1159" i="28"/>
  <c r="C1159" i="28"/>
  <c r="D1159" i="28"/>
  <c r="AM1159" i="28"/>
  <c r="B1160" i="28"/>
  <c r="C1160" i="28"/>
  <c r="D1160" i="28"/>
  <c r="AM1160" i="28"/>
  <c r="B1161" i="28"/>
  <c r="C1161" i="28"/>
  <c r="D1161" i="28"/>
  <c r="AM1161" i="28"/>
  <c r="B1162" i="28"/>
  <c r="C1162" i="28"/>
  <c r="D1162" i="28"/>
  <c r="AM1162" i="28"/>
  <c r="B1163" i="28"/>
  <c r="C1163" i="28"/>
  <c r="D1163" i="28"/>
  <c r="AM1163" i="28"/>
  <c r="B1164" i="28"/>
  <c r="C1164" i="28"/>
  <c r="D1164" i="28"/>
  <c r="AM1164" i="28"/>
  <c r="B1165" i="28"/>
  <c r="C1165" i="28"/>
  <c r="D1165" i="28"/>
  <c r="F1165" i="28"/>
  <c r="I1165" i="28"/>
  <c r="L1165" i="28"/>
  <c r="O1165" i="28"/>
  <c r="R1165" i="28"/>
  <c r="U1165" i="28"/>
  <c r="X1165" i="28"/>
  <c r="AA1165" i="28"/>
  <c r="AM1165" i="28"/>
  <c r="B1166" i="28"/>
  <c r="C1166" i="28"/>
  <c r="D1166" i="28"/>
  <c r="AM1166" i="28"/>
  <c r="B1167" i="28"/>
  <c r="C1167" i="28"/>
  <c r="D1167" i="28"/>
  <c r="AM1167" i="28"/>
  <c r="B1168" i="28"/>
  <c r="C1168" i="28"/>
  <c r="D1168" i="28"/>
  <c r="AM1168" i="28"/>
  <c r="B1169" i="28"/>
  <c r="C1169" i="28"/>
  <c r="D1169" i="28"/>
  <c r="AM1169" i="28"/>
  <c r="B1170" i="28"/>
  <c r="C1170" i="28"/>
  <c r="D1170" i="28"/>
  <c r="AM1170" i="28"/>
  <c r="B1171" i="28"/>
  <c r="C1171" i="28"/>
  <c r="D1171" i="28"/>
  <c r="AM1171" i="28"/>
  <c r="B1172" i="28"/>
  <c r="C1172" i="28"/>
  <c r="D1172" i="28"/>
  <c r="AM1172" i="28"/>
  <c r="B1173" i="28"/>
  <c r="C1173" i="28"/>
  <c r="D1173" i="28"/>
  <c r="AM1173" i="28"/>
  <c r="B1174" i="28"/>
  <c r="C1174" i="28"/>
  <c r="D1174" i="28"/>
  <c r="AM1174" i="28"/>
  <c r="B1175" i="28"/>
  <c r="C1175" i="28"/>
  <c r="D1175" i="28"/>
  <c r="AM1175" i="28"/>
  <c r="B1176" i="28"/>
  <c r="C1176" i="28"/>
  <c r="D1176" i="28"/>
  <c r="AM1176" i="28"/>
  <c r="B1178" i="28"/>
  <c r="C1178" i="28"/>
  <c r="D1178" i="28"/>
  <c r="F1178" i="28"/>
  <c r="I1178" i="28"/>
  <c r="L1178" i="28"/>
  <c r="O1178" i="28"/>
  <c r="R1178" i="28"/>
  <c r="U1178" i="28"/>
  <c r="X1178" i="28"/>
  <c r="AA1178" i="28"/>
  <c r="AM1178" i="28"/>
  <c r="B1179" i="28"/>
  <c r="C1179" i="28"/>
  <c r="D1179" i="28"/>
  <c r="F1179" i="28"/>
  <c r="I1179" i="28"/>
  <c r="L1179" i="28"/>
  <c r="O1179" i="28"/>
  <c r="R1179" i="28"/>
  <c r="U1179" i="28"/>
  <c r="X1179" i="28"/>
  <c r="AA1179" i="28"/>
  <c r="AM1179" i="28"/>
  <c r="B1180" i="28"/>
  <c r="C1180" i="28"/>
  <c r="D1180" i="28"/>
  <c r="F1180" i="28"/>
  <c r="I1180" i="28"/>
  <c r="L1180" i="28"/>
  <c r="O1180" i="28"/>
  <c r="R1180" i="28"/>
  <c r="U1180" i="28"/>
  <c r="X1180" i="28"/>
  <c r="AA1180" i="28"/>
  <c r="AM1180" i="28"/>
  <c r="B1181" i="28"/>
  <c r="C1181" i="28"/>
  <c r="D1181" i="28"/>
  <c r="F1181" i="28"/>
  <c r="I1181" i="28"/>
  <c r="L1181" i="28"/>
  <c r="O1181" i="28"/>
  <c r="R1181" i="28"/>
  <c r="U1181" i="28"/>
  <c r="X1181" i="28"/>
  <c r="AA1181" i="28"/>
  <c r="AM1181" i="28"/>
  <c r="B1182" i="28"/>
  <c r="C1182" i="28"/>
  <c r="D1182" i="28"/>
  <c r="F1182" i="28"/>
  <c r="I1182" i="28"/>
  <c r="L1182" i="28"/>
  <c r="O1182" i="28"/>
  <c r="R1182" i="28"/>
  <c r="U1182" i="28"/>
  <c r="X1182" i="28"/>
  <c r="AA1182" i="28"/>
  <c r="AM1182" i="28"/>
  <c r="B1183" i="28"/>
  <c r="C1183" i="28"/>
  <c r="D1183" i="28"/>
  <c r="F1183" i="28"/>
  <c r="I1183" i="28"/>
  <c r="L1183" i="28"/>
  <c r="O1183" i="28"/>
  <c r="R1183" i="28"/>
  <c r="U1183" i="28"/>
  <c r="X1183" i="28"/>
  <c r="AA1183" i="28"/>
  <c r="AM1183" i="28"/>
  <c r="B1184" i="28"/>
  <c r="C1184" i="28"/>
  <c r="D1184" i="28"/>
  <c r="F1184" i="28"/>
  <c r="I1184" i="28"/>
  <c r="L1184" i="28"/>
  <c r="O1184" i="28"/>
  <c r="R1184" i="28"/>
  <c r="U1184" i="28"/>
  <c r="X1184" i="28"/>
  <c r="AA1184" i="28"/>
  <c r="AM1184" i="28"/>
  <c r="B1185" i="28"/>
  <c r="C1185" i="28"/>
  <c r="D1185" i="28"/>
  <c r="F1185" i="28"/>
  <c r="I1185" i="28"/>
  <c r="L1185" i="28"/>
  <c r="O1185" i="28"/>
  <c r="R1185" i="28"/>
  <c r="U1185" i="28"/>
  <c r="X1185" i="28"/>
  <c r="AA1185" i="28"/>
  <c r="AM1185" i="28"/>
  <c r="B1186" i="28"/>
  <c r="C1186" i="28"/>
  <c r="D1186" i="28"/>
  <c r="F1186" i="28"/>
  <c r="I1186" i="28"/>
  <c r="L1186" i="28"/>
  <c r="O1186" i="28"/>
  <c r="R1186" i="28"/>
  <c r="U1186" i="28"/>
  <c r="X1186" i="28"/>
  <c r="AA1186" i="28"/>
  <c r="AM1186" i="28"/>
  <c r="B1187" i="28"/>
  <c r="C1187" i="28"/>
  <c r="D1187" i="28"/>
  <c r="F1187" i="28"/>
  <c r="I1187" i="28"/>
  <c r="L1187" i="28"/>
  <c r="O1187" i="28"/>
  <c r="R1187" i="28"/>
  <c r="U1187" i="28"/>
  <c r="X1187" i="28"/>
  <c r="AA1187" i="28"/>
  <c r="AM1187" i="28"/>
  <c r="B1188" i="28"/>
  <c r="C1188" i="28"/>
  <c r="D1188" i="28"/>
  <c r="F1188" i="28"/>
  <c r="I1188" i="28"/>
  <c r="L1188" i="28"/>
  <c r="O1188" i="28"/>
  <c r="R1188" i="28"/>
  <c r="U1188" i="28"/>
  <c r="X1188" i="28"/>
  <c r="AA1188" i="28"/>
  <c r="AM1188" i="28"/>
  <c r="B1189" i="28"/>
  <c r="C1189" i="28"/>
  <c r="D1189" i="28"/>
  <c r="F1189" i="28"/>
  <c r="I1189" i="28"/>
  <c r="L1189" i="28"/>
  <c r="O1189" i="28"/>
  <c r="R1189" i="28"/>
  <c r="U1189" i="28"/>
  <c r="X1189" i="28"/>
  <c r="AA1189" i="28"/>
  <c r="AM1189" i="28"/>
  <c r="B1190" i="28"/>
  <c r="C1190" i="28"/>
  <c r="D1190" i="28"/>
  <c r="AM1190" i="28"/>
  <c r="B1191" i="28"/>
  <c r="C1191" i="28"/>
  <c r="D1191" i="28"/>
  <c r="AM1191" i="28"/>
  <c r="B1192" i="28"/>
  <c r="C1192" i="28"/>
  <c r="D1192" i="28"/>
  <c r="AM1192" i="28"/>
  <c r="B1193" i="28"/>
  <c r="C1193" i="28"/>
  <c r="D1193" i="28"/>
  <c r="AM1193" i="28"/>
  <c r="B1195" i="28"/>
  <c r="C1195" i="28"/>
  <c r="D1195" i="28"/>
  <c r="AM1195" i="28"/>
  <c r="B1196" i="28"/>
  <c r="C1196" i="28"/>
  <c r="D1196" i="28"/>
  <c r="B1197" i="28"/>
  <c r="C1197" i="28"/>
  <c r="D1197" i="28"/>
  <c r="B1199" i="28"/>
  <c r="C1199" i="28"/>
  <c r="D1199" i="28"/>
  <c r="F1199" i="28"/>
  <c r="I1199" i="28"/>
  <c r="L1199" i="28"/>
  <c r="O1199" i="28"/>
  <c r="R1199" i="28"/>
  <c r="U1199" i="28"/>
  <c r="X1199" i="28"/>
  <c r="AA1199" i="28"/>
  <c r="AM1199" i="28"/>
  <c r="B1200" i="28"/>
  <c r="C1200" i="28"/>
  <c r="D1200" i="28"/>
  <c r="F1200" i="28"/>
  <c r="I1200" i="28"/>
  <c r="L1200" i="28"/>
  <c r="O1200" i="28"/>
  <c r="R1200" i="28"/>
  <c r="U1200" i="28"/>
  <c r="X1200" i="28"/>
  <c r="AA1200" i="28"/>
  <c r="AM1200" i="28"/>
  <c r="B1201" i="28"/>
  <c r="C1201" i="28"/>
  <c r="D1201" i="28"/>
  <c r="F1201" i="28"/>
  <c r="I1201" i="28"/>
  <c r="L1201" i="28"/>
  <c r="O1201" i="28"/>
  <c r="R1201" i="28"/>
  <c r="U1201" i="28"/>
  <c r="X1201" i="28"/>
  <c r="AA1201" i="28"/>
  <c r="AM1201" i="28"/>
  <c r="B1202" i="28"/>
  <c r="C1202" i="28"/>
  <c r="D1202" i="28"/>
  <c r="F1202" i="28"/>
  <c r="I1202" i="28"/>
  <c r="L1202" i="28"/>
  <c r="O1202" i="28"/>
  <c r="R1202" i="28"/>
  <c r="U1202" i="28"/>
  <c r="X1202" i="28"/>
  <c r="AA1202" i="28"/>
  <c r="AM1202" i="28"/>
  <c r="B1203" i="28"/>
  <c r="C1203" i="28"/>
  <c r="D1203" i="28"/>
  <c r="F1203" i="28"/>
  <c r="I1203" i="28"/>
  <c r="L1203" i="28"/>
  <c r="O1203" i="28"/>
  <c r="R1203" i="28"/>
  <c r="U1203" i="28"/>
  <c r="X1203" i="28"/>
  <c r="AA1203" i="28"/>
  <c r="AM1203" i="28"/>
  <c r="B1204" i="28"/>
  <c r="C1204" i="28"/>
  <c r="D1204" i="28"/>
  <c r="F1204" i="28"/>
  <c r="I1204" i="28"/>
  <c r="L1204" i="28"/>
  <c r="O1204" i="28"/>
  <c r="R1204" i="28"/>
  <c r="U1204" i="28"/>
  <c r="X1204" i="28"/>
  <c r="AA1204" i="28"/>
  <c r="AM1204" i="28"/>
  <c r="B1205" i="28"/>
  <c r="C1205" i="28"/>
  <c r="D1205" i="28"/>
  <c r="F1205" i="28"/>
  <c r="I1205" i="28"/>
  <c r="L1205" i="28"/>
  <c r="O1205" i="28"/>
  <c r="R1205" i="28"/>
  <c r="U1205" i="28"/>
  <c r="X1205" i="28"/>
  <c r="AA1205" i="28"/>
  <c r="AM1205" i="28"/>
  <c r="B1206" i="28"/>
  <c r="C1206" i="28"/>
  <c r="D1206" i="28"/>
  <c r="F1206" i="28"/>
  <c r="I1206" i="28"/>
  <c r="L1206" i="28"/>
  <c r="O1206" i="28"/>
  <c r="R1206" i="28"/>
  <c r="U1206" i="28"/>
  <c r="X1206" i="28"/>
  <c r="AA1206" i="28"/>
  <c r="AM1206" i="28"/>
  <c r="B1207" i="28"/>
  <c r="C1207" i="28"/>
  <c r="D1207" i="28"/>
  <c r="F1207" i="28"/>
  <c r="I1207" i="28"/>
  <c r="L1207" i="28"/>
  <c r="O1207" i="28"/>
  <c r="R1207" i="28"/>
  <c r="U1207" i="28"/>
  <c r="X1207" i="28"/>
  <c r="AA1207" i="28"/>
  <c r="AM1207" i="28"/>
  <c r="B1208" i="28"/>
  <c r="C1208" i="28"/>
  <c r="D1208" i="28"/>
  <c r="F1208" i="28"/>
  <c r="I1208" i="28"/>
  <c r="L1208" i="28"/>
  <c r="O1208" i="28"/>
  <c r="R1208" i="28"/>
  <c r="U1208" i="28"/>
  <c r="X1208" i="28"/>
  <c r="AA1208" i="28"/>
  <c r="AM1208" i="28"/>
  <c r="B1209" i="28"/>
  <c r="C1209" i="28"/>
  <c r="D1209" i="28"/>
  <c r="F1209" i="28"/>
  <c r="I1209" i="28"/>
  <c r="L1209" i="28"/>
  <c r="O1209" i="28"/>
  <c r="R1209" i="28"/>
  <c r="U1209" i="28"/>
  <c r="X1209" i="28"/>
  <c r="AA1209" i="28"/>
  <c r="AM1209" i="28"/>
  <c r="B1210" i="28"/>
  <c r="C1210" i="28"/>
  <c r="D1210" i="28"/>
  <c r="F1210" i="28"/>
  <c r="I1210" i="28"/>
  <c r="L1210" i="28"/>
  <c r="O1210" i="28"/>
  <c r="R1210" i="28"/>
  <c r="U1210" i="28"/>
  <c r="X1210" i="28"/>
  <c r="AA1210" i="28"/>
  <c r="AM1210" i="28"/>
  <c r="B1211" i="28"/>
  <c r="C1211" i="28"/>
  <c r="D1211" i="28"/>
  <c r="F1211" i="28"/>
  <c r="I1211" i="28"/>
  <c r="L1211" i="28"/>
  <c r="O1211" i="28"/>
  <c r="R1211" i="28"/>
  <c r="U1211" i="28"/>
  <c r="X1211" i="28"/>
  <c r="AA1211" i="28"/>
  <c r="AM1211" i="28"/>
  <c r="B1212" i="28"/>
  <c r="C1212" i="28"/>
  <c r="D1212" i="28"/>
  <c r="F1212" i="28"/>
  <c r="I1212" i="28"/>
  <c r="L1212" i="28"/>
  <c r="O1212" i="28"/>
  <c r="R1212" i="28"/>
  <c r="U1212" i="28"/>
  <c r="X1212" i="28"/>
  <c r="AA1212" i="28"/>
  <c r="AM1212" i="28"/>
  <c r="B1213" i="28"/>
  <c r="C1213" i="28"/>
  <c r="D1213" i="28"/>
  <c r="F1213" i="28"/>
  <c r="I1213" i="28"/>
  <c r="L1213" i="28"/>
  <c r="O1213" i="28"/>
  <c r="R1213" i="28"/>
  <c r="U1213" i="28"/>
  <c r="X1213" i="28"/>
  <c r="AA1213" i="28"/>
  <c r="AM1213" i="28"/>
  <c r="B1214" i="28"/>
  <c r="C1214" i="28"/>
  <c r="D1214" i="28"/>
  <c r="F1214" i="28"/>
  <c r="I1214" i="28"/>
  <c r="L1214" i="28"/>
  <c r="O1214" i="28"/>
  <c r="R1214" i="28"/>
  <c r="U1214" i="28"/>
  <c r="X1214" i="28"/>
  <c r="AA1214" i="28"/>
  <c r="AM1214" i="28"/>
  <c r="B1215" i="28"/>
  <c r="C1215" i="28"/>
  <c r="D1215" i="28"/>
  <c r="F1215" i="28"/>
  <c r="I1215" i="28"/>
  <c r="L1215" i="28"/>
  <c r="O1215" i="28"/>
  <c r="R1215" i="28"/>
  <c r="U1215" i="28"/>
  <c r="X1215" i="28"/>
  <c r="AA1215" i="28"/>
  <c r="AM1215" i="28"/>
  <c r="B1216" i="28"/>
  <c r="C1216" i="28"/>
  <c r="D1216" i="28"/>
  <c r="F1216" i="28"/>
  <c r="I1216" i="28"/>
  <c r="L1216" i="28"/>
  <c r="O1216" i="28"/>
  <c r="R1216" i="28"/>
  <c r="U1216" i="28"/>
  <c r="X1216" i="28"/>
  <c r="AA1216" i="28"/>
  <c r="AM1216" i="28"/>
  <c r="B1217" i="28"/>
  <c r="C1217" i="28"/>
  <c r="D1217" i="28"/>
  <c r="F1217" i="28"/>
  <c r="I1217" i="28"/>
  <c r="L1217" i="28"/>
  <c r="O1217" i="28"/>
  <c r="R1217" i="28"/>
  <c r="U1217" i="28"/>
  <c r="X1217" i="28"/>
  <c r="AA1217" i="28"/>
  <c r="AM1217" i="28"/>
  <c r="B1218" i="28"/>
  <c r="C1218" i="28"/>
  <c r="D1218" i="28"/>
  <c r="AM1218" i="28"/>
  <c r="B1219" i="28"/>
  <c r="C1219" i="28"/>
  <c r="D1219" i="28"/>
  <c r="F1219" i="28"/>
  <c r="I1219" i="28"/>
  <c r="L1219" i="28"/>
  <c r="O1219" i="28"/>
  <c r="R1219" i="28"/>
  <c r="U1219" i="28"/>
  <c r="X1219" i="28"/>
  <c r="AA1219" i="28"/>
  <c r="AM1219" i="28"/>
  <c r="B1220" i="28"/>
  <c r="C1220" i="28"/>
  <c r="D1220" i="28"/>
  <c r="F1220" i="28"/>
  <c r="I1220" i="28"/>
  <c r="L1220" i="28"/>
  <c r="O1220" i="28"/>
  <c r="R1220" i="28"/>
  <c r="U1220" i="28"/>
  <c r="X1220" i="28"/>
  <c r="AA1220" i="28"/>
  <c r="AM1220" i="28"/>
  <c r="B1221" i="28"/>
  <c r="C1221" i="28"/>
  <c r="D1221" i="28"/>
  <c r="AM1221" i="28"/>
  <c r="B1222" i="28"/>
  <c r="C1222" i="28"/>
  <c r="D1222" i="28"/>
  <c r="AM1222" i="28"/>
  <c r="B1223" i="28"/>
  <c r="C1223" i="28"/>
  <c r="D1223" i="28"/>
  <c r="F1223" i="28"/>
  <c r="I1223" i="28"/>
  <c r="L1223" i="28"/>
  <c r="O1223" i="28"/>
  <c r="R1223" i="28"/>
  <c r="U1223" i="28"/>
  <c r="X1223" i="28"/>
  <c r="AA1223" i="28"/>
  <c r="AM1223" i="28"/>
  <c r="B1224" i="28"/>
  <c r="C1224" i="28"/>
  <c r="D1224" i="28"/>
  <c r="F1224" i="28"/>
  <c r="I1224" i="28"/>
  <c r="L1224" i="28"/>
  <c r="O1224" i="28"/>
  <c r="R1224" i="28"/>
  <c r="U1224" i="28"/>
  <c r="X1224" i="28"/>
  <c r="AA1224" i="28"/>
  <c r="AM1224" i="28"/>
  <c r="B1225" i="28"/>
  <c r="C1225" i="28"/>
  <c r="D1225" i="28"/>
  <c r="F1225" i="28"/>
  <c r="I1225" i="28"/>
  <c r="L1225" i="28"/>
  <c r="O1225" i="28"/>
  <c r="R1225" i="28"/>
  <c r="U1225" i="28"/>
  <c r="X1225" i="28"/>
  <c r="AA1225" i="28"/>
  <c r="AM1225" i="28"/>
  <c r="B1226" i="28"/>
  <c r="C1226" i="28"/>
  <c r="D1226" i="28"/>
  <c r="AM1226" i="28"/>
  <c r="B1227" i="28"/>
  <c r="C1227" i="28"/>
  <c r="D1227" i="28"/>
  <c r="AM1227" i="28"/>
  <c r="B1228" i="28"/>
  <c r="C1228" i="28"/>
  <c r="D1228" i="28"/>
  <c r="AM1228" i="28"/>
  <c r="B1229" i="28"/>
  <c r="C1229" i="28"/>
  <c r="D1229" i="28"/>
  <c r="AM1229" i="28"/>
  <c r="B1230" i="28"/>
  <c r="C1230" i="28"/>
  <c r="D1230" i="28"/>
  <c r="AM1230" i="28"/>
  <c r="B1231" i="28"/>
  <c r="C1231" i="28"/>
  <c r="D1231" i="28"/>
  <c r="AM1231" i="28"/>
  <c r="B1232" i="28"/>
  <c r="C1232" i="28"/>
  <c r="D1232" i="28"/>
  <c r="AM1232" i="28"/>
  <c r="B1233" i="28"/>
  <c r="C1233" i="28"/>
  <c r="D1233" i="28"/>
  <c r="AM1233" i="28"/>
  <c r="B1234" i="28"/>
  <c r="C1234" i="28"/>
  <c r="D1234" i="28"/>
  <c r="F1234" i="28"/>
  <c r="I1234" i="28"/>
  <c r="L1234" i="28"/>
  <c r="O1234" i="28"/>
  <c r="R1234" i="28"/>
  <c r="U1234" i="28"/>
  <c r="X1234" i="28"/>
  <c r="AA1234" i="28"/>
  <c r="AM1234" i="28"/>
  <c r="B1235" i="28"/>
  <c r="C1235" i="28"/>
  <c r="D1235" i="28"/>
  <c r="F1235" i="28"/>
  <c r="I1235" i="28"/>
  <c r="L1235" i="28"/>
  <c r="O1235" i="28"/>
  <c r="R1235" i="28"/>
  <c r="U1235" i="28"/>
  <c r="X1235" i="28"/>
  <c r="AA1235" i="28"/>
  <c r="AM1235" i="28"/>
  <c r="B1236" i="28"/>
  <c r="C1236" i="28"/>
  <c r="D1236" i="28"/>
  <c r="F1236" i="28"/>
  <c r="I1236" i="28"/>
  <c r="L1236" i="28"/>
  <c r="O1236" i="28"/>
  <c r="R1236" i="28"/>
  <c r="U1236" i="28"/>
  <c r="X1236" i="28"/>
  <c r="AA1236" i="28"/>
  <c r="AM1236" i="28"/>
  <c r="B1237" i="28"/>
  <c r="C1237" i="28"/>
  <c r="D1237" i="28"/>
  <c r="F1237" i="28"/>
  <c r="I1237" i="28"/>
  <c r="L1237" i="28"/>
  <c r="O1237" i="28"/>
  <c r="R1237" i="28"/>
  <c r="U1237" i="28"/>
  <c r="X1237" i="28"/>
  <c r="AA1237" i="28"/>
  <c r="AM1237" i="28"/>
  <c r="B1238" i="28"/>
  <c r="C1238" i="28"/>
  <c r="D1238" i="28"/>
  <c r="F1238" i="28"/>
  <c r="I1238" i="28"/>
  <c r="L1238" i="28"/>
  <c r="O1238" i="28"/>
  <c r="R1238" i="28"/>
  <c r="U1238" i="28"/>
  <c r="X1238" i="28"/>
  <c r="AA1238" i="28"/>
  <c r="AM1238" i="28"/>
  <c r="B1239" i="28"/>
  <c r="C1239" i="28"/>
  <c r="D1239" i="28"/>
  <c r="AM1239" i="28"/>
  <c r="B1240" i="28"/>
  <c r="C1240" i="28"/>
  <c r="D1240" i="28"/>
  <c r="AM1240" i="28"/>
  <c r="B1241" i="28"/>
  <c r="C1241" i="28"/>
  <c r="D1241" i="28"/>
  <c r="AM1241" i="28"/>
  <c r="B1242" i="28"/>
  <c r="C1242" i="28"/>
  <c r="D1242" i="28"/>
  <c r="AM1242" i="28"/>
  <c r="B1243" i="28"/>
  <c r="C1243" i="28"/>
  <c r="D1243" i="28"/>
  <c r="AM1243" i="28"/>
  <c r="B1244" i="28"/>
  <c r="C1244" i="28"/>
  <c r="D1244" i="28"/>
  <c r="AM1244" i="28"/>
  <c r="B1245" i="28"/>
  <c r="C1245" i="28"/>
  <c r="D1245" i="28"/>
  <c r="AM1245" i="28"/>
  <c r="B1246" i="28"/>
  <c r="C1246" i="28"/>
  <c r="D1246" i="28"/>
  <c r="AM1246" i="28"/>
  <c r="B1247" i="28"/>
  <c r="C1247" i="28"/>
  <c r="D1247" i="28"/>
  <c r="AM1247" i="28"/>
  <c r="B1248" i="28"/>
  <c r="C1248" i="28"/>
  <c r="D1248" i="28"/>
  <c r="AM1248" i="28"/>
  <c r="B1249" i="28"/>
  <c r="C1249" i="28"/>
  <c r="D1249" i="28"/>
  <c r="AM1249" i="28"/>
  <c r="B1250" i="28"/>
  <c r="C1250" i="28"/>
  <c r="D1250" i="28"/>
  <c r="AM1250" i="28"/>
  <c r="B1251" i="28"/>
  <c r="C1251" i="28"/>
  <c r="D1251" i="28"/>
  <c r="AM1251" i="28"/>
  <c r="B1252" i="28"/>
  <c r="C1252" i="28"/>
  <c r="D1252" i="28"/>
  <c r="AM1252" i="28"/>
  <c r="B1253" i="28"/>
  <c r="C1253" i="28"/>
  <c r="D1253" i="28"/>
  <c r="AM1253" i="28"/>
  <c r="B1254" i="28"/>
  <c r="C1254" i="28"/>
  <c r="D1254" i="28"/>
  <c r="AM1254" i="28"/>
  <c r="B1255" i="28"/>
  <c r="C1255" i="28"/>
  <c r="D1255" i="28"/>
  <c r="AM1255" i="28"/>
  <c r="B1256" i="28"/>
  <c r="C1256" i="28"/>
  <c r="D1256" i="28"/>
  <c r="AM1256" i="28"/>
  <c r="B1257" i="28"/>
  <c r="C1257" i="28"/>
  <c r="D1257" i="28"/>
  <c r="AM1257" i="28"/>
  <c r="B1258" i="28"/>
  <c r="C1258" i="28"/>
  <c r="D1258" i="28"/>
  <c r="AM1258" i="28"/>
  <c r="B1259" i="28"/>
  <c r="C1259" i="28"/>
  <c r="D1259" i="28"/>
  <c r="AM1259" i="28"/>
  <c r="B1260" i="28"/>
  <c r="C1260" i="28"/>
  <c r="D1260" i="28"/>
  <c r="AM1260" i="28"/>
  <c r="B1261" i="28"/>
  <c r="C1261" i="28"/>
  <c r="D1261" i="28"/>
  <c r="AM1261" i="28"/>
  <c r="B1262" i="28"/>
  <c r="C1262" i="28"/>
  <c r="D1262" i="28"/>
  <c r="AM1262" i="28"/>
  <c r="B1263" i="28"/>
  <c r="C1263" i="28"/>
  <c r="D1263" i="28"/>
  <c r="AM1263" i="28"/>
  <c r="B1264" i="28"/>
  <c r="C1264" i="28"/>
  <c r="D1264" i="28"/>
  <c r="AM1264" i="28"/>
  <c r="B1265" i="28"/>
  <c r="C1265" i="28"/>
  <c r="D1265" i="28"/>
  <c r="AM1265" i="28"/>
  <c r="B1266" i="28"/>
  <c r="C1266" i="28"/>
  <c r="D1266" i="28"/>
  <c r="AM1266" i="28"/>
  <c r="B1267" i="28"/>
  <c r="C1267" i="28"/>
  <c r="D1267" i="28"/>
  <c r="AM1267" i="28"/>
  <c r="B1268" i="28"/>
  <c r="C1268" i="28"/>
  <c r="D1268" i="28"/>
  <c r="AM1268" i="28"/>
  <c r="B1269" i="28"/>
  <c r="C1269" i="28"/>
  <c r="D1269" i="28"/>
  <c r="F1269" i="28"/>
  <c r="I1269" i="28"/>
  <c r="L1269" i="28"/>
  <c r="O1269" i="28"/>
  <c r="R1269" i="28"/>
  <c r="U1269" i="28"/>
  <c r="X1269" i="28"/>
  <c r="AA1269" i="28"/>
  <c r="AM1269" i="28"/>
  <c r="B1270" i="28"/>
  <c r="C1270" i="28"/>
  <c r="D1270" i="28"/>
  <c r="AM1270" i="28"/>
  <c r="B1271" i="28"/>
  <c r="C1271" i="28"/>
  <c r="D1271" i="28"/>
  <c r="AM1271" i="28"/>
  <c r="B1272" i="28"/>
  <c r="C1272" i="28"/>
  <c r="D1272" i="28"/>
  <c r="AM1272" i="28"/>
  <c r="B1273" i="28"/>
  <c r="C1273" i="28"/>
  <c r="D1273" i="28"/>
  <c r="AM1273" i="28"/>
  <c r="B1274" i="28"/>
  <c r="C1274" i="28"/>
  <c r="D1274" i="28"/>
  <c r="AM1274" i="28"/>
  <c r="B1275" i="28"/>
  <c r="C1275" i="28"/>
  <c r="D1275" i="28"/>
  <c r="AM1275" i="28"/>
  <c r="B1276" i="28"/>
  <c r="C1276" i="28"/>
  <c r="D1276" i="28"/>
  <c r="AM1276" i="28"/>
  <c r="B1277" i="28"/>
  <c r="C1277" i="28"/>
  <c r="D1277" i="28"/>
  <c r="AM1277" i="28"/>
  <c r="B1278" i="28"/>
  <c r="C1278" i="28"/>
  <c r="D1278" i="28"/>
  <c r="AM1278" i="28"/>
  <c r="B1279" i="28"/>
  <c r="C1279" i="28"/>
  <c r="D1279" i="28"/>
  <c r="AM1279" i="28"/>
  <c r="B1280" i="28"/>
  <c r="C1280" i="28"/>
  <c r="D1280" i="28"/>
  <c r="AM1280" i="28"/>
  <c r="B1281" i="28"/>
  <c r="C1281" i="28"/>
  <c r="D1281" i="28"/>
  <c r="AM1281" i="28"/>
  <c r="B1282" i="28"/>
  <c r="C1282" i="28"/>
  <c r="D1282" i="28"/>
  <c r="AM1282" i="28"/>
  <c r="B1283" i="28"/>
  <c r="C1283" i="28"/>
  <c r="D1283" i="28"/>
  <c r="AM1283" i="28"/>
  <c r="B1284" i="28"/>
  <c r="C1284" i="28"/>
  <c r="D1284" i="28"/>
  <c r="AM1284" i="28"/>
  <c r="B1285" i="28"/>
  <c r="C1285" i="28"/>
  <c r="D1285" i="28"/>
  <c r="AM1285" i="28"/>
  <c r="B1286" i="28"/>
  <c r="C1286" i="28"/>
  <c r="D1286" i="28"/>
  <c r="AM1286" i="28"/>
  <c r="B1287" i="28"/>
  <c r="C1287" i="28"/>
  <c r="D1287" i="28"/>
  <c r="AM1287" i="28"/>
  <c r="B1288" i="28"/>
  <c r="C1288" i="28"/>
  <c r="D1288" i="28"/>
  <c r="AM1288" i="28"/>
  <c r="B1289" i="28"/>
  <c r="C1289" i="28"/>
  <c r="D1289" i="28"/>
  <c r="AM1289" i="28"/>
  <c r="B1290" i="28"/>
  <c r="C1290" i="28"/>
  <c r="D1290" i="28"/>
  <c r="AM1290" i="28"/>
  <c r="B1291" i="28"/>
  <c r="C1291" i="28"/>
  <c r="D1291" i="28"/>
  <c r="AM1291" i="28"/>
  <c r="B1292" i="28"/>
  <c r="C1292" i="28"/>
  <c r="D1292" i="28"/>
  <c r="AM1292" i="28"/>
  <c r="B1293" i="28"/>
  <c r="C1293" i="28"/>
  <c r="D1293" i="28"/>
  <c r="AM1293" i="28"/>
  <c r="B1294" i="28"/>
  <c r="C1294" i="28"/>
  <c r="D1294" i="28"/>
  <c r="AM1294" i="28"/>
  <c r="B1295" i="28"/>
  <c r="C1295" i="28"/>
  <c r="D1295" i="28"/>
  <c r="AM1295" i="28"/>
  <c r="B1296" i="28"/>
  <c r="C1296" i="28"/>
  <c r="D1296" i="28"/>
  <c r="AM1296" i="28"/>
  <c r="B1297" i="28"/>
  <c r="C1297" i="28"/>
  <c r="D1297" i="28"/>
  <c r="AM1297" i="28"/>
  <c r="B1298" i="28"/>
  <c r="C1298" i="28"/>
  <c r="D1298" i="28"/>
  <c r="F1298" i="28"/>
  <c r="I1298" i="28"/>
  <c r="L1298" i="28"/>
  <c r="O1298" i="28"/>
  <c r="R1298" i="28"/>
  <c r="U1298" i="28"/>
  <c r="X1298" i="28"/>
  <c r="AA1298" i="28"/>
  <c r="AM1298" i="28"/>
  <c r="B1299" i="28"/>
  <c r="C1299" i="28"/>
  <c r="D1299" i="28"/>
  <c r="F1299" i="28"/>
  <c r="I1299" i="28"/>
  <c r="L1299" i="28"/>
  <c r="O1299" i="28"/>
  <c r="R1299" i="28"/>
  <c r="U1299" i="28"/>
  <c r="X1299" i="28"/>
  <c r="AA1299" i="28"/>
  <c r="AM1299" i="28"/>
  <c r="B1300" i="28"/>
  <c r="C1300" i="28"/>
  <c r="D1300" i="28"/>
  <c r="F1300" i="28"/>
  <c r="I1300" i="28"/>
  <c r="L1300" i="28"/>
  <c r="O1300" i="28"/>
  <c r="R1300" i="28"/>
  <c r="U1300" i="28"/>
  <c r="X1300" i="28"/>
  <c r="AA1300" i="28"/>
  <c r="AM1300" i="28"/>
  <c r="B1301" i="28"/>
  <c r="C1301" i="28"/>
  <c r="D1301" i="28"/>
  <c r="F1301" i="28"/>
  <c r="I1301" i="28"/>
  <c r="L1301" i="28"/>
  <c r="O1301" i="28"/>
  <c r="R1301" i="28"/>
  <c r="U1301" i="28"/>
  <c r="X1301" i="28"/>
  <c r="AA1301" i="28"/>
  <c r="AM1301" i="28"/>
  <c r="B1302" i="28"/>
  <c r="C1302" i="28"/>
  <c r="D1302" i="28"/>
  <c r="F1302" i="28"/>
  <c r="I1302" i="28"/>
  <c r="L1302" i="28"/>
  <c r="O1302" i="28"/>
  <c r="R1302" i="28"/>
  <c r="U1302" i="28"/>
  <c r="X1302" i="28"/>
  <c r="AA1302" i="28"/>
  <c r="AM1302" i="28"/>
  <c r="B1303" i="28"/>
  <c r="C1303" i="28"/>
  <c r="D1303" i="28"/>
  <c r="F1303" i="28"/>
  <c r="I1303" i="28"/>
  <c r="L1303" i="28"/>
  <c r="O1303" i="28"/>
  <c r="R1303" i="28"/>
  <c r="U1303" i="28"/>
  <c r="X1303" i="28"/>
  <c r="AA1303" i="28"/>
  <c r="AM1303" i="28"/>
  <c r="B1304" i="28"/>
  <c r="C1304" i="28"/>
  <c r="D1304" i="28"/>
  <c r="F1304" i="28"/>
  <c r="I1304" i="28"/>
  <c r="L1304" i="28"/>
  <c r="O1304" i="28"/>
  <c r="R1304" i="28"/>
  <c r="U1304" i="28"/>
  <c r="X1304" i="28"/>
  <c r="AA1304" i="28"/>
  <c r="AM1304" i="28"/>
  <c r="B1305" i="28"/>
  <c r="C1305" i="28"/>
  <c r="D1305" i="28"/>
  <c r="F1305" i="28"/>
  <c r="I1305" i="28"/>
  <c r="L1305" i="28"/>
  <c r="O1305" i="28"/>
  <c r="R1305" i="28"/>
  <c r="U1305" i="28"/>
  <c r="X1305" i="28"/>
  <c r="AA1305" i="28"/>
  <c r="AM1305" i="28"/>
  <c r="B1306" i="28"/>
  <c r="C1306" i="28"/>
  <c r="D1306" i="28"/>
  <c r="F1306" i="28"/>
  <c r="I1306" i="28"/>
  <c r="L1306" i="28"/>
  <c r="O1306" i="28"/>
  <c r="R1306" i="28"/>
  <c r="U1306" i="28"/>
  <c r="X1306" i="28"/>
  <c r="AA1306" i="28"/>
  <c r="AM1306" i="28"/>
  <c r="B1307" i="28"/>
  <c r="C1307" i="28"/>
  <c r="D1307" i="28"/>
  <c r="F1307" i="28"/>
  <c r="I1307" i="28"/>
  <c r="L1307" i="28"/>
  <c r="O1307" i="28"/>
  <c r="R1307" i="28"/>
  <c r="U1307" i="28"/>
  <c r="X1307" i="28"/>
  <c r="AA1307" i="28"/>
  <c r="AM1307" i="28"/>
  <c r="B1308" i="28"/>
  <c r="C1308" i="28"/>
  <c r="D1308" i="28"/>
  <c r="F1308" i="28"/>
  <c r="I1308" i="28"/>
  <c r="L1308" i="28"/>
  <c r="O1308" i="28"/>
  <c r="R1308" i="28"/>
  <c r="U1308" i="28"/>
  <c r="X1308" i="28"/>
  <c r="AA1308" i="28"/>
  <c r="AM1308" i="28"/>
  <c r="B1309" i="28"/>
  <c r="C1309" i="28"/>
  <c r="D1309" i="28"/>
  <c r="F1309" i="28"/>
  <c r="I1309" i="28"/>
  <c r="L1309" i="28"/>
  <c r="O1309" i="28"/>
  <c r="R1309" i="28"/>
  <c r="U1309" i="28"/>
  <c r="X1309" i="28"/>
  <c r="AA1309" i="28"/>
  <c r="AM1309" i="28"/>
  <c r="B1310" i="28"/>
  <c r="C1310" i="28"/>
  <c r="D1310" i="28"/>
  <c r="F1310" i="28"/>
  <c r="I1310" i="28"/>
  <c r="L1310" i="28"/>
  <c r="O1310" i="28"/>
  <c r="R1310" i="28"/>
  <c r="U1310" i="28"/>
  <c r="X1310" i="28"/>
  <c r="AA1310" i="28"/>
  <c r="AM1310" i="28"/>
  <c r="B1311" i="28"/>
  <c r="C1311" i="28"/>
  <c r="D1311" i="28"/>
  <c r="F1311" i="28"/>
  <c r="I1311" i="28"/>
  <c r="L1311" i="28"/>
  <c r="O1311" i="28"/>
  <c r="R1311" i="28"/>
  <c r="U1311" i="28"/>
  <c r="X1311" i="28"/>
  <c r="AA1311" i="28"/>
  <c r="AM1311" i="28"/>
  <c r="B1312" i="28"/>
  <c r="C1312" i="28"/>
  <c r="D1312" i="28"/>
  <c r="F1312" i="28"/>
  <c r="I1312" i="28"/>
  <c r="L1312" i="28"/>
  <c r="O1312" i="28"/>
  <c r="R1312" i="28"/>
  <c r="U1312" i="28"/>
  <c r="X1312" i="28"/>
  <c r="AA1312" i="28"/>
  <c r="AM1312" i="28"/>
  <c r="B1313" i="28"/>
  <c r="C1313" i="28"/>
  <c r="D1313" i="28"/>
  <c r="F1313" i="28"/>
  <c r="I1313" i="28"/>
  <c r="L1313" i="28"/>
  <c r="O1313" i="28"/>
  <c r="R1313" i="28"/>
  <c r="U1313" i="28"/>
  <c r="X1313" i="28"/>
  <c r="AA1313" i="28"/>
  <c r="AM1313" i="28"/>
  <c r="B1314" i="28"/>
  <c r="C1314" i="28"/>
  <c r="D1314" i="28"/>
  <c r="F1314" i="28"/>
  <c r="I1314" i="28"/>
  <c r="L1314" i="28"/>
  <c r="O1314" i="28"/>
  <c r="R1314" i="28"/>
  <c r="U1314" i="28"/>
  <c r="X1314" i="28"/>
  <c r="AA1314" i="28"/>
  <c r="AM1314" i="28"/>
  <c r="B1315" i="28"/>
  <c r="C1315" i="28"/>
  <c r="D1315" i="28"/>
  <c r="F1315" i="28"/>
  <c r="I1315" i="28"/>
  <c r="L1315" i="28"/>
  <c r="O1315" i="28"/>
  <c r="R1315" i="28"/>
  <c r="U1315" i="28"/>
  <c r="X1315" i="28"/>
  <c r="AA1315" i="28"/>
  <c r="AM1315" i="28"/>
  <c r="B1316" i="28"/>
  <c r="C1316" i="28"/>
  <c r="D1316" i="28"/>
  <c r="F1316" i="28"/>
  <c r="I1316" i="28"/>
  <c r="L1316" i="28"/>
  <c r="O1316" i="28"/>
  <c r="R1316" i="28"/>
  <c r="U1316" i="28"/>
  <c r="X1316" i="28"/>
  <c r="AA1316" i="28"/>
  <c r="AM1316" i="28"/>
  <c r="B1317" i="28"/>
  <c r="C1317" i="28"/>
  <c r="D1317" i="28"/>
  <c r="F1317" i="28"/>
  <c r="I1317" i="28"/>
  <c r="L1317" i="28"/>
  <c r="O1317" i="28"/>
  <c r="R1317" i="28"/>
  <c r="U1317" i="28"/>
  <c r="X1317" i="28"/>
  <c r="AA1317" i="28"/>
  <c r="AM1317" i="28"/>
  <c r="B1318" i="28"/>
  <c r="C1318" i="28"/>
  <c r="D1318" i="28"/>
  <c r="F1318" i="28"/>
  <c r="I1318" i="28"/>
  <c r="L1318" i="28"/>
  <c r="O1318" i="28"/>
  <c r="R1318" i="28"/>
  <c r="U1318" i="28"/>
  <c r="X1318" i="28"/>
  <c r="AA1318" i="28"/>
  <c r="AM1318" i="28"/>
  <c r="B1319" i="28"/>
  <c r="C1319" i="28"/>
  <c r="D1319" i="28"/>
  <c r="F1319" i="28"/>
  <c r="I1319" i="28"/>
  <c r="L1319" i="28"/>
  <c r="O1319" i="28"/>
  <c r="R1319" i="28"/>
  <c r="U1319" i="28"/>
  <c r="X1319" i="28"/>
  <c r="AA1319" i="28"/>
  <c r="AM1319" i="28"/>
  <c r="B1320" i="28"/>
  <c r="C1320" i="28"/>
  <c r="D1320" i="28"/>
  <c r="F1320" i="28"/>
  <c r="I1320" i="28"/>
  <c r="L1320" i="28"/>
  <c r="O1320" i="28"/>
  <c r="R1320" i="28"/>
  <c r="U1320" i="28"/>
  <c r="X1320" i="28"/>
  <c r="AA1320" i="28"/>
  <c r="AM1320" i="28"/>
  <c r="B1321" i="28"/>
  <c r="C1321" i="28"/>
  <c r="D1321" i="28"/>
  <c r="F1321" i="28"/>
  <c r="I1321" i="28"/>
  <c r="L1321" i="28"/>
  <c r="O1321" i="28"/>
  <c r="R1321" i="28"/>
  <c r="U1321" i="28"/>
  <c r="X1321" i="28"/>
  <c r="AA1321" i="28"/>
  <c r="AM1321" i="28"/>
  <c r="B1322" i="28"/>
  <c r="C1322" i="28"/>
  <c r="D1322" i="28"/>
  <c r="F1322" i="28"/>
  <c r="I1322" i="28"/>
  <c r="L1322" i="28"/>
  <c r="O1322" i="28"/>
  <c r="R1322" i="28"/>
  <c r="U1322" i="28"/>
  <c r="X1322" i="28"/>
  <c r="AA1322" i="28"/>
  <c r="AM1322" i="28"/>
  <c r="B1323" i="28"/>
  <c r="C1323" i="28"/>
  <c r="D1323" i="28"/>
  <c r="F1323" i="28"/>
  <c r="I1323" i="28"/>
  <c r="L1323" i="28"/>
  <c r="O1323" i="28"/>
  <c r="R1323" i="28"/>
  <c r="U1323" i="28"/>
  <c r="X1323" i="28"/>
  <c r="AA1323" i="28"/>
  <c r="AM1323" i="28"/>
  <c r="B1324" i="28"/>
  <c r="C1324" i="28"/>
  <c r="D1324" i="28"/>
  <c r="F1324" i="28"/>
  <c r="I1324" i="28"/>
  <c r="L1324" i="28"/>
  <c r="O1324" i="28"/>
  <c r="R1324" i="28"/>
  <c r="U1324" i="28"/>
  <c r="X1324" i="28"/>
  <c r="AA1324" i="28"/>
  <c r="AM1324" i="28"/>
  <c r="B1325" i="28"/>
  <c r="C1325" i="28"/>
  <c r="D1325" i="28"/>
  <c r="F1325" i="28"/>
  <c r="I1325" i="28"/>
  <c r="L1325" i="28"/>
  <c r="O1325" i="28"/>
  <c r="R1325" i="28"/>
  <c r="U1325" i="28"/>
  <c r="X1325" i="28"/>
  <c r="AA1325" i="28"/>
  <c r="AM1325" i="28"/>
  <c r="B1326" i="28"/>
  <c r="C1326" i="28"/>
  <c r="D1326" i="28"/>
  <c r="F1326" i="28"/>
  <c r="I1326" i="28"/>
  <c r="L1326" i="28"/>
  <c r="O1326" i="28"/>
  <c r="R1326" i="28"/>
  <c r="U1326" i="28"/>
  <c r="X1326" i="28"/>
  <c r="AA1326" i="28"/>
  <c r="AM1326" i="28"/>
  <c r="B1327" i="28"/>
  <c r="C1327" i="28"/>
  <c r="D1327" i="28"/>
  <c r="F1327" i="28"/>
  <c r="I1327" i="28"/>
  <c r="L1327" i="28"/>
  <c r="O1327" i="28"/>
  <c r="R1327" i="28"/>
  <c r="U1327" i="28"/>
  <c r="X1327" i="28"/>
  <c r="AA1327" i="28"/>
  <c r="AM1327" i="28"/>
  <c r="B1328" i="28"/>
  <c r="C1328" i="28"/>
  <c r="D1328" i="28"/>
  <c r="F1328" i="28"/>
  <c r="I1328" i="28"/>
  <c r="L1328" i="28"/>
  <c r="O1328" i="28"/>
  <c r="R1328" i="28"/>
  <c r="U1328" i="28"/>
  <c r="X1328" i="28"/>
  <c r="AA1328" i="28"/>
  <c r="AK1328" i="28"/>
  <c r="AM1328" i="28"/>
  <c r="B1329" i="28"/>
  <c r="C1329" i="28"/>
  <c r="D1329" i="28"/>
  <c r="F1329" i="28"/>
  <c r="I1329" i="28"/>
  <c r="L1329" i="28"/>
  <c r="O1329" i="28"/>
  <c r="R1329" i="28"/>
  <c r="U1329" i="28"/>
  <c r="X1329" i="28"/>
  <c r="AA1329" i="28"/>
  <c r="AK1329" i="28"/>
  <c r="AM1329" i="28"/>
  <c r="B1330" i="28"/>
  <c r="C1330" i="28"/>
  <c r="D1330" i="28"/>
  <c r="F1330" i="28"/>
  <c r="I1330" i="28"/>
  <c r="L1330" i="28"/>
  <c r="O1330" i="28"/>
  <c r="R1330" i="28"/>
  <c r="U1330" i="28"/>
  <c r="X1330" i="28"/>
  <c r="AA1330" i="28"/>
  <c r="AK1330" i="28"/>
  <c r="AM1330" i="28"/>
  <c r="B1331" i="28"/>
  <c r="C1331" i="28"/>
  <c r="D1331" i="28"/>
  <c r="F1331" i="28"/>
  <c r="I1331" i="28"/>
  <c r="L1331" i="28"/>
  <c r="O1331" i="28"/>
  <c r="R1331" i="28"/>
  <c r="U1331" i="28"/>
  <c r="X1331" i="28"/>
  <c r="AA1331" i="28"/>
  <c r="AM1331" i="28"/>
  <c r="B1332" i="28"/>
  <c r="C1332" i="28"/>
  <c r="D1332" i="28"/>
  <c r="F1332" i="28"/>
  <c r="I1332" i="28"/>
  <c r="L1332" i="28"/>
  <c r="O1332" i="28"/>
  <c r="R1332" i="28"/>
  <c r="U1332" i="28"/>
  <c r="X1332" i="28"/>
  <c r="AA1332" i="28"/>
  <c r="AK1332" i="28"/>
  <c r="AM1332" i="28"/>
  <c r="B1333" i="28"/>
  <c r="C1333" i="28"/>
  <c r="D1333" i="28"/>
  <c r="AA1333" i="28"/>
  <c r="AM1333" i="28"/>
  <c r="B1334" i="28"/>
  <c r="C1334" i="28"/>
  <c r="D1334" i="28"/>
  <c r="AA1334" i="28"/>
  <c r="AM1334" i="28"/>
  <c r="B1335" i="28"/>
  <c r="C1335" i="28"/>
  <c r="D1335" i="28"/>
  <c r="AA1335" i="28"/>
  <c r="AM1335" i="28"/>
  <c r="B1336" i="28"/>
  <c r="C1336" i="28"/>
  <c r="D1336" i="28"/>
  <c r="AA1336" i="28"/>
  <c r="AM1336" i="28"/>
  <c r="B1337" i="28"/>
  <c r="C1337" i="28"/>
  <c r="D1337" i="28"/>
  <c r="AA1337" i="28"/>
  <c r="AM1337" i="28"/>
  <c r="B1338" i="28"/>
  <c r="C1338" i="28"/>
  <c r="D1338" i="28"/>
  <c r="AA1338" i="28"/>
  <c r="AM1338" i="28"/>
  <c r="B1339" i="28"/>
  <c r="C1339" i="28"/>
  <c r="D1339" i="28"/>
  <c r="AA1339" i="28"/>
  <c r="AM1339" i="28"/>
  <c r="B1340" i="28"/>
  <c r="C1340" i="28"/>
  <c r="D1340" i="28"/>
  <c r="AA1340" i="28"/>
  <c r="AM1340" i="28"/>
  <c r="B1341" i="28"/>
  <c r="C1341" i="28"/>
  <c r="D1341" i="28"/>
  <c r="AA1341" i="28"/>
  <c r="AM1341" i="28"/>
  <c r="B1342" i="28"/>
  <c r="C1342" i="28"/>
  <c r="D1342" i="28"/>
  <c r="AA1342" i="28"/>
  <c r="AM1342" i="28"/>
  <c r="B1343" i="28"/>
  <c r="C1343" i="28"/>
  <c r="D1343" i="28"/>
  <c r="AA1343" i="28"/>
  <c r="AM1343" i="28"/>
  <c r="B1344" i="28"/>
  <c r="C1344" i="28"/>
  <c r="D1344" i="28"/>
  <c r="AA1344" i="28"/>
  <c r="AM1344" i="28"/>
  <c r="B1345" i="28"/>
  <c r="C1345" i="28"/>
  <c r="D1345" i="28"/>
  <c r="AA1345" i="28"/>
  <c r="AM1345" i="28"/>
  <c r="B1346" i="28"/>
  <c r="C1346" i="28"/>
  <c r="D1346" i="28"/>
  <c r="AA1346" i="28"/>
  <c r="AM1346" i="28"/>
  <c r="B1347" i="28"/>
  <c r="C1347" i="28"/>
  <c r="D1347" i="28"/>
  <c r="AA1347" i="28"/>
  <c r="AM1347" i="28"/>
  <c r="B1348" i="28"/>
  <c r="C1348" i="28"/>
  <c r="D1348" i="28"/>
  <c r="AA1348" i="28"/>
  <c r="AM1348" i="28"/>
  <c r="B1349" i="28"/>
  <c r="C1349" i="28"/>
  <c r="D1349" i="28"/>
  <c r="AA1349" i="28"/>
  <c r="AM1349" i="28"/>
  <c r="B1350" i="28"/>
  <c r="C1350" i="28"/>
  <c r="D1350" i="28"/>
  <c r="AA1350" i="28"/>
  <c r="AM1350" i="28"/>
  <c r="B1351" i="28"/>
  <c r="C1351" i="28"/>
  <c r="D1351" i="28"/>
  <c r="AA1351" i="28"/>
  <c r="AM1351" i="28"/>
  <c r="B1352" i="28"/>
  <c r="C1352" i="28"/>
  <c r="D1352" i="28"/>
  <c r="AA1352" i="28"/>
  <c r="AM1352" i="28"/>
  <c r="B1353" i="28"/>
  <c r="C1353" i="28"/>
  <c r="D1353" i="28"/>
  <c r="AA1353" i="28"/>
  <c r="AM1353" i="28"/>
  <c r="B1354" i="28"/>
  <c r="C1354" i="28"/>
  <c r="D1354" i="28"/>
  <c r="AA1354" i="28"/>
  <c r="AM1354" i="28"/>
  <c r="B1355" i="28"/>
  <c r="C1355" i="28"/>
  <c r="D1355" i="28"/>
  <c r="AA1355" i="28"/>
  <c r="AM1355" i="28"/>
  <c r="B1356" i="28"/>
  <c r="C1356" i="28"/>
  <c r="D1356" i="28"/>
  <c r="AA1356" i="28"/>
  <c r="AM1356" i="28"/>
  <c r="B1357" i="28"/>
  <c r="C1357" i="28"/>
  <c r="D1357" i="28"/>
  <c r="AA1357" i="28"/>
  <c r="AM1357" i="28"/>
  <c r="B1358" i="28"/>
  <c r="C1358" i="28"/>
  <c r="D1358" i="28"/>
  <c r="AA1358" i="28"/>
  <c r="AM1358" i="28"/>
  <c r="B1359" i="28"/>
  <c r="C1359" i="28"/>
  <c r="D1359" i="28"/>
  <c r="AA1359" i="28"/>
  <c r="AM1359" i="28"/>
  <c r="B1360" i="28"/>
  <c r="C1360" i="28"/>
  <c r="D1360" i="28"/>
  <c r="AA1360" i="28"/>
  <c r="AM1360" i="28"/>
  <c r="B1361" i="28"/>
  <c r="C1361" i="28"/>
  <c r="D1361" i="28"/>
  <c r="AA1361" i="28"/>
  <c r="B1363" i="28"/>
  <c r="C1363" i="28"/>
  <c r="D1363" i="28"/>
  <c r="F1363" i="28"/>
  <c r="I1363" i="28"/>
  <c r="L1363" i="28"/>
  <c r="O1363" i="28"/>
  <c r="R1363" i="28"/>
  <c r="U1363" i="28"/>
  <c r="X1363" i="28"/>
  <c r="AA1363" i="28"/>
  <c r="AK1363" i="28"/>
  <c r="AM1363" i="28"/>
  <c r="B1364" i="28"/>
  <c r="C1364" i="28"/>
  <c r="D1364" i="28"/>
  <c r="F1364" i="28"/>
  <c r="I1364" i="28"/>
  <c r="L1364" i="28"/>
  <c r="O1364" i="28"/>
  <c r="R1364" i="28"/>
  <c r="U1364" i="28"/>
  <c r="X1364" i="28"/>
  <c r="AA1364" i="28"/>
  <c r="AM1364" i="28"/>
  <c r="B1365" i="28"/>
  <c r="C1365" i="28"/>
  <c r="D1365" i="28"/>
  <c r="F1365" i="28"/>
  <c r="I1365" i="28"/>
  <c r="L1365" i="28"/>
  <c r="O1365" i="28"/>
  <c r="R1365" i="28"/>
  <c r="U1365" i="28"/>
  <c r="X1365" i="28"/>
  <c r="AA1365" i="28"/>
  <c r="AM1365" i="28"/>
  <c r="B1366" i="28"/>
  <c r="C1366" i="28"/>
  <c r="D1366" i="28"/>
  <c r="F1366" i="28"/>
  <c r="I1366" i="28"/>
  <c r="L1366" i="28"/>
  <c r="O1366" i="28"/>
  <c r="R1366" i="28"/>
  <c r="U1366" i="28"/>
  <c r="X1366" i="28"/>
  <c r="AA1366" i="28"/>
  <c r="AM1366" i="28"/>
  <c r="B1367" i="28"/>
  <c r="C1367" i="28"/>
  <c r="D1367" i="28"/>
  <c r="F1367" i="28"/>
  <c r="I1367" i="28"/>
  <c r="L1367" i="28"/>
  <c r="O1367" i="28"/>
  <c r="R1367" i="28"/>
  <c r="U1367" i="28"/>
  <c r="X1367" i="28"/>
  <c r="AA1367" i="28"/>
  <c r="AM1367" i="28"/>
  <c r="B1368" i="28"/>
  <c r="C1368" i="28"/>
  <c r="D1368" i="28"/>
  <c r="F1368" i="28"/>
  <c r="I1368" i="28"/>
  <c r="L1368" i="28"/>
  <c r="O1368" i="28"/>
  <c r="R1368" i="28"/>
  <c r="U1368" i="28"/>
  <c r="X1368" i="28"/>
  <c r="AA1368" i="28"/>
  <c r="AM1368" i="28"/>
  <c r="B1369" i="28"/>
  <c r="C1369" i="28"/>
  <c r="D1369" i="28"/>
  <c r="F1369" i="28"/>
  <c r="I1369" i="28"/>
  <c r="L1369" i="28"/>
  <c r="O1369" i="28"/>
  <c r="R1369" i="28"/>
  <c r="U1369" i="28"/>
  <c r="X1369" i="28"/>
  <c r="AA1369" i="28"/>
  <c r="AM1369" i="28"/>
  <c r="B1370" i="28"/>
  <c r="C1370" i="28"/>
  <c r="D1370" i="28"/>
  <c r="F1370" i="28"/>
  <c r="I1370" i="28"/>
  <c r="L1370" i="28"/>
  <c r="O1370" i="28"/>
  <c r="R1370" i="28"/>
  <c r="U1370" i="28"/>
  <c r="X1370" i="28"/>
  <c r="AA1370" i="28"/>
  <c r="AM1370" i="28"/>
  <c r="B1371" i="28"/>
  <c r="C1371" i="28"/>
  <c r="D1371" i="28"/>
  <c r="F1371" i="28"/>
  <c r="I1371" i="28"/>
  <c r="L1371" i="28"/>
  <c r="O1371" i="28"/>
  <c r="R1371" i="28"/>
  <c r="U1371" i="28"/>
  <c r="X1371" i="28"/>
  <c r="AA1371" i="28"/>
  <c r="AM1371" i="28"/>
  <c r="B1372" i="28"/>
  <c r="C1372" i="28"/>
  <c r="D1372" i="28"/>
  <c r="F1372" i="28"/>
  <c r="I1372" i="28"/>
  <c r="L1372" i="28"/>
  <c r="O1372" i="28"/>
  <c r="R1372" i="28"/>
  <c r="U1372" i="28"/>
  <c r="X1372" i="28"/>
  <c r="AA1372" i="28"/>
  <c r="AM1372" i="28"/>
  <c r="B1373" i="28"/>
  <c r="C1373" i="28"/>
  <c r="D1373" i="28"/>
  <c r="F1373" i="28"/>
  <c r="I1373" i="28"/>
  <c r="L1373" i="28"/>
  <c r="O1373" i="28"/>
  <c r="R1373" i="28"/>
  <c r="U1373" i="28"/>
  <c r="X1373" i="28"/>
  <c r="AA1373" i="28"/>
  <c r="AM1373" i="28"/>
  <c r="B1374" i="28"/>
  <c r="C1374" i="28"/>
  <c r="D1374" i="28"/>
  <c r="F1374" i="28"/>
  <c r="I1374" i="28"/>
  <c r="AM1374" i="28"/>
  <c r="B1375" i="28"/>
  <c r="C1375" i="28"/>
  <c r="D1375" i="28"/>
  <c r="AM1375" i="28"/>
  <c r="B1376" i="28"/>
  <c r="C1376" i="28"/>
  <c r="D1376" i="28"/>
  <c r="F1376" i="28"/>
  <c r="I1376" i="28"/>
  <c r="L1376" i="28"/>
  <c r="O1376" i="28"/>
  <c r="R1376" i="28"/>
  <c r="U1376" i="28"/>
  <c r="X1376" i="28"/>
  <c r="AA1376" i="28"/>
  <c r="AM1376" i="28"/>
  <c r="B1377" i="28"/>
  <c r="C1377" i="28"/>
  <c r="D1377" i="28"/>
  <c r="F1377" i="28"/>
  <c r="I1377" i="28"/>
  <c r="L1377" i="28"/>
  <c r="O1377" i="28"/>
  <c r="R1377" i="28"/>
  <c r="U1377" i="28"/>
  <c r="X1377" i="28"/>
  <c r="AA1377" i="28"/>
  <c r="AM1377" i="28"/>
  <c r="B1378" i="28"/>
  <c r="C1378" i="28"/>
  <c r="D1378" i="28"/>
  <c r="F1378" i="28"/>
  <c r="I1378" i="28"/>
  <c r="L1378" i="28"/>
  <c r="O1378" i="28"/>
  <c r="R1378" i="28"/>
  <c r="U1378" i="28"/>
  <c r="X1378" i="28"/>
  <c r="AA1378" i="28"/>
  <c r="AM1378" i="28"/>
  <c r="B1379" i="28"/>
  <c r="C1379" i="28"/>
  <c r="D1379" i="28"/>
  <c r="F1379" i="28"/>
  <c r="I1379" i="28"/>
  <c r="L1379" i="28"/>
  <c r="O1379" i="28"/>
  <c r="R1379" i="28"/>
  <c r="U1379" i="28"/>
  <c r="X1379" i="28"/>
  <c r="AA1379" i="28"/>
  <c r="AM1379" i="28"/>
  <c r="B1380" i="28"/>
  <c r="C1380" i="28"/>
  <c r="D1380" i="28"/>
  <c r="F1380" i="28"/>
  <c r="I1380" i="28"/>
  <c r="L1380" i="28"/>
  <c r="O1380" i="28"/>
  <c r="R1380" i="28"/>
  <c r="U1380" i="28"/>
  <c r="X1380" i="28"/>
  <c r="AA1380" i="28"/>
  <c r="AM1380" i="28"/>
  <c r="B1381" i="28"/>
  <c r="C1381" i="28"/>
  <c r="D1381" i="28"/>
  <c r="F1381" i="28"/>
  <c r="I1381" i="28"/>
  <c r="L1381" i="28"/>
  <c r="O1381" i="28"/>
  <c r="R1381" i="28"/>
  <c r="U1381" i="28"/>
  <c r="X1381" i="28"/>
  <c r="AA1381" i="28"/>
  <c r="AM1381" i="28"/>
  <c r="B1385" i="28"/>
  <c r="C1385" i="28"/>
  <c r="D1385" i="28"/>
  <c r="F1385" i="28"/>
  <c r="I1385" i="28"/>
  <c r="L1385" i="28"/>
  <c r="O1385" i="28"/>
  <c r="R1385" i="28"/>
  <c r="U1385" i="28"/>
  <c r="X1385" i="28"/>
  <c r="AM1385" i="28"/>
  <c r="B1386" i="28"/>
  <c r="C1386" i="28"/>
  <c r="D1386" i="28"/>
  <c r="F1386" i="28"/>
  <c r="I1386" i="28"/>
  <c r="L1386" i="28"/>
  <c r="O1386" i="28"/>
  <c r="R1386" i="28"/>
  <c r="U1386" i="28"/>
  <c r="X1386" i="28"/>
  <c r="AA1386" i="28"/>
  <c r="AM1386" i="28"/>
  <c r="B1387" i="28"/>
  <c r="C1387" i="28"/>
  <c r="D1387" i="28"/>
  <c r="F1387" i="28"/>
  <c r="I1387" i="28"/>
  <c r="L1387" i="28"/>
  <c r="O1387" i="28"/>
  <c r="R1387" i="28"/>
  <c r="U1387" i="28"/>
  <c r="X1387" i="28"/>
  <c r="AA1387" i="28"/>
  <c r="AM1387" i="28"/>
  <c r="B1389" i="28"/>
  <c r="C1389" i="28"/>
  <c r="D1389" i="28"/>
  <c r="F1389" i="28"/>
  <c r="I1389" i="28"/>
  <c r="L1389" i="28"/>
  <c r="O1389" i="28"/>
  <c r="R1389" i="28"/>
  <c r="U1389" i="28"/>
  <c r="X1389" i="28"/>
  <c r="AA1389" i="28"/>
  <c r="AM1389" i="28"/>
  <c r="B1390" i="28"/>
  <c r="C1390" i="28"/>
  <c r="D1390" i="28"/>
  <c r="F1390" i="28"/>
  <c r="I1390" i="28"/>
  <c r="L1390" i="28"/>
  <c r="O1390" i="28"/>
  <c r="R1390" i="28"/>
  <c r="U1390" i="28"/>
  <c r="X1390" i="28"/>
  <c r="AA1390" i="28"/>
  <c r="AM1390" i="28"/>
  <c r="B1391" i="28"/>
  <c r="C1391" i="28"/>
  <c r="D1391" i="28"/>
  <c r="F1391" i="28"/>
  <c r="I1391" i="28"/>
  <c r="L1391" i="28"/>
  <c r="O1391" i="28"/>
  <c r="R1391" i="28"/>
  <c r="U1391" i="28"/>
  <c r="X1391" i="28"/>
  <c r="AA1391" i="28"/>
  <c r="AM1391" i="28"/>
  <c r="B1392" i="28"/>
  <c r="C1392" i="28"/>
  <c r="D1392" i="28"/>
  <c r="AM1392" i="28"/>
  <c r="B1395" i="28"/>
  <c r="C1395" i="28"/>
  <c r="D1395" i="28"/>
  <c r="F1395" i="28"/>
  <c r="I1395" i="28"/>
  <c r="L1395" i="28"/>
  <c r="O1395" i="28"/>
  <c r="R1395" i="28"/>
  <c r="U1395" i="28"/>
  <c r="X1395" i="28"/>
  <c r="AA1395" i="28"/>
  <c r="AM1395" i="28"/>
  <c r="B1396" i="28"/>
  <c r="C1396" i="28"/>
  <c r="D1396" i="28"/>
  <c r="B1399" i="28"/>
  <c r="C1399" i="28"/>
  <c r="D1399" i="28"/>
  <c r="F1399" i="28"/>
  <c r="I1399" i="28"/>
  <c r="L1399" i="28"/>
  <c r="O1399" i="28"/>
  <c r="R1399" i="28"/>
  <c r="U1399" i="28"/>
  <c r="X1399" i="28"/>
  <c r="AA1399" i="28"/>
  <c r="AM1399" i="28"/>
  <c r="B1400" i="28"/>
  <c r="C1400" i="28"/>
  <c r="D1400" i="28"/>
  <c r="F1400" i="28"/>
  <c r="I1400" i="28"/>
  <c r="L1400" i="28"/>
  <c r="O1400" i="28"/>
  <c r="R1400" i="28"/>
  <c r="U1400" i="28"/>
  <c r="X1400" i="28"/>
  <c r="AA1400" i="28"/>
  <c r="AG1400" i="28"/>
  <c r="AM1400" i="28"/>
  <c r="B1401" i="28"/>
  <c r="C1401" i="28"/>
  <c r="D1401" i="28"/>
  <c r="F1401" i="28"/>
  <c r="I1401" i="28"/>
  <c r="L1401" i="28"/>
  <c r="O1401" i="28"/>
  <c r="R1401" i="28"/>
  <c r="U1401" i="28"/>
  <c r="X1401" i="28"/>
  <c r="AA1401" i="28"/>
  <c r="AM1401" i="28"/>
  <c r="B1404" i="28"/>
  <c r="C1404" i="28"/>
  <c r="D1404" i="28"/>
  <c r="F1404" i="28"/>
  <c r="I1404" i="28"/>
  <c r="L1404" i="28"/>
  <c r="O1404" i="28"/>
  <c r="R1404" i="28"/>
  <c r="U1404" i="28"/>
  <c r="X1404" i="28"/>
  <c r="AA1404" i="28"/>
  <c r="AM1404" i="28"/>
  <c r="B1405" i="28"/>
  <c r="C1405" i="28"/>
  <c r="D1405" i="28"/>
  <c r="X1405" i="28"/>
  <c r="AM1405" i="28"/>
  <c r="B1406" i="28"/>
  <c r="C1406" i="28"/>
  <c r="D1406" i="28"/>
  <c r="F1406" i="28"/>
  <c r="I1406" i="28"/>
  <c r="L1406" i="28"/>
  <c r="O1406" i="28"/>
  <c r="R1406" i="28"/>
  <c r="U1406" i="28"/>
  <c r="X1406" i="28"/>
  <c r="AA1406" i="28"/>
  <c r="AM1406" i="28"/>
  <c r="B1407" i="28"/>
  <c r="C1407" i="28"/>
  <c r="D1407" i="28"/>
  <c r="F1407" i="28"/>
  <c r="I1407" i="28"/>
  <c r="L1407" i="28"/>
  <c r="O1407" i="28"/>
  <c r="R1407" i="28"/>
  <c r="U1407" i="28"/>
  <c r="X1407" i="28"/>
  <c r="AA1407" i="28"/>
  <c r="AM1407" i="28"/>
  <c r="B1408" i="28"/>
  <c r="C1408" i="28"/>
  <c r="D1408" i="28"/>
  <c r="F1408" i="28"/>
  <c r="I1408" i="28"/>
  <c r="L1408" i="28"/>
  <c r="O1408" i="28"/>
  <c r="R1408" i="28"/>
  <c r="U1408" i="28"/>
  <c r="X1408" i="28"/>
  <c r="AA1408" i="28"/>
  <c r="AM1408" i="28"/>
  <c r="B1409" i="28"/>
  <c r="C1409" i="28"/>
  <c r="D1409" i="28"/>
  <c r="F1409" i="28"/>
  <c r="I1409" i="28"/>
  <c r="L1409" i="28"/>
  <c r="O1409" i="28"/>
  <c r="R1409" i="28"/>
  <c r="U1409" i="28"/>
  <c r="X1409" i="28"/>
  <c r="AA1409" i="28"/>
  <c r="AM1409" i="28"/>
  <c r="B1410" i="28"/>
  <c r="C1410" i="28"/>
  <c r="D1410" i="28"/>
  <c r="AM1410" i="28"/>
  <c r="B1411" i="28"/>
  <c r="C1411" i="28"/>
  <c r="D1411" i="28"/>
  <c r="F1411" i="28"/>
  <c r="I1411" i="28"/>
  <c r="L1411" i="28"/>
  <c r="O1411" i="28"/>
  <c r="R1411" i="28"/>
  <c r="U1411" i="28"/>
  <c r="X1411" i="28"/>
  <c r="AA1411" i="28"/>
  <c r="AM1411" i="28"/>
  <c r="B1412" i="28"/>
  <c r="C1412" i="28"/>
  <c r="D1412" i="28"/>
  <c r="F1412" i="28"/>
  <c r="I1412" i="28"/>
  <c r="L1412" i="28"/>
  <c r="O1412" i="28"/>
  <c r="R1412" i="28"/>
  <c r="U1412" i="28"/>
  <c r="X1412" i="28"/>
  <c r="AA1412" i="28"/>
  <c r="AM1412" i="28"/>
  <c r="B1413" i="28"/>
  <c r="C1413" i="28"/>
  <c r="D1413" i="28"/>
  <c r="AM1413" i="28"/>
  <c r="B1414" i="28"/>
  <c r="C1414" i="28"/>
  <c r="D1414" i="28"/>
  <c r="AM1414" i="28"/>
  <c r="B1415" i="28"/>
  <c r="C1415" i="28"/>
  <c r="D1415" i="28"/>
  <c r="AM1415" i="28"/>
  <c r="B1416" i="28"/>
  <c r="C1416" i="28"/>
  <c r="D1416" i="28"/>
  <c r="B1417" i="28"/>
  <c r="C1417" i="28"/>
  <c r="D1417" i="28"/>
  <c r="AM1417" i="28"/>
  <c r="B1418" i="28"/>
  <c r="C1418" i="28"/>
  <c r="D1418" i="28"/>
  <c r="AM1418" i="28"/>
  <c r="B1419" i="28"/>
  <c r="C1419" i="28"/>
  <c r="D1419" i="28"/>
  <c r="AM1419" i="28"/>
  <c r="B1420" i="28"/>
  <c r="C1420" i="28"/>
  <c r="D1420" i="28"/>
  <c r="AM1420" i="28"/>
  <c r="B1421" i="28"/>
  <c r="C1421" i="28"/>
  <c r="D1421" i="28"/>
  <c r="F1421" i="28"/>
  <c r="I1421" i="28"/>
  <c r="L1421" i="28"/>
  <c r="O1421" i="28"/>
  <c r="R1421" i="28"/>
  <c r="U1421" i="28"/>
  <c r="X1421" i="28"/>
  <c r="AA1421" i="28"/>
  <c r="AM1421" i="28"/>
  <c r="B1422" i="28"/>
  <c r="C1422" i="28"/>
  <c r="D1422" i="28"/>
  <c r="F1422" i="28"/>
  <c r="I1422" i="28"/>
  <c r="L1422" i="28"/>
  <c r="O1422" i="28"/>
  <c r="R1422" i="28"/>
  <c r="U1422" i="28"/>
  <c r="X1422" i="28"/>
  <c r="AA1422" i="28"/>
  <c r="AM1422" i="28"/>
  <c r="B1423" i="28"/>
  <c r="C1423" i="28"/>
  <c r="D1423" i="28"/>
  <c r="F1423" i="28"/>
  <c r="I1423" i="28"/>
  <c r="L1423" i="28"/>
  <c r="O1423" i="28"/>
  <c r="R1423" i="28"/>
  <c r="U1423" i="28"/>
  <c r="X1423" i="28"/>
  <c r="AA1423" i="28"/>
  <c r="AM1423" i="28"/>
  <c r="B1424" i="28"/>
  <c r="C1424" i="28"/>
  <c r="D1424" i="28"/>
  <c r="F1424" i="28"/>
  <c r="I1424" i="28"/>
  <c r="L1424" i="28"/>
  <c r="O1424" i="28"/>
  <c r="R1424" i="28"/>
  <c r="U1424" i="28"/>
  <c r="X1424" i="28"/>
  <c r="AA1424" i="28"/>
  <c r="AM1424" i="28"/>
  <c r="B1425" i="28"/>
  <c r="C1425" i="28"/>
  <c r="D1425" i="28"/>
  <c r="F1425" i="28"/>
  <c r="I1425" i="28"/>
  <c r="L1425" i="28"/>
  <c r="O1425" i="28"/>
  <c r="R1425" i="28"/>
  <c r="U1425" i="28"/>
  <c r="X1425" i="28"/>
  <c r="AA1425" i="28"/>
  <c r="AM1425" i="28"/>
  <c r="B1426" i="28"/>
  <c r="C1426" i="28"/>
  <c r="D1426" i="28"/>
  <c r="F1426" i="28"/>
  <c r="I1426" i="28"/>
  <c r="L1426" i="28"/>
  <c r="O1426" i="28"/>
  <c r="R1426" i="28"/>
  <c r="U1426" i="28"/>
  <c r="X1426" i="28"/>
  <c r="AA1426" i="28"/>
  <c r="AM1426" i="28"/>
  <c r="B1427" i="28"/>
  <c r="C1427" i="28"/>
  <c r="D1427" i="28"/>
  <c r="F1427" i="28"/>
  <c r="I1427" i="28"/>
  <c r="L1427" i="28"/>
  <c r="O1427" i="28"/>
  <c r="R1427" i="28"/>
  <c r="U1427" i="28"/>
  <c r="X1427" i="28"/>
  <c r="AA1427" i="28"/>
  <c r="AM1427" i="28"/>
  <c r="B1428" i="28"/>
  <c r="C1428" i="28"/>
  <c r="D1428" i="28"/>
  <c r="F1428" i="28"/>
  <c r="I1428" i="28"/>
  <c r="L1428" i="28"/>
  <c r="O1428" i="28"/>
  <c r="R1428" i="28"/>
  <c r="U1428" i="28"/>
  <c r="X1428" i="28"/>
  <c r="AA1428" i="28"/>
  <c r="AM1428" i="28"/>
  <c r="B1429" i="28"/>
  <c r="C1429" i="28"/>
  <c r="D1429" i="28"/>
  <c r="F1429" i="28"/>
  <c r="I1429" i="28"/>
  <c r="L1429" i="28"/>
  <c r="O1429" i="28"/>
  <c r="R1429" i="28"/>
  <c r="U1429" i="28"/>
  <c r="X1429" i="28"/>
  <c r="AA1429" i="28"/>
  <c r="AM1429" i="28"/>
  <c r="B1430" i="28"/>
  <c r="C1430" i="28"/>
  <c r="D1430" i="28"/>
  <c r="F1430" i="28"/>
  <c r="I1430" i="28"/>
  <c r="L1430" i="28"/>
  <c r="O1430" i="28"/>
  <c r="R1430" i="28"/>
  <c r="U1430" i="28"/>
  <c r="X1430" i="28"/>
  <c r="AA1430" i="28"/>
  <c r="AM1430" i="28"/>
  <c r="B1431" i="28"/>
  <c r="C1431" i="28"/>
  <c r="D1431" i="28"/>
  <c r="F1431" i="28"/>
  <c r="I1431" i="28"/>
  <c r="L1431" i="28"/>
  <c r="O1431" i="28"/>
  <c r="R1431" i="28"/>
  <c r="U1431" i="28"/>
  <c r="X1431" i="28"/>
  <c r="AA1431" i="28"/>
  <c r="AM1431" i="28"/>
  <c r="B1432" i="28"/>
  <c r="C1432" i="28"/>
  <c r="D1432" i="28"/>
  <c r="F1432" i="28"/>
  <c r="I1432" i="28"/>
  <c r="L1432" i="28"/>
  <c r="O1432" i="28"/>
  <c r="R1432" i="28"/>
  <c r="U1432" i="28"/>
  <c r="X1432" i="28"/>
  <c r="AA1432" i="28"/>
  <c r="AM1432" i="28"/>
  <c r="B1433" i="28"/>
  <c r="C1433" i="28"/>
  <c r="D1433" i="28"/>
  <c r="F1433" i="28"/>
  <c r="I1433" i="28"/>
  <c r="L1433" i="28"/>
  <c r="O1433" i="28"/>
  <c r="R1433" i="28"/>
  <c r="U1433" i="28"/>
  <c r="X1433" i="28"/>
  <c r="AA1433" i="28"/>
  <c r="AM1433" i="28"/>
  <c r="B1434" i="28"/>
  <c r="C1434" i="28"/>
  <c r="D1434" i="28"/>
  <c r="F1434" i="28"/>
  <c r="I1434" i="28"/>
  <c r="L1434" i="28"/>
  <c r="O1434" i="28"/>
  <c r="R1434" i="28"/>
  <c r="U1434" i="28"/>
  <c r="X1434" i="28"/>
  <c r="AA1434" i="28"/>
  <c r="AM1434" i="28"/>
  <c r="B1435" i="28"/>
  <c r="C1435" i="28"/>
  <c r="D1435" i="28"/>
  <c r="F1435" i="28"/>
  <c r="I1435" i="28"/>
  <c r="L1435" i="28"/>
  <c r="O1435" i="28"/>
  <c r="R1435" i="28"/>
  <c r="U1435" i="28"/>
  <c r="X1435" i="28"/>
  <c r="AA1435" i="28"/>
  <c r="AM1435" i="28"/>
  <c r="B1436" i="28"/>
  <c r="C1436" i="28"/>
  <c r="D1436" i="28"/>
  <c r="F1436" i="28"/>
  <c r="I1436" i="28"/>
  <c r="L1436" i="28"/>
  <c r="O1436" i="28"/>
  <c r="R1436" i="28"/>
  <c r="U1436" i="28"/>
  <c r="X1436" i="28"/>
  <c r="AA1436" i="28"/>
  <c r="AM1436" i="28"/>
  <c r="B1437" i="28"/>
  <c r="C1437" i="28"/>
  <c r="D1437" i="28"/>
  <c r="F1437" i="28"/>
  <c r="I1437" i="28"/>
  <c r="L1437" i="28"/>
  <c r="O1437" i="28"/>
  <c r="R1437" i="28"/>
  <c r="U1437" i="28"/>
  <c r="X1437" i="28"/>
  <c r="AA1437" i="28"/>
  <c r="AM1437" i="28"/>
  <c r="B1438" i="28"/>
  <c r="C1438" i="28"/>
  <c r="D1438" i="28"/>
  <c r="F1438" i="28"/>
  <c r="I1438" i="28"/>
  <c r="L1438" i="28"/>
  <c r="O1438" i="28"/>
  <c r="R1438" i="28"/>
  <c r="U1438" i="28"/>
  <c r="X1438" i="28"/>
  <c r="AA1438" i="28"/>
  <c r="AM1438" i="28"/>
  <c r="B1439" i="28"/>
  <c r="C1439" i="28"/>
  <c r="D1439" i="28"/>
  <c r="F1439" i="28"/>
  <c r="I1439" i="28"/>
  <c r="L1439" i="28"/>
  <c r="O1439" i="28"/>
  <c r="R1439" i="28"/>
  <c r="U1439" i="28"/>
  <c r="X1439" i="28"/>
  <c r="AA1439" i="28"/>
  <c r="AM1439" i="28"/>
  <c r="B1440" i="28"/>
  <c r="C1440" i="28"/>
  <c r="D1440" i="28"/>
  <c r="F1440" i="28"/>
  <c r="I1440" i="28"/>
  <c r="L1440" i="28"/>
  <c r="O1440" i="28"/>
  <c r="R1440" i="28"/>
  <c r="U1440" i="28"/>
  <c r="X1440" i="28"/>
  <c r="AA1440" i="28"/>
  <c r="AM1440" i="28"/>
  <c r="B1441" i="28"/>
  <c r="C1441" i="28"/>
  <c r="D1441" i="28"/>
  <c r="F1441" i="28"/>
  <c r="I1441" i="28"/>
  <c r="L1441" i="28"/>
  <c r="O1441" i="28"/>
  <c r="R1441" i="28"/>
  <c r="U1441" i="28"/>
  <c r="X1441" i="28"/>
  <c r="AA1441" i="28"/>
  <c r="AM1441" i="28"/>
  <c r="B1442" i="28"/>
  <c r="C1442" i="28"/>
  <c r="D1442" i="28"/>
  <c r="F1442" i="28"/>
  <c r="I1442" i="28"/>
  <c r="L1442" i="28"/>
  <c r="O1442" i="28"/>
  <c r="R1442" i="28"/>
  <c r="U1442" i="28"/>
  <c r="X1442" i="28"/>
  <c r="AA1442" i="28"/>
  <c r="AM1442" i="28"/>
  <c r="B1443" i="28"/>
  <c r="C1443" i="28"/>
  <c r="D1443" i="28"/>
  <c r="F1443" i="28"/>
  <c r="I1443" i="28"/>
  <c r="L1443" i="28"/>
  <c r="O1443" i="28"/>
  <c r="R1443" i="28"/>
  <c r="U1443" i="28"/>
  <c r="X1443" i="28"/>
  <c r="AA1443" i="28"/>
  <c r="AM1443" i="28"/>
  <c r="B1444" i="28"/>
  <c r="C1444" i="28"/>
  <c r="D1444" i="28"/>
  <c r="F1444" i="28"/>
  <c r="I1444" i="28"/>
  <c r="L1444" i="28"/>
  <c r="O1444" i="28"/>
  <c r="R1444" i="28"/>
  <c r="U1444" i="28"/>
  <c r="X1444" i="28"/>
  <c r="AA1444" i="28"/>
  <c r="AM1444" i="28"/>
  <c r="B1445" i="28"/>
  <c r="C1445" i="28"/>
  <c r="D1445" i="28"/>
  <c r="F1445" i="28"/>
  <c r="I1445" i="28"/>
  <c r="L1445" i="28"/>
  <c r="O1445" i="28"/>
  <c r="R1445" i="28"/>
  <c r="U1445" i="28"/>
  <c r="X1445" i="28"/>
  <c r="AA1445" i="28"/>
  <c r="AM1445" i="28"/>
  <c r="B1446" i="28"/>
  <c r="C1446" i="28"/>
  <c r="D1446" i="28"/>
  <c r="F1446" i="28"/>
  <c r="I1446" i="28"/>
  <c r="L1446" i="28"/>
  <c r="O1446" i="28"/>
  <c r="R1446" i="28"/>
  <c r="U1446" i="28"/>
  <c r="X1446" i="28"/>
  <c r="AA1446" i="28"/>
  <c r="AM1446" i="28"/>
  <c r="B1447" i="28"/>
  <c r="C1447" i="28"/>
  <c r="D1447" i="28"/>
  <c r="AM1447" i="28"/>
  <c r="B1448" i="28"/>
  <c r="C1448" i="28"/>
  <c r="D1448" i="28"/>
  <c r="AM1448" i="28"/>
  <c r="B1449" i="28"/>
  <c r="C1449" i="28"/>
  <c r="D1449" i="28"/>
  <c r="AM1449" i="28"/>
  <c r="B1450" i="28"/>
  <c r="C1450" i="28"/>
  <c r="D1450" i="28"/>
  <c r="AM1450" i="28"/>
  <c r="B1451" i="28"/>
  <c r="C1451" i="28"/>
  <c r="D1451" i="28"/>
  <c r="AM1451" i="28"/>
  <c r="B1452" i="28"/>
  <c r="C1452" i="28"/>
  <c r="D1452" i="28"/>
  <c r="AM1452" i="28"/>
  <c r="B1453" i="28"/>
  <c r="C1453" i="28"/>
  <c r="D1453" i="28"/>
  <c r="F1453" i="28"/>
  <c r="I1453" i="28"/>
  <c r="L1453" i="28"/>
  <c r="O1453" i="28"/>
  <c r="R1453" i="28"/>
  <c r="U1453" i="28"/>
  <c r="X1453" i="28"/>
  <c r="AA1453" i="28"/>
  <c r="AM1453" i="28"/>
  <c r="B1454" i="28"/>
  <c r="C1454" i="28"/>
  <c r="D1454" i="28"/>
  <c r="F1454" i="28"/>
  <c r="I1454" i="28"/>
  <c r="L1454" i="28"/>
  <c r="O1454" i="28"/>
  <c r="R1454" i="28"/>
  <c r="U1454" i="28"/>
  <c r="X1454" i="28"/>
  <c r="AA1454" i="28"/>
  <c r="AM1454" i="28"/>
  <c r="B1455" i="28"/>
  <c r="C1455" i="28"/>
  <c r="D1455" i="28"/>
  <c r="F1455" i="28"/>
  <c r="I1455" i="28"/>
  <c r="L1455" i="28"/>
  <c r="O1455" i="28"/>
  <c r="R1455" i="28"/>
  <c r="U1455" i="28"/>
  <c r="X1455" i="28"/>
  <c r="AA1455" i="28"/>
  <c r="AM1455" i="28"/>
  <c r="B1456" i="28"/>
  <c r="C1456" i="28"/>
  <c r="D1456" i="28"/>
  <c r="F1456" i="28"/>
  <c r="I1456" i="28"/>
  <c r="L1456" i="28"/>
  <c r="O1456" i="28"/>
  <c r="R1456" i="28"/>
  <c r="U1456" i="28"/>
  <c r="X1456" i="28"/>
  <c r="AA1456" i="28"/>
  <c r="AM1456" i="28"/>
  <c r="B1457" i="28"/>
  <c r="C1457" i="28"/>
  <c r="D1457" i="28"/>
  <c r="F1457" i="28"/>
  <c r="I1457" i="28"/>
  <c r="L1457" i="28"/>
  <c r="O1457" i="28"/>
  <c r="R1457" i="28"/>
  <c r="U1457" i="28"/>
  <c r="X1457" i="28"/>
  <c r="AA1457" i="28"/>
  <c r="AM1457" i="28"/>
  <c r="B1458" i="28"/>
  <c r="C1458" i="28"/>
  <c r="D1458" i="28"/>
  <c r="F1458" i="28"/>
  <c r="I1458" i="28"/>
  <c r="L1458" i="28"/>
  <c r="O1458" i="28"/>
  <c r="R1458" i="28"/>
  <c r="U1458" i="28"/>
  <c r="X1458" i="28"/>
  <c r="AA1458" i="28"/>
  <c r="AM1458" i="28"/>
  <c r="B1459" i="28"/>
  <c r="C1459" i="28"/>
  <c r="D1459" i="28"/>
  <c r="F1459" i="28"/>
  <c r="I1459" i="28"/>
  <c r="L1459" i="28"/>
  <c r="O1459" i="28"/>
  <c r="R1459" i="28"/>
  <c r="U1459" i="28"/>
  <c r="X1459" i="28"/>
  <c r="AA1459" i="28"/>
  <c r="AM1459" i="28"/>
  <c r="B1460" i="28"/>
  <c r="C1460" i="28"/>
  <c r="D1460" i="28"/>
  <c r="F1460" i="28"/>
  <c r="I1460" i="28"/>
  <c r="L1460" i="28"/>
  <c r="O1460" i="28"/>
  <c r="R1460" i="28"/>
  <c r="U1460" i="28"/>
  <c r="X1460" i="28"/>
  <c r="AA1460" i="28"/>
  <c r="AM1460" i="28"/>
  <c r="B1461" i="28"/>
  <c r="C1461" i="28"/>
  <c r="D1461" i="28"/>
  <c r="F1461" i="28"/>
  <c r="I1461" i="28"/>
  <c r="L1461" i="28"/>
  <c r="O1461" i="28"/>
  <c r="R1461" i="28"/>
  <c r="U1461" i="28"/>
  <c r="X1461" i="28"/>
  <c r="AA1461" i="28"/>
  <c r="AM1461" i="28"/>
  <c r="B1462" i="28"/>
  <c r="C1462" i="28"/>
  <c r="D1462" i="28"/>
  <c r="F1462" i="28"/>
  <c r="I1462" i="28"/>
  <c r="L1462" i="28"/>
  <c r="O1462" i="28"/>
  <c r="R1462" i="28"/>
  <c r="U1462" i="28"/>
  <c r="X1462" i="28"/>
  <c r="AA1462" i="28"/>
  <c r="AM1462" i="28"/>
  <c r="B1463" i="28"/>
  <c r="C1463" i="28"/>
  <c r="D1463" i="28"/>
  <c r="F1463" i="28"/>
  <c r="I1463" i="28"/>
  <c r="L1463" i="28"/>
  <c r="O1463" i="28"/>
  <c r="R1463" i="28"/>
  <c r="U1463" i="28"/>
  <c r="X1463" i="28"/>
  <c r="AA1463" i="28"/>
  <c r="AM1463" i="28"/>
  <c r="B1464" i="28"/>
  <c r="C1464" i="28"/>
  <c r="D1464" i="28"/>
  <c r="F1464" i="28"/>
  <c r="I1464" i="28"/>
  <c r="L1464" i="28"/>
  <c r="O1464" i="28"/>
  <c r="R1464" i="28"/>
  <c r="U1464" i="28"/>
  <c r="X1464" i="28"/>
  <c r="AA1464" i="28"/>
  <c r="AM1464" i="28"/>
  <c r="B1465" i="28"/>
  <c r="C1465" i="28"/>
  <c r="D1465" i="28"/>
  <c r="F1465" i="28"/>
  <c r="I1465" i="28"/>
  <c r="L1465" i="28"/>
  <c r="O1465" i="28"/>
  <c r="R1465" i="28"/>
  <c r="U1465" i="28"/>
  <c r="X1465" i="28"/>
  <c r="AA1465" i="28"/>
  <c r="AM1465" i="28"/>
  <c r="B1466" i="28"/>
  <c r="C1466" i="28"/>
  <c r="D1466" i="28"/>
  <c r="F1466" i="28"/>
  <c r="I1466" i="28"/>
  <c r="L1466" i="28"/>
  <c r="O1466" i="28"/>
  <c r="R1466" i="28"/>
  <c r="U1466" i="28"/>
  <c r="X1466" i="28"/>
  <c r="AA1466" i="28"/>
  <c r="AM1466" i="28"/>
  <c r="B1467" i="28"/>
  <c r="C1467" i="28"/>
  <c r="D1467" i="28"/>
  <c r="F1467" i="28"/>
  <c r="I1467" i="28"/>
  <c r="L1467" i="28"/>
  <c r="O1467" i="28"/>
  <c r="R1467" i="28"/>
  <c r="U1467" i="28"/>
  <c r="X1467" i="28"/>
  <c r="AA1467" i="28"/>
  <c r="AM1467" i="28"/>
  <c r="B1468" i="28"/>
  <c r="C1468" i="28"/>
  <c r="D1468" i="28"/>
  <c r="F1468" i="28"/>
  <c r="I1468" i="28"/>
  <c r="L1468" i="28"/>
  <c r="O1468" i="28"/>
  <c r="R1468" i="28"/>
  <c r="U1468" i="28"/>
  <c r="X1468" i="28"/>
  <c r="AA1468" i="28"/>
  <c r="AM1468" i="28"/>
  <c r="B1469" i="28"/>
  <c r="C1469" i="28"/>
  <c r="D1469" i="28"/>
  <c r="F1469" i="28"/>
  <c r="I1469" i="28"/>
  <c r="L1469" i="28"/>
  <c r="O1469" i="28"/>
  <c r="R1469" i="28"/>
  <c r="U1469" i="28"/>
  <c r="X1469" i="28"/>
  <c r="AA1469" i="28"/>
  <c r="AM1469" i="28"/>
  <c r="B1470" i="28"/>
  <c r="C1470" i="28"/>
  <c r="D1470" i="28"/>
  <c r="F1470" i="28"/>
  <c r="I1470" i="28"/>
  <c r="L1470" i="28"/>
  <c r="O1470" i="28"/>
  <c r="R1470" i="28"/>
  <c r="U1470" i="28"/>
  <c r="X1470" i="28"/>
  <c r="AA1470" i="28"/>
  <c r="AM1470" i="28"/>
  <c r="B1471" i="28"/>
  <c r="C1471" i="28"/>
  <c r="D1471" i="28"/>
  <c r="F1471" i="28"/>
  <c r="I1471" i="28"/>
  <c r="L1471" i="28"/>
  <c r="O1471" i="28"/>
  <c r="R1471" i="28"/>
  <c r="U1471" i="28"/>
  <c r="X1471" i="28"/>
  <c r="AA1471" i="28"/>
  <c r="AM1471" i="28"/>
  <c r="B1472" i="28"/>
  <c r="C1472" i="28"/>
  <c r="D1472" i="28"/>
  <c r="F1472" i="28"/>
  <c r="I1472" i="28"/>
  <c r="L1472" i="28"/>
  <c r="O1472" i="28"/>
  <c r="R1472" i="28"/>
  <c r="U1472" i="28"/>
  <c r="X1472" i="28"/>
  <c r="AA1472" i="28"/>
  <c r="AM1472" i="28"/>
  <c r="B1473" i="28"/>
  <c r="C1473" i="28"/>
  <c r="D1473" i="28"/>
  <c r="F1473" i="28"/>
  <c r="I1473" i="28"/>
  <c r="L1473" i="28"/>
  <c r="O1473" i="28"/>
  <c r="R1473" i="28"/>
  <c r="U1473" i="28"/>
  <c r="X1473" i="28"/>
  <c r="AA1473" i="28"/>
  <c r="AM1473" i="28"/>
  <c r="B1474" i="28"/>
  <c r="C1474" i="28"/>
  <c r="D1474" i="28"/>
  <c r="F1474" i="28"/>
  <c r="I1474" i="28"/>
  <c r="L1474" i="28"/>
  <c r="O1474" i="28"/>
  <c r="R1474" i="28"/>
  <c r="U1474" i="28"/>
  <c r="X1474" i="28"/>
  <c r="AA1474" i="28"/>
  <c r="AM1474" i="28"/>
  <c r="B1475" i="28"/>
  <c r="C1475" i="28"/>
  <c r="D1475" i="28"/>
  <c r="F1475" i="28"/>
  <c r="I1475" i="28"/>
  <c r="L1475" i="28"/>
  <c r="O1475" i="28"/>
  <c r="R1475" i="28"/>
  <c r="U1475" i="28"/>
  <c r="X1475" i="28"/>
  <c r="AA1475" i="28"/>
  <c r="AM1475" i="28"/>
  <c r="B1476" i="28"/>
  <c r="C1476" i="28"/>
  <c r="D1476" i="28"/>
  <c r="F1476" i="28"/>
  <c r="I1476" i="28"/>
  <c r="L1476" i="28"/>
  <c r="O1476" i="28"/>
  <c r="R1476" i="28"/>
  <c r="U1476" i="28"/>
  <c r="X1476" i="28"/>
  <c r="AA1476" i="28"/>
  <c r="AM1476" i="28"/>
  <c r="B1477" i="28"/>
  <c r="C1477" i="28"/>
  <c r="D1477" i="28"/>
  <c r="X1477" i="28"/>
  <c r="AM1477" i="28"/>
  <c r="B1478" i="28"/>
  <c r="C1478" i="28"/>
  <c r="D1478" i="28"/>
  <c r="X1478" i="28"/>
  <c r="AM1478" i="28"/>
  <c r="B1479" i="28"/>
  <c r="C1479" i="28"/>
  <c r="D1479" i="28"/>
  <c r="X1479" i="28"/>
  <c r="AM1479" i="28"/>
  <c r="B1480" i="28"/>
  <c r="C1480" i="28"/>
  <c r="D1480" i="28"/>
  <c r="X1480" i="28"/>
  <c r="AM1480" i="28"/>
  <c r="B1481" i="28"/>
  <c r="C1481" i="28"/>
  <c r="D1481" i="28"/>
  <c r="X1481" i="28"/>
  <c r="AM1481" i="28"/>
  <c r="B1482" i="28"/>
  <c r="C1482" i="28"/>
  <c r="D1482" i="28"/>
  <c r="X1482" i="28"/>
  <c r="AM1482" i="28"/>
  <c r="B1483" i="28"/>
  <c r="C1483" i="28"/>
  <c r="D1483" i="28"/>
  <c r="X1483" i="28"/>
  <c r="AM1483" i="28"/>
  <c r="B1484" i="28"/>
  <c r="C1484" i="28"/>
  <c r="D1484" i="28"/>
  <c r="X1484" i="28"/>
  <c r="AM1484" i="28"/>
  <c r="B1485" i="28"/>
  <c r="C1485" i="28"/>
  <c r="D1485" i="28"/>
  <c r="X1485" i="28"/>
  <c r="AM1485" i="28"/>
  <c r="B1486" i="28"/>
  <c r="C1486" i="28"/>
  <c r="D1486" i="28"/>
  <c r="X1486" i="28"/>
  <c r="AM1486" i="28"/>
  <c r="B1487" i="28"/>
  <c r="C1487" i="28"/>
  <c r="D1487" i="28"/>
  <c r="X1487" i="28"/>
  <c r="AM1487" i="28"/>
  <c r="B1488" i="28"/>
  <c r="C1488" i="28"/>
  <c r="D1488" i="28"/>
  <c r="X1488" i="28"/>
  <c r="AM1488" i="28"/>
  <c r="B1489" i="28"/>
  <c r="C1489" i="28"/>
  <c r="D1489" i="28"/>
  <c r="X1489" i="28"/>
  <c r="AM1489" i="28"/>
  <c r="B1490" i="28"/>
  <c r="C1490" i="28"/>
  <c r="D1490" i="28"/>
  <c r="X1490" i="28"/>
  <c r="AM1490" i="28"/>
  <c r="B1491" i="28"/>
  <c r="C1491" i="28"/>
  <c r="D1491" i="28"/>
  <c r="X1491" i="28"/>
  <c r="AM1491" i="28"/>
  <c r="B1492" i="28"/>
  <c r="C1492" i="28"/>
  <c r="D1492" i="28"/>
  <c r="AM1492" i="28"/>
  <c r="B1493" i="28"/>
  <c r="C1493" i="28"/>
  <c r="D1493" i="28"/>
  <c r="AM1493" i="28"/>
  <c r="B1494" i="28"/>
  <c r="C1494" i="28"/>
  <c r="D1494" i="28"/>
  <c r="AM1494" i="28"/>
  <c r="B1495" i="28"/>
  <c r="C1495" i="28"/>
  <c r="D1495" i="28"/>
  <c r="AM1495" i="28"/>
  <c r="B1496" i="28"/>
  <c r="C1496" i="28"/>
  <c r="D1496" i="28"/>
  <c r="AM1496" i="28"/>
  <c r="B1497" i="28"/>
  <c r="C1497" i="28"/>
  <c r="D1497" i="28"/>
  <c r="F1497" i="28"/>
  <c r="I1497" i="28"/>
  <c r="L1497" i="28"/>
  <c r="O1497" i="28"/>
  <c r="R1497" i="28"/>
  <c r="U1497" i="28"/>
  <c r="X1497" i="28"/>
  <c r="AA1497" i="28"/>
  <c r="AM1497" i="28"/>
  <c r="B1498" i="28"/>
  <c r="C1498" i="28"/>
  <c r="D1498" i="28"/>
  <c r="F1498" i="28"/>
  <c r="I1498" i="28"/>
  <c r="L1498" i="28"/>
  <c r="O1498" i="28"/>
  <c r="R1498" i="28"/>
  <c r="U1498" i="28"/>
  <c r="X1498" i="28"/>
  <c r="AA1498" i="28"/>
  <c r="AM1498" i="28"/>
  <c r="B1499" i="28"/>
  <c r="C1499" i="28"/>
  <c r="D1499" i="28"/>
  <c r="F1499" i="28"/>
  <c r="I1499" i="28"/>
  <c r="L1499" i="28"/>
  <c r="O1499" i="28"/>
  <c r="R1499" i="28"/>
  <c r="U1499" i="28"/>
  <c r="X1499" i="28"/>
  <c r="AA1499" i="28"/>
  <c r="AM1499" i="28"/>
  <c r="B1500" i="28"/>
  <c r="C1500" i="28"/>
  <c r="D1500" i="28"/>
  <c r="F1500" i="28"/>
  <c r="I1500" i="28"/>
  <c r="L1500" i="28"/>
  <c r="O1500" i="28"/>
  <c r="R1500" i="28"/>
  <c r="U1500" i="28"/>
  <c r="X1500" i="28"/>
  <c r="AA1500" i="28"/>
  <c r="AM1500" i="28"/>
  <c r="B1501" i="28"/>
  <c r="C1501" i="28"/>
  <c r="D1501" i="28"/>
  <c r="F1501" i="28"/>
  <c r="I1501" i="28"/>
  <c r="L1501" i="28"/>
  <c r="O1501" i="28"/>
  <c r="R1501" i="28"/>
  <c r="U1501" i="28"/>
  <c r="X1501" i="28"/>
  <c r="AA1501" i="28"/>
  <c r="AM1501" i="28"/>
  <c r="B1502" i="28"/>
  <c r="C1502" i="28"/>
  <c r="D1502" i="28"/>
  <c r="F1502" i="28"/>
  <c r="I1502" i="28"/>
  <c r="L1502" i="28"/>
  <c r="O1502" i="28"/>
  <c r="R1502" i="28"/>
  <c r="U1502" i="28"/>
  <c r="X1502" i="28"/>
  <c r="AA1502" i="28"/>
  <c r="AM1502" i="28"/>
  <c r="B1503" i="28"/>
  <c r="C1503" i="28"/>
  <c r="D1503" i="28"/>
  <c r="F1503" i="28"/>
  <c r="I1503" i="28"/>
  <c r="L1503" i="28"/>
  <c r="O1503" i="28"/>
  <c r="R1503" i="28"/>
  <c r="U1503" i="28"/>
  <c r="X1503" i="28"/>
  <c r="AA1503" i="28"/>
  <c r="AM1503" i="28"/>
  <c r="B1504" i="28"/>
  <c r="C1504" i="28"/>
  <c r="D1504" i="28"/>
  <c r="F1504" i="28"/>
  <c r="I1504" i="28"/>
  <c r="L1504" i="28"/>
  <c r="O1504" i="28"/>
  <c r="R1504" i="28"/>
  <c r="U1504" i="28"/>
  <c r="X1504" i="28"/>
  <c r="AA1504" i="28"/>
  <c r="AM1504" i="28"/>
  <c r="B1505" i="28"/>
  <c r="C1505" i="28"/>
  <c r="D1505" i="28"/>
  <c r="F1505" i="28"/>
  <c r="I1505" i="28"/>
  <c r="L1505" i="28"/>
  <c r="O1505" i="28"/>
  <c r="R1505" i="28"/>
  <c r="U1505" i="28"/>
  <c r="X1505" i="28"/>
  <c r="AA1505" i="28"/>
  <c r="AM1505" i="28"/>
  <c r="B1506" i="28"/>
  <c r="C1506" i="28"/>
  <c r="D1506" i="28"/>
  <c r="F1506" i="28"/>
  <c r="I1506" i="28"/>
  <c r="L1506" i="28"/>
  <c r="O1506" i="28"/>
  <c r="R1506" i="28"/>
  <c r="U1506" i="28"/>
  <c r="X1506" i="28"/>
  <c r="AA1506" i="28"/>
  <c r="AM1506" i="28"/>
  <c r="B1507" i="28"/>
  <c r="C1507" i="28"/>
  <c r="D1507" i="28"/>
  <c r="F1507" i="28"/>
  <c r="I1507" i="28"/>
  <c r="L1507" i="28"/>
  <c r="O1507" i="28"/>
  <c r="R1507" i="28"/>
  <c r="U1507" i="28"/>
  <c r="X1507" i="28"/>
  <c r="AA1507" i="28"/>
  <c r="AM1507" i="28"/>
  <c r="B1508" i="28"/>
  <c r="C1508" i="28"/>
  <c r="D1508" i="28"/>
  <c r="F1508" i="28"/>
  <c r="I1508" i="28"/>
  <c r="L1508" i="28"/>
  <c r="O1508" i="28"/>
  <c r="R1508" i="28"/>
  <c r="U1508" i="28"/>
  <c r="X1508" i="28"/>
  <c r="AA1508" i="28"/>
  <c r="AM1508" i="28"/>
  <c r="B1509" i="28"/>
  <c r="C1509" i="28"/>
  <c r="D1509" i="28"/>
  <c r="F1509" i="28"/>
  <c r="I1509" i="28"/>
  <c r="L1509" i="28"/>
  <c r="O1509" i="28"/>
  <c r="R1509" i="28"/>
  <c r="U1509" i="28"/>
  <c r="X1509" i="28"/>
  <c r="AA1509" i="28"/>
  <c r="AM1509" i="28"/>
  <c r="B1510" i="28"/>
  <c r="C1510" i="28"/>
  <c r="D1510" i="28"/>
  <c r="F1510" i="28"/>
  <c r="I1510" i="28"/>
  <c r="L1510" i="28"/>
  <c r="O1510" i="28"/>
  <c r="R1510" i="28"/>
  <c r="U1510" i="28"/>
  <c r="X1510" i="28"/>
  <c r="AA1510" i="28"/>
  <c r="AM1510" i="28"/>
  <c r="B1511" i="28"/>
  <c r="C1511" i="28"/>
  <c r="D1511" i="28"/>
  <c r="F1511" i="28"/>
  <c r="I1511" i="28"/>
  <c r="L1511" i="28"/>
  <c r="O1511" i="28"/>
  <c r="R1511" i="28"/>
  <c r="U1511" i="28"/>
  <c r="X1511" i="28"/>
  <c r="AA1511" i="28"/>
  <c r="AM1511" i="28"/>
  <c r="B1512" i="28"/>
  <c r="C1512" i="28"/>
  <c r="D1512" i="28"/>
  <c r="F1512" i="28"/>
  <c r="I1512" i="28"/>
  <c r="L1512" i="28"/>
  <c r="O1512" i="28"/>
  <c r="R1512" i="28"/>
  <c r="U1512" i="28"/>
  <c r="X1512" i="28"/>
  <c r="AA1512" i="28"/>
  <c r="AM1512" i="28"/>
  <c r="B1513" i="28"/>
  <c r="C1513" i="28"/>
  <c r="D1513" i="28"/>
  <c r="F1513" i="28"/>
  <c r="I1513" i="28"/>
  <c r="L1513" i="28"/>
  <c r="O1513" i="28"/>
  <c r="R1513" i="28"/>
  <c r="U1513" i="28"/>
  <c r="X1513" i="28"/>
  <c r="AA1513" i="28"/>
  <c r="AM1513" i="28"/>
  <c r="B1514" i="28"/>
  <c r="C1514" i="28"/>
  <c r="D1514" i="28"/>
  <c r="F1514" i="28"/>
  <c r="I1514" i="28"/>
  <c r="L1514" i="28"/>
  <c r="O1514" i="28"/>
  <c r="R1514" i="28"/>
  <c r="U1514" i="28"/>
  <c r="X1514" i="28"/>
  <c r="AA1514" i="28"/>
  <c r="AM1514" i="28"/>
  <c r="B1515" i="28"/>
  <c r="C1515" i="28"/>
  <c r="D1515" i="28"/>
  <c r="F1515" i="28"/>
  <c r="I1515" i="28"/>
  <c r="L1515" i="28"/>
  <c r="O1515" i="28"/>
  <c r="R1515" i="28"/>
  <c r="U1515" i="28"/>
  <c r="X1515" i="28"/>
  <c r="AA1515" i="28"/>
  <c r="AM1515" i="28"/>
  <c r="B1516" i="28"/>
  <c r="C1516" i="28"/>
  <c r="D1516" i="28"/>
  <c r="F1516" i="28"/>
  <c r="I1516" i="28"/>
  <c r="L1516" i="28"/>
  <c r="O1516" i="28"/>
  <c r="R1516" i="28"/>
  <c r="U1516" i="28"/>
  <c r="X1516" i="28"/>
  <c r="AA1516" i="28"/>
  <c r="AM1516" i="28"/>
  <c r="B1517" i="28"/>
  <c r="C1517" i="28"/>
  <c r="D1517" i="28"/>
  <c r="F1517" i="28"/>
  <c r="I1517" i="28"/>
  <c r="L1517" i="28"/>
  <c r="O1517" i="28"/>
  <c r="R1517" i="28"/>
  <c r="U1517" i="28"/>
  <c r="X1517" i="28"/>
  <c r="AA1517" i="28"/>
  <c r="AM1517" i="28"/>
  <c r="B1518" i="28"/>
  <c r="C1518" i="28"/>
  <c r="D1518" i="28"/>
  <c r="F1518" i="28"/>
  <c r="I1518" i="28"/>
  <c r="L1518" i="28"/>
  <c r="O1518" i="28"/>
  <c r="R1518" i="28"/>
  <c r="U1518" i="28"/>
  <c r="X1518" i="28"/>
  <c r="AA1518" i="28"/>
  <c r="AM1518" i="28"/>
  <c r="B1519" i="28"/>
  <c r="C1519" i="28"/>
  <c r="D1519" i="28"/>
  <c r="F1519" i="28"/>
  <c r="I1519" i="28"/>
  <c r="L1519" i="28"/>
  <c r="O1519" i="28"/>
  <c r="R1519" i="28"/>
  <c r="U1519" i="28"/>
  <c r="X1519" i="28"/>
  <c r="AA1519" i="28"/>
  <c r="AM1519" i="28"/>
  <c r="B1520" i="28"/>
  <c r="C1520" i="28"/>
  <c r="D1520" i="28"/>
  <c r="F1520" i="28"/>
  <c r="I1520" i="28"/>
  <c r="L1520" i="28"/>
  <c r="O1520" i="28"/>
  <c r="R1520" i="28"/>
  <c r="U1520" i="28"/>
  <c r="X1520" i="28"/>
  <c r="AA1520" i="28"/>
  <c r="AM1520" i="28"/>
  <c r="B1521" i="28"/>
  <c r="C1521" i="28"/>
  <c r="D1521" i="28"/>
  <c r="F1521" i="28"/>
  <c r="I1521" i="28"/>
  <c r="L1521" i="28"/>
  <c r="O1521" i="28"/>
  <c r="R1521" i="28"/>
  <c r="U1521" i="28"/>
  <c r="X1521" i="28"/>
  <c r="AA1521" i="28"/>
  <c r="AM1521" i="28"/>
  <c r="B1522" i="28"/>
  <c r="C1522" i="28"/>
  <c r="D1522" i="28"/>
  <c r="F1522" i="28"/>
  <c r="I1522" i="28"/>
  <c r="L1522" i="28"/>
  <c r="O1522" i="28"/>
  <c r="R1522" i="28"/>
  <c r="U1522" i="28"/>
  <c r="X1522" i="28"/>
  <c r="AA1522" i="28"/>
  <c r="AM1522" i="28"/>
  <c r="B1523" i="28"/>
  <c r="C1523" i="28"/>
  <c r="D1523" i="28"/>
  <c r="F1523" i="28"/>
  <c r="I1523" i="28"/>
  <c r="L1523" i="28"/>
  <c r="O1523" i="28"/>
  <c r="R1523" i="28"/>
  <c r="U1523" i="28"/>
  <c r="X1523" i="28"/>
  <c r="AA1523" i="28"/>
  <c r="AM1523" i="28"/>
  <c r="B1524" i="28"/>
  <c r="C1524" i="28"/>
  <c r="D1524" i="28"/>
  <c r="F1524" i="28"/>
  <c r="I1524" i="28"/>
  <c r="L1524" i="28"/>
  <c r="O1524" i="28"/>
  <c r="R1524" i="28"/>
  <c r="U1524" i="28"/>
  <c r="X1524" i="28"/>
  <c r="AA1524" i="28"/>
  <c r="AM1524" i="28"/>
  <c r="B1525" i="28"/>
  <c r="C1525" i="28"/>
  <c r="D1525" i="28"/>
  <c r="F1525" i="28"/>
  <c r="I1525" i="28"/>
  <c r="L1525" i="28"/>
  <c r="O1525" i="28"/>
  <c r="R1525" i="28"/>
  <c r="U1525" i="28"/>
  <c r="X1525" i="28"/>
  <c r="AA1525" i="28"/>
  <c r="AM1525" i="28"/>
  <c r="B1526" i="28"/>
  <c r="C1526" i="28"/>
  <c r="D1526" i="28"/>
  <c r="AM1526" i="28"/>
  <c r="B1527" i="28"/>
  <c r="C1527" i="28"/>
  <c r="D1527" i="28"/>
  <c r="F1527" i="28"/>
  <c r="I1527" i="28"/>
  <c r="L1527" i="28"/>
  <c r="O1527" i="28"/>
  <c r="R1527" i="28"/>
  <c r="U1527" i="28"/>
  <c r="X1527" i="28"/>
  <c r="AA1527" i="28"/>
  <c r="AM1527" i="28"/>
  <c r="B1528" i="28"/>
  <c r="C1528" i="28"/>
  <c r="D1528" i="28"/>
  <c r="F1528" i="28"/>
  <c r="I1528" i="28"/>
  <c r="L1528" i="28"/>
  <c r="O1528" i="28"/>
  <c r="R1528" i="28"/>
  <c r="U1528" i="28"/>
  <c r="X1528" i="28"/>
  <c r="AA1528" i="28"/>
  <c r="AM1528" i="28"/>
  <c r="B1529" i="28"/>
  <c r="C1529" i="28"/>
  <c r="D1529" i="28"/>
  <c r="AM1529" i="28"/>
  <c r="B1530" i="28"/>
  <c r="C1530" i="28"/>
  <c r="D1530" i="28"/>
  <c r="AM1530" i="28"/>
  <c r="B1531" i="28"/>
  <c r="C1531" i="28"/>
  <c r="D1531" i="28"/>
  <c r="AM1531" i="28"/>
  <c r="B1532" i="28"/>
  <c r="C1532" i="28"/>
  <c r="D1532" i="28"/>
  <c r="AM1532" i="28"/>
  <c r="B1533" i="28"/>
  <c r="C1533" i="28"/>
  <c r="D1533" i="28"/>
  <c r="AM1533" i="28"/>
  <c r="B1534" i="28"/>
  <c r="C1534" i="28"/>
  <c r="D1534" i="28"/>
  <c r="AM1534" i="28"/>
  <c r="B1535" i="28"/>
  <c r="C1535" i="28"/>
  <c r="D1535" i="28"/>
  <c r="AM1535" i="28"/>
  <c r="B1537" i="28"/>
  <c r="C1537" i="28"/>
  <c r="D1537" i="28"/>
  <c r="F1537" i="28"/>
  <c r="I1537" i="28"/>
  <c r="L1537" i="28"/>
  <c r="O1537" i="28"/>
  <c r="R1537" i="28"/>
  <c r="U1537" i="28"/>
  <c r="X1537" i="28"/>
  <c r="AA1537" i="28"/>
  <c r="AM1537" i="28"/>
  <c r="B1538" i="28"/>
  <c r="C1538" i="28"/>
  <c r="D1538" i="28"/>
  <c r="F1538" i="28"/>
  <c r="I1538" i="28"/>
  <c r="L1538" i="28"/>
  <c r="O1538" i="28"/>
  <c r="R1538" i="28"/>
  <c r="U1538" i="28"/>
  <c r="X1538" i="28"/>
  <c r="AA1538" i="28"/>
  <c r="AM1538" i="28"/>
  <c r="B1539" i="28"/>
  <c r="C1539" i="28"/>
  <c r="D1539" i="28"/>
  <c r="F1539" i="28"/>
  <c r="I1539" i="28"/>
  <c r="L1539" i="28"/>
  <c r="O1539" i="28"/>
  <c r="R1539" i="28"/>
  <c r="U1539" i="28"/>
  <c r="X1539" i="28"/>
  <c r="AA1539" i="28"/>
  <c r="AM1539" i="28"/>
  <c r="B1540" i="28"/>
  <c r="C1540" i="28"/>
  <c r="D1540" i="28"/>
  <c r="F1540" i="28"/>
  <c r="I1540" i="28"/>
  <c r="L1540" i="28"/>
  <c r="O1540" i="28"/>
  <c r="R1540" i="28"/>
  <c r="U1540" i="28"/>
  <c r="X1540" i="28"/>
  <c r="AA1540" i="28"/>
  <c r="AM1540" i="28"/>
  <c r="B1541" i="28"/>
  <c r="C1541" i="28"/>
  <c r="D1541" i="28"/>
  <c r="F1541" i="28"/>
  <c r="I1541" i="28"/>
  <c r="L1541" i="28"/>
  <c r="O1541" i="28"/>
  <c r="R1541" i="28"/>
  <c r="U1541" i="28"/>
  <c r="X1541" i="28"/>
  <c r="AA1541" i="28"/>
  <c r="AM1541" i="28"/>
  <c r="B1542" i="28"/>
  <c r="C1542" i="28"/>
  <c r="D1542" i="28"/>
  <c r="F1542" i="28"/>
  <c r="I1542" i="28"/>
  <c r="L1542" i="28"/>
  <c r="O1542" i="28"/>
  <c r="R1542" i="28"/>
  <c r="U1542" i="28"/>
  <c r="X1542" i="28"/>
  <c r="AA1542" i="28"/>
  <c r="AM1542" i="28"/>
  <c r="B1543" i="28"/>
  <c r="C1543" i="28"/>
  <c r="D1543" i="28"/>
  <c r="F1543" i="28"/>
  <c r="I1543" i="28"/>
  <c r="L1543" i="28"/>
  <c r="O1543" i="28"/>
  <c r="R1543" i="28"/>
  <c r="U1543" i="28"/>
  <c r="X1543" i="28"/>
  <c r="AA1543" i="28"/>
  <c r="AM1543" i="28"/>
  <c r="B1544" i="28"/>
  <c r="C1544" i="28"/>
  <c r="D1544" i="28"/>
  <c r="F1544" i="28"/>
  <c r="I1544" i="28"/>
  <c r="L1544" i="28"/>
  <c r="O1544" i="28"/>
  <c r="R1544" i="28"/>
  <c r="U1544" i="28"/>
  <c r="X1544" i="28"/>
  <c r="AA1544" i="28"/>
  <c r="AM1544" i="28"/>
  <c r="B1545" i="28"/>
  <c r="C1545" i="28"/>
  <c r="D1545" i="28"/>
  <c r="F1545" i="28"/>
  <c r="I1545" i="28"/>
  <c r="L1545" i="28"/>
  <c r="O1545" i="28"/>
  <c r="R1545" i="28"/>
  <c r="U1545" i="28"/>
  <c r="X1545" i="28"/>
  <c r="AA1545" i="28"/>
  <c r="AM1545" i="28"/>
  <c r="B1546" i="28"/>
  <c r="C1546" i="28"/>
  <c r="D1546" i="28"/>
  <c r="F1546" i="28"/>
  <c r="I1546" i="28"/>
  <c r="L1546" i="28"/>
  <c r="O1546" i="28"/>
  <c r="R1546" i="28"/>
  <c r="U1546" i="28"/>
  <c r="X1546" i="28"/>
  <c r="AA1546" i="28"/>
  <c r="AM1546" i="28"/>
  <c r="B1547" i="28"/>
  <c r="C1547" i="28"/>
  <c r="D1547" i="28"/>
  <c r="F1547" i="28"/>
  <c r="I1547" i="28"/>
  <c r="L1547" i="28"/>
  <c r="O1547" i="28"/>
  <c r="R1547" i="28"/>
  <c r="U1547" i="28"/>
  <c r="X1547" i="28"/>
  <c r="AA1547" i="28"/>
  <c r="AM1547" i="28"/>
  <c r="B1548" i="28"/>
  <c r="C1548" i="28"/>
  <c r="D1548" i="28"/>
  <c r="F1548" i="28"/>
  <c r="I1548" i="28"/>
  <c r="L1548" i="28"/>
  <c r="O1548" i="28"/>
  <c r="R1548" i="28"/>
  <c r="U1548" i="28"/>
  <c r="X1548" i="28"/>
  <c r="AA1548" i="28"/>
  <c r="AM1548" i="28"/>
  <c r="B1549" i="28"/>
  <c r="C1549" i="28"/>
  <c r="D1549" i="28"/>
  <c r="F1549" i="28"/>
  <c r="I1549" i="28"/>
  <c r="L1549" i="28"/>
  <c r="O1549" i="28"/>
  <c r="R1549" i="28"/>
  <c r="U1549" i="28"/>
  <c r="X1549" i="28"/>
  <c r="AA1549" i="28"/>
  <c r="AM1549" i="28"/>
  <c r="B1550" i="28"/>
  <c r="C1550" i="28"/>
  <c r="D1550" i="28"/>
  <c r="F1550" i="28"/>
  <c r="I1550" i="28"/>
  <c r="L1550" i="28"/>
  <c r="O1550" i="28"/>
  <c r="R1550" i="28"/>
  <c r="U1550" i="28"/>
  <c r="X1550" i="28"/>
  <c r="AA1550" i="28"/>
  <c r="AM1550" i="28"/>
  <c r="B1551" i="28"/>
  <c r="C1551" i="28"/>
  <c r="D1551" i="28"/>
  <c r="F1551" i="28"/>
  <c r="I1551" i="28"/>
  <c r="L1551" i="28"/>
  <c r="O1551" i="28"/>
  <c r="R1551" i="28"/>
  <c r="U1551" i="28"/>
  <c r="X1551" i="28"/>
  <c r="AA1551" i="28"/>
  <c r="AM1551" i="28"/>
  <c r="B1552" i="28"/>
  <c r="C1552" i="28"/>
  <c r="D1552" i="28"/>
  <c r="F1552" i="28"/>
  <c r="I1552" i="28"/>
  <c r="L1552" i="28"/>
  <c r="O1552" i="28"/>
  <c r="R1552" i="28"/>
  <c r="U1552" i="28"/>
  <c r="X1552" i="28"/>
  <c r="AA1552" i="28"/>
  <c r="AM1552" i="28"/>
  <c r="B1553" i="28"/>
  <c r="C1553" i="28"/>
  <c r="D1553" i="28"/>
  <c r="F1553" i="28"/>
  <c r="I1553" i="28"/>
  <c r="L1553" i="28"/>
  <c r="O1553" i="28"/>
  <c r="R1553" i="28"/>
  <c r="U1553" i="28"/>
  <c r="X1553" i="28"/>
  <c r="AA1553" i="28"/>
  <c r="AM1553" i="28"/>
  <c r="B1554" i="28"/>
  <c r="C1554" i="28"/>
  <c r="D1554" i="28"/>
  <c r="F1554" i="28"/>
  <c r="I1554" i="28"/>
  <c r="L1554" i="28"/>
  <c r="O1554" i="28"/>
  <c r="R1554" i="28"/>
  <c r="U1554" i="28"/>
  <c r="X1554" i="28"/>
  <c r="AA1554" i="28"/>
  <c r="AM1554" i="28"/>
  <c r="B1555" i="28"/>
  <c r="C1555" i="28"/>
  <c r="D1555" i="28"/>
  <c r="F1555" i="28"/>
  <c r="I1555" i="28"/>
  <c r="L1555" i="28"/>
  <c r="O1555" i="28"/>
  <c r="R1555" i="28"/>
  <c r="U1555" i="28"/>
  <c r="X1555" i="28"/>
  <c r="AA1555" i="28"/>
  <c r="AM1555" i="28"/>
  <c r="B1556" i="28"/>
  <c r="C1556" i="28"/>
  <c r="D1556" i="28"/>
  <c r="F1556" i="28"/>
  <c r="I1556" i="28"/>
  <c r="L1556" i="28"/>
  <c r="O1556" i="28"/>
  <c r="R1556" i="28"/>
  <c r="U1556" i="28"/>
  <c r="X1556" i="28"/>
  <c r="AA1556" i="28"/>
  <c r="AM1556" i="28"/>
  <c r="B1557" i="28"/>
  <c r="C1557" i="28"/>
  <c r="D1557" i="28"/>
  <c r="F1557" i="28"/>
  <c r="I1557" i="28"/>
  <c r="L1557" i="28"/>
  <c r="O1557" i="28"/>
  <c r="R1557" i="28"/>
  <c r="U1557" i="28"/>
  <c r="X1557" i="28"/>
  <c r="AA1557" i="28"/>
  <c r="AM1557" i="28"/>
  <c r="B1558" i="28"/>
  <c r="C1558" i="28"/>
  <c r="D1558" i="28"/>
  <c r="F1558" i="28"/>
  <c r="I1558" i="28"/>
  <c r="L1558" i="28"/>
  <c r="O1558" i="28"/>
  <c r="R1558" i="28"/>
  <c r="U1558" i="28"/>
  <c r="X1558" i="28"/>
  <c r="AA1558" i="28"/>
  <c r="AM1558" i="28"/>
  <c r="B1559" i="28"/>
  <c r="C1559" i="28"/>
  <c r="D1559" i="28"/>
  <c r="F1559" i="28"/>
  <c r="I1559" i="28"/>
  <c r="L1559" i="28"/>
  <c r="O1559" i="28"/>
  <c r="R1559" i="28"/>
  <c r="U1559" i="28"/>
  <c r="X1559" i="28"/>
  <c r="AA1559" i="28"/>
  <c r="AM1559" i="28"/>
  <c r="B1560" i="28"/>
  <c r="C1560" i="28"/>
  <c r="D1560" i="28"/>
  <c r="F1560" i="28"/>
  <c r="I1560" i="28"/>
  <c r="L1560" i="28"/>
  <c r="O1560" i="28"/>
  <c r="R1560" i="28"/>
  <c r="U1560" i="28"/>
  <c r="X1560" i="28"/>
  <c r="AA1560" i="28"/>
  <c r="AM1560" i="28"/>
  <c r="B1561" i="28"/>
  <c r="C1561" i="28"/>
  <c r="D1561" i="28"/>
  <c r="F1561" i="28"/>
  <c r="I1561" i="28"/>
  <c r="L1561" i="28"/>
  <c r="O1561" i="28"/>
  <c r="R1561" i="28"/>
  <c r="U1561" i="28"/>
  <c r="X1561" i="28"/>
  <c r="AA1561" i="28"/>
  <c r="AM1561" i="28"/>
  <c r="B1562" i="28"/>
  <c r="C1562" i="28"/>
  <c r="D1562" i="28"/>
  <c r="F1562" i="28"/>
  <c r="I1562" i="28"/>
  <c r="L1562" i="28"/>
  <c r="O1562" i="28"/>
  <c r="R1562" i="28"/>
  <c r="U1562" i="28"/>
  <c r="X1562" i="28"/>
  <c r="AA1562" i="28"/>
  <c r="AM1562" i="28"/>
  <c r="B1563" i="28"/>
  <c r="C1563" i="28"/>
  <c r="D1563" i="28"/>
  <c r="F1563" i="28"/>
  <c r="I1563" i="28"/>
  <c r="L1563" i="28"/>
  <c r="O1563" i="28"/>
  <c r="R1563" i="28"/>
  <c r="U1563" i="28"/>
  <c r="X1563" i="28"/>
  <c r="AA1563" i="28"/>
  <c r="AM1563" i="28"/>
  <c r="B1564" i="28"/>
  <c r="C1564" i="28"/>
  <c r="D1564" i="28"/>
  <c r="F1564" i="28"/>
  <c r="I1564" i="28"/>
  <c r="L1564" i="28"/>
  <c r="O1564" i="28"/>
  <c r="R1564" i="28"/>
  <c r="U1564" i="28"/>
  <c r="X1564" i="28"/>
  <c r="AA1564" i="28"/>
  <c r="AM1564" i="28"/>
  <c r="B1565" i="28"/>
  <c r="C1565" i="28"/>
  <c r="D1565" i="28"/>
  <c r="F1565" i="28"/>
  <c r="I1565" i="28"/>
  <c r="L1565" i="28"/>
  <c r="O1565" i="28"/>
  <c r="R1565" i="28"/>
  <c r="U1565" i="28"/>
  <c r="X1565" i="28"/>
  <c r="AA1565" i="28"/>
  <c r="AM1565" i="28"/>
  <c r="B1566" i="28"/>
  <c r="C1566" i="28"/>
  <c r="D1566" i="28"/>
  <c r="AM1566" i="28"/>
  <c r="B1567" i="28"/>
  <c r="C1567" i="28"/>
  <c r="D1567" i="28"/>
  <c r="AM1567" i="28"/>
  <c r="B1568" i="28"/>
  <c r="C1568" i="28"/>
  <c r="D1568" i="28"/>
  <c r="AM1568" i="28"/>
  <c r="B1569" i="28"/>
  <c r="C1569" i="28"/>
  <c r="D1569" i="28"/>
  <c r="AM1569" i="28"/>
  <c r="B1570" i="28"/>
  <c r="C1570" i="28"/>
  <c r="D1570" i="28"/>
  <c r="AM1570" i="28"/>
  <c r="B1571" i="28"/>
  <c r="C1571" i="28"/>
  <c r="D1571" i="28"/>
  <c r="AM1571" i="28"/>
  <c r="B1572" i="28"/>
  <c r="C1572" i="28"/>
  <c r="D1572" i="28"/>
  <c r="AM1572" i="28"/>
  <c r="B1573" i="28"/>
  <c r="C1573" i="28"/>
  <c r="D1573" i="28"/>
  <c r="AM1573" i="28"/>
  <c r="B1574" i="28"/>
  <c r="C1574" i="28"/>
  <c r="D1574" i="28"/>
  <c r="AM1574" i="28"/>
  <c r="B1575" i="28"/>
  <c r="C1575" i="28"/>
  <c r="D1575" i="28"/>
  <c r="AM1575" i="28"/>
  <c r="B1576" i="28"/>
  <c r="C1576" i="28"/>
  <c r="D1576" i="28"/>
  <c r="AM1576" i="28"/>
  <c r="B1578" i="28"/>
  <c r="C1578" i="28"/>
  <c r="D1578" i="28"/>
  <c r="F1578" i="28"/>
  <c r="I1578" i="28"/>
  <c r="L1578" i="28"/>
  <c r="O1578" i="28"/>
  <c r="R1578" i="28"/>
  <c r="U1578" i="28"/>
  <c r="X1578" i="28"/>
  <c r="AA1578" i="28"/>
  <c r="AM1578" i="28"/>
  <c r="B1579" i="28"/>
  <c r="C1579" i="28"/>
  <c r="D1579" i="28"/>
  <c r="F1579" i="28"/>
  <c r="I1579" i="28"/>
  <c r="L1579" i="28"/>
  <c r="O1579" i="28"/>
  <c r="R1579" i="28"/>
  <c r="U1579" i="28"/>
  <c r="X1579" i="28"/>
  <c r="AA1579" i="28"/>
  <c r="AM1579" i="28"/>
  <c r="B1580" i="28"/>
  <c r="C1580" i="28"/>
  <c r="D1580" i="28"/>
  <c r="F1580" i="28"/>
  <c r="I1580" i="28"/>
  <c r="L1580" i="28"/>
  <c r="O1580" i="28"/>
  <c r="R1580" i="28"/>
  <c r="U1580" i="28"/>
  <c r="X1580" i="28"/>
  <c r="AA1580" i="28"/>
  <c r="AM1580" i="28"/>
  <c r="B1581" i="28"/>
  <c r="C1581" i="28"/>
  <c r="D1581" i="28"/>
  <c r="F1581" i="28"/>
  <c r="I1581" i="28"/>
  <c r="L1581" i="28"/>
  <c r="O1581" i="28"/>
  <c r="R1581" i="28"/>
  <c r="U1581" i="28"/>
  <c r="X1581" i="28"/>
  <c r="AA1581" i="28"/>
  <c r="AM1581" i="28"/>
  <c r="B1582" i="28"/>
  <c r="C1582" i="28"/>
  <c r="D1582" i="28"/>
  <c r="F1582" i="28"/>
  <c r="I1582" i="28"/>
  <c r="L1582" i="28"/>
  <c r="O1582" i="28"/>
  <c r="R1582" i="28"/>
  <c r="U1582" i="28"/>
  <c r="X1582" i="28"/>
  <c r="AA1582" i="28"/>
  <c r="AM1582" i="28"/>
  <c r="B1583" i="28"/>
  <c r="C1583" i="28"/>
  <c r="D1583" i="28"/>
  <c r="F1583" i="28"/>
  <c r="I1583" i="28"/>
  <c r="L1583" i="28"/>
  <c r="O1583" i="28"/>
  <c r="R1583" i="28"/>
  <c r="U1583" i="28"/>
  <c r="X1583" i="28"/>
  <c r="AA1583" i="28"/>
  <c r="AM1583" i="28"/>
  <c r="B1584" i="28"/>
  <c r="C1584" i="28"/>
  <c r="D1584" i="28"/>
  <c r="F1584" i="28"/>
  <c r="I1584" i="28"/>
  <c r="L1584" i="28"/>
  <c r="O1584" i="28"/>
  <c r="R1584" i="28"/>
  <c r="U1584" i="28"/>
  <c r="X1584" i="28"/>
  <c r="AA1584" i="28"/>
  <c r="AM1584" i="28"/>
  <c r="B1585" i="28"/>
  <c r="C1585" i="28"/>
  <c r="D1585" i="28"/>
  <c r="F1585" i="28"/>
  <c r="I1585" i="28"/>
  <c r="L1585" i="28"/>
  <c r="O1585" i="28"/>
  <c r="R1585" i="28"/>
  <c r="U1585" i="28"/>
  <c r="X1585" i="28"/>
  <c r="AA1585" i="28"/>
  <c r="AM1585" i="28"/>
  <c r="B1586" i="28"/>
  <c r="C1586" i="28"/>
  <c r="D1586" i="28"/>
  <c r="F1586" i="28"/>
  <c r="I1586" i="28"/>
  <c r="L1586" i="28"/>
  <c r="O1586" i="28"/>
  <c r="R1586" i="28"/>
  <c r="U1586" i="28"/>
  <c r="X1586" i="28"/>
  <c r="AA1586" i="28"/>
  <c r="AM1586" i="28"/>
  <c r="B1587" i="28"/>
  <c r="C1587" i="28"/>
  <c r="D1587" i="28"/>
  <c r="F1587" i="28"/>
  <c r="I1587" i="28"/>
  <c r="L1587" i="28"/>
  <c r="O1587" i="28"/>
  <c r="R1587" i="28"/>
  <c r="U1587" i="28"/>
  <c r="X1587" i="28"/>
  <c r="AA1587" i="28"/>
  <c r="AM1587" i="28"/>
  <c r="B1588" i="28"/>
  <c r="C1588" i="28"/>
  <c r="D1588" i="28"/>
  <c r="F1588" i="28"/>
  <c r="I1588" i="28"/>
  <c r="L1588" i="28"/>
  <c r="O1588" i="28"/>
  <c r="R1588" i="28"/>
  <c r="U1588" i="28"/>
  <c r="X1588" i="28"/>
  <c r="AA1588" i="28"/>
  <c r="AM1588" i="28"/>
  <c r="B1589" i="28"/>
  <c r="C1589" i="28"/>
  <c r="D1589" i="28"/>
  <c r="F1589" i="28"/>
  <c r="I1589" i="28"/>
  <c r="L1589" i="28"/>
  <c r="O1589" i="28"/>
  <c r="R1589" i="28"/>
  <c r="U1589" i="28"/>
  <c r="X1589" i="28"/>
  <c r="AA1589" i="28"/>
  <c r="AM1589" i="28"/>
  <c r="B1590" i="28"/>
  <c r="C1590" i="28"/>
  <c r="D1590" i="28"/>
  <c r="F1590" i="28"/>
  <c r="I1590" i="28"/>
  <c r="L1590" i="28"/>
  <c r="O1590" i="28"/>
  <c r="R1590" i="28"/>
  <c r="U1590" i="28"/>
  <c r="X1590" i="28"/>
  <c r="AA1590" i="28"/>
  <c r="AM1590" i="28"/>
  <c r="B1591" i="28"/>
  <c r="C1591" i="28"/>
  <c r="D1591" i="28"/>
  <c r="F1591" i="28"/>
  <c r="I1591" i="28"/>
  <c r="L1591" i="28"/>
  <c r="O1591" i="28"/>
  <c r="R1591" i="28"/>
  <c r="U1591" i="28"/>
  <c r="X1591" i="28"/>
  <c r="AA1591" i="28"/>
  <c r="AM1591" i="28"/>
  <c r="B1592" i="28"/>
  <c r="C1592" i="28"/>
  <c r="D1592" i="28"/>
  <c r="F1592" i="28"/>
  <c r="I1592" i="28"/>
  <c r="L1592" i="28"/>
  <c r="O1592" i="28"/>
  <c r="R1592" i="28"/>
  <c r="U1592" i="28"/>
  <c r="X1592" i="28"/>
  <c r="AA1592" i="28"/>
  <c r="AM1592" i="28"/>
  <c r="B1593" i="28"/>
  <c r="C1593" i="28"/>
  <c r="D1593" i="28"/>
  <c r="AM1593" i="28"/>
  <c r="B1594" i="28"/>
  <c r="C1594" i="28"/>
  <c r="D1594" i="28"/>
  <c r="AM1594" i="28"/>
  <c r="B1595" i="28"/>
  <c r="C1595" i="28"/>
  <c r="D1595" i="28"/>
  <c r="AM1595" i="28"/>
  <c r="B1596" i="28"/>
  <c r="C1596" i="28"/>
  <c r="D1596" i="28"/>
  <c r="AM1596" i="28"/>
  <c r="B1597" i="28"/>
  <c r="C1597" i="28"/>
  <c r="D1597" i="28"/>
  <c r="F1597" i="28"/>
  <c r="I1597" i="28"/>
  <c r="L1597" i="28"/>
  <c r="O1597" i="28"/>
  <c r="R1597" i="28"/>
  <c r="U1597" i="28"/>
  <c r="X1597" i="28"/>
  <c r="AA1597" i="28"/>
  <c r="AM1597" i="28"/>
  <c r="B1598" i="28"/>
  <c r="C1598" i="28"/>
  <c r="D1598" i="28"/>
  <c r="F1598" i="28"/>
  <c r="I1598" i="28"/>
  <c r="L1598" i="28"/>
  <c r="O1598" i="28"/>
  <c r="R1598" i="28"/>
  <c r="U1598" i="28"/>
  <c r="X1598" i="28"/>
  <c r="AA1598" i="28"/>
  <c r="AM1598" i="28"/>
  <c r="B1599" i="28"/>
  <c r="C1599" i="28"/>
  <c r="D1599" i="28"/>
  <c r="F1599" i="28"/>
  <c r="I1599" i="28"/>
  <c r="L1599" i="28"/>
  <c r="O1599" i="28"/>
  <c r="R1599" i="28"/>
  <c r="U1599" i="28"/>
  <c r="X1599" i="28"/>
  <c r="AA1599" i="28"/>
  <c r="AM1599" i="28"/>
  <c r="B1600" i="28"/>
  <c r="C1600" i="28"/>
  <c r="D1600" i="28"/>
  <c r="F1600" i="28"/>
  <c r="I1600" i="28"/>
  <c r="L1600" i="28"/>
  <c r="O1600" i="28"/>
  <c r="R1600" i="28"/>
  <c r="U1600" i="28"/>
  <c r="X1600" i="28"/>
  <c r="AA1600" i="28"/>
  <c r="AM1600" i="28"/>
  <c r="B1601" i="28"/>
  <c r="C1601" i="28"/>
  <c r="D1601" i="28"/>
  <c r="F1601" i="28"/>
  <c r="I1601" i="28"/>
  <c r="L1601" i="28"/>
  <c r="O1601" i="28"/>
  <c r="R1601" i="28"/>
  <c r="U1601" i="28"/>
  <c r="X1601" i="28"/>
  <c r="AA1601" i="28"/>
  <c r="AM1601" i="28"/>
  <c r="B1602" i="28"/>
  <c r="C1602" i="28"/>
  <c r="D1602" i="28"/>
  <c r="F1602" i="28"/>
  <c r="I1602" i="28"/>
  <c r="L1602" i="28"/>
  <c r="O1602" i="28"/>
  <c r="R1602" i="28"/>
  <c r="U1602" i="28"/>
  <c r="X1602" i="28"/>
  <c r="AA1602" i="28"/>
  <c r="AM1602" i="28"/>
  <c r="B1603" i="28"/>
  <c r="C1603" i="28"/>
  <c r="D1603" i="28"/>
  <c r="F1603" i="28"/>
  <c r="I1603" i="28"/>
  <c r="L1603" i="28"/>
  <c r="O1603" i="28"/>
  <c r="R1603" i="28"/>
  <c r="U1603" i="28"/>
  <c r="X1603" i="28"/>
  <c r="AA1603" i="28"/>
  <c r="AM1603" i="28"/>
  <c r="B1604" i="28"/>
  <c r="C1604" i="28"/>
  <c r="D1604" i="28"/>
  <c r="F1604" i="28"/>
  <c r="I1604" i="28"/>
  <c r="L1604" i="28"/>
  <c r="O1604" i="28"/>
  <c r="R1604" i="28"/>
  <c r="U1604" i="28"/>
  <c r="X1604" i="28"/>
  <c r="AA1604" i="28"/>
  <c r="AM1604" i="28"/>
  <c r="B1605" i="28"/>
  <c r="C1605" i="28"/>
  <c r="D1605" i="28"/>
  <c r="F1605" i="28"/>
  <c r="I1605" i="28"/>
  <c r="L1605" i="28"/>
  <c r="O1605" i="28"/>
  <c r="R1605" i="28"/>
  <c r="U1605" i="28"/>
  <c r="X1605" i="28"/>
  <c r="AA1605" i="28"/>
  <c r="AM1605" i="28"/>
  <c r="B1606" i="28"/>
  <c r="C1606" i="28"/>
  <c r="D1606" i="28"/>
  <c r="F1606" i="28"/>
  <c r="I1606" i="28"/>
  <c r="L1606" i="28"/>
  <c r="O1606" i="28"/>
  <c r="R1606" i="28"/>
  <c r="U1606" i="28"/>
  <c r="X1606" i="28"/>
  <c r="AA1606" i="28"/>
  <c r="AM1606" i="28"/>
  <c r="B1607" i="28"/>
  <c r="C1607" i="28"/>
  <c r="D1607" i="28"/>
  <c r="F1607" i="28"/>
  <c r="I1607" i="28"/>
  <c r="L1607" i="28"/>
  <c r="O1607" i="28"/>
  <c r="R1607" i="28"/>
  <c r="U1607" i="28"/>
  <c r="X1607" i="28"/>
  <c r="AA1607" i="28"/>
  <c r="AM1607" i="28"/>
  <c r="B1608" i="28"/>
  <c r="C1608" i="28"/>
  <c r="D1608" i="28"/>
  <c r="F1608" i="28"/>
  <c r="I1608" i="28"/>
  <c r="L1608" i="28"/>
  <c r="O1608" i="28"/>
  <c r="R1608" i="28"/>
  <c r="U1608" i="28"/>
  <c r="X1608" i="28"/>
  <c r="AA1608" i="28"/>
  <c r="AM1608" i="28"/>
  <c r="B1609" i="28"/>
  <c r="C1609" i="28"/>
  <c r="D1609" i="28"/>
  <c r="F1609" i="28"/>
  <c r="I1609" i="28"/>
  <c r="L1609" i="28"/>
  <c r="O1609" i="28"/>
  <c r="R1609" i="28"/>
  <c r="U1609" i="28"/>
  <c r="X1609" i="28"/>
  <c r="AA1609" i="28"/>
  <c r="AM1609" i="28"/>
  <c r="B1610" i="28"/>
  <c r="C1610" i="28"/>
  <c r="D1610" i="28"/>
  <c r="F1610" i="28"/>
  <c r="I1610" i="28"/>
  <c r="L1610" i="28"/>
  <c r="O1610" i="28"/>
  <c r="R1610" i="28"/>
  <c r="U1610" i="28"/>
  <c r="X1610" i="28"/>
  <c r="AA1610" i="28"/>
  <c r="AM1610" i="28"/>
  <c r="B1611" i="28"/>
  <c r="C1611" i="28"/>
  <c r="D1611" i="28"/>
  <c r="F1611" i="28"/>
  <c r="I1611" i="28"/>
  <c r="L1611" i="28"/>
  <c r="O1611" i="28"/>
  <c r="R1611" i="28"/>
  <c r="U1611" i="28"/>
  <c r="X1611" i="28"/>
  <c r="AA1611" i="28"/>
  <c r="AM1611" i="28"/>
  <c r="B1612" i="28"/>
  <c r="C1612" i="28"/>
  <c r="D1612" i="28"/>
  <c r="F1612" i="28"/>
  <c r="I1612" i="28"/>
  <c r="L1612" i="28"/>
  <c r="O1612" i="28"/>
  <c r="R1612" i="28"/>
  <c r="U1612" i="28"/>
  <c r="X1612" i="28"/>
  <c r="AA1612" i="28"/>
  <c r="AM1612" i="28"/>
  <c r="B1613" i="28"/>
  <c r="C1613" i="28"/>
  <c r="D1613" i="28"/>
  <c r="F1613" i="28"/>
  <c r="I1613" i="28"/>
  <c r="L1613" i="28"/>
  <c r="O1613" i="28"/>
  <c r="R1613" i="28"/>
  <c r="U1613" i="28"/>
  <c r="X1613" i="28"/>
  <c r="AA1613" i="28"/>
  <c r="AM1613" i="28"/>
  <c r="B1614" i="28"/>
  <c r="C1614" i="28"/>
  <c r="D1614" i="28"/>
  <c r="AM1614" i="28"/>
  <c r="B1615" i="28"/>
  <c r="C1615" i="28"/>
  <c r="D1615" i="28"/>
  <c r="AM1615" i="28"/>
  <c r="B1616" i="28"/>
  <c r="C1616" i="28"/>
  <c r="D1616" i="28"/>
  <c r="AM1616" i="28"/>
  <c r="B1617" i="28"/>
  <c r="C1617" i="28"/>
  <c r="D1617" i="28"/>
  <c r="AM1617" i="28"/>
  <c r="B1618" i="28"/>
  <c r="C1618" i="28"/>
  <c r="D1618" i="28"/>
  <c r="AM1618" i="28"/>
  <c r="B1619" i="28"/>
  <c r="C1619" i="28"/>
  <c r="D1619" i="28"/>
  <c r="AM1619" i="28"/>
  <c r="B1620" i="28"/>
  <c r="C1620" i="28"/>
  <c r="D1620" i="28"/>
  <c r="AM1620" i="28"/>
  <c r="B1621" i="28"/>
  <c r="C1621" i="28"/>
  <c r="D1621" i="28"/>
  <c r="F1621" i="28"/>
  <c r="I1621" i="28"/>
  <c r="L1621" i="28"/>
  <c r="O1621" i="28"/>
  <c r="R1621" i="28"/>
  <c r="U1621" i="28"/>
  <c r="X1621" i="28"/>
  <c r="AA1621" i="28"/>
  <c r="AM1621" i="28"/>
  <c r="B1622" i="28"/>
  <c r="C1622" i="28"/>
  <c r="D1622" i="28"/>
  <c r="F1622" i="28"/>
  <c r="I1622" i="28"/>
  <c r="L1622" i="28"/>
  <c r="O1622" i="28"/>
  <c r="R1622" i="28"/>
  <c r="U1622" i="28"/>
  <c r="X1622" i="28"/>
  <c r="AA1622" i="28"/>
  <c r="AM1622" i="28"/>
  <c r="B1623" i="28"/>
  <c r="C1623" i="28"/>
  <c r="D1623" i="28"/>
  <c r="F1623" i="28"/>
  <c r="I1623" i="28"/>
  <c r="L1623" i="28"/>
  <c r="O1623" i="28"/>
  <c r="R1623" i="28"/>
  <c r="U1623" i="28"/>
  <c r="X1623" i="28"/>
  <c r="AA1623" i="28"/>
  <c r="AM1623" i="28"/>
  <c r="B1624" i="28"/>
  <c r="C1624" i="28"/>
  <c r="D1624" i="28"/>
  <c r="F1624" i="28"/>
  <c r="I1624" i="28"/>
  <c r="L1624" i="28"/>
  <c r="O1624" i="28"/>
  <c r="R1624" i="28"/>
  <c r="U1624" i="28"/>
  <c r="X1624" i="28"/>
  <c r="AA1624" i="28"/>
  <c r="AM1624" i="28"/>
  <c r="B1626" i="28"/>
  <c r="C1626" i="28"/>
  <c r="D1626" i="28"/>
  <c r="F1626" i="28"/>
  <c r="I1626" i="28"/>
  <c r="L1626" i="28"/>
  <c r="O1626" i="28"/>
  <c r="R1626" i="28"/>
  <c r="U1626" i="28"/>
  <c r="X1626" i="28"/>
  <c r="AA1626" i="28"/>
  <c r="AM1626" i="28"/>
  <c r="B1627" i="28"/>
  <c r="C1627" i="28"/>
  <c r="D1627" i="28"/>
  <c r="F1627" i="28"/>
  <c r="I1627" i="28"/>
  <c r="L1627" i="28"/>
  <c r="O1627" i="28"/>
  <c r="R1627" i="28"/>
  <c r="U1627" i="28"/>
  <c r="X1627" i="28"/>
  <c r="AA1627" i="28"/>
  <c r="AM1627" i="28"/>
  <c r="B1628" i="28"/>
  <c r="C1628" i="28"/>
  <c r="D1628" i="28"/>
  <c r="F1628" i="28"/>
  <c r="I1628" i="28"/>
  <c r="L1628" i="28"/>
  <c r="O1628" i="28"/>
  <c r="R1628" i="28"/>
  <c r="U1628" i="28"/>
  <c r="X1628" i="28"/>
  <c r="AA1628" i="28"/>
  <c r="AM1628" i="28"/>
  <c r="B1629" i="28"/>
  <c r="C1629" i="28"/>
  <c r="D1629" i="28"/>
  <c r="F1629" i="28"/>
  <c r="I1629" i="28"/>
  <c r="L1629" i="28"/>
  <c r="O1629" i="28"/>
  <c r="R1629" i="28"/>
  <c r="U1629" i="28"/>
  <c r="X1629" i="28"/>
  <c r="AA1629" i="28"/>
  <c r="AM1629" i="28"/>
  <c r="B1630" i="28"/>
  <c r="C1630" i="28"/>
  <c r="D1630" i="28"/>
  <c r="F1630" i="28"/>
  <c r="I1630" i="28"/>
  <c r="L1630" i="28"/>
  <c r="O1630" i="28"/>
  <c r="R1630" i="28"/>
  <c r="U1630" i="28"/>
  <c r="X1630" i="28"/>
  <c r="AA1630" i="28"/>
  <c r="AM1630" i="28"/>
  <c r="B1631" i="28"/>
  <c r="C1631" i="28"/>
  <c r="D1631" i="28"/>
  <c r="F1631" i="28"/>
  <c r="I1631" i="28"/>
  <c r="L1631" i="28"/>
  <c r="O1631" i="28"/>
  <c r="R1631" i="28"/>
  <c r="U1631" i="28"/>
  <c r="X1631" i="28"/>
  <c r="AA1631" i="28"/>
  <c r="AM1631" i="28"/>
  <c r="B1632" i="28"/>
  <c r="C1632" i="28"/>
  <c r="D1632" i="28"/>
  <c r="F1632" i="28"/>
  <c r="I1632" i="28"/>
  <c r="L1632" i="28"/>
  <c r="O1632" i="28"/>
  <c r="R1632" i="28"/>
  <c r="U1632" i="28"/>
  <c r="X1632" i="28"/>
  <c r="AA1632" i="28"/>
  <c r="AM1632" i="28"/>
  <c r="B1633" i="28"/>
  <c r="C1633" i="28"/>
  <c r="D1633" i="28"/>
  <c r="F1633" i="28"/>
  <c r="I1633" i="28"/>
  <c r="L1633" i="28"/>
  <c r="O1633" i="28"/>
  <c r="R1633" i="28"/>
  <c r="U1633" i="28"/>
  <c r="X1633" i="28"/>
  <c r="AA1633" i="28"/>
  <c r="AM1633" i="28"/>
  <c r="B1634" i="28"/>
  <c r="C1634" i="28"/>
  <c r="D1634" i="28"/>
  <c r="F1634" i="28"/>
  <c r="I1634" i="28"/>
  <c r="L1634" i="28"/>
  <c r="O1634" i="28"/>
  <c r="R1634" i="28"/>
  <c r="U1634" i="28"/>
  <c r="X1634" i="28"/>
  <c r="AA1634" i="28"/>
  <c r="AM1634" i="28"/>
  <c r="B1635" i="28"/>
  <c r="C1635" i="28"/>
  <c r="D1635" i="28"/>
  <c r="F1635" i="28"/>
  <c r="I1635" i="28"/>
  <c r="L1635" i="28"/>
  <c r="O1635" i="28"/>
  <c r="R1635" i="28"/>
  <c r="U1635" i="28"/>
  <c r="X1635" i="28"/>
  <c r="AA1635" i="28"/>
  <c r="AM1635" i="28"/>
  <c r="B1636" i="28"/>
  <c r="C1636" i="28"/>
  <c r="D1636" i="28"/>
  <c r="F1636" i="28"/>
  <c r="I1636" i="28"/>
  <c r="L1636" i="28"/>
  <c r="O1636" i="28"/>
  <c r="R1636" i="28"/>
  <c r="U1636" i="28"/>
  <c r="X1636" i="28"/>
  <c r="AA1636" i="28"/>
  <c r="AM1636" i="28"/>
  <c r="B1637" i="28"/>
  <c r="C1637" i="28"/>
  <c r="D1637" i="28"/>
  <c r="F1637" i="28"/>
  <c r="I1637" i="28"/>
  <c r="L1637" i="28"/>
  <c r="O1637" i="28"/>
  <c r="R1637" i="28"/>
  <c r="U1637" i="28"/>
  <c r="X1637" i="28"/>
  <c r="AA1637" i="28"/>
  <c r="AM1637" i="28"/>
  <c r="B1638" i="28"/>
  <c r="C1638" i="28"/>
  <c r="D1638" i="28"/>
  <c r="F1638" i="28"/>
  <c r="I1638" i="28"/>
  <c r="L1638" i="28"/>
  <c r="O1638" i="28"/>
  <c r="R1638" i="28"/>
  <c r="U1638" i="28"/>
  <c r="X1638" i="28"/>
  <c r="AA1638" i="28"/>
  <c r="AM1638" i="28"/>
  <c r="B1639" i="28"/>
  <c r="C1639" i="28"/>
  <c r="D1639" i="28"/>
  <c r="F1639" i="28"/>
  <c r="I1639" i="28"/>
  <c r="L1639" i="28"/>
  <c r="O1639" i="28"/>
  <c r="R1639" i="28"/>
  <c r="U1639" i="28"/>
  <c r="X1639" i="28"/>
  <c r="AA1639" i="28"/>
  <c r="AM1639" i="28"/>
  <c r="B1640" i="28"/>
  <c r="C1640" i="28"/>
  <c r="D1640" i="28"/>
  <c r="F1640" i="28"/>
  <c r="I1640" i="28"/>
  <c r="L1640" i="28"/>
  <c r="O1640" i="28"/>
  <c r="R1640" i="28"/>
  <c r="U1640" i="28"/>
  <c r="X1640" i="28"/>
  <c r="AA1640" i="28"/>
  <c r="AM1640" i="28"/>
  <c r="B1641" i="28"/>
  <c r="C1641" i="28"/>
  <c r="D1641" i="28"/>
  <c r="AM1641" i="28"/>
  <c r="B1642" i="28"/>
  <c r="C1642" i="28"/>
  <c r="D1642" i="28"/>
  <c r="AM1642" i="28"/>
  <c r="B1643" i="28"/>
  <c r="C1643" i="28"/>
  <c r="D1643" i="28"/>
  <c r="F1643" i="28"/>
  <c r="I1643" i="28"/>
  <c r="L1643" i="28"/>
  <c r="O1643" i="28"/>
  <c r="R1643" i="28"/>
  <c r="U1643" i="28"/>
  <c r="X1643" i="28"/>
  <c r="AA1643" i="28"/>
  <c r="AM1643" i="28"/>
  <c r="B1644" i="28"/>
  <c r="C1644" i="28"/>
  <c r="D1644" i="28"/>
  <c r="F1644" i="28"/>
  <c r="I1644" i="28"/>
  <c r="L1644" i="28"/>
  <c r="O1644" i="28"/>
  <c r="R1644" i="28"/>
  <c r="U1644" i="28"/>
  <c r="X1644" i="28"/>
  <c r="AA1644" i="28"/>
  <c r="AM1644" i="28"/>
  <c r="B1645" i="28"/>
  <c r="C1645" i="28"/>
  <c r="D1645" i="28"/>
  <c r="F1645" i="28"/>
  <c r="I1645" i="28"/>
  <c r="L1645" i="28"/>
  <c r="O1645" i="28"/>
  <c r="R1645" i="28"/>
  <c r="U1645" i="28"/>
  <c r="X1645" i="28"/>
  <c r="AA1645" i="28"/>
  <c r="AM1645" i="28"/>
  <c r="B1646" i="28"/>
  <c r="C1646" i="28"/>
  <c r="D1646" i="28"/>
  <c r="F1646" i="28"/>
  <c r="I1646" i="28"/>
  <c r="L1646" i="28"/>
  <c r="O1646" i="28"/>
  <c r="R1646" i="28"/>
  <c r="U1646" i="28"/>
  <c r="X1646" i="28"/>
  <c r="AA1646" i="28"/>
  <c r="AM1646" i="28"/>
  <c r="B1647" i="28"/>
  <c r="C1647" i="28"/>
  <c r="D1647" i="28"/>
  <c r="F1647" i="28"/>
  <c r="I1647" i="28"/>
  <c r="L1647" i="28"/>
  <c r="O1647" i="28"/>
  <c r="R1647" i="28"/>
  <c r="U1647" i="28"/>
  <c r="X1647" i="28"/>
  <c r="AA1647" i="28"/>
  <c r="AM1647" i="28"/>
  <c r="B1648" i="28"/>
  <c r="C1648" i="28"/>
  <c r="D1648" i="28"/>
  <c r="F1648" i="28"/>
  <c r="I1648" i="28"/>
  <c r="L1648" i="28"/>
  <c r="O1648" i="28"/>
  <c r="R1648" i="28"/>
  <c r="U1648" i="28"/>
  <c r="X1648" i="28"/>
  <c r="AA1648" i="28"/>
  <c r="AM1648" i="28"/>
  <c r="B1649" i="28"/>
  <c r="C1649" i="28"/>
  <c r="D1649" i="28"/>
  <c r="F1649" i="28"/>
  <c r="I1649" i="28"/>
  <c r="L1649" i="28"/>
  <c r="O1649" i="28"/>
  <c r="R1649" i="28"/>
  <c r="U1649" i="28"/>
  <c r="X1649" i="28"/>
  <c r="AA1649" i="28"/>
  <c r="AM1649" i="28"/>
  <c r="B1650" i="28"/>
  <c r="C1650" i="28"/>
  <c r="D1650" i="28"/>
  <c r="F1650" i="28"/>
  <c r="I1650" i="28"/>
  <c r="L1650" i="28"/>
  <c r="O1650" i="28"/>
  <c r="R1650" i="28"/>
  <c r="U1650" i="28"/>
  <c r="X1650" i="28"/>
  <c r="AA1650" i="28"/>
  <c r="AM1650" i="28"/>
  <c r="B1651" i="28"/>
  <c r="C1651" i="28"/>
  <c r="D1651" i="28"/>
  <c r="F1651" i="28"/>
  <c r="I1651" i="28"/>
  <c r="L1651" i="28"/>
  <c r="O1651" i="28"/>
  <c r="R1651" i="28"/>
  <c r="U1651" i="28"/>
  <c r="X1651" i="28"/>
  <c r="AA1651" i="28"/>
  <c r="AM1651" i="28"/>
  <c r="B1652" i="28"/>
  <c r="C1652" i="28"/>
  <c r="D1652" i="28"/>
  <c r="F1652" i="28"/>
  <c r="I1652" i="28"/>
  <c r="L1652" i="28"/>
  <c r="O1652" i="28"/>
  <c r="R1652" i="28"/>
  <c r="U1652" i="28"/>
  <c r="X1652" i="28"/>
  <c r="AA1652" i="28"/>
  <c r="AM1652" i="28"/>
  <c r="B1653" i="28"/>
  <c r="C1653" i="28"/>
  <c r="D1653" i="28"/>
  <c r="F1653" i="28"/>
  <c r="I1653" i="28"/>
  <c r="L1653" i="28"/>
  <c r="O1653" i="28"/>
  <c r="R1653" i="28"/>
  <c r="U1653" i="28"/>
  <c r="X1653" i="28"/>
  <c r="AA1653" i="28"/>
  <c r="AM1653" i="28"/>
  <c r="B1654" i="28"/>
  <c r="C1654" i="28"/>
  <c r="D1654" i="28"/>
  <c r="F1654" i="28"/>
  <c r="I1654" i="28"/>
  <c r="L1654" i="28"/>
  <c r="O1654" i="28"/>
  <c r="R1654" i="28"/>
  <c r="U1654" i="28"/>
  <c r="X1654" i="28"/>
  <c r="AA1654" i="28"/>
  <c r="AM1654" i="28"/>
  <c r="B1655" i="28"/>
  <c r="C1655" i="28"/>
  <c r="D1655" i="28"/>
  <c r="F1655" i="28"/>
  <c r="I1655" i="28"/>
  <c r="L1655" i="28"/>
  <c r="O1655" i="28"/>
  <c r="R1655" i="28"/>
  <c r="U1655" i="28"/>
  <c r="X1655" i="28"/>
  <c r="AA1655" i="28"/>
  <c r="AM1655" i="28"/>
  <c r="B1656" i="28"/>
  <c r="C1656" i="28"/>
  <c r="D1656" i="28"/>
  <c r="F1656" i="28"/>
  <c r="I1656" i="28"/>
  <c r="L1656" i="28"/>
  <c r="O1656" i="28"/>
  <c r="R1656" i="28"/>
  <c r="U1656" i="28"/>
  <c r="X1656" i="28"/>
  <c r="AA1656" i="28"/>
  <c r="AM1656" i="28"/>
  <c r="B1657" i="28"/>
  <c r="C1657" i="28"/>
  <c r="D1657" i="28"/>
  <c r="F1657" i="28"/>
  <c r="I1657" i="28"/>
  <c r="L1657" i="28"/>
  <c r="O1657" i="28"/>
  <c r="R1657" i="28"/>
  <c r="U1657" i="28"/>
  <c r="X1657" i="28"/>
  <c r="AA1657" i="28"/>
  <c r="AM1657" i="28"/>
  <c r="B1658" i="28"/>
  <c r="C1658" i="28"/>
  <c r="D1658" i="28"/>
  <c r="F1658" i="28"/>
  <c r="I1658" i="28"/>
  <c r="L1658" i="28"/>
  <c r="O1658" i="28"/>
  <c r="R1658" i="28"/>
  <c r="U1658" i="28"/>
  <c r="X1658" i="28"/>
  <c r="AA1658" i="28"/>
  <c r="AM1658" i="28"/>
  <c r="B1659" i="28"/>
  <c r="C1659" i="28"/>
  <c r="D1659" i="28"/>
  <c r="F1659" i="28"/>
  <c r="I1659" i="28"/>
  <c r="L1659" i="28"/>
  <c r="O1659" i="28"/>
  <c r="R1659" i="28"/>
  <c r="U1659" i="28"/>
  <c r="X1659" i="28"/>
  <c r="AA1659" i="28"/>
  <c r="AM1659" i="28"/>
  <c r="B1660" i="28"/>
  <c r="C1660" i="28"/>
  <c r="D1660" i="28"/>
  <c r="F1660" i="28"/>
  <c r="I1660" i="28"/>
  <c r="L1660" i="28"/>
  <c r="O1660" i="28"/>
  <c r="R1660" i="28"/>
  <c r="U1660" i="28"/>
  <c r="X1660" i="28"/>
  <c r="AA1660" i="28"/>
  <c r="AM1660" i="28"/>
  <c r="B1661" i="28"/>
  <c r="C1661" i="28"/>
  <c r="D1661" i="28"/>
  <c r="AM1661" i="28"/>
  <c r="B1662" i="28"/>
  <c r="C1662" i="28"/>
  <c r="D1662" i="28"/>
  <c r="AM1662" i="28"/>
  <c r="B1663" i="28"/>
  <c r="C1663" i="28"/>
  <c r="D1663" i="28"/>
  <c r="AM1663" i="28"/>
  <c r="B1664" i="28"/>
  <c r="C1664" i="28"/>
  <c r="D1664" i="28"/>
  <c r="AM1664" i="28"/>
  <c r="B1665" i="28"/>
  <c r="C1665" i="28"/>
  <c r="D1665" i="28"/>
  <c r="AM1665" i="28"/>
  <c r="B1666" i="28"/>
  <c r="C1666" i="28"/>
  <c r="D1666" i="28"/>
  <c r="AA1666" i="28"/>
  <c r="AM1666" i="28"/>
  <c r="B1669" i="28"/>
  <c r="C1669" i="28"/>
  <c r="D1669" i="28"/>
  <c r="AM1669" i="28"/>
  <c r="B1670" i="28"/>
  <c r="C1670" i="28"/>
  <c r="D1670" i="28"/>
  <c r="F1670" i="28"/>
  <c r="I1670" i="28"/>
  <c r="L1670" i="28"/>
  <c r="O1670" i="28"/>
  <c r="R1670" i="28"/>
  <c r="U1670" i="28"/>
  <c r="X1670" i="28"/>
  <c r="AA1670" i="28"/>
  <c r="AM1670" i="28"/>
  <c r="B1671" i="28"/>
  <c r="C1671" i="28"/>
  <c r="D1671" i="28"/>
  <c r="F1671" i="28"/>
  <c r="I1671" i="28"/>
  <c r="L1671" i="28"/>
  <c r="O1671" i="28"/>
  <c r="R1671" i="28"/>
  <c r="U1671" i="28"/>
  <c r="X1671" i="28"/>
  <c r="AA1671" i="28"/>
  <c r="AM1671" i="28"/>
  <c r="B1672" i="28"/>
  <c r="C1672" i="28"/>
  <c r="D1672" i="28"/>
  <c r="F1672" i="28"/>
  <c r="I1672" i="28"/>
  <c r="L1672" i="28"/>
  <c r="O1672" i="28"/>
  <c r="R1672" i="28"/>
  <c r="U1672" i="28"/>
  <c r="X1672" i="28"/>
  <c r="AA1672" i="28"/>
  <c r="AM1672" i="28"/>
  <c r="B1673" i="28"/>
  <c r="C1673" i="28"/>
  <c r="D1673" i="28"/>
  <c r="F1673" i="28"/>
  <c r="I1673" i="28"/>
  <c r="L1673" i="28"/>
  <c r="O1673" i="28"/>
  <c r="R1673" i="28"/>
  <c r="U1673" i="28"/>
  <c r="X1673" i="28"/>
  <c r="AA1673" i="28"/>
  <c r="AM1673" i="28"/>
  <c r="B1674" i="28"/>
  <c r="C1674" i="28"/>
  <c r="D1674" i="28"/>
  <c r="F1674" i="28"/>
  <c r="I1674" i="28"/>
  <c r="L1674" i="28"/>
  <c r="O1674" i="28"/>
  <c r="R1674" i="28"/>
  <c r="U1674" i="28"/>
  <c r="X1674" i="28"/>
  <c r="AA1674" i="28"/>
  <c r="AM1674" i="28"/>
  <c r="B1675" i="28"/>
  <c r="C1675" i="28"/>
  <c r="D1675" i="28"/>
  <c r="F1675" i="28"/>
  <c r="I1675" i="28"/>
  <c r="L1675" i="28"/>
  <c r="O1675" i="28"/>
  <c r="R1675" i="28"/>
  <c r="U1675" i="28"/>
  <c r="X1675" i="28"/>
  <c r="AA1675" i="28"/>
  <c r="AM1675" i="28"/>
  <c r="B1676" i="28"/>
  <c r="C1676" i="28"/>
  <c r="D1676" i="28"/>
  <c r="F1676" i="28"/>
  <c r="I1676" i="28"/>
  <c r="L1676" i="28"/>
  <c r="O1676" i="28"/>
  <c r="R1676" i="28"/>
  <c r="U1676" i="28"/>
  <c r="X1676" i="28"/>
  <c r="AA1676" i="28"/>
  <c r="AM1676" i="28"/>
  <c r="B1677" i="28"/>
  <c r="C1677" i="28"/>
  <c r="D1677" i="28"/>
  <c r="F1677" i="28"/>
  <c r="I1677" i="28"/>
  <c r="L1677" i="28"/>
  <c r="O1677" i="28"/>
  <c r="R1677" i="28"/>
  <c r="U1677" i="28"/>
  <c r="X1677" i="28"/>
  <c r="AA1677" i="28"/>
  <c r="AM1677" i="28"/>
  <c r="B1678" i="28"/>
  <c r="C1678" i="28"/>
  <c r="D1678" i="28"/>
  <c r="AM1678" i="28"/>
  <c r="B1679" i="28"/>
  <c r="C1679" i="28"/>
  <c r="D1679" i="28"/>
  <c r="AM1679" i="28"/>
  <c r="B1680" i="28"/>
  <c r="C1680" i="28"/>
  <c r="D1680" i="28"/>
  <c r="AM1680" i="28"/>
  <c r="B1681" i="28"/>
  <c r="C1681" i="28"/>
  <c r="D1681" i="28"/>
  <c r="F1681" i="28"/>
  <c r="I1681" i="28"/>
  <c r="L1681" i="28"/>
  <c r="O1681" i="28"/>
  <c r="R1681" i="28"/>
  <c r="U1681" i="28"/>
  <c r="X1681" i="28"/>
  <c r="AA1681" i="28"/>
  <c r="AM1681" i="28"/>
  <c r="B1682" i="28"/>
  <c r="C1682" i="28"/>
  <c r="D1682" i="28"/>
  <c r="F1682" i="28"/>
  <c r="I1682" i="28"/>
  <c r="L1682" i="28"/>
  <c r="O1682" i="28"/>
  <c r="R1682" i="28"/>
  <c r="U1682" i="28"/>
  <c r="X1682" i="28"/>
  <c r="AA1682" i="28"/>
  <c r="AM1682" i="28"/>
  <c r="B1683" i="28"/>
  <c r="C1683" i="28"/>
  <c r="D1683" i="28"/>
  <c r="F1683" i="28"/>
  <c r="I1683" i="28"/>
  <c r="L1683" i="28"/>
  <c r="O1683" i="28"/>
  <c r="R1683" i="28"/>
  <c r="U1683" i="28"/>
  <c r="X1683" i="28"/>
  <c r="AA1683" i="28"/>
  <c r="AM1683" i="28"/>
  <c r="B1684" i="28"/>
  <c r="C1684" i="28"/>
  <c r="D1684" i="28"/>
  <c r="F1684" i="28"/>
  <c r="I1684" i="28"/>
  <c r="L1684" i="28"/>
  <c r="O1684" i="28"/>
  <c r="R1684" i="28"/>
  <c r="U1684" i="28"/>
  <c r="X1684" i="28"/>
  <c r="AA1684" i="28"/>
  <c r="AM1684" i="28"/>
  <c r="B1685" i="28"/>
  <c r="C1685" i="28"/>
  <c r="D1685" i="28"/>
  <c r="AM1685" i="28"/>
  <c r="B1686" i="28"/>
  <c r="C1686" i="28"/>
  <c r="D1686" i="28"/>
  <c r="B1687" i="28"/>
  <c r="C1687" i="28"/>
  <c r="D1687" i="28"/>
  <c r="AM1687" i="28"/>
  <c r="B1688" i="28"/>
  <c r="C1688" i="28"/>
  <c r="D1688" i="28"/>
  <c r="B1689" i="28"/>
  <c r="C1689" i="28"/>
  <c r="D1689" i="28"/>
  <c r="B1691" i="28"/>
  <c r="C1691" i="28"/>
  <c r="D1691" i="28"/>
  <c r="F1691" i="28"/>
  <c r="I1691" i="28"/>
  <c r="L1691" i="28"/>
  <c r="O1691" i="28"/>
  <c r="R1691" i="28"/>
  <c r="U1691" i="28"/>
  <c r="X1691" i="28"/>
  <c r="AA1691" i="28"/>
  <c r="AM1691" i="28"/>
  <c r="B1692" i="28"/>
  <c r="C1692" i="28"/>
  <c r="D1692" i="28"/>
  <c r="F1692" i="28"/>
  <c r="I1692" i="28"/>
  <c r="L1692" i="28"/>
  <c r="O1692" i="28"/>
  <c r="R1692" i="28"/>
  <c r="U1692" i="28"/>
  <c r="X1692" i="28"/>
  <c r="AA1692" i="28"/>
  <c r="AM1692" i="28"/>
  <c r="B1693" i="28"/>
  <c r="C1693" i="28"/>
  <c r="D1693" i="28"/>
  <c r="F1693" i="28"/>
  <c r="I1693" i="28"/>
  <c r="L1693" i="28"/>
  <c r="O1693" i="28"/>
  <c r="R1693" i="28"/>
  <c r="U1693" i="28"/>
  <c r="X1693" i="28"/>
  <c r="AA1693" i="28"/>
  <c r="AM1693" i="28"/>
  <c r="B1694" i="28"/>
  <c r="C1694" i="28"/>
  <c r="D1694" i="28"/>
  <c r="F1694" i="28"/>
  <c r="I1694" i="28"/>
  <c r="L1694" i="28"/>
  <c r="O1694" i="28"/>
  <c r="R1694" i="28"/>
  <c r="U1694" i="28"/>
  <c r="X1694" i="28"/>
  <c r="AA1694" i="28"/>
  <c r="AM1694" i="28"/>
  <c r="B1695" i="28"/>
  <c r="C1695" i="28"/>
  <c r="D1695" i="28"/>
  <c r="AM1695" i="28"/>
  <c r="B1696" i="28"/>
  <c r="C1696" i="28"/>
  <c r="D1696" i="28"/>
  <c r="AM1696" i="28"/>
  <c r="B1697" i="28"/>
  <c r="C1697" i="28"/>
  <c r="D1697" i="28"/>
  <c r="F1697" i="28"/>
  <c r="I1697" i="28"/>
  <c r="L1697" i="28"/>
  <c r="O1697" i="28"/>
  <c r="R1697" i="28"/>
  <c r="U1697" i="28"/>
  <c r="X1697" i="28"/>
  <c r="AA1697" i="28"/>
  <c r="AM1697" i="28"/>
  <c r="B1698" i="28"/>
  <c r="C1698" i="28"/>
  <c r="D1698" i="28"/>
  <c r="AM1698" i="28"/>
  <c r="B1699" i="28"/>
  <c r="C1699" i="28"/>
  <c r="D1699" i="28"/>
  <c r="AM1699" i="28"/>
  <c r="B1700" i="28"/>
  <c r="C1700" i="28"/>
  <c r="D1700" i="28"/>
  <c r="AM1700" i="28"/>
  <c r="B1701" i="28"/>
  <c r="C1701" i="28"/>
  <c r="D1701" i="28"/>
  <c r="F1701" i="28"/>
  <c r="I1701" i="28"/>
  <c r="L1701" i="28"/>
  <c r="O1701" i="28"/>
  <c r="R1701" i="28"/>
  <c r="U1701" i="28"/>
  <c r="X1701" i="28"/>
  <c r="AA1701" i="28"/>
  <c r="AM1701" i="28"/>
  <c r="B1702" i="28"/>
  <c r="C1702" i="28"/>
  <c r="D1702" i="28"/>
  <c r="AM1702" i="28"/>
  <c r="B1703" i="28"/>
  <c r="C1703" i="28"/>
  <c r="D1703" i="28"/>
  <c r="AM1703" i="28"/>
  <c r="B1704" i="28"/>
  <c r="C1704" i="28"/>
  <c r="D1704" i="28"/>
  <c r="AM1704" i="28"/>
  <c r="B1705" i="28"/>
  <c r="C1705" i="28"/>
  <c r="D1705" i="28"/>
  <c r="AM1705" i="28"/>
  <c r="B1706" i="28"/>
  <c r="C1706" i="28"/>
  <c r="D1706" i="28"/>
  <c r="AM1706" i="28"/>
  <c r="B1707" i="28"/>
  <c r="C1707" i="28"/>
  <c r="D1707" i="28"/>
  <c r="AM1707" i="28"/>
  <c r="B1708" i="28"/>
  <c r="C1708" i="28"/>
  <c r="D1708" i="28"/>
  <c r="AM1708" i="28"/>
  <c r="B1709" i="28"/>
  <c r="C1709" i="28"/>
  <c r="D1709" i="28"/>
  <c r="AM1709" i="28"/>
  <c r="B1710" i="28"/>
  <c r="C1710" i="28"/>
  <c r="D1710" i="28"/>
  <c r="AM1710" i="28"/>
  <c r="B1711" i="28"/>
  <c r="C1711" i="28"/>
  <c r="D1711" i="28"/>
  <c r="AM1711" i="28"/>
  <c r="B1712" i="28"/>
  <c r="C1712" i="28"/>
  <c r="D1712" i="28"/>
  <c r="AM1712" i="28"/>
  <c r="B1713" i="28"/>
  <c r="C1713" i="28"/>
  <c r="D1713" i="28"/>
  <c r="AM1713" i="28"/>
  <c r="B1714" i="28"/>
  <c r="C1714" i="28"/>
  <c r="D1714" i="28"/>
  <c r="AM1714" i="28"/>
  <c r="B1715" i="28"/>
  <c r="C1715" i="28"/>
  <c r="D1715" i="28"/>
  <c r="AM1715" i="28"/>
  <c r="B1716" i="28"/>
  <c r="C1716" i="28"/>
  <c r="D1716" i="28"/>
  <c r="AM1716" i="28"/>
  <c r="B1717" i="28"/>
  <c r="C1717" i="28"/>
  <c r="D1717" i="28"/>
  <c r="AM1717" i="28"/>
  <c r="B1718" i="28"/>
  <c r="C1718" i="28"/>
  <c r="D1718" i="28"/>
  <c r="AM1718" i="28"/>
  <c r="B1719" i="28"/>
  <c r="C1719" i="28"/>
  <c r="D1719" i="28"/>
  <c r="AM1719" i="28"/>
  <c r="B1720" i="28"/>
  <c r="C1720" i="28"/>
  <c r="D1720" i="28"/>
  <c r="AM1720" i="28"/>
  <c r="B1721" i="28"/>
  <c r="C1721" i="28"/>
  <c r="D1721" i="28"/>
  <c r="AM1721" i="28"/>
  <c r="B1722" i="28"/>
  <c r="C1722" i="28"/>
  <c r="D1722" i="28"/>
  <c r="AM1722" i="28"/>
  <c r="B1723" i="28"/>
  <c r="C1723" i="28"/>
  <c r="D1723" i="28"/>
  <c r="AM1723" i="28"/>
  <c r="B1724" i="28"/>
  <c r="C1724" i="28"/>
  <c r="D1724" i="28"/>
  <c r="AM1724" i="28"/>
  <c r="B1725" i="28"/>
  <c r="C1725" i="28"/>
  <c r="D1725" i="28"/>
  <c r="AM1725" i="28"/>
  <c r="B1726" i="28"/>
  <c r="C1726" i="28"/>
  <c r="D1726" i="28"/>
  <c r="AM1726" i="28"/>
  <c r="B1727" i="28"/>
  <c r="C1727" i="28"/>
  <c r="D1727" i="28"/>
  <c r="AM1727" i="28"/>
  <c r="B1728" i="28"/>
  <c r="C1728" i="28"/>
  <c r="D1728" i="28"/>
  <c r="AM1728" i="28"/>
  <c r="B1729" i="28"/>
  <c r="C1729" i="28"/>
  <c r="D1729" i="28"/>
  <c r="AM1729" i="28"/>
  <c r="B1730" i="28"/>
  <c r="C1730" i="28"/>
  <c r="D1730" i="28"/>
  <c r="AM1730" i="28"/>
  <c r="B1731" i="28"/>
  <c r="C1731" i="28"/>
  <c r="D1731" i="28"/>
  <c r="AM1731" i="28"/>
  <c r="B1732" i="28"/>
  <c r="C1732" i="28"/>
  <c r="D1732" i="28"/>
  <c r="F1732" i="28"/>
  <c r="I1732" i="28"/>
  <c r="L1732" i="28"/>
  <c r="O1732" i="28"/>
  <c r="R1732" i="28"/>
  <c r="U1732" i="28"/>
  <c r="X1732" i="28"/>
  <c r="AA1732" i="28"/>
  <c r="AM1732" i="28"/>
  <c r="B1733" i="28"/>
  <c r="C1733" i="28"/>
  <c r="D1733" i="28"/>
  <c r="F1733" i="28"/>
  <c r="I1733" i="28"/>
  <c r="L1733" i="28"/>
  <c r="O1733" i="28"/>
  <c r="R1733" i="28"/>
  <c r="U1733" i="28"/>
  <c r="X1733" i="28"/>
  <c r="AA1733" i="28"/>
  <c r="AM1733" i="28"/>
  <c r="B1734" i="28"/>
  <c r="C1734" i="28"/>
  <c r="D1734" i="28"/>
  <c r="F1734" i="28"/>
  <c r="I1734" i="28"/>
  <c r="L1734" i="28"/>
  <c r="O1734" i="28"/>
  <c r="R1734" i="28"/>
  <c r="U1734" i="28"/>
  <c r="X1734" i="28"/>
  <c r="AA1734" i="28"/>
  <c r="AM1734" i="28"/>
  <c r="B1735" i="28"/>
  <c r="C1735" i="28"/>
  <c r="D1735" i="28"/>
  <c r="F1735" i="28"/>
  <c r="I1735" i="28"/>
  <c r="L1735" i="28"/>
  <c r="O1735" i="28"/>
  <c r="R1735" i="28"/>
  <c r="U1735" i="28"/>
  <c r="X1735" i="28"/>
  <c r="AA1735" i="28"/>
  <c r="AM1735" i="28"/>
  <c r="B1736" i="28"/>
  <c r="C1736" i="28"/>
  <c r="D1736" i="28"/>
  <c r="F1736" i="28"/>
  <c r="I1736" i="28"/>
  <c r="L1736" i="28"/>
  <c r="O1736" i="28"/>
  <c r="R1736" i="28"/>
  <c r="U1736" i="28"/>
  <c r="X1736" i="28"/>
  <c r="AA1736" i="28"/>
  <c r="AM1736" i="28"/>
  <c r="B1737" i="28"/>
  <c r="C1737" i="28"/>
  <c r="D1737" i="28"/>
  <c r="F1737" i="28"/>
  <c r="I1737" i="28"/>
  <c r="L1737" i="28"/>
  <c r="O1737" i="28"/>
  <c r="R1737" i="28"/>
  <c r="U1737" i="28"/>
  <c r="X1737" i="28"/>
  <c r="AA1737" i="28"/>
  <c r="AM1737" i="28"/>
  <c r="B1738" i="28"/>
  <c r="C1738" i="28"/>
  <c r="D1738" i="28"/>
  <c r="F1738" i="28"/>
  <c r="I1738" i="28"/>
  <c r="L1738" i="28"/>
  <c r="O1738" i="28"/>
  <c r="R1738" i="28"/>
  <c r="U1738" i="28"/>
  <c r="X1738" i="28"/>
  <c r="AA1738" i="28"/>
  <c r="AM1738" i="28"/>
  <c r="B1739" i="28"/>
  <c r="C1739" i="28"/>
  <c r="D1739" i="28"/>
  <c r="AM1739" i="28"/>
  <c r="B1740" i="28"/>
  <c r="C1740" i="28"/>
  <c r="D1740" i="28"/>
  <c r="AM1740" i="28"/>
  <c r="B1741" i="28"/>
  <c r="C1741" i="28"/>
  <c r="D1741" i="28"/>
  <c r="AM1741" i="28"/>
  <c r="B1742" i="28"/>
  <c r="C1742" i="28"/>
  <c r="D1742" i="28"/>
  <c r="AM1742" i="28"/>
  <c r="B1743" i="28"/>
  <c r="C1743" i="28"/>
  <c r="D1743" i="28"/>
  <c r="AM1743" i="28"/>
  <c r="B1744" i="28"/>
  <c r="C1744" i="28"/>
  <c r="D1744" i="28"/>
  <c r="AM1744" i="28"/>
  <c r="B1745" i="28"/>
  <c r="C1745" i="28"/>
  <c r="D1745" i="28"/>
  <c r="AM1745" i="28"/>
  <c r="B1746" i="28"/>
  <c r="C1746" i="28"/>
  <c r="D1746" i="28"/>
  <c r="AM1746" i="28"/>
  <c r="B1748" i="28"/>
  <c r="C1748" i="28"/>
  <c r="D1748" i="28"/>
  <c r="B1759" i="28"/>
  <c r="C1759" i="28"/>
  <c r="D1759" i="28"/>
  <c r="F1759" i="28"/>
  <c r="I1759" i="28"/>
  <c r="L1759" i="28"/>
  <c r="O1759" i="28"/>
  <c r="R1759" i="28"/>
  <c r="U1759" i="28"/>
  <c r="X1759" i="28"/>
  <c r="AA1759" i="28"/>
  <c r="AM1759" i="28"/>
  <c r="B1760" i="28"/>
  <c r="C1760" i="28"/>
  <c r="D1760" i="28"/>
  <c r="F1760" i="28"/>
  <c r="I1760" i="28"/>
  <c r="L1760" i="28"/>
  <c r="O1760" i="28"/>
  <c r="R1760" i="28"/>
  <c r="U1760" i="28"/>
  <c r="X1760" i="28"/>
  <c r="AA1760" i="28"/>
  <c r="AM1760" i="28"/>
  <c r="B1761" i="28"/>
  <c r="C1761" i="28"/>
  <c r="D1761" i="28"/>
  <c r="F1761" i="28"/>
  <c r="I1761" i="28"/>
  <c r="L1761" i="28"/>
  <c r="O1761" i="28"/>
  <c r="R1761" i="28"/>
  <c r="U1761" i="28"/>
  <c r="X1761" i="28"/>
  <c r="AA1761" i="28"/>
  <c r="AM1761" i="28"/>
  <c r="B1762" i="28"/>
  <c r="C1762" i="28"/>
  <c r="D1762" i="28"/>
  <c r="F1762" i="28"/>
  <c r="I1762" i="28"/>
  <c r="L1762" i="28"/>
  <c r="O1762" i="28"/>
  <c r="R1762" i="28"/>
  <c r="U1762" i="28"/>
  <c r="X1762" i="28"/>
  <c r="AA1762" i="28"/>
  <c r="AM1762" i="28"/>
  <c r="B1763" i="28"/>
  <c r="C1763" i="28"/>
  <c r="D1763" i="28"/>
  <c r="F1763" i="28"/>
  <c r="I1763" i="28"/>
  <c r="L1763" i="28"/>
  <c r="O1763" i="28"/>
  <c r="R1763" i="28"/>
  <c r="U1763" i="28"/>
  <c r="X1763" i="28"/>
  <c r="AA1763" i="28"/>
  <c r="AM1763" i="28"/>
  <c r="B1764" i="28"/>
  <c r="C1764" i="28"/>
  <c r="D1764" i="28"/>
  <c r="F1764" i="28"/>
  <c r="I1764" i="28"/>
  <c r="L1764" i="28"/>
  <c r="O1764" i="28"/>
  <c r="R1764" i="28"/>
  <c r="U1764" i="28"/>
  <c r="X1764" i="28"/>
  <c r="AA1764" i="28"/>
  <c r="AM1764" i="28"/>
  <c r="AC1767" i="28"/>
  <c r="AC1768" i="28"/>
  <c r="AJ1768" i="28"/>
  <c r="AJ1771" i="28" s="1"/>
  <c r="AC1769" i="28"/>
  <c r="AI1771" i="28"/>
  <c r="AC1772" i="28"/>
  <c r="AC1773" i="28"/>
  <c r="AC1774" i="28"/>
  <c r="AJ1774" i="28"/>
  <c r="AC1775" i="28"/>
  <c r="AC1776" i="28"/>
  <c r="AA1777" i="28"/>
  <c r="AJ1778" i="28"/>
  <c r="J87" i="39"/>
  <c r="AF35" i="32"/>
  <c r="AL35" i="32"/>
  <c r="T1021" i="39"/>
  <c r="R1021" i="39"/>
  <c r="T173" i="39"/>
  <c r="T178" i="39" s="1"/>
  <c r="T179" i="39" s="1"/>
  <c r="Y19" i="37"/>
  <c r="E29" i="34"/>
  <c r="E47" i="34" s="1"/>
  <c r="AK95" i="31"/>
  <c r="AK97" i="31" s="1"/>
  <c r="AI95" i="31"/>
  <c r="AI97" i="31" s="1"/>
  <c r="AG95" i="31"/>
  <c r="AG98" i="31" s="1"/>
  <c r="AE95" i="31"/>
  <c r="AE98" i="31" s="1"/>
  <c r="AC95" i="31"/>
  <c r="AC98" i="31" s="1"/>
  <c r="AA95" i="31"/>
  <c r="AA98" i="31" s="1"/>
  <c r="Y95" i="31"/>
  <c r="Y98" i="31" s="1"/>
  <c r="W95" i="31"/>
  <c r="W98" i="31" s="1"/>
  <c r="U95" i="31"/>
  <c r="U98" i="31" s="1"/>
  <c r="D35" i="31"/>
  <c r="F29" i="34"/>
  <c r="AL95" i="31"/>
  <c r="AL97" i="31" s="1"/>
  <c r="AJ95" i="31"/>
  <c r="AJ97" i="31" s="1"/>
  <c r="AH97" i="31"/>
  <c r="AF95" i="31"/>
  <c r="AF98" i="31" s="1"/>
  <c r="AD95" i="31"/>
  <c r="AD98" i="31" s="1"/>
  <c r="AB95" i="31"/>
  <c r="AB98" i="31" s="1"/>
  <c r="Z95" i="31"/>
  <c r="Z98" i="31" s="1"/>
  <c r="X95" i="31"/>
  <c r="X98" i="31" s="1"/>
  <c r="V95" i="31"/>
  <c r="V98" i="31" s="1"/>
  <c r="R95" i="31"/>
  <c r="R96" i="31" s="1"/>
  <c r="P95" i="31"/>
  <c r="P96" i="31" s="1"/>
  <c r="N95" i="31"/>
  <c r="N96" i="31" s="1"/>
  <c r="L95" i="31"/>
  <c r="L96" i="31" s="1"/>
  <c r="H95" i="31"/>
  <c r="H96" i="31" s="1"/>
  <c r="D31" i="31"/>
  <c r="G26" i="37"/>
  <c r="G16" i="37" s="1"/>
  <c r="D13" i="31"/>
  <c r="H39" i="34"/>
  <c r="H25" i="36"/>
  <c r="E28" i="37"/>
  <c r="F28" i="37"/>
  <c r="D92" i="31"/>
  <c r="Q95" i="31"/>
  <c r="Q96" i="31" s="1"/>
  <c r="M95" i="31"/>
  <c r="M96" i="31" s="1"/>
  <c r="F95" i="31"/>
  <c r="F96" i="31" s="1"/>
  <c r="S95" i="31"/>
  <c r="S96" i="31" s="1"/>
  <c r="O95" i="31"/>
  <c r="O96" i="31" s="1"/>
  <c r="K95" i="31"/>
  <c r="K96" i="31" s="1"/>
  <c r="I95" i="31"/>
  <c r="I96" i="31" s="1"/>
  <c r="AG35" i="32"/>
  <c r="G25" i="36"/>
  <c r="E25" i="36" s="1"/>
  <c r="G19" i="36"/>
  <c r="E19" i="36" s="1"/>
  <c r="M16" i="36"/>
  <c r="I16" i="36"/>
  <c r="H18" i="36"/>
  <c r="D12" i="31"/>
  <c r="S896" i="39"/>
  <c r="P950" i="39"/>
  <c r="S951" i="39" s="1"/>
  <c r="Q179" i="39"/>
  <c r="AL597" i="28"/>
  <c r="AL591" i="28"/>
  <c r="AL592" i="28"/>
  <c r="AL553" i="28"/>
  <c r="AD65" i="39"/>
  <c r="L19" i="37"/>
  <c r="H20" i="36"/>
  <c r="V19" i="37"/>
  <c r="F18" i="32" l="1"/>
  <c r="F15" i="32"/>
  <c r="F25" i="32"/>
  <c r="I1021" i="39"/>
  <c r="S893" i="39"/>
  <c r="R242" i="39"/>
  <c r="AJ18" i="35"/>
  <c r="AH18" i="35"/>
  <c r="AF18" i="35"/>
  <c r="Z18" i="35"/>
  <c r="V18" i="35"/>
  <c r="R18" i="35"/>
  <c r="P18" i="35"/>
  <c r="N18" i="35"/>
  <c r="L18" i="35"/>
  <c r="J18" i="35"/>
  <c r="H18" i="35"/>
  <c r="AI18" i="35"/>
  <c r="AG18" i="35"/>
  <c r="AE18" i="35"/>
  <c r="AC18" i="35"/>
  <c r="AA18" i="35"/>
  <c r="Y18" i="35"/>
  <c r="W18" i="35"/>
  <c r="U18" i="35"/>
  <c r="S18" i="35"/>
  <c r="O18" i="35"/>
  <c r="M18" i="35"/>
  <c r="K18" i="35"/>
  <c r="F22" i="35"/>
  <c r="AJ14" i="35"/>
  <c r="AH14" i="35"/>
  <c r="AF14" i="35"/>
  <c r="X14" i="35"/>
  <c r="V14" i="35"/>
  <c r="P14" i="35"/>
  <c r="L14" i="35"/>
  <c r="J14" i="35"/>
  <c r="AI14" i="35"/>
  <c r="AG14" i="35"/>
  <c r="AE14" i="35"/>
  <c r="AC14" i="35"/>
  <c r="W14" i="35"/>
  <c r="U14" i="35"/>
  <c r="S14" i="35"/>
  <c r="K14" i="35"/>
  <c r="AL42" i="41"/>
  <c r="AJ42" i="41"/>
  <c r="AH42" i="41"/>
  <c r="Z42" i="41"/>
  <c r="X42" i="41"/>
  <c r="T42" i="41"/>
  <c r="L42" i="41"/>
  <c r="AK42" i="41"/>
  <c r="AI42" i="41"/>
  <c r="AG42" i="41"/>
  <c r="AE42" i="41"/>
  <c r="Y42" i="41"/>
  <c r="W42" i="41"/>
  <c r="U42" i="41"/>
  <c r="S42" i="41"/>
  <c r="Q42" i="41"/>
  <c r="M42" i="41"/>
  <c r="K42" i="41"/>
  <c r="AK32" i="32"/>
  <c r="AI35" i="32"/>
  <c r="AG32" i="32"/>
  <c r="E31" i="32"/>
  <c r="E13" i="35"/>
  <c r="H51" i="41"/>
  <c r="E44" i="41"/>
  <c r="AJ22" i="35"/>
  <c r="AI22" i="35"/>
  <c r="AH22" i="35"/>
  <c r="AG22" i="35"/>
  <c r="AF22" i="35"/>
  <c r="AE22" i="35"/>
  <c r="AD22" i="35"/>
  <c r="AC22" i="35"/>
  <c r="AB22" i="35"/>
  <c r="AA22" i="35"/>
  <c r="Z22" i="35"/>
  <c r="Y22" i="35"/>
  <c r="X22" i="35"/>
  <c r="W22" i="35"/>
  <c r="V22" i="35"/>
  <c r="U22" i="35"/>
  <c r="T22" i="35"/>
  <c r="S22" i="35"/>
  <c r="Q22" i="35"/>
  <c r="P22" i="35"/>
  <c r="O22" i="35"/>
  <c r="N22" i="35"/>
  <c r="M22" i="35"/>
  <c r="L22" i="35"/>
  <c r="K22" i="35"/>
  <c r="J22" i="35"/>
  <c r="I22" i="35"/>
  <c r="G22" i="35"/>
  <c r="L27" i="34"/>
  <c r="K27" i="34"/>
  <c r="J27" i="34"/>
  <c r="I27" i="34"/>
  <c r="H27" i="34"/>
  <c r="L22" i="34"/>
  <c r="K22" i="34"/>
  <c r="J22" i="34"/>
  <c r="I22" i="34"/>
  <c r="H22" i="34"/>
  <c r="L21" i="34"/>
  <c r="K21" i="34"/>
  <c r="J21" i="34"/>
  <c r="I21" i="34"/>
  <c r="H21" i="34"/>
  <c r="AL34" i="32"/>
  <c r="AK34" i="32"/>
  <c r="AJ34" i="32"/>
  <c r="AI34" i="32"/>
  <c r="AH34" i="32"/>
  <c r="AG34" i="32"/>
  <c r="AF34" i="32"/>
  <c r="AE34" i="32"/>
  <c r="AD34" i="32"/>
  <c r="AC34" i="32"/>
  <c r="AB34" i="32"/>
  <c r="AA34" i="32"/>
  <c r="Z34" i="32"/>
  <c r="Y34" i="32"/>
  <c r="X34" i="32"/>
  <c r="W34" i="32"/>
  <c r="V34" i="32"/>
  <c r="U34" i="32"/>
  <c r="T34" i="32"/>
  <c r="S34" i="32"/>
  <c r="R34" i="32"/>
  <c r="Q34" i="32"/>
  <c r="P34" i="32"/>
  <c r="O34" i="32"/>
  <c r="N34" i="32"/>
  <c r="M34" i="32"/>
  <c r="L34" i="32"/>
  <c r="K34" i="32"/>
  <c r="J34" i="32"/>
  <c r="I34" i="32"/>
  <c r="H34" i="32"/>
  <c r="G34" i="32"/>
  <c r="AL27" i="32"/>
  <c r="AK27" i="32"/>
  <c r="AJ27" i="32"/>
  <c r="AI27" i="32"/>
  <c r="AH27" i="32"/>
  <c r="AG27" i="32"/>
  <c r="AF27" i="32"/>
  <c r="AD27" i="32"/>
  <c r="Y27" i="32"/>
  <c r="X27" i="32"/>
  <c r="W27" i="32"/>
  <c r="V27" i="32"/>
  <c r="T27" i="32"/>
  <c r="Q27" i="32"/>
  <c r="M27" i="32"/>
  <c r="L27" i="32"/>
  <c r="K27" i="32"/>
  <c r="G24" i="32"/>
  <c r="G17" i="32"/>
  <c r="G16" i="32"/>
  <c r="AL24" i="32"/>
  <c r="AK24" i="32"/>
  <c r="AJ24" i="32"/>
  <c r="AI24" i="32"/>
  <c r="AH24" i="32"/>
  <c r="AG24" i="32"/>
  <c r="AF24" i="32"/>
  <c r="AE24" i="32"/>
  <c r="AD24" i="32"/>
  <c r="AC24" i="32"/>
  <c r="AB24" i="32"/>
  <c r="AA24" i="32"/>
  <c r="Z24" i="32"/>
  <c r="Y24" i="32"/>
  <c r="X24" i="32"/>
  <c r="W24" i="32"/>
  <c r="V24" i="32"/>
  <c r="U24" i="32"/>
  <c r="T24" i="32"/>
  <c r="S24" i="32"/>
  <c r="R24" i="32"/>
  <c r="Q24" i="32"/>
  <c r="P24" i="32"/>
  <c r="O24" i="32"/>
  <c r="N24" i="32"/>
  <c r="M24" i="32"/>
  <c r="L24" i="32"/>
  <c r="K24" i="32"/>
  <c r="J24" i="32"/>
  <c r="I24" i="32"/>
  <c r="H24" i="32"/>
  <c r="AL17" i="32"/>
  <c r="AJ17" i="32"/>
  <c r="AI17" i="32"/>
  <c r="AH17" i="32"/>
  <c r="AG17" i="32"/>
  <c r="AF17" i="32"/>
  <c r="AE17" i="32"/>
  <c r="AD17" i="32"/>
  <c r="AC17" i="32"/>
  <c r="AB17" i="32"/>
  <c r="AA17" i="32"/>
  <c r="Z17" i="32"/>
  <c r="Y17" i="32"/>
  <c r="X17" i="32"/>
  <c r="W17" i="32"/>
  <c r="V17" i="32"/>
  <c r="U17" i="32"/>
  <c r="T17" i="32"/>
  <c r="S17" i="32"/>
  <c r="R17" i="32"/>
  <c r="Q17" i="32"/>
  <c r="P17" i="32"/>
  <c r="O17" i="32"/>
  <c r="N17" i="32"/>
  <c r="M17" i="32"/>
  <c r="L17" i="32"/>
  <c r="K17" i="32"/>
  <c r="J17" i="32"/>
  <c r="I17" i="32"/>
  <c r="H17" i="32"/>
  <c r="AL16" i="32"/>
  <c r="AL14" i="32" s="1"/>
  <c r="AJ16" i="32"/>
  <c r="AJ14" i="32" s="1"/>
  <c r="AI16" i="32"/>
  <c r="AI14" i="32" s="1"/>
  <c r="AH16" i="32"/>
  <c r="AH14" i="32" s="1"/>
  <c r="AG16" i="32"/>
  <c r="AF16" i="32"/>
  <c r="AE16" i="32"/>
  <c r="AD16" i="32"/>
  <c r="AC16" i="32"/>
  <c r="AB16" i="32"/>
  <c r="AA16" i="32"/>
  <c r="Z16" i="32"/>
  <c r="Y16" i="32"/>
  <c r="X16" i="32"/>
  <c r="W16" i="32"/>
  <c r="V16" i="32"/>
  <c r="U16" i="32"/>
  <c r="T16" i="32"/>
  <c r="S16" i="32"/>
  <c r="R16" i="32"/>
  <c r="Q16" i="32"/>
  <c r="P16" i="32"/>
  <c r="O16" i="32"/>
  <c r="N16" i="32"/>
  <c r="M16" i="32"/>
  <c r="L16" i="32"/>
  <c r="K16" i="32"/>
  <c r="J16" i="32"/>
  <c r="I16" i="32"/>
  <c r="I14" i="32" s="1"/>
  <c r="H16" i="32"/>
  <c r="H14" i="32" s="1"/>
  <c r="AL23" i="41"/>
  <c r="AK23" i="41"/>
  <c r="AJ23" i="41"/>
  <c r="AI23" i="41"/>
  <c r="AH23" i="41"/>
  <c r="AG23" i="41"/>
  <c r="AF23" i="41"/>
  <c r="AE23" i="41"/>
  <c r="AD23" i="41"/>
  <c r="AC23" i="41"/>
  <c r="AB23" i="41"/>
  <c r="AA23" i="41"/>
  <c r="Z23" i="41"/>
  <c r="Y23" i="41"/>
  <c r="X23" i="41"/>
  <c r="W23" i="41"/>
  <c r="V23" i="41"/>
  <c r="U23" i="41"/>
  <c r="T23" i="41"/>
  <c r="S23" i="41"/>
  <c r="R23" i="41"/>
  <c r="Q23" i="41"/>
  <c r="P23" i="41"/>
  <c r="O23" i="41"/>
  <c r="N23" i="41"/>
  <c r="M23" i="41"/>
  <c r="L23" i="41"/>
  <c r="K23" i="41"/>
  <c r="J23" i="41"/>
  <c r="I23" i="41"/>
  <c r="H23" i="41"/>
  <c r="G23" i="41"/>
  <c r="AL22" i="41"/>
  <c r="AK22" i="41"/>
  <c r="AJ22" i="41"/>
  <c r="AI22" i="41"/>
  <c r="AH22" i="41"/>
  <c r="AG22" i="41"/>
  <c r="AF22" i="41"/>
  <c r="AE22" i="41"/>
  <c r="AD22" i="41"/>
  <c r="AC22" i="41"/>
  <c r="AB22" i="41"/>
  <c r="AA22" i="41"/>
  <c r="Z22" i="41"/>
  <c r="Y22" i="41"/>
  <c r="X22" i="41"/>
  <c r="W22" i="41"/>
  <c r="V22" i="41"/>
  <c r="U22" i="41"/>
  <c r="T22" i="41"/>
  <c r="S22" i="41"/>
  <c r="R22" i="41"/>
  <c r="Q22" i="41"/>
  <c r="P22" i="41"/>
  <c r="O22" i="41"/>
  <c r="N22" i="41"/>
  <c r="M22" i="41"/>
  <c r="L22" i="41"/>
  <c r="K22" i="41"/>
  <c r="J22" i="41"/>
  <c r="I22" i="41"/>
  <c r="H22" i="41"/>
  <c r="G22" i="41"/>
  <c r="AL21" i="41"/>
  <c r="AK21" i="41"/>
  <c r="AJ21" i="41"/>
  <c r="AI21" i="41"/>
  <c r="AH21" i="41"/>
  <c r="AG21" i="41"/>
  <c r="AF21" i="41"/>
  <c r="AE21" i="41"/>
  <c r="AD21" i="41"/>
  <c r="AC21" i="41"/>
  <c r="AB21" i="41"/>
  <c r="AA21" i="41"/>
  <c r="Z21" i="41"/>
  <c r="Y21" i="41"/>
  <c r="X21" i="41"/>
  <c r="W21" i="41"/>
  <c r="V21" i="41"/>
  <c r="U21" i="41"/>
  <c r="T21" i="41"/>
  <c r="S21" i="41"/>
  <c r="R21" i="41"/>
  <c r="Q21" i="41"/>
  <c r="P21" i="41"/>
  <c r="O21" i="41"/>
  <c r="N21" i="41"/>
  <c r="M21" i="41"/>
  <c r="L21" i="41"/>
  <c r="K21" i="41"/>
  <c r="J21" i="41"/>
  <c r="I21" i="41"/>
  <c r="H21" i="41"/>
  <c r="G21" i="41"/>
  <c r="G27" i="41"/>
  <c r="G26" i="41"/>
  <c r="AL27" i="41"/>
  <c r="AK27" i="41"/>
  <c r="AJ27" i="41"/>
  <c r="AI27" i="41"/>
  <c r="AH27" i="41"/>
  <c r="AG27" i="41"/>
  <c r="AF27" i="41"/>
  <c r="AE27" i="41"/>
  <c r="AD27" i="41"/>
  <c r="AC27" i="41"/>
  <c r="AB27" i="41"/>
  <c r="AA27" i="41"/>
  <c r="Z27" i="41"/>
  <c r="Y27" i="41"/>
  <c r="X27" i="41"/>
  <c r="W27" i="41"/>
  <c r="V27" i="41"/>
  <c r="U27" i="41"/>
  <c r="T27" i="41"/>
  <c r="S27" i="41"/>
  <c r="R27" i="41"/>
  <c r="Q27" i="41"/>
  <c r="P27" i="41"/>
  <c r="O27" i="41"/>
  <c r="N27" i="41"/>
  <c r="M27" i="41"/>
  <c r="L27" i="41"/>
  <c r="K27" i="41"/>
  <c r="J27" i="41"/>
  <c r="I27" i="41"/>
  <c r="H27" i="41"/>
  <c r="AL26" i="41"/>
  <c r="AK26" i="41"/>
  <c r="AJ26" i="41"/>
  <c r="AI26" i="41"/>
  <c r="AH26" i="41"/>
  <c r="AG26" i="41"/>
  <c r="AF26" i="41"/>
  <c r="AE26" i="41"/>
  <c r="AD26" i="41"/>
  <c r="AC26" i="41"/>
  <c r="AB26" i="41"/>
  <c r="AA26" i="41"/>
  <c r="Z26" i="41"/>
  <c r="Y26" i="41"/>
  <c r="X26" i="41"/>
  <c r="W26" i="41"/>
  <c r="V26" i="41"/>
  <c r="U26" i="41"/>
  <c r="T26" i="41"/>
  <c r="S26" i="41"/>
  <c r="R26" i="41"/>
  <c r="Q26" i="41"/>
  <c r="P26" i="41"/>
  <c r="O26" i="41"/>
  <c r="N26" i="41"/>
  <c r="M26" i="41"/>
  <c r="L26" i="41"/>
  <c r="K26" i="41"/>
  <c r="J26" i="41"/>
  <c r="I26" i="41"/>
  <c r="H26" i="41"/>
  <c r="AL30" i="41"/>
  <c r="AK30" i="41"/>
  <c r="AJ30" i="41"/>
  <c r="AI30" i="41"/>
  <c r="AH30" i="41"/>
  <c r="AG30" i="41"/>
  <c r="AF30" i="41"/>
  <c r="AE30" i="41"/>
  <c r="AD30" i="41"/>
  <c r="AC30" i="41"/>
  <c r="AB30" i="41"/>
  <c r="AA30" i="41"/>
  <c r="Z30" i="41"/>
  <c r="Y30" i="41"/>
  <c r="X30" i="41"/>
  <c r="W30" i="41"/>
  <c r="V30" i="41"/>
  <c r="U30" i="41"/>
  <c r="T30" i="41"/>
  <c r="S30" i="41"/>
  <c r="R30" i="41"/>
  <c r="Q30" i="41"/>
  <c r="P30" i="41"/>
  <c r="O30" i="41"/>
  <c r="N30" i="41"/>
  <c r="M30" i="41"/>
  <c r="L30" i="41"/>
  <c r="K30" i="41"/>
  <c r="J30" i="41"/>
  <c r="I30" i="41"/>
  <c r="H30" i="41"/>
  <c r="G30" i="41"/>
  <c r="AL29" i="41"/>
  <c r="AK29" i="41"/>
  <c r="AJ29" i="41"/>
  <c r="AI29" i="41"/>
  <c r="AH29" i="41"/>
  <c r="AG29" i="41"/>
  <c r="AF29" i="41"/>
  <c r="AE29" i="41"/>
  <c r="AD29" i="41"/>
  <c r="AC29" i="41"/>
  <c r="AB29" i="41"/>
  <c r="AA29" i="41"/>
  <c r="Z29" i="41"/>
  <c r="Y29" i="41"/>
  <c r="X29" i="41"/>
  <c r="W29" i="41"/>
  <c r="V29" i="41"/>
  <c r="U29" i="41"/>
  <c r="T29" i="41"/>
  <c r="S29" i="41"/>
  <c r="R29" i="41"/>
  <c r="Q29" i="41"/>
  <c r="P29" i="41"/>
  <c r="O29" i="41"/>
  <c r="N29" i="41"/>
  <c r="M29" i="41"/>
  <c r="L29" i="41"/>
  <c r="K29" i="41"/>
  <c r="J29" i="41"/>
  <c r="I29" i="41"/>
  <c r="H29" i="41"/>
  <c r="G29" i="41"/>
  <c r="G31" i="41"/>
  <c r="AL31" i="41"/>
  <c r="AK31" i="41"/>
  <c r="AJ31" i="41"/>
  <c r="AI31" i="41"/>
  <c r="AH31" i="41"/>
  <c r="AG31" i="41"/>
  <c r="AF31" i="41"/>
  <c r="AE31" i="41"/>
  <c r="AD31" i="41"/>
  <c r="AC31" i="41"/>
  <c r="AB31" i="41"/>
  <c r="AA31" i="41"/>
  <c r="Z31" i="41"/>
  <c r="Y31" i="41"/>
  <c r="X31" i="41"/>
  <c r="W31" i="41"/>
  <c r="V31" i="41"/>
  <c r="U31" i="41"/>
  <c r="T31" i="41"/>
  <c r="S31" i="41"/>
  <c r="R31" i="41"/>
  <c r="Q31" i="41"/>
  <c r="P31" i="41"/>
  <c r="O31" i="41"/>
  <c r="N31" i="41"/>
  <c r="M31" i="41"/>
  <c r="L31" i="41"/>
  <c r="K31" i="41"/>
  <c r="J31" i="41"/>
  <c r="I31" i="41"/>
  <c r="H31" i="41"/>
  <c r="G40" i="41"/>
  <c r="AL41" i="41"/>
  <c r="AK41" i="41"/>
  <c r="AJ41" i="41"/>
  <c r="AI41" i="41"/>
  <c r="AH41" i="41"/>
  <c r="AG41" i="41"/>
  <c r="AF41" i="41"/>
  <c r="AE41" i="41"/>
  <c r="AD41" i="41"/>
  <c r="AC41" i="41"/>
  <c r="AB41" i="41"/>
  <c r="AA41" i="41"/>
  <c r="Z41" i="41"/>
  <c r="Y41" i="41"/>
  <c r="X41" i="41"/>
  <c r="W41" i="41"/>
  <c r="V41" i="41"/>
  <c r="U41" i="41"/>
  <c r="T41" i="41"/>
  <c r="S41" i="41"/>
  <c r="R41" i="41"/>
  <c r="Q41" i="41"/>
  <c r="P41" i="41"/>
  <c r="O41" i="41"/>
  <c r="N41" i="41"/>
  <c r="M41" i="41"/>
  <c r="L41" i="41"/>
  <c r="K41" i="41"/>
  <c r="J41" i="41"/>
  <c r="I41" i="41"/>
  <c r="H41" i="41"/>
  <c r="G41" i="41"/>
  <c r="AL40" i="41"/>
  <c r="AK40" i="41"/>
  <c r="AJ40" i="41"/>
  <c r="AI40" i="41"/>
  <c r="AH40" i="41"/>
  <c r="AG40" i="41"/>
  <c r="AF40" i="41"/>
  <c r="AE40" i="41"/>
  <c r="AD40" i="41"/>
  <c r="AC40" i="41"/>
  <c r="AB40" i="41"/>
  <c r="AA40" i="41"/>
  <c r="Z40" i="41"/>
  <c r="Y40" i="41"/>
  <c r="X40" i="41"/>
  <c r="W40" i="41"/>
  <c r="V40" i="41"/>
  <c r="U40" i="41"/>
  <c r="T40" i="41"/>
  <c r="S40" i="41"/>
  <c r="R40" i="41"/>
  <c r="Q40" i="41"/>
  <c r="P40" i="41"/>
  <c r="O40" i="41"/>
  <c r="N40" i="41"/>
  <c r="M40" i="41"/>
  <c r="L40" i="41"/>
  <c r="K40" i="41"/>
  <c r="J40" i="41"/>
  <c r="I40" i="41"/>
  <c r="H40" i="41"/>
  <c r="AL39" i="41"/>
  <c r="AK39" i="41"/>
  <c r="AJ39" i="41"/>
  <c r="AI39" i="41"/>
  <c r="AH39" i="41"/>
  <c r="AG39" i="41"/>
  <c r="AE39" i="41"/>
  <c r="AC39" i="41"/>
  <c r="AB39" i="41"/>
  <c r="Z39" i="41"/>
  <c r="Y39" i="41"/>
  <c r="Y38" i="41" s="1"/>
  <c r="X39" i="41"/>
  <c r="W39" i="41"/>
  <c r="U39" i="41"/>
  <c r="S39" i="41"/>
  <c r="R39" i="41"/>
  <c r="R38" i="41" s="1"/>
  <c r="Q39" i="41"/>
  <c r="Q38" i="41" s="1"/>
  <c r="N39" i="41"/>
  <c r="M39" i="41"/>
  <c r="L39" i="41"/>
  <c r="K39" i="41"/>
  <c r="K38" i="41" s="1"/>
  <c r="J39" i="41"/>
  <c r="G39" i="41"/>
  <c r="AL37" i="41"/>
  <c r="AK37" i="41"/>
  <c r="AJ37" i="41"/>
  <c r="AI37" i="41"/>
  <c r="AH37" i="41"/>
  <c r="AG37" i="41"/>
  <c r="AF37" i="41"/>
  <c r="AE37" i="41"/>
  <c r="AD37" i="41"/>
  <c r="AC37" i="41"/>
  <c r="AB37" i="41"/>
  <c r="AA37" i="41"/>
  <c r="Z37" i="41"/>
  <c r="Y37" i="41"/>
  <c r="X37" i="41"/>
  <c r="W37" i="41"/>
  <c r="V37" i="41"/>
  <c r="U37" i="41"/>
  <c r="T37" i="41"/>
  <c r="S37" i="41"/>
  <c r="R37" i="41"/>
  <c r="Q37" i="41"/>
  <c r="P37" i="41"/>
  <c r="O37" i="41"/>
  <c r="N37" i="41"/>
  <c r="M37" i="41"/>
  <c r="L37" i="41"/>
  <c r="K37" i="41"/>
  <c r="J37" i="41"/>
  <c r="I37" i="41"/>
  <c r="H37" i="41"/>
  <c r="G37" i="41"/>
  <c r="G36" i="41"/>
  <c r="AL36" i="41"/>
  <c r="AK36" i="41"/>
  <c r="AJ36" i="41"/>
  <c r="AI36" i="41"/>
  <c r="AH36" i="41"/>
  <c r="AG36" i="41"/>
  <c r="AF36" i="41"/>
  <c r="AE36" i="41"/>
  <c r="AD36" i="41"/>
  <c r="AC36" i="41"/>
  <c r="AB36" i="41"/>
  <c r="AA36" i="41"/>
  <c r="Z36" i="41"/>
  <c r="Y36" i="41"/>
  <c r="X36" i="41"/>
  <c r="W36" i="41"/>
  <c r="U36" i="41"/>
  <c r="T36" i="41"/>
  <c r="S36" i="41"/>
  <c r="R36" i="41"/>
  <c r="Q36" i="41"/>
  <c r="P36" i="41"/>
  <c r="O36" i="41"/>
  <c r="N36" i="41"/>
  <c r="M36" i="41"/>
  <c r="L36" i="41"/>
  <c r="K36" i="41"/>
  <c r="J36" i="41"/>
  <c r="I36" i="41"/>
  <c r="H36" i="41"/>
  <c r="H35" i="41"/>
  <c r="AL35" i="41"/>
  <c r="AK35" i="41"/>
  <c r="AJ35" i="41"/>
  <c r="AI35" i="41"/>
  <c r="AG35" i="41"/>
  <c r="AE35" i="41"/>
  <c r="AB35" i="41"/>
  <c r="Z35" i="41"/>
  <c r="Y35" i="41"/>
  <c r="X35" i="41"/>
  <c r="W35" i="41"/>
  <c r="U35" i="41"/>
  <c r="U34" i="41" s="1"/>
  <c r="T35" i="41"/>
  <c r="S35" i="41"/>
  <c r="R23" i="31" s="1"/>
  <c r="R35" i="41"/>
  <c r="Q35" i="41"/>
  <c r="Q34" i="41" s="1"/>
  <c r="M35" i="41"/>
  <c r="L35" i="41"/>
  <c r="K35" i="41"/>
  <c r="G36" i="32"/>
  <c r="G22" i="32"/>
  <c r="AG33" i="32"/>
  <c r="S33" i="32"/>
  <c r="J22" i="32"/>
  <c r="I22" i="32"/>
  <c r="E17" i="32"/>
  <c r="AL13" i="32"/>
  <c r="AK13" i="32"/>
  <c r="AI13" i="32"/>
  <c r="AH13" i="32"/>
  <c r="AG14" i="32"/>
  <c r="AG13" i="32" s="1"/>
  <c r="AF14" i="32"/>
  <c r="AF13" i="32" s="1"/>
  <c r="AE14" i="32"/>
  <c r="AE13" i="32" s="1"/>
  <c r="AD14" i="32"/>
  <c r="AD13" i="32" s="1"/>
  <c r="AC14" i="32"/>
  <c r="AC13" i="32" s="1"/>
  <c r="AA14" i="32"/>
  <c r="AA13" i="32" s="1"/>
  <c r="Z14" i="32"/>
  <c r="Z13" i="32" s="1"/>
  <c r="Y14" i="32"/>
  <c r="Y13" i="32" s="1"/>
  <c r="X14" i="32"/>
  <c r="X13" i="32" s="1"/>
  <c r="W14" i="32"/>
  <c r="W13" i="32" s="1"/>
  <c r="V14" i="32"/>
  <c r="V13" i="32" s="1"/>
  <c r="U14" i="32"/>
  <c r="U13" i="32" s="1"/>
  <c r="T14" i="32"/>
  <c r="T13" i="32" s="1"/>
  <c r="S14" i="32"/>
  <c r="S13" i="32" s="1"/>
  <c r="R14" i="32"/>
  <c r="R13" i="32" s="1"/>
  <c r="Q14" i="32"/>
  <c r="Q13" i="32" s="1"/>
  <c r="P14" i="32"/>
  <c r="P13" i="32" s="1"/>
  <c r="O14" i="32"/>
  <c r="O13" i="32" s="1"/>
  <c r="N14" i="32"/>
  <c r="N13" i="32" s="1"/>
  <c r="M14" i="32"/>
  <c r="M13" i="32" s="1"/>
  <c r="L14" i="32"/>
  <c r="L13" i="32" s="1"/>
  <c r="K14" i="32"/>
  <c r="K13" i="32" s="1"/>
  <c r="J14" i="32"/>
  <c r="J13" i="32" s="1"/>
  <c r="E18" i="32"/>
  <c r="AB23" i="32"/>
  <c r="AB22" i="32" s="1"/>
  <c r="AB14" i="32"/>
  <c r="AB13" i="32" s="1"/>
  <c r="E15" i="32"/>
  <c r="E25" i="32"/>
  <c r="AJ13" i="32"/>
  <c r="T35" i="32"/>
  <c r="AJ35" i="32"/>
  <c r="AH35" i="32"/>
  <c r="AA19" i="37"/>
  <c r="W19" i="37"/>
  <c r="G20" i="36"/>
  <c r="E20" i="36" s="1"/>
  <c r="H19" i="36"/>
  <c r="G18" i="36"/>
  <c r="E18" i="36" s="1"/>
  <c r="N16" i="36"/>
  <c r="H17" i="36"/>
  <c r="AB19" i="37"/>
  <c r="N19" i="37"/>
  <c r="AI32" i="32"/>
  <c r="AI36" i="32" s="1"/>
  <c r="K16" i="36"/>
  <c r="AK35" i="32"/>
  <c r="F26" i="37"/>
  <c r="G17" i="36"/>
  <c r="E17" i="36" s="1"/>
  <c r="G29" i="34"/>
  <c r="G19" i="37"/>
  <c r="E56" i="41"/>
  <c r="S35" i="32"/>
  <c r="D46" i="43"/>
  <c r="E4" i="36"/>
  <c r="E147" i="30"/>
  <c r="E4" i="37"/>
  <c r="E4" i="32"/>
  <c r="E4" i="41" s="1"/>
  <c r="AH5" i="28"/>
  <c r="D4" i="31"/>
  <c r="E4" i="34"/>
  <c r="E5" i="35" s="1"/>
  <c r="D109" i="43"/>
  <c r="S12" i="35"/>
  <c r="AC12" i="35"/>
  <c r="AC58" i="35" s="1"/>
  <c r="J16" i="35"/>
  <c r="V39" i="35"/>
  <c r="V25" i="35" s="1"/>
  <c r="E26" i="37"/>
  <c r="S904" i="39"/>
  <c r="S892" i="39"/>
  <c r="N22" i="32"/>
  <c r="AL32" i="32"/>
  <c r="AL36" i="32" s="1"/>
  <c r="AJ32" i="32"/>
  <c r="AH32" i="32"/>
  <c r="AF32" i="32"/>
  <c r="T242" i="39"/>
  <c r="J551" i="39"/>
  <c r="J553" i="39" s="1"/>
  <c r="AG696" i="28"/>
  <c r="AK36" i="32"/>
  <c r="N493" i="39"/>
  <c r="N24" i="41"/>
  <c r="AF24" i="41"/>
  <c r="M22" i="32"/>
  <c r="AA35" i="32"/>
  <c r="S576" i="39"/>
  <c r="AD35" i="32"/>
  <c r="AB35" i="32"/>
  <c r="Z35" i="32"/>
  <c r="X35" i="32"/>
  <c r="V35" i="32"/>
  <c r="N39" i="35"/>
  <c r="AE12" i="37"/>
  <c r="T39" i="35"/>
  <c r="T25" i="35" s="1"/>
  <c r="AF13" i="37"/>
  <c r="AE8" i="37"/>
  <c r="L12" i="37"/>
  <c r="L21" i="37" s="1"/>
  <c r="AI9" i="37"/>
  <c r="AC14" i="37"/>
  <c r="X8" i="37"/>
  <c r="AC9" i="37"/>
  <c r="Y39" i="35"/>
  <c r="J101" i="39"/>
  <c r="O9" i="37"/>
  <c r="O11" i="37" s="1"/>
  <c r="AC12" i="37"/>
  <c r="M13" i="37"/>
  <c r="AI14" i="37"/>
  <c r="G13" i="37"/>
  <c r="H12" i="37"/>
  <c r="AG14" i="37"/>
  <c r="AH8" i="37"/>
  <c r="M110" i="39"/>
  <c r="AD22" i="32"/>
  <c r="J109" i="39"/>
  <c r="U13" i="37"/>
  <c r="AH13" i="37"/>
  <c r="G9" i="37"/>
  <c r="G11" i="37" s="1"/>
  <c r="V14" i="37"/>
  <c r="AF16" i="35"/>
  <c r="AD14" i="37"/>
  <c r="N462" i="39"/>
  <c r="U36" i="32"/>
  <c r="AE22" i="32"/>
  <c r="N36" i="32"/>
  <c r="R36" i="32"/>
  <c r="K22" i="32"/>
  <c r="AC22" i="32"/>
  <c r="AD36" i="32"/>
  <c r="P39" i="35"/>
  <c r="L39" i="35"/>
  <c r="AC39" i="35"/>
  <c r="S39" i="35"/>
  <c r="F39" i="35"/>
  <c r="Y24" i="41"/>
  <c r="N9" i="37"/>
  <c r="N11" i="37" s="1"/>
  <c r="I14" i="37"/>
  <c r="W39" i="35"/>
  <c r="AI39" i="35"/>
  <c r="X22" i="32"/>
  <c r="R22" i="32"/>
  <c r="Y36" i="32"/>
  <c r="K9" i="37"/>
  <c r="K11" i="37" s="1"/>
  <c r="H9" i="37"/>
  <c r="M16" i="35"/>
  <c r="Z24" i="41"/>
  <c r="L24" i="41"/>
  <c r="U12" i="37"/>
  <c r="U21" i="37" s="1"/>
  <c r="L9" i="37"/>
  <c r="L11" i="37" s="1"/>
  <c r="AG13" i="37"/>
  <c r="AA12" i="37"/>
  <c r="S12" i="37"/>
  <c r="AA9" i="37"/>
  <c r="AF9" i="37"/>
  <c r="J12" i="37"/>
  <c r="J21" i="37" s="1"/>
  <c r="V12" i="35"/>
  <c r="V58" i="35" s="1"/>
  <c r="O24" i="41"/>
  <c r="M14" i="37"/>
  <c r="AC13" i="37"/>
  <c r="AG12" i="35"/>
  <c r="AG58" i="35" s="1"/>
  <c r="K12" i="35"/>
  <c r="V24" i="41"/>
  <c r="J39" i="35"/>
  <c r="R16" i="35"/>
  <c r="O16" i="35"/>
  <c r="AF12" i="35"/>
  <c r="AF58" i="35" s="1"/>
  <c r="AC16" i="35"/>
  <c r="K20" i="35"/>
  <c r="U16" i="35"/>
  <c r="P16" i="35"/>
  <c r="N16" i="35"/>
  <c r="V22" i="32"/>
  <c r="P22" i="32"/>
  <c r="AH9" i="37"/>
  <c r="Q12" i="37"/>
  <c r="Q21" i="37" s="1"/>
  <c r="L14" i="37"/>
  <c r="U14" i="37"/>
  <c r="AI13" i="37"/>
  <c r="P14" i="37"/>
  <c r="AB12" i="37"/>
  <c r="Y9" i="37"/>
  <c r="Y11" i="37" s="1"/>
  <c r="T12" i="37"/>
  <c r="T21" i="37" s="1"/>
  <c r="G12" i="37"/>
  <c r="G21" i="37" s="1"/>
  <c r="AI12" i="35"/>
  <c r="AI58" i="35" s="1"/>
  <c r="X12" i="35"/>
  <c r="AH16" i="35"/>
  <c r="L16" i="35"/>
  <c r="Q24" i="41"/>
  <c r="R24" i="41"/>
  <c r="AE24" i="41"/>
  <c r="AA22" i="32"/>
  <c r="W12" i="37"/>
  <c r="L22" i="32"/>
  <c r="K24" i="41"/>
  <c r="AB39" i="35"/>
  <c r="AB24" i="41"/>
  <c r="T36" i="32"/>
  <c r="AB36" i="32"/>
  <c r="AE36" i="32"/>
  <c r="AC36" i="32"/>
  <c r="H39" i="35"/>
  <c r="O39" i="35"/>
  <c r="AL24" i="41"/>
  <c r="AB18" i="41"/>
  <c r="X18" i="41"/>
  <c r="AG16" i="35"/>
  <c r="T22" i="32"/>
  <c r="N463" i="39"/>
  <c r="U12" i="35"/>
  <c r="U58" i="35" s="1"/>
  <c r="Q39" i="35"/>
  <c r="L12" i="35"/>
  <c r="L58" i="35" s="1"/>
  <c r="Z22" i="32"/>
  <c r="O36" i="32"/>
  <c r="AF39" i="35"/>
  <c r="J24" i="41"/>
  <c r="K39" i="35"/>
  <c r="Y16" i="35"/>
  <c r="I36" i="32"/>
  <c r="G39" i="35"/>
  <c r="P24" i="41"/>
  <c r="W8" i="37"/>
  <c r="R13" i="37"/>
  <c r="J111" i="39"/>
  <c r="W16" i="35"/>
  <c r="M115" i="39"/>
  <c r="L13" i="37"/>
  <c r="L15" i="37" s="1"/>
  <c r="AB13" i="37"/>
  <c r="O13" i="37"/>
  <c r="N495" i="39"/>
  <c r="Q36" i="32"/>
  <c r="P12" i="35"/>
  <c r="P17" i="31" s="1"/>
  <c r="E17" i="31" s="1"/>
  <c r="V36" i="32"/>
  <c r="N526" i="39"/>
  <c r="AI24" i="41"/>
  <c r="G14" i="37"/>
  <c r="AJ8" i="37"/>
  <c r="J13" i="37"/>
  <c r="T14" i="37"/>
  <c r="T13" i="37"/>
  <c r="P36" i="32"/>
  <c r="M111" i="39"/>
  <c r="S16" i="35"/>
  <c r="H13" i="37"/>
  <c r="AH10" i="37"/>
  <c r="P12" i="37"/>
  <c r="P21" i="37" s="1"/>
  <c r="W12" i="35"/>
  <c r="W58" i="35" s="1"/>
  <c r="AJ12" i="35"/>
  <c r="AJ58" i="35" s="1"/>
  <c r="AJ13" i="37"/>
  <c r="AD13" i="37"/>
  <c r="AF21" i="37"/>
  <c r="AG8" i="37"/>
  <c r="AG21" i="37" s="1"/>
  <c r="W22" i="32"/>
  <c r="AH16" i="37"/>
  <c r="AH19" i="37" s="1"/>
  <c r="V9" i="37"/>
  <c r="AE13" i="37"/>
  <c r="W13" i="37"/>
  <c r="AJ9" i="37"/>
  <c r="N18" i="41"/>
  <c r="G7" i="29"/>
  <c r="W35" i="32"/>
  <c r="F52" i="34"/>
  <c r="Z36" i="32"/>
  <c r="N179" i="39"/>
  <c r="AC1029" i="39"/>
  <c r="X14" i="37"/>
  <c r="T9" i="37"/>
  <c r="T11" i="37" s="1"/>
  <c r="Q14" i="37"/>
  <c r="AJ14" i="37"/>
  <c r="R9" i="37"/>
  <c r="R11" i="37" s="1"/>
  <c r="AK33" i="31"/>
  <c r="AK30" i="31" s="1"/>
  <c r="M23" i="36" s="1"/>
  <c r="H23" i="36" s="1"/>
  <c r="AE14" i="37"/>
  <c r="AB14" i="37"/>
  <c r="D108" i="31"/>
  <c r="L20" i="35"/>
  <c r="AH20" i="35"/>
  <c r="Z20" i="35"/>
  <c r="AA19" i="31" s="1"/>
  <c r="M20" i="35"/>
  <c r="AI20" i="35"/>
  <c r="M19" i="37"/>
  <c r="H11" i="37"/>
  <c r="AC19" i="37"/>
  <c r="U19" i="37"/>
  <c r="E18" i="37"/>
  <c r="J19" i="37"/>
  <c r="F18" i="37"/>
  <c r="H19" i="37"/>
  <c r="B97" i="31"/>
  <c r="AC11" i="37"/>
  <c r="B98" i="31"/>
  <c r="O19" i="37"/>
  <c r="B96" i="31"/>
  <c r="AD9" i="37"/>
  <c r="AD11" i="37" s="1"/>
  <c r="H24" i="41"/>
  <c r="AH14" i="37"/>
  <c r="AH15" i="37" s="1"/>
  <c r="AD12" i="37"/>
  <c r="M9" i="37"/>
  <c r="Q25" i="35"/>
  <c r="AL33" i="31"/>
  <c r="AL30" i="31" s="1"/>
  <c r="N23" i="36" s="1"/>
  <c r="N14" i="37"/>
  <c r="J102" i="39"/>
  <c r="U22" i="32"/>
  <c r="AH39" i="35"/>
  <c r="M114" i="39"/>
  <c r="X9" i="37"/>
  <c r="X11" i="37" s="1"/>
  <c r="N12" i="37"/>
  <c r="H19" i="34"/>
  <c r="J9" i="37"/>
  <c r="J11" i="37" s="1"/>
  <c r="AG9" i="37"/>
  <c r="M12" i="37"/>
  <c r="M21" i="37" s="1"/>
  <c r="V8" i="37"/>
  <c r="AI8" i="37"/>
  <c r="AJ12" i="37"/>
  <c r="I12" i="37"/>
  <c r="I21" i="37" s="1"/>
  <c r="V12" i="37"/>
  <c r="AE10" i="37"/>
  <c r="F10" i="37" s="1"/>
  <c r="X12" i="37"/>
  <c r="X21" i="37" s="1"/>
  <c r="Q9" i="37"/>
  <c r="Q11" i="37" s="1"/>
  <c r="R14" i="37"/>
  <c r="Q13" i="37"/>
  <c r="AF10" i="37"/>
  <c r="L19" i="34"/>
  <c r="L15" i="34" s="1"/>
  <c r="O12" i="37"/>
  <c r="O21" i="37" s="1"/>
  <c r="J14" i="37"/>
  <c r="S9" i="37"/>
  <c r="Y14" i="37"/>
  <c r="N13" i="37"/>
  <c r="AC24" i="41"/>
  <c r="AD24" i="41"/>
  <c r="AJ24" i="41"/>
  <c r="AC18" i="41"/>
  <c r="J36" i="32"/>
  <c r="Z16" i="35"/>
  <c r="AB9" i="37"/>
  <c r="AB11" i="37" s="1"/>
  <c r="AI10" i="37"/>
  <c r="L18" i="41"/>
  <c r="Y12" i="37"/>
  <c r="Y21" i="37" s="1"/>
  <c r="K16" i="35"/>
  <c r="AJ16" i="37"/>
  <c r="AJ19" i="37" s="1"/>
  <c r="AG39" i="35"/>
  <c r="AG25" i="35" s="1"/>
  <c r="W9" i="37"/>
  <c r="AH24" i="41"/>
  <c r="Z12" i="37"/>
  <c r="Z21" i="37" s="1"/>
  <c r="AJ10" i="37"/>
  <c r="M18" i="41"/>
  <c r="AG18" i="41"/>
  <c r="J25" i="35"/>
  <c r="I13" i="37"/>
  <c r="I9" i="37"/>
  <c r="I11" i="37" s="1"/>
  <c r="P13" i="37"/>
  <c r="Q22" i="32"/>
  <c r="AE12" i="35"/>
  <c r="AE58" i="35" s="1"/>
  <c r="Z39" i="35"/>
  <c r="U9" i="37"/>
  <c r="U11" i="37" s="1"/>
  <c r="Q18" i="41"/>
  <c r="H16" i="35"/>
  <c r="H16" i="31" s="1"/>
  <c r="Z14" i="37"/>
  <c r="AA14" i="37"/>
  <c r="O14" i="37"/>
  <c r="AI16" i="37"/>
  <c r="AI19" i="37" s="1"/>
  <c r="K14" i="37"/>
  <c r="AF14" i="37"/>
  <c r="AF15" i="37" s="1"/>
  <c r="S13" i="37"/>
  <c r="AI15" i="37"/>
  <c r="U15" i="37"/>
  <c r="AB21" i="37"/>
  <c r="K25" i="35"/>
  <c r="Y25" i="35"/>
  <c r="K19" i="34"/>
  <c r="K15" i="34" s="1"/>
  <c r="U39" i="35"/>
  <c r="U25" i="35" s="1"/>
  <c r="AK18" i="41"/>
  <c r="G20" i="35"/>
  <c r="G16" i="31" s="1"/>
  <c r="V16" i="35"/>
  <c r="S20" i="35"/>
  <c r="AA24" i="41"/>
  <c r="I39" i="35"/>
  <c r="N465" i="39"/>
  <c r="J110" i="39"/>
  <c r="P110" i="39" s="1"/>
  <c r="AA36" i="32"/>
  <c r="E34" i="32"/>
  <c r="S22" i="32"/>
  <c r="AF33" i="32"/>
  <c r="E33" i="32" s="1"/>
  <c r="W36" i="32"/>
  <c r="L36" i="32"/>
  <c r="K36" i="32"/>
  <c r="E26" i="34"/>
  <c r="X39" i="35"/>
  <c r="M39" i="35"/>
  <c r="M25" i="35" s="1"/>
  <c r="AA13" i="37"/>
  <c r="S14" i="37"/>
  <c r="AK24" i="41"/>
  <c r="F20" i="35"/>
  <c r="F16" i="31" s="1"/>
  <c r="Z9" i="37"/>
  <c r="Z11" i="37" s="1"/>
  <c r="AC20" i="35"/>
  <c r="R12" i="37"/>
  <c r="X24" i="41"/>
  <c r="W14" i="37"/>
  <c r="Z13" i="37"/>
  <c r="Y13" i="37"/>
  <c r="AE16" i="35"/>
  <c r="AG10" i="37"/>
  <c r="AA16" i="35"/>
  <c r="T24" i="41"/>
  <c r="AL18" i="41"/>
  <c r="Z18" i="41"/>
  <c r="AA8" i="37"/>
  <c r="AA11" i="37" s="1"/>
  <c r="AA18" i="41"/>
  <c r="AI16" i="35"/>
  <c r="I18" i="41"/>
  <c r="AJ16" i="35"/>
  <c r="AH12" i="35"/>
  <c r="AH58" i="35" s="1"/>
  <c r="U18" i="41"/>
  <c r="K18" i="41"/>
  <c r="AH11" i="37"/>
  <c r="Y18" i="41"/>
  <c r="W18" i="41"/>
  <c r="AH1008" i="28"/>
  <c r="AG869" i="28"/>
  <c r="AH332" i="44"/>
  <c r="AG332" i="44"/>
  <c r="AH984" i="44"/>
  <c r="AG984" i="44"/>
  <c r="AH1010" i="44"/>
  <c r="AG1010" i="44"/>
  <c r="N25" i="35"/>
  <c r="AE18" i="41"/>
  <c r="V18" i="41"/>
  <c r="F95" i="30"/>
  <c r="J13" i="29" s="1"/>
  <c r="M66" i="39"/>
  <c r="AD18" i="41"/>
  <c r="H18" i="41"/>
  <c r="AB25" i="35"/>
  <c r="L25" i="35"/>
  <c r="AC15" i="37"/>
  <c r="AG15" i="37"/>
  <c r="AE21" i="37"/>
  <c r="F25" i="35"/>
  <c r="AC25" i="35"/>
  <c r="P25" i="35"/>
  <c r="J18" i="41"/>
  <c r="G147" i="30"/>
  <c r="F22" i="34"/>
  <c r="K13" i="37"/>
  <c r="X13" i="37"/>
  <c r="V13" i="37"/>
  <c r="AE9" i="37"/>
  <c r="F26" i="34"/>
  <c r="AE19" i="37"/>
  <c r="Z19" i="37"/>
  <c r="X19" i="37"/>
  <c r="AC21" i="37"/>
  <c r="P19" i="37"/>
  <c r="AD19" i="37"/>
  <c r="AF19" i="37"/>
  <c r="H21" i="37"/>
  <c r="E17" i="35"/>
  <c r="R19" i="37"/>
  <c r="N20" i="35"/>
  <c r="V20" i="35"/>
  <c r="J20" i="35"/>
  <c r="Q20" i="35"/>
  <c r="Q16" i="31" s="1"/>
  <c r="AG20" i="35"/>
  <c r="X20" i="35"/>
  <c r="W20" i="35"/>
  <c r="I19" i="37"/>
  <c r="Q19" i="37"/>
  <c r="J112" i="39"/>
  <c r="P9" i="37"/>
  <c r="H14" i="37"/>
  <c r="AA39" i="35"/>
  <c r="AH18" i="41"/>
  <c r="Y22" i="32"/>
  <c r="R39" i="35"/>
  <c r="R25" i="35" s="1"/>
  <c r="AF22" i="32"/>
  <c r="D105" i="31"/>
  <c r="AH51" i="41"/>
  <c r="T19" i="37"/>
  <c r="AD39" i="35"/>
  <c r="AD25" i="35" s="1"/>
  <c r="AG36" i="32"/>
  <c r="AJ39" i="35"/>
  <c r="AJ25" i="35" s="1"/>
  <c r="M36" i="32"/>
  <c r="O22" i="32"/>
  <c r="AE39" i="35"/>
  <c r="AE25" i="35" s="1"/>
  <c r="D104" i="31"/>
  <c r="E40" i="32"/>
  <c r="D65" i="43"/>
  <c r="D65" i="46"/>
  <c r="AH5" i="44"/>
  <c r="AG5" i="44"/>
  <c r="M24" i="41" l="1"/>
  <c r="U24" i="41"/>
  <c r="W24" i="41"/>
  <c r="F37" i="41"/>
  <c r="F33" i="32"/>
  <c r="F21" i="41"/>
  <c r="F22" i="41"/>
  <c r="F41" i="41"/>
  <c r="F34" i="32"/>
  <c r="F29" i="41"/>
  <c r="F30" i="41"/>
  <c r="F26" i="41"/>
  <c r="F23" i="41"/>
  <c r="F40" i="41"/>
  <c r="F31" i="41"/>
  <c r="F27" i="41"/>
  <c r="I24" i="41"/>
  <c r="V28" i="41"/>
  <c r="U25" i="31" s="1"/>
  <c r="AG28" i="41"/>
  <c r="AF25" i="31" s="1"/>
  <c r="P28" i="41"/>
  <c r="O25" i="31" s="1"/>
  <c r="Q28" i="41"/>
  <c r="P25" i="31" s="1"/>
  <c r="E32" i="32"/>
  <c r="AB38" i="41"/>
  <c r="AJ38" i="41"/>
  <c r="U28" i="41"/>
  <c r="T25" i="31" s="1"/>
  <c r="AC28" i="41"/>
  <c r="AB25" i="31" s="1"/>
  <c r="AE28" i="41"/>
  <c r="AE17" i="41" s="1"/>
  <c r="W34" i="41"/>
  <c r="AD25" i="31"/>
  <c r="V23" i="31"/>
  <c r="Y34" i="41"/>
  <c r="Y33" i="41" s="1"/>
  <c r="Y55" i="41" s="1"/>
  <c r="AG34" i="41"/>
  <c r="U38" i="41"/>
  <c r="U33" i="41" s="1"/>
  <c r="U55" i="41" s="1"/>
  <c r="AG38" i="41"/>
  <c r="AI38" i="41"/>
  <c r="AK38" i="41"/>
  <c r="H13" i="32"/>
  <c r="Z34" i="41"/>
  <c r="AB34" i="41"/>
  <c r="AI34" i="41"/>
  <c r="AK34" i="41"/>
  <c r="AJ23" i="31"/>
  <c r="L23" i="31"/>
  <c r="AD23" i="31"/>
  <c r="Y23" i="31"/>
  <c r="AJ34" i="41"/>
  <c r="AF23" i="31"/>
  <c r="L34" i="41"/>
  <c r="AE34" i="41"/>
  <c r="AJ16" i="31"/>
  <c r="AJ23" i="32"/>
  <c r="AJ22" i="32" s="1"/>
  <c r="R16" i="31"/>
  <c r="L16" i="31"/>
  <c r="W16" i="31"/>
  <c r="T23" i="31"/>
  <c r="AH23" i="32"/>
  <c r="AH22" i="32" s="1"/>
  <c r="X58" i="35"/>
  <c r="S58" i="35"/>
  <c r="AD16" i="31"/>
  <c r="X23" i="31"/>
  <c r="J23" i="31"/>
  <c r="AG23" i="32"/>
  <c r="F23" i="32" s="1"/>
  <c r="T16" i="31"/>
  <c r="AI23" i="32"/>
  <c r="AI22" i="32" s="1"/>
  <c r="E22" i="41"/>
  <c r="E35" i="32"/>
  <c r="D106" i="31"/>
  <c r="AK23" i="32"/>
  <c r="AK22" i="32" s="1"/>
  <c r="H16" i="36"/>
  <c r="E41" i="41"/>
  <c r="G28" i="41"/>
  <c r="S28" i="41"/>
  <c r="R25" i="31" s="1"/>
  <c r="E26" i="41"/>
  <c r="E40" i="41"/>
  <c r="E16" i="32"/>
  <c r="G14" i="32"/>
  <c r="E24" i="32"/>
  <c r="H22" i="32"/>
  <c r="G18" i="41"/>
  <c r="E21" i="41"/>
  <c r="G24" i="41"/>
  <c r="E27" i="41"/>
  <c r="E29" i="41"/>
  <c r="I13" i="32"/>
  <c r="Y16" i="31"/>
  <c r="E37" i="41"/>
  <c r="E31" i="41"/>
  <c r="I28" i="41"/>
  <c r="H25" i="31" s="1"/>
  <c r="AF28" i="41"/>
  <c r="AE25" i="31" s="1"/>
  <c r="K28" i="41"/>
  <c r="J25" i="31" s="1"/>
  <c r="AH16" i="31"/>
  <c r="E30" i="41"/>
  <c r="AD28" i="41"/>
  <c r="AD17" i="41" s="1"/>
  <c r="AD12" i="41" s="1"/>
  <c r="AH28" i="41"/>
  <c r="AG25" i="31" s="1"/>
  <c r="O28" i="41"/>
  <c r="N25" i="31" s="1"/>
  <c r="L28" i="41"/>
  <c r="K25" i="31" s="1"/>
  <c r="X28" i="41"/>
  <c r="W25" i="31" s="1"/>
  <c r="AI16" i="31"/>
  <c r="N16" i="31"/>
  <c r="N28" i="41"/>
  <c r="M25" i="31" s="1"/>
  <c r="H28" i="41"/>
  <c r="G25" i="31" s="1"/>
  <c r="AK28" i="41"/>
  <c r="AJ25" i="31" s="1"/>
  <c r="Y28" i="41"/>
  <c r="X25" i="31" s="1"/>
  <c r="Z28" i="41"/>
  <c r="Y25" i="31" s="1"/>
  <c r="E23" i="41"/>
  <c r="T28" i="41"/>
  <c r="S25" i="31" s="1"/>
  <c r="K16" i="31"/>
  <c r="AL28" i="41"/>
  <c r="AL17" i="41" s="1"/>
  <c r="AL12" i="41" s="1"/>
  <c r="AJ28" i="41"/>
  <c r="AI25" i="31" s="1"/>
  <c r="AA28" i="41"/>
  <c r="Z25" i="31" s="1"/>
  <c r="AI28" i="41"/>
  <c r="R28" i="41"/>
  <c r="Q25" i="31" s="1"/>
  <c r="M28" i="41"/>
  <c r="L25" i="31" s="1"/>
  <c r="W28" i="41"/>
  <c r="AB28" i="41"/>
  <c r="AA25" i="31" s="1"/>
  <c r="M16" i="31"/>
  <c r="J28" i="41"/>
  <c r="I25" i="31" s="1"/>
  <c r="AK23" i="31"/>
  <c r="P23" i="31"/>
  <c r="K23" i="31"/>
  <c r="W23" i="31"/>
  <c r="AK25" i="31"/>
  <c r="AH25" i="31"/>
  <c r="H36" i="32"/>
  <c r="G16" i="36"/>
  <c r="E16" i="36" s="1"/>
  <c r="P58" i="35"/>
  <c r="AL23" i="32"/>
  <c r="AL22" i="32" s="1"/>
  <c r="P18" i="41"/>
  <c r="X34" i="41"/>
  <c r="AH25" i="35"/>
  <c r="AJ20" i="35"/>
  <c r="AK16" i="31" s="1"/>
  <c r="AA20" i="35"/>
  <c r="AB16" i="31" s="1"/>
  <c r="AI25" i="35"/>
  <c r="AF25" i="35"/>
  <c r="M34" i="41"/>
  <c r="AE20" i="35"/>
  <c r="AF16" i="31" s="1"/>
  <c r="G23" i="36"/>
  <c r="E23" i="36" s="1"/>
  <c r="AJ18" i="41"/>
  <c r="AI23" i="31" s="1"/>
  <c r="AE15" i="37"/>
  <c r="Y20" i="35"/>
  <c r="Z16" i="31" s="1"/>
  <c r="AH21" i="37"/>
  <c r="Z38" i="41"/>
  <c r="H25" i="35"/>
  <c r="AD20" i="35"/>
  <c r="AE16" i="31" s="1"/>
  <c r="AE38" i="41"/>
  <c r="G38" i="41"/>
  <c r="X15" i="37"/>
  <c r="W15" i="37"/>
  <c r="W11" i="37"/>
  <c r="T34" i="41"/>
  <c r="T15" i="37"/>
  <c r="G15" i="37"/>
  <c r="O25" i="35"/>
  <c r="K58" i="35"/>
  <c r="J15" i="37"/>
  <c r="I20" i="35"/>
  <c r="I16" i="31" s="1"/>
  <c r="J38" i="41"/>
  <c r="W25" i="35"/>
  <c r="J12" i="35"/>
  <c r="AJ36" i="32"/>
  <c r="O20" i="35"/>
  <c r="O16" i="31" s="1"/>
  <c r="Q15" i="37"/>
  <c r="O18" i="41"/>
  <c r="AH36" i="32"/>
  <c r="X36" i="32"/>
  <c r="V15" i="37"/>
  <c r="X25" i="35"/>
  <c r="W38" i="41"/>
  <c r="I25" i="35"/>
  <c r="Z25" i="35"/>
  <c r="P15" i="37"/>
  <c r="T20" i="35"/>
  <c r="U16" i="31" s="1"/>
  <c r="AB20" i="35"/>
  <c r="AC19" i="31" s="1"/>
  <c r="AC16" i="31" s="1"/>
  <c r="AI18" i="41"/>
  <c r="P111" i="39"/>
  <c r="R34" i="41"/>
  <c r="AH38" i="41"/>
  <c r="AA15" i="37"/>
  <c r="O15" i="37"/>
  <c r="M113" i="39"/>
  <c r="D30" i="31"/>
  <c r="E12" i="37"/>
  <c r="AI21" i="37"/>
  <c r="AD15" i="37"/>
  <c r="R18" i="41"/>
  <c r="AE11" i="37"/>
  <c r="X38" i="41"/>
  <c r="AF11" i="37"/>
  <c r="AJ15" i="37"/>
  <c r="X16" i="31"/>
  <c r="AL38" i="41"/>
  <c r="T18" i="41"/>
  <c r="L38" i="41"/>
  <c r="AA25" i="35"/>
  <c r="AF20" i="35"/>
  <c r="AG16" i="31" s="1"/>
  <c r="AG10" i="31" s="1"/>
  <c r="AJ21" i="37"/>
  <c r="AC38" i="41"/>
  <c r="AG11" i="37"/>
  <c r="Y15" i="37"/>
  <c r="F12" i="37"/>
  <c r="J100" i="39"/>
  <c r="AJ11" i="37"/>
  <c r="S36" i="32"/>
  <c r="H34" i="41"/>
  <c r="G25" i="35"/>
  <c r="W21" i="37"/>
  <c r="Q33" i="41"/>
  <c r="Q55" i="41" s="1"/>
  <c r="AB15" i="37"/>
  <c r="F27" i="34"/>
  <c r="M15" i="37"/>
  <c r="I15" i="37"/>
  <c r="N38" i="41"/>
  <c r="U20" i="35"/>
  <c r="K34" i="41"/>
  <c r="K33" i="41" s="1"/>
  <c r="F13" i="37"/>
  <c r="G4" i="38"/>
  <c r="G4" i="32"/>
  <c r="G4" i="41" s="1"/>
  <c r="G22" i="29"/>
  <c r="G4" i="36"/>
  <c r="B5" i="30"/>
  <c r="F4" i="31"/>
  <c r="G4" i="37"/>
  <c r="G4" i="34"/>
  <c r="F5" i="35" s="1"/>
  <c r="B76" i="30"/>
  <c r="E10" i="37"/>
  <c r="D33" i="31"/>
  <c r="AA21" i="37"/>
  <c r="AD21" i="37"/>
  <c r="S15" i="37"/>
  <c r="AI11" i="37"/>
  <c r="E14" i="37"/>
  <c r="E9" i="37"/>
  <c r="J108" i="39"/>
  <c r="G22" i="34"/>
  <c r="E22" i="34"/>
  <c r="K15" i="37"/>
  <c r="Z15" i="37"/>
  <c r="I19" i="34"/>
  <c r="I15" i="34" s="1"/>
  <c r="F21" i="34"/>
  <c r="F19" i="34" s="1"/>
  <c r="V21" i="37"/>
  <c r="V11" i="37"/>
  <c r="N21" i="37"/>
  <c r="N15" i="37"/>
  <c r="M38" i="41"/>
  <c r="E21" i="34"/>
  <c r="R15" i="37"/>
  <c r="R21" i="37"/>
  <c r="S25" i="35"/>
  <c r="J19" i="34"/>
  <c r="J15" i="34" s="1"/>
  <c r="AF36" i="32"/>
  <c r="G21" i="34"/>
  <c r="F9" i="37"/>
  <c r="E13" i="37"/>
  <c r="AF18" i="41"/>
  <c r="P11" i="37"/>
  <c r="F14" i="37"/>
  <c r="P112" i="39"/>
  <c r="AG24" i="41"/>
  <c r="G27" i="34"/>
  <c r="E27" i="34"/>
  <c r="AL34" i="41"/>
  <c r="E39" i="35"/>
  <c r="P20" i="35"/>
  <c r="P16" i="31" s="1"/>
  <c r="H15" i="34"/>
  <c r="AL26" i="31"/>
  <c r="N21" i="36" s="1"/>
  <c r="N15" i="36" s="1"/>
  <c r="K36" i="34"/>
  <c r="E21" i="35"/>
  <c r="AM51" i="41"/>
  <c r="H15" i="37"/>
  <c r="D35" i="46"/>
  <c r="D35" i="43"/>
  <c r="AB35" i="42" s="1"/>
  <c r="AG33" i="41" l="1"/>
  <c r="AG55" i="41" s="1"/>
  <c r="W17" i="41"/>
  <c r="W12" i="41" s="1"/>
  <c r="AK33" i="41"/>
  <c r="AK55" i="41" s="1"/>
  <c r="F36" i="32"/>
  <c r="P10" i="31"/>
  <c r="G13" i="32"/>
  <c r="F13" i="32" s="1"/>
  <c r="F14" i="32"/>
  <c r="E19" i="31"/>
  <c r="F24" i="41"/>
  <c r="F18" i="41"/>
  <c r="F28" i="41"/>
  <c r="AI33" i="41"/>
  <c r="AI55" i="41" s="1"/>
  <c r="V17" i="41"/>
  <c r="V12" i="41" s="1"/>
  <c r="W33" i="41"/>
  <c r="W55" i="41" s="1"/>
  <c r="U17" i="41"/>
  <c r="U12" i="41" s="1"/>
  <c r="L33" i="41"/>
  <c r="L55" i="41" s="1"/>
  <c r="Q17" i="41"/>
  <c r="Q12" i="41" s="1"/>
  <c r="AC17" i="41"/>
  <c r="AC12" i="41" s="1"/>
  <c r="AJ33" i="41"/>
  <c r="AJ55" i="41" s="1"/>
  <c r="M17" i="41"/>
  <c r="M12" i="41" s="1"/>
  <c r="J17" i="41"/>
  <c r="J12" i="41" s="1"/>
  <c r="Z33" i="41"/>
  <c r="Z55" i="41" s="1"/>
  <c r="E19" i="34"/>
  <c r="AK17" i="41"/>
  <c r="AK12" i="41" s="1"/>
  <c r="D18" i="31"/>
  <c r="M33" i="41"/>
  <c r="M15" i="41" s="1"/>
  <c r="L22" i="31" s="1"/>
  <c r="L10" i="31" s="1"/>
  <c r="AA17" i="41"/>
  <c r="AA12" i="41" s="1"/>
  <c r="Z17" i="41"/>
  <c r="Z12" i="41" s="1"/>
  <c r="N17" i="41"/>
  <c r="N12" i="41" s="1"/>
  <c r="L17" i="41"/>
  <c r="L12" i="41" s="1"/>
  <c r="V25" i="31"/>
  <c r="AH17" i="41"/>
  <c r="AH12" i="41" s="1"/>
  <c r="AE33" i="41"/>
  <c r="AE55" i="41" s="1"/>
  <c r="K17" i="41"/>
  <c r="K12" i="41" s="1"/>
  <c r="I17" i="41"/>
  <c r="I12" i="41" s="1"/>
  <c r="E15" i="34"/>
  <c r="G19" i="34"/>
  <c r="W15" i="41"/>
  <c r="H17" i="41"/>
  <c r="H12" i="41" s="1"/>
  <c r="AC25" i="31"/>
  <c r="AJ17" i="41"/>
  <c r="AJ12" i="41" s="1"/>
  <c r="AB17" i="41"/>
  <c r="AB12" i="41" s="1"/>
  <c r="X17" i="41"/>
  <c r="X12" i="41" s="1"/>
  <c r="Y17" i="41"/>
  <c r="Y12" i="41" s="1"/>
  <c r="E14" i="32"/>
  <c r="E28" i="41"/>
  <c r="F25" i="31"/>
  <c r="G17" i="41"/>
  <c r="E18" i="41"/>
  <c r="V16" i="31"/>
  <c r="E23" i="32"/>
  <c r="E24" i="41"/>
  <c r="AG17" i="41"/>
  <c r="AG12" i="41" s="1"/>
  <c r="AF17" i="41"/>
  <c r="AF12" i="41" s="1"/>
  <c r="T17" i="41"/>
  <c r="T12" i="41" s="1"/>
  <c r="R17" i="41"/>
  <c r="R12" i="41" s="1"/>
  <c r="AI17" i="41"/>
  <c r="AI12" i="41" s="1"/>
  <c r="O17" i="41"/>
  <c r="O12" i="41" s="1"/>
  <c r="P17" i="41"/>
  <c r="P12" i="41" s="1"/>
  <c r="AL33" i="41"/>
  <c r="AL55" i="41" s="1"/>
  <c r="X33" i="41"/>
  <c r="X55" i="41" s="1"/>
  <c r="Y13" i="41"/>
  <c r="Q13" i="41"/>
  <c r="F15" i="37"/>
  <c r="AG22" i="32"/>
  <c r="E22" i="32" s="1"/>
  <c r="D138" i="43"/>
  <c r="J16" i="31"/>
  <c r="J58" i="35"/>
  <c r="E36" i="32"/>
  <c r="E25" i="35"/>
  <c r="E15" i="37"/>
  <c r="K55" i="41"/>
  <c r="K13" i="41"/>
  <c r="AI13" i="41"/>
  <c r="U13" i="41"/>
  <c r="AJ26" i="31"/>
  <c r="K21" i="36" s="1"/>
  <c r="K15" i="36" s="1"/>
  <c r="AE12" i="41"/>
  <c r="L36" i="34"/>
  <c r="J26" i="31"/>
  <c r="F15" i="34"/>
  <c r="G15" i="34"/>
  <c r="AE48" i="42"/>
  <c r="W13" i="41" l="1"/>
  <c r="W11" i="41" s="1"/>
  <c r="W60" i="41" s="1"/>
  <c r="AG13" i="41"/>
  <c r="Y11" i="41"/>
  <c r="Y60" i="41" s="1"/>
  <c r="AK13" i="41"/>
  <c r="AK11" i="41" s="1"/>
  <c r="AK60" i="41" s="1"/>
  <c r="E13" i="32"/>
  <c r="F22" i="32"/>
  <c r="F17" i="41"/>
  <c r="U15" i="41"/>
  <c r="Q11" i="41"/>
  <c r="Q60" i="41" s="1"/>
  <c r="U11" i="41"/>
  <c r="U60" i="41" s="1"/>
  <c r="Q15" i="41"/>
  <c r="L13" i="41"/>
  <c r="L11" i="41" s="1"/>
  <c r="L60" i="41" s="1"/>
  <c r="AJ13" i="41"/>
  <c r="AJ11" i="41" s="1"/>
  <c r="AJ60" i="41" s="1"/>
  <c r="Z15" i="41"/>
  <c r="Z13" i="41"/>
  <c r="Z11" i="41" s="1"/>
  <c r="Z60" i="41" s="1"/>
  <c r="AG15" i="41"/>
  <c r="AK15" i="41"/>
  <c r="AK22" i="31" s="1"/>
  <c r="M13" i="41"/>
  <c r="M11" i="41" s="1"/>
  <c r="M60" i="41" s="1"/>
  <c r="L15" i="41"/>
  <c r="K22" i="31" s="1"/>
  <c r="K10" i="31" s="1"/>
  <c r="K15" i="41"/>
  <c r="J22" i="31" s="1"/>
  <c r="J10" i="31" s="1"/>
  <c r="M55" i="41"/>
  <c r="AG11" i="41"/>
  <c r="AG60" i="41" s="1"/>
  <c r="AI15" i="41"/>
  <c r="AI22" i="31" s="1"/>
  <c r="X15" i="41"/>
  <c r="W22" i="31" s="1"/>
  <c r="W10" i="31" s="1"/>
  <c r="D25" i="31"/>
  <c r="AI11" i="41"/>
  <c r="AL13" i="41"/>
  <c r="AL11" i="41" s="1"/>
  <c r="AL60" i="41" s="1"/>
  <c r="AE15" i="41"/>
  <c r="AE13" i="41"/>
  <c r="AE11" i="41" s="1"/>
  <c r="AE60" i="41" s="1"/>
  <c r="V22" i="31"/>
  <c r="V10" i="31" s="1"/>
  <c r="AJ15" i="41"/>
  <c r="AJ22" i="31" s="1"/>
  <c r="AJ10" i="31" s="1"/>
  <c r="K11" i="41"/>
  <c r="K60" i="41" s="1"/>
  <c r="X13" i="41"/>
  <c r="X11" i="41" s="1"/>
  <c r="X60" i="41" s="1"/>
  <c r="AL15" i="41"/>
  <c r="AL22" i="31" s="1"/>
  <c r="AL10" i="31" s="1"/>
  <c r="Y15" i="41"/>
  <c r="X22" i="31" s="1"/>
  <c r="X10" i="31" s="1"/>
  <c r="G12" i="41"/>
  <c r="E17" i="41"/>
  <c r="H36" i="34"/>
  <c r="AI26" i="31"/>
  <c r="AK26" i="31"/>
  <c r="J36" i="34"/>
  <c r="D27" i="31"/>
  <c r="D26" i="31" s="1"/>
  <c r="D113" i="31" s="1"/>
  <c r="E12" i="41" l="1"/>
  <c r="F12" i="41"/>
  <c r="AK10" i="31"/>
  <c r="AI10" i="31"/>
  <c r="I21" i="36"/>
  <c r="I15" i="36" s="1"/>
  <c r="M21" i="36"/>
  <c r="M15" i="36" l="1"/>
  <c r="H21" i="36"/>
  <c r="H15" i="36" s="1"/>
  <c r="G21" i="36"/>
  <c r="G15" i="36" l="1"/>
  <c r="E15" i="36" s="1"/>
  <c r="E21" i="36"/>
  <c r="AH1763" i="28" l="1"/>
  <c r="AH1761" i="28"/>
  <c r="AH1759" i="28"/>
  <c r="AH1757" i="28"/>
  <c r="AH1755" i="28"/>
  <c r="AH1753" i="28"/>
  <c r="AH1751" i="28"/>
  <c r="AH1749" i="28"/>
  <c r="AH1747" i="28"/>
  <c r="AH1745" i="28"/>
  <c r="AH1743" i="28"/>
  <c r="AH1741" i="28"/>
  <c r="AH1739" i="28"/>
  <c r="AH1736" i="28"/>
  <c r="AH1734" i="28"/>
  <c r="AH1732" i="28"/>
  <c r="AH1727" i="28"/>
  <c r="AH1720" i="28"/>
  <c r="AH1710" i="28"/>
  <c r="AH1701" i="28"/>
  <c r="AH1698" i="28"/>
  <c r="AH1694" i="28"/>
  <c r="AH1692" i="28"/>
  <c r="AH1690" i="28"/>
  <c r="AH1688" i="28"/>
  <c r="AH1686" i="28"/>
  <c r="AH1684" i="28"/>
  <c r="AH1682" i="28"/>
  <c r="AH1680" i="28"/>
  <c r="AH1678" i="28"/>
  <c r="AH1676" i="28"/>
  <c r="AH1673" i="28"/>
  <c r="AH1671" i="28"/>
  <c r="AH1668" i="28"/>
  <c r="AH1666" i="28"/>
  <c r="AH1664" i="28"/>
  <c r="AH1662" i="28"/>
  <c r="AH1658" i="28"/>
  <c r="AH1656" i="28"/>
  <c r="AH1654" i="28"/>
  <c r="AH1650" i="28"/>
  <c r="AH1648" i="28"/>
  <c r="AH1646" i="28"/>
  <c r="AH1643" i="28"/>
  <c r="AH1641" i="28"/>
  <c r="AH1638" i="28"/>
  <c r="AH1628" i="28"/>
  <c r="AH1626" i="28"/>
  <c r="AH1620" i="28"/>
  <c r="AH1617" i="28"/>
  <c r="AH1615" i="28"/>
  <c r="AH1613" i="28"/>
  <c r="AH1611" i="28"/>
  <c r="AH1609" i="28"/>
  <c r="AH1607" i="28"/>
  <c r="AH1605" i="28"/>
  <c r="AH1603" i="28"/>
  <c r="AH1601" i="28"/>
  <c r="AH1599" i="28"/>
  <c r="AH1597" i="28"/>
  <c r="AH1595" i="28"/>
  <c r="AH1593" i="28"/>
  <c r="AH1590" i="28"/>
  <c r="AH1588" i="28"/>
  <c r="E197" i="30" s="1"/>
  <c r="AH1586" i="28"/>
  <c r="AH1584" i="28"/>
  <c r="AH1582" i="28"/>
  <c r="AH1580" i="28"/>
  <c r="AH1578" i="28"/>
  <c r="AH1576" i="28"/>
  <c r="AH1574" i="28"/>
  <c r="AH1572" i="28"/>
  <c r="AH1570" i="28"/>
  <c r="AH1568" i="28"/>
  <c r="AH1566" i="28"/>
  <c r="AH1564" i="28"/>
  <c r="AH1562" i="28"/>
  <c r="AH1559" i="28"/>
  <c r="AH1557" i="28"/>
  <c r="AH1555" i="28"/>
  <c r="AH1553" i="28"/>
  <c r="AH1551" i="28"/>
  <c r="AH1549" i="28"/>
  <c r="AH1547" i="28"/>
  <c r="AH1545" i="28"/>
  <c r="AH1543" i="28"/>
  <c r="AH1540" i="28"/>
  <c r="AH1538" i="28"/>
  <c r="AH1536" i="28"/>
  <c r="AH1534" i="28"/>
  <c r="AH1532" i="28"/>
  <c r="AH1530" i="28"/>
  <c r="AH1528" i="28"/>
  <c r="AH1526" i="28"/>
  <c r="AH1524" i="28"/>
  <c r="AH1521" i="28"/>
  <c r="AH1518" i="28"/>
  <c r="AH1516" i="28"/>
  <c r="AH1514" i="28"/>
  <c r="AH1512" i="28"/>
  <c r="AH1510" i="28"/>
  <c r="AH1508" i="28"/>
  <c r="AH1506" i="28"/>
  <c r="AH1503" i="28"/>
  <c r="AH1501" i="28"/>
  <c r="AH1499" i="28"/>
  <c r="AH1497" i="28"/>
  <c r="AH1495" i="28"/>
  <c r="AH1493" i="28"/>
  <c r="AH1491" i="28"/>
  <c r="AH1489" i="28"/>
  <c r="AH1487" i="28"/>
  <c r="AH1485" i="28"/>
  <c r="AH1483" i="28"/>
  <c r="AH1481" i="28"/>
  <c r="AH1479" i="28"/>
  <c r="AH1476" i="28"/>
  <c r="AH1472" i="28"/>
  <c r="AH1470" i="28"/>
  <c r="AH1468" i="28"/>
  <c r="AH1466" i="28"/>
  <c r="AH1464" i="28"/>
  <c r="AH1462" i="28"/>
  <c r="AH1460" i="28"/>
  <c r="AH1458" i="28"/>
  <c r="AH1456" i="28"/>
  <c r="AH1453" i="28"/>
  <c r="AH1451" i="28"/>
  <c r="AH1449" i="28"/>
  <c r="AH1446" i="28"/>
  <c r="AH1443" i="28"/>
  <c r="AH1438" i="28"/>
  <c r="AH1436" i="28"/>
  <c r="AH1434" i="28"/>
  <c r="AH1432" i="28"/>
  <c r="AH1430" i="28"/>
  <c r="AH1428" i="28"/>
  <c r="AH1426" i="28"/>
  <c r="AH1423" i="28"/>
  <c r="AH1421" i="28"/>
  <c r="AH1419" i="28"/>
  <c r="AH1417" i="28"/>
  <c r="AH1415" i="28"/>
  <c r="AH1413" i="28"/>
  <c r="AH1411" i="28"/>
  <c r="AH1409" i="28"/>
  <c r="AH1407" i="28"/>
  <c r="F173" i="30" s="1"/>
  <c r="E37" i="29" s="1"/>
  <c r="AH1405" i="28"/>
  <c r="AH1401" i="28"/>
  <c r="AH1399" i="28"/>
  <c r="AH1397" i="28"/>
  <c r="AH1395" i="28"/>
  <c r="AH1388" i="28"/>
  <c r="F158" i="30" s="1"/>
  <c r="E32" i="29" s="1"/>
  <c r="AH1385" i="28"/>
  <c r="AH1378" i="28"/>
  <c r="AH1376" i="28"/>
  <c r="AH1373" i="28"/>
  <c r="AH1370" i="28"/>
  <c r="AH1367" i="28"/>
  <c r="AH1363" i="28"/>
  <c r="AH1361" i="28"/>
  <c r="AH1359" i="28"/>
  <c r="AH1357" i="28"/>
  <c r="AH1355" i="28"/>
  <c r="AH1353" i="28"/>
  <c r="AH1351" i="28"/>
  <c r="AH1349" i="28"/>
  <c r="AH1347" i="28"/>
  <c r="AH1345" i="28"/>
  <c r="AH1343" i="28"/>
  <c r="AH1341" i="28"/>
  <c r="AH1339" i="28"/>
  <c r="AH1337" i="28"/>
  <c r="AH1335" i="28"/>
  <c r="AH1333" i="28"/>
  <c r="AH1330" i="28"/>
  <c r="AH1328" i="28"/>
  <c r="AH1326" i="28"/>
  <c r="AH1323" i="28"/>
  <c r="I11" i="39" s="1"/>
  <c r="AH1320" i="28"/>
  <c r="I6" i="39" s="1"/>
  <c r="AH1318" i="28"/>
  <c r="AH1316" i="28"/>
  <c r="AH1314" i="28"/>
  <c r="AH1311" i="28"/>
  <c r="AH1308" i="28"/>
  <c r="AH1306" i="28"/>
  <c r="AH1304" i="28"/>
  <c r="AH1302" i="28"/>
  <c r="AH1300" i="28"/>
  <c r="AH1298" i="28"/>
  <c r="AH1296" i="28"/>
  <c r="AH1294" i="28"/>
  <c r="AH1292" i="28"/>
  <c r="AH1290" i="28"/>
  <c r="AH1288" i="28"/>
  <c r="AH1286" i="28"/>
  <c r="AH1284" i="28"/>
  <c r="AH1282" i="28"/>
  <c r="AH1280" i="28"/>
  <c r="AH1278" i="28"/>
  <c r="AH1276" i="28"/>
  <c r="AH1274" i="28"/>
  <c r="AH1272" i="28"/>
  <c r="AH1270" i="28"/>
  <c r="W648" i="39" s="1"/>
  <c r="AH1268" i="28"/>
  <c r="AH1266" i="28"/>
  <c r="AH1264" i="28"/>
  <c r="AH1262" i="28"/>
  <c r="AH1260" i="28"/>
  <c r="AH1258" i="28"/>
  <c r="AH1255" i="28"/>
  <c r="AH1253" i="28"/>
  <c r="AH1251" i="28"/>
  <c r="AH1249" i="28"/>
  <c r="AH1247" i="28"/>
  <c r="AH1243" i="28"/>
  <c r="AH1238" i="28"/>
  <c r="AH1236" i="28"/>
  <c r="AH1234" i="28"/>
  <c r="AH1227" i="28"/>
  <c r="AH1224" i="28"/>
  <c r="AH1222" i="28"/>
  <c r="AH1220" i="28"/>
  <c r="AH1218" i="28"/>
  <c r="AH1216" i="28"/>
  <c r="AH1214" i="28"/>
  <c r="AH1212" i="28"/>
  <c r="AH1210" i="28"/>
  <c r="AH1207" i="28"/>
  <c r="AH1205" i="28"/>
  <c r="AH1203" i="28"/>
  <c r="AH1201" i="28"/>
  <c r="AH1199" i="28"/>
  <c r="AH1197" i="28"/>
  <c r="AH1195" i="28"/>
  <c r="AH1193" i="28"/>
  <c r="AH1191" i="28"/>
  <c r="AH1178" i="28"/>
  <c r="AH1176" i="28"/>
  <c r="AH1174" i="28"/>
  <c r="AH1172" i="28"/>
  <c r="AH1170" i="28"/>
  <c r="AH1168" i="28"/>
  <c r="AH1166" i="28"/>
  <c r="AH1163" i="28"/>
  <c r="AH1161" i="28"/>
  <c r="AH1159" i="28"/>
  <c r="AH1157" i="28"/>
  <c r="AH1155" i="28"/>
  <c r="AH1153" i="28"/>
  <c r="AH1151" i="28"/>
  <c r="AH1149" i="28"/>
  <c r="AH1147" i="28"/>
  <c r="AH1145" i="28"/>
  <c r="AH1143" i="28"/>
  <c r="AH1141" i="28"/>
  <c r="AH1139" i="28"/>
  <c r="AH1137" i="28"/>
  <c r="AH1136" i="28"/>
  <c r="AH1133" i="28"/>
  <c r="AH1131" i="28"/>
  <c r="AH1128" i="28"/>
  <c r="AH1126" i="28"/>
  <c r="AH1124" i="28"/>
  <c r="AH1121" i="28"/>
  <c r="AH1119" i="28"/>
  <c r="AH1116" i="28"/>
  <c r="AH1114" i="28"/>
  <c r="AH1112" i="28"/>
  <c r="AH1110" i="28"/>
  <c r="AH1108" i="28"/>
  <c r="AH1104" i="28"/>
  <c r="AH1102" i="28"/>
  <c r="AH1100" i="28"/>
  <c r="AH1098" i="28"/>
  <c r="AH1096" i="28"/>
  <c r="AH1094" i="28"/>
  <c r="AH1092" i="28"/>
  <c r="AH1090" i="28"/>
  <c r="AH1088" i="28"/>
  <c r="AH1086" i="28"/>
  <c r="AH1084" i="28"/>
  <c r="AH1082" i="28"/>
  <c r="AH1080" i="28"/>
  <c r="AH1078" i="28"/>
  <c r="AH1076" i="28"/>
  <c r="AH1074" i="28"/>
  <c r="AH1072" i="28"/>
  <c r="AH1070" i="28"/>
  <c r="AH1067" i="28"/>
  <c r="AH1062" i="28"/>
  <c r="AH1059" i="28"/>
  <c r="AH1057" i="28"/>
  <c r="AH1054" i="28"/>
  <c r="AH1052" i="28"/>
  <c r="S147" i="39" s="1"/>
  <c r="AH1049" i="28"/>
  <c r="AG1043" i="28"/>
  <c r="AH1043" i="28" s="1"/>
  <c r="AG1041" i="28"/>
  <c r="AH1041" i="28" s="1"/>
  <c r="AH1038" i="28"/>
  <c r="AH1036" i="28"/>
  <c r="E131" i="30" s="1"/>
  <c r="AH1034" i="28"/>
  <c r="AG1032" i="28"/>
  <c r="AH1029" i="28"/>
  <c r="AH1026" i="28"/>
  <c r="AH1017" i="28"/>
  <c r="AH1015" i="28"/>
  <c r="AH1013" i="28"/>
  <c r="AH1010" i="28"/>
  <c r="AH1006" i="28"/>
  <c r="AG1004" i="28"/>
  <c r="AH1002" i="28"/>
  <c r="AH1000" i="28"/>
  <c r="AH995" i="28"/>
  <c r="AH993" i="28"/>
  <c r="AH991" i="28"/>
  <c r="AH989" i="28"/>
  <c r="AH986" i="28"/>
  <c r="AH980" i="28"/>
  <c r="AH978" i="28"/>
  <c r="AH976" i="28"/>
  <c r="AG974" i="28"/>
  <c r="AG972" i="28"/>
  <c r="AH970" i="28"/>
  <c r="AH967" i="28"/>
  <c r="AG538" i="28"/>
  <c r="AH963" i="28"/>
  <c r="AH961" i="28"/>
  <c r="AH959" i="28"/>
  <c r="AH957" i="28"/>
  <c r="AH955" i="28"/>
  <c r="AH953" i="28"/>
  <c r="AH951" i="28"/>
  <c r="AH949" i="28"/>
  <c r="AH947" i="28"/>
  <c r="AH945" i="28"/>
  <c r="AH933" i="28"/>
  <c r="AH920" i="28"/>
  <c r="AH918" i="28"/>
  <c r="AH916" i="28"/>
  <c r="AH914" i="28"/>
  <c r="AH910" i="28"/>
  <c r="AH908" i="28"/>
  <c r="AH906" i="28"/>
  <c r="AH903" i="28"/>
  <c r="AH899" i="28"/>
  <c r="AH897" i="28"/>
  <c r="AH894" i="28"/>
  <c r="AH892" i="28"/>
  <c r="AH890" i="28"/>
  <c r="AH888" i="28"/>
  <c r="AH880" i="28"/>
  <c r="AH877" i="28"/>
  <c r="AH875" i="28"/>
  <c r="AH873" i="28"/>
  <c r="AH871" i="28"/>
  <c r="AH869" i="28"/>
  <c r="AG867" i="28"/>
  <c r="AH867" i="28" s="1"/>
  <c r="AH863" i="28"/>
  <c r="AH861" i="28"/>
  <c r="AH859" i="28"/>
  <c r="AH854" i="28"/>
  <c r="AH851" i="28"/>
  <c r="AH847" i="28"/>
  <c r="AH844" i="28"/>
  <c r="AH842" i="28"/>
  <c r="AH838" i="28"/>
  <c r="AH836" i="28"/>
  <c r="E118" i="30" s="1"/>
  <c r="AH834" i="28"/>
  <c r="AH832" i="28"/>
  <c r="AH830" i="28"/>
  <c r="AH826" i="28"/>
  <c r="AH823" i="28"/>
  <c r="AH817" i="28"/>
  <c r="AH813" i="28"/>
  <c r="AH811" i="28"/>
  <c r="AH809" i="28"/>
  <c r="AH807" i="28"/>
  <c r="E113" i="30" s="1"/>
  <c r="AH805" i="28"/>
  <c r="AH803" i="28"/>
  <c r="AH801" i="28"/>
  <c r="AH797" i="28"/>
  <c r="AH795" i="28"/>
  <c r="AH793" i="28"/>
  <c r="AH791" i="28"/>
  <c r="AH789" i="28"/>
  <c r="AH787" i="28"/>
  <c r="AH785" i="28"/>
  <c r="AH783" i="28"/>
  <c r="AH781" i="28"/>
  <c r="AH779" i="28"/>
  <c r="AH777" i="28"/>
  <c r="AH775" i="28"/>
  <c r="AH773" i="28"/>
  <c r="AH770" i="28"/>
  <c r="AH766" i="28"/>
  <c r="AH757" i="28"/>
  <c r="AH755" i="28"/>
  <c r="AH753" i="28"/>
  <c r="AH750" i="28"/>
  <c r="AH746" i="28"/>
  <c r="AH742" i="28"/>
  <c r="AH740" i="28"/>
  <c r="AH738" i="28"/>
  <c r="AH745" i="28"/>
  <c r="AH728" i="28"/>
  <c r="AH726" i="28"/>
  <c r="AH724" i="28"/>
  <c r="AH722" i="28"/>
  <c r="AH720" i="28"/>
  <c r="AH718" i="28"/>
  <c r="AH716" i="28"/>
  <c r="AH714" i="28"/>
  <c r="AH709" i="28"/>
  <c r="AH707" i="28"/>
  <c r="AH705" i="28"/>
  <c r="AH703" i="28"/>
  <c r="AH699" i="28"/>
  <c r="AH697" i="28"/>
  <c r="AH678" i="28"/>
  <c r="AH675" i="28"/>
  <c r="AH672" i="28"/>
  <c r="AH670" i="28"/>
  <c r="AH668" i="28"/>
  <c r="AH666" i="28"/>
  <c r="AH664" i="28"/>
  <c r="AH662" i="28"/>
  <c r="AH660" i="28"/>
  <c r="AH658" i="28"/>
  <c r="AH652" i="28"/>
  <c r="AH649" i="28"/>
  <c r="AH647" i="28"/>
  <c r="AH645" i="28"/>
  <c r="AH641" i="28"/>
  <c r="AH637" i="28"/>
  <c r="AG635" i="28"/>
  <c r="AG630" i="28"/>
  <c r="AH628" i="28"/>
  <c r="N476" i="39" s="1"/>
  <c r="I18" i="39" s="1"/>
  <c r="AH622" i="28"/>
  <c r="AH620" i="28"/>
  <c r="AH617" i="28"/>
  <c r="AH615" i="28"/>
  <c r="AH613" i="28"/>
  <c r="AH611" i="28"/>
  <c r="AH609" i="28"/>
  <c r="AH607" i="28"/>
  <c r="AH605" i="28"/>
  <c r="AH603" i="28"/>
  <c r="AH601" i="28"/>
  <c r="AH599" i="28"/>
  <c r="AH597" i="28"/>
  <c r="AH595" i="28"/>
  <c r="AH593" i="28"/>
  <c r="AH591" i="28"/>
  <c r="AH589" i="28"/>
  <c r="AH587" i="28"/>
  <c r="AH585" i="28"/>
  <c r="AH583" i="28"/>
  <c r="AH581" i="28"/>
  <c r="AH579" i="28"/>
  <c r="AH571" i="28"/>
  <c r="AH569" i="28"/>
  <c r="AH567" i="28"/>
  <c r="AH565" i="28"/>
  <c r="AH562" i="28"/>
  <c r="AH560" i="28"/>
  <c r="AH556" i="28"/>
  <c r="AH554" i="28"/>
  <c r="AH552" i="28"/>
  <c r="AH548" i="28"/>
  <c r="AH546" i="28"/>
  <c r="AH544" i="28"/>
  <c r="AH542" i="28"/>
  <c r="AH540" i="28"/>
  <c r="AG965" i="28"/>
  <c r="AH965" i="28" s="1"/>
  <c r="AH536" i="28"/>
  <c r="AH534" i="28"/>
  <c r="AH532" i="28"/>
  <c r="AH530" i="28"/>
  <c r="AH528" i="28"/>
  <c r="AH526" i="28"/>
  <c r="S634" i="39" s="1"/>
  <c r="AH524" i="28"/>
  <c r="AH522" i="28"/>
  <c r="AH520" i="28"/>
  <c r="AH518" i="28"/>
  <c r="AH516" i="28"/>
  <c r="S631" i="39" s="1"/>
  <c r="AH514" i="28"/>
  <c r="AH512" i="28"/>
  <c r="AG510" i="28"/>
  <c r="AH508" i="28"/>
  <c r="AH506" i="28"/>
  <c r="AH504" i="28"/>
  <c r="AH502" i="28"/>
  <c r="AH500" i="28"/>
  <c r="AH498" i="28"/>
  <c r="AH496" i="28"/>
  <c r="AH494" i="28"/>
  <c r="S628" i="39" s="1"/>
  <c r="AH492" i="28"/>
  <c r="S619" i="39" s="1"/>
  <c r="AH490" i="28"/>
  <c r="AH488" i="28"/>
  <c r="AH486" i="28"/>
  <c r="AH484" i="28"/>
  <c r="AH481" i="28"/>
  <c r="AH479" i="28"/>
  <c r="AH477" i="28"/>
  <c r="AH475" i="28"/>
  <c r="AH473" i="28"/>
  <c r="AH464" i="28"/>
  <c r="AH462" i="28"/>
  <c r="S605" i="39" s="1"/>
  <c r="AH459" i="28"/>
  <c r="AH453" i="28"/>
  <c r="AH451" i="28"/>
  <c r="AH449" i="28"/>
  <c r="AH447" i="28"/>
  <c r="AH445" i="28"/>
  <c r="AH437" i="28"/>
  <c r="AH435" i="28"/>
  <c r="AH433" i="28"/>
  <c r="AH431" i="28"/>
  <c r="AG428" i="28"/>
  <c r="AH426" i="28"/>
  <c r="AH424" i="28"/>
  <c r="AH422" i="28"/>
  <c r="AH420" i="28"/>
  <c r="AH418" i="28"/>
  <c r="AH416" i="28"/>
  <c r="AH414" i="28"/>
  <c r="AH410" i="28"/>
  <c r="AH407" i="28"/>
  <c r="AH404" i="28"/>
  <c r="AH398" i="28"/>
  <c r="AH393" i="28"/>
  <c r="AH389" i="28"/>
  <c r="AH386" i="28"/>
  <c r="N456" i="39" s="1"/>
  <c r="AH384" i="28"/>
  <c r="AH382" i="28"/>
  <c r="AH380" i="28"/>
  <c r="AH375" i="28"/>
  <c r="AH373" i="28"/>
  <c r="AH370" i="28"/>
  <c r="AH368" i="28"/>
  <c r="AH366" i="28"/>
  <c r="N515" i="39" s="1"/>
  <c r="AH364" i="28"/>
  <c r="AH362" i="28"/>
  <c r="AH360" i="28"/>
  <c r="AH358" i="28"/>
  <c r="AH356" i="28"/>
  <c r="AH352" i="28"/>
  <c r="AH350" i="28"/>
  <c r="AH346" i="28"/>
  <c r="AH344" i="28"/>
  <c r="AH342" i="28"/>
  <c r="AH340" i="28"/>
  <c r="AH337" i="28"/>
  <c r="AH335" i="28"/>
  <c r="AH331" i="28"/>
  <c r="AH329" i="28"/>
  <c r="AH327" i="28"/>
  <c r="AH323" i="28"/>
  <c r="AH320" i="28"/>
  <c r="AH318" i="28"/>
  <c r="AH316" i="28"/>
  <c r="AH313" i="28"/>
  <c r="AH311" i="28"/>
  <c r="AH309" i="28"/>
  <c r="AH307" i="28"/>
  <c r="AH305" i="28"/>
  <c r="AH303" i="28"/>
  <c r="AH301" i="28"/>
  <c r="AH299" i="28"/>
  <c r="AH297" i="28"/>
  <c r="AH295" i="28"/>
  <c r="AH292" i="28"/>
  <c r="AH290" i="28"/>
  <c r="AH288" i="28"/>
  <c r="AH284" i="28"/>
  <c r="AH282" i="28"/>
  <c r="AH280" i="28"/>
  <c r="AH278" i="28"/>
  <c r="AH276" i="28"/>
  <c r="F50" i="30" s="1"/>
  <c r="AH274" i="28"/>
  <c r="AH271" i="28"/>
  <c r="AH269" i="28"/>
  <c r="AH267" i="28"/>
  <c r="AH265" i="28"/>
  <c r="AH263" i="28"/>
  <c r="AH260" i="28"/>
  <c r="AH258" i="28"/>
  <c r="AH243" i="28"/>
  <c r="AH235" i="28"/>
  <c r="AH233" i="28"/>
  <c r="AH229" i="28"/>
  <c r="AK229" i="28" s="1"/>
  <c r="AH225" i="28"/>
  <c r="AH222" i="28"/>
  <c r="AH218" i="28"/>
  <c r="AK218" i="28" s="1"/>
  <c r="AH215" i="28"/>
  <c r="AH210" i="28"/>
  <c r="AH190" i="28"/>
  <c r="AH177" i="28"/>
  <c r="AH174" i="28"/>
  <c r="AH167" i="28"/>
  <c r="AH164" i="28"/>
  <c r="AH162" i="28"/>
  <c r="AH151" i="28"/>
  <c r="AH149" i="28"/>
  <c r="AH147" i="28"/>
  <c r="AH145" i="28"/>
  <c r="AH143" i="28"/>
  <c r="AH141" i="28"/>
  <c r="AH139" i="28"/>
  <c r="AH137" i="28"/>
  <c r="AH135" i="28"/>
  <c r="AH133" i="28"/>
  <c r="AH131" i="28"/>
  <c r="AH129" i="28"/>
  <c r="AH127" i="28"/>
  <c r="N446" i="39" s="1"/>
  <c r="AH125" i="28"/>
  <c r="AH123" i="28"/>
  <c r="AH121" i="28"/>
  <c r="AH119" i="28"/>
  <c r="AH117" i="28"/>
  <c r="AH115" i="28"/>
  <c r="AH111" i="28"/>
  <c r="AH109" i="28"/>
  <c r="AH107" i="28"/>
  <c r="F32" i="30" s="1"/>
  <c r="P56" i="39" s="1"/>
  <c r="AH105" i="28"/>
  <c r="AH103" i="28"/>
  <c r="AH101" i="28"/>
  <c r="AH99" i="28"/>
  <c r="AH97" i="28"/>
  <c r="AH95" i="28"/>
  <c r="AH93" i="28"/>
  <c r="AH91" i="28"/>
  <c r="AH86" i="28"/>
  <c r="AH78" i="28"/>
  <c r="AH76" i="28"/>
  <c r="AH74" i="28"/>
  <c r="AH72" i="28"/>
  <c r="AH68" i="28"/>
  <c r="AH66" i="28"/>
  <c r="AH64" i="28"/>
  <c r="AH62" i="28"/>
  <c r="Q589" i="39" s="1"/>
  <c r="AH60" i="28"/>
  <c r="AH53" i="28"/>
  <c r="AH50" i="28"/>
  <c r="AH47" i="28"/>
  <c r="AH45" i="28"/>
  <c r="AH43" i="28"/>
  <c r="AH40" i="28"/>
  <c r="AH38" i="28"/>
  <c r="AH35" i="28"/>
  <c r="AH33" i="28"/>
  <c r="AH31" i="28"/>
  <c r="Q587" i="39" s="1"/>
  <c r="AH28" i="28"/>
  <c r="AH25" i="28"/>
  <c r="AH23" i="28"/>
  <c r="AH21" i="28"/>
  <c r="AH19" i="28"/>
  <c r="AH17" i="28"/>
  <c r="AH15" i="28"/>
  <c r="AH13" i="28"/>
  <c r="Q585" i="39" s="1"/>
  <c r="AH11" i="28"/>
  <c r="AH9" i="28"/>
  <c r="AH1764" i="28"/>
  <c r="AH1762" i="28"/>
  <c r="AH1760" i="28"/>
  <c r="AH1758" i="28"/>
  <c r="AH1756" i="28"/>
  <c r="AH1754" i="28"/>
  <c r="AH1752" i="28"/>
  <c r="AH1750" i="28"/>
  <c r="AH1748" i="28"/>
  <c r="AH1746" i="28"/>
  <c r="AH1744" i="28"/>
  <c r="AH1742" i="28"/>
  <c r="AH1740" i="28"/>
  <c r="AH1738" i="28"/>
  <c r="AH1735" i="28"/>
  <c r="AH1733" i="28"/>
  <c r="AH1730" i="28"/>
  <c r="AH1723" i="28"/>
  <c r="AH1712" i="28"/>
  <c r="AH1702" i="28"/>
  <c r="AH1699" i="28"/>
  <c r="AH1696" i="28"/>
  <c r="AH1693" i="28"/>
  <c r="AH1691" i="28"/>
  <c r="AH1689" i="28"/>
  <c r="AH1687" i="28"/>
  <c r="AH1685" i="28"/>
  <c r="AH1683" i="28"/>
  <c r="AH1681" i="28"/>
  <c r="AH1679" i="28"/>
  <c r="AH1677" i="28"/>
  <c r="AH1674" i="28"/>
  <c r="AH1672" i="28"/>
  <c r="AH1669" i="28"/>
  <c r="AH1667" i="28"/>
  <c r="AH1665" i="28"/>
  <c r="AH1663" i="28"/>
  <c r="AH1659" i="28"/>
  <c r="AH1657" i="28"/>
  <c r="AH1655" i="28"/>
  <c r="AH1653" i="28"/>
  <c r="AH1649" i="28"/>
  <c r="AH1647" i="28"/>
  <c r="AH1645" i="28"/>
  <c r="AH1642" i="28"/>
  <c r="AH1640" i="28"/>
  <c r="AH1637" i="28"/>
  <c r="AH1627" i="28"/>
  <c r="AH1624" i="28"/>
  <c r="AH1621" i="28"/>
  <c r="AH1619" i="28"/>
  <c r="AH1616" i="28"/>
  <c r="AH1614" i="28"/>
  <c r="AH1612" i="28"/>
  <c r="AH1610" i="28"/>
  <c r="AH1608" i="28"/>
  <c r="AH1606" i="28"/>
  <c r="AH1604" i="28"/>
  <c r="AH1602" i="28"/>
  <c r="AH1600" i="28"/>
  <c r="AH1598" i="28"/>
  <c r="AH1596" i="28"/>
  <c r="AH1594" i="28"/>
  <c r="AH1591" i="28"/>
  <c r="AH1589" i="28"/>
  <c r="E198" i="30" s="1"/>
  <c r="AH1587" i="28"/>
  <c r="AH1585" i="28"/>
  <c r="AH1583" i="28"/>
  <c r="AH1581" i="28"/>
  <c r="AH1579" i="28"/>
  <c r="AH1577" i="28"/>
  <c r="AH1575" i="28"/>
  <c r="AH1573" i="28"/>
  <c r="AH1571" i="28"/>
  <c r="AH1569" i="28"/>
  <c r="AH1567" i="28"/>
  <c r="AH1565" i="28"/>
  <c r="AH1563" i="28"/>
  <c r="AH1560" i="28"/>
  <c r="AH1558" i="28"/>
  <c r="AH1556" i="28"/>
  <c r="AH1554" i="28"/>
  <c r="AH1552" i="28"/>
  <c r="AH1550" i="28"/>
  <c r="AH1548" i="28"/>
  <c r="AH1546" i="28"/>
  <c r="AH1544" i="28"/>
  <c r="AH1541" i="28"/>
  <c r="AH1539" i="28"/>
  <c r="AH1537" i="28"/>
  <c r="AH1535" i="28"/>
  <c r="AH1533" i="28"/>
  <c r="AH1531" i="28"/>
  <c r="AH1529" i="28"/>
  <c r="AH1527" i="28"/>
  <c r="AH1525" i="28"/>
  <c r="AH1522" i="28"/>
  <c r="AH1520" i="28"/>
  <c r="AH1517" i="28"/>
  <c r="AH1515" i="28"/>
  <c r="AH1513" i="28"/>
  <c r="AH1511" i="28"/>
  <c r="AH1509" i="28"/>
  <c r="AH1507" i="28"/>
  <c r="AH1504" i="28"/>
  <c r="AH1502" i="28"/>
  <c r="AH1500" i="28"/>
  <c r="AH1498" i="28"/>
  <c r="AH1496" i="28"/>
  <c r="AH1494" i="28"/>
  <c r="AH1492" i="28"/>
  <c r="AH1490" i="28"/>
  <c r="AH1488" i="28"/>
  <c r="AH1486" i="28"/>
  <c r="AH1484" i="28"/>
  <c r="AH1482" i="28"/>
  <c r="AH1480" i="28"/>
  <c r="AH1478" i="28"/>
  <c r="AH1475" i="28"/>
  <c r="AH1471" i="28"/>
  <c r="AH1469" i="28"/>
  <c r="AH1467" i="28"/>
  <c r="AH1465" i="28"/>
  <c r="AH1463" i="28"/>
  <c r="AH1461" i="28"/>
  <c r="AH1459" i="28"/>
  <c r="AH1457" i="28"/>
  <c r="AH1454" i="28"/>
  <c r="AH1452" i="28"/>
  <c r="AH1450" i="28"/>
  <c r="AH1448" i="28"/>
  <c r="AH1445" i="28"/>
  <c r="AH1439" i="28"/>
  <c r="AH1437" i="28"/>
  <c r="AH1435" i="28"/>
  <c r="AH1433" i="28"/>
  <c r="AH1431" i="28"/>
  <c r="AH1429" i="28"/>
  <c r="AH1427" i="28"/>
  <c r="AH1425" i="28"/>
  <c r="AH1422" i="28"/>
  <c r="AH1420" i="28"/>
  <c r="AH1418" i="28"/>
  <c r="AH1416" i="28"/>
  <c r="AH1414" i="28"/>
  <c r="AH1412" i="28"/>
  <c r="AH1410" i="28"/>
  <c r="AH1408" i="28"/>
  <c r="F174" i="30" s="1"/>
  <c r="E38" i="29" s="1"/>
  <c r="AH1406" i="28"/>
  <c r="AH1404" i="28"/>
  <c r="AH1400" i="28"/>
  <c r="AH1398" i="28"/>
  <c r="AH1396" i="28"/>
  <c r="AH1391" i="28"/>
  <c r="F157" i="30" s="1"/>
  <c r="E31" i="29" s="1"/>
  <c r="AH1387" i="28"/>
  <c r="AH1381" i="28"/>
  <c r="E167" i="30" s="1"/>
  <c r="AH1377" i="28"/>
  <c r="AI1377" i="28" s="1"/>
  <c r="AH1375" i="28"/>
  <c r="AH1371" i="28"/>
  <c r="AH1368" i="28"/>
  <c r="AH1364" i="28"/>
  <c r="AH1362" i="28"/>
  <c r="AH1360" i="28"/>
  <c r="AH1358" i="28"/>
  <c r="AH1356" i="28"/>
  <c r="AH1354" i="28"/>
  <c r="AH1352" i="28"/>
  <c r="AH1350" i="28"/>
  <c r="AH1348" i="28"/>
  <c r="AH1346" i="28"/>
  <c r="AH1344" i="28"/>
  <c r="AH1342" i="28"/>
  <c r="AH1340" i="28"/>
  <c r="AH1338" i="28"/>
  <c r="AH1336" i="28"/>
  <c r="AH1334" i="28"/>
  <c r="AH1332" i="28"/>
  <c r="AH1329" i="28"/>
  <c r="AH1327" i="28"/>
  <c r="AH1325" i="28"/>
  <c r="AH1321" i="28"/>
  <c r="AH1319" i="28"/>
  <c r="AH1317" i="28"/>
  <c r="AH1315" i="28"/>
  <c r="AH1312" i="28"/>
  <c r="AH1309" i="28"/>
  <c r="AH1307" i="28"/>
  <c r="AH1305" i="28"/>
  <c r="AH1303" i="28"/>
  <c r="AH1301" i="28"/>
  <c r="AH1299" i="28"/>
  <c r="AH1297" i="28"/>
  <c r="AH1295" i="28"/>
  <c r="AH1293" i="28"/>
  <c r="AH1291" i="28"/>
  <c r="W618" i="39" s="1"/>
  <c r="AH1289" i="28"/>
  <c r="AH1287" i="28"/>
  <c r="AH1285" i="28"/>
  <c r="AH1283" i="28"/>
  <c r="AH1281" i="28"/>
  <c r="AH1279" i="28"/>
  <c r="AH1277" i="28"/>
  <c r="AH1275" i="28"/>
  <c r="AH1273" i="28"/>
  <c r="AH1271" i="28"/>
  <c r="AH1269" i="28"/>
  <c r="AH1267" i="28"/>
  <c r="AH1265" i="28"/>
  <c r="AH1263" i="28"/>
  <c r="AH1261" i="28"/>
  <c r="AH1259" i="28"/>
  <c r="AH1257" i="28"/>
  <c r="AH1254" i="28"/>
  <c r="AH1252" i="28"/>
  <c r="W621" i="39" s="1"/>
  <c r="AH1250" i="28"/>
  <c r="AH1248" i="28"/>
  <c r="AH1246" i="28"/>
  <c r="AH1245" i="28"/>
  <c r="AH1244" i="28"/>
  <c r="AH1239" i="28"/>
  <c r="AH1237" i="28"/>
  <c r="AH1235" i="28"/>
  <c r="AH1230" i="28"/>
  <c r="AH1226" i="28"/>
  <c r="AH1223" i="28"/>
  <c r="AH1221" i="28"/>
  <c r="AH1219" i="28"/>
  <c r="AH1217" i="28"/>
  <c r="AH1215" i="28"/>
  <c r="AH1213" i="28"/>
  <c r="AH1211" i="28"/>
  <c r="AH1209" i="28"/>
  <c r="AH1206" i="28"/>
  <c r="AH1204" i="28"/>
  <c r="AH1202" i="28"/>
  <c r="AH1200" i="28"/>
  <c r="AH1198" i="28"/>
  <c r="AH1196" i="28"/>
  <c r="AH1194" i="28"/>
  <c r="AH1192" i="28"/>
  <c r="AH1190" i="28"/>
  <c r="AH1177" i="28"/>
  <c r="AH1175" i="28"/>
  <c r="AH1173" i="28"/>
  <c r="AH1171" i="28"/>
  <c r="AH1169" i="28"/>
  <c r="AH1167" i="28"/>
  <c r="AH1164" i="28"/>
  <c r="AH1162" i="28"/>
  <c r="AH1160" i="28"/>
  <c r="AH1158" i="28"/>
  <c r="AH1156" i="28"/>
  <c r="AH1154" i="28"/>
  <c r="AH1152" i="28"/>
  <c r="AH1150" i="28"/>
  <c r="AH1148" i="28"/>
  <c r="AH1146" i="28"/>
  <c r="AH1144" i="28"/>
  <c r="AH1142" i="28"/>
  <c r="AH1140" i="28"/>
  <c r="AH1138" i="28"/>
  <c r="AH1135" i="28"/>
  <c r="AH1134" i="28"/>
  <c r="AH1132" i="28"/>
  <c r="AH1130" i="28"/>
  <c r="AH1127" i="28"/>
  <c r="AH1125" i="28"/>
  <c r="AH1122" i="28"/>
  <c r="AH1120" i="28"/>
  <c r="AH1117" i="28"/>
  <c r="AH1115" i="28"/>
  <c r="AH1113" i="28"/>
  <c r="AH1111" i="28"/>
  <c r="AH1109" i="28"/>
  <c r="AH1106" i="28"/>
  <c r="AH1103" i="28"/>
  <c r="AH1101" i="28"/>
  <c r="AH1099" i="28"/>
  <c r="AL1099" i="28" s="1"/>
  <c r="AH1097" i="28"/>
  <c r="AH1095" i="28"/>
  <c r="AH1093" i="28"/>
  <c r="AH1091" i="28"/>
  <c r="AH1089" i="28"/>
  <c r="AH1087" i="28"/>
  <c r="AH1085" i="28"/>
  <c r="AH1083" i="28"/>
  <c r="AH1081" i="28"/>
  <c r="AH1079" i="28"/>
  <c r="AH1077" i="28"/>
  <c r="AH1075" i="28"/>
  <c r="AH1073" i="28"/>
  <c r="AH1071" i="28"/>
  <c r="AH1069" i="28"/>
  <c r="AH1066" i="28"/>
  <c r="AH1061" i="28"/>
  <c r="AH1058" i="28"/>
  <c r="AH1055" i="28"/>
  <c r="AH1053" i="28"/>
  <c r="E133" i="30" s="1"/>
  <c r="AH1050" i="28"/>
  <c r="AH1048" i="28"/>
  <c r="AG1042" i="28"/>
  <c r="AH1042" i="28" s="1"/>
  <c r="AH1037" i="28"/>
  <c r="AH1035" i="28"/>
  <c r="AH1033" i="28"/>
  <c r="AG1031" i="28"/>
  <c r="AH1028" i="28"/>
  <c r="AH1022" i="28"/>
  <c r="AH1016" i="28"/>
  <c r="AH1014" i="28"/>
  <c r="AH1012" i="28"/>
  <c r="AH1009" i="28"/>
  <c r="AH1005" i="28"/>
  <c r="AH1003" i="28"/>
  <c r="AH1001" i="28"/>
  <c r="AH999" i="28"/>
  <c r="AH994" i="28"/>
  <c r="AH992" i="28"/>
  <c r="AH990" i="28"/>
  <c r="AH988" i="28"/>
  <c r="U608" i="39" s="1"/>
  <c r="AH985" i="28"/>
  <c r="AH979" i="28"/>
  <c r="AH975" i="28"/>
  <c r="AH973" i="28"/>
  <c r="AH966" i="28"/>
  <c r="AH964" i="28"/>
  <c r="AG962" i="28"/>
  <c r="AH958" i="28"/>
  <c r="AH956" i="28"/>
  <c r="AH954" i="28"/>
  <c r="AH952" i="28"/>
  <c r="AH950" i="28"/>
  <c r="AH948" i="28"/>
  <c r="AH946" i="28"/>
  <c r="AH934" i="28"/>
  <c r="AH932" i="28"/>
  <c r="AH919" i="28"/>
  <c r="AH917" i="28"/>
  <c r="AH915" i="28"/>
  <c r="AH912" i="28"/>
  <c r="AH909" i="28"/>
  <c r="AH907" i="28"/>
  <c r="AH904" i="28"/>
  <c r="AH901" i="28"/>
  <c r="AH898" i="28"/>
  <c r="AG896" i="28"/>
  <c r="AH893" i="28"/>
  <c r="AH891" i="28"/>
  <c r="AG889" i="28"/>
  <c r="AH884" i="28"/>
  <c r="AH882" i="28"/>
  <c r="AH879" i="28"/>
  <c r="AH876" i="28"/>
  <c r="AH874" i="28"/>
  <c r="AH872" i="28"/>
  <c r="AH870" i="28"/>
  <c r="AH868" i="28"/>
  <c r="AH865" i="28"/>
  <c r="AH862" i="28"/>
  <c r="AH860" i="28"/>
  <c r="AH858" i="28"/>
  <c r="AH853" i="28"/>
  <c r="AH850" i="28"/>
  <c r="AH845" i="28"/>
  <c r="AH843" i="28"/>
  <c r="AH841" i="28"/>
  <c r="AH839" i="28"/>
  <c r="AH837" i="28"/>
  <c r="N509" i="39" s="1"/>
  <c r="N508" i="39" s="1"/>
  <c r="AH835" i="28"/>
  <c r="E116" i="30" s="1"/>
  <c r="F115" i="30" s="1"/>
  <c r="AH833" i="28"/>
  <c r="AH831" i="28"/>
  <c r="AH829" i="28"/>
  <c r="AH824" i="28"/>
  <c r="AH821" i="28"/>
  <c r="AH818" i="28"/>
  <c r="AH816" i="28"/>
  <c r="AH812" i="28"/>
  <c r="AH810" i="28"/>
  <c r="AH808" i="28"/>
  <c r="AH806" i="28"/>
  <c r="AG802" i="28"/>
  <c r="AH800" i="28"/>
  <c r="AH796" i="28"/>
  <c r="AH794" i="28"/>
  <c r="AH792" i="28"/>
  <c r="AH790" i="28"/>
  <c r="AH788" i="28"/>
  <c r="AH786" i="28"/>
  <c r="AH784" i="28"/>
  <c r="AH782" i="28"/>
  <c r="AH780" i="28"/>
  <c r="AH778" i="28"/>
  <c r="AH776" i="28"/>
  <c r="AH774" i="28"/>
  <c r="AH772" i="28"/>
  <c r="F114" i="30" s="1"/>
  <c r="AH769" i="28"/>
  <c r="AH758" i="28"/>
  <c r="AH756" i="28"/>
  <c r="AH754" i="28"/>
  <c r="AH752" i="28"/>
  <c r="AH747" i="28"/>
  <c r="AH744" i="28"/>
  <c r="AH741" i="28"/>
  <c r="AH739" i="28"/>
  <c r="AH737" i="28"/>
  <c r="AH743" i="28"/>
  <c r="AH727" i="28"/>
  <c r="AH725" i="28"/>
  <c r="AH723" i="28"/>
  <c r="AH721" i="28"/>
  <c r="AH719" i="28"/>
  <c r="AH717" i="28"/>
  <c r="AH712" i="28"/>
  <c r="AH710" i="28"/>
  <c r="AH708" i="28"/>
  <c r="AH706" i="28"/>
  <c r="AH704" i="28"/>
  <c r="AH702" i="28"/>
  <c r="AH704" i="44"/>
  <c r="AH700" i="28"/>
  <c r="AH698" i="28"/>
  <c r="AH676" i="28"/>
  <c r="AH673" i="28"/>
  <c r="AH671" i="28"/>
  <c r="AH669" i="28"/>
  <c r="AH667" i="28"/>
  <c r="AH665" i="28"/>
  <c r="AH663" i="28"/>
  <c r="AH661" i="28"/>
  <c r="AH659" i="28"/>
  <c r="AH654" i="28"/>
  <c r="AH650" i="28"/>
  <c r="AH648" i="28"/>
  <c r="AH646" i="28"/>
  <c r="AH644" i="28"/>
  <c r="AH640" i="28"/>
  <c r="AH638" i="28"/>
  <c r="AH636" i="28"/>
  <c r="AH634" i="28"/>
  <c r="AH632" i="28"/>
  <c r="F62" i="30" s="1"/>
  <c r="AH629" i="28"/>
  <c r="AH627" i="28"/>
  <c r="AH621" i="28"/>
  <c r="AH618" i="28"/>
  <c r="AH616" i="28"/>
  <c r="AH612" i="28"/>
  <c r="AH610" i="28"/>
  <c r="AH608" i="28"/>
  <c r="AH606" i="28"/>
  <c r="AH604" i="28"/>
  <c r="AH602" i="28"/>
  <c r="AH600" i="28"/>
  <c r="AH598" i="28"/>
  <c r="N523" i="39" s="1"/>
  <c r="AH596" i="28"/>
  <c r="N525" i="39" s="1"/>
  <c r="AH594" i="28"/>
  <c r="AH592" i="28"/>
  <c r="N522" i="39" s="1"/>
  <c r="AH590" i="28"/>
  <c r="N524" i="39" s="1"/>
  <c r="AH588" i="28"/>
  <c r="AH586" i="28"/>
  <c r="E40" i="30" s="1"/>
  <c r="AH584" i="28"/>
  <c r="AH582" i="28"/>
  <c r="AH580" i="28"/>
  <c r="AH572" i="28"/>
  <c r="AH570" i="28"/>
  <c r="AH568" i="28"/>
  <c r="AH566" i="28"/>
  <c r="AH563" i="28"/>
  <c r="AJ484" i="28" s="1"/>
  <c r="AH561" i="28"/>
  <c r="AH557" i="28"/>
  <c r="AH555" i="28"/>
  <c r="AH547" i="28"/>
  <c r="AH545" i="28"/>
  <c r="AH543" i="28"/>
  <c r="AH541" i="28"/>
  <c r="S652" i="39" s="1"/>
  <c r="AH539" i="28"/>
  <c r="AH537" i="28"/>
  <c r="S640" i="39" s="1"/>
  <c r="AH535" i="28"/>
  <c r="AH533" i="28"/>
  <c r="AH531" i="28"/>
  <c r="AH529" i="28"/>
  <c r="S655" i="39" s="1"/>
  <c r="AH527" i="28"/>
  <c r="AH525" i="28"/>
  <c r="AH523" i="28"/>
  <c r="AH521" i="28"/>
  <c r="AH519" i="28"/>
  <c r="AH517" i="28"/>
  <c r="S643" i="39" s="1"/>
  <c r="AH515" i="28"/>
  <c r="S649" i="39" s="1"/>
  <c r="AH513" i="28"/>
  <c r="S646" i="39" s="1"/>
  <c r="AH511" i="28"/>
  <c r="AH509" i="28"/>
  <c r="AH507" i="28"/>
  <c r="AH505" i="28"/>
  <c r="AH503" i="28"/>
  <c r="AH501" i="28"/>
  <c r="AH499" i="28"/>
  <c r="AH497" i="28"/>
  <c r="S621" i="39" s="1"/>
  <c r="AH495" i="28"/>
  <c r="AH493" i="28"/>
  <c r="AH491" i="28"/>
  <c r="S616" i="39" s="1"/>
  <c r="AH489" i="28"/>
  <c r="AH487" i="28"/>
  <c r="AH485" i="28"/>
  <c r="S633" i="39" s="1"/>
  <c r="AH482" i="28"/>
  <c r="AH480" i="28"/>
  <c r="AH478" i="28"/>
  <c r="AH476" i="28"/>
  <c r="AH474" i="28"/>
  <c r="AH466" i="28"/>
  <c r="AH463" i="28"/>
  <c r="AH460" i="28"/>
  <c r="AH458" i="28"/>
  <c r="AG454" i="28"/>
  <c r="AH452" i="28"/>
  <c r="AH450" i="28"/>
  <c r="AH448" i="28"/>
  <c r="AH446" i="28"/>
  <c r="AG444" i="28"/>
  <c r="AH438" i="28"/>
  <c r="AH436" i="28"/>
  <c r="AG434" i="28"/>
  <c r="AH432" i="28"/>
  <c r="AH429" i="28"/>
  <c r="AH427" i="28"/>
  <c r="AH425" i="28"/>
  <c r="AH423" i="28"/>
  <c r="AH421" i="28"/>
  <c r="AH419" i="28"/>
  <c r="AG417" i="28"/>
  <c r="AH415" i="28"/>
  <c r="E64" i="30" s="1"/>
  <c r="AH411" i="28"/>
  <c r="AH408" i="28"/>
  <c r="AH406" i="28"/>
  <c r="AH402" i="28"/>
  <c r="AH399" i="28"/>
  <c r="AH397" i="28"/>
  <c r="N464" i="39" s="1"/>
  <c r="AH395" i="28"/>
  <c r="AH392" i="28"/>
  <c r="AH388" i="28"/>
  <c r="AH385" i="28"/>
  <c r="AH383" i="28"/>
  <c r="AH381" i="28"/>
  <c r="AH376" i="28"/>
  <c r="AH374" i="28"/>
  <c r="AH371" i="28"/>
  <c r="AH369" i="28"/>
  <c r="AH367" i="28"/>
  <c r="AH365" i="28"/>
  <c r="AH363" i="28"/>
  <c r="AH361" i="28"/>
  <c r="AH359" i="28"/>
  <c r="AH357" i="28"/>
  <c r="AH355" i="28"/>
  <c r="AH353" i="28"/>
  <c r="AH351" i="28"/>
  <c r="AH349" i="28"/>
  <c r="AH347" i="28"/>
  <c r="AH345" i="28"/>
  <c r="AH343" i="28"/>
  <c r="AH341" i="28"/>
  <c r="AH339" i="28"/>
  <c r="E111" i="30" s="1"/>
  <c r="AH336" i="28"/>
  <c r="AH333" i="28"/>
  <c r="AH330" i="28"/>
  <c r="AH328" i="28"/>
  <c r="AH326" i="28"/>
  <c r="AG324" i="28"/>
  <c r="AH319" i="28"/>
  <c r="AH317" i="28"/>
  <c r="AH314" i="28"/>
  <c r="AH312" i="28"/>
  <c r="AH310" i="28"/>
  <c r="AH308" i="28"/>
  <c r="AH306" i="44"/>
  <c r="AG306" i="44"/>
  <c r="AH304" i="28"/>
  <c r="AH302" i="28"/>
  <c r="AH300" i="28"/>
  <c r="AH298" i="28"/>
  <c r="AH296" i="28"/>
  <c r="AH294" i="28"/>
  <c r="AH291" i="28"/>
  <c r="AH289" i="28"/>
  <c r="AH287" i="28"/>
  <c r="AH283" i="28"/>
  <c r="AH281" i="28"/>
  <c r="AH279" i="28"/>
  <c r="AH277" i="28"/>
  <c r="AH275" i="28"/>
  <c r="AH272" i="28"/>
  <c r="AH270" i="28"/>
  <c r="AH268" i="28"/>
  <c r="AH266" i="28"/>
  <c r="AH264" i="28"/>
  <c r="E53" i="30" s="1"/>
  <c r="F51" i="30" s="1"/>
  <c r="AH261" i="28"/>
  <c r="AH259" i="28"/>
  <c r="AH254" i="28"/>
  <c r="AH234" i="28"/>
  <c r="AK234" i="28" s="1"/>
  <c r="AH232" i="28"/>
  <c r="AH227" i="28"/>
  <c r="AH223" i="28"/>
  <c r="AH220" i="28"/>
  <c r="AK220" i="28" s="1"/>
  <c r="AH216" i="28"/>
  <c r="AH214" i="28"/>
  <c r="AK214" i="28" s="1"/>
  <c r="AH209" i="28"/>
  <c r="AK209" i="28" s="1"/>
  <c r="AH186" i="28"/>
  <c r="AH175" i="28"/>
  <c r="AH170" i="28"/>
  <c r="AH166" i="28"/>
  <c r="AH163" i="28"/>
  <c r="E29" i="30" s="1"/>
  <c r="M52" i="39" s="1"/>
  <c r="AH161" i="28"/>
  <c r="AH154" i="28"/>
  <c r="AH150" i="28"/>
  <c r="AH148" i="28"/>
  <c r="AH146" i="28"/>
  <c r="AH144" i="28"/>
  <c r="AH142" i="28"/>
  <c r="AH140" i="28"/>
  <c r="AH138" i="28"/>
  <c r="AH136" i="28"/>
  <c r="AH134" i="28"/>
  <c r="AH132" i="28"/>
  <c r="AH130" i="28"/>
  <c r="AH128" i="28"/>
  <c r="AH126" i="28"/>
  <c r="AH124" i="28"/>
  <c r="AH120" i="28"/>
  <c r="AH118" i="28"/>
  <c r="AH116" i="28"/>
  <c r="AH113" i="28"/>
  <c r="AH110" i="28"/>
  <c r="AH108" i="28"/>
  <c r="AI789" i="28" s="1"/>
  <c r="AJ789" i="28" s="1"/>
  <c r="AH106" i="28"/>
  <c r="AH104" i="28"/>
  <c r="E25" i="30" s="1"/>
  <c r="AH102" i="28"/>
  <c r="AH100" i="28"/>
  <c r="AH98" i="28"/>
  <c r="AH96" i="28"/>
  <c r="AH94" i="28"/>
  <c r="AH92" i="28"/>
  <c r="AH90" i="28"/>
  <c r="AH85" i="28"/>
  <c r="AH77" i="28"/>
  <c r="AH75" i="28"/>
  <c r="AH73" i="28"/>
  <c r="AH70" i="28"/>
  <c r="Q592" i="39" s="1"/>
  <c r="AH67" i="28"/>
  <c r="Q591" i="39" s="1"/>
  <c r="AH65" i="28"/>
  <c r="Q590" i="39" s="1"/>
  <c r="AH63" i="28"/>
  <c r="AH61" i="28"/>
  <c r="Q588" i="39" s="1"/>
  <c r="AH54" i="28"/>
  <c r="AH51" i="28"/>
  <c r="AH48" i="28"/>
  <c r="AH46" i="28"/>
  <c r="AH44" i="28"/>
  <c r="AH42" i="28"/>
  <c r="AH39" i="28"/>
  <c r="AH36" i="28"/>
  <c r="AH34" i="28"/>
  <c r="AH32" i="28"/>
  <c r="AH29" i="28"/>
  <c r="Q584" i="39" s="1"/>
  <c r="AH27" i="28"/>
  <c r="AH24" i="28"/>
  <c r="AH22" i="28"/>
  <c r="AH20" i="28"/>
  <c r="AH18" i="28"/>
  <c r="AH16" i="28"/>
  <c r="AH14" i="28"/>
  <c r="Q586" i="39" s="1"/>
  <c r="AH12" i="28"/>
  <c r="AH10" i="28"/>
  <c r="E35" i="30" s="1"/>
  <c r="M59" i="39" s="1"/>
  <c r="AE41" i="42" s="1"/>
  <c r="AH8" i="28"/>
  <c r="G187" i="30" l="1"/>
  <c r="G188" i="30"/>
  <c r="I8" i="39"/>
  <c r="E165" i="30"/>
  <c r="X16" i="42"/>
  <c r="E125" i="30"/>
  <c r="E31" i="30"/>
  <c r="M55" i="39" s="1"/>
  <c r="E13" i="30"/>
  <c r="E15" i="30"/>
  <c r="M38" i="39" s="1"/>
  <c r="X36" i="42" s="1"/>
  <c r="AE36" i="42" s="1"/>
  <c r="N444" i="39"/>
  <c r="N443" i="39" s="1"/>
  <c r="S443" i="39" s="1"/>
  <c r="F36" i="30"/>
  <c r="E66" i="30"/>
  <c r="AJ480" i="28"/>
  <c r="AK480" i="28" s="1"/>
  <c r="AK481" i="28" s="1"/>
  <c r="J114" i="39"/>
  <c r="E112" i="30"/>
  <c r="N517" i="39"/>
  <c r="N516" i="39"/>
  <c r="E184" i="30"/>
  <c r="F194" i="30"/>
  <c r="G192" i="30" s="1"/>
  <c r="S636" i="39"/>
  <c r="S618" i="39"/>
  <c r="AG10" i="44"/>
  <c r="AH10" i="44"/>
  <c r="AH14" i="44"/>
  <c r="AG14" i="44"/>
  <c r="AH18" i="44"/>
  <c r="AG18" i="44"/>
  <c r="AH22" i="44"/>
  <c r="AG22" i="44"/>
  <c r="AH27" i="44"/>
  <c r="AG27" i="44"/>
  <c r="AH29" i="44"/>
  <c r="AG29" i="44"/>
  <c r="AH34" i="44"/>
  <c r="AG34" i="44"/>
  <c r="AH42" i="44"/>
  <c r="AG42" i="44"/>
  <c r="AH44" i="44"/>
  <c r="AG44" i="44"/>
  <c r="AH48" i="44"/>
  <c r="AG48" i="44"/>
  <c r="AH54" i="44"/>
  <c r="AG54" i="44"/>
  <c r="AH63" i="44"/>
  <c r="AG63" i="44"/>
  <c r="AH67" i="44"/>
  <c r="AG67" i="44"/>
  <c r="AG73" i="44"/>
  <c r="AH73" i="44"/>
  <c r="AG77" i="44"/>
  <c r="AH77" i="44"/>
  <c r="AH90" i="44"/>
  <c r="AG90" i="44"/>
  <c r="AH98" i="44"/>
  <c r="AG98" i="44"/>
  <c r="AH102" i="44"/>
  <c r="AG102" i="44"/>
  <c r="AH106" i="44"/>
  <c r="AG106" i="44"/>
  <c r="AH110" i="44"/>
  <c r="AG110" i="44"/>
  <c r="AH116" i="44"/>
  <c r="AG116" i="44"/>
  <c r="AH120" i="44"/>
  <c r="AG120" i="44"/>
  <c r="AH124" i="44"/>
  <c r="AG124" i="44"/>
  <c r="AH128" i="44"/>
  <c r="AG128" i="44"/>
  <c r="AH136" i="44"/>
  <c r="AG136" i="44"/>
  <c r="AH140" i="44"/>
  <c r="AG140" i="44"/>
  <c r="AH144" i="44"/>
  <c r="AG144" i="44"/>
  <c r="AH148" i="44"/>
  <c r="AG148" i="44"/>
  <c r="AH154" i="44"/>
  <c r="AG154" i="44"/>
  <c r="AH163" i="44"/>
  <c r="AG163" i="44"/>
  <c r="AH175" i="44"/>
  <c r="AG175" i="44"/>
  <c r="AG209" i="44"/>
  <c r="AH209" i="44"/>
  <c r="AG216" i="44"/>
  <c r="AH216" i="44"/>
  <c r="AG223" i="44"/>
  <c r="AH223" i="44"/>
  <c r="AG232" i="44"/>
  <c r="AH232" i="44"/>
  <c r="AG238" i="44"/>
  <c r="AH238" i="44"/>
  <c r="AI238" i="44"/>
  <c r="AG259" i="44"/>
  <c r="AH259" i="44"/>
  <c r="AG264" i="44"/>
  <c r="AH264" i="44"/>
  <c r="AG268" i="44"/>
  <c r="AH268" i="44"/>
  <c r="AG272" i="44"/>
  <c r="AH272" i="44"/>
  <c r="AG277" i="44"/>
  <c r="AH277" i="44"/>
  <c r="AG281" i="44"/>
  <c r="AH281" i="44"/>
  <c r="AG287" i="44"/>
  <c r="AH287" i="44"/>
  <c r="AH291" i="44"/>
  <c r="AG291" i="44"/>
  <c r="AG296" i="44"/>
  <c r="AH296" i="44"/>
  <c r="AH300" i="44"/>
  <c r="AG300" i="44"/>
  <c r="AH304" i="44"/>
  <c r="AG304" i="44"/>
  <c r="AG310" i="44"/>
  <c r="AH310" i="44"/>
  <c r="AG314" i="44"/>
  <c r="D53" i="46" s="1"/>
  <c r="D52" i="46" s="1"/>
  <c r="AH314" i="44"/>
  <c r="D53" i="43" s="1"/>
  <c r="D52" i="43" s="1"/>
  <c r="AG319" i="44"/>
  <c r="AH319" i="44"/>
  <c r="AG324" i="44"/>
  <c r="AG328" i="44"/>
  <c r="AH328" i="44"/>
  <c r="AG333" i="44"/>
  <c r="AH333" i="44"/>
  <c r="AG339" i="44"/>
  <c r="AH339" i="44"/>
  <c r="AH343" i="44"/>
  <c r="AG343" i="44"/>
  <c r="AH347" i="44"/>
  <c r="AG347" i="44"/>
  <c r="AH351" i="44"/>
  <c r="AG351" i="44"/>
  <c r="AH355" i="44"/>
  <c r="AG355" i="44"/>
  <c r="AH359" i="44"/>
  <c r="AG359" i="44"/>
  <c r="AH363" i="44"/>
  <c r="AG363" i="44"/>
  <c r="AH367" i="44"/>
  <c r="AG367" i="44"/>
  <c r="AH371" i="44"/>
  <c r="AG371" i="44"/>
  <c r="AH376" i="44"/>
  <c r="AG376" i="44"/>
  <c r="AH383" i="44"/>
  <c r="AG383" i="44"/>
  <c r="AH388" i="44"/>
  <c r="AG388" i="44"/>
  <c r="AH392" i="44"/>
  <c r="AG392" i="44"/>
  <c r="AH397" i="44"/>
  <c r="AG397" i="44"/>
  <c r="AH402" i="44"/>
  <c r="AG402" i="44"/>
  <c r="AH408" i="44"/>
  <c r="AG408" i="44"/>
  <c r="AH415" i="44"/>
  <c r="AG415" i="44"/>
  <c r="AH419" i="44"/>
  <c r="AG419" i="44"/>
  <c r="AH423" i="44"/>
  <c r="AG423" i="44"/>
  <c r="AH427" i="44"/>
  <c r="AG427" i="44"/>
  <c r="AH432" i="44"/>
  <c r="AG432" i="44"/>
  <c r="AH436" i="44"/>
  <c r="AG436" i="44"/>
  <c r="AH448" i="44"/>
  <c r="AG448" i="44"/>
  <c r="AH452" i="44"/>
  <c r="AG452" i="44"/>
  <c r="AH458" i="44"/>
  <c r="AG458" i="44"/>
  <c r="AH463" i="44"/>
  <c r="AG463" i="44"/>
  <c r="AH474" i="44"/>
  <c r="AG474" i="44"/>
  <c r="AH487" i="44"/>
  <c r="AG487" i="44"/>
  <c r="M36" i="39"/>
  <c r="E14" i="30"/>
  <c r="M37" i="39" s="1"/>
  <c r="AI106" i="28"/>
  <c r="M48" i="39"/>
  <c r="K36" i="30"/>
  <c r="P60" i="39"/>
  <c r="AK186" i="28"/>
  <c r="AI186" i="28"/>
  <c r="AI216" i="28"/>
  <c r="AH238" i="28"/>
  <c r="AI238" i="28"/>
  <c r="F56" i="30"/>
  <c r="I136" i="39"/>
  <c r="X26" i="42" s="1"/>
  <c r="AG322" i="28"/>
  <c r="AG969" i="28" s="1"/>
  <c r="AH324" i="28"/>
  <c r="AJ359" i="28"/>
  <c r="N451" i="39"/>
  <c r="AH417" i="28"/>
  <c r="AG840" i="28"/>
  <c r="AH434" i="28"/>
  <c r="AG886" i="28"/>
  <c r="AH886" i="28" s="1"/>
  <c r="AH444" i="28"/>
  <c r="E60" i="30" s="1"/>
  <c r="AG804" i="28"/>
  <c r="AH454" i="28"/>
  <c r="AG819" i="28"/>
  <c r="AH819" i="28" s="1"/>
  <c r="AI460" i="28"/>
  <c r="E19" i="30"/>
  <c r="M42" i="39" s="1"/>
  <c r="AI521" i="28"/>
  <c r="AI525" i="28"/>
  <c r="S639" i="39"/>
  <c r="AH553" i="28"/>
  <c r="AJ553" i="28" s="1"/>
  <c r="I137" i="39"/>
  <c r="N440" i="39" s="1"/>
  <c r="M64" i="39"/>
  <c r="N521" i="39"/>
  <c r="F47" i="30"/>
  <c r="P72" i="39" s="1"/>
  <c r="P533" i="39"/>
  <c r="K526" i="39"/>
  <c r="Q526" i="39" s="1"/>
  <c r="E72" i="30"/>
  <c r="N470" i="39"/>
  <c r="N469" i="39" s="1"/>
  <c r="S469" i="39" s="1"/>
  <c r="J107" i="39"/>
  <c r="E85" i="30"/>
  <c r="E88" i="30"/>
  <c r="AJ696" i="28"/>
  <c r="AH696" i="28"/>
  <c r="AI695" i="28"/>
  <c r="E94" i="30"/>
  <c r="J119" i="39"/>
  <c r="P119" i="39" s="1"/>
  <c r="AH715" i="28"/>
  <c r="AJ716" i="28"/>
  <c r="AJ715" i="28"/>
  <c r="P114" i="39"/>
  <c r="E83" i="30"/>
  <c r="J105" i="39"/>
  <c r="AI737" i="28"/>
  <c r="E93" i="30"/>
  <c r="J118" i="39"/>
  <c r="P118" i="39" s="1"/>
  <c r="E123" i="30"/>
  <c r="AH802" i="28"/>
  <c r="AG442" i="28"/>
  <c r="AH804" i="28"/>
  <c r="E110" i="30" s="1"/>
  <c r="F109" i="30" s="1"/>
  <c r="AH889" i="28"/>
  <c r="AG883" i="28"/>
  <c r="AH883" i="28" s="1"/>
  <c r="AH896" i="28"/>
  <c r="AG857" i="28"/>
  <c r="AH857" i="28" s="1"/>
  <c r="AH962" i="28"/>
  <c r="AG639" i="28"/>
  <c r="AH639" i="28" s="1"/>
  <c r="AH969" i="28"/>
  <c r="E90" i="30"/>
  <c r="M102" i="39"/>
  <c r="P102" i="39" s="1"/>
  <c r="M103" i="39"/>
  <c r="P103" i="39" s="1"/>
  <c r="E86" i="30"/>
  <c r="M109" i="39"/>
  <c r="AH1031" i="28"/>
  <c r="AG642" i="28"/>
  <c r="AH642" i="28" s="1"/>
  <c r="E132" i="30"/>
  <c r="P143" i="39"/>
  <c r="Y143" i="39" s="1"/>
  <c r="AG1039" i="28"/>
  <c r="AH1039" i="28" s="1"/>
  <c r="AG1044" i="28"/>
  <c r="AH1044" i="28" s="1"/>
  <c r="E136" i="30"/>
  <c r="V144" i="39"/>
  <c r="E153" i="30"/>
  <c r="AH1772" i="28"/>
  <c r="F164" i="30"/>
  <c r="E35" i="29" s="1"/>
  <c r="E161" i="30"/>
  <c r="F160" i="30" s="1"/>
  <c r="E34" i="29" s="1"/>
  <c r="H206" i="30"/>
  <c r="F48" i="29" s="1"/>
  <c r="S575" i="39"/>
  <c r="S579" i="39" s="1"/>
  <c r="AH9" i="44"/>
  <c r="AG9" i="44"/>
  <c r="AG11" i="44"/>
  <c r="AH11" i="44"/>
  <c r="AG13" i="44"/>
  <c r="AH13" i="44"/>
  <c r="AG15" i="44"/>
  <c r="AH15" i="44"/>
  <c r="AG17" i="44"/>
  <c r="AH17" i="44"/>
  <c r="AG19" i="44"/>
  <c r="AH19" i="44"/>
  <c r="AG21" i="44"/>
  <c r="AH21" i="44"/>
  <c r="AG23" i="44"/>
  <c r="AH23" i="44"/>
  <c r="AG25" i="44"/>
  <c r="AH25" i="44"/>
  <c r="AG28" i="44"/>
  <c r="AH28" i="44"/>
  <c r="AG31" i="44"/>
  <c r="AH31" i="44"/>
  <c r="AG33" i="44"/>
  <c r="AH33" i="44"/>
  <c r="AG35" i="44"/>
  <c r="AH35" i="44"/>
  <c r="AG38" i="44"/>
  <c r="AH38" i="44"/>
  <c r="AG40" i="44"/>
  <c r="AH40" i="44"/>
  <c r="AG43" i="44"/>
  <c r="AH43" i="44"/>
  <c r="AG45" i="44"/>
  <c r="AH45" i="44"/>
  <c r="AG47" i="44"/>
  <c r="AH47" i="44"/>
  <c r="AG50" i="44"/>
  <c r="AH50" i="44"/>
  <c r="AG53" i="44"/>
  <c r="AH53" i="44"/>
  <c r="AG60" i="44"/>
  <c r="AH60" i="44"/>
  <c r="AG62" i="44"/>
  <c r="AH62" i="44"/>
  <c r="AG64" i="44"/>
  <c r="AH64" i="44"/>
  <c r="AG66" i="44"/>
  <c r="AH66" i="44"/>
  <c r="AH68" i="44"/>
  <c r="AG68" i="44"/>
  <c r="AH72" i="44"/>
  <c r="AG72" i="44"/>
  <c r="AH74" i="44"/>
  <c r="AG74" i="44"/>
  <c r="AH76" i="44"/>
  <c r="AG76" i="44"/>
  <c r="AH78" i="44"/>
  <c r="AG78" i="44"/>
  <c r="AG86" i="44"/>
  <c r="AH86" i="44"/>
  <c r="AG91" i="44"/>
  <c r="AH91" i="44"/>
  <c r="AG93" i="44"/>
  <c r="AH93" i="44"/>
  <c r="AG95" i="44"/>
  <c r="AH95" i="44"/>
  <c r="AG97" i="44"/>
  <c r="AH97" i="44"/>
  <c r="AG99" i="44"/>
  <c r="AH99" i="44"/>
  <c r="AG101" i="44"/>
  <c r="AH101" i="44"/>
  <c r="AJ481" i="44" s="1"/>
  <c r="AG103" i="44"/>
  <c r="AH103" i="44"/>
  <c r="AG105" i="44"/>
  <c r="AH105" i="44"/>
  <c r="AG107" i="44"/>
  <c r="D18" i="46" s="1"/>
  <c r="AH107" i="44"/>
  <c r="D18" i="43" s="1"/>
  <c r="AG109" i="44"/>
  <c r="AH109" i="44"/>
  <c r="AG111" i="44"/>
  <c r="AH111" i="44"/>
  <c r="AG115" i="44"/>
  <c r="AH115" i="44"/>
  <c r="AG117" i="44"/>
  <c r="AH117" i="44"/>
  <c r="AG119" i="44"/>
  <c r="AH119" i="44"/>
  <c r="AG121" i="44"/>
  <c r="AH121" i="44"/>
  <c r="AG123" i="44"/>
  <c r="AH123" i="44"/>
  <c r="AG125" i="44"/>
  <c r="AH125" i="44"/>
  <c r="AG127" i="44"/>
  <c r="AH127" i="44"/>
  <c r="AG129" i="44"/>
  <c r="AH129" i="44"/>
  <c r="AG131" i="44"/>
  <c r="AH131" i="44"/>
  <c r="AG133" i="44"/>
  <c r="AH133" i="44"/>
  <c r="AG135" i="44"/>
  <c r="AH135" i="44"/>
  <c r="AG137" i="44"/>
  <c r="AH137" i="44"/>
  <c r="AG139" i="44"/>
  <c r="AH139" i="44"/>
  <c r="AG141" i="44"/>
  <c r="AH141" i="44"/>
  <c r="AG143" i="44"/>
  <c r="AH143" i="44"/>
  <c r="AG145" i="44"/>
  <c r="AH145" i="44"/>
  <c r="AH147" i="44"/>
  <c r="AG147" i="44"/>
  <c r="AG149" i="44"/>
  <c r="AH149" i="44"/>
  <c r="AG151" i="44"/>
  <c r="AH151" i="44"/>
  <c r="AG160" i="44"/>
  <c r="AH160" i="44"/>
  <c r="AG162" i="44"/>
  <c r="AH162" i="44"/>
  <c r="AG164" i="44"/>
  <c r="AH164" i="44"/>
  <c r="AG167" i="44"/>
  <c r="AH167" i="44"/>
  <c r="AG174" i="44"/>
  <c r="AH174" i="44"/>
  <c r="AH177" i="44"/>
  <c r="AG177" i="44"/>
  <c r="AH190" i="44"/>
  <c r="AG190" i="44"/>
  <c r="AH210" i="44"/>
  <c r="AG210" i="44"/>
  <c r="AH215" i="44"/>
  <c r="AG215" i="44"/>
  <c r="AH218" i="44"/>
  <c r="AG218" i="44"/>
  <c r="AH222" i="44"/>
  <c r="AG222" i="44"/>
  <c r="AH225" i="44"/>
  <c r="AG225" i="44"/>
  <c r="AH229" i="44"/>
  <c r="AG229" i="44"/>
  <c r="AH233" i="44"/>
  <c r="AG233" i="44"/>
  <c r="AH235" i="44"/>
  <c r="AG235" i="44"/>
  <c r="AH243" i="44"/>
  <c r="AG243" i="44"/>
  <c r="AH258" i="44"/>
  <c r="AG258" i="44"/>
  <c r="AH260" i="44"/>
  <c r="AG260" i="44"/>
  <c r="AH263" i="44"/>
  <c r="AG263" i="44"/>
  <c r="AH265" i="44"/>
  <c r="AG265" i="44"/>
  <c r="AH267" i="44"/>
  <c r="AG267" i="44"/>
  <c r="AH269" i="44"/>
  <c r="AG269" i="44"/>
  <c r="AH271" i="44"/>
  <c r="AG271" i="44"/>
  <c r="AH274" i="44"/>
  <c r="AG274" i="44"/>
  <c r="AH276" i="44"/>
  <c r="AB50" i="42" s="1"/>
  <c r="AG276" i="44"/>
  <c r="AH278" i="44"/>
  <c r="AG278" i="44"/>
  <c r="AH280" i="44"/>
  <c r="AG280" i="44"/>
  <c r="AH282" i="44"/>
  <c r="AG282" i="44"/>
  <c r="AH284" i="44"/>
  <c r="AG284" i="44"/>
  <c r="AH288" i="44"/>
  <c r="AG288" i="44"/>
  <c r="AH290" i="44"/>
  <c r="AG290" i="44"/>
  <c r="AH292" i="44"/>
  <c r="AG292" i="44"/>
  <c r="AH295" i="44"/>
  <c r="AG295" i="44"/>
  <c r="AH297" i="44"/>
  <c r="AG297" i="44"/>
  <c r="AH299" i="44"/>
  <c r="AG299" i="44"/>
  <c r="AG301" i="44"/>
  <c r="AH301" i="44"/>
  <c r="AG303" i="44"/>
  <c r="AH303" i="44"/>
  <c r="AG305" i="44"/>
  <c r="AH305" i="44"/>
  <c r="AH307" i="44"/>
  <c r="V36" i="41" s="1"/>
  <c r="F36" i="41" s="1"/>
  <c r="AG307" i="44"/>
  <c r="AH309" i="44"/>
  <c r="AG309" i="44"/>
  <c r="AH311" i="44"/>
  <c r="AG311" i="44"/>
  <c r="AH313" i="44"/>
  <c r="D51" i="43" s="1"/>
  <c r="AG313" i="44"/>
  <c r="D51" i="46" s="1"/>
  <c r="AH316" i="44"/>
  <c r="D55" i="43" s="1"/>
  <c r="AG316" i="44"/>
  <c r="D55" i="46" s="1"/>
  <c r="AH318" i="44"/>
  <c r="AG318" i="44"/>
  <c r="AH320" i="44"/>
  <c r="AG320" i="44"/>
  <c r="AH323" i="44"/>
  <c r="AG323" i="44"/>
  <c r="AH325" i="44"/>
  <c r="AH327" i="44"/>
  <c r="AG327" i="44"/>
  <c r="AH329" i="44"/>
  <c r="AG329" i="44"/>
  <c r="AH331" i="44"/>
  <c r="AG331" i="44"/>
  <c r="AH335" i="44"/>
  <c r="AG335" i="44"/>
  <c r="AH337" i="44"/>
  <c r="AG337" i="44"/>
  <c r="AH340" i="44"/>
  <c r="AG340" i="44"/>
  <c r="AG342" i="44"/>
  <c r="AH342" i="44"/>
  <c r="AG344" i="44"/>
  <c r="AH344" i="44"/>
  <c r="AG346" i="44"/>
  <c r="AH346" i="44"/>
  <c r="AG348" i="44"/>
  <c r="AH348" i="44"/>
  <c r="AE1771" i="44"/>
  <c r="AG350" i="44"/>
  <c r="AH350" i="44"/>
  <c r="AG352" i="44"/>
  <c r="AH352" i="44"/>
  <c r="AG354" i="44"/>
  <c r="AH354" i="44"/>
  <c r="AE1772" i="44"/>
  <c r="AG356" i="44"/>
  <c r="AH356" i="44"/>
  <c r="AG358" i="44"/>
  <c r="AH358" i="44"/>
  <c r="AG360" i="44"/>
  <c r="AH360" i="44"/>
  <c r="AG362" i="44"/>
  <c r="AH362" i="44"/>
  <c r="AG364" i="44"/>
  <c r="AH364" i="44"/>
  <c r="AG366" i="44"/>
  <c r="AH366" i="44"/>
  <c r="AG368" i="44"/>
  <c r="AH368" i="44"/>
  <c r="AG370" i="44"/>
  <c r="AH370" i="44"/>
  <c r="AG373" i="44"/>
  <c r="AH373" i="44"/>
  <c r="AG375" i="44"/>
  <c r="AH375" i="44"/>
  <c r="AG380" i="44"/>
  <c r="AH380" i="44"/>
  <c r="AG382" i="44"/>
  <c r="AH382" i="44"/>
  <c r="AG384" i="44"/>
  <c r="AH384" i="44"/>
  <c r="AG386" i="44"/>
  <c r="AH386" i="44"/>
  <c r="AG389" i="44"/>
  <c r="AH389" i="44"/>
  <c r="AG393" i="44"/>
  <c r="AH393" i="44"/>
  <c r="AG398" i="44"/>
  <c r="AH398" i="44"/>
  <c r="AG400" i="44"/>
  <c r="AH404" i="44"/>
  <c r="AG404" i="44"/>
  <c r="AH407" i="44"/>
  <c r="AG407" i="44"/>
  <c r="AH410" i="44"/>
  <c r="AG410" i="44"/>
  <c r="AH414" i="44"/>
  <c r="AG414" i="44"/>
  <c r="AH416" i="44"/>
  <c r="AG416" i="44"/>
  <c r="AH418" i="44"/>
  <c r="AG418" i="44"/>
  <c r="AG420" i="44"/>
  <c r="AH420" i="44"/>
  <c r="AH422" i="44"/>
  <c r="AG422" i="44"/>
  <c r="AH424" i="44"/>
  <c r="AG424" i="44"/>
  <c r="AH426" i="44"/>
  <c r="AG426" i="44"/>
  <c r="AH431" i="44"/>
  <c r="AG431" i="44"/>
  <c r="AH433" i="44"/>
  <c r="AG433" i="44"/>
  <c r="AH435" i="44"/>
  <c r="AG435" i="44"/>
  <c r="AH437" i="44"/>
  <c r="AG437" i="44"/>
  <c r="AH445" i="44"/>
  <c r="AG445" i="44"/>
  <c r="AH447" i="44"/>
  <c r="N11" i="45" s="1"/>
  <c r="AG447" i="44"/>
  <c r="AH449" i="44"/>
  <c r="AG449" i="44"/>
  <c r="AH451" i="44"/>
  <c r="AG451" i="44"/>
  <c r="AH453" i="44"/>
  <c r="AG453" i="44"/>
  <c r="AH455" i="44"/>
  <c r="AG455" i="44"/>
  <c r="AH459" i="44"/>
  <c r="AG459" i="44"/>
  <c r="AH462" i="44"/>
  <c r="AG462" i="44"/>
  <c r="AH464" i="44"/>
  <c r="AG464" i="44"/>
  <c r="AH473" i="44"/>
  <c r="AG473" i="44"/>
  <c r="AH475" i="44"/>
  <c r="AG475" i="44"/>
  <c r="AH477" i="44"/>
  <c r="AG477" i="44"/>
  <c r="AH479" i="44"/>
  <c r="AG479" i="44"/>
  <c r="AH481" i="44"/>
  <c r="AG481" i="44"/>
  <c r="AH484" i="44"/>
  <c r="AG484" i="44"/>
  <c r="AH486" i="44"/>
  <c r="AG486" i="44"/>
  <c r="AH488" i="44"/>
  <c r="AG488" i="44"/>
  <c r="AH490" i="44"/>
  <c r="AG490" i="44"/>
  <c r="AH492" i="44"/>
  <c r="AG492" i="44"/>
  <c r="AH494" i="44"/>
  <c r="AG494" i="44"/>
  <c r="AH496" i="44"/>
  <c r="AG496" i="44"/>
  <c r="AH498" i="44"/>
  <c r="AG498" i="44"/>
  <c r="AH500" i="44"/>
  <c r="AG500" i="44"/>
  <c r="AH502" i="44"/>
  <c r="AG502" i="44"/>
  <c r="AH504" i="44"/>
  <c r="AG504" i="44"/>
  <c r="AH506" i="44"/>
  <c r="AG506" i="44"/>
  <c r="AH508" i="44"/>
  <c r="AG508" i="44"/>
  <c r="AH551" i="44"/>
  <c r="AH512" i="44"/>
  <c r="AG512" i="44"/>
  <c r="AH514" i="44"/>
  <c r="AG514" i="44"/>
  <c r="AH516" i="44"/>
  <c r="AG516" i="44"/>
  <c r="AH518" i="44"/>
  <c r="AG518" i="44"/>
  <c r="AH520" i="44"/>
  <c r="AG520" i="44"/>
  <c r="AH522" i="44"/>
  <c r="AG522" i="44"/>
  <c r="AH524" i="44"/>
  <c r="AG524" i="44"/>
  <c r="AH526" i="44"/>
  <c r="AG526" i="44"/>
  <c r="AH528" i="44"/>
  <c r="AG528" i="44"/>
  <c r="AH530" i="44"/>
  <c r="AG530" i="44"/>
  <c r="AH532" i="44"/>
  <c r="AG532" i="44"/>
  <c r="AH534" i="44"/>
  <c r="AG534" i="44"/>
  <c r="AH536" i="44"/>
  <c r="AG536" i="44"/>
  <c r="AH967" i="44"/>
  <c r="AH540" i="44"/>
  <c r="AG540" i="44"/>
  <c r="AH542" i="44"/>
  <c r="AG542" i="44"/>
  <c r="AH544" i="44"/>
  <c r="S642" i="39" s="1"/>
  <c r="AG544" i="44"/>
  <c r="AH546" i="44"/>
  <c r="S654" i="39" s="1"/>
  <c r="AG546" i="44"/>
  <c r="AH548" i="44"/>
  <c r="AG548" i="44"/>
  <c r="AH552" i="44"/>
  <c r="AG552" i="44"/>
  <c r="AH554" i="44"/>
  <c r="AG554" i="44"/>
  <c r="AH556" i="44"/>
  <c r="AG556" i="44"/>
  <c r="AH560" i="44"/>
  <c r="AG560" i="44"/>
  <c r="AH562" i="44"/>
  <c r="AG562" i="44"/>
  <c r="AH565" i="44"/>
  <c r="AG565" i="44"/>
  <c r="AH567" i="44"/>
  <c r="AG567" i="44"/>
  <c r="AH569" i="44"/>
  <c r="AG569" i="44"/>
  <c r="AH571" i="44"/>
  <c r="AG571" i="44"/>
  <c r="AH579" i="44"/>
  <c r="AG579" i="44"/>
  <c r="AH581" i="44"/>
  <c r="AG581" i="44"/>
  <c r="AH583" i="44"/>
  <c r="AG583" i="44"/>
  <c r="AH585" i="44"/>
  <c r="AG585" i="44"/>
  <c r="AH588" i="44"/>
  <c r="AG588" i="44"/>
  <c r="AH591" i="44"/>
  <c r="AG591" i="44"/>
  <c r="AH593" i="44"/>
  <c r="AG593" i="44"/>
  <c r="AH595" i="44"/>
  <c r="AG595" i="44"/>
  <c r="AH597" i="44"/>
  <c r="AG597" i="44"/>
  <c r="AH599" i="44"/>
  <c r="AG599" i="44"/>
  <c r="AH601" i="44"/>
  <c r="AG601" i="44"/>
  <c r="AH603" i="44"/>
  <c r="AG603" i="44"/>
  <c r="AH605" i="44"/>
  <c r="AG605" i="44"/>
  <c r="AH607" i="44"/>
  <c r="AG607" i="44"/>
  <c r="AH609" i="44"/>
  <c r="AG609" i="44"/>
  <c r="AH611" i="44"/>
  <c r="AG611" i="44"/>
  <c r="AH613" i="44"/>
  <c r="AG613" i="44"/>
  <c r="AH615" i="44"/>
  <c r="AG615" i="44"/>
  <c r="AH617" i="44"/>
  <c r="AG617" i="44"/>
  <c r="AH619" i="44"/>
  <c r="AG619" i="44"/>
  <c r="AH622" i="44"/>
  <c r="AG622" i="44"/>
  <c r="AH624" i="44"/>
  <c r="P50" i="45" s="1"/>
  <c r="AG624" i="44"/>
  <c r="AH630" i="44"/>
  <c r="AG630" i="44"/>
  <c r="AG887" i="44"/>
  <c r="AG639" i="44"/>
  <c r="AH639" i="44"/>
  <c r="AG643" i="44"/>
  <c r="AH643" i="44"/>
  <c r="AH647" i="44"/>
  <c r="AG647" i="44"/>
  <c r="AH649" i="44"/>
  <c r="AG649" i="44"/>
  <c r="AG651" i="44"/>
  <c r="AH651" i="44"/>
  <c r="AH654" i="44"/>
  <c r="AG654" i="44"/>
  <c r="AH660" i="44"/>
  <c r="AG660" i="44"/>
  <c r="AH662" i="44"/>
  <c r="AG662" i="44"/>
  <c r="AH664" i="44"/>
  <c r="Q14" i="35" s="1"/>
  <c r="AG664" i="44"/>
  <c r="AH666" i="44"/>
  <c r="T14" i="35" s="1"/>
  <c r="AG666" i="44"/>
  <c r="AH668" i="44"/>
  <c r="AA14" i="35" s="1"/>
  <c r="AG668" i="44"/>
  <c r="AH670" i="44"/>
  <c r="O14" i="35" s="1"/>
  <c r="AG670" i="44"/>
  <c r="AH672" i="44"/>
  <c r="I14" i="35" s="1"/>
  <c r="AG672" i="44"/>
  <c r="AH674" i="44"/>
  <c r="Z14" i="35" s="1"/>
  <c r="AG674" i="44"/>
  <c r="AH677" i="44"/>
  <c r="Y14" i="35" s="1"/>
  <c r="AG677" i="44"/>
  <c r="AG680" i="44"/>
  <c r="AH680" i="44"/>
  <c r="AH699" i="44"/>
  <c r="AC35" i="41" s="1"/>
  <c r="AC34" i="41" s="1"/>
  <c r="AG699" i="44"/>
  <c r="AH701" i="44"/>
  <c r="AF35" i="41" s="1"/>
  <c r="AG701" i="44"/>
  <c r="AH703" i="44"/>
  <c r="AD35" i="41" s="1"/>
  <c r="AG703" i="44"/>
  <c r="AJ703" i="44"/>
  <c r="AH705" i="44"/>
  <c r="AG705" i="44"/>
  <c r="AH707" i="44"/>
  <c r="V42" i="41" s="1"/>
  <c r="AG707" i="44"/>
  <c r="AH709" i="44"/>
  <c r="N35" i="41" s="1"/>
  <c r="AG709" i="44"/>
  <c r="AH711" i="44"/>
  <c r="AG711" i="44"/>
  <c r="AH713" i="44"/>
  <c r="AA35" i="41" s="1"/>
  <c r="AG713" i="44"/>
  <c r="AJ713" i="44"/>
  <c r="AH716" i="44"/>
  <c r="I35" i="41" s="1"/>
  <c r="AG716" i="44"/>
  <c r="AH718" i="44"/>
  <c r="H22" i="35" s="1"/>
  <c r="AG718" i="44"/>
  <c r="AH720" i="44"/>
  <c r="G42" i="41" s="1"/>
  <c r="AG720" i="44"/>
  <c r="AH722" i="44"/>
  <c r="I42" i="41" s="1"/>
  <c r="AG722" i="44"/>
  <c r="AH724" i="44"/>
  <c r="N42" i="41" s="1"/>
  <c r="AG724" i="44"/>
  <c r="AH726" i="44"/>
  <c r="P42" i="41" s="1"/>
  <c r="AG726" i="44"/>
  <c r="AH728" i="44"/>
  <c r="AG728" i="44"/>
  <c r="AG730" i="44"/>
  <c r="AG747" i="44"/>
  <c r="AH747" i="44"/>
  <c r="AF39" i="41" s="1"/>
  <c r="AF38" i="41" s="1"/>
  <c r="AH740" i="44"/>
  <c r="I39" i="41" s="1"/>
  <c r="I38" i="41" s="1"/>
  <c r="AG740" i="44"/>
  <c r="AH742" i="44"/>
  <c r="P39" i="41" s="1"/>
  <c r="P38" i="41" s="1"/>
  <c r="AG742" i="44"/>
  <c r="AG744" i="44"/>
  <c r="AH744" i="44"/>
  <c r="V39" i="41" s="1"/>
  <c r="V38" i="41" s="1"/>
  <c r="AH748" i="44"/>
  <c r="AG748" i="44"/>
  <c r="AH752" i="44"/>
  <c r="AG752" i="44"/>
  <c r="AH755" i="44"/>
  <c r="AG755" i="44"/>
  <c r="AG757" i="44"/>
  <c r="AH757" i="44"/>
  <c r="AG759" i="44"/>
  <c r="AH759" i="44"/>
  <c r="AH768" i="44"/>
  <c r="AG768" i="44"/>
  <c r="AH772" i="44"/>
  <c r="AG772" i="44"/>
  <c r="AH775" i="44"/>
  <c r="AG775" i="44"/>
  <c r="AH777" i="44"/>
  <c r="AG777" i="44"/>
  <c r="AH779" i="44"/>
  <c r="AG779" i="44"/>
  <c r="AH781" i="44"/>
  <c r="AG781" i="44"/>
  <c r="AH783" i="44"/>
  <c r="AG783" i="44"/>
  <c r="AH785" i="44"/>
  <c r="AG785" i="44"/>
  <c r="AH787" i="44"/>
  <c r="AG787" i="44"/>
  <c r="AH789" i="44"/>
  <c r="AG789" i="44"/>
  <c r="AH791" i="44"/>
  <c r="AG791" i="44"/>
  <c r="AH793" i="44"/>
  <c r="AG793" i="44"/>
  <c r="AH795" i="44"/>
  <c r="AG795" i="44"/>
  <c r="AH797" i="44"/>
  <c r="AG797" i="44"/>
  <c r="AH799" i="44"/>
  <c r="AG799" i="44"/>
  <c r="AH803" i="44"/>
  <c r="AG803" i="44"/>
  <c r="AH805" i="44"/>
  <c r="AG805" i="44"/>
  <c r="AH807" i="44"/>
  <c r="AG807" i="44"/>
  <c r="AH809" i="44"/>
  <c r="AG809" i="44"/>
  <c r="AH811" i="44"/>
  <c r="AG811" i="44"/>
  <c r="AH813" i="44"/>
  <c r="AG813" i="44"/>
  <c r="AH815" i="44"/>
  <c r="AG815" i="44"/>
  <c r="AH819" i="44"/>
  <c r="AG819" i="44"/>
  <c r="AH825" i="44"/>
  <c r="AG825" i="44"/>
  <c r="AH828" i="44"/>
  <c r="AG828" i="44"/>
  <c r="AH832" i="44"/>
  <c r="AG832" i="44"/>
  <c r="AH834" i="44"/>
  <c r="AG834" i="44"/>
  <c r="AH836" i="44"/>
  <c r="AG836" i="44"/>
  <c r="AH838" i="44"/>
  <c r="AG838" i="44"/>
  <c r="AH840" i="44"/>
  <c r="AG840" i="44"/>
  <c r="AH844" i="44"/>
  <c r="AG844" i="44"/>
  <c r="AH846" i="44"/>
  <c r="AG846" i="44"/>
  <c r="AH849" i="44"/>
  <c r="AG849" i="44"/>
  <c r="AH853" i="44"/>
  <c r="AG853" i="44"/>
  <c r="AG856" i="44"/>
  <c r="AH856" i="44"/>
  <c r="AG861" i="44"/>
  <c r="AH861" i="44"/>
  <c r="AG863" i="44"/>
  <c r="AH863" i="44"/>
  <c r="AG865" i="44"/>
  <c r="AH865" i="44"/>
  <c r="AH869" i="44"/>
  <c r="AH871" i="44"/>
  <c r="AG871" i="44"/>
  <c r="AG873" i="44"/>
  <c r="AH873" i="44"/>
  <c r="AG875" i="44"/>
  <c r="AH875" i="44"/>
  <c r="AG877" i="44"/>
  <c r="AH877" i="44"/>
  <c r="AG879" i="44"/>
  <c r="AH879" i="44"/>
  <c r="AG882" i="44"/>
  <c r="AH882" i="44"/>
  <c r="AG890" i="44"/>
  <c r="AH890" i="44"/>
  <c r="AG892" i="44"/>
  <c r="AH892" i="44"/>
  <c r="AG894" i="44"/>
  <c r="AH894" i="44"/>
  <c r="AG896" i="44"/>
  <c r="AH896" i="44"/>
  <c r="AG899" i="44"/>
  <c r="AH899" i="44"/>
  <c r="AG901" i="44"/>
  <c r="D107" i="46" s="1"/>
  <c r="AH901" i="44"/>
  <c r="D107" i="43" s="1"/>
  <c r="AH905" i="44"/>
  <c r="AG905" i="44"/>
  <c r="AH908" i="44"/>
  <c r="AG908" i="44"/>
  <c r="AH910" i="44"/>
  <c r="AG910" i="44"/>
  <c r="AH912" i="44"/>
  <c r="AG912" i="44"/>
  <c r="AH916" i="44"/>
  <c r="AG916" i="44"/>
  <c r="AH918" i="44"/>
  <c r="AG918" i="44"/>
  <c r="AG920" i="44"/>
  <c r="AH920" i="44"/>
  <c r="AG922" i="44"/>
  <c r="AH922" i="44"/>
  <c r="AG935" i="44"/>
  <c r="AH935" i="44"/>
  <c r="AG947" i="44"/>
  <c r="AH947" i="44"/>
  <c r="AG949" i="44"/>
  <c r="AH949" i="44"/>
  <c r="AG951" i="44"/>
  <c r="AH951" i="44"/>
  <c r="AG953" i="44"/>
  <c r="AH953" i="44"/>
  <c r="AG955" i="44"/>
  <c r="AH955" i="44"/>
  <c r="AG957" i="44"/>
  <c r="AH957" i="44"/>
  <c r="AG959" i="44"/>
  <c r="AH959" i="44"/>
  <c r="AH961" i="44"/>
  <c r="AG961" i="44"/>
  <c r="AH963" i="44"/>
  <c r="AG963" i="44"/>
  <c r="AH965" i="44"/>
  <c r="AG965" i="44"/>
  <c r="AH538" i="44"/>
  <c r="AH969" i="44"/>
  <c r="AG969" i="44"/>
  <c r="AG972" i="44"/>
  <c r="AH972" i="44"/>
  <c r="AG396" i="44"/>
  <c r="AG978" i="44"/>
  <c r="D116" i="46" s="1"/>
  <c r="AH978" i="44"/>
  <c r="D116" i="43" s="1"/>
  <c r="AG980" i="44"/>
  <c r="AH980" i="44"/>
  <c r="AG982" i="44"/>
  <c r="AH982" i="44"/>
  <c r="AG988" i="44"/>
  <c r="AH988" i="44"/>
  <c r="AG991" i="44"/>
  <c r="AH991" i="44"/>
  <c r="AG993" i="44"/>
  <c r="AH993" i="44"/>
  <c r="AG995" i="44"/>
  <c r="AH995" i="44"/>
  <c r="AG997" i="44"/>
  <c r="AH997" i="44"/>
  <c r="AG1002" i="44"/>
  <c r="AH1002" i="44"/>
  <c r="AG1004" i="44"/>
  <c r="AH1004" i="44"/>
  <c r="AH616" i="44"/>
  <c r="AG1008" i="44"/>
  <c r="AH1008" i="44"/>
  <c r="AG1012" i="44"/>
  <c r="AH1012" i="44"/>
  <c r="AG1015" i="44"/>
  <c r="AH1015" i="44"/>
  <c r="F18" i="35" s="1"/>
  <c r="AG1017" i="44"/>
  <c r="AH1017" i="44"/>
  <c r="AG1019" i="44"/>
  <c r="AH1019" i="44"/>
  <c r="AG1028" i="44"/>
  <c r="AH1028" i="44"/>
  <c r="AG1031" i="44"/>
  <c r="AH1031" i="44"/>
  <c r="AH645" i="44"/>
  <c r="AG1036" i="44"/>
  <c r="AH1036" i="44"/>
  <c r="AG1038" i="44"/>
  <c r="AH1038" i="44"/>
  <c r="AG1040" i="44"/>
  <c r="AH1040" i="44"/>
  <c r="AH1043" i="44"/>
  <c r="AH1045" i="44"/>
  <c r="AH1051" i="44"/>
  <c r="AG1051" i="44"/>
  <c r="AH1054" i="44"/>
  <c r="AG1054" i="44"/>
  <c r="AH1056" i="44"/>
  <c r="AG1056" i="44"/>
  <c r="AH1059" i="44"/>
  <c r="AG1059" i="44"/>
  <c r="AH1061" i="44"/>
  <c r="AG1061" i="44"/>
  <c r="AH1064" i="44"/>
  <c r="D184" i="43" s="1"/>
  <c r="AG1064" i="44"/>
  <c r="D184" i="46" s="1"/>
  <c r="AH1069" i="44"/>
  <c r="AG1069" i="44"/>
  <c r="AH1072" i="44"/>
  <c r="AG1072" i="44"/>
  <c r="AH1074" i="44"/>
  <c r="AG1074" i="44"/>
  <c r="AH1076" i="44"/>
  <c r="AG1076" i="44"/>
  <c r="AH1078" i="44"/>
  <c r="AG1078" i="44"/>
  <c r="AH1080" i="44"/>
  <c r="AG1080" i="44"/>
  <c r="AH1082" i="44"/>
  <c r="AG1082" i="44"/>
  <c r="AH1084" i="44"/>
  <c r="AG1084" i="44"/>
  <c r="AH1086" i="44"/>
  <c r="AG1086" i="44"/>
  <c r="AH1088" i="44"/>
  <c r="AG1088" i="44"/>
  <c r="AH1090" i="44"/>
  <c r="AG1090" i="44"/>
  <c r="AH1092" i="44"/>
  <c r="AG1092" i="44"/>
  <c r="AH1094" i="44"/>
  <c r="AG1094" i="44"/>
  <c r="AH1096" i="44"/>
  <c r="AG1096" i="44"/>
  <c r="AH1098" i="44"/>
  <c r="AG1098" i="44"/>
  <c r="AH1100" i="44"/>
  <c r="AG1100" i="44"/>
  <c r="AH1102" i="44"/>
  <c r="AG1102" i="44"/>
  <c r="AH1104" i="44"/>
  <c r="AG1104" i="44"/>
  <c r="AH1106" i="44"/>
  <c r="AG1106" i="44"/>
  <c r="AH1110" i="44"/>
  <c r="AG1110" i="44"/>
  <c r="AH1112" i="44"/>
  <c r="AG1112" i="44"/>
  <c r="AH1114" i="44"/>
  <c r="AG1114" i="44"/>
  <c r="AH1116" i="44"/>
  <c r="AG1116" i="44"/>
  <c r="AH1118" i="44"/>
  <c r="AG1118" i="44"/>
  <c r="AH1121" i="44"/>
  <c r="AG1121" i="44"/>
  <c r="AH1123" i="44"/>
  <c r="AG1123" i="44"/>
  <c r="AH1126" i="44"/>
  <c r="AG1126" i="44"/>
  <c r="AH1128" i="44"/>
  <c r="AG1128" i="44"/>
  <c r="AH1130" i="44"/>
  <c r="AG1130" i="44"/>
  <c r="AH1133" i="44"/>
  <c r="AG1133" i="44"/>
  <c r="AH1135" i="44"/>
  <c r="AG1135" i="44"/>
  <c r="AG1138" i="44"/>
  <c r="AH1138" i="44"/>
  <c r="AH1139" i="44"/>
  <c r="AG1139" i="44"/>
  <c r="AH1141" i="44"/>
  <c r="AG1141" i="44"/>
  <c r="AH1143" i="44"/>
  <c r="AG1143" i="44"/>
  <c r="AH1145" i="44"/>
  <c r="AG1145" i="44"/>
  <c r="AH1147" i="44"/>
  <c r="AG1147" i="44"/>
  <c r="AH1149" i="44"/>
  <c r="AG1149" i="44"/>
  <c r="AH1151" i="44"/>
  <c r="AG1151" i="44"/>
  <c r="AH1153" i="44"/>
  <c r="AG1153" i="44"/>
  <c r="AH1155" i="44"/>
  <c r="AG1155" i="44"/>
  <c r="AH1157" i="44"/>
  <c r="AG1157" i="44"/>
  <c r="AH1159" i="44"/>
  <c r="AG1159" i="44"/>
  <c r="AH1161" i="44"/>
  <c r="AG1161" i="44"/>
  <c r="AH1163" i="44"/>
  <c r="AG1163" i="44"/>
  <c r="AH1165" i="44"/>
  <c r="AG1165" i="44"/>
  <c r="AH1168" i="44"/>
  <c r="AG1168" i="44"/>
  <c r="AH1170" i="44"/>
  <c r="AG1170" i="44"/>
  <c r="AH1172" i="44"/>
  <c r="AG1172" i="44"/>
  <c r="AH1174" i="44"/>
  <c r="AG1174" i="44"/>
  <c r="AH1176" i="44"/>
  <c r="AG1176" i="44"/>
  <c r="AH1178" i="44"/>
  <c r="AG1178" i="44"/>
  <c r="AH1180" i="44"/>
  <c r="AG1180" i="44"/>
  <c r="AH1193" i="44"/>
  <c r="AG1193" i="44"/>
  <c r="AH1195" i="44"/>
  <c r="AG1195" i="44"/>
  <c r="AH1197" i="44"/>
  <c r="AG1197" i="44"/>
  <c r="AH1199" i="44"/>
  <c r="AG1199" i="44"/>
  <c r="AH1201" i="44"/>
  <c r="AG1201" i="44"/>
  <c r="AH1203" i="44"/>
  <c r="AG1203" i="44"/>
  <c r="AH1205" i="44"/>
  <c r="AG1205" i="44"/>
  <c r="AH1207" i="44"/>
  <c r="AG1207" i="44"/>
  <c r="AH1209" i="44"/>
  <c r="AG1209" i="44"/>
  <c r="AH1212" i="44"/>
  <c r="AG1212" i="44"/>
  <c r="AH1214" i="44"/>
  <c r="AG1214" i="44"/>
  <c r="AH1216" i="44"/>
  <c r="AG1216" i="44"/>
  <c r="AH1218" i="44"/>
  <c r="AG1218" i="44"/>
  <c r="AH1220" i="44"/>
  <c r="AG1220" i="44"/>
  <c r="AH1222" i="44"/>
  <c r="AG1222" i="44"/>
  <c r="AH1224" i="44"/>
  <c r="AG1224" i="44"/>
  <c r="AH1226" i="44"/>
  <c r="AG1226" i="44"/>
  <c r="AG1229" i="44"/>
  <c r="AH1229" i="44"/>
  <c r="AG1236" i="44"/>
  <c r="AH1236" i="44"/>
  <c r="AG1238" i="44"/>
  <c r="AH1238" i="44"/>
  <c r="AG1240" i="44"/>
  <c r="AH1240" i="44"/>
  <c r="AG1245" i="44"/>
  <c r="AH1245" i="44"/>
  <c r="AG1249" i="44"/>
  <c r="AH1249" i="44"/>
  <c r="AG1251" i="44"/>
  <c r="AH1251" i="44"/>
  <c r="AG1253" i="44"/>
  <c r="AH1253" i="44"/>
  <c r="AG1255" i="44"/>
  <c r="AH1255" i="44"/>
  <c r="AG1257" i="44"/>
  <c r="AH1257" i="44"/>
  <c r="AG1260" i="44"/>
  <c r="AH1260" i="44"/>
  <c r="AG1262" i="44"/>
  <c r="AH1262" i="44"/>
  <c r="AG1264" i="44"/>
  <c r="AH1264" i="44"/>
  <c r="AG1266" i="44"/>
  <c r="AH1266" i="44"/>
  <c r="AG1268" i="44"/>
  <c r="AH1268" i="44"/>
  <c r="W642" i="39" s="1"/>
  <c r="AG1270" i="44"/>
  <c r="AH1270" i="44"/>
  <c r="AG1272" i="44"/>
  <c r="AH1272" i="44"/>
  <c r="AG1274" i="44"/>
  <c r="AH1274" i="44"/>
  <c r="W645" i="39" s="1"/>
  <c r="AG1276" i="44"/>
  <c r="AH1276" i="44"/>
  <c r="AG1278" i="44"/>
  <c r="AH1278" i="44"/>
  <c r="AG1280" i="44"/>
  <c r="AH1280" i="44"/>
  <c r="AG1282" i="44"/>
  <c r="AH1282" i="44"/>
  <c r="AG1284" i="44"/>
  <c r="AH1284" i="44"/>
  <c r="AG1286" i="44"/>
  <c r="AH1286" i="44"/>
  <c r="AG1288" i="44"/>
  <c r="AH1288" i="44"/>
  <c r="AG1290" i="44"/>
  <c r="AH1290" i="44"/>
  <c r="W654" i="39" s="1"/>
  <c r="AG1292" i="44"/>
  <c r="AH1292" i="44"/>
  <c r="W624" i="39" s="1"/>
  <c r="AG1294" i="44"/>
  <c r="AH1294" i="44"/>
  <c r="W615" i="39" s="1"/>
  <c r="AG1296" i="44"/>
  <c r="AH1296" i="44"/>
  <c r="AG1298" i="44"/>
  <c r="AH1298" i="44"/>
  <c r="AG1300" i="44"/>
  <c r="AH1300" i="44"/>
  <c r="AG1302" i="44"/>
  <c r="AH1302" i="44"/>
  <c r="AG1304" i="44"/>
  <c r="AH1304" i="44"/>
  <c r="AG1306" i="44"/>
  <c r="AH1306" i="44"/>
  <c r="AG1308" i="44"/>
  <c r="AH1308" i="44"/>
  <c r="AG1310" i="44"/>
  <c r="AH1310" i="44"/>
  <c r="AG1313" i="44"/>
  <c r="AH1313" i="44"/>
  <c r="AG1316" i="44"/>
  <c r="AH1316" i="44"/>
  <c r="AG1318" i="44"/>
  <c r="AH1318" i="44"/>
  <c r="AG1320" i="44"/>
  <c r="AH1320" i="44"/>
  <c r="AG1322" i="44"/>
  <c r="AH1322" i="44"/>
  <c r="AG1325" i="44"/>
  <c r="AH1325" i="44"/>
  <c r="AG1328" i="44"/>
  <c r="AH1328" i="44"/>
  <c r="AG1330" i="44"/>
  <c r="AH1330" i="44"/>
  <c r="AG1332" i="44"/>
  <c r="AH1332" i="44"/>
  <c r="AG1335" i="44"/>
  <c r="AH1335" i="44"/>
  <c r="AG1337" i="44"/>
  <c r="AH1337" i="44"/>
  <c r="AG1339" i="44"/>
  <c r="AH1339" i="44"/>
  <c r="AG1341" i="44"/>
  <c r="AH1341" i="44"/>
  <c r="AG1343" i="44"/>
  <c r="AH1343" i="44"/>
  <c r="AG1345" i="44"/>
  <c r="AH1345" i="44"/>
  <c r="AG1347" i="44"/>
  <c r="AH1347" i="44"/>
  <c r="AG1349" i="44"/>
  <c r="AH1349" i="44"/>
  <c r="AG1351" i="44"/>
  <c r="AH1351" i="44"/>
  <c r="AG1353" i="44"/>
  <c r="AH1353" i="44"/>
  <c r="AG1355" i="44"/>
  <c r="AH1355" i="44"/>
  <c r="AG1357" i="44"/>
  <c r="AH1357" i="44"/>
  <c r="AG1359" i="44"/>
  <c r="AH1359" i="44"/>
  <c r="AG1361" i="44"/>
  <c r="AH1361" i="44"/>
  <c r="AG1363" i="44"/>
  <c r="AH1363" i="44"/>
  <c r="AH1365" i="44"/>
  <c r="AG1365" i="44"/>
  <c r="AH1369" i="44"/>
  <c r="AG1369" i="44"/>
  <c r="AH1372" i="44"/>
  <c r="AG1372" i="44"/>
  <c r="AH1375" i="44"/>
  <c r="AG1375" i="44"/>
  <c r="AH1378" i="44"/>
  <c r="AG1378" i="44"/>
  <c r="AH1380" i="44"/>
  <c r="AG1380" i="44"/>
  <c r="AH1387" i="44"/>
  <c r="AG1387" i="44"/>
  <c r="AH1390" i="44"/>
  <c r="D159" i="43" s="1"/>
  <c r="AG1390" i="44"/>
  <c r="D159" i="46" s="1"/>
  <c r="AH1397" i="44"/>
  <c r="AG1397" i="44"/>
  <c r="AH1399" i="44"/>
  <c r="AH1401" i="44"/>
  <c r="AG1401" i="44"/>
  <c r="AH1403" i="44"/>
  <c r="AG1403" i="44"/>
  <c r="AH1407" i="44"/>
  <c r="AG1407" i="44"/>
  <c r="AH1409" i="44"/>
  <c r="D180" i="43" s="1"/>
  <c r="AG1409" i="44"/>
  <c r="D180" i="46" s="1"/>
  <c r="AH1411" i="44"/>
  <c r="AG1411" i="44"/>
  <c r="AH1413" i="44"/>
  <c r="AG1413" i="44"/>
  <c r="AH1415" i="44"/>
  <c r="AG1415" i="44"/>
  <c r="AH1417" i="44"/>
  <c r="AG1417" i="44"/>
  <c r="AH1419" i="44"/>
  <c r="AG1419" i="44"/>
  <c r="AH1421" i="44"/>
  <c r="AG1421" i="44"/>
  <c r="AH1423" i="44"/>
  <c r="AG1423" i="44"/>
  <c r="AH1425" i="44"/>
  <c r="AG1425" i="44"/>
  <c r="AH1428" i="44"/>
  <c r="AG1428" i="44"/>
  <c r="AH1430" i="44"/>
  <c r="AG1430" i="44"/>
  <c r="AH1432" i="44"/>
  <c r="AG1432" i="44"/>
  <c r="AH1434" i="44"/>
  <c r="AG1434" i="44"/>
  <c r="AH1436" i="44"/>
  <c r="AG1436" i="44"/>
  <c r="AH1438" i="44"/>
  <c r="AG1438" i="44"/>
  <c r="AH1440" i="44"/>
  <c r="AG1440" i="44"/>
  <c r="AH1445" i="44"/>
  <c r="AG1445" i="44"/>
  <c r="AH1448" i="44"/>
  <c r="AG1448" i="44"/>
  <c r="AH1451" i="44"/>
  <c r="AG1451" i="44"/>
  <c r="AH1453" i="44"/>
  <c r="AG1453" i="44"/>
  <c r="AH1455" i="44"/>
  <c r="AG1455" i="44"/>
  <c r="AH1458" i="44"/>
  <c r="AG1458" i="44"/>
  <c r="AH1460" i="44"/>
  <c r="AG1460" i="44"/>
  <c r="AH1462" i="44"/>
  <c r="AG1462" i="44"/>
  <c r="AH1464" i="44"/>
  <c r="AG1464" i="44"/>
  <c r="AH1466" i="44"/>
  <c r="AG1466" i="44"/>
  <c r="AH1468" i="44"/>
  <c r="AG1468" i="44"/>
  <c r="AH1470" i="44"/>
  <c r="AG1470" i="44"/>
  <c r="AH1472" i="44"/>
  <c r="AG1472" i="44"/>
  <c r="AH1474" i="44"/>
  <c r="AG1474" i="44"/>
  <c r="AH1478" i="44"/>
  <c r="AG1478" i="44"/>
  <c r="AH1481" i="44"/>
  <c r="AG1481" i="44"/>
  <c r="AH1483" i="44"/>
  <c r="AG1483" i="44"/>
  <c r="AH1485" i="44"/>
  <c r="AG1485" i="44"/>
  <c r="AH1487" i="44"/>
  <c r="AG1487" i="44"/>
  <c r="AH1489" i="44"/>
  <c r="AG1489" i="44"/>
  <c r="AH1491" i="44"/>
  <c r="AG1491" i="44"/>
  <c r="AH1493" i="44"/>
  <c r="AG1493" i="44"/>
  <c r="AH1495" i="44"/>
  <c r="AG1495" i="44"/>
  <c r="AH1497" i="44"/>
  <c r="AG1497" i="44"/>
  <c r="AH1499" i="44"/>
  <c r="AG1499" i="44"/>
  <c r="AH1501" i="44"/>
  <c r="AG1501" i="44"/>
  <c r="AH1503" i="44"/>
  <c r="AG1503" i="44"/>
  <c r="AH1505" i="44"/>
  <c r="AG1505" i="44"/>
  <c r="AH1508" i="44"/>
  <c r="AG1508" i="44"/>
  <c r="AH1510" i="44"/>
  <c r="AG1510" i="44"/>
  <c r="AH1512" i="44"/>
  <c r="AG1512" i="44"/>
  <c r="AH1514" i="44"/>
  <c r="AG1514" i="44"/>
  <c r="AH1516" i="44"/>
  <c r="AG1516" i="44"/>
  <c r="AH1518" i="44"/>
  <c r="AG1518" i="44"/>
  <c r="AH1520" i="44"/>
  <c r="AG1520" i="44"/>
  <c r="AH1523" i="44"/>
  <c r="AG1523" i="44"/>
  <c r="AH1526" i="44"/>
  <c r="AG1526" i="44"/>
  <c r="AH1528" i="44"/>
  <c r="AG1528" i="44"/>
  <c r="AH1530" i="44"/>
  <c r="AG1530" i="44"/>
  <c r="AH1532" i="44"/>
  <c r="AG1532" i="44"/>
  <c r="AH1534" i="44"/>
  <c r="AG1534" i="44"/>
  <c r="AH1536" i="44"/>
  <c r="AG1536" i="44"/>
  <c r="AH1538" i="44"/>
  <c r="AG1538" i="44"/>
  <c r="AH1540" i="44"/>
  <c r="AG1540" i="44"/>
  <c r="AH1542" i="44"/>
  <c r="AG1542" i="44"/>
  <c r="AH1545" i="44"/>
  <c r="AG1545" i="44"/>
  <c r="AH1547" i="44"/>
  <c r="AG1547" i="44"/>
  <c r="AH1549" i="44"/>
  <c r="AG1549" i="44"/>
  <c r="AH1551" i="44"/>
  <c r="AG1551" i="44"/>
  <c r="AH1553" i="44"/>
  <c r="AG1553" i="44"/>
  <c r="AH1555" i="44"/>
  <c r="AG1555" i="44"/>
  <c r="AH1557" i="44"/>
  <c r="AG1557" i="44"/>
  <c r="AH1559" i="44"/>
  <c r="AG1559" i="44"/>
  <c r="AH1561" i="44"/>
  <c r="AG1561" i="44"/>
  <c r="AH1564" i="44"/>
  <c r="AG1564" i="44"/>
  <c r="AH1566" i="44"/>
  <c r="AG1566" i="44"/>
  <c r="AH1568" i="44"/>
  <c r="AG1568" i="44"/>
  <c r="AH1570" i="44"/>
  <c r="AG1570" i="44"/>
  <c r="AH1572" i="44"/>
  <c r="AG1572" i="44"/>
  <c r="AH1574" i="44"/>
  <c r="AG1574" i="44"/>
  <c r="AH1576" i="44"/>
  <c r="AG1576" i="44"/>
  <c r="AH1578" i="44"/>
  <c r="AG1578" i="44"/>
  <c r="AH1580" i="44"/>
  <c r="AG1580" i="44"/>
  <c r="AH1582" i="44"/>
  <c r="AG1582" i="44"/>
  <c r="AH1584" i="44"/>
  <c r="AG1584" i="44"/>
  <c r="AH1586" i="44"/>
  <c r="AG1586" i="44"/>
  <c r="AH1588" i="44"/>
  <c r="AG1588" i="44"/>
  <c r="AH1590" i="44"/>
  <c r="AG1590" i="44"/>
  <c r="AH1592" i="44"/>
  <c r="AG1592" i="44"/>
  <c r="AH1595" i="44"/>
  <c r="AG1595" i="44"/>
  <c r="AH1597" i="44"/>
  <c r="AG1597" i="44"/>
  <c r="AH1599" i="44"/>
  <c r="AG1599" i="44"/>
  <c r="AH1601" i="44"/>
  <c r="AG1601" i="44"/>
  <c r="AH1603" i="44"/>
  <c r="AG1603" i="44"/>
  <c r="AH1605" i="44"/>
  <c r="AG1605" i="44"/>
  <c r="AH1607" i="44"/>
  <c r="AG1607" i="44"/>
  <c r="AH1609" i="44"/>
  <c r="AG1609" i="44"/>
  <c r="AH1611" i="44"/>
  <c r="AG1611" i="44"/>
  <c r="AH1613" i="44"/>
  <c r="AG1613" i="44"/>
  <c r="AH1615" i="44"/>
  <c r="AG1615" i="44"/>
  <c r="AH1617" i="44"/>
  <c r="AG1617" i="44"/>
  <c r="AH1619" i="44"/>
  <c r="AG1619" i="44"/>
  <c r="AH1622" i="44"/>
  <c r="AG1622" i="44"/>
  <c r="N102" i="45"/>
  <c r="AG1625" i="44"/>
  <c r="AG1628" i="44"/>
  <c r="AH1628" i="44"/>
  <c r="AG1630" i="44"/>
  <c r="AH1630" i="44"/>
  <c r="AG1640" i="44"/>
  <c r="AH1640" i="44"/>
  <c r="AG1643" i="44"/>
  <c r="AH1643" i="44"/>
  <c r="N98" i="45" s="1"/>
  <c r="AG1645" i="44"/>
  <c r="AH1645" i="44"/>
  <c r="AG1648" i="44"/>
  <c r="AH1648" i="44"/>
  <c r="AG1650" i="44"/>
  <c r="AH1650" i="44"/>
  <c r="AG1652" i="44"/>
  <c r="AH1652" i="44"/>
  <c r="AG1656" i="44"/>
  <c r="AH1656" i="44"/>
  <c r="AG1658" i="44"/>
  <c r="AH1658" i="44"/>
  <c r="AG1660" i="44"/>
  <c r="AH1660" i="44"/>
  <c r="AG1664" i="44"/>
  <c r="AH1664" i="44"/>
  <c r="AG1666" i="44"/>
  <c r="AH1666" i="44"/>
  <c r="AG1668" i="44"/>
  <c r="AH1668" i="44"/>
  <c r="AH1670" i="44"/>
  <c r="AG1670" i="44"/>
  <c r="AG1673" i="44"/>
  <c r="AH1673" i="44"/>
  <c r="AG1675" i="44"/>
  <c r="AH1675" i="44"/>
  <c r="AG1678" i="44"/>
  <c r="AH1678" i="44"/>
  <c r="AG1680" i="44"/>
  <c r="AH1680" i="44"/>
  <c r="AG1682" i="44"/>
  <c r="AH1682" i="44"/>
  <c r="AG1684" i="44"/>
  <c r="AH1684" i="44"/>
  <c r="AG1686" i="44"/>
  <c r="AH1686" i="44"/>
  <c r="AG1688" i="44"/>
  <c r="AH1688" i="44"/>
  <c r="AG1690" i="44"/>
  <c r="AH1690" i="44"/>
  <c r="AH1692" i="44"/>
  <c r="AG1692" i="44"/>
  <c r="AG1694" i="44"/>
  <c r="AH1694" i="44"/>
  <c r="AG1696" i="44"/>
  <c r="AH1696" i="44"/>
  <c r="AG1700" i="44"/>
  <c r="AH1700" i="44"/>
  <c r="AG1703" i="44"/>
  <c r="AH1703" i="44"/>
  <c r="AG1712" i="44"/>
  <c r="AH1712" i="44"/>
  <c r="AG1722" i="44"/>
  <c r="AH1722" i="44"/>
  <c r="AG1729" i="44"/>
  <c r="AH1729" i="44"/>
  <c r="AG1734" i="44"/>
  <c r="AH1734" i="44"/>
  <c r="AG1736" i="44"/>
  <c r="AH1736" i="44"/>
  <c r="AG1738" i="44"/>
  <c r="AH1738" i="44"/>
  <c r="AG1741" i="44"/>
  <c r="AH1741" i="44"/>
  <c r="AG1743" i="44"/>
  <c r="AH1743" i="44"/>
  <c r="AG1745" i="44"/>
  <c r="AH1745" i="44"/>
  <c r="AG1747" i="44"/>
  <c r="AH1747" i="44"/>
  <c r="AG1749" i="44"/>
  <c r="AH1749" i="44"/>
  <c r="AG1751" i="44"/>
  <c r="AH1751" i="44"/>
  <c r="AG1753" i="44"/>
  <c r="AH1753" i="44"/>
  <c r="AG1755" i="44"/>
  <c r="AH1755" i="44"/>
  <c r="AG1757" i="44"/>
  <c r="AH1757" i="44"/>
  <c r="AG1759" i="44"/>
  <c r="AH1759" i="44"/>
  <c r="AG1761" i="44"/>
  <c r="AH1761" i="44"/>
  <c r="AG1763" i="44"/>
  <c r="AH1763" i="44"/>
  <c r="AG1765" i="44"/>
  <c r="AH1765" i="44"/>
  <c r="AE1768" i="44"/>
  <c r="AH7" i="44"/>
  <c r="AG7" i="44"/>
  <c r="AH8" i="44"/>
  <c r="AG8" i="44"/>
  <c r="AH12" i="44"/>
  <c r="AG12" i="44"/>
  <c r="AH16" i="44"/>
  <c r="AG16" i="44"/>
  <c r="AH20" i="44"/>
  <c r="AG20" i="44"/>
  <c r="AH24" i="44"/>
  <c r="AG24" i="44"/>
  <c r="AH32" i="44"/>
  <c r="AG32" i="44"/>
  <c r="AH36" i="44"/>
  <c r="AG36" i="44"/>
  <c r="AH39" i="44"/>
  <c r="AG39" i="44"/>
  <c r="AH46" i="44"/>
  <c r="AG46" i="44"/>
  <c r="AH51" i="44"/>
  <c r="AG51" i="44"/>
  <c r="AH61" i="44"/>
  <c r="AG61" i="44"/>
  <c r="AH65" i="44"/>
  <c r="AG65" i="44"/>
  <c r="AG70" i="44"/>
  <c r="AH70" i="44"/>
  <c r="AG75" i="44"/>
  <c r="AH75" i="44"/>
  <c r="AG85" i="44"/>
  <c r="AH85" i="44"/>
  <c r="AH92" i="44"/>
  <c r="AG92" i="44"/>
  <c r="AH100" i="44"/>
  <c r="AG100" i="44"/>
  <c r="AH104" i="44"/>
  <c r="AG104" i="44"/>
  <c r="AH108" i="44"/>
  <c r="AI791" i="44" s="1"/>
  <c r="AG108" i="44"/>
  <c r="AH113" i="44"/>
  <c r="AG113" i="44"/>
  <c r="AH118" i="44"/>
  <c r="AG118" i="44"/>
  <c r="AH126" i="44"/>
  <c r="AG126" i="44"/>
  <c r="AH130" i="44"/>
  <c r="AG130" i="44"/>
  <c r="AH134" i="44"/>
  <c r="AG134" i="44"/>
  <c r="AH138" i="44"/>
  <c r="AG138" i="44"/>
  <c r="AH142" i="44"/>
  <c r="AG142" i="44"/>
  <c r="AH146" i="44"/>
  <c r="AG146" i="44"/>
  <c r="AH150" i="44"/>
  <c r="AG150" i="44"/>
  <c r="AH161" i="44"/>
  <c r="AG161" i="44"/>
  <c r="AH166" i="44"/>
  <c r="AG166" i="44"/>
  <c r="AH170" i="44"/>
  <c r="AG170" i="44"/>
  <c r="AG186" i="44"/>
  <c r="AH186" i="44"/>
  <c r="AG214" i="44"/>
  <c r="AH214" i="44"/>
  <c r="AG220" i="44"/>
  <c r="AH220" i="44"/>
  <c r="AG227" i="44"/>
  <c r="AH227" i="44"/>
  <c r="AG234" i="44"/>
  <c r="AH234" i="44"/>
  <c r="AG254" i="44"/>
  <c r="AH254" i="44"/>
  <c r="AG261" i="44"/>
  <c r="AH261" i="44"/>
  <c r="AG266" i="44"/>
  <c r="AH266" i="44"/>
  <c r="AG270" i="44"/>
  <c r="AH270" i="44"/>
  <c r="AG275" i="44"/>
  <c r="AH275" i="44"/>
  <c r="AG279" i="44"/>
  <c r="AH279" i="44"/>
  <c r="AG283" i="44"/>
  <c r="AH283" i="44"/>
  <c r="AG289" i="44"/>
  <c r="AH289" i="44"/>
  <c r="AG294" i="44"/>
  <c r="AH294" i="44"/>
  <c r="AG298" i="44"/>
  <c r="AH298" i="44"/>
  <c r="AH302" i="44"/>
  <c r="AG302" i="44"/>
  <c r="AG308" i="44"/>
  <c r="D42" i="46" s="1"/>
  <c r="AH308" i="44"/>
  <c r="D42" i="43" s="1"/>
  <c r="AB38" i="42" s="1"/>
  <c r="AG312" i="44"/>
  <c r="AH312" i="44"/>
  <c r="AG317" i="44"/>
  <c r="AH317" i="44"/>
  <c r="AH971" i="44"/>
  <c r="AG326" i="44"/>
  <c r="AH326" i="44"/>
  <c r="AG330" i="44"/>
  <c r="AH330" i="44"/>
  <c r="AG336" i="44"/>
  <c r="AH336" i="44"/>
  <c r="AH341" i="44"/>
  <c r="AG341" i="44"/>
  <c r="AH345" i="44"/>
  <c r="AG345" i="44"/>
  <c r="AH349" i="44"/>
  <c r="AG349" i="44"/>
  <c r="AH353" i="44"/>
  <c r="AG353" i="44"/>
  <c r="AH357" i="44"/>
  <c r="AJ359" i="44" s="1"/>
  <c r="AG357" i="44"/>
  <c r="AH361" i="44"/>
  <c r="AG361" i="44"/>
  <c r="AH365" i="44"/>
  <c r="AG365" i="44"/>
  <c r="AH369" i="44"/>
  <c r="AG369" i="44"/>
  <c r="AH374" i="44"/>
  <c r="AG374" i="44"/>
  <c r="AH381" i="44"/>
  <c r="AG381" i="44"/>
  <c r="AH385" i="44"/>
  <c r="AG385" i="44"/>
  <c r="AH395" i="44"/>
  <c r="AG395" i="44"/>
  <c r="AH399" i="44"/>
  <c r="AG399" i="44"/>
  <c r="AH406" i="44"/>
  <c r="AG406" i="44"/>
  <c r="AH411" i="44"/>
  <c r="AG411" i="44"/>
  <c r="AH421" i="44"/>
  <c r="AG421" i="44"/>
  <c r="AH425" i="44"/>
  <c r="AG425" i="44"/>
  <c r="AH429" i="44"/>
  <c r="AG429" i="44"/>
  <c r="AH888" i="44"/>
  <c r="AH438" i="44"/>
  <c r="AG438" i="44"/>
  <c r="AH446" i="44"/>
  <c r="N10" i="45" s="1"/>
  <c r="AG446" i="44"/>
  <c r="AH450" i="44"/>
  <c r="AG450" i="44"/>
  <c r="AH821" i="44"/>
  <c r="AH460" i="44"/>
  <c r="AG460" i="44"/>
  <c r="AH466" i="44"/>
  <c r="S622" i="39" s="1"/>
  <c r="AG466" i="44"/>
  <c r="AH476" i="44"/>
  <c r="AG476" i="44"/>
  <c r="AH478" i="44"/>
  <c r="AG478" i="44"/>
  <c r="AH480" i="44"/>
  <c r="AG480" i="44"/>
  <c r="AH482" i="44"/>
  <c r="AG482" i="44"/>
  <c r="AH485" i="44"/>
  <c r="AG485" i="44"/>
  <c r="AH489" i="44"/>
  <c r="AG489" i="44"/>
  <c r="AH491" i="44"/>
  <c r="AG491" i="44"/>
  <c r="AH493" i="44"/>
  <c r="AG493" i="44"/>
  <c r="AH495" i="44"/>
  <c r="AG495" i="44"/>
  <c r="AH497" i="44"/>
  <c r="AG497" i="44"/>
  <c r="AH499" i="44"/>
  <c r="AG499" i="44"/>
  <c r="AH501" i="44"/>
  <c r="AG501" i="44"/>
  <c r="AH503" i="44"/>
  <c r="AG503" i="44"/>
  <c r="AH505" i="44"/>
  <c r="AG505" i="44"/>
  <c r="AH507" i="44"/>
  <c r="AG507" i="44"/>
  <c r="AH509" i="44"/>
  <c r="AG509" i="44"/>
  <c r="AH511" i="44"/>
  <c r="AG511" i="44"/>
  <c r="AH513" i="44"/>
  <c r="AG513" i="44"/>
  <c r="AH515" i="44"/>
  <c r="AG515" i="44"/>
  <c r="AH517" i="44"/>
  <c r="AG517" i="44"/>
  <c r="AH519" i="44"/>
  <c r="S627" i="39" s="1"/>
  <c r="AG519" i="44"/>
  <c r="AH521" i="44"/>
  <c r="AG521" i="44"/>
  <c r="AH523" i="44"/>
  <c r="AG523" i="44"/>
  <c r="AH525" i="44"/>
  <c r="AG525" i="44"/>
  <c r="AH527" i="44"/>
  <c r="AI527" i="44" s="1"/>
  <c r="AG527" i="44"/>
  <c r="AH529" i="44"/>
  <c r="AG529" i="44"/>
  <c r="AH531" i="44"/>
  <c r="AG531" i="44"/>
  <c r="AH533" i="44"/>
  <c r="AG533" i="44"/>
  <c r="AH535" i="44"/>
  <c r="AG535" i="44"/>
  <c r="AH537" i="44"/>
  <c r="AG537" i="44"/>
  <c r="AH539" i="44"/>
  <c r="AG539" i="44"/>
  <c r="AH541" i="44"/>
  <c r="AG541" i="44"/>
  <c r="AH543" i="44"/>
  <c r="S630" i="39" s="1"/>
  <c r="AG543" i="44"/>
  <c r="AH545" i="44"/>
  <c r="S645" i="39" s="1"/>
  <c r="AG545" i="44"/>
  <c r="AH547" i="44"/>
  <c r="S651" i="39" s="1"/>
  <c r="AG547" i="44"/>
  <c r="AG553" i="44"/>
  <c r="AH553" i="44"/>
  <c r="AJ553" i="44" s="1"/>
  <c r="AH555" i="44"/>
  <c r="AG555" i="44"/>
  <c r="AH557" i="44"/>
  <c r="AG557" i="44"/>
  <c r="AH561" i="44"/>
  <c r="AG561" i="44"/>
  <c r="AH563" i="44"/>
  <c r="AJ484" i="44" s="1"/>
  <c r="AG563" i="44"/>
  <c r="AH566" i="44"/>
  <c r="AG566" i="44"/>
  <c r="AH568" i="44"/>
  <c r="AG568" i="44"/>
  <c r="AH570" i="44"/>
  <c r="AG570" i="44"/>
  <c r="AH572" i="44"/>
  <c r="AG572" i="44"/>
  <c r="AH580" i="44"/>
  <c r="AG580" i="44"/>
  <c r="AH582" i="44"/>
  <c r="AG582" i="44"/>
  <c r="AH584" i="44"/>
  <c r="AG584" i="44"/>
  <c r="AH586" i="44"/>
  <c r="AG586" i="44"/>
  <c r="AH589" i="44"/>
  <c r="AG589" i="44"/>
  <c r="AH592" i="44"/>
  <c r="AG592" i="44"/>
  <c r="AH594" i="44"/>
  <c r="AG594" i="44"/>
  <c r="AH596" i="44"/>
  <c r="S46" i="45" s="1"/>
  <c r="S51" i="45" s="1"/>
  <c r="AG596" i="44"/>
  <c r="AH598" i="44"/>
  <c r="AG598" i="44"/>
  <c r="AH600" i="44"/>
  <c r="AG600" i="44"/>
  <c r="AH602" i="44"/>
  <c r="AG602" i="44"/>
  <c r="AH604" i="44"/>
  <c r="AG604" i="44"/>
  <c r="AH606" i="44"/>
  <c r="AG606" i="44"/>
  <c r="AH608" i="44"/>
  <c r="AG608" i="44"/>
  <c r="AH610" i="44"/>
  <c r="AG610" i="44"/>
  <c r="AH612" i="44"/>
  <c r="AG612" i="44"/>
  <c r="AH614" i="44"/>
  <c r="AG614" i="44"/>
  <c r="AH618" i="44"/>
  <c r="AG618" i="44"/>
  <c r="AH620" i="44"/>
  <c r="AG620" i="44"/>
  <c r="AH623" i="44"/>
  <c r="AG623" i="44"/>
  <c r="AH629" i="44"/>
  <c r="AG629" i="44"/>
  <c r="AH631" i="44"/>
  <c r="AG631" i="44"/>
  <c r="AH634" i="44"/>
  <c r="AG634" i="44"/>
  <c r="D24" i="46" s="1"/>
  <c r="AH636" i="44"/>
  <c r="AG636" i="44"/>
  <c r="AH638" i="44"/>
  <c r="AG638" i="44"/>
  <c r="AH640" i="44"/>
  <c r="AG640" i="44"/>
  <c r="AH642" i="44"/>
  <c r="AG642" i="44"/>
  <c r="AH646" i="44"/>
  <c r="AG646" i="44"/>
  <c r="AH648" i="44"/>
  <c r="AG648" i="44"/>
  <c r="AH650" i="44"/>
  <c r="AG650" i="44"/>
  <c r="AH652" i="44"/>
  <c r="AG652" i="44"/>
  <c r="AH656" i="44"/>
  <c r="AG656" i="44"/>
  <c r="AH661" i="44"/>
  <c r="AG661" i="44"/>
  <c r="AH663" i="44"/>
  <c r="AD14" i="35" s="1"/>
  <c r="AG663" i="44"/>
  <c r="AH665" i="44"/>
  <c r="AB14" i="35" s="1"/>
  <c r="AG665" i="44"/>
  <c r="AH667" i="44"/>
  <c r="G14" i="35" s="1"/>
  <c r="AG667" i="44"/>
  <c r="AH669" i="44"/>
  <c r="N14" i="35" s="1"/>
  <c r="AG669" i="44"/>
  <c r="AH671" i="44"/>
  <c r="H14" i="35" s="1"/>
  <c r="AG671" i="44"/>
  <c r="AH673" i="44"/>
  <c r="M14" i="35" s="1"/>
  <c r="AG673" i="44"/>
  <c r="AH675" i="44"/>
  <c r="AG675" i="44"/>
  <c r="AH678" i="44"/>
  <c r="R14" i="35" s="1"/>
  <c r="AG678" i="44"/>
  <c r="AJ698" i="44"/>
  <c r="AH698" i="44"/>
  <c r="V35" i="41" s="1"/>
  <c r="AG698" i="44"/>
  <c r="AH700" i="44"/>
  <c r="AC42" i="41" s="1"/>
  <c r="AG700" i="44"/>
  <c r="AH702" i="44"/>
  <c r="AG702" i="44"/>
  <c r="AG704" i="44"/>
  <c r="AH706" i="44"/>
  <c r="G35" i="41" s="1"/>
  <c r="AG706" i="44"/>
  <c r="AH708" i="44"/>
  <c r="J35" i="41" s="1"/>
  <c r="AG708" i="44"/>
  <c r="AH710" i="44"/>
  <c r="AA42" i="41" s="1"/>
  <c r="AG710" i="44"/>
  <c r="AH712" i="44"/>
  <c r="AD42" i="41" s="1"/>
  <c r="AG712" i="44"/>
  <c r="AH714" i="44"/>
  <c r="AF42" i="41" s="1"/>
  <c r="AG714" i="44"/>
  <c r="AH717" i="44"/>
  <c r="P35" i="41" s="1"/>
  <c r="AG717" i="44"/>
  <c r="AJ717" i="44"/>
  <c r="AJ718" i="44"/>
  <c r="AH719" i="44"/>
  <c r="AG719" i="44"/>
  <c r="AH721" i="44"/>
  <c r="H42" i="41" s="1"/>
  <c r="AG721" i="44"/>
  <c r="AH723" i="44"/>
  <c r="J42" i="41" s="1"/>
  <c r="AG723" i="44"/>
  <c r="AH725" i="44"/>
  <c r="O42" i="41" s="1"/>
  <c r="AG725" i="44"/>
  <c r="AH727" i="44"/>
  <c r="AG727" i="44"/>
  <c r="AH729" i="44"/>
  <c r="AG729" i="44"/>
  <c r="AG745" i="44"/>
  <c r="AH745" i="44"/>
  <c r="AA39" i="41" s="1"/>
  <c r="AA38" i="41" s="1"/>
  <c r="AH739" i="44"/>
  <c r="H39" i="41" s="1"/>
  <c r="G23" i="31" s="1"/>
  <c r="AG739" i="44"/>
  <c r="AH741" i="44"/>
  <c r="O39" i="41" s="1"/>
  <c r="O38" i="41" s="1"/>
  <c r="AG741" i="44"/>
  <c r="AG743" i="44"/>
  <c r="AH743" i="44"/>
  <c r="T39" i="41" s="1"/>
  <c r="S23" i="31" s="1"/>
  <c r="S22" i="31" s="1"/>
  <c r="AG746" i="44"/>
  <c r="AH746" i="44"/>
  <c r="AD39" i="41" s="1"/>
  <c r="AD38" i="41" s="1"/>
  <c r="AG749" i="44"/>
  <c r="AH749" i="44"/>
  <c r="AG754" i="44"/>
  <c r="AH754" i="44"/>
  <c r="AH756" i="44"/>
  <c r="AG756" i="44"/>
  <c r="AH758" i="44"/>
  <c r="AG758" i="44"/>
  <c r="AG760" i="44"/>
  <c r="AH760" i="44"/>
  <c r="AG771" i="44"/>
  <c r="AH771" i="44"/>
  <c r="AG774" i="44"/>
  <c r="AH774" i="44"/>
  <c r="AG776" i="44"/>
  <c r="AH776" i="44"/>
  <c r="N35" i="45" s="1"/>
  <c r="AG778" i="44"/>
  <c r="AH778" i="44"/>
  <c r="AG780" i="44"/>
  <c r="AH780" i="44"/>
  <c r="AG782" i="44"/>
  <c r="AH782" i="44"/>
  <c r="AG784" i="44"/>
  <c r="AH784" i="44"/>
  <c r="AG786" i="44"/>
  <c r="AH786" i="44"/>
  <c r="AG788" i="44"/>
  <c r="AH788" i="44"/>
  <c r="AG790" i="44"/>
  <c r="AH790" i="44"/>
  <c r="AG792" i="44"/>
  <c r="AH792" i="44"/>
  <c r="AG794" i="44"/>
  <c r="AH794" i="44"/>
  <c r="AG796" i="44"/>
  <c r="AH796" i="44"/>
  <c r="AG798" i="44"/>
  <c r="AH798" i="44"/>
  <c r="AG802" i="44"/>
  <c r="AH802" i="44"/>
  <c r="AH442" i="44"/>
  <c r="AH806" i="44"/>
  <c r="AG806" i="44"/>
  <c r="AG808" i="44"/>
  <c r="AH808" i="44"/>
  <c r="AG810" i="44"/>
  <c r="AH810" i="44"/>
  <c r="AG812" i="44"/>
  <c r="AH812" i="44"/>
  <c r="AG814" i="44"/>
  <c r="AH814" i="44"/>
  <c r="AG818" i="44"/>
  <c r="AH818" i="44"/>
  <c r="AG820" i="44"/>
  <c r="AH820" i="44"/>
  <c r="AG823" i="44"/>
  <c r="AH823" i="44"/>
  <c r="AG826" i="44"/>
  <c r="AH826" i="44"/>
  <c r="AG831" i="44"/>
  <c r="AH831" i="44"/>
  <c r="AG833" i="44"/>
  <c r="AH833" i="44"/>
  <c r="AG835" i="44"/>
  <c r="AH835" i="44"/>
  <c r="AG837" i="44"/>
  <c r="AH837" i="44"/>
  <c r="AG839" i="44"/>
  <c r="AH839" i="44"/>
  <c r="AG841" i="44"/>
  <c r="AH841" i="44"/>
  <c r="AG843" i="44"/>
  <c r="AH843" i="44"/>
  <c r="AG845" i="44"/>
  <c r="AH845" i="44"/>
  <c r="AG847" i="44"/>
  <c r="AH847" i="44"/>
  <c r="AG852" i="44"/>
  <c r="AH852" i="44"/>
  <c r="AH855" i="44"/>
  <c r="AG855" i="44"/>
  <c r="AH857" i="44"/>
  <c r="AG857" i="44"/>
  <c r="AH860" i="44"/>
  <c r="AG860" i="44"/>
  <c r="AH862" i="44"/>
  <c r="AG862" i="44"/>
  <c r="AH864" i="44"/>
  <c r="AG864" i="44"/>
  <c r="AH867" i="44"/>
  <c r="AG867" i="44"/>
  <c r="AH870" i="44"/>
  <c r="AG870" i="44"/>
  <c r="AH872" i="44"/>
  <c r="AG872" i="44"/>
  <c r="AH874" i="44"/>
  <c r="AG874" i="44"/>
  <c r="AH876" i="44"/>
  <c r="AG876" i="44"/>
  <c r="AH878" i="44"/>
  <c r="AG878" i="44"/>
  <c r="AH881" i="44"/>
  <c r="AG881" i="44"/>
  <c r="AH884" i="44"/>
  <c r="AG884" i="44"/>
  <c r="AH886" i="44"/>
  <c r="AG886" i="44"/>
  <c r="AG885" i="44"/>
  <c r="AH893" i="44"/>
  <c r="AG893" i="44"/>
  <c r="AH895" i="44"/>
  <c r="AG895" i="44"/>
  <c r="AH859" i="44"/>
  <c r="AH900" i="44"/>
  <c r="AG900" i="44"/>
  <c r="AG903" i="44"/>
  <c r="AH903" i="44"/>
  <c r="AG906" i="44"/>
  <c r="AH906" i="44"/>
  <c r="AG909" i="44"/>
  <c r="AH909" i="44"/>
  <c r="AG911" i="44"/>
  <c r="AH911" i="44"/>
  <c r="AG914" i="44"/>
  <c r="AH914" i="44"/>
  <c r="AG917" i="44"/>
  <c r="AH917" i="44"/>
  <c r="AH919" i="44"/>
  <c r="AG919" i="44"/>
  <c r="AH921" i="44"/>
  <c r="AG921" i="44"/>
  <c r="AH934" i="44"/>
  <c r="AG934" i="44"/>
  <c r="AH936" i="44"/>
  <c r="AG936" i="44"/>
  <c r="AH948" i="44"/>
  <c r="AG948" i="44"/>
  <c r="AH950" i="44"/>
  <c r="AG950" i="44"/>
  <c r="AH952" i="44"/>
  <c r="AG952" i="44"/>
  <c r="AH954" i="44"/>
  <c r="AG954" i="44"/>
  <c r="AH956" i="44"/>
  <c r="AG956" i="44"/>
  <c r="AH958" i="44"/>
  <c r="AG958" i="44"/>
  <c r="AH960" i="44"/>
  <c r="AG960" i="44"/>
  <c r="AH962" i="44"/>
  <c r="AG962" i="44"/>
  <c r="AH641" i="44"/>
  <c r="AG966" i="44"/>
  <c r="AH966" i="44"/>
  <c r="AG968" i="44"/>
  <c r="AH968" i="44"/>
  <c r="AH973" i="44"/>
  <c r="AG973" i="44"/>
  <c r="AH975" i="44"/>
  <c r="AG975" i="44"/>
  <c r="AH977" i="44"/>
  <c r="AG977" i="44"/>
  <c r="AH981" i="44"/>
  <c r="AG981" i="44"/>
  <c r="AH987" i="44"/>
  <c r="AG987" i="44"/>
  <c r="AH990" i="44"/>
  <c r="AG990" i="44"/>
  <c r="AH992" i="44"/>
  <c r="AG992" i="44"/>
  <c r="AH994" i="44"/>
  <c r="AG994" i="44"/>
  <c r="AH996" i="44"/>
  <c r="AG996" i="44"/>
  <c r="AH1001" i="44"/>
  <c r="AG1001" i="44"/>
  <c r="AH1003" i="44"/>
  <c r="I25" i="34" s="1"/>
  <c r="I24" i="34" s="1"/>
  <c r="AG1003" i="44"/>
  <c r="AH1005" i="44"/>
  <c r="L25" i="34" s="1"/>
  <c r="L24" i="34" s="1"/>
  <c r="AG1005" i="44"/>
  <c r="AH1007" i="44"/>
  <c r="K25" i="34" s="1"/>
  <c r="K24" i="34" s="1"/>
  <c r="AG1007" i="44"/>
  <c r="AH1011" i="44"/>
  <c r="AG1011" i="44"/>
  <c r="AH1014" i="44"/>
  <c r="AG1014" i="44"/>
  <c r="AH1016" i="44"/>
  <c r="AG1016" i="44"/>
  <c r="AH1018" i="44"/>
  <c r="AG1018" i="44"/>
  <c r="AH1024" i="44"/>
  <c r="I18" i="35" s="1"/>
  <c r="AG1024" i="44"/>
  <c r="AH1030" i="44"/>
  <c r="AG1030" i="44"/>
  <c r="AG644" i="44"/>
  <c r="AH1035" i="44"/>
  <c r="AG1035" i="44"/>
  <c r="AH1037" i="44"/>
  <c r="AG1037" i="44"/>
  <c r="AH1039" i="44"/>
  <c r="AG1039" i="44"/>
  <c r="AG1041" i="44"/>
  <c r="AH1044" i="44"/>
  <c r="AG1046" i="44"/>
  <c r="AG1050" i="44"/>
  <c r="AH1050" i="44"/>
  <c r="AI1050" i="44"/>
  <c r="AG1052" i="44"/>
  <c r="AH1052" i="44"/>
  <c r="AG1055" i="44"/>
  <c r="AH1055" i="44"/>
  <c r="AG1057" i="44"/>
  <c r="AH1057" i="44"/>
  <c r="AG1060" i="44"/>
  <c r="AH1060" i="44"/>
  <c r="AG1063" i="44"/>
  <c r="AH1063" i="44"/>
  <c r="AG1068" i="44"/>
  <c r="AH1068" i="44"/>
  <c r="AG1071" i="44"/>
  <c r="AH1071" i="44"/>
  <c r="AG1073" i="44"/>
  <c r="AH1073" i="44"/>
  <c r="AG1075" i="44"/>
  <c r="AH1075" i="44"/>
  <c r="AG1077" i="44"/>
  <c r="AH1077" i="44"/>
  <c r="AG1079" i="44"/>
  <c r="AH1079" i="44"/>
  <c r="AG1081" i="44"/>
  <c r="AH1081" i="44"/>
  <c r="AG1083" i="44"/>
  <c r="AH1083" i="44"/>
  <c r="AG1085" i="44"/>
  <c r="AH1085" i="44"/>
  <c r="AG1087" i="44"/>
  <c r="AH1087" i="44"/>
  <c r="AG1089" i="44"/>
  <c r="AH1089" i="44"/>
  <c r="AG1091" i="44"/>
  <c r="AH1091" i="44"/>
  <c r="AG1093" i="44"/>
  <c r="AH1093" i="44"/>
  <c r="AG1095" i="44"/>
  <c r="AH1095" i="44"/>
  <c r="AG1097" i="44"/>
  <c r="AH1097" i="44"/>
  <c r="AG1099" i="44"/>
  <c r="AH1099" i="44"/>
  <c r="AG1101" i="44"/>
  <c r="AH1101" i="44"/>
  <c r="AG1103" i="44"/>
  <c r="AH1103" i="44"/>
  <c r="AG1105" i="44"/>
  <c r="AH1105" i="44"/>
  <c r="AG1108" i="44"/>
  <c r="AH1108" i="44"/>
  <c r="AG1111" i="44"/>
  <c r="AH1111" i="44"/>
  <c r="AG1113" i="44"/>
  <c r="AH1113" i="44"/>
  <c r="AG1115" i="44"/>
  <c r="AH1115" i="44"/>
  <c r="AG1117" i="44"/>
  <c r="AH1117" i="44"/>
  <c r="AG1119" i="44"/>
  <c r="AH1119" i="44"/>
  <c r="AG1122" i="44"/>
  <c r="AH1122" i="44"/>
  <c r="AG1124" i="44"/>
  <c r="AH1124" i="44"/>
  <c r="AG1127" i="44"/>
  <c r="AH1127" i="44"/>
  <c r="AG1129" i="44"/>
  <c r="AH1129" i="44"/>
  <c r="AG1132" i="44"/>
  <c r="AH1132" i="44"/>
  <c r="AG1134" i="44"/>
  <c r="AH1134" i="44"/>
  <c r="AG1136" i="44"/>
  <c r="AH1136" i="44"/>
  <c r="AH1137" i="44"/>
  <c r="AG1137" i="44"/>
  <c r="AG1140" i="44"/>
  <c r="AH1140" i="44"/>
  <c r="AG1142" i="44"/>
  <c r="AH1142" i="44"/>
  <c r="AG1144" i="44"/>
  <c r="AH1144" i="44"/>
  <c r="AG1146" i="44"/>
  <c r="AH1146" i="44"/>
  <c r="AG1148" i="44"/>
  <c r="AH1148" i="44"/>
  <c r="AG1150" i="44"/>
  <c r="AH1150" i="44"/>
  <c r="AG1152" i="44"/>
  <c r="AH1152" i="44"/>
  <c r="AG1154" i="44"/>
  <c r="AH1154" i="44"/>
  <c r="AG1156" i="44"/>
  <c r="AH1156" i="44"/>
  <c r="AG1158" i="44"/>
  <c r="AH1158" i="44"/>
  <c r="AG1160" i="44"/>
  <c r="AH1160" i="44"/>
  <c r="AG1162" i="44"/>
  <c r="AH1162" i="44"/>
  <c r="AG1164" i="44"/>
  <c r="AH1164" i="44"/>
  <c r="AG1166" i="44"/>
  <c r="AH1166" i="44"/>
  <c r="AG1169" i="44"/>
  <c r="AH1169" i="44"/>
  <c r="AG1171" i="44"/>
  <c r="AH1171" i="44"/>
  <c r="AG1173" i="44"/>
  <c r="AH1173" i="44"/>
  <c r="AG1175" i="44"/>
  <c r="AH1175" i="44"/>
  <c r="AG1177" i="44"/>
  <c r="AH1177" i="44"/>
  <c r="AG1179" i="44"/>
  <c r="AH1179" i="44"/>
  <c r="AG1192" i="44"/>
  <c r="AH1192" i="44"/>
  <c r="AG1194" i="44"/>
  <c r="AH1194" i="44"/>
  <c r="AG1196" i="44"/>
  <c r="AH1196" i="44"/>
  <c r="AG1198" i="44"/>
  <c r="AH1198" i="44"/>
  <c r="AG1200" i="44"/>
  <c r="AH1200" i="44"/>
  <c r="AG1202" i="44"/>
  <c r="AH1202" i="44"/>
  <c r="AG1204" i="44"/>
  <c r="AH1204" i="44"/>
  <c r="AG1206" i="44"/>
  <c r="AH1206" i="44"/>
  <c r="AG1208" i="44"/>
  <c r="AH1208" i="44"/>
  <c r="AG1211" i="44"/>
  <c r="AH1211" i="44"/>
  <c r="AG1213" i="44"/>
  <c r="AH1213" i="44"/>
  <c r="AG1215" i="44"/>
  <c r="AH1215" i="44"/>
  <c r="AG1217" i="44"/>
  <c r="AH1217" i="44"/>
  <c r="AG1219" i="44"/>
  <c r="AH1219" i="44"/>
  <c r="AG1221" i="44"/>
  <c r="AH1221" i="44"/>
  <c r="AG1223" i="44"/>
  <c r="AH1223" i="44"/>
  <c r="AG1225" i="44"/>
  <c r="AH1225" i="44"/>
  <c r="AH1228" i="44"/>
  <c r="AG1228" i="44"/>
  <c r="AH1232" i="44"/>
  <c r="AG1232" i="44"/>
  <c r="AH1237" i="44"/>
  <c r="W651" i="39" s="1"/>
  <c r="AG1237" i="44"/>
  <c r="AH1239" i="44"/>
  <c r="AG1239" i="44"/>
  <c r="AH1241" i="44"/>
  <c r="AG1241" i="44"/>
  <c r="AH1246" i="44"/>
  <c r="W630" i="39" s="1"/>
  <c r="AG1246" i="44"/>
  <c r="AG1247" i="44"/>
  <c r="AH1247" i="44"/>
  <c r="AH1248" i="44"/>
  <c r="AG1248" i="44"/>
  <c r="AH1250" i="44"/>
  <c r="AG1250" i="44"/>
  <c r="AH1252" i="44"/>
  <c r="AG1252" i="44"/>
  <c r="AH1254" i="44"/>
  <c r="AG1254" i="44"/>
  <c r="AH1256" i="44"/>
  <c r="AG1256" i="44"/>
  <c r="AH1259" i="44"/>
  <c r="AG1259" i="44"/>
  <c r="AH1261" i="44"/>
  <c r="AG1261" i="44"/>
  <c r="AH1263" i="44"/>
  <c r="AG1263" i="44"/>
  <c r="AH1265" i="44"/>
  <c r="AG1265" i="44"/>
  <c r="AH1267" i="44"/>
  <c r="W627" i="39" s="1"/>
  <c r="AG1267" i="44"/>
  <c r="AH1269" i="44"/>
  <c r="AG1269" i="44"/>
  <c r="AH1271" i="44"/>
  <c r="AG1271" i="44"/>
  <c r="AH1273" i="44"/>
  <c r="AG1273" i="44"/>
  <c r="AH1275" i="44"/>
  <c r="AG1275" i="44"/>
  <c r="AH1277" i="44"/>
  <c r="AG1277" i="44"/>
  <c r="AH1279" i="44"/>
  <c r="AG1279" i="44"/>
  <c r="AH1281" i="44"/>
  <c r="AG1281" i="44"/>
  <c r="AH1283" i="44"/>
  <c r="AG1283" i="44"/>
  <c r="AH1285" i="44"/>
  <c r="AG1285" i="44"/>
  <c r="AH1287" i="44"/>
  <c r="AG1287" i="44"/>
  <c r="AH1289" i="44"/>
  <c r="AG1289" i="44"/>
  <c r="AH1291" i="44"/>
  <c r="AG1291" i="44"/>
  <c r="AH1293" i="44"/>
  <c r="AG1293" i="44"/>
  <c r="AH1295" i="44"/>
  <c r="W639" i="39" s="1"/>
  <c r="AG1295" i="44"/>
  <c r="AH1297" i="44"/>
  <c r="AG1297" i="44"/>
  <c r="AH1299" i="44"/>
  <c r="AG1299" i="44"/>
  <c r="AH1301" i="44"/>
  <c r="AG1301" i="44"/>
  <c r="AH1303" i="44"/>
  <c r="AG1303" i="44"/>
  <c r="AH1305" i="44"/>
  <c r="AG1305" i="44"/>
  <c r="AH1307" i="44"/>
  <c r="AG1307" i="44"/>
  <c r="AH1309" i="44"/>
  <c r="AG1309" i="44"/>
  <c r="AH1311" i="44"/>
  <c r="AG1311" i="44"/>
  <c r="AH1314" i="44"/>
  <c r="AG1314" i="44"/>
  <c r="AH1317" i="44"/>
  <c r="AG1317" i="44"/>
  <c r="AH1319" i="44"/>
  <c r="AG1319" i="44"/>
  <c r="AH1321" i="44"/>
  <c r="AG1321" i="44"/>
  <c r="AH1323" i="44"/>
  <c r="AG1323" i="44"/>
  <c r="AH1327" i="44"/>
  <c r="AG1327" i="44"/>
  <c r="AH1329" i="44"/>
  <c r="AG1329" i="44"/>
  <c r="AH1331" i="44"/>
  <c r="AG1331" i="44"/>
  <c r="AH1334" i="44"/>
  <c r="AG1334" i="44"/>
  <c r="AH1336" i="44"/>
  <c r="AG1336" i="44"/>
  <c r="AH1338" i="44"/>
  <c r="AG1338" i="44"/>
  <c r="AH1340" i="44"/>
  <c r="AG1340" i="44"/>
  <c r="AH1342" i="44"/>
  <c r="AG1342" i="44"/>
  <c r="AH1344" i="44"/>
  <c r="AG1344" i="44"/>
  <c r="AH1346" i="44"/>
  <c r="AG1346" i="44"/>
  <c r="AH1348" i="44"/>
  <c r="AG1348" i="44"/>
  <c r="AH1350" i="44"/>
  <c r="AG1350" i="44"/>
  <c r="AH1352" i="44"/>
  <c r="AG1352" i="44"/>
  <c r="AH1354" i="44"/>
  <c r="AG1354" i="44"/>
  <c r="AH1356" i="44"/>
  <c r="AG1356" i="44"/>
  <c r="AH1358" i="44"/>
  <c r="AG1358" i="44"/>
  <c r="AH1360" i="44"/>
  <c r="AG1360" i="44"/>
  <c r="AH1362" i="44"/>
  <c r="AG1362" i="44"/>
  <c r="AH1364" i="44"/>
  <c r="AG1364" i="44"/>
  <c r="AG1366" i="44"/>
  <c r="AH1366" i="44"/>
  <c r="AG1370" i="44"/>
  <c r="AH1370" i="44"/>
  <c r="AG1373" i="44"/>
  <c r="AH1373" i="44"/>
  <c r="AG1377" i="44"/>
  <c r="AH1377" i="44"/>
  <c r="AG1379" i="44"/>
  <c r="AH1379" i="44"/>
  <c r="AG1383" i="44"/>
  <c r="D166" i="46" s="1"/>
  <c r="AH1383" i="44"/>
  <c r="D166" i="43" s="1"/>
  <c r="AG1389" i="44"/>
  <c r="AH1389" i="44"/>
  <c r="AG1393" i="44"/>
  <c r="D158" i="46" s="1"/>
  <c r="AH1393" i="44"/>
  <c r="D158" i="43" s="1"/>
  <c r="AG1398" i="44"/>
  <c r="AH1398" i="44"/>
  <c r="AG1400" i="44"/>
  <c r="AH1400" i="44"/>
  <c r="AG1402" i="44"/>
  <c r="AH1402" i="44"/>
  <c r="AG1406" i="44"/>
  <c r="AH1406" i="44"/>
  <c r="AG1408" i="44"/>
  <c r="AH1408" i="44"/>
  <c r="AG1410" i="44"/>
  <c r="AH1410" i="44"/>
  <c r="AG1412" i="44"/>
  <c r="AH1412" i="44"/>
  <c r="AG1414" i="44"/>
  <c r="AH1414" i="44"/>
  <c r="AG1416" i="44"/>
  <c r="AH1416" i="44"/>
  <c r="AG1418" i="44"/>
  <c r="AH1418" i="44"/>
  <c r="AG1420" i="44"/>
  <c r="AH1420" i="44"/>
  <c r="AG1422" i="44"/>
  <c r="AH1422" i="44"/>
  <c r="AG1424" i="44"/>
  <c r="AH1424" i="44"/>
  <c r="AG1427" i="44"/>
  <c r="AH1427" i="44"/>
  <c r="AG1429" i="44"/>
  <c r="AH1429" i="44"/>
  <c r="AG1431" i="44"/>
  <c r="AH1431" i="44"/>
  <c r="AG1433" i="44"/>
  <c r="AH1433" i="44"/>
  <c r="AG1435" i="44"/>
  <c r="AH1435" i="44"/>
  <c r="AG1437" i="44"/>
  <c r="AH1437" i="44"/>
  <c r="AG1439" i="44"/>
  <c r="AH1439" i="44"/>
  <c r="AG1441" i="44"/>
  <c r="AH1441" i="44"/>
  <c r="AG1447" i="44"/>
  <c r="AH1447" i="44"/>
  <c r="AG1450" i="44"/>
  <c r="AH1450" i="44"/>
  <c r="AG1452" i="44"/>
  <c r="AH1452" i="44"/>
  <c r="AG1454" i="44"/>
  <c r="AH1454" i="44"/>
  <c r="AG1456" i="44"/>
  <c r="AH1456" i="44"/>
  <c r="AG1459" i="44"/>
  <c r="AH1459" i="44"/>
  <c r="AG1461" i="44"/>
  <c r="AH1461" i="44"/>
  <c r="AG1463" i="44"/>
  <c r="AH1463" i="44"/>
  <c r="AG1465" i="44"/>
  <c r="AH1465" i="44"/>
  <c r="AG1467" i="44"/>
  <c r="AH1467" i="44"/>
  <c r="AG1469" i="44"/>
  <c r="AH1469" i="44"/>
  <c r="AG1471" i="44"/>
  <c r="AH1471" i="44"/>
  <c r="AG1473" i="44"/>
  <c r="AH1473" i="44"/>
  <c r="AG1477" i="44"/>
  <c r="AH1477" i="44"/>
  <c r="AG1480" i="44"/>
  <c r="AH1480" i="44"/>
  <c r="AG1482" i="44"/>
  <c r="AH1482" i="44"/>
  <c r="AG1484" i="44"/>
  <c r="AH1484" i="44"/>
  <c r="AG1486" i="44"/>
  <c r="AH1486" i="44"/>
  <c r="AG1488" i="44"/>
  <c r="AH1488" i="44"/>
  <c r="AG1490" i="44"/>
  <c r="AH1490" i="44"/>
  <c r="AG1492" i="44"/>
  <c r="AH1492" i="44"/>
  <c r="AG1494" i="44"/>
  <c r="AH1494" i="44"/>
  <c r="AG1496" i="44"/>
  <c r="AH1496" i="44"/>
  <c r="AG1498" i="44"/>
  <c r="AH1498" i="44"/>
  <c r="AG1500" i="44"/>
  <c r="AH1500" i="44"/>
  <c r="AG1502" i="44"/>
  <c r="AH1502" i="44"/>
  <c r="AG1504" i="44"/>
  <c r="AH1504" i="44"/>
  <c r="N105" i="45" s="1"/>
  <c r="AG1506" i="44"/>
  <c r="AH1506" i="44"/>
  <c r="AG1509" i="44"/>
  <c r="AH1509" i="44"/>
  <c r="AG1511" i="44"/>
  <c r="AH1511" i="44"/>
  <c r="AG1513" i="44"/>
  <c r="AH1513" i="44"/>
  <c r="AG1515" i="44"/>
  <c r="AH1515" i="44"/>
  <c r="AG1517" i="44"/>
  <c r="AH1517" i="44"/>
  <c r="AG1519" i="44"/>
  <c r="AH1519" i="44"/>
  <c r="AG1522" i="44"/>
  <c r="AH1522" i="44"/>
  <c r="AG1524" i="44"/>
  <c r="AH1524" i="44"/>
  <c r="AG1527" i="44"/>
  <c r="AH1527" i="44"/>
  <c r="AG1529" i="44"/>
  <c r="AH1529" i="44"/>
  <c r="AG1531" i="44"/>
  <c r="AH1531" i="44"/>
  <c r="AG1533" i="44"/>
  <c r="AH1533" i="44"/>
  <c r="AG1535" i="44"/>
  <c r="AH1535" i="44"/>
  <c r="AG1537" i="44"/>
  <c r="AH1537" i="44"/>
  <c r="AG1539" i="44"/>
  <c r="AH1539" i="44"/>
  <c r="AG1541" i="44"/>
  <c r="AH1541" i="44"/>
  <c r="AG1543" i="44"/>
  <c r="AH1543" i="44"/>
  <c r="AG1546" i="44"/>
  <c r="AH1546" i="44"/>
  <c r="AG1548" i="44"/>
  <c r="AH1548" i="44"/>
  <c r="AG1550" i="44"/>
  <c r="AH1550" i="44"/>
  <c r="AG1552" i="44"/>
  <c r="AH1552" i="44"/>
  <c r="AG1554" i="44"/>
  <c r="AH1554" i="44"/>
  <c r="AG1556" i="44"/>
  <c r="AH1556" i="44"/>
  <c r="AG1558" i="44"/>
  <c r="AH1558" i="44"/>
  <c r="AG1560" i="44"/>
  <c r="AH1560" i="44"/>
  <c r="AG1562" i="44"/>
  <c r="AH1562" i="44"/>
  <c r="AG1565" i="44"/>
  <c r="AH1565" i="44"/>
  <c r="AG1567" i="44"/>
  <c r="AH1567" i="44"/>
  <c r="AG1569" i="44"/>
  <c r="AH1569" i="44"/>
  <c r="AG1571" i="44"/>
  <c r="AH1571" i="44"/>
  <c r="AG1573" i="44"/>
  <c r="AH1573" i="44"/>
  <c r="AG1575" i="44"/>
  <c r="AH1575" i="44"/>
  <c r="AG1577" i="44"/>
  <c r="AH1577" i="44"/>
  <c r="AG1579" i="44"/>
  <c r="AH1579" i="44"/>
  <c r="AG1581" i="44"/>
  <c r="AH1581" i="44"/>
  <c r="AG1583" i="44"/>
  <c r="AH1583" i="44"/>
  <c r="AG1585" i="44"/>
  <c r="AH1585" i="44"/>
  <c r="AG1587" i="44"/>
  <c r="AH1587" i="44"/>
  <c r="AG1589" i="44"/>
  <c r="AH1589" i="44"/>
  <c r="AG1591" i="44"/>
  <c r="AH1591" i="44"/>
  <c r="AG1593" i="44"/>
  <c r="AH1593" i="44"/>
  <c r="AG1596" i="44"/>
  <c r="AH1596" i="44"/>
  <c r="AG1598" i="44"/>
  <c r="AH1598" i="44"/>
  <c r="AG1600" i="44"/>
  <c r="AH1600" i="44"/>
  <c r="AG1602" i="44"/>
  <c r="AH1602" i="44"/>
  <c r="AG1604" i="44"/>
  <c r="AH1604" i="44"/>
  <c r="AG1606" i="44"/>
  <c r="AH1606" i="44"/>
  <c r="AG1608" i="44"/>
  <c r="AH1608" i="44"/>
  <c r="AG1610" i="44"/>
  <c r="AH1610" i="44"/>
  <c r="AG1612" i="44"/>
  <c r="AH1612" i="44"/>
  <c r="AG1614" i="44"/>
  <c r="AH1614" i="44"/>
  <c r="AG1616" i="44"/>
  <c r="AH1616" i="44"/>
  <c r="AG1618" i="44"/>
  <c r="AH1618" i="44"/>
  <c r="AG1621" i="44"/>
  <c r="AH1621" i="44"/>
  <c r="AG1623" i="44"/>
  <c r="AH1623" i="44"/>
  <c r="AG1626" i="44"/>
  <c r="AH1626" i="44"/>
  <c r="AG1629" i="44"/>
  <c r="AH1629" i="44"/>
  <c r="N101" i="45" s="1"/>
  <c r="AG1639" i="44"/>
  <c r="AH1639" i="44"/>
  <c r="AG1642" i="44"/>
  <c r="AH1642" i="44"/>
  <c r="AG1644" i="44"/>
  <c r="AH1644" i="44"/>
  <c r="AG1647" i="44"/>
  <c r="AH1647" i="44"/>
  <c r="AG1649" i="44"/>
  <c r="AH1649" i="44"/>
  <c r="AG1651" i="44"/>
  <c r="AH1651" i="44"/>
  <c r="AG1655" i="44"/>
  <c r="AH1655" i="44"/>
  <c r="AG1657" i="44"/>
  <c r="AH1657" i="44"/>
  <c r="AG1659" i="44"/>
  <c r="AH1659" i="44"/>
  <c r="AG1661" i="44"/>
  <c r="AH1661" i="44"/>
  <c r="AG1665" i="44"/>
  <c r="AH1665" i="44"/>
  <c r="AG1667" i="44"/>
  <c r="AH1667" i="44"/>
  <c r="AG1669" i="44"/>
  <c r="AH1669" i="44"/>
  <c r="AG1671" i="44"/>
  <c r="AH1671" i="44"/>
  <c r="AG1674" i="44"/>
  <c r="AH1674" i="44"/>
  <c r="AG1676" i="44"/>
  <c r="AH1676" i="44"/>
  <c r="AG1679" i="44"/>
  <c r="AH1679" i="44"/>
  <c r="AG1681" i="44"/>
  <c r="AH1681" i="44"/>
  <c r="AG1683" i="44"/>
  <c r="AH1683" i="44"/>
  <c r="AG1685" i="44"/>
  <c r="AH1685" i="44"/>
  <c r="AG1687" i="44"/>
  <c r="AH1687" i="44"/>
  <c r="AG1689" i="44"/>
  <c r="AH1689" i="44"/>
  <c r="AG1691" i="44"/>
  <c r="AH1691" i="44"/>
  <c r="AG1693" i="44"/>
  <c r="AH1693" i="44"/>
  <c r="AG1695" i="44"/>
  <c r="AH1695" i="44"/>
  <c r="AG1698" i="44"/>
  <c r="AH1698" i="44"/>
  <c r="AG1701" i="44"/>
  <c r="AH1701" i="44"/>
  <c r="AG1704" i="44"/>
  <c r="AH1704" i="44"/>
  <c r="AG1714" i="44"/>
  <c r="AH1714" i="44"/>
  <c r="AG1725" i="44"/>
  <c r="AH1725" i="44"/>
  <c r="AG1732" i="44"/>
  <c r="AH1732" i="44"/>
  <c r="AG1735" i="44"/>
  <c r="AH1735" i="44"/>
  <c r="AG1737" i="44"/>
  <c r="AH1737" i="44"/>
  <c r="AG1740" i="44"/>
  <c r="AH1740" i="44"/>
  <c r="AG1742" i="44"/>
  <c r="AH1742" i="44"/>
  <c r="AG1744" i="44"/>
  <c r="AH1744" i="44"/>
  <c r="K69" i="45" s="1"/>
  <c r="AG1746" i="44"/>
  <c r="AH1746" i="44"/>
  <c r="AG1748" i="44"/>
  <c r="AH1748" i="44"/>
  <c r="AG1750" i="44"/>
  <c r="AH1750" i="44"/>
  <c r="AG1752" i="44"/>
  <c r="AH1752" i="44"/>
  <c r="AG1754" i="44"/>
  <c r="AH1754" i="44"/>
  <c r="AG1756" i="44"/>
  <c r="AH1756" i="44"/>
  <c r="AG1758" i="44"/>
  <c r="AH1758" i="44"/>
  <c r="AH1760" i="44"/>
  <c r="AG1760" i="44"/>
  <c r="AG1762" i="44"/>
  <c r="AH1762" i="44"/>
  <c r="AG1764" i="44"/>
  <c r="AH1764" i="44"/>
  <c r="AG1766" i="44"/>
  <c r="AH1766" i="44"/>
  <c r="F106" i="30"/>
  <c r="G105" i="30" s="1"/>
  <c r="K15" i="29" s="1"/>
  <c r="E12" i="30"/>
  <c r="AJ481" i="28"/>
  <c r="E27" i="30"/>
  <c r="M50" i="39" s="1"/>
  <c r="N438" i="39"/>
  <c r="X31" i="42"/>
  <c r="AE31" i="42" s="1"/>
  <c r="F48" i="30"/>
  <c r="P73" i="39" s="1"/>
  <c r="AI769" i="28"/>
  <c r="N514" i="39"/>
  <c r="E28" i="30"/>
  <c r="M51" i="39" s="1"/>
  <c r="E22" i="30"/>
  <c r="E18" i="30"/>
  <c r="N427" i="39"/>
  <c r="AI147" i="28"/>
  <c r="AK147" i="28" s="1"/>
  <c r="E21" i="30"/>
  <c r="E30" i="30"/>
  <c r="M53" i="39" s="1"/>
  <c r="AK225" i="28"/>
  <c r="AI223" i="28"/>
  <c r="AJ225" i="28"/>
  <c r="AJ227" i="28" s="1"/>
  <c r="X30" i="42"/>
  <c r="AE30" i="42" s="1"/>
  <c r="G49" i="30"/>
  <c r="F57" i="30"/>
  <c r="G54" i="30" s="1"/>
  <c r="F14" i="29" s="1"/>
  <c r="N480" i="39"/>
  <c r="N481" i="39"/>
  <c r="AI320" i="28"/>
  <c r="AG325" i="28"/>
  <c r="AH325" i="28" s="1"/>
  <c r="N460" i="39"/>
  <c r="N461" i="39"/>
  <c r="AH348" i="28"/>
  <c r="AF1769" i="28"/>
  <c r="AH354" i="28"/>
  <c r="AF1770" i="28"/>
  <c r="AG391" i="28"/>
  <c r="AG971" i="28" s="1"/>
  <c r="AH971" i="28" s="1"/>
  <c r="AK592" i="28" s="1"/>
  <c r="AH428" i="28"/>
  <c r="AG855" i="28"/>
  <c r="AH855" i="28" s="1"/>
  <c r="AH442" i="28"/>
  <c r="E61" i="30" s="1"/>
  <c r="AH455" i="28"/>
  <c r="AI481" i="28" s="1"/>
  <c r="AI455" i="28"/>
  <c r="S625" i="39"/>
  <c r="S637" i="39"/>
  <c r="AH510" i="28"/>
  <c r="AG551" i="28"/>
  <c r="AH551" i="28" s="1"/>
  <c r="S648" i="39"/>
  <c r="E71" i="30"/>
  <c r="AI556" i="28"/>
  <c r="AJ557" i="28" s="1"/>
  <c r="N527" i="39"/>
  <c r="K527" i="39" s="1"/>
  <c r="Q527" i="39" s="1"/>
  <c r="F45" i="30"/>
  <c r="P70" i="39" s="1"/>
  <c r="K524" i="39"/>
  <c r="Q524" i="39" s="1"/>
  <c r="K522" i="39"/>
  <c r="AI594" i="28"/>
  <c r="AI593" i="28"/>
  <c r="F46" i="30"/>
  <c r="P71" i="39" s="1"/>
  <c r="K525" i="39"/>
  <c r="Q525" i="39" s="1"/>
  <c r="F44" i="30"/>
  <c r="K523" i="39"/>
  <c r="Q523" i="39" s="1"/>
  <c r="AI622" i="28"/>
  <c r="P536" i="39"/>
  <c r="AH630" i="28"/>
  <c r="AG885" i="28"/>
  <c r="AH885" i="28" s="1"/>
  <c r="AH635" i="28"/>
  <c r="E70" i="30" s="1"/>
  <c r="AG960" i="28"/>
  <c r="AH960" i="28" s="1"/>
  <c r="AH701" i="28"/>
  <c r="AJ701" i="28"/>
  <c r="AH711" i="28"/>
  <c r="AJ711" i="28"/>
  <c r="E89" i="30"/>
  <c r="J115" i="39"/>
  <c r="P115" i="39" s="1"/>
  <c r="F103" i="30"/>
  <c r="E124" i="30"/>
  <c r="E121" i="30"/>
  <c r="AH840" i="28"/>
  <c r="F101" i="30"/>
  <c r="G99" i="30" s="1"/>
  <c r="N494" i="39"/>
  <c r="N492" i="39" s="1"/>
  <c r="S492" i="39" s="1"/>
  <c r="AH538" i="28"/>
  <c r="AH972" i="28"/>
  <c r="AG396" i="28"/>
  <c r="AH396" i="28" s="1"/>
  <c r="AH974" i="28"/>
  <c r="AG390" i="28"/>
  <c r="AH390" i="28" s="1"/>
  <c r="N475" i="39" s="1"/>
  <c r="AH1004" i="28"/>
  <c r="AG614" i="28"/>
  <c r="AH614" i="28" s="1"/>
  <c r="E69" i="30" s="1"/>
  <c r="F16" i="35"/>
  <c r="AH1032" i="28"/>
  <c r="AG643" i="28"/>
  <c r="AH643" i="28" s="1"/>
  <c r="F129" i="30"/>
  <c r="P141" i="39"/>
  <c r="P142" i="39"/>
  <c r="Y142" i="39" s="1"/>
  <c r="F130" i="30"/>
  <c r="E137" i="30"/>
  <c r="Y147" i="39"/>
  <c r="S149" i="39"/>
  <c r="E155" i="30"/>
  <c r="E29" i="29" s="1"/>
  <c r="G179" i="30"/>
  <c r="F186" i="30"/>
  <c r="F185" i="30"/>
  <c r="E183" i="30"/>
  <c r="E182" i="30"/>
  <c r="F177" i="30"/>
  <c r="I5" i="39"/>
  <c r="H202" i="30"/>
  <c r="F44" i="29" s="1"/>
  <c r="I3" i="39"/>
  <c r="I4" i="39"/>
  <c r="I7" i="39"/>
  <c r="AH1773" i="28"/>
  <c r="E170" i="30"/>
  <c r="F156" i="30"/>
  <c r="E30" i="29" s="1"/>
  <c r="E169" i="30"/>
  <c r="F176" i="30"/>
  <c r="G175" i="30" s="1"/>
  <c r="F39" i="29" s="1"/>
  <c r="AH1774" i="28"/>
  <c r="F196" i="30"/>
  <c r="AI1645" i="28"/>
  <c r="AI1646" i="28"/>
  <c r="AH1775" i="28"/>
  <c r="H201" i="30"/>
  <c r="F43" i="29" s="1"/>
  <c r="F200" i="30"/>
  <c r="AH1776" i="28"/>
  <c r="AF1766" i="28"/>
  <c r="AJ1772" i="28" s="1"/>
  <c r="AH7" i="28"/>
  <c r="D182" i="43" l="1"/>
  <c r="AI539" i="44"/>
  <c r="AI525" i="44"/>
  <c r="AI511" i="44"/>
  <c r="AI495" i="44"/>
  <c r="AI508" i="44"/>
  <c r="AI506" i="44"/>
  <c r="S624" i="39"/>
  <c r="AI490" i="44"/>
  <c r="S615" i="39"/>
  <c r="AI520" i="44"/>
  <c r="AJ1774" i="44"/>
  <c r="AE26" i="42"/>
  <c r="X17" i="42"/>
  <c r="F39" i="41"/>
  <c r="AI186" i="44"/>
  <c r="AH1946" i="44"/>
  <c r="K70" i="45"/>
  <c r="F14" i="35"/>
  <c r="F12" i="35" s="1"/>
  <c r="AG122" i="44"/>
  <c r="AI526" i="28"/>
  <c r="Z23" i="31"/>
  <c r="AC23" i="31"/>
  <c r="I16" i="35"/>
  <c r="Q18" i="35"/>
  <c r="Q16" i="35" s="1"/>
  <c r="G18" i="35"/>
  <c r="G5" i="35" s="1"/>
  <c r="AD18" i="35"/>
  <c r="AD16" i="35" s="1"/>
  <c r="X18" i="35"/>
  <c r="X16" i="35" s="1"/>
  <c r="AB18" i="35"/>
  <c r="AB16" i="35" s="1"/>
  <c r="T18" i="35"/>
  <c r="T16" i="35" s="1"/>
  <c r="E14" i="35"/>
  <c r="J25" i="34"/>
  <c r="J24" i="34" s="1"/>
  <c r="R42" i="41"/>
  <c r="Q23" i="31" s="1"/>
  <c r="AB42" i="41"/>
  <c r="AA23" i="31" s="1"/>
  <c r="AA22" i="31" s="1"/>
  <c r="AE23" i="31"/>
  <c r="F168" i="30"/>
  <c r="E36" i="29" s="1"/>
  <c r="R12" i="35"/>
  <c r="R58" i="35" s="1"/>
  <c r="M12" i="35"/>
  <c r="M58" i="35" s="1"/>
  <c r="H12" i="35"/>
  <c r="H58" i="35" s="1"/>
  <c r="N12" i="35"/>
  <c r="N58" i="35" s="1"/>
  <c r="G12" i="35"/>
  <c r="G58" i="35" s="1"/>
  <c r="AB12" i="35"/>
  <c r="AB58" i="35" s="1"/>
  <c r="AD12" i="35"/>
  <c r="AD58" i="35" s="1"/>
  <c r="Y12" i="35"/>
  <c r="Y58" i="35" s="1"/>
  <c r="AA27" i="32"/>
  <c r="Z12" i="35"/>
  <c r="I12" i="35"/>
  <c r="I58" i="35" s="1"/>
  <c r="O12" i="35"/>
  <c r="O58" i="35" s="1"/>
  <c r="AA12" i="35"/>
  <c r="AA58" i="35" s="1"/>
  <c r="T12" i="35"/>
  <c r="T58" i="35" s="1"/>
  <c r="Q12" i="35"/>
  <c r="Q58" i="35" s="1"/>
  <c r="R22" i="35"/>
  <c r="R20" i="35" s="1"/>
  <c r="S16" i="31" s="1"/>
  <c r="I16" i="34"/>
  <c r="I14" i="34" s="1"/>
  <c r="I36" i="34" s="1"/>
  <c r="G36" i="34" s="1"/>
  <c r="I18" i="34"/>
  <c r="I23" i="31"/>
  <c r="M23" i="31"/>
  <c r="AC33" i="41"/>
  <c r="AC55" i="41" s="1"/>
  <c r="H23" i="31"/>
  <c r="H22" i="31" s="1"/>
  <c r="H10" i="31" s="1"/>
  <c r="S10" i="31"/>
  <c r="T38" i="41"/>
  <c r="T33" i="41" s="1"/>
  <c r="F23" i="31"/>
  <c r="G34" i="41"/>
  <c r="E36" i="41"/>
  <c r="D24" i="31"/>
  <c r="AH35" i="41"/>
  <c r="AH34" i="41" s="1"/>
  <c r="AH33" i="41" s="1"/>
  <c r="O23" i="31"/>
  <c r="AB23" i="31"/>
  <c r="I34" i="41"/>
  <c r="I33" i="41" s="1"/>
  <c r="N34" i="41"/>
  <c r="N33" i="41" s="1"/>
  <c r="J34" i="41"/>
  <c r="J33" i="41" s="1"/>
  <c r="E39" i="41"/>
  <c r="AA34" i="41"/>
  <c r="AA33" i="41" s="1"/>
  <c r="AA55" i="41" s="1"/>
  <c r="Y22" i="31"/>
  <c r="Y10" i="31" s="1"/>
  <c r="AD34" i="41"/>
  <c r="AD33" i="41" s="1"/>
  <c r="AD13" i="41" s="1"/>
  <c r="AD11" i="41" s="1"/>
  <c r="AD60" i="41" s="1"/>
  <c r="AF34" i="41"/>
  <c r="AF33" i="41" s="1"/>
  <c r="AF13" i="41" s="1"/>
  <c r="AF11" i="41" s="1"/>
  <c r="AF60" i="41" s="1"/>
  <c r="AD22" i="31"/>
  <c r="AD10" i="31" s="1"/>
  <c r="AF22" i="31"/>
  <c r="AF10" i="31" s="1"/>
  <c r="P34" i="41"/>
  <c r="P33" i="41" s="1"/>
  <c r="P15" i="41" s="1"/>
  <c r="O22" i="31" s="1"/>
  <c r="O10" i="31" s="1"/>
  <c r="AG391" i="44"/>
  <c r="AG616" i="44"/>
  <c r="AG1006" i="44"/>
  <c r="D96" i="46" s="1"/>
  <c r="AG390" i="44"/>
  <c r="AG967" i="44"/>
  <c r="AG869" i="44"/>
  <c r="AH391" i="44"/>
  <c r="AG325" i="44"/>
  <c r="AG888" i="44"/>
  <c r="AG1044" i="44"/>
  <c r="AG971" i="44"/>
  <c r="AG551" i="44"/>
  <c r="F36" i="34"/>
  <c r="AI460" i="44"/>
  <c r="N479" i="39"/>
  <c r="S479" i="39" s="1"/>
  <c r="D182" i="46"/>
  <c r="AG898" i="44"/>
  <c r="AG804" i="44"/>
  <c r="AI458" i="44"/>
  <c r="AG322" i="44"/>
  <c r="AJ791" i="44"/>
  <c r="AG1045" i="44"/>
  <c r="D138" i="46" s="1"/>
  <c r="AG1043" i="44"/>
  <c r="AH1006" i="44"/>
  <c r="H25" i="34" s="1"/>
  <c r="D122" i="43"/>
  <c r="AG976" i="44"/>
  <c r="AG974" i="44"/>
  <c r="AH887" i="44"/>
  <c r="N39" i="45" s="1"/>
  <c r="AH730" i="44"/>
  <c r="O35" i="41" s="1"/>
  <c r="F35" i="41" s="1"/>
  <c r="AG637" i="44"/>
  <c r="D66" i="46" s="1"/>
  <c r="D64" i="46" s="1"/>
  <c r="AG632" i="44"/>
  <c r="M101" i="39"/>
  <c r="P101" i="39" s="1"/>
  <c r="AI458" i="28"/>
  <c r="N513" i="39"/>
  <c r="N512" i="39" s="1"/>
  <c r="S512" i="39" s="1"/>
  <c r="AI755" i="28"/>
  <c r="AH322" i="28"/>
  <c r="G195" i="30"/>
  <c r="H191" i="30" s="1"/>
  <c r="F42" i="29" s="1"/>
  <c r="E126" i="30"/>
  <c r="AG1033" i="44"/>
  <c r="AH898" i="44"/>
  <c r="AG891" i="44"/>
  <c r="AG454" i="44"/>
  <c r="AG510" i="44"/>
  <c r="AG428" i="44"/>
  <c r="AH1046" i="44"/>
  <c r="AH1033" i="44"/>
  <c r="AG964" i="44"/>
  <c r="AH804" i="44"/>
  <c r="D121" i="43" s="1"/>
  <c r="N28" i="45"/>
  <c r="AH454" i="44"/>
  <c r="AG434" i="44"/>
  <c r="AH322" i="44"/>
  <c r="AG1034" i="44"/>
  <c r="AH974" i="44"/>
  <c r="AH632" i="44"/>
  <c r="AH510" i="44"/>
  <c r="AH396" i="44"/>
  <c r="AG444" i="44"/>
  <c r="E34" i="30"/>
  <c r="M100" i="39"/>
  <c r="I17" i="39"/>
  <c r="I19" i="39" s="1"/>
  <c r="N474" i="39"/>
  <c r="S474" i="39" s="1"/>
  <c r="K14" i="29"/>
  <c r="P534" i="39"/>
  <c r="Q522" i="39"/>
  <c r="Q521" i="39" s="1"/>
  <c r="Q529" i="39" s="1"/>
  <c r="K521" i="39"/>
  <c r="K529" i="39" s="1"/>
  <c r="F37" i="30"/>
  <c r="N450" i="39"/>
  <c r="N449" i="39" s="1"/>
  <c r="E82" i="30"/>
  <c r="F13" i="29"/>
  <c r="M44" i="39"/>
  <c r="E20" i="30"/>
  <c r="M45" i="39"/>
  <c r="X43" i="42"/>
  <c r="AE43" i="42" s="1"/>
  <c r="P127" i="39"/>
  <c r="N439" i="39"/>
  <c r="D226" i="46"/>
  <c r="D170" i="46"/>
  <c r="D169" i="46" s="1"/>
  <c r="D197" i="43"/>
  <c r="N56" i="45"/>
  <c r="D214" i="43"/>
  <c r="N63" i="45"/>
  <c r="D216" i="43"/>
  <c r="R60" i="45" s="1"/>
  <c r="D208" i="46"/>
  <c r="D198" i="46"/>
  <c r="D201" i="46"/>
  <c r="D152" i="46"/>
  <c r="D133" i="43"/>
  <c r="D98" i="46"/>
  <c r="D100" i="46"/>
  <c r="N41" i="45"/>
  <c r="N38" i="45"/>
  <c r="N26" i="45"/>
  <c r="D125" i="43"/>
  <c r="D123" i="46"/>
  <c r="D97" i="46"/>
  <c r="D101" i="46"/>
  <c r="D94" i="43"/>
  <c r="AH644" i="44"/>
  <c r="AB53" i="42"/>
  <c r="D24" i="43"/>
  <c r="AB51" i="42"/>
  <c r="P48" i="45"/>
  <c r="D29" i="43"/>
  <c r="P47" i="45"/>
  <c r="AJ480" i="44"/>
  <c r="AG417" i="44"/>
  <c r="AH1778" i="44"/>
  <c r="K78" i="45"/>
  <c r="K68" i="45" s="1"/>
  <c r="K91" i="45" s="1"/>
  <c r="D218" i="43"/>
  <c r="R66" i="45" s="1"/>
  <c r="N57" i="45"/>
  <c r="AH1777" i="44"/>
  <c r="D203" i="43"/>
  <c r="AI1648" i="44"/>
  <c r="N99" i="45"/>
  <c r="AI1647" i="44"/>
  <c r="D187" i="46"/>
  <c r="D175" i="46"/>
  <c r="D157" i="46"/>
  <c r="D156" i="46" s="1"/>
  <c r="D165" i="46"/>
  <c r="D164" i="46" s="1"/>
  <c r="D176" i="46"/>
  <c r="D220" i="43"/>
  <c r="D204" i="43"/>
  <c r="D188" i="46"/>
  <c r="D193" i="46"/>
  <c r="D194" i="46"/>
  <c r="D202" i="46"/>
  <c r="D154" i="46"/>
  <c r="D131" i="43"/>
  <c r="AH885" i="44"/>
  <c r="AG859" i="44"/>
  <c r="AG821" i="44"/>
  <c r="N42" i="45"/>
  <c r="D108" i="46"/>
  <c r="D106" i="46" s="1"/>
  <c r="D99" i="46"/>
  <c r="AG645" i="44"/>
  <c r="AG641" i="44"/>
  <c r="N17" i="45"/>
  <c r="D33" i="46"/>
  <c r="D31" i="46" s="1"/>
  <c r="D70" i="46"/>
  <c r="AG538" i="44"/>
  <c r="AG442" i="44"/>
  <c r="D69" i="46" s="1"/>
  <c r="D76" i="43"/>
  <c r="D19" i="43"/>
  <c r="D17" i="43" s="1"/>
  <c r="AI320" i="44"/>
  <c r="D45" i="43"/>
  <c r="D41" i="43" s="1"/>
  <c r="D57" i="43"/>
  <c r="D50" i="43" s="1"/>
  <c r="AJ225" i="44"/>
  <c r="AJ227" i="44" s="1"/>
  <c r="AI223" i="44"/>
  <c r="AI147" i="44"/>
  <c r="D21" i="46"/>
  <c r="D87" i="46"/>
  <c r="AH1777" i="28"/>
  <c r="Y144" i="39"/>
  <c r="P109" i="39"/>
  <c r="M108" i="39"/>
  <c r="P108" i="39" s="1"/>
  <c r="AD5" i="35"/>
  <c r="L16" i="34"/>
  <c r="L14" i="34" s="1"/>
  <c r="L18" i="34"/>
  <c r="L38" i="34" s="1"/>
  <c r="H38" i="41"/>
  <c r="F38" i="41" s="1"/>
  <c r="J113" i="39"/>
  <c r="P113" i="39" s="1"/>
  <c r="P55" i="41"/>
  <c r="P13" i="41"/>
  <c r="P11" i="41" s="1"/>
  <c r="P60" i="41" s="1"/>
  <c r="J117" i="39"/>
  <c r="E92" i="30"/>
  <c r="E91" i="30" s="1"/>
  <c r="D19" i="31"/>
  <c r="J106" i="39"/>
  <c r="P106" i="39" s="1"/>
  <c r="P107" i="39"/>
  <c r="N529" i="39"/>
  <c r="T418" i="39"/>
  <c r="X28" i="42"/>
  <c r="AE28" i="42" s="1"/>
  <c r="N435" i="39"/>
  <c r="AG977" i="28"/>
  <c r="AH977" i="28" s="1"/>
  <c r="AH1768" i="28" s="1"/>
  <c r="AH633" i="28"/>
  <c r="P46" i="39"/>
  <c r="AI100" i="28"/>
  <c r="AK100" i="28" s="1"/>
  <c r="X18" i="42"/>
  <c r="AE18" i="42" s="1"/>
  <c r="D25" i="43"/>
  <c r="AH444" i="44"/>
  <c r="N19" i="45" s="1"/>
  <c r="D74" i="46"/>
  <c r="D73" i="46"/>
  <c r="D69" i="43"/>
  <c r="N8" i="45"/>
  <c r="D40" i="46"/>
  <c r="AI216" i="44"/>
  <c r="D13" i="46"/>
  <c r="D15" i="46"/>
  <c r="D11" i="43"/>
  <c r="I9" i="39"/>
  <c r="I13" i="39" s="1"/>
  <c r="F181" i="30"/>
  <c r="G180" i="30" s="1"/>
  <c r="H178" i="30" s="1"/>
  <c r="F40" i="29" s="1"/>
  <c r="Y141" i="39"/>
  <c r="H20" i="35"/>
  <c r="AD15" i="41"/>
  <c r="AC22" i="31" s="1"/>
  <c r="AC10" i="31" s="1"/>
  <c r="AI726" i="28"/>
  <c r="AI728" i="28" s="1"/>
  <c r="Z58" i="35"/>
  <c r="AA16" i="31"/>
  <c r="N455" i="39"/>
  <c r="N454" i="39" s="1"/>
  <c r="S454" i="39" s="1"/>
  <c r="P69" i="39"/>
  <c r="N431" i="39"/>
  <c r="AK591" i="28"/>
  <c r="S611" i="39"/>
  <c r="P535" i="39" s="1"/>
  <c r="P538" i="39" s="1"/>
  <c r="AL455" i="28"/>
  <c r="AH391" i="28"/>
  <c r="E120" i="30" s="1"/>
  <c r="F119" i="30" s="1"/>
  <c r="G108" i="30" s="1"/>
  <c r="AF1773" i="28"/>
  <c r="AF1771" i="28"/>
  <c r="M41" i="39"/>
  <c r="M40" i="39" s="1"/>
  <c r="X23" i="42" s="1"/>
  <c r="E17" i="30"/>
  <c r="M35" i="39"/>
  <c r="F11" i="30"/>
  <c r="D226" i="43"/>
  <c r="N106" i="45"/>
  <c r="N104" i="45"/>
  <c r="N97" i="45"/>
  <c r="D170" i="43"/>
  <c r="D169" i="43" s="1"/>
  <c r="AI1379" i="44"/>
  <c r="D197" i="46"/>
  <c r="D214" i="46"/>
  <c r="D216" i="46"/>
  <c r="D208" i="43"/>
  <c r="D198" i="43"/>
  <c r="D201" i="43"/>
  <c r="AH1774" i="44"/>
  <c r="D152" i="43"/>
  <c r="AH1041" i="44"/>
  <c r="D133" i="46"/>
  <c r="D98" i="43"/>
  <c r="D100" i="43"/>
  <c r="AH964" i="44"/>
  <c r="AH891" i="44"/>
  <c r="N30" i="45"/>
  <c r="D121" i="46"/>
  <c r="D125" i="46"/>
  <c r="D123" i="43"/>
  <c r="AI739" i="44"/>
  <c r="D97" i="43"/>
  <c r="AI697" i="44"/>
  <c r="D101" i="43"/>
  <c r="D94" i="46"/>
  <c r="D29" i="46"/>
  <c r="AH434" i="44"/>
  <c r="AH417" i="44"/>
  <c r="AH122" i="44"/>
  <c r="D11" i="46"/>
  <c r="D218" i="46"/>
  <c r="D203" i="46"/>
  <c r="N103" i="45"/>
  <c r="N62" i="45"/>
  <c r="N100" i="45"/>
  <c r="N96" i="45"/>
  <c r="N95" i="45"/>
  <c r="AH1776" i="44"/>
  <c r="D187" i="43"/>
  <c r="D175" i="43"/>
  <c r="D157" i="43"/>
  <c r="D156" i="43" s="1"/>
  <c r="D165" i="43"/>
  <c r="D164" i="43" s="1"/>
  <c r="D176" i="43"/>
  <c r="N107" i="45"/>
  <c r="AH1775" i="44"/>
  <c r="D220" i="46"/>
  <c r="D204" i="46"/>
  <c r="D188" i="43"/>
  <c r="D193" i="43"/>
  <c r="D194" i="43"/>
  <c r="D202" i="43"/>
  <c r="D154" i="43"/>
  <c r="D131" i="46"/>
  <c r="AH1034" i="44"/>
  <c r="D122" i="46"/>
  <c r="AH976" i="44"/>
  <c r="N27" i="45"/>
  <c r="N36" i="45"/>
  <c r="N40" i="45"/>
  <c r="D108" i="43"/>
  <c r="D106" i="43" s="1"/>
  <c r="D99" i="43"/>
  <c r="AH637" i="44"/>
  <c r="D66" i="43" s="1"/>
  <c r="D64" i="43" s="1"/>
  <c r="AI595" i="44"/>
  <c r="P46" i="45"/>
  <c r="D33" i="43"/>
  <c r="X49" i="42" s="1"/>
  <c r="AE49" i="42" s="1"/>
  <c r="AI594" i="44"/>
  <c r="AI556" i="44"/>
  <c r="AJ557" i="44" s="1"/>
  <c r="D70" i="43"/>
  <c r="AI456" i="44"/>
  <c r="N13" i="45"/>
  <c r="AH428" i="44"/>
  <c r="D76" i="46"/>
  <c r="AE1775" i="44"/>
  <c r="AE1773" i="44"/>
  <c r="D19" i="46"/>
  <c r="D17" i="46" s="1"/>
  <c r="D45" i="46"/>
  <c r="D41" i="46" s="1"/>
  <c r="D57" i="46"/>
  <c r="D50" i="46" s="1"/>
  <c r="AI771" i="44"/>
  <c r="D21" i="43"/>
  <c r="D87" i="43"/>
  <c r="E27" i="29"/>
  <c r="E26" i="29" s="1"/>
  <c r="F152" i="30"/>
  <c r="G151" i="30" s="1"/>
  <c r="H150" i="30" s="1"/>
  <c r="E135" i="30"/>
  <c r="F134" i="30" s="1"/>
  <c r="AG1045" i="28"/>
  <c r="AH1045" i="28" s="1"/>
  <c r="K16" i="34"/>
  <c r="K14" i="34" s="1"/>
  <c r="K18" i="34"/>
  <c r="K38" i="34" s="1"/>
  <c r="P105" i="39"/>
  <c r="J104" i="39"/>
  <c r="E87" i="30"/>
  <c r="J87" i="30" s="1"/>
  <c r="E65" i="30"/>
  <c r="F59" i="30"/>
  <c r="E73" i="30"/>
  <c r="F68" i="30" s="1"/>
  <c r="AH122" i="28"/>
  <c r="N432" i="39"/>
  <c r="X37" i="42"/>
  <c r="AE37" i="42" s="1"/>
  <c r="F23" i="30"/>
  <c r="N429" i="39" s="1"/>
  <c r="AE16" i="42"/>
  <c r="D25" i="46"/>
  <c r="D23" i="46" s="1"/>
  <c r="D74" i="43"/>
  <c r="D73" i="43"/>
  <c r="AH324" i="44"/>
  <c r="D40" i="43"/>
  <c r="D13" i="43"/>
  <c r="AB15" i="42" s="1"/>
  <c r="D15" i="43"/>
  <c r="D30" i="46" l="1"/>
  <c r="D124" i="43"/>
  <c r="N21" i="45"/>
  <c r="AI1947" i="44"/>
  <c r="F16" i="30"/>
  <c r="AB18" i="42"/>
  <c r="E27" i="32"/>
  <c r="F27" i="32"/>
  <c r="D16" i="31"/>
  <c r="E16" i="31"/>
  <c r="D124" i="46"/>
  <c r="D96" i="43"/>
  <c r="G33" i="41"/>
  <c r="G13" i="41" s="1"/>
  <c r="F42" i="41"/>
  <c r="F22" i="31"/>
  <c r="AA15" i="41"/>
  <c r="Z22" i="31" s="1"/>
  <c r="Z10" i="31" s="1"/>
  <c r="R33" i="41"/>
  <c r="R13" i="41" s="1"/>
  <c r="R11" i="41" s="1"/>
  <c r="R60" i="41" s="1"/>
  <c r="AB24" i="42"/>
  <c r="E22" i="35"/>
  <c r="E20" i="35" s="1"/>
  <c r="AF15" i="41"/>
  <c r="AE22" i="31" s="1"/>
  <c r="AE10" i="31" s="1"/>
  <c r="AI757" i="44"/>
  <c r="AB33" i="41"/>
  <c r="AB15" i="41" s="1"/>
  <c r="G16" i="35"/>
  <c r="P49" i="45"/>
  <c r="P51" i="45" s="1"/>
  <c r="R52" i="45" s="1"/>
  <c r="D27" i="46"/>
  <c r="AD55" i="41"/>
  <c r="AA13" i="41"/>
  <c r="AA11" i="41" s="1"/>
  <c r="AA60" i="41" s="1"/>
  <c r="E42" i="41"/>
  <c r="E18" i="35"/>
  <c r="E16" i="35" s="1"/>
  <c r="D68" i="46"/>
  <c r="D39" i="46"/>
  <c r="D37" i="46" s="1"/>
  <c r="D95" i="46"/>
  <c r="D196" i="46"/>
  <c r="AF1768" i="44"/>
  <c r="D75" i="46"/>
  <c r="D75" i="43"/>
  <c r="AI728" i="44"/>
  <c r="AI730" i="44" s="1"/>
  <c r="AH1779" i="44"/>
  <c r="AH1783" i="44" s="1"/>
  <c r="N60" i="45"/>
  <c r="S60" i="45" s="1"/>
  <c r="N68" i="45"/>
  <c r="N91" i="45" s="1"/>
  <c r="D77" i="46"/>
  <c r="D72" i="46" s="1"/>
  <c r="AH13" i="41"/>
  <c r="AH11" i="41" s="1"/>
  <c r="AH60" i="41" s="1"/>
  <c r="AH55" i="41"/>
  <c r="AH15" i="41"/>
  <c r="AH22" i="31" s="1"/>
  <c r="AH10" i="31" s="1"/>
  <c r="E36" i="34"/>
  <c r="J18" i="34"/>
  <c r="J38" i="34" s="1"/>
  <c r="J16" i="34"/>
  <c r="J14" i="34" s="1"/>
  <c r="AC13" i="41"/>
  <c r="AC11" i="41" s="1"/>
  <c r="AC60" i="41" s="1"/>
  <c r="AF55" i="41"/>
  <c r="AC15" i="41"/>
  <c r="AB22" i="31" s="1"/>
  <c r="AB10" i="31" s="1"/>
  <c r="I38" i="34"/>
  <c r="AH1767" i="28"/>
  <c r="F58" i="35"/>
  <c r="E12" i="35"/>
  <c r="H24" i="34"/>
  <c r="H18" i="34" s="1"/>
  <c r="H38" i="34" s="1"/>
  <c r="G25" i="34"/>
  <c r="G24" i="34" s="1"/>
  <c r="G18" i="34" s="1"/>
  <c r="G38" i="34" s="1"/>
  <c r="E25" i="34"/>
  <c r="E24" i="34" s="1"/>
  <c r="E70" i="34" s="1"/>
  <c r="F25" i="34"/>
  <c r="F24" i="34" s="1"/>
  <c r="F18" i="34" s="1"/>
  <c r="R55" i="41"/>
  <c r="R15" i="41"/>
  <c r="Q22" i="31" s="1"/>
  <c r="Q10" i="31" s="1"/>
  <c r="T13" i="41"/>
  <c r="T11" i="41" s="1"/>
  <c r="T60" i="41" s="1"/>
  <c r="T55" i="41"/>
  <c r="T15" i="41"/>
  <c r="R22" i="31" s="1"/>
  <c r="R10" i="31" s="1"/>
  <c r="N23" i="31"/>
  <c r="E23" i="31" s="1"/>
  <c r="O34" i="41"/>
  <c r="O33" i="41" s="1"/>
  <c r="J55" i="41"/>
  <c r="J15" i="41"/>
  <c r="I22" i="31" s="1"/>
  <c r="I10" i="31" s="1"/>
  <c r="J13" i="41"/>
  <c r="J11" i="41" s="1"/>
  <c r="J60" i="41" s="1"/>
  <c r="N13" i="41"/>
  <c r="N11" i="41" s="1"/>
  <c r="N60" i="41" s="1"/>
  <c r="N55" i="41"/>
  <c r="N15" i="41"/>
  <c r="M22" i="31" s="1"/>
  <c r="M10" i="31" s="1"/>
  <c r="I55" i="41"/>
  <c r="I13" i="41"/>
  <c r="I11" i="41" s="1"/>
  <c r="I60" i="41" s="1"/>
  <c r="I15" i="41"/>
  <c r="H33" i="41"/>
  <c r="H15" i="41" s="1"/>
  <c r="E38" i="41"/>
  <c r="G15" i="41"/>
  <c r="AA10" i="31"/>
  <c r="E35" i="41"/>
  <c r="V34" i="41"/>
  <c r="V33" i="41" s="1"/>
  <c r="V15" i="41" s="1"/>
  <c r="U22" i="31" s="1"/>
  <c r="U10" i="31" s="1"/>
  <c r="T22" i="31"/>
  <c r="T10" i="31" s="1"/>
  <c r="AH390" i="44"/>
  <c r="N20" i="45" s="1"/>
  <c r="D192" i="46"/>
  <c r="E67" i="30"/>
  <c r="F63" i="30" s="1"/>
  <c r="G58" i="30" s="1"/>
  <c r="N18" i="45"/>
  <c r="K16" i="29"/>
  <c r="P145" i="39"/>
  <c r="AH1769" i="28"/>
  <c r="AH1770" i="28" s="1"/>
  <c r="E140" i="30"/>
  <c r="F139" i="30" s="1"/>
  <c r="G128" i="30" s="1"/>
  <c r="K18" i="29" s="1"/>
  <c r="H190" i="30"/>
  <c r="H203" i="30" s="1"/>
  <c r="H205" i="30" s="1"/>
  <c r="H207" i="30" s="1"/>
  <c r="H210" i="30" s="1"/>
  <c r="AB32" i="42"/>
  <c r="D31" i="43"/>
  <c r="D192" i="43"/>
  <c r="D174" i="43"/>
  <c r="D9" i="46"/>
  <c r="D93" i="46"/>
  <c r="D91" i="46" s="1"/>
  <c r="D151" i="43"/>
  <c r="D200" i="43"/>
  <c r="D212" i="46"/>
  <c r="X15" i="42"/>
  <c r="P34" i="39"/>
  <c r="AE23" i="42"/>
  <c r="D17" i="31"/>
  <c r="N7" i="45"/>
  <c r="N466" i="39"/>
  <c r="N459" i="39" s="1"/>
  <c r="S459" i="39" s="1"/>
  <c r="N433" i="39"/>
  <c r="S449" i="39"/>
  <c r="J116" i="39"/>
  <c r="P116" i="39" s="1"/>
  <c r="P117" i="39"/>
  <c r="G22" i="31"/>
  <c r="G10" i="31" s="1"/>
  <c r="F25" i="29"/>
  <c r="D39" i="43"/>
  <c r="D37" i="43" s="1"/>
  <c r="D174" i="46"/>
  <c r="AG635" i="44"/>
  <c r="AH635" i="44"/>
  <c r="AG842" i="44"/>
  <c r="AH842" i="44"/>
  <c r="D23" i="43"/>
  <c r="AB27" i="42" s="1"/>
  <c r="R25" i="45"/>
  <c r="D120" i="43"/>
  <c r="AH1047" i="44"/>
  <c r="AH1771" i="44" s="1"/>
  <c r="AG1047" i="44"/>
  <c r="D136" i="46" s="1"/>
  <c r="D200" i="46"/>
  <c r="N54" i="45"/>
  <c r="M43" i="39"/>
  <c r="P39" i="39" s="1"/>
  <c r="U20" i="42"/>
  <c r="X19" i="42" s="1"/>
  <c r="AE19" i="42" s="1"/>
  <c r="F81" i="30"/>
  <c r="J82" i="30"/>
  <c r="E43" i="30"/>
  <c r="T419" i="39"/>
  <c r="M88" i="39" s="1"/>
  <c r="P104" i="39"/>
  <c r="F84" i="30"/>
  <c r="J12" i="29" s="1"/>
  <c r="D186" i="43"/>
  <c r="R94" i="45" s="1"/>
  <c r="N94" i="45"/>
  <c r="Q96" i="45" s="1"/>
  <c r="D120" i="46"/>
  <c r="N425" i="39"/>
  <c r="AB21" i="42"/>
  <c r="AH979" i="44"/>
  <c r="N37" i="45" s="1"/>
  <c r="N33" i="45" s="1"/>
  <c r="AG979" i="44"/>
  <c r="D68" i="43"/>
  <c r="R7" i="45"/>
  <c r="AG1766" i="28"/>
  <c r="AG4" i="28" s="1"/>
  <c r="AH1781" i="28"/>
  <c r="V146" i="39"/>
  <c r="AJ1779" i="28"/>
  <c r="AI1778" i="28"/>
  <c r="D30" i="43"/>
  <c r="D95" i="43"/>
  <c r="D93" i="43" s="1"/>
  <c r="D91" i="43" s="1"/>
  <c r="D186" i="46"/>
  <c r="AF4" i="44"/>
  <c r="N25" i="45"/>
  <c r="D151" i="46"/>
  <c r="R54" i="45"/>
  <c r="D212" i="43"/>
  <c r="D196" i="43"/>
  <c r="P61" i="39"/>
  <c r="X38" i="42"/>
  <c r="AE38" i="42" s="1"/>
  <c r="P100" i="39"/>
  <c r="M120" i="39"/>
  <c r="AH1766" i="28"/>
  <c r="N424" i="39"/>
  <c r="R424" i="39" s="1"/>
  <c r="F33" i="30"/>
  <c r="F10" i="30" s="1"/>
  <c r="M58" i="39"/>
  <c r="P57" i="39" s="1"/>
  <c r="D62" i="46" l="1"/>
  <c r="AB55" i="41"/>
  <c r="E18" i="34"/>
  <c r="E38" i="34" s="1"/>
  <c r="D149" i="43"/>
  <c r="AB13" i="41"/>
  <c r="AB11" i="41" s="1"/>
  <c r="AB60" i="41" s="1"/>
  <c r="F34" i="41"/>
  <c r="G55" i="41"/>
  <c r="F33" i="41"/>
  <c r="F10" i="31"/>
  <c r="N66" i="45"/>
  <c r="S66" i="45" s="1"/>
  <c r="AH1947" i="44"/>
  <c r="AH1949" i="44" s="1"/>
  <c r="AH1950" i="44" s="1"/>
  <c r="AH1951" i="44" s="1"/>
  <c r="AH1952" i="44" s="1"/>
  <c r="AH1953" i="44" s="1"/>
  <c r="AH1954" i="44" s="1"/>
  <c r="AG1768" i="44"/>
  <c r="AH1768" i="44"/>
  <c r="H55" i="41"/>
  <c r="AI1780" i="44"/>
  <c r="AH1769" i="44"/>
  <c r="V13" i="41"/>
  <c r="V11" i="41" s="1"/>
  <c r="V60" i="41" s="1"/>
  <c r="AJ1781" i="44"/>
  <c r="D7" i="46"/>
  <c r="H16" i="34"/>
  <c r="E16" i="34" s="1"/>
  <c r="E14" i="34" s="1"/>
  <c r="F38" i="34"/>
  <c r="D190" i="46"/>
  <c r="D27" i="43"/>
  <c r="V55" i="41"/>
  <c r="H13" i="41"/>
  <c r="H11" i="41" s="1"/>
  <c r="H60" i="41" s="1"/>
  <c r="S7" i="45"/>
  <c r="D77" i="43"/>
  <c r="R16" i="45" s="1"/>
  <c r="E33" i="41"/>
  <c r="E55" i="41" s="1"/>
  <c r="E57" i="41" s="1"/>
  <c r="D112" i="31"/>
  <c r="D114" i="31" s="1"/>
  <c r="O55" i="41"/>
  <c r="O15" i="41"/>
  <c r="N22" i="31" s="1"/>
  <c r="N10" i="31" s="1"/>
  <c r="D10" i="31" s="1"/>
  <c r="O13" i="41"/>
  <c r="O11" i="41" s="1"/>
  <c r="O60" i="41" s="1"/>
  <c r="G11" i="41"/>
  <c r="E34" i="41"/>
  <c r="N16" i="45"/>
  <c r="P33" i="39"/>
  <c r="Q104" i="45"/>
  <c r="Q100" i="45"/>
  <c r="AI1772" i="28"/>
  <c r="AI1773" i="28" s="1"/>
  <c r="AH1778" i="28"/>
  <c r="M87" i="39"/>
  <c r="P87" i="39" s="1"/>
  <c r="P88" i="39"/>
  <c r="S54" i="45"/>
  <c r="AH1770" i="44"/>
  <c r="D127" i="43"/>
  <c r="R33" i="45" s="1"/>
  <c r="S33" i="45" s="1"/>
  <c r="D149" i="46"/>
  <c r="F41" i="29"/>
  <c r="F45" i="29" s="1"/>
  <c r="F47" i="29" s="1"/>
  <c r="F49" i="29" s="1"/>
  <c r="F52" i="29" s="1"/>
  <c r="F24" i="29"/>
  <c r="AE15" i="42"/>
  <c r="F15" i="29"/>
  <c r="J49" i="30"/>
  <c r="J51" i="30"/>
  <c r="S431" i="39"/>
  <c r="S432" i="39" s="1"/>
  <c r="E11" i="29"/>
  <c r="Q107" i="45"/>
  <c r="Q98" i="45"/>
  <c r="Q101" i="45"/>
  <c r="Q105" i="45"/>
  <c r="Q102" i="45"/>
  <c r="N423" i="39"/>
  <c r="AI1766" i="28"/>
  <c r="AI814" i="28"/>
  <c r="AB30" i="42"/>
  <c r="AB49" i="42" s="1"/>
  <c r="AB57" i="42" s="1"/>
  <c r="Y146" i="39"/>
  <c r="V149" i="39"/>
  <c r="D9" i="43"/>
  <c r="Q106" i="45"/>
  <c r="Q103" i="45"/>
  <c r="Q95" i="45"/>
  <c r="S94" i="45"/>
  <c r="J120" i="39"/>
  <c r="P120" i="39" s="1"/>
  <c r="P124" i="39" s="1"/>
  <c r="D23" i="31"/>
  <c r="D22" i="31" s="1"/>
  <c r="M68" i="39"/>
  <c r="F39" i="30"/>
  <c r="J11" i="29"/>
  <c r="K10" i="29" s="1"/>
  <c r="G80" i="30"/>
  <c r="S25" i="45"/>
  <c r="D127" i="46"/>
  <c r="D118" i="46" s="1"/>
  <c r="D114" i="46" s="1"/>
  <c r="D85" i="46" s="1"/>
  <c r="Q99" i="45"/>
  <c r="Q97" i="45"/>
  <c r="D190" i="43"/>
  <c r="Y145" i="39"/>
  <c r="P149" i="39"/>
  <c r="D136" i="43"/>
  <c r="AJ1947" i="44" l="1"/>
  <c r="D72" i="43"/>
  <c r="D62" i="43" s="1"/>
  <c r="D7" i="43" s="1"/>
  <c r="G16" i="34"/>
  <c r="G14" i="34" s="1"/>
  <c r="F16" i="34"/>
  <c r="F14" i="34" s="1"/>
  <c r="AH1772" i="44"/>
  <c r="AH1780" i="44" s="1"/>
  <c r="D210" i="46"/>
  <c r="D222" i="46" s="1"/>
  <c r="D228" i="46" s="1"/>
  <c r="D246" i="46" s="1"/>
  <c r="G60" i="41"/>
  <c r="F11" i="41"/>
  <c r="F13" i="41"/>
  <c r="F15" i="41"/>
  <c r="E22" i="31"/>
  <c r="E10" i="31"/>
  <c r="H14" i="34"/>
  <c r="E15" i="41"/>
  <c r="AM55" i="41"/>
  <c r="S16" i="45"/>
  <c r="E13" i="41"/>
  <c r="E11" i="41"/>
  <c r="E60" i="41" s="1"/>
  <c r="AI1774" i="44"/>
  <c r="AI1775" i="44" s="1"/>
  <c r="D210" i="43"/>
  <c r="D222" i="43" s="1"/>
  <c r="D228" i="43" s="1"/>
  <c r="N437" i="39"/>
  <c r="N422" i="39" s="1"/>
  <c r="X29" i="42"/>
  <c r="X62" i="42" s="1"/>
  <c r="AD66" i="39"/>
  <c r="AD67" i="39" s="1"/>
  <c r="AD69" i="39" s="1"/>
  <c r="P63" i="39"/>
  <c r="P62" i="39" s="1"/>
  <c r="S32" i="39" s="1"/>
  <c r="AI816" i="44"/>
  <c r="AI1768" i="44"/>
  <c r="G127" i="30"/>
  <c r="J99" i="30"/>
  <c r="F38" i="30"/>
  <c r="Y149" i="39"/>
  <c r="P130" i="39" s="1"/>
  <c r="D118" i="43"/>
  <c r="D114" i="43" s="1"/>
  <c r="D85" i="43" s="1"/>
  <c r="D137" i="46" l="1"/>
  <c r="D135" i="46" s="1"/>
  <c r="D129" i="46" s="1"/>
  <c r="D83" i="46" s="1"/>
  <c r="E80" i="46" s="1"/>
  <c r="D251" i="46"/>
  <c r="J127" i="30"/>
  <c r="G79" i="30"/>
  <c r="P131" i="39"/>
  <c r="K17" i="29"/>
  <c r="K19" i="29" s="1"/>
  <c r="P132" i="39"/>
  <c r="E12" i="29"/>
  <c r="F10" i="29" s="1"/>
  <c r="F19" i="29" s="1"/>
  <c r="G9" i="30"/>
  <c r="G8" i="30" s="1"/>
  <c r="AE29" i="42"/>
  <c r="AE62" i="42" s="1"/>
  <c r="AK46" i="42"/>
  <c r="D251" i="43"/>
  <c r="D137" i="43"/>
  <c r="D135" i="43" s="1"/>
  <c r="D129" i="43" s="1"/>
  <c r="D83" i="43" s="1"/>
  <c r="E79" i="43" s="1"/>
  <c r="AB62" i="42" l="1"/>
  <c r="P126" i="39"/>
  <c r="P128" i="39" s="1"/>
  <c r="AE64" i="42"/>
  <c r="K21" i="29"/>
  <c r="G76" i="30"/>
  <c r="AE66" i="42" l="1"/>
  <c r="B90" i="31"/>
  <c r="S11" i="37"/>
  <c r="F8" i="37"/>
  <c r="E8" i="37"/>
  <c r="S16" i="37"/>
  <c r="S21" i="37" s="1"/>
  <c r="S19" i="37" l="1"/>
  <c r="E11" i="37"/>
  <c r="F16" i="37"/>
  <c r="F21" i="37" s="1"/>
  <c r="F24" i="37" s="1"/>
  <c r="E16" i="37"/>
  <c r="E21" i="37" s="1"/>
  <c r="E24" i="37" s="1"/>
  <c r="F11" i="37"/>
  <c r="E23" i="37" l="1"/>
  <c r="C23" i="37" s="1"/>
  <c r="E19" i="37"/>
  <c r="F19" i="37"/>
  <c r="F23" i="37"/>
</calcChain>
</file>

<file path=xl/comments1.xml><?xml version="1.0" encoding="utf-8"?>
<comments xmlns="http://schemas.openxmlformats.org/spreadsheetml/2006/main">
  <authors>
    <author>Danilo Iturra</author>
    <author>sonia.ferrada</author>
    <author>BiceVida</author>
    <author>Manuel Correa Orellana</author>
    <author>Alejandro Caniunir</author>
    <author>diturra</author>
  </authors>
  <commentList>
    <comment ref="AG9" authorId="0">
      <text>
        <r>
          <rPr>
            <sz val="8"/>
            <color indexed="81"/>
            <rFont val="Tahoma"/>
            <family val="2"/>
          </rPr>
          <t>Corresponde a Cheques Vencidos por $ 66.887.937 de cuenta 211408</t>
        </r>
      </text>
    </comment>
    <comment ref="AG10" authorId="1">
      <text>
        <r>
          <rPr>
            <b/>
            <sz val="8"/>
            <color indexed="81"/>
            <rFont val="Tahoma"/>
            <family val="2"/>
          </rPr>
          <t>DISTRIBUIRLO EN LOS BANCOS DEL ANÁLISIS</t>
        </r>
        <r>
          <rPr>
            <sz val="8"/>
            <color indexed="81"/>
            <rFont val="Tahoma"/>
            <family val="2"/>
          </rPr>
          <t xml:space="preserve">
</t>
        </r>
      </text>
    </comment>
    <comment ref="AG104" authorId="2">
      <text>
        <r>
          <rPr>
            <b/>
            <sz val="8"/>
            <color indexed="81"/>
            <rFont val="Tahoma"/>
            <family val="2"/>
          </rPr>
          <t>BiceVida:</t>
        </r>
        <r>
          <rPr>
            <sz val="8"/>
            <color indexed="81"/>
            <rFont val="Tahoma"/>
            <family val="2"/>
          </rPr>
          <t xml:space="preserve">
Informe stock final "Bono Extranjero" filtar por emisor BancoInper, BancoColombi, BBVAMex, ItauUniba y Votorantim</t>
        </r>
      </text>
    </comment>
    <comment ref="AG106" authorId="2">
      <text>
        <r>
          <rPr>
            <b/>
            <sz val="8"/>
            <color indexed="81"/>
            <rFont val="Tahoma"/>
            <family val="2"/>
          </rPr>
          <t>BiceVida:</t>
        </r>
        <r>
          <rPr>
            <sz val="8"/>
            <color indexed="81"/>
            <rFont val="Tahoma"/>
            <family val="2"/>
          </rPr>
          <t xml:space="preserve">
BONO BANCHILE svs RECLASIFICO A BONO FINANCIERA A DICIEMBRE 2009 SE VENDIO</t>
        </r>
      </text>
    </comment>
    <comment ref="AG108" authorId="3">
      <text>
        <r>
          <rPr>
            <b/>
            <sz val="8"/>
            <color indexed="81"/>
            <rFont val="Tahoma"/>
            <family val="2"/>
          </rPr>
          <t>Manuel Correa Orellana:</t>
        </r>
        <r>
          <rPr>
            <sz val="8"/>
            <color indexed="81"/>
            <rFont val="Tahoma"/>
            <family val="2"/>
          </rPr>
          <t xml:space="preserve">
se netea de cuenta 211434</t>
        </r>
      </text>
    </comment>
    <comment ref="AG225" authorId="0">
      <text>
        <r>
          <rPr>
            <b/>
            <sz val="8"/>
            <color indexed="81"/>
            <rFont val="Tahoma"/>
            <family val="2"/>
          </rPr>
          <t>Danilo Iturra:</t>
        </r>
        <r>
          <rPr>
            <sz val="8"/>
            <color indexed="81"/>
            <rFont val="Tahoma"/>
            <family val="2"/>
          </rPr>
          <t xml:space="preserve">
Se netea de cuenta 112003 BR vencidos por cobrar flexible</t>
        </r>
      </text>
    </comment>
    <comment ref="AG307" authorId="0">
      <text>
        <r>
          <rPr>
            <b/>
            <sz val="8"/>
            <color indexed="81"/>
            <rFont val="Tahoma"/>
            <family val="2"/>
          </rPr>
          <t>Danilo Iturra:</t>
        </r>
        <r>
          <rPr>
            <sz val="8"/>
            <color indexed="81"/>
            <rFont val="Tahoma"/>
            <family val="2"/>
          </rPr>
          <t xml:space="preserve">
se netea de cuenta 210301 POR NORMATIVA</t>
        </r>
      </text>
    </comment>
    <comment ref="AG322" authorId="0">
      <text>
        <r>
          <rPr>
            <b/>
            <sz val="8"/>
            <color indexed="81"/>
            <rFont val="Tahoma"/>
            <family val="2"/>
          </rPr>
          <t>Danilo Iturra:</t>
        </r>
        <r>
          <rPr>
            <sz val="8"/>
            <color indexed="81"/>
            <rFont val="Tahoma"/>
            <family val="2"/>
          </rPr>
          <t xml:space="preserve">
Se netea de 211408</t>
        </r>
      </text>
    </comment>
    <comment ref="AG324" authorId="2">
      <text>
        <r>
          <rPr>
            <b/>
            <sz val="8"/>
            <color indexed="81"/>
            <rFont val="Tahoma"/>
            <family val="2"/>
          </rPr>
          <t>BiceVida:</t>
        </r>
        <r>
          <rPr>
            <sz val="8"/>
            <color indexed="81"/>
            <rFont val="Tahoma"/>
            <family val="2"/>
          </rPr>
          <t xml:space="preserve">
se netea de cuenta 211435
</t>
        </r>
      </text>
    </comment>
    <comment ref="AG325" authorId="2">
      <text>
        <r>
          <rPr>
            <b/>
            <sz val="8"/>
            <color indexed="81"/>
            <rFont val="Tahoma"/>
            <family val="2"/>
          </rPr>
          <t>BiceVida:</t>
        </r>
        <r>
          <rPr>
            <sz val="8"/>
            <color indexed="81"/>
            <rFont val="Tahoma"/>
            <family val="2"/>
          </rPr>
          <t xml:space="preserve">
se netea de cuenta 211435</t>
        </r>
      </text>
    </comment>
    <comment ref="AG326" authorId="1">
      <text>
        <r>
          <rPr>
            <b/>
            <sz val="8"/>
            <color indexed="81"/>
            <rFont val="Tahoma"/>
            <family val="2"/>
          </rPr>
          <t>Cta111209 total del análisis</t>
        </r>
        <r>
          <rPr>
            <sz val="8"/>
            <color indexed="81"/>
            <rFont val="Tahoma"/>
            <family val="2"/>
          </rPr>
          <t xml:space="preserve">
</t>
        </r>
      </text>
    </comment>
    <comment ref="AG330" authorId="3">
      <text>
        <r>
          <rPr>
            <b/>
            <sz val="8"/>
            <color indexed="81"/>
            <rFont val="Tahoma"/>
            <family val="2"/>
          </rPr>
          <t>Manuel Correa Orellana:</t>
        </r>
        <r>
          <rPr>
            <sz val="8"/>
            <color indexed="81"/>
            <rFont val="Tahoma"/>
            <family val="2"/>
          </rPr>
          <t xml:space="preserve">
SE NETEA DE CUENTA 211434</t>
        </r>
      </text>
    </comment>
    <comment ref="AG332" authorId="0">
      <text>
        <r>
          <rPr>
            <b/>
            <sz val="8"/>
            <color indexed="81"/>
            <rFont val="Tahoma"/>
            <family val="2"/>
          </rPr>
          <t>Danilo Iturra:</t>
        </r>
        <r>
          <rPr>
            <sz val="8"/>
            <color indexed="81"/>
            <rFont val="Tahoma"/>
            <family val="2"/>
          </rPr>
          <t xml:space="preserve">
Se netea con 211006</t>
        </r>
      </text>
    </comment>
    <comment ref="E363" authorId="4">
      <text>
        <r>
          <rPr>
            <b/>
            <sz val="8"/>
            <color indexed="81"/>
            <rFont val="Tahoma"/>
            <family val="2"/>
          </rPr>
          <t>Alejandro Caniunir:</t>
        </r>
        <r>
          <rPr>
            <sz val="8"/>
            <color indexed="81"/>
            <rFont val="Tahoma"/>
            <family val="2"/>
          </rPr>
          <t xml:space="preserve">
Confirmar con M Correa
antes tenia codigo 511445000</t>
        </r>
      </text>
    </comment>
    <comment ref="E366" authorId="4">
      <text>
        <r>
          <rPr>
            <b/>
            <sz val="8"/>
            <color indexed="81"/>
            <rFont val="Tahoma"/>
            <family val="2"/>
          </rPr>
          <t>Alejandro Caniunir:</t>
        </r>
        <r>
          <rPr>
            <sz val="8"/>
            <color indexed="81"/>
            <rFont val="Tahoma"/>
            <family val="2"/>
          </rPr>
          <t xml:space="preserve">
Confirmar con M Correa
antes tenia codigo 511445000</t>
        </r>
      </text>
    </comment>
    <comment ref="E369" authorId="4">
      <text>
        <r>
          <rPr>
            <b/>
            <sz val="8"/>
            <color indexed="81"/>
            <rFont val="Tahoma"/>
            <family val="2"/>
          </rPr>
          <t>Alejandro Caniunir:</t>
        </r>
        <r>
          <rPr>
            <sz val="8"/>
            <color indexed="81"/>
            <rFont val="Tahoma"/>
            <family val="2"/>
          </rPr>
          <t xml:space="preserve">
Confirmar con M Correa
antes tenia codigo 511445000</t>
        </r>
      </text>
    </comment>
    <comment ref="E370" authorId="4">
      <text>
        <r>
          <rPr>
            <b/>
            <sz val="8"/>
            <color indexed="81"/>
            <rFont val="Tahoma"/>
            <family val="2"/>
          </rPr>
          <t>Alejandro Caniunir:</t>
        </r>
        <r>
          <rPr>
            <sz val="8"/>
            <color indexed="81"/>
            <rFont val="Tahoma"/>
            <family val="2"/>
          </rPr>
          <t xml:space="preserve">
Confirmar con M Correa
antes tenia codigo 511445000</t>
        </r>
      </text>
    </comment>
    <comment ref="AG390" authorId="0">
      <text>
        <r>
          <rPr>
            <b/>
            <sz val="8"/>
            <color indexed="81"/>
            <rFont val="Tahoma"/>
            <family val="2"/>
          </rPr>
          <t>Danilo Iturra:</t>
        </r>
        <r>
          <rPr>
            <sz val="8"/>
            <color indexed="81"/>
            <rFont val="Tahoma"/>
            <family val="2"/>
          </rPr>
          <t xml:space="preserve">
Se netea de cuenta 211432 y 211235</t>
        </r>
      </text>
    </comment>
    <comment ref="AG391" authorId="0">
      <text>
        <r>
          <rPr>
            <b/>
            <sz val="8"/>
            <color indexed="81"/>
            <rFont val="Tahoma"/>
            <family val="2"/>
          </rPr>
          <t>Danilo Iturra:</t>
        </r>
        <r>
          <rPr>
            <sz val="8"/>
            <color indexed="81"/>
            <rFont val="Tahoma"/>
            <family val="2"/>
          </rPr>
          <t xml:space="preserve">
Se netea de cuenta 211415</t>
        </r>
      </text>
    </comment>
    <comment ref="AG392" authorId="0">
      <text>
        <r>
          <rPr>
            <b/>
            <sz val="8"/>
            <color indexed="81"/>
            <rFont val="Tahoma"/>
            <family val="2"/>
          </rPr>
          <t>Danilo Iturra:</t>
        </r>
        <r>
          <rPr>
            <sz val="8"/>
            <color indexed="81"/>
            <rFont val="Tahoma"/>
            <family val="2"/>
          </rPr>
          <t xml:space="preserve">
Se netea de cuenta 211415</t>
        </r>
      </text>
    </comment>
    <comment ref="AG395" authorId="1">
      <text>
        <r>
          <rPr>
            <sz val="8"/>
            <color indexed="81"/>
            <rFont val="Tahoma"/>
            <family val="2"/>
          </rPr>
          <t xml:space="preserve">Se netes de cuenta 111637 desglosada
</t>
        </r>
      </text>
    </comment>
    <comment ref="AG396" authorId="0">
      <text>
        <r>
          <rPr>
            <b/>
            <sz val="8"/>
            <color indexed="81"/>
            <rFont val="Tahoma"/>
            <family val="2"/>
          </rPr>
          <t>Danilo Iturra:</t>
        </r>
        <r>
          <rPr>
            <sz val="8"/>
            <color indexed="81"/>
            <rFont val="Tahoma"/>
            <family val="2"/>
          </rPr>
          <t xml:space="preserve">
se netea de cuenta 211422</t>
        </r>
      </text>
    </comment>
    <comment ref="AG416" authorId="0">
      <text>
        <r>
          <rPr>
            <b/>
            <sz val="8"/>
            <color indexed="81"/>
            <rFont val="Tahoma"/>
            <family val="2"/>
          </rPr>
          <t>Danilo Iturra:</t>
        </r>
        <r>
          <rPr>
            <sz val="8"/>
            <color indexed="81"/>
            <rFont val="Tahoma"/>
            <family val="2"/>
          </rPr>
          <t xml:space="preserve">
Se netea de cuenta 211408</t>
        </r>
      </text>
    </comment>
    <comment ref="AG417" authorId="1">
      <text>
        <r>
          <rPr>
            <b/>
            <sz val="8"/>
            <color indexed="81"/>
            <rFont val="Tahoma"/>
            <family val="2"/>
          </rPr>
          <t>Se netea de cuenta 211208</t>
        </r>
      </text>
    </comment>
    <comment ref="AG419" authorId="1">
      <text>
        <r>
          <rPr>
            <sz val="8"/>
            <color indexed="81"/>
            <rFont val="Tahoma"/>
            <family val="2"/>
          </rPr>
          <t xml:space="preserve">Se netea contra cuenta 111637
</t>
        </r>
      </text>
    </comment>
    <comment ref="AG428" authorId="1">
      <text>
        <r>
          <rPr>
            <b/>
            <sz val="8"/>
            <color indexed="81"/>
            <rFont val="Tahoma"/>
            <family val="2"/>
          </rPr>
          <t>Netea 211223</t>
        </r>
        <r>
          <rPr>
            <sz val="8"/>
            <color indexed="81"/>
            <rFont val="Tahoma"/>
            <family val="2"/>
          </rPr>
          <t xml:space="preserve">
</t>
        </r>
      </text>
    </comment>
    <comment ref="AG429" authorId="1">
      <text>
        <r>
          <rPr>
            <b/>
            <sz val="8"/>
            <color indexed="81"/>
            <rFont val="Tahoma"/>
            <family val="2"/>
          </rPr>
          <t>Netea con 211237</t>
        </r>
        <r>
          <rPr>
            <sz val="8"/>
            <color indexed="81"/>
            <rFont val="Tahoma"/>
            <family val="2"/>
          </rPr>
          <t xml:space="preserve">
</t>
        </r>
      </text>
    </comment>
    <comment ref="AG430" authorId="1">
      <text>
        <r>
          <rPr>
            <b/>
            <sz val="8"/>
            <color indexed="81"/>
            <rFont val="Tahoma"/>
            <family val="2"/>
          </rPr>
          <t>Netea con 211237</t>
        </r>
        <r>
          <rPr>
            <sz val="8"/>
            <color indexed="81"/>
            <rFont val="Tahoma"/>
            <family val="2"/>
          </rPr>
          <t xml:space="preserve">
</t>
        </r>
      </text>
    </comment>
    <comment ref="AG432" authorId="3">
      <text>
        <r>
          <rPr>
            <b/>
            <sz val="8"/>
            <color indexed="81"/>
            <rFont val="Tahoma"/>
            <family val="2"/>
          </rPr>
          <t>Manuel Correa Orellana:</t>
        </r>
        <r>
          <rPr>
            <sz val="8"/>
            <color indexed="81"/>
            <rFont val="Tahoma"/>
            <family val="2"/>
          </rPr>
          <t xml:space="preserve">
se netes de cuenta 111637 según desglose</t>
        </r>
      </text>
    </comment>
    <comment ref="AG434" authorId="1">
      <text>
        <r>
          <rPr>
            <b/>
            <sz val="8"/>
            <color indexed="81"/>
            <rFont val="Tahoma"/>
            <family val="2"/>
          </rPr>
          <t>Netea con 211254</t>
        </r>
        <r>
          <rPr>
            <sz val="8"/>
            <color indexed="81"/>
            <rFont val="Tahoma"/>
            <family val="2"/>
          </rPr>
          <t xml:space="preserve">
</t>
        </r>
      </text>
    </comment>
    <comment ref="AG442" authorId="0">
      <text>
        <r>
          <rPr>
            <b/>
            <sz val="8"/>
            <color indexed="81"/>
            <rFont val="Tahoma"/>
            <family val="2"/>
          </rPr>
          <t>Danilo Iturra:</t>
        </r>
        <r>
          <rPr>
            <sz val="8"/>
            <color indexed="81"/>
            <rFont val="Tahoma"/>
            <family val="2"/>
          </rPr>
          <t xml:space="preserve">
Se netea con 211003</t>
        </r>
      </text>
    </comment>
    <comment ref="AG444" authorId="0">
      <text>
        <r>
          <rPr>
            <b/>
            <sz val="8"/>
            <color indexed="81"/>
            <rFont val="Tahoma"/>
            <family val="2"/>
          </rPr>
          <t>Danilo Iturra:</t>
        </r>
        <r>
          <rPr>
            <sz val="8"/>
            <color indexed="81"/>
            <rFont val="Tahoma"/>
            <family val="2"/>
          </rPr>
          <t xml:space="preserve">
Se netea con cuenta 211005</t>
        </r>
      </text>
    </comment>
    <comment ref="AG445" authorId="0">
      <text>
        <r>
          <rPr>
            <b/>
            <sz val="8"/>
            <color indexed="81"/>
            <rFont val="Tahoma"/>
            <family val="2"/>
          </rPr>
          <t>Danilo Iturra:</t>
        </r>
        <r>
          <rPr>
            <sz val="8"/>
            <color indexed="81"/>
            <rFont val="Tahoma"/>
            <family val="2"/>
          </rPr>
          <t xml:space="preserve">
Se netea con 211006</t>
        </r>
      </text>
    </comment>
    <comment ref="AG446" authorId="0">
      <text>
        <r>
          <rPr>
            <b/>
            <sz val="8"/>
            <color indexed="81"/>
            <rFont val="Tahoma"/>
            <family val="2"/>
          </rPr>
          <t>Danilo Iturra:</t>
        </r>
        <r>
          <rPr>
            <sz val="8"/>
            <color indexed="81"/>
            <rFont val="Tahoma"/>
            <family val="2"/>
          </rPr>
          <t xml:space="preserve">
Se netea con 211006</t>
        </r>
      </text>
    </comment>
    <comment ref="AG447" authorId="0">
      <text>
        <r>
          <rPr>
            <b/>
            <sz val="8"/>
            <color indexed="81"/>
            <rFont val="Tahoma"/>
            <family val="2"/>
          </rPr>
          <t>Danilo Iturra:</t>
        </r>
        <r>
          <rPr>
            <sz val="8"/>
            <color indexed="81"/>
            <rFont val="Tahoma"/>
            <family val="2"/>
          </rPr>
          <t xml:space="preserve">
Se netea con 211006</t>
        </r>
      </text>
    </comment>
    <comment ref="AG465" authorId="0">
      <text>
        <r>
          <rPr>
            <b/>
            <sz val="8"/>
            <color indexed="81"/>
            <rFont val="Tahoma"/>
            <family val="2"/>
          </rPr>
          <t>Danilo Iturra:</t>
        </r>
        <r>
          <rPr>
            <sz val="8"/>
            <color indexed="81"/>
            <rFont val="Tahoma"/>
            <family val="2"/>
          </rPr>
          <t xml:space="preserve">
corresponde a partida inmibiliaria on tomas de la cuenta 111612 deudores por inversion</t>
        </r>
      </text>
    </comment>
    <comment ref="AG553" authorId="0">
      <text>
        <r>
          <rPr>
            <b/>
            <sz val="8"/>
            <color indexed="81"/>
            <rFont val="Tahoma"/>
            <family val="2"/>
          </rPr>
          <t>Danilo Iturra:</t>
        </r>
        <r>
          <rPr>
            <sz val="8"/>
            <color indexed="81"/>
            <rFont val="Tahoma"/>
            <family val="2"/>
          </rPr>
          <t xml:space="preserve">
De netea de cuenta 110682</t>
        </r>
      </text>
    </comment>
    <comment ref="AG630" authorId="0">
      <text>
        <r>
          <rPr>
            <b/>
            <sz val="8"/>
            <color indexed="81"/>
            <rFont val="Tahoma"/>
            <family val="2"/>
          </rPr>
          <t>Danilo Iturra:</t>
        </r>
        <r>
          <rPr>
            <sz val="8"/>
            <color indexed="81"/>
            <rFont val="Tahoma"/>
            <family val="2"/>
          </rPr>
          <t xml:space="preserve">
Se netea de cuenta 211253
</t>
        </r>
      </text>
    </comment>
    <comment ref="AG635" authorId="0">
      <text>
        <r>
          <rPr>
            <b/>
            <sz val="8"/>
            <color indexed="81"/>
            <rFont val="Tahoma"/>
            <family val="2"/>
          </rPr>
          <t>Danilo Iturra:</t>
        </r>
        <r>
          <rPr>
            <sz val="8"/>
            <color indexed="81"/>
            <rFont val="Tahoma"/>
            <family val="2"/>
          </rPr>
          <t xml:space="preserve">
Se netea con 211350</t>
        </r>
      </text>
    </comment>
    <comment ref="AG641" authorId="0">
      <text>
        <r>
          <rPr>
            <b/>
            <sz val="8"/>
            <color indexed="81"/>
            <rFont val="Tahoma"/>
            <family val="2"/>
          </rPr>
          <t>Danilo Iturra:</t>
        </r>
        <r>
          <rPr>
            <sz val="8"/>
            <color indexed="81"/>
            <rFont val="Tahoma"/>
            <family val="2"/>
          </rPr>
          <t xml:space="preserve">
Se netea de cuenta 211802</t>
        </r>
      </text>
    </comment>
    <comment ref="AG696" authorId="0">
      <text>
        <r>
          <rPr>
            <b/>
            <sz val="8"/>
            <color indexed="81"/>
            <rFont val="Tahoma"/>
            <family val="2"/>
          </rPr>
          <t>Danilo Iturra:</t>
        </r>
        <r>
          <rPr>
            <sz val="8"/>
            <color indexed="81"/>
            <rFont val="Tahoma"/>
            <family val="2"/>
          </rPr>
          <t xml:space="preserve">
Se netea de cuenta 110901</t>
        </r>
      </text>
    </comment>
    <comment ref="AF728" authorId="1">
      <text>
        <r>
          <rPr>
            <b/>
            <sz val="8"/>
            <color indexed="81"/>
            <rFont val="Tahoma"/>
            <family val="2"/>
          </rPr>
          <t>Del informe de resrvas distribuir de acuerdo a estado (pendientes y liquidado y pagado) y ramo.</t>
        </r>
        <r>
          <rPr>
            <sz val="8"/>
            <color indexed="81"/>
            <rFont val="Tahoma"/>
            <family val="2"/>
          </rPr>
          <t xml:space="preserve">
</t>
        </r>
      </text>
    </comment>
    <comment ref="AG804" authorId="0">
      <text>
        <r>
          <rPr>
            <b/>
            <sz val="8"/>
            <color indexed="81"/>
            <rFont val="Tahoma"/>
            <family val="2"/>
          </rPr>
          <t>Danilo Iturra:</t>
        </r>
        <r>
          <rPr>
            <sz val="8"/>
            <color indexed="81"/>
            <rFont val="Tahoma"/>
            <family val="2"/>
          </rPr>
          <t xml:space="preserve">
Se netea con cuenta 211005</t>
        </r>
      </text>
    </comment>
    <comment ref="AG805" authorId="0">
      <text>
        <r>
          <rPr>
            <b/>
            <sz val="8"/>
            <color indexed="81"/>
            <rFont val="Tahoma"/>
            <family val="2"/>
          </rPr>
          <t>Danilo Iturra:</t>
        </r>
        <r>
          <rPr>
            <sz val="8"/>
            <color indexed="81"/>
            <rFont val="Tahoma"/>
            <family val="2"/>
          </rPr>
          <t xml:space="preserve">
Se netea con 111703 , 111707 , 111304 , 111706 , 111708</t>
        </r>
      </text>
    </comment>
    <comment ref="AG840" authorId="1">
      <text>
        <r>
          <rPr>
            <b/>
            <sz val="8"/>
            <color indexed="81"/>
            <rFont val="Tahoma"/>
            <family val="2"/>
          </rPr>
          <t>Netea con 111633</t>
        </r>
        <r>
          <rPr>
            <sz val="8"/>
            <color indexed="81"/>
            <rFont val="Tahoma"/>
            <family val="2"/>
          </rPr>
          <t xml:space="preserve">
</t>
        </r>
      </text>
    </comment>
    <comment ref="AE854" authorId="5">
      <text>
        <r>
          <rPr>
            <b/>
            <sz val="8"/>
            <color indexed="81"/>
            <rFont val="Tahoma"/>
            <family val="2"/>
          </rPr>
          <t>diturra:</t>
        </r>
        <r>
          <rPr>
            <sz val="8"/>
            <color indexed="81"/>
            <rFont val="Tahoma"/>
            <family val="2"/>
          </rPr>
          <t xml:space="preserve">
Regularizar según AFP</t>
        </r>
      </text>
    </comment>
    <comment ref="AG855" authorId="0">
      <text>
        <r>
          <rPr>
            <b/>
            <sz val="8"/>
            <color indexed="81"/>
            <rFont val="Tahoma"/>
            <family val="2"/>
          </rPr>
          <t>Danilo Iturra:</t>
        </r>
        <r>
          <rPr>
            <sz val="8"/>
            <color indexed="81"/>
            <rFont val="Tahoma"/>
            <family val="2"/>
          </rPr>
          <t xml:space="preserve">
Se netea de cuenta 111648</t>
        </r>
      </text>
    </comment>
    <comment ref="AG865" authorId="1">
      <text>
        <r>
          <rPr>
            <sz val="8"/>
            <color indexed="81"/>
            <rFont val="Tahoma"/>
            <family val="2"/>
          </rPr>
          <t xml:space="preserve">Netea con 211233 (UF2078.02)
</t>
        </r>
      </text>
    </comment>
    <comment ref="AG867" authorId="0">
      <text>
        <r>
          <rPr>
            <b/>
            <sz val="8"/>
            <color indexed="81"/>
            <rFont val="Tahoma"/>
            <family val="2"/>
          </rPr>
          <t>Danilo Iturra:</t>
        </r>
        <r>
          <rPr>
            <sz val="8"/>
            <color indexed="81"/>
            <rFont val="Tahoma"/>
            <family val="2"/>
          </rPr>
          <t xml:space="preserve">
Se netea contra la cuenta 111605</t>
        </r>
      </text>
    </comment>
    <comment ref="AG869" authorId="1">
      <text>
        <r>
          <rPr>
            <b/>
            <sz val="8"/>
            <color indexed="81"/>
            <rFont val="Tahoma"/>
            <family val="2"/>
          </rPr>
          <t xml:space="preserve">Netea con 111649
</t>
        </r>
        <r>
          <rPr>
            <sz val="8"/>
            <color indexed="81"/>
            <rFont val="Tahoma"/>
            <family val="2"/>
          </rPr>
          <t xml:space="preserve">
</t>
        </r>
      </text>
    </comment>
    <comment ref="AG885" authorId="0">
      <text>
        <r>
          <rPr>
            <sz val="8"/>
            <color indexed="81"/>
            <rFont val="Tahoma"/>
            <family val="2"/>
          </rPr>
          <t xml:space="preserve">
se netea con cuenta 114004 </t>
        </r>
      </text>
    </comment>
    <comment ref="AG886" authorId="1">
      <text>
        <r>
          <rPr>
            <b/>
            <sz val="8"/>
            <color indexed="81"/>
            <rFont val="Tahoma"/>
            <family val="2"/>
          </rPr>
          <t xml:space="preserve">Netea con 111655
</t>
        </r>
        <r>
          <rPr>
            <sz val="8"/>
            <color indexed="81"/>
            <rFont val="Tahoma"/>
            <family val="2"/>
          </rPr>
          <t xml:space="preserve">
</t>
        </r>
      </text>
    </comment>
    <comment ref="AG901" authorId="0">
      <text>
        <r>
          <rPr>
            <sz val="8"/>
            <color indexed="81"/>
            <rFont val="Tahoma"/>
            <family val="2"/>
          </rPr>
          <t>Corresponde a Debe menos haber de Habitat, este resultado menos el saldo del mayor da el monto del ajuste.</t>
        </r>
      </text>
    </comment>
    <comment ref="AG960" authorId="0">
      <text>
        <r>
          <rPr>
            <b/>
            <sz val="8"/>
            <color indexed="81"/>
            <rFont val="Tahoma"/>
            <family val="2"/>
          </rPr>
          <t>Danilo Iturra:</t>
        </r>
        <r>
          <rPr>
            <sz val="8"/>
            <color indexed="81"/>
            <rFont val="Tahoma"/>
            <family val="2"/>
          </rPr>
          <t xml:space="preserve">
Se netea con 114009</t>
        </r>
      </text>
    </comment>
    <comment ref="AG969" authorId="0">
      <text>
        <r>
          <rPr>
            <b/>
            <sz val="8"/>
            <color indexed="81"/>
            <rFont val="Tahoma"/>
            <family val="2"/>
          </rPr>
          <t>Danilo Iturra:</t>
        </r>
        <r>
          <rPr>
            <sz val="8"/>
            <color indexed="81"/>
            <rFont val="Tahoma"/>
            <family val="2"/>
          </rPr>
          <t xml:space="preserve">
Se netea de cuenta 111632 , 110003 y 111205
</t>
        </r>
      </text>
    </comment>
    <comment ref="AG971" authorId="0">
      <text>
        <r>
          <rPr>
            <b/>
            <sz val="8"/>
            <color indexed="81"/>
            <rFont val="Tahoma"/>
            <family val="2"/>
          </rPr>
          <t>Danilo Iturra:</t>
        </r>
        <r>
          <rPr>
            <sz val="8"/>
            <color indexed="81"/>
            <rFont val="Tahoma"/>
            <family val="2"/>
          </rPr>
          <t xml:space="preserve">
Se netea de cuenta 111606 y 111607</t>
        </r>
      </text>
    </comment>
    <comment ref="AG972" authorId="0">
      <text>
        <r>
          <rPr>
            <b/>
            <sz val="8"/>
            <color indexed="81"/>
            <rFont val="Tahoma"/>
            <family val="2"/>
          </rPr>
          <t>Danilo Iturra:</t>
        </r>
        <r>
          <rPr>
            <sz val="8"/>
            <color indexed="81"/>
            <rFont val="Tahoma"/>
            <family val="2"/>
          </rPr>
          <t xml:space="preserve">
se netea de cuenta 111611</t>
        </r>
      </text>
    </comment>
    <comment ref="AG974" authorId="0">
      <text>
        <r>
          <rPr>
            <b/>
            <sz val="8"/>
            <color indexed="81"/>
            <rFont val="Tahoma"/>
            <family val="2"/>
          </rPr>
          <t>Danilo Iturra:</t>
        </r>
        <r>
          <rPr>
            <sz val="8"/>
            <color indexed="81"/>
            <rFont val="Tahoma"/>
            <family val="2"/>
          </rPr>
          <t xml:space="preserve">
se netea de cuenta 111605</t>
        </r>
      </text>
    </comment>
    <comment ref="AG990" authorId="0">
      <text>
        <r>
          <rPr>
            <b/>
            <sz val="8"/>
            <color indexed="81"/>
            <rFont val="Tahoma"/>
            <family val="2"/>
          </rPr>
          <t>Danilo Iturra:</t>
        </r>
        <r>
          <rPr>
            <sz val="8"/>
            <color indexed="81"/>
            <rFont val="Tahoma"/>
            <family val="2"/>
          </rPr>
          <t xml:space="preserve">
Se netea de cuenta 114015</t>
        </r>
      </text>
    </comment>
    <comment ref="AG1008" authorId="1">
      <text>
        <r>
          <rPr>
            <b/>
            <sz val="8"/>
            <color indexed="81"/>
            <rFont val="Tahoma"/>
            <family val="2"/>
          </rPr>
          <t>Dato se obtiene de la reserva de calce "Mutuel Pax" UF</t>
        </r>
        <r>
          <rPr>
            <sz val="8"/>
            <color indexed="81"/>
            <rFont val="Tahoma"/>
            <family val="2"/>
          </rPr>
          <t xml:space="preserve">
</t>
        </r>
      </text>
    </comment>
    <comment ref="AG1039" authorId="0">
      <text>
        <r>
          <rPr>
            <b/>
            <sz val="8"/>
            <color indexed="81"/>
            <rFont val="Tahoma"/>
            <family val="2"/>
          </rPr>
          <t>Danilo Iturra:</t>
        </r>
        <r>
          <rPr>
            <sz val="8"/>
            <color indexed="81"/>
            <rFont val="Tahoma"/>
            <family val="2"/>
          </rPr>
          <t xml:space="preserve">
Se netea con 310201</t>
        </r>
      </text>
    </comment>
    <comment ref="AG1041" authorId="0">
      <text>
        <r>
          <rPr>
            <b/>
            <sz val="8"/>
            <color indexed="81"/>
            <rFont val="Tahoma"/>
            <family val="2"/>
          </rPr>
          <t>Danilo Iturra:</t>
        </r>
        <r>
          <rPr>
            <sz val="8"/>
            <color indexed="81"/>
            <rFont val="Tahoma"/>
            <family val="2"/>
          </rPr>
          <t xml:space="preserve">
Se netea con 310201</t>
        </r>
      </text>
    </comment>
    <comment ref="AG1045" authorId="0">
      <text>
        <r>
          <rPr>
            <b/>
            <sz val="8"/>
            <color indexed="81"/>
            <rFont val="Tahoma"/>
            <family val="2"/>
          </rPr>
          <t>Danilo Iturra:</t>
        </r>
        <r>
          <rPr>
            <sz val="8"/>
            <color indexed="81"/>
            <rFont val="Tahoma"/>
            <family val="2"/>
          </rPr>
          <t xml:space="preserve">
Se netea con 310104 y 310106</t>
        </r>
      </text>
    </comment>
    <comment ref="E1328" authorId="5">
      <text>
        <r>
          <rPr>
            <b/>
            <sz val="8"/>
            <color indexed="81"/>
            <rFont val="Tahoma"/>
            <family val="2"/>
          </rPr>
          <t>diturra:</t>
        </r>
        <r>
          <rPr>
            <sz val="8"/>
            <color indexed="81"/>
            <rFont val="Tahoma"/>
            <family val="2"/>
          </rPr>
          <t xml:space="preserve">
Reaseguro no proporcional</t>
        </r>
      </text>
    </comment>
    <comment ref="AG1381" authorId="2">
      <text>
        <r>
          <rPr>
            <b/>
            <sz val="8"/>
            <color indexed="81"/>
            <rFont val="Tahoma"/>
            <family val="2"/>
          </rPr>
          <t>BiceVida:</t>
        </r>
        <r>
          <rPr>
            <sz val="8"/>
            <color indexed="81"/>
            <rFont val="Tahoma"/>
            <family val="2"/>
          </rPr>
          <t xml:space="preserve">
Eliminar de y dejar valores cuadro siniestros cedidos</t>
        </r>
      </text>
    </comment>
    <comment ref="AG1399" authorId="3">
      <text>
        <r>
          <rPr>
            <b/>
            <sz val="8"/>
            <color indexed="81"/>
            <rFont val="Tahoma"/>
            <family val="2"/>
          </rPr>
          <t>Manuel Correa Orellana:</t>
        </r>
        <r>
          <rPr>
            <sz val="8"/>
            <color indexed="81"/>
            <rFont val="Tahoma"/>
            <family val="2"/>
          </rPr>
          <t xml:space="preserve">
reclasificacion de ramo 420</t>
        </r>
      </text>
    </comment>
    <comment ref="AG1401" authorId="3">
      <text>
        <r>
          <rPr>
            <b/>
            <sz val="8"/>
            <color indexed="81"/>
            <rFont val="Tahoma"/>
            <family val="2"/>
          </rPr>
          <t>Manuel Correa Orellana:</t>
        </r>
        <r>
          <rPr>
            <sz val="8"/>
            <color indexed="81"/>
            <rFont val="Tahoma"/>
            <family val="2"/>
          </rPr>
          <t xml:space="preserve">
reclasificacion de ramo 420</t>
        </r>
      </text>
    </comment>
    <comment ref="AG1404" authorId="3">
      <text>
        <r>
          <rPr>
            <b/>
            <sz val="8"/>
            <color indexed="81"/>
            <rFont val="Tahoma"/>
            <family val="2"/>
          </rPr>
          <t>Manuel Correa Orellana:</t>
        </r>
        <r>
          <rPr>
            <sz val="8"/>
            <color indexed="81"/>
            <rFont val="Tahoma"/>
            <family val="2"/>
          </rPr>
          <t xml:space="preserve">
reclasificacion de ramo 420</t>
        </r>
      </text>
    </comment>
    <comment ref="AG1405" authorId="3">
      <text>
        <r>
          <rPr>
            <b/>
            <sz val="8"/>
            <color indexed="81"/>
            <rFont val="Tahoma"/>
            <family val="2"/>
          </rPr>
          <t>Manuel Correa Orellana:</t>
        </r>
        <r>
          <rPr>
            <sz val="8"/>
            <color indexed="81"/>
            <rFont val="Tahoma"/>
            <family val="2"/>
          </rPr>
          <t xml:space="preserve">
reclasificacion de ramo 420</t>
        </r>
      </text>
    </comment>
  </commentList>
</comments>
</file>

<file path=xl/comments2.xml><?xml version="1.0" encoding="utf-8"?>
<comments xmlns="http://schemas.openxmlformats.org/spreadsheetml/2006/main">
  <authors>
    <author>Danilo Iturra</author>
    <author>sonia.ferrada</author>
    <author>BiceVida</author>
    <author>Manuel Correa Orellana</author>
    <author>Alejandro Caniunir</author>
    <author>diturra</author>
  </authors>
  <commentList>
    <comment ref="AF9" authorId="0">
      <text>
        <r>
          <rPr>
            <sz val="8"/>
            <color indexed="81"/>
            <rFont val="Tahoma"/>
            <family val="2"/>
          </rPr>
          <t>Corresponde a Cheques Vencidos por $ 66.887.937 de cuenta 211408</t>
        </r>
      </text>
    </comment>
    <comment ref="AF10" authorId="1">
      <text>
        <r>
          <rPr>
            <b/>
            <sz val="8"/>
            <color indexed="81"/>
            <rFont val="Tahoma"/>
            <family val="2"/>
          </rPr>
          <t>DISTRIBUIRLO EN LOS BANCOS DEL ANÁLISIS</t>
        </r>
        <r>
          <rPr>
            <sz val="8"/>
            <color indexed="81"/>
            <rFont val="Tahoma"/>
            <family val="2"/>
          </rPr>
          <t xml:space="preserve">
</t>
        </r>
      </text>
    </comment>
    <comment ref="AF94" authorId="2">
      <text>
        <r>
          <rPr>
            <b/>
            <sz val="8"/>
            <color indexed="81"/>
            <rFont val="Tahoma"/>
            <family val="2"/>
          </rPr>
          <t>BiceVida:</t>
        </r>
        <r>
          <rPr>
            <sz val="8"/>
            <color indexed="81"/>
            <rFont val="Tahoma"/>
            <family val="2"/>
          </rPr>
          <t xml:space="preserve">
reclasificacion por SVS de bono financiero a bono empresa (el dato se obtiene del informe de stock final (BEMPRE TFL Banco Santander-Chile))
</t>
        </r>
      </text>
    </comment>
    <comment ref="AF104" authorId="2">
      <text>
        <r>
          <rPr>
            <b/>
            <sz val="8"/>
            <color indexed="81"/>
            <rFont val="Tahoma"/>
            <family val="2"/>
          </rPr>
          <t>BiceVida:</t>
        </r>
        <r>
          <rPr>
            <sz val="8"/>
            <color indexed="81"/>
            <rFont val="Tahoma"/>
            <family val="2"/>
          </rPr>
          <t xml:space="preserve">
Informe stock final "Bono Extranjero" filtar por emisor BancoInper, BancoColombi, BBVAMex, ItauUniba y Votorantim</t>
        </r>
      </text>
    </comment>
    <comment ref="AF106" authorId="2">
      <text>
        <r>
          <rPr>
            <b/>
            <sz val="8"/>
            <color indexed="81"/>
            <rFont val="Tahoma"/>
            <family val="2"/>
          </rPr>
          <t>BiceVida:</t>
        </r>
        <r>
          <rPr>
            <sz val="8"/>
            <color indexed="81"/>
            <rFont val="Tahoma"/>
            <family val="2"/>
          </rPr>
          <t xml:space="preserve">
BONO BANCHILE svs RECLASIFICO A BONO FINANCIERA A DICIEMBRE 2009 SE VENDIO</t>
        </r>
      </text>
    </comment>
    <comment ref="AF108" authorId="3">
      <text>
        <r>
          <rPr>
            <b/>
            <sz val="8"/>
            <color indexed="81"/>
            <rFont val="Tahoma"/>
            <family val="2"/>
          </rPr>
          <t>Manuel Correa Orellana:</t>
        </r>
        <r>
          <rPr>
            <sz val="8"/>
            <color indexed="81"/>
            <rFont val="Tahoma"/>
            <family val="2"/>
          </rPr>
          <t xml:space="preserve">
se netea de cuenta 211434</t>
        </r>
      </text>
    </comment>
    <comment ref="AF225" authorId="0">
      <text>
        <r>
          <rPr>
            <b/>
            <sz val="8"/>
            <color indexed="81"/>
            <rFont val="Tahoma"/>
            <family val="2"/>
          </rPr>
          <t>Danilo Iturra:</t>
        </r>
        <r>
          <rPr>
            <sz val="8"/>
            <color indexed="81"/>
            <rFont val="Tahoma"/>
            <family val="2"/>
          </rPr>
          <t xml:space="preserve">
Se netea de cuenta 112003 BR vencidos por cobrar flexible</t>
        </r>
      </text>
    </comment>
    <comment ref="AF322" authorId="0">
      <text>
        <r>
          <rPr>
            <b/>
            <sz val="8"/>
            <color indexed="81"/>
            <rFont val="Tahoma"/>
            <family val="2"/>
          </rPr>
          <t>Danilo Iturra:</t>
        </r>
        <r>
          <rPr>
            <sz val="8"/>
            <color indexed="81"/>
            <rFont val="Tahoma"/>
            <family val="2"/>
          </rPr>
          <t xml:space="preserve">
Se netea de 211408</t>
        </r>
      </text>
    </comment>
    <comment ref="AF323" authorId="3">
      <text>
        <r>
          <rPr>
            <b/>
            <sz val="8"/>
            <color indexed="81"/>
            <rFont val="Tahoma"/>
            <family val="2"/>
          </rPr>
          <t>Manuel Correa Orellana:</t>
        </r>
        <r>
          <rPr>
            <sz val="8"/>
            <color indexed="81"/>
            <rFont val="Tahoma"/>
            <family val="2"/>
          </rPr>
          <t xml:space="preserve">
se rebaja a otros activos de la cuenta valores por depositar.</t>
        </r>
      </text>
    </comment>
    <comment ref="AF324" authorId="2">
      <text>
        <r>
          <rPr>
            <b/>
            <sz val="8"/>
            <color indexed="81"/>
            <rFont val="Tahoma"/>
            <family val="2"/>
          </rPr>
          <t>BiceVida:</t>
        </r>
        <r>
          <rPr>
            <sz val="8"/>
            <color indexed="81"/>
            <rFont val="Tahoma"/>
            <family val="2"/>
          </rPr>
          <t xml:space="preserve">
se netea de cuenta 211435
</t>
        </r>
      </text>
    </comment>
    <comment ref="AF325" authorId="2">
      <text>
        <r>
          <rPr>
            <b/>
            <sz val="8"/>
            <color indexed="81"/>
            <rFont val="Tahoma"/>
            <family val="2"/>
          </rPr>
          <t>BiceVida:</t>
        </r>
        <r>
          <rPr>
            <sz val="8"/>
            <color indexed="81"/>
            <rFont val="Tahoma"/>
            <family val="2"/>
          </rPr>
          <t xml:space="preserve">
se netea de cuenta 211435</t>
        </r>
      </text>
    </comment>
    <comment ref="AF326" authorId="1">
      <text>
        <r>
          <rPr>
            <b/>
            <sz val="8"/>
            <color indexed="81"/>
            <rFont val="Tahoma"/>
            <family val="2"/>
          </rPr>
          <t>Cta111209 total del análisis</t>
        </r>
        <r>
          <rPr>
            <sz val="8"/>
            <color indexed="81"/>
            <rFont val="Tahoma"/>
            <family val="2"/>
          </rPr>
          <t xml:space="preserve">
</t>
        </r>
      </text>
    </comment>
    <comment ref="AF330" authorId="3">
      <text>
        <r>
          <rPr>
            <b/>
            <sz val="8"/>
            <color indexed="81"/>
            <rFont val="Tahoma"/>
            <family val="2"/>
          </rPr>
          <t>Manuel Correa Orellana:</t>
        </r>
        <r>
          <rPr>
            <sz val="8"/>
            <color indexed="81"/>
            <rFont val="Tahoma"/>
            <family val="2"/>
          </rPr>
          <t xml:space="preserve">
SE NETEA DE CUENTA 211434</t>
        </r>
      </text>
    </comment>
    <comment ref="AF332" authorId="0">
      <text>
        <r>
          <rPr>
            <b/>
            <sz val="8"/>
            <color indexed="81"/>
            <rFont val="Tahoma"/>
            <family val="2"/>
          </rPr>
          <t>Danilo Iturra:</t>
        </r>
        <r>
          <rPr>
            <sz val="8"/>
            <color indexed="81"/>
            <rFont val="Tahoma"/>
            <family val="2"/>
          </rPr>
          <t xml:space="preserve">
Se netea con 211006</t>
        </r>
      </text>
    </comment>
    <comment ref="A363" authorId="4">
      <text>
        <r>
          <rPr>
            <b/>
            <sz val="8"/>
            <color indexed="81"/>
            <rFont val="Tahoma"/>
            <family val="2"/>
          </rPr>
          <t>Alejandro Caniunir:</t>
        </r>
        <r>
          <rPr>
            <sz val="8"/>
            <color indexed="81"/>
            <rFont val="Tahoma"/>
            <family val="2"/>
          </rPr>
          <t xml:space="preserve">
Confirmar con M Correa
antes tenia codigo 511445000</t>
        </r>
      </text>
    </comment>
    <comment ref="AF390" authorId="0">
      <text>
        <r>
          <rPr>
            <b/>
            <sz val="8"/>
            <color indexed="81"/>
            <rFont val="Tahoma"/>
            <family val="2"/>
          </rPr>
          <t>Danilo Iturra:</t>
        </r>
        <r>
          <rPr>
            <sz val="8"/>
            <color indexed="81"/>
            <rFont val="Tahoma"/>
            <family val="2"/>
          </rPr>
          <t xml:space="preserve">
Se netea de cuenta 211432 y 211235</t>
        </r>
      </text>
    </comment>
    <comment ref="AF391" authorId="0">
      <text>
        <r>
          <rPr>
            <b/>
            <sz val="8"/>
            <color indexed="81"/>
            <rFont val="Tahoma"/>
            <family val="2"/>
          </rPr>
          <t>Danilo Iturra:</t>
        </r>
        <r>
          <rPr>
            <sz val="8"/>
            <color indexed="81"/>
            <rFont val="Tahoma"/>
            <family val="2"/>
          </rPr>
          <t xml:space="preserve">
Se netea de cuenta 211415</t>
        </r>
      </text>
    </comment>
    <comment ref="AF392" authorId="0">
      <text>
        <r>
          <rPr>
            <b/>
            <sz val="8"/>
            <color indexed="81"/>
            <rFont val="Tahoma"/>
            <family val="2"/>
          </rPr>
          <t>Danilo Iturra:</t>
        </r>
        <r>
          <rPr>
            <sz val="8"/>
            <color indexed="81"/>
            <rFont val="Tahoma"/>
            <family val="2"/>
          </rPr>
          <t xml:space="preserve">
Se netea de cuenta 211415</t>
        </r>
      </text>
    </comment>
    <comment ref="AF395" authorId="1">
      <text>
        <r>
          <rPr>
            <sz val="8"/>
            <color indexed="81"/>
            <rFont val="Tahoma"/>
            <family val="2"/>
          </rPr>
          <t xml:space="preserve">Se netes de cuenta 111637 desglosada
</t>
        </r>
      </text>
    </comment>
    <comment ref="AF396" authorId="0">
      <text>
        <r>
          <rPr>
            <b/>
            <sz val="8"/>
            <color indexed="81"/>
            <rFont val="Tahoma"/>
            <family val="2"/>
          </rPr>
          <t>Danilo Iturra:</t>
        </r>
        <r>
          <rPr>
            <sz val="8"/>
            <color indexed="81"/>
            <rFont val="Tahoma"/>
            <family val="2"/>
          </rPr>
          <t xml:space="preserve">
se netea de cuenta 211422</t>
        </r>
      </text>
    </comment>
    <comment ref="AF416" authorId="0">
      <text>
        <r>
          <rPr>
            <b/>
            <sz val="8"/>
            <color indexed="81"/>
            <rFont val="Tahoma"/>
            <family val="2"/>
          </rPr>
          <t>Danilo Iturra:</t>
        </r>
        <r>
          <rPr>
            <sz val="8"/>
            <color indexed="81"/>
            <rFont val="Tahoma"/>
            <family val="2"/>
          </rPr>
          <t xml:space="preserve">
Se netea de cuenta 211408</t>
        </r>
      </text>
    </comment>
    <comment ref="AF417" authorId="1">
      <text>
        <r>
          <rPr>
            <b/>
            <sz val="8"/>
            <color indexed="81"/>
            <rFont val="Tahoma"/>
            <family val="2"/>
          </rPr>
          <t>Se netea de cuenta 211208</t>
        </r>
      </text>
    </comment>
    <comment ref="AF419" authorId="1">
      <text>
        <r>
          <rPr>
            <sz val="8"/>
            <color indexed="81"/>
            <rFont val="Tahoma"/>
            <family val="2"/>
          </rPr>
          <t xml:space="preserve">Se netea contra cuenta 111637
</t>
        </r>
      </text>
    </comment>
    <comment ref="AF428" authorId="1">
      <text>
        <r>
          <rPr>
            <b/>
            <sz val="8"/>
            <color indexed="81"/>
            <rFont val="Tahoma"/>
            <family val="2"/>
          </rPr>
          <t>Netea 211223</t>
        </r>
        <r>
          <rPr>
            <sz val="8"/>
            <color indexed="81"/>
            <rFont val="Tahoma"/>
            <family val="2"/>
          </rPr>
          <t xml:space="preserve">
</t>
        </r>
      </text>
    </comment>
    <comment ref="AF429" authorId="1">
      <text>
        <r>
          <rPr>
            <b/>
            <sz val="8"/>
            <color indexed="81"/>
            <rFont val="Tahoma"/>
            <family val="2"/>
          </rPr>
          <t>Netea con 211237</t>
        </r>
        <r>
          <rPr>
            <sz val="8"/>
            <color indexed="81"/>
            <rFont val="Tahoma"/>
            <family val="2"/>
          </rPr>
          <t xml:space="preserve">
</t>
        </r>
      </text>
    </comment>
    <comment ref="AF432" authorId="3">
      <text>
        <r>
          <rPr>
            <b/>
            <sz val="8"/>
            <color indexed="81"/>
            <rFont val="Tahoma"/>
            <family val="2"/>
          </rPr>
          <t>Manuel Correa Orellana:</t>
        </r>
        <r>
          <rPr>
            <sz val="8"/>
            <color indexed="81"/>
            <rFont val="Tahoma"/>
            <family val="2"/>
          </rPr>
          <t xml:space="preserve">
se netes de cuenta 111637 según desglose</t>
        </r>
      </text>
    </comment>
    <comment ref="AF434" authorId="1">
      <text>
        <r>
          <rPr>
            <b/>
            <sz val="8"/>
            <color indexed="81"/>
            <rFont val="Tahoma"/>
            <family val="2"/>
          </rPr>
          <t>Netea con 211254</t>
        </r>
        <r>
          <rPr>
            <sz val="8"/>
            <color indexed="81"/>
            <rFont val="Tahoma"/>
            <family val="2"/>
          </rPr>
          <t xml:space="preserve">
</t>
        </r>
      </text>
    </comment>
    <comment ref="AF442" authorId="0">
      <text>
        <r>
          <rPr>
            <b/>
            <sz val="8"/>
            <color indexed="81"/>
            <rFont val="Tahoma"/>
            <family val="2"/>
          </rPr>
          <t>Danilo Iturra:</t>
        </r>
        <r>
          <rPr>
            <sz val="8"/>
            <color indexed="81"/>
            <rFont val="Tahoma"/>
            <family val="2"/>
          </rPr>
          <t xml:space="preserve">
Se netea con 211003</t>
        </r>
      </text>
    </comment>
    <comment ref="AF444" authorId="0">
      <text>
        <r>
          <rPr>
            <b/>
            <sz val="8"/>
            <color indexed="81"/>
            <rFont val="Tahoma"/>
            <family val="2"/>
          </rPr>
          <t>Danilo Iturra:</t>
        </r>
        <r>
          <rPr>
            <sz val="8"/>
            <color indexed="81"/>
            <rFont val="Tahoma"/>
            <family val="2"/>
          </rPr>
          <t xml:space="preserve">
Se netea con cuenta 211005</t>
        </r>
      </text>
    </comment>
    <comment ref="AF445" authorId="0">
      <text>
        <r>
          <rPr>
            <b/>
            <sz val="8"/>
            <color indexed="81"/>
            <rFont val="Tahoma"/>
            <family val="2"/>
          </rPr>
          <t>Danilo Iturra:</t>
        </r>
        <r>
          <rPr>
            <sz val="8"/>
            <color indexed="81"/>
            <rFont val="Tahoma"/>
            <family val="2"/>
          </rPr>
          <t xml:space="preserve">
Se netea con 211006</t>
        </r>
      </text>
    </comment>
    <comment ref="AF446" authorId="0">
      <text>
        <r>
          <rPr>
            <b/>
            <sz val="8"/>
            <color indexed="81"/>
            <rFont val="Tahoma"/>
            <family val="2"/>
          </rPr>
          <t>Danilo Iturra:</t>
        </r>
        <r>
          <rPr>
            <sz val="8"/>
            <color indexed="81"/>
            <rFont val="Tahoma"/>
            <family val="2"/>
          </rPr>
          <t xml:space="preserve">
Se netea con 211006</t>
        </r>
      </text>
    </comment>
    <comment ref="AF447" authorId="0">
      <text>
        <r>
          <rPr>
            <b/>
            <sz val="8"/>
            <color indexed="81"/>
            <rFont val="Tahoma"/>
            <family val="2"/>
          </rPr>
          <t>Danilo Iturra:</t>
        </r>
        <r>
          <rPr>
            <sz val="8"/>
            <color indexed="81"/>
            <rFont val="Tahoma"/>
            <family val="2"/>
          </rPr>
          <t xml:space="preserve">
Se netea con 211006</t>
        </r>
      </text>
    </comment>
    <comment ref="AF465" authorId="0">
      <text>
        <r>
          <rPr>
            <b/>
            <sz val="8"/>
            <color indexed="81"/>
            <rFont val="Tahoma"/>
            <family val="2"/>
          </rPr>
          <t>Danilo Iturra:</t>
        </r>
        <r>
          <rPr>
            <sz val="8"/>
            <color indexed="81"/>
            <rFont val="Tahoma"/>
            <family val="2"/>
          </rPr>
          <t xml:space="preserve">
corresponde a partida inmibiliaria on tomas de la cuenta 111612 deudores por inversion</t>
        </r>
      </text>
    </comment>
    <comment ref="AF553" authorId="0">
      <text>
        <r>
          <rPr>
            <b/>
            <sz val="8"/>
            <color indexed="81"/>
            <rFont val="Tahoma"/>
            <family val="2"/>
          </rPr>
          <t>Danilo Iturra:</t>
        </r>
        <r>
          <rPr>
            <sz val="8"/>
            <color indexed="81"/>
            <rFont val="Tahoma"/>
            <family val="2"/>
          </rPr>
          <t xml:space="preserve">
De netea de cuenta 110682</t>
        </r>
      </text>
    </comment>
    <comment ref="AF632" authorId="0">
      <text>
        <r>
          <rPr>
            <b/>
            <sz val="8"/>
            <color indexed="81"/>
            <rFont val="Tahoma"/>
            <family val="2"/>
          </rPr>
          <t>Danilo Iturra:</t>
        </r>
        <r>
          <rPr>
            <sz val="8"/>
            <color indexed="81"/>
            <rFont val="Tahoma"/>
            <family val="2"/>
          </rPr>
          <t xml:space="preserve">
Se netea de cuenta 211253
</t>
        </r>
      </text>
    </comment>
    <comment ref="AF637" authorId="0">
      <text>
        <r>
          <rPr>
            <b/>
            <sz val="8"/>
            <color indexed="81"/>
            <rFont val="Tahoma"/>
            <family val="2"/>
          </rPr>
          <t>Danilo Iturra:</t>
        </r>
        <r>
          <rPr>
            <sz val="8"/>
            <color indexed="81"/>
            <rFont val="Tahoma"/>
            <family val="2"/>
          </rPr>
          <t xml:space="preserve">
Se netea con 211350</t>
        </r>
      </text>
    </comment>
    <comment ref="AF643" authorId="0">
      <text>
        <r>
          <rPr>
            <b/>
            <sz val="8"/>
            <color indexed="81"/>
            <rFont val="Tahoma"/>
            <family val="2"/>
          </rPr>
          <t>Danilo Iturra:</t>
        </r>
        <r>
          <rPr>
            <sz val="8"/>
            <color indexed="81"/>
            <rFont val="Tahoma"/>
            <family val="2"/>
          </rPr>
          <t xml:space="preserve">
Se netea de cuenta 211802</t>
        </r>
      </text>
    </comment>
    <comment ref="AE730" authorId="1">
      <text>
        <r>
          <rPr>
            <b/>
            <sz val="8"/>
            <color indexed="81"/>
            <rFont val="Tahoma"/>
            <family val="2"/>
          </rPr>
          <t>Del informe de resrvas distribuir de acuerdo a estado (pendientes y liquidado y pagado) y ramo.</t>
        </r>
        <r>
          <rPr>
            <sz val="8"/>
            <color indexed="81"/>
            <rFont val="Tahoma"/>
            <family val="2"/>
          </rPr>
          <t xml:space="preserve">
</t>
        </r>
      </text>
    </comment>
    <comment ref="AF806" authorId="0">
      <text>
        <r>
          <rPr>
            <b/>
            <sz val="8"/>
            <color indexed="81"/>
            <rFont val="Tahoma"/>
            <family val="2"/>
          </rPr>
          <t>Danilo Iturra:</t>
        </r>
        <r>
          <rPr>
            <sz val="8"/>
            <color indexed="81"/>
            <rFont val="Tahoma"/>
            <family val="2"/>
          </rPr>
          <t xml:space="preserve">
Se netea con cuenta 211005</t>
        </r>
      </text>
    </comment>
    <comment ref="AF807" authorId="0">
      <text>
        <r>
          <rPr>
            <b/>
            <sz val="8"/>
            <color indexed="81"/>
            <rFont val="Tahoma"/>
            <family val="2"/>
          </rPr>
          <t>Danilo Iturra:</t>
        </r>
        <r>
          <rPr>
            <sz val="8"/>
            <color indexed="81"/>
            <rFont val="Tahoma"/>
            <family val="2"/>
          </rPr>
          <t xml:space="preserve">
Se netea con 111703 , 111707 , 111304 , 111706 , 111708</t>
        </r>
      </text>
    </comment>
    <comment ref="AF842" authorId="1">
      <text>
        <r>
          <rPr>
            <b/>
            <sz val="8"/>
            <color indexed="81"/>
            <rFont val="Tahoma"/>
            <family val="2"/>
          </rPr>
          <t>Netea con 111633</t>
        </r>
        <r>
          <rPr>
            <sz val="8"/>
            <color indexed="81"/>
            <rFont val="Tahoma"/>
            <family val="2"/>
          </rPr>
          <t xml:space="preserve">
</t>
        </r>
      </text>
    </comment>
    <comment ref="AD856" authorId="5">
      <text>
        <r>
          <rPr>
            <b/>
            <sz val="8"/>
            <color indexed="81"/>
            <rFont val="Tahoma"/>
            <family val="2"/>
          </rPr>
          <t>diturra:</t>
        </r>
        <r>
          <rPr>
            <sz val="8"/>
            <color indexed="81"/>
            <rFont val="Tahoma"/>
            <family val="2"/>
          </rPr>
          <t xml:space="preserve">
Regularizar según AFP</t>
        </r>
      </text>
    </comment>
    <comment ref="AF857" authorId="0">
      <text>
        <r>
          <rPr>
            <b/>
            <sz val="8"/>
            <color indexed="81"/>
            <rFont val="Tahoma"/>
            <family val="2"/>
          </rPr>
          <t>Danilo Iturra:</t>
        </r>
        <r>
          <rPr>
            <sz val="8"/>
            <color indexed="81"/>
            <rFont val="Tahoma"/>
            <family val="2"/>
          </rPr>
          <t xml:space="preserve">
Se netea de cuenta 111648</t>
        </r>
      </text>
    </comment>
    <comment ref="AF861" authorId="3">
      <text>
        <r>
          <rPr>
            <b/>
            <sz val="8"/>
            <color indexed="81"/>
            <rFont val="Tahoma"/>
            <family val="2"/>
          </rPr>
          <t>Manuel Correa Orellana:</t>
        </r>
        <r>
          <rPr>
            <sz val="8"/>
            <color indexed="81"/>
            <rFont val="Tahoma"/>
            <family val="2"/>
          </rPr>
          <t xml:space="preserve">
JUEGA CON PROVEEDORES 211201</t>
        </r>
      </text>
    </comment>
    <comment ref="AF867" authorId="1">
      <text>
        <r>
          <rPr>
            <sz val="8"/>
            <color indexed="81"/>
            <rFont val="Tahoma"/>
            <family val="2"/>
          </rPr>
          <t xml:space="preserve">Netea con 211233 (UF2078.02)
</t>
        </r>
      </text>
    </comment>
    <comment ref="AF869" authorId="0">
      <text>
        <r>
          <rPr>
            <b/>
            <sz val="8"/>
            <color indexed="81"/>
            <rFont val="Tahoma"/>
            <family val="2"/>
          </rPr>
          <t>Danilo Iturra:</t>
        </r>
        <r>
          <rPr>
            <sz val="8"/>
            <color indexed="81"/>
            <rFont val="Tahoma"/>
            <family val="2"/>
          </rPr>
          <t xml:space="preserve">
Se netea contra la cuenta 111605</t>
        </r>
      </text>
    </comment>
    <comment ref="AF871" authorId="1">
      <text>
        <r>
          <rPr>
            <b/>
            <sz val="8"/>
            <color indexed="81"/>
            <rFont val="Tahoma"/>
            <family val="2"/>
          </rPr>
          <t xml:space="preserve">Netea con 111649
</t>
        </r>
        <r>
          <rPr>
            <sz val="8"/>
            <color indexed="81"/>
            <rFont val="Tahoma"/>
            <family val="2"/>
          </rPr>
          <t xml:space="preserve">
</t>
        </r>
      </text>
    </comment>
    <comment ref="AF887" authorId="0">
      <text>
        <r>
          <rPr>
            <sz val="8"/>
            <color indexed="81"/>
            <rFont val="Tahoma"/>
            <family val="2"/>
          </rPr>
          <t xml:space="preserve">
se netea con cuenta 114004 </t>
        </r>
      </text>
    </comment>
    <comment ref="AF888" authorId="1">
      <text>
        <r>
          <rPr>
            <b/>
            <sz val="8"/>
            <color indexed="81"/>
            <rFont val="Tahoma"/>
            <family val="2"/>
          </rPr>
          <t xml:space="preserve">Netea con 111655
</t>
        </r>
        <r>
          <rPr>
            <sz val="8"/>
            <color indexed="81"/>
            <rFont val="Tahoma"/>
            <family val="2"/>
          </rPr>
          <t xml:space="preserve">
</t>
        </r>
      </text>
    </comment>
    <comment ref="AF903" authorId="0">
      <text>
        <r>
          <rPr>
            <sz val="8"/>
            <color indexed="81"/>
            <rFont val="Tahoma"/>
            <family val="2"/>
          </rPr>
          <t>Corresponde a Debe menos haber de Habitat, este resultado menos el saldo del mayor da el monto del ajuste.</t>
        </r>
      </text>
    </comment>
    <comment ref="AF962" authorId="0">
      <text>
        <r>
          <rPr>
            <b/>
            <sz val="8"/>
            <color indexed="81"/>
            <rFont val="Tahoma"/>
            <family val="2"/>
          </rPr>
          <t>Danilo Iturra:</t>
        </r>
        <r>
          <rPr>
            <sz val="8"/>
            <color indexed="81"/>
            <rFont val="Tahoma"/>
            <family val="2"/>
          </rPr>
          <t xml:space="preserve">
Se netea con 114009</t>
        </r>
      </text>
    </comment>
    <comment ref="AF971" authorId="0">
      <text>
        <r>
          <rPr>
            <b/>
            <sz val="8"/>
            <color indexed="81"/>
            <rFont val="Tahoma"/>
            <family val="2"/>
          </rPr>
          <t>Danilo Iturra:</t>
        </r>
        <r>
          <rPr>
            <sz val="8"/>
            <color indexed="81"/>
            <rFont val="Tahoma"/>
            <family val="2"/>
          </rPr>
          <t xml:space="preserve">
Se netea de cuenta 111632 , 110003 y 111205
</t>
        </r>
      </text>
    </comment>
    <comment ref="AF973" authorId="0">
      <text>
        <r>
          <rPr>
            <b/>
            <sz val="8"/>
            <color indexed="81"/>
            <rFont val="Tahoma"/>
            <family val="2"/>
          </rPr>
          <t>Danilo Iturra:</t>
        </r>
        <r>
          <rPr>
            <sz val="8"/>
            <color indexed="81"/>
            <rFont val="Tahoma"/>
            <family val="2"/>
          </rPr>
          <t xml:space="preserve">
Se netea de cuenta 111606 y 111607</t>
        </r>
      </text>
    </comment>
    <comment ref="AF974" authorId="0">
      <text>
        <r>
          <rPr>
            <b/>
            <sz val="8"/>
            <color indexed="81"/>
            <rFont val="Tahoma"/>
            <family val="2"/>
          </rPr>
          <t>Danilo Iturra:</t>
        </r>
        <r>
          <rPr>
            <sz val="8"/>
            <color indexed="81"/>
            <rFont val="Tahoma"/>
            <family val="2"/>
          </rPr>
          <t xml:space="preserve">
se netea de cuenta 111611</t>
        </r>
      </text>
    </comment>
    <comment ref="AF976" authorId="0">
      <text>
        <r>
          <rPr>
            <b/>
            <sz val="8"/>
            <color indexed="81"/>
            <rFont val="Tahoma"/>
            <family val="2"/>
          </rPr>
          <t>Danilo Iturra:</t>
        </r>
        <r>
          <rPr>
            <sz val="8"/>
            <color indexed="81"/>
            <rFont val="Tahoma"/>
            <family val="2"/>
          </rPr>
          <t xml:space="preserve">
se netea de cuenta 111605</t>
        </r>
      </text>
    </comment>
    <comment ref="AF992" authorId="0">
      <text>
        <r>
          <rPr>
            <b/>
            <sz val="8"/>
            <color indexed="81"/>
            <rFont val="Tahoma"/>
            <family val="2"/>
          </rPr>
          <t>Danilo Iturra:</t>
        </r>
        <r>
          <rPr>
            <sz val="8"/>
            <color indexed="81"/>
            <rFont val="Tahoma"/>
            <family val="2"/>
          </rPr>
          <t xml:space="preserve">
Se netea de cuenta 114015</t>
        </r>
      </text>
    </comment>
    <comment ref="AF1010" authorId="1">
      <text>
        <r>
          <rPr>
            <b/>
            <sz val="8"/>
            <color indexed="81"/>
            <rFont val="Tahoma"/>
            <family val="2"/>
          </rPr>
          <t>Dato se obtiene de la reserva de calce "Mutuel Pax" UF</t>
        </r>
        <r>
          <rPr>
            <sz val="8"/>
            <color indexed="81"/>
            <rFont val="Tahoma"/>
            <family val="2"/>
          </rPr>
          <t xml:space="preserve">
</t>
        </r>
      </text>
    </comment>
    <comment ref="AF1041" authorId="0">
      <text>
        <r>
          <rPr>
            <b/>
            <sz val="8"/>
            <color indexed="81"/>
            <rFont val="Tahoma"/>
            <family val="2"/>
          </rPr>
          <t>Danilo Iturra:</t>
        </r>
        <r>
          <rPr>
            <sz val="8"/>
            <color indexed="81"/>
            <rFont val="Tahoma"/>
            <family val="2"/>
          </rPr>
          <t xml:space="preserve">
Se netea con 310201</t>
        </r>
      </text>
    </comment>
    <comment ref="AF1043" authorId="0">
      <text>
        <r>
          <rPr>
            <b/>
            <sz val="8"/>
            <color indexed="81"/>
            <rFont val="Tahoma"/>
            <family val="2"/>
          </rPr>
          <t>Danilo Iturra:</t>
        </r>
        <r>
          <rPr>
            <sz val="8"/>
            <color indexed="81"/>
            <rFont val="Tahoma"/>
            <family val="2"/>
          </rPr>
          <t xml:space="preserve">
Se netea con 310201</t>
        </r>
      </text>
    </comment>
    <comment ref="AF1047" authorId="0">
      <text>
        <r>
          <rPr>
            <b/>
            <sz val="8"/>
            <color indexed="81"/>
            <rFont val="Tahoma"/>
            <family val="2"/>
          </rPr>
          <t>Danilo Iturra:</t>
        </r>
        <r>
          <rPr>
            <sz val="8"/>
            <color indexed="81"/>
            <rFont val="Tahoma"/>
            <family val="2"/>
          </rPr>
          <t xml:space="preserve">
Se netea con 310104 y 310106</t>
        </r>
      </text>
    </comment>
    <comment ref="AF1383" authorId="2">
      <text>
        <r>
          <rPr>
            <b/>
            <sz val="8"/>
            <color indexed="81"/>
            <rFont val="Tahoma"/>
            <family val="2"/>
          </rPr>
          <t>BiceVida:</t>
        </r>
        <r>
          <rPr>
            <sz val="8"/>
            <color indexed="81"/>
            <rFont val="Tahoma"/>
            <family val="2"/>
          </rPr>
          <t xml:space="preserve">
Eliminar de y dejar valores cuadro siniestros cedidos</t>
        </r>
      </text>
    </comment>
    <comment ref="AF1401" authorId="3">
      <text>
        <r>
          <rPr>
            <b/>
            <sz val="8"/>
            <color indexed="81"/>
            <rFont val="Tahoma"/>
            <family val="2"/>
          </rPr>
          <t>Manuel Correa Orellana:</t>
        </r>
        <r>
          <rPr>
            <sz val="8"/>
            <color indexed="81"/>
            <rFont val="Tahoma"/>
            <family val="2"/>
          </rPr>
          <t xml:space="preserve">
reclasificacion de ramo 420</t>
        </r>
      </text>
    </comment>
    <comment ref="AF1403" authorId="3">
      <text>
        <r>
          <rPr>
            <b/>
            <sz val="8"/>
            <color indexed="81"/>
            <rFont val="Tahoma"/>
            <family val="2"/>
          </rPr>
          <t>Manuel Correa Orellana:</t>
        </r>
        <r>
          <rPr>
            <sz val="8"/>
            <color indexed="81"/>
            <rFont val="Tahoma"/>
            <family val="2"/>
          </rPr>
          <t xml:space="preserve">
reclasificacion de ramo 420</t>
        </r>
      </text>
    </comment>
    <comment ref="AF1406" authorId="3">
      <text>
        <r>
          <rPr>
            <b/>
            <sz val="8"/>
            <color indexed="81"/>
            <rFont val="Tahoma"/>
            <family val="2"/>
          </rPr>
          <t>Manuel Correa Orellana:</t>
        </r>
        <r>
          <rPr>
            <sz val="8"/>
            <color indexed="81"/>
            <rFont val="Tahoma"/>
            <family val="2"/>
          </rPr>
          <t xml:space="preserve">
reclasificacion de ramo 420</t>
        </r>
      </text>
    </comment>
    <comment ref="AF1407" authorId="3">
      <text>
        <r>
          <rPr>
            <b/>
            <sz val="8"/>
            <color indexed="81"/>
            <rFont val="Tahoma"/>
            <family val="2"/>
          </rPr>
          <t>Manuel Correa Orellana:</t>
        </r>
        <r>
          <rPr>
            <sz val="8"/>
            <color indexed="81"/>
            <rFont val="Tahoma"/>
            <family val="2"/>
          </rPr>
          <t xml:space="preserve">
reclasificacion de ramo 420</t>
        </r>
      </text>
    </comment>
  </commentList>
</comments>
</file>

<file path=xl/comments3.xml><?xml version="1.0" encoding="utf-8"?>
<comments xmlns="http://schemas.openxmlformats.org/spreadsheetml/2006/main">
  <authors>
    <author>Danilo Iturra</author>
    <author>Michelle Iannuzzi</author>
    <author>Claudio Olivares Rivas</author>
  </authors>
  <commentList>
    <comment ref="B85" authorId="0">
      <text>
        <r>
          <rPr>
            <b/>
            <sz val="8"/>
            <color indexed="81"/>
            <rFont val="Tahoma"/>
            <family val="2"/>
          </rPr>
          <t>Danilo Iturra:</t>
        </r>
        <r>
          <rPr>
            <sz val="8"/>
            <color indexed="81"/>
            <rFont val="Tahoma"/>
            <family val="2"/>
          </rPr>
          <t xml:space="preserve">
5.21.21.00.00 DEBE SER IGUAL A LA CUENTA 6.21.21.00.00 CUADRO Nº 2</t>
        </r>
      </text>
    </comment>
    <comment ref="B91" authorId="1">
      <text>
        <r>
          <rPr>
            <b/>
            <sz val="8"/>
            <color indexed="81"/>
            <rFont val="Tahoma"/>
            <family val="2"/>
          </rPr>
          <t>Michelle Iannuzzi:</t>
        </r>
        <r>
          <rPr>
            <sz val="8"/>
            <color indexed="81"/>
            <rFont val="Tahoma"/>
            <family val="2"/>
          </rPr>
          <t xml:space="preserve">
el cod 5.21.25.00.00 debe ser igual al código 6.91.20.00.00 del cuadro N° 3
</t>
        </r>
      </text>
    </comment>
    <comment ref="B92" authorId="1">
      <text>
        <r>
          <rPr>
            <b/>
            <sz val="8"/>
            <color indexed="81"/>
            <rFont val="Tahoma"/>
            <family val="2"/>
          </rPr>
          <t>Michelle Iannuzzi:</t>
        </r>
        <r>
          <rPr>
            <sz val="8"/>
            <color indexed="81"/>
            <rFont val="Tahoma"/>
            <family val="2"/>
          </rPr>
          <t xml:space="preserve">
el cod 5.21.25.10.00 debe ser igual al código 6.91.21.00.00 del cuadro N° 3</t>
        </r>
      </text>
    </comment>
    <comment ref="C136" authorId="2">
      <text>
        <r>
          <rPr>
            <b/>
            <sz val="8"/>
            <color indexed="81"/>
            <rFont val="Tahoma"/>
            <family val="2"/>
          </rPr>
          <t>Claudio Olivares Rivas:</t>
        </r>
        <r>
          <rPr>
            <sz val="8"/>
            <color indexed="81"/>
            <rFont val="Tahoma"/>
            <family val="2"/>
          </rPr>
          <t xml:space="preserve">
Ingreso Manual de Calce</t>
        </r>
      </text>
    </comment>
    <comment ref="C137" authorId="2">
      <text>
        <r>
          <rPr>
            <b/>
            <sz val="8"/>
            <color indexed="81"/>
            <rFont val="Tahoma"/>
            <family val="2"/>
          </rPr>
          <t>Claudio Olivares Rivas:</t>
        </r>
        <r>
          <rPr>
            <sz val="8"/>
            <color indexed="81"/>
            <rFont val="Tahoma"/>
            <family val="2"/>
          </rPr>
          <t xml:space="preserve">
Ingreso Manual de Calce</t>
        </r>
      </text>
    </comment>
    <comment ref="E142" authorId="0">
      <text>
        <r>
          <rPr>
            <sz val="8"/>
            <color indexed="81"/>
            <rFont val="Tahoma"/>
            <family val="2"/>
          </rPr>
          <t>Se debe ingresar manualmente el resultado del ejercicio</t>
        </r>
      </text>
    </comment>
    <comment ref="B151" authorId="0">
      <text>
        <r>
          <rPr>
            <b/>
            <sz val="8"/>
            <color indexed="81"/>
            <rFont val="Tahoma"/>
            <family val="2"/>
          </rPr>
          <t>Danilo Iturra:</t>
        </r>
        <r>
          <rPr>
            <sz val="8"/>
            <color indexed="81"/>
            <rFont val="Tahoma"/>
            <family val="2"/>
          </rPr>
          <t xml:space="preserve">
5.31.10.00.00 DEBE SER IGUAL A LA CUENTA 6.31.10.00.00 CUADRO Nº 1</t>
        </r>
      </text>
    </comment>
    <comment ref="B152" authorId="0">
      <text>
        <r>
          <rPr>
            <b/>
            <sz val="8"/>
            <color indexed="81"/>
            <rFont val="Tahoma"/>
            <family val="2"/>
          </rPr>
          <t>Danilo Iturra:</t>
        </r>
        <r>
          <rPr>
            <sz val="8"/>
            <color indexed="81"/>
            <rFont val="Tahoma"/>
            <family val="2"/>
          </rPr>
          <t xml:space="preserve">
EL CÓDIGO 5.31.10.11.00 DEBE SER IGUAL A LA SUMA DEL LOS CÓDIGOS
6.71.10.00.00+6.71.20.00.00</t>
        </r>
      </text>
    </comment>
    <comment ref="B155" authorId="0">
      <text>
        <r>
          <rPr>
            <b/>
            <sz val="8"/>
            <color indexed="81"/>
            <rFont val="Tahoma"/>
            <family val="2"/>
          </rPr>
          <t>Danilo Iturra:</t>
        </r>
        <r>
          <rPr>
            <sz val="8"/>
            <color indexed="81"/>
            <rFont val="Tahoma"/>
            <family val="2"/>
          </rPr>
          <t xml:space="preserve">
EL CÓDIGO 5.31.10.11.30 PRIMAS CEDIDAS DEBE SER IGUAL AL VALOR CUADRO REASEGURO SIN PRIMA CEDIDA PROPORCIONALES.
(VER NOTAS (13))</t>
        </r>
      </text>
    </comment>
    <comment ref="B156" authorId="0">
      <text>
        <r>
          <rPr>
            <b/>
            <sz val="8"/>
            <color indexed="81"/>
            <rFont val="Tahoma"/>
            <family val="2"/>
          </rPr>
          <t>Danilo Iturra:</t>
        </r>
        <r>
          <rPr>
            <sz val="8"/>
            <color indexed="81"/>
            <rFont val="Tahoma"/>
            <family val="2"/>
          </rPr>
          <t xml:space="preserve">
5.31.10.12.00 DEBE SER IGUAL A LA CUENTA 6.51.00.00.00 CUADRO Nº 5</t>
        </r>
      </text>
    </comment>
    <comment ref="B157" authorId="0">
      <text>
        <r>
          <rPr>
            <b/>
            <sz val="8"/>
            <color indexed="81"/>
            <rFont val="Tahoma"/>
            <family val="2"/>
          </rPr>
          <t>Danilo Iturra:</t>
        </r>
        <r>
          <rPr>
            <sz val="8"/>
            <color indexed="81"/>
            <rFont val="Tahoma"/>
            <family val="2"/>
          </rPr>
          <t xml:space="preserve">
5.31.10.13.00 DEBE SER IGUAL A LA CUENTA 6.52.00.00.00 CUADRO Nº 5</t>
        </r>
      </text>
    </comment>
    <comment ref="B160" authorId="0">
      <text>
        <r>
          <rPr>
            <b/>
            <sz val="8"/>
            <color indexed="81"/>
            <rFont val="Tahoma"/>
            <family val="2"/>
          </rPr>
          <t>Danilo Iturra:</t>
        </r>
        <r>
          <rPr>
            <sz val="8"/>
            <color indexed="81"/>
            <rFont val="Tahoma"/>
            <family val="2"/>
          </rPr>
          <t xml:space="preserve">
5.31.10.16.00 DEBE SER IGUAL A LA CUENTA Nº 6.95.10.16.00 CUADRO Nº4 (TOTAL RAMOS)</t>
        </r>
      </text>
    </comment>
    <comment ref="B164" authorId="0">
      <text>
        <r>
          <rPr>
            <b/>
            <sz val="8"/>
            <color indexed="81"/>
            <rFont val="Tahoma"/>
            <family val="2"/>
          </rPr>
          <t>Danilo Iturra:</t>
        </r>
        <r>
          <rPr>
            <sz val="8"/>
            <color indexed="81"/>
            <rFont val="Tahoma"/>
            <family val="2"/>
          </rPr>
          <t xml:space="preserve">
5.31.10.17.00 DEBE SER IGUAL A LA CUENTA 6.31.10.17.00 CUADRO Nº1</t>
        </r>
      </text>
    </comment>
    <comment ref="B165" authorId="0">
      <text>
        <r>
          <rPr>
            <b/>
            <sz val="8"/>
            <color indexed="81"/>
            <rFont val="Tahoma"/>
            <family val="2"/>
          </rPr>
          <t>Danilo Iturra:</t>
        </r>
        <r>
          <rPr>
            <sz val="8"/>
            <color indexed="81"/>
            <rFont val="Tahoma"/>
            <family val="2"/>
          </rPr>
          <t xml:space="preserve">
5.31.10.17.10 DEBE SER IGUAL A LA CUENTA 6.31.10.17.10 CUADRO Nº 1</t>
        </r>
      </text>
    </comment>
    <comment ref="B169" authorId="0">
      <text>
        <r>
          <rPr>
            <b/>
            <sz val="8"/>
            <color indexed="81"/>
            <rFont val="Tahoma"/>
            <family val="2"/>
          </rPr>
          <t>Danilo Iturra:</t>
        </r>
        <r>
          <rPr>
            <sz val="8"/>
            <color indexed="81"/>
            <rFont val="Tahoma"/>
            <family val="2"/>
          </rPr>
          <t xml:space="preserve">
5.31.10.18.10 DEBE SER IGUAL A LA CUENTA 6.31.10.18.10 CUADRO Nº 1</t>
        </r>
      </text>
    </comment>
    <comment ref="B170" authorId="0">
      <text>
        <r>
          <rPr>
            <b/>
            <sz val="8"/>
            <color indexed="81"/>
            <rFont val="Tahoma"/>
            <family val="2"/>
          </rPr>
          <t>Danilo Iturra:</t>
        </r>
        <r>
          <rPr>
            <sz val="8"/>
            <color indexed="81"/>
            <rFont val="Tahoma"/>
            <family val="2"/>
          </rPr>
          <t xml:space="preserve">
5.31.10.18.20 DEBE SER IGUAL A LA CUENTA 6.31.10.18.20 CUADRO Nº 1</t>
        </r>
      </text>
    </comment>
  </commentList>
</comments>
</file>

<file path=xl/comments4.xml><?xml version="1.0" encoding="utf-8"?>
<comments xmlns="http://schemas.openxmlformats.org/spreadsheetml/2006/main">
  <authors>
    <author>sonia.ferrada</author>
  </authors>
  <commentList>
    <comment ref="K17" authorId="0">
      <text>
        <r>
          <rPr>
            <b/>
            <sz val="8"/>
            <color indexed="81"/>
            <rFont val="Tahoma"/>
            <family val="2"/>
          </rPr>
          <t>Este dato se agrega al archivo de margen de solvencia</t>
        </r>
        <r>
          <rPr>
            <sz val="8"/>
            <color indexed="81"/>
            <rFont val="Tahoma"/>
            <family val="2"/>
          </rPr>
          <t xml:space="preserve">
</t>
        </r>
      </text>
    </comment>
  </commentList>
</comments>
</file>

<file path=xl/comments5.xml><?xml version="1.0" encoding="utf-8"?>
<comments xmlns="http://schemas.openxmlformats.org/spreadsheetml/2006/main">
  <authors>
    <author>sonia.ferrada</author>
  </authors>
  <commentList>
    <comment ref="P537" authorId="0">
      <text>
        <r>
          <rPr>
            <b/>
            <sz val="8"/>
            <color indexed="81"/>
            <rFont val="Tahoma"/>
            <family val="2"/>
          </rPr>
          <t>Cuenta contable 114003</t>
        </r>
        <r>
          <rPr>
            <sz val="8"/>
            <color indexed="81"/>
            <rFont val="Tahoma"/>
            <family val="2"/>
          </rPr>
          <t xml:space="preserve">
</t>
        </r>
      </text>
    </comment>
  </commentList>
</comments>
</file>

<file path=xl/comments6.xml><?xml version="1.0" encoding="utf-8"?>
<comments xmlns="http://schemas.openxmlformats.org/spreadsheetml/2006/main">
  <authors>
    <author>Danilo Iturra</author>
  </authors>
  <commentList>
    <comment ref="C38" authorId="0">
      <text>
        <r>
          <rPr>
            <b/>
            <sz val="8"/>
            <color indexed="81"/>
            <rFont val="Tahoma"/>
            <family val="2"/>
          </rPr>
          <t>diturra:</t>
        </r>
        <r>
          <rPr>
            <sz val="8"/>
            <color indexed="81"/>
            <rFont val="Tahoma"/>
            <family val="2"/>
          </rPr>
          <t xml:space="preserve">
verificar variacion de reserva de siniestros</t>
        </r>
      </text>
    </comment>
  </commentList>
</comments>
</file>

<file path=xl/comments7.xml><?xml version="1.0" encoding="utf-8"?>
<comments xmlns="http://schemas.openxmlformats.org/spreadsheetml/2006/main">
  <authors>
    <author>Claudio Olivares Rivas</author>
  </authors>
  <commentList>
    <comment ref="H20" authorId="0">
      <text>
        <r>
          <rPr>
            <b/>
            <sz val="8"/>
            <color indexed="81"/>
            <rFont val="Tahoma"/>
            <family val="2"/>
          </rPr>
          <t>Claudio Olivares Rivas:</t>
        </r>
        <r>
          <rPr>
            <sz val="8"/>
            <color indexed="81"/>
            <rFont val="Tahoma"/>
            <family val="2"/>
          </rPr>
          <t xml:space="preserve">
SE debe ajustar por diferencia de cambio costos sinietros</t>
        </r>
      </text>
    </comment>
    <comment ref="I20" authorId="0">
      <text>
        <r>
          <rPr>
            <b/>
            <sz val="8"/>
            <color indexed="81"/>
            <rFont val="Tahoma"/>
            <family val="2"/>
          </rPr>
          <t>Claudio Olivares Rivas:</t>
        </r>
        <r>
          <rPr>
            <sz val="8"/>
            <color indexed="81"/>
            <rFont val="Tahoma"/>
            <family val="2"/>
          </rPr>
          <t xml:space="preserve">
SE debe ajustar por diferencia de cambio costos sinietros</t>
        </r>
      </text>
    </comment>
    <comment ref="J20" authorId="0">
      <text>
        <r>
          <rPr>
            <b/>
            <sz val="8"/>
            <color indexed="81"/>
            <rFont val="Tahoma"/>
            <family val="2"/>
          </rPr>
          <t>Claudio Olivares Rivas:</t>
        </r>
        <r>
          <rPr>
            <sz val="8"/>
            <color indexed="81"/>
            <rFont val="Tahoma"/>
            <family val="2"/>
          </rPr>
          <t xml:space="preserve">
SE debe ajustar por diferencia de cambio costos sinietros</t>
        </r>
      </text>
    </comment>
    <comment ref="K20" authorId="0">
      <text>
        <r>
          <rPr>
            <b/>
            <sz val="8"/>
            <color indexed="81"/>
            <rFont val="Tahoma"/>
            <family val="2"/>
          </rPr>
          <t>Claudio Olivares Rivas:</t>
        </r>
        <r>
          <rPr>
            <sz val="8"/>
            <color indexed="81"/>
            <rFont val="Tahoma"/>
            <family val="2"/>
          </rPr>
          <t xml:space="preserve">
SE debe ajustar por diferencia de cambio costos sinietros</t>
        </r>
      </text>
    </comment>
    <comment ref="L20" authorId="0">
      <text>
        <r>
          <rPr>
            <b/>
            <sz val="8"/>
            <color indexed="81"/>
            <rFont val="Tahoma"/>
            <family val="2"/>
          </rPr>
          <t>Claudio Olivares Rivas:</t>
        </r>
        <r>
          <rPr>
            <sz val="8"/>
            <color indexed="81"/>
            <rFont val="Tahoma"/>
            <family val="2"/>
          </rPr>
          <t xml:space="preserve">
SE debe ajustar por diferencia de cambio costos sinietros</t>
        </r>
      </text>
    </comment>
    <comment ref="D36" authorId="0">
      <text>
        <r>
          <rPr>
            <b/>
            <sz val="8"/>
            <color indexed="81"/>
            <rFont val="Tahoma"/>
            <family val="2"/>
          </rPr>
          <t>Claudio Olivares Rivas:</t>
        </r>
        <r>
          <rPr>
            <sz val="8"/>
            <color indexed="81"/>
            <rFont val="Tahoma"/>
            <family val="2"/>
          </rPr>
          <t xml:space="preserve">
Desde el EERR, para efectos de determinacion de costos de rentas pagadas</t>
        </r>
      </text>
    </comment>
  </commentList>
</comments>
</file>

<file path=xl/comments8.xml><?xml version="1.0" encoding="utf-8"?>
<comments xmlns="http://schemas.openxmlformats.org/spreadsheetml/2006/main">
  <authors>
    <author>diturra</author>
  </authors>
  <commentList>
    <comment ref="E26" authorId="0">
      <text>
        <r>
          <rPr>
            <b/>
            <sz val="8"/>
            <color indexed="81"/>
            <rFont val="Tahoma"/>
            <family val="2"/>
          </rPr>
          <t>diturra:
CORRESPONDE AL 75% Prima Primer año y la cesisón.</t>
        </r>
      </text>
    </comment>
    <comment ref="E28" authorId="0">
      <text>
        <r>
          <rPr>
            <b/>
            <sz val="8"/>
            <color indexed="81"/>
            <rFont val="Tahoma"/>
            <family val="2"/>
          </rPr>
          <t>diturra:
CORRESPONDE AL 75% Prima Primer año y la cesisón.</t>
        </r>
      </text>
    </comment>
  </commentList>
</comments>
</file>

<file path=xl/comments9.xml><?xml version="1.0" encoding="utf-8"?>
<comments xmlns="http://schemas.openxmlformats.org/spreadsheetml/2006/main">
  <authors>
    <author>sonia.ferrada</author>
  </authors>
  <commentList>
    <comment ref="B3" authorId="0">
      <text>
        <r>
          <rPr>
            <b/>
            <sz val="8"/>
            <color indexed="81"/>
            <rFont val="Tahoma"/>
            <family val="2"/>
          </rPr>
          <t>Cambiar a fecha de cierre</t>
        </r>
      </text>
    </comment>
    <comment ref="D3" authorId="0">
      <text>
        <r>
          <rPr>
            <b/>
            <sz val="8"/>
            <color indexed="81"/>
            <rFont val="Tahoma"/>
            <family val="2"/>
          </rPr>
          <t>Cambiar a UF de cierre</t>
        </r>
        <r>
          <rPr>
            <sz val="8"/>
            <color indexed="81"/>
            <rFont val="Tahoma"/>
            <family val="2"/>
          </rPr>
          <t xml:space="preserve">
</t>
        </r>
      </text>
    </comment>
  </commentList>
</comments>
</file>

<file path=xl/sharedStrings.xml><?xml version="1.0" encoding="utf-8"?>
<sst xmlns="http://schemas.openxmlformats.org/spreadsheetml/2006/main" count="9707" uniqueCount="3537">
  <si>
    <t>Reservas Riesgo en Curso Salud Individual Corto Plazo</t>
  </si>
  <si>
    <t>COMISIONES RENTAS VITALICIAS POR PAGAR</t>
  </si>
  <si>
    <t>GASTOS DE AUDITORIA POR PAGAR</t>
  </si>
  <si>
    <t>COMISIONES SEGUROS TRADICIONALES POR PAGAR</t>
  </si>
  <si>
    <t>COMPRAS VARIAS POR PAGAR</t>
  </si>
  <si>
    <t>FACTURAS POR PAGAR</t>
  </si>
  <si>
    <t>DERECHO VENTA CORTO PLAZO</t>
  </si>
  <si>
    <t>VENTA CORTO PLAZO</t>
  </si>
  <si>
    <t>PROVISIONES INFORMATICAS</t>
  </si>
  <si>
    <t>VARIACION PRECIO FACTURA CIA</t>
  </si>
  <si>
    <t>VARIACION PRECIO FACTURA TIENDA</t>
  </si>
  <si>
    <t>FACTURAS PAGADAS POR RENDICION</t>
  </si>
  <si>
    <t>HONORARIOS PAGADOS POR RENDICION</t>
  </si>
  <si>
    <t>DIVIDENDOS POR PAGAR BRU</t>
  </si>
  <si>
    <t>RESERVA MENOR VALOR PATRIMONIO</t>
  </si>
  <si>
    <t>Reservas Riesgo en Curso Desgravamen Individual Largo Plazo</t>
  </si>
  <si>
    <t>Reservas Riesgo en Curso Vida Colectivos Largo Plazo</t>
  </si>
  <si>
    <t>76.027.924-2</t>
  </si>
  <si>
    <t>Siniestros Aceptados</t>
  </si>
  <si>
    <t>Siniestros Cedidos</t>
  </si>
  <si>
    <t>Resultado de Intermediación</t>
  </si>
  <si>
    <t>Seguro Directo Agentes</t>
  </si>
  <si>
    <t>Comisiones Seguro Directo Corredores</t>
  </si>
  <si>
    <t>Comisiones Reaseguro Aceptado</t>
  </si>
  <si>
    <t>Comisiones Reaseguro Cedido</t>
  </si>
  <si>
    <t>Remuneraciones</t>
  </si>
  <si>
    <t>CUOTAS DE FDOS. NACIONALES INV. EN EL EXTRANJERO (CFE)</t>
  </si>
  <si>
    <t>PROVISION CUOTAS DE FDOS. NACIONALES INV. EN EL EXTRANJERO (CFE)</t>
  </si>
  <si>
    <t>C.M. CUOTAS FDOS NAC INV EN EL EXT (CFE)</t>
  </si>
  <si>
    <t>RETENCION HONORARIOS TASA 10%</t>
  </si>
  <si>
    <t>RETENCION IMPUESTO ADICIONAL</t>
  </si>
  <si>
    <t>IMPUESTO UNICO ART.21 TASA 35%</t>
  </si>
  <si>
    <t>IVA DEBITO FISCAL</t>
  </si>
  <si>
    <t>IVA DEVENGADO</t>
  </si>
  <si>
    <t>Variacion de Reserva de Siniestros</t>
  </si>
  <si>
    <t>Siniestros del Plan</t>
  </si>
  <si>
    <t>Rescates</t>
  </si>
  <si>
    <t>Vencimientos</t>
  </si>
  <si>
    <t>BICE VIDA COMPAÑIA DE SEGUROS</t>
  </si>
  <si>
    <t>C.M. ADRS</t>
  </si>
  <si>
    <t>HONORARIOS POR PAGAR REEMISIONES DE SALUD</t>
  </si>
  <si>
    <t>HONORARIOS POR PAGAR CREDITOS</t>
  </si>
  <si>
    <t>HONORARIOS POR PAGAR RRHH</t>
  </si>
  <si>
    <t>HONORARIOS POR PAGAR COMISIONES INDIVIDUALES</t>
  </si>
  <si>
    <t xml:space="preserve"> Temporal Vida Colectivo </t>
  </si>
  <si>
    <t xml:space="preserve"> Accidentes Personales  Colectivo</t>
  </si>
  <si>
    <t xml:space="preserve"> Vida Individual</t>
  </si>
  <si>
    <t>INV. FIP BADAJOZ</t>
  </si>
  <si>
    <t>BONO PLAN RENTA VARIABLE</t>
  </si>
  <si>
    <t>COMISIONES PROMEDIO</t>
  </si>
  <si>
    <t>Piedra Roja Desarrollos Inmobiliarios S.A.</t>
  </si>
  <si>
    <t>CUENTA CORRIENTE COMUNIDAD EDIF.PALLADIO</t>
  </si>
  <si>
    <t>CUENTA CORRIENTE BICE CHILECONSULT</t>
  </si>
  <si>
    <t>FORWARD POR COBRAR</t>
  </si>
  <si>
    <t>DIVIDENDOS POR COBRAR MUTUOS HIPOTECARIOS</t>
  </si>
  <si>
    <t>CTA CTE PROY. PARQUE LOS NOGALES</t>
  </si>
  <si>
    <t>PRIMAS CEDIDAS ANUALES PAGO ANTICIPADO</t>
  </si>
  <si>
    <t>MUTUOS HIPOTECARIOS POR PAGAR</t>
  </si>
  <si>
    <t>SEGUROS POR PAGAR</t>
  </si>
  <si>
    <t>RECAUDACION DIVIDENDOS</t>
  </si>
  <si>
    <t>PRESTAMOS FONASA</t>
  </si>
  <si>
    <t>RESULTADO DE EXPLOTACIÓN</t>
  </si>
  <si>
    <t>RESULTADO FUERA DE EXPLOTACIÓN</t>
  </si>
  <si>
    <t>RESULTADO ANTES DE IMPUESTO</t>
  </si>
  <si>
    <t xml:space="preserve">CUADRO DE SEGUROS ENTRE </t>
  </si>
  <si>
    <t>Accidentes Personales</t>
  </si>
  <si>
    <t>Margen de Contribución</t>
  </si>
  <si>
    <t>Reserva Desviación Siniestralidad Ejercicio.</t>
  </si>
  <si>
    <t>DEUDORES POR REASEGURO</t>
  </si>
  <si>
    <t>Primas por Cobrar Reaseguro Aceptado</t>
  </si>
  <si>
    <t>Siniestros por Cobrar a Reaseguradores</t>
  </si>
  <si>
    <t>5.11.17.00.00</t>
  </si>
  <si>
    <t>Prestamos</t>
  </si>
  <si>
    <t>Préstamos</t>
  </si>
  <si>
    <t>Ajuste Reserva Riesgo en Curso</t>
  </si>
  <si>
    <t>RES.MATEMATICA L/P SALUD COLECTIVOS</t>
  </si>
  <si>
    <t>B.C.U.</t>
  </si>
  <si>
    <t>CUENTA CORRIENTE EMPRESAS RELACIONADAS</t>
  </si>
  <si>
    <t>COMISIONES COMERCIALES</t>
  </si>
  <si>
    <t>BODEGA EXTERNA</t>
  </si>
  <si>
    <t>GASTOS COMUNES SANTIAGO</t>
  </si>
  <si>
    <t>DESARROLLO DE SISTEMAS INTERNOS</t>
  </si>
  <si>
    <t>MANTENCION DE SISTEMAS INTERNOS</t>
  </si>
  <si>
    <t>MANTENCION DE SISTEMAS EXTERNOS</t>
  </si>
  <si>
    <t>MANTENCION Y LIQUIDACION DE SINIESTROS</t>
  </si>
  <si>
    <t>OTROS ACTIVOS</t>
  </si>
  <si>
    <t>LINEAS TELEFONICAS</t>
  </si>
  <si>
    <t>6.08</t>
  </si>
  <si>
    <t>CUADRO DE DATOS 
ESTADISTICOS</t>
  </si>
  <si>
    <t>Numero de Siniestros</t>
  </si>
  <si>
    <t>Número de Rentas</t>
  </si>
  <si>
    <t>Número de Rescates</t>
  </si>
  <si>
    <t>Número de Vencimientos</t>
  </si>
  <si>
    <t>Numero de Indemnización por Invalidez</t>
  </si>
  <si>
    <t>Numero de Indemnización por Muerte</t>
  </si>
  <si>
    <t>Costo de Administración</t>
  </si>
  <si>
    <t>RESULTADO DE INVERSIONES</t>
  </si>
  <si>
    <t>RESULTADO TECNICO SEGURO</t>
  </si>
  <si>
    <t>Otros Ingresos y Egresos</t>
  </si>
  <si>
    <t>RESULTADO EXPLOTACION</t>
  </si>
  <si>
    <t>RESULTADO FUERA EXPLOTACION</t>
  </si>
  <si>
    <t>RESUL ANTES IMPUESTOS</t>
  </si>
  <si>
    <t>IMPUESTOS DEL PERIODO</t>
  </si>
  <si>
    <t>RESULTADO DEL EJERCICIO</t>
  </si>
  <si>
    <t>FINANCIERAS</t>
  </si>
  <si>
    <t>Renta Fija</t>
  </si>
  <si>
    <t>UF 31/12/2009</t>
  </si>
  <si>
    <t>UF 30/06/2010</t>
  </si>
  <si>
    <t>VARIACION UF</t>
  </si>
  <si>
    <t>VARIACION IPC</t>
  </si>
  <si>
    <t>DIFERENCIA</t>
  </si>
  <si>
    <t>COLACION DEL PERSONAL</t>
  </si>
  <si>
    <t>LOCOMOCION EMPLEADOS</t>
  </si>
  <si>
    <t>GASTOS DE CAPACITACION</t>
  </si>
  <si>
    <t>UNIFORMES DEL PERSONAL</t>
  </si>
  <si>
    <t>Rentas Vitalicias</t>
  </si>
  <si>
    <t>Totales</t>
  </si>
  <si>
    <t>(M$)</t>
  </si>
  <si>
    <t>Fecha Informe</t>
  </si>
  <si>
    <t>Valor Unidad de Fomento</t>
  </si>
  <si>
    <t>Cifras de Referencia</t>
  </si>
  <si>
    <t>C_6.01</t>
  </si>
  <si>
    <t xml:space="preserve">Costos Rentas Directas </t>
  </si>
  <si>
    <t>Reserva de Riesgo en Curso Ejercicio Anterior</t>
  </si>
  <si>
    <t xml:space="preserve">Reserva de Riesgo en Curso del Ejercicio </t>
  </si>
  <si>
    <t>Costo de Rentas</t>
  </si>
  <si>
    <t>Costo de Siniestros</t>
  </si>
  <si>
    <t>Resultado Intermediación</t>
  </si>
  <si>
    <t>Reaseguro No Proporcional</t>
  </si>
  <si>
    <t>Gastos Médicos</t>
  </si>
  <si>
    <t>RES.MATEMATICA L/P FLEXIBLE INDIVIDUAL</t>
  </si>
  <si>
    <t>RES.MATEMATICA L/P DOTAL INDIVIDUAL</t>
  </si>
  <si>
    <t>EQUIPO LIMPIAFACHADA CORRECTIVA</t>
  </si>
  <si>
    <t>Reserva Matematica del Ejercicio</t>
  </si>
  <si>
    <t>PATENTES COMERCIALES</t>
  </si>
  <si>
    <t>CONTRIBUCIONES DE BIENES RAICES</t>
  </si>
  <si>
    <t>MATERIALES Y UTILES DE OFICINA</t>
  </si>
  <si>
    <t>REMODELACIONES OFICINAS</t>
  </si>
  <si>
    <t>SUMINISTROS DE OFICINAS</t>
  </si>
  <si>
    <t>FOTOCOPIAS</t>
  </si>
  <si>
    <t>CORRESPONDENCIAS</t>
  </si>
  <si>
    <t>MOVILIZACION</t>
  </si>
  <si>
    <t>Activo No Efectivo</t>
  </si>
  <si>
    <t>Cuenta Fecu</t>
  </si>
  <si>
    <t>Activo Inicial M$</t>
  </si>
  <si>
    <t>Fecha Inicial</t>
  </si>
  <si>
    <t>Saldo Activo M$</t>
  </si>
  <si>
    <t>Amortización Acumulada M$</t>
  </si>
  <si>
    <t>Plazo de Amortización</t>
  </si>
  <si>
    <t>Corto Plazo
 M$</t>
  </si>
  <si>
    <t>Largo Plazo
 M$</t>
  </si>
  <si>
    <t>Corto Plazo 
M$</t>
  </si>
  <si>
    <t>Fondo de Inversión Nacional Privado</t>
  </si>
  <si>
    <t>ANTICIPO DE SUELDO</t>
  </si>
  <si>
    <t>IVA RETENIDO A TERCEROS</t>
  </si>
  <si>
    <t>CREDITOS 10% POR PAGAR</t>
  </si>
  <si>
    <t>Utilidades (Pérdidas) del Ejercicio</t>
  </si>
  <si>
    <t>Capitales Asegurados en el Período MM$</t>
  </si>
  <si>
    <t>CAPITAL SUSCRITO Y PAGADO</t>
  </si>
  <si>
    <t>REVALORIZACION CAPITAL</t>
  </si>
  <si>
    <t>REVALORIZACION RESULTADOS ACUMULADOS</t>
  </si>
  <si>
    <t>RESERVA PARA DESCALCE</t>
  </si>
  <si>
    <t>SOAP</t>
  </si>
  <si>
    <t>Reservas Matemáticas Incapacidad e Invalidez Colectivo Largo Plazo</t>
  </si>
  <si>
    <t>RES. OTROS SEG. VIDA CON CTA UNICA INVER</t>
  </si>
  <si>
    <t>RES SEG. VIDA AHORRO PREVISIONAL</t>
  </si>
  <si>
    <t>INMOBILIARIA EL COIHUE DOS S.A.</t>
  </si>
  <si>
    <t>FLUCTUACION EL COIHUE DOS S.A.</t>
  </si>
  <si>
    <t>RES. AFP HABITAT</t>
  </si>
  <si>
    <t>RES. AFP MAGISTER</t>
  </si>
  <si>
    <t>RES. AFP HABITAT 2003</t>
  </si>
  <si>
    <t>RESERVA PARA DESCALCE CUI</t>
  </si>
  <si>
    <t>DERECHOS POR INVERSIONES INMOBILIARIAS</t>
  </si>
  <si>
    <t>OBLIGACIONES POR INVERSIONES INMOBILIARIAS</t>
  </si>
  <si>
    <t>Reservas Matemáticas Salud Colectivo Largo Plazo</t>
  </si>
  <si>
    <t>Reservas Matemáticas Salud Individual Largo Plazo</t>
  </si>
  <si>
    <t>Reservas Matemáticas Vida Entera Individual Largo Plazo</t>
  </si>
  <si>
    <t>COMISIONES INMOBILIARIAS</t>
  </si>
  <si>
    <t>C.M. GASTOS INVERSIONES</t>
  </si>
  <si>
    <t>RETASACIONES</t>
  </si>
  <si>
    <t xml:space="preserve">Reservas Matemáticas Temporal Vida Colectivo </t>
  </si>
  <si>
    <t>Reservas Matemáticas Temporal Vida Individuales</t>
  </si>
  <si>
    <t>Bienes Raíces de Inversión</t>
  </si>
  <si>
    <t>Bono Reconocimiento por Cobrar</t>
  </si>
  <si>
    <t>(5.14.41.00.00)</t>
  </si>
  <si>
    <t>Existencias</t>
  </si>
  <si>
    <t xml:space="preserve">Gasto Pagados por Anticipado  </t>
  </si>
  <si>
    <t>(5.14.34.00.00)</t>
  </si>
  <si>
    <t>Asignaciones Familiares Renta Vitalicia</t>
  </si>
  <si>
    <t>Bice Vida Compañía de Seguros S.A.</t>
  </si>
  <si>
    <t>PROVEEDORES MARKETING</t>
  </si>
  <si>
    <t>PROVEEDORES SERVICIO AL CLIENTE</t>
  </si>
  <si>
    <t>BONOS DE GARANTIA ESTATAL</t>
  </si>
  <si>
    <t>AJUSTE PENSION MINIMA</t>
  </si>
  <si>
    <t>BONOS DE RECONOCIMIENTO</t>
  </si>
  <si>
    <t>INTERESES DIFERIDOS POR LEASING</t>
  </si>
  <si>
    <t>REAJUSTES BTU</t>
  </si>
  <si>
    <t>REAJUSTES CREDITOS SINDICADOS</t>
  </si>
  <si>
    <t>PROVISIONES INMOBILIARIAS</t>
  </si>
  <si>
    <t>OBLIGACIONES VENTA CORTO PLAZO</t>
  </si>
  <si>
    <t>PROVEEDORES INMOBILIARIOS</t>
  </si>
  <si>
    <t>HONORARIOS INMOBILIARIOS</t>
  </si>
  <si>
    <t>PENSIONES CADUCADAS</t>
  </si>
  <si>
    <t>INTERESES PERCIBIDOS US TREASSURY</t>
  </si>
  <si>
    <t>INTERESES DEVENGADOS US TREASSURY</t>
  </si>
  <si>
    <t>REAJUSTES INTS. US TREASSURY</t>
  </si>
  <si>
    <t>Comisiones Reaseguro Cedidos</t>
  </si>
  <si>
    <t>Reaseguro no Proprocional</t>
  </si>
  <si>
    <t>GASTOS DE ORGANIZACION Y PUESTA MARCHA</t>
  </si>
  <si>
    <t>CREDITO CTA N° 10256687</t>
  </si>
  <si>
    <t>CITIBANK N° 0-663736-01-09</t>
  </si>
  <si>
    <t>BANCO SECURITY CTA N° E-0035084-01</t>
  </si>
  <si>
    <t>ESTADO CTA N° 221180</t>
  </si>
  <si>
    <t>Abono Neto a Resultados</t>
  </si>
  <si>
    <t>Cta Cte Mercantil</t>
  </si>
  <si>
    <t>Primas por Pagar Asegurados Previsionales</t>
  </si>
  <si>
    <t>Primas por Pagar Asegurados  No Previsionales</t>
  </si>
  <si>
    <t>Reservas Matemáticas Desgravamen Colectivo</t>
  </si>
  <si>
    <t>DEP. ACUMULADA VEHICULO</t>
  </si>
  <si>
    <t>ACTIVO FIJO EN TRANSITO</t>
  </si>
  <si>
    <t>BIENES RAICES EN ADJUDICACION</t>
  </si>
  <si>
    <t>ACT COMPLEMENTARIO IMPTO DIF X PAGAR L/P</t>
  </si>
  <si>
    <t>DIVIDENDOS CHILENA CONSOLIDADA SEGUROS DE VIDA S.A.</t>
  </si>
  <si>
    <t>PRIMAS POR COBRAR COLECTIVOS POR PROD.</t>
  </si>
  <si>
    <t>PRIMAS AFP</t>
  </si>
  <si>
    <t>PRIMAS POR COBRAR COL. DESGRAVAMEN</t>
  </si>
  <si>
    <t>REAJUSTES BONOS VIVIENDA LEASING</t>
  </si>
  <si>
    <t>UTILIDAD O PERDIDA VENTA ACCIONES EXTRANJERAS (ACE)</t>
  </si>
  <si>
    <t>Reservas Matemáticas Otros S.A.P. Largo Plazo</t>
  </si>
  <si>
    <t>Reserva de Siniestros por Pagar Largo Plazo</t>
  </si>
  <si>
    <t>Reserva de Siniestros Ocurridos y no Reportados Largo Plazo</t>
  </si>
  <si>
    <t>Sobreprecio en Venta de Acciones Propias N° 1</t>
  </si>
  <si>
    <t>NOMINALES POSICION CORTA</t>
  </si>
  <si>
    <t>FECHA DE LA OPERACIÓN</t>
  </si>
  <si>
    <t>FECHA DE VENCIMIENTODEL CONTRATO</t>
  </si>
  <si>
    <t>VALOR DE MERCADO DEL ACTIVO OBJETO A LA FECHA DE INFORMACION</t>
  </si>
  <si>
    <t>NOMINALES</t>
  </si>
  <si>
    <t>VALOR RAZONABLE DEL CONTRATO FORWARD A LA FECHA DE INFORMACION</t>
  </si>
  <si>
    <t xml:space="preserve">       RENTAS VITALICIAS PREVISIONALES</t>
  </si>
  <si>
    <t>CIRCULAR Nº528</t>
  </si>
  <si>
    <t>Subtotal</t>
  </si>
  <si>
    <t>Invalidez y Sob.</t>
  </si>
  <si>
    <t>INTERES PERCIB. LEASING</t>
  </si>
  <si>
    <t>REAJUSTES L/H U.F.</t>
  </si>
  <si>
    <t>REAJUSTES L/H IVP</t>
  </si>
  <si>
    <t>REAJUSTES BONOS BANCARIOS</t>
  </si>
  <si>
    <t>Bernardo Matte Larraín</t>
  </si>
  <si>
    <t>Pólizas con inicio de vigencia a contar del 01 de febrero de 2008</t>
  </si>
  <si>
    <t>PAGOS SINIESTROS SALUD</t>
  </si>
  <si>
    <t>IMPUESTO DIFERIDO POR COBRAR L/P</t>
  </si>
  <si>
    <t>RES.RIESGO CURSO SALUD COLECTIVOS</t>
  </si>
  <si>
    <t>DEUTSCHE BANK AG LONDON</t>
  </si>
  <si>
    <t>Ajuste de contrato</t>
  </si>
  <si>
    <t>Rentas Por Pagar</t>
  </si>
  <si>
    <t>Rentas Por Pagar Período Ant.</t>
  </si>
  <si>
    <t>INTERES DEV. LEASING</t>
  </si>
  <si>
    <t>TOTAL CONTRATO SWAP</t>
  </si>
  <si>
    <t>INTERESES DEV. C.E.R.O.</t>
  </si>
  <si>
    <t>INTERES PERCIB. L/H U.F.</t>
  </si>
  <si>
    <t>INTERES PERCIB. BONOS BANCARIOS</t>
  </si>
  <si>
    <t>INTERES PERCIB. BONOS SUBORDINADOS</t>
  </si>
  <si>
    <t>Participación por Experiencia Favorable Clientes Salud</t>
  </si>
  <si>
    <t>(5.22.40.00.00)</t>
  </si>
  <si>
    <t>Reasegurador Munchener</t>
  </si>
  <si>
    <t>REMODELACIONES</t>
  </si>
  <si>
    <t>Factor IPC del Año</t>
  </si>
  <si>
    <t>Saldo Historico Periodo Anterior ( Dato )</t>
  </si>
  <si>
    <t>Resultado por Ajuste de Contrato</t>
  </si>
  <si>
    <t>COMISIONES DIRECTAS</t>
  </si>
  <si>
    <t>MOTIVACIONAL (C.I.)</t>
  </si>
  <si>
    <t>LETRAS HIPOTECARIAS U.F. CUI</t>
  </si>
  <si>
    <t>LETRAS HIPOTECARIAS IVP CUI</t>
  </si>
  <si>
    <t>BONOS BANCARIOS CUI</t>
  </si>
  <si>
    <t>Fondos de Inversión</t>
  </si>
  <si>
    <t>COMISIONES POR PAGAR</t>
  </si>
  <si>
    <t>OTROS EGRESOS NO OPERACIONALES</t>
  </si>
  <si>
    <t>Reservas Riesgo en Curso Incapacidad e Invalidez Individual Corto Plazo</t>
  </si>
  <si>
    <t>BANCO CORPBANCA CTA N° 11060946</t>
  </si>
  <si>
    <t>SANTANDER CTA. N 37-5904576-8</t>
  </si>
  <si>
    <t>SANTIAGO CTA. N 01-07886-0</t>
  </si>
  <si>
    <t>SANTANDER CTA. N 0-020-0041573-4</t>
  </si>
  <si>
    <t>CAJA US $</t>
  </si>
  <si>
    <t>BICE CTA. N 13-000259-5 USD</t>
  </si>
  <si>
    <t>BICE CTA N° 013-01-00834</t>
  </si>
  <si>
    <t>Suiza</t>
  </si>
  <si>
    <t xml:space="preserve">     Suiza</t>
  </si>
  <si>
    <t>R - 105</t>
  </si>
  <si>
    <t>R - 183</t>
  </si>
  <si>
    <t>BANCO EXTRANJERO CUENTA CORRIENTE</t>
  </si>
  <si>
    <t>Instrumentos en pacto</t>
  </si>
  <si>
    <t>DEPRECIACION BIEN RAICES LEASING</t>
  </si>
  <si>
    <t>PROV. DCTOS INCOBRABLES LEASING</t>
  </si>
  <si>
    <t>PROV. LEASIN INCOBRABLES</t>
  </si>
  <si>
    <t>PROV. OTRAS CTAS. POR COBRAR LEASING</t>
  </si>
  <si>
    <t>PROV. ANTIC. COMIS. INCOBRABLES</t>
  </si>
  <si>
    <t>Bienes Raices</t>
  </si>
  <si>
    <t>Compañía</t>
  </si>
  <si>
    <t>Rut</t>
  </si>
  <si>
    <t>Banco Bice</t>
  </si>
  <si>
    <t>97.080.000-K</t>
  </si>
  <si>
    <t>Conceptos</t>
  </si>
  <si>
    <t>Cuentas Corrientes</t>
  </si>
  <si>
    <t xml:space="preserve">Dividendos </t>
  </si>
  <si>
    <t>Salud</t>
  </si>
  <si>
    <t>BONOS AGENTES</t>
  </si>
  <si>
    <t>BONO DE DESARROLLO</t>
  </si>
  <si>
    <t>BONO DE FIDELIZACION</t>
  </si>
  <si>
    <t>BONO DE PERSISTENCIA</t>
  </si>
  <si>
    <t>CREDIT SWISS</t>
  </si>
  <si>
    <t>HSBC BANK USA</t>
  </si>
  <si>
    <t>CORPBANCA</t>
  </si>
  <si>
    <t>BARCLAYS CAPITAL INC</t>
  </si>
  <si>
    <t>BANCO DE CHILE</t>
  </si>
  <si>
    <t>INVERSIONES POR COBRAR</t>
  </si>
  <si>
    <t>Total Fondos de inversión emitidos en el extranjero</t>
  </si>
  <si>
    <t>Total Bonos emitidos en el extranjero</t>
  </si>
  <si>
    <t>OTROS INGRESOS</t>
  </si>
  <si>
    <t>RES. SINIESTROS POR PAGAR ACC. PERSONALES</t>
  </si>
  <si>
    <t>SECURITY L-0482404-91</t>
  </si>
  <si>
    <t>UTILIDAD O PERDIDA VENTA FONDOS DE INVERSION INTERNACIONAL (CFII)</t>
  </si>
  <si>
    <t>C.M. DEPOSITOS A PLAZO FIJO</t>
  </si>
  <si>
    <t>C.M. BCU</t>
  </si>
  <si>
    <t>C.M. BONOS EXTRANJEROS</t>
  </si>
  <si>
    <t>C.M. PAGARES EMPRESAS</t>
  </si>
  <si>
    <t>C.M. BONOS SECURITIZADOS</t>
  </si>
  <si>
    <t>C.M. BONOS GARANTIZADOS</t>
  </si>
  <si>
    <t>C.M. BTU</t>
  </si>
  <si>
    <t>C.M. BONOS VIVIENDA LEASING</t>
  </si>
  <si>
    <t>C.M. FONDOS MUTUOS</t>
  </si>
  <si>
    <t>C.M. ACCIONES EXTRANJERAS (ACC)</t>
  </si>
  <si>
    <t>VALORES POR DEPOSITAR</t>
  </si>
  <si>
    <t>BICE CTA N 01-28516-5</t>
  </si>
  <si>
    <t>BICE CTA.N° 02-00369-4</t>
  </si>
  <si>
    <t>CHILE CTA. N° 66298-04</t>
  </si>
  <si>
    <t>CHILE CTA. N° 159-14461-02</t>
  </si>
  <si>
    <t>CHILE CTA. N° 000-11580-00</t>
  </si>
  <si>
    <t>SANTANDER SANTIAGO CTA N° 01-5630-1</t>
  </si>
  <si>
    <t>Deudas con Intermediarios</t>
  </si>
  <si>
    <t>Obligaciones</t>
  </si>
  <si>
    <t>Dividendos por Pagar</t>
  </si>
  <si>
    <t>Reservas Riesgo en Curso Accidentes Personales Individuales Largo Plazo</t>
  </si>
  <si>
    <t>Reservas Matemáticas Vida Individual Corto Plazo</t>
  </si>
  <si>
    <t>Reservas Matemáticas Vida Colectivo Largo Plazo</t>
  </si>
  <si>
    <t>RES.RIESGO CURSO SALUD INDIVIDUAL</t>
  </si>
  <si>
    <t>Reserva de Fluctuación de Activos</t>
  </si>
  <si>
    <t>Reserva Técnica Financiera</t>
  </si>
  <si>
    <t>Nº Inscripción Registro         S.V.S.</t>
  </si>
  <si>
    <t>Total Reaseguro</t>
  </si>
  <si>
    <t>CONTRATOS FORWARDS VIGENTES</t>
  </si>
  <si>
    <t>CONTRAPARTES DE LA OPERACIÓN
(2)</t>
  </si>
  <si>
    <t>NACIONALIDAD</t>
  </si>
  <si>
    <t>Deudas con Empresas Relacionadas</t>
  </si>
  <si>
    <t>Bice Renta Urbana S.A.</t>
  </si>
  <si>
    <t>76.633.240-4</t>
  </si>
  <si>
    <t>Proveedores</t>
  </si>
  <si>
    <t>Equipos Computacionales</t>
  </si>
  <si>
    <t>Muebles y Equipos</t>
  </si>
  <si>
    <t>Otras Inversiones Inmobiliarias</t>
  </si>
  <si>
    <t xml:space="preserve">      Total Acciones emitidas en el extranjero</t>
  </si>
  <si>
    <t>Inversiones Cuenta Única de Inversión (CUI)</t>
  </si>
  <si>
    <t>Primas Seg Inv y Sobrev D.L.3500</t>
  </si>
  <si>
    <t>Primas Asegurados</t>
  </si>
  <si>
    <t>Venta Directa</t>
  </si>
  <si>
    <t>Intermediarios</t>
  </si>
  <si>
    <t>CREDITOS DE CONSUMO POR PAGAR</t>
  </si>
  <si>
    <t>GARANTIAS PACTOS INMOBILIARIOS</t>
  </si>
  <si>
    <t>COMISIONES POR PAGAR CORPORATIVOS</t>
  </si>
  <si>
    <t>Otros Deudores por Reaseguros - Participación Reaseguros</t>
  </si>
  <si>
    <t>PROVISIONES VARIAS</t>
  </si>
  <si>
    <t>PROVISIONES ANTIC. COMISION CORREDORES</t>
  </si>
  <si>
    <t>Obligaciones de Invertir las Reservas Técnicas y Patrimonio de Riesgo</t>
  </si>
  <si>
    <t>Inversiones Representativas de Reservas Técnicas y Patrimonio de Riesgo</t>
  </si>
  <si>
    <t>WACHOVIA BANK N.A.</t>
  </si>
  <si>
    <t>CREDITOS TERMINADOS POR INCOBRABILIDAD</t>
  </si>
  <si>
    <t>PROVISION INCOB. CREDITO PENSIONADOS</t>
  </si>
  <si>
    <t>PROVISION INCOB. CREDITO COMPLEMENTARIO 10%</t>
  </si>
  <si>
    <t>SEPTIEMBRE</t>
  </si>
  <si>
    <t>Utilidad (Pérdida) del Ejercicio</t>
  </si>
  <si>
    <t>Diferencia de Cambio</t>
  </si>
  <si>
    <t>Reservas Técnicas</t>
  </si>
  <si>
    <t>Intereses por Primas</t>
  </si>
  <si>
    <t>Egresos</t>
  </si>
  <si>
    <t>Distribución  
de
Dividendos
M$</t>
  </si>
  <si>
    <t>INTERESES DEV. BONOS SECURITIZADOS</t>
  </si>
  <si>
    <t>REAJUSTES BONOS SECURITIZADOS</t>
  </si>
  <si>
    <t>INTERESES DEV. BONOS GARANTIZADOS</t>
  </si>
  <si>
    <t>REAJUSTES BONOS GARANTIZADOS</t>
  </si>
  <si>
    <t>CREDITOS DE CONSUMO</t>
  </si>
  <si>
    <t>CREDITOS DE CONSUMO EN TRANSITO</t>
  </si>
  <si>
    <t>Reasegurador Scor</t>
  </si>
  <si>
    <t>Reservas Matemáticas</t>
  </si>
  <si>
    <t>Siniestros Ocurridos y no Reportados</t>
  </si>
  <si>
    <t>En Proceso de Liquidacion</t>
  </si>
  <si>
    <t>Siniestros por Pagar Período Anterior</t>
  </si>
  <si>
    <t>RENTAS PREVISIONALES</t>
  </si>
  <si>
    <t>RENTAS NO PREV.</t>
  </si>
  <si>
    <t>CUENTAS POR PAGAR ABOGADOS</t>
  </si>
  <si>
    <t>Diferencia
por
Reconocer
 RV 2004</t>
  </si>
  <si>
    <t>Diferencia por reconocer
B-2006 y 
MI-2006</t>
  </si>
  <si>
    <t>Activo Fijo - Valor Actualizados - Equipos Computacionales</t>
  </si>
  <si>
    <t xml:space="preserve">Primas por Pagar Coaseguro </t>
  </si>
  <si>
    <t>CONTRIBUCIONES POR PAGAR</t>
  </si>
  <si>
    <t>IMPUESTOS RETENIDOS</t>
  </si>
  <si>
    <t>ANTICIPO PROVEEDORES</t>
  </si>
  <si>
    <t>GASTOS ANTICIPADOS</t>
  </si>
  <si>
    <t>DOCUMENTOS POR COBRAR</t>
  </si>
  <si>
    <t>IMPUESTOS POR COBRAR</t>
  </si>
  <si>
    <t>ADMINISTRACION MUTUOS HIPOTECARIOS</t>
  </si>
  <si>
    <t>ARRIENDO TERMINAL BOLSA</t>
  </si>
  <si>
    <t>ASESORIA EN INVERSIONES</t>
  </si>
  <si>
    <t>GASTOS BANCARIOS</t>
  </si>
  <si>
    <t>INTERES E IMPTO. SOBREGIROS</t>
  </si>
  <si>
    <t>Reservas Matemáticas Salud Individual</t>
  </si>
  <si>
    <t>Reservas Matemáticas Dotal Individual</t>
  </si>
  <si>
    <t>Reservas Matemáticas Incapacidad e Invalidez Colectivo</t>
  </si>
  <si>
    <t>Reservas Matemáticas Incapacidad e Invalidez Individual</t>
  </si>
  <si>
    <t>Reservas Matemáticas Dotal Puro Colectivo</t>
  </si>
  <si>
    <t>Reservas Matemáticas protección familiar Colectivo</t>
  </si>
  <si>
    <t>Otros Títulos</t>
  </si>
  <si>
    <t>Resultado Inversiones en el Extranjero</t>
  </si>
  <si>
    <t>RESULTADO TÉCNICO DE SEGUROS</t>
  </si>
  <si>
    <t>OTROS INGRESOS Y EGRESOS</t>
  </si>
  <si>
    <t>Ingresos</t>
  </si>
  <si>
    <t>Bice Chileconsult
 Servicios Financieros Ltda.</t>
  </si>
  <si>
    <t>79.578.560-4</t>
  </si>
  <si>
    <t>Asesoría
de Inversiones</t>
  </si>
  <si>
    <t>MUEBLES Y UTILES</t>
  </si>
  <si>
    <t>VEHICULOS</t>
  </si>
  <si>
    <t>EQUIPOS COMPUTACIONALES</t>
  </si>
  <si>
    <t>Vehículos</t>
  </si>
  <si>
    <t>CAJA</t>
  </si>
  <si>
    <t>CAJA SUCURSALES</t>
  </si>
  <si>
    <t>DERECHOS SUSCRIPCION FIP</t>
  </si>
  <si>
    <t>TERRENOS BRUSA DOS</t>
  </si>
  <si>
    <t>CONTROL LINEA DE CREDITOS</t>
  </si>
  <si>
    <t>GASTO COMUN POR PAGAR</t>
  </si>
  <si>
    <t>CUENTA CORRIENTE BRUSA DOS</t>
  </si>
  <si>
    <t>Res. Seg No Prev</t>
  </si>
  <si>
    <t>Impto Diferido Goodwild Tributario 
M$</t>
  </si>
  <si>
    <t>C.M.RESERVAS CUI</t>
  </si>
  <si>
    <t>C.M.RESERVAS APV</t>
  </si>
  <si>
    <t>Corrección Monetaria Activo Fijo</t>
  </si>
  <si>
    <t>Corrección Monetaria Otros Activos</t>
  </si>
  <si>
    <t>Corrección Monetaria Patrimonio</t>
  </si>
  <si>
    <t>Corrección Monetaria Reservas Técnicas</t>
  </si>
  <si>
    <t>Corrección Monetaria Otros Pasivos</t>
  </si>
  <si>
    <t>Corrección Monetaria Cuentas de Resultados</t>
  </si>
  <si>
    <t>Reserva Renta Vitalicia Vejez Anticipada Corto Plazo</t>
  </si>
  <si>
    <t>Reserva Renta Vitalicia Vejez Normal Corto Plazo</t>
  </si>
  <si>
    <t>Reserva Renta Vitalicia Sobrevivencia Corto Plazo</t>
  </si>
  <si>
    <t>Reserva Renta Vitalicia Invalidez Corto Plazo</t>
  </si>
  <si>
    <t>Reserva Renta Vitalicia Privada Corto Plazo</t>
  </si>
  <si>
    <t>Reserva Renta Vitalicia Vejez Anticipada Largo Plazo</t>
  </si>
  <si>
    <t>Reserva Renta Vitalicia Vejez Normal Largo Plazo</t>
  </si>
  <si>
    <t>ACREEDORES POR INVERSION</t>
  </si>
  <si>
    <t>CHEQUES CADUCADOS</t>
  </si>
  <si>
    <t>R.T.L/P INVALIDEZ Y SOBREVIVENCIA</t>
  </si>
  <si>
    <t>FLUCTUACION INVALIDEZ Y SOBREVIVENCIA</t>
  </si>
  <si>
    <t>RES. L/P MATEMATICA VIDA INDIVIDUAL</t>
  </si>
  <si>
    <t>Paúl Enrique Spiniak Vilensky</t>
  </si>
  <si>
    <t>Rodrigo Eugenio Álvarez Seguel</t>
  </si>
  <si>
    <t>96.844.470-0</t>
  </si>
  <si>
    <t>76.466.910-K</t>
  </si>
  <si>
    <t>76.836.800-7</t>
  </si>
  <si>
    <t>76.928.290-4</t>
  </si>
  <si>
    <t>Cuenta por Cobrar a Pensionados</t>
  </si>
  <si>
    <t>INTERES PERCIB. C.E.R.O.</t>
  </si>
  <si>
    <t>PERCIBIDO SWAP</t>
  </si>
  <si>
    <t>PERCIBIDO FORWARD</t>
  </si>
  <si>
    <t>DEVENGADO SWAP</t>
  </si>
  <si>
    <t>DEVENGADO FORWARD</t>
  </si>
  <si>
    <t>CTA CTE NOVATERRA 2 S.A.</t>
  </si>
  <si>
    <t>CTA CTE PARQUE LOS NOGALES S.A</t>
  </si>
  <si>
    <t>CTA CTE AGUAS NOVA S.A.</t>
  </si>
  <si>
    <t>x</t>
  </si>
  <si>
    <t>Créditos de Consumo</t>
  </si>
  <si>
    <t>Deudores por Inversión</t>
  </si>
  <si>
    <t>Instrumentos Financieros Bonos Empresa emitidos en el Extranjero</t>
  </si>
  <si>
    <t>Sobreprecio en Venta de Acciones Propias N° 2</t>
  </si>
  <si>
    <t>Inversiones a TIR de Compra N° 1</t>
  </si>
  <si>
    <t>Inversiones a TIR de Compra N° 2</t>
  </si>
  <si>
    <t>Reserva para Descalce N° 1</t>
  </si>
  <si>
    <t>Reserva para Descalce N° 2</t>
  </si>
  <si>
    <t>RESERVA PARA DESCALCE APV</t>
  </si>
  <si>
    <t>REASEGUROS POR PAGAR (POR REASEGURO) RTA NACIONAL</t>
  </si>
  <si>
    <t>Cuotas de Fondos</t>
  </si>
  <si>
    <t>Cuotas de Fondos de Inversión</t>
  </si>
  <si>
    <t>Cuotas de Fondos Mutuos</t>
  </si>
  <si>
    <t>Inversiones en el extranjero</t>
  </si>
  <si>
    <t>Cuotas de Fondos Constituidos Fuera del País</t>
  </si>
  <si>
    <t>Reserva para Descalce N° 5</t>
  </si>
  <si>
    <t>CUADRO DE APERTURA 
DE RESERVAS DE PRIMAS</t>
  </si>
  <si>
    <t>PRIMA RETENIDA NETA</t>
  </si>
  <si>
    <t>Pérdidas Acumuladas</t>
  </si>
  <si>
    <t>Dividendos Provisorios</t>
  </si>
  <si>
    <t>Otras Utilidades (Pérdidas)</t>
  </si>
  <si>
    <t>Otras Primas por Pagar</t>
  </si>
  <si>
    <t>OBLIGACIONES CON INST. DEL SISTEMA FINANCIERO</t>
  </si>
  <si>
    <t>Corto Plazo</t>
  </si>
  <si>
    <t>CUENTAS POR PAGAR BRU</t>
  </si>
  <si>
    <t>CTA CTE DEUDORES GASTOS OPERACIONALES</t>
  </si>
  <si>
    <t>Otros Seguros de Vida con Cuenta Única de Inversión (CUI)</t>
  </si>
  <si>
    <t>Liquidados y No Pagados</t>
  </si>
  <si>
    <t>RESERVAS ADICIONALES</t>
  </si>
  <si>
    <t>Desviación de Siniestralidad</t>
  </si>
  <si>
    <t>Eventos Catastróficos</t>
  </si>
  <si>
    <t>CTA CTE NOVATERRA S.A.</t>
  </si>
  <si>
    <t>RES.RIESGO CURSO DOTAL INDIVIDUAL</t>
  </si>
  <si>
    <t>Títulos emit.o garant. por Estados Ext. y Bcos Cent. Ext.</t>
  </si>
  <si>
    <t>COMISIONES APV</t>
  </si>
  <si>
    <t>P.R.C. APV</t>
  </si>
  <si>
    <t>B.C.U. APV</t>
  </si>
  <si>
    <t>BONOS RECONOCIMIENTO APV</t>
  </si>
  <si>
    <t>DEUDORES LEASING APV</t>
  </si>
  <si>
    <t>INTERESES POR PAGO FUERA DE PLAZO</t>
  </si>
  <si>
    <t>Seguro de Vida Ahorro Previsional Voluntario (APV)</t>
  </si>
  <si>
    <t>FLUCT. INV. INMOBILIARIA DESARR. Y CONSTR. ST. TOMAS S.A.</t>
  </si>
  <si>
    <t>FLUCTUACION SOCIEDAD BCC S.A.</t>
  </si>
  <si>
    <t>FLUCTUACION INMOBILIARIA APOQUINDO 2002 S.A.</t>
  </si>
  <si>
    <t>CTA. CTE. EL COIGUE DOS S.A. PROYECTO DON TOMAS</t>
  </si>
  <si>
    <t>SOC. INMOB. PARQUE LOS NOGALES S.A.</t>
  </si>
  <si>
    <t>RESERVAS SINIESTROS</t>
  </si>
  <si>
    <t>PENSIONES PAGADAS</t>
  </si>
  <si>
    <t>LIBERACIONES</t>
  </si>
  <si>
    <t>COMISIONES REASEGUROS</t>
  </si>
  <si>
    <t>RESCATES</t>
  </si>
  <si>
    <t>DEF CLIENTES</t>
  </si>
  <si>
    <t>GASTOS COMUNES</t>
  </si>
  <si>
    <t>ASESORIA COBRANZA</t>
  </si>
  <si>
    <t>BONOS EJECUTIVOS</t>
  </si>
  <si>
    <t>COMISIONES POR VENTA CREDITOS DE CONSUMO</t>
  </si>
  <si>
    <t>MANTENCION DE HARDWARE</t>
  </si>
  <si>
    <t>MANTENCION LOCALES</t>
  </si>
  <si>
    <t>RESEARCH</t>
  </si>
  <si>
    <t>VENTA DE ARTICULOS</t>
  </si>
  <si>
    <t>VARIACION COSTO PROMEDIO TIENDA</t>
  </si>
  <si>
    <t>Cuenta corriente mercantil</t>
  </si>
  <si>
    <t xml:space="preserve">      Total Exchange Traded Funds</t>
  </si>
  <si>
    <t>INSTRUMENTOS US TREASURY CUI</t>
  </si>
  <si>
    <t>BONOS VIVIENDA LEASING CUI</t>
  </si>
  <si>
    <t>PAGARE EMPRESAS CUI</t>
  </si>
  <si>
    <t>AMORTIZACION LICENCIAS</t>
  </si>
  <si>
    <t>Reservas Riesgo en Curso Desgravamen Individual Corto Plazo</t>
  </si>
  <si>
    <t>Reservas Riesgo en Curso Vida Colectivos Corto Plazo</t>
  </si>
  <si>
    <t>Reservas Riesgo en Curso Vida Individual Corto Plazo</t>
  </si>
  <si>
    <t>Otras Inversiones Financieras</t>
  </si>
  <si>
    <t>INMOBILIARIAS Y SIMILARES</t>
  </si>
  <si>
    <t>Bienes Raíces</t>
  </si>
  <si>
    <t>Bienes Raíces Urbanos</t>
  </si>
  <si>
    <t>Bienes Raíces NO Urbanos</t>
  </si>
  <si>
    <t>Bienes Raíces en el Extranjero</t>
  </si>
  <si>
    <t>Bienes Raíces en Leasing</t>
  </si>
  <si>
    <t>RTF 85</t>
  </si>
  <si>
    <t>RTFs 85</t>
  </si>
  <si>
    <t>RTF 04</t>
  </si>
  <si>
    <t>RTF 04 - RTFs 85
= Diferencia por Reconocer</t>
  </si>
  <si>
    <t>AFP</t>
  </si>
  <si>
    <t>Habitat S.A.</t>
  </si>
  <si>
    <t>Prima Directa
Seguro AFP</t>
  </si>
  <si>
    <t>Pensiones y Aportes adicionales
Pagados</t>
  </si>
  <si>
    <t>Primas por Cobrar seguros de AFP</t>
  </si>
  <si>
    <t>Reserva Renta Vitalicia Invalidez Largo Plazo</t>
  </si>
  <si>
    <t>IMPUESTO DIFERIDO POR COBRAR C/P</t>
  </si>
  <si>
    <t>BONOS RECONOCIMIENTO POR COBRAR</t>
  </si>
  <si>
    <t>RTF 85-85-85</t>
  </si>
  <si>
    <t>RTF 2004-85-85</t>
  </si>
  <si>
    <t>RTFs 2004-85-85</t>
  </si>
  <si>
    <t>RTF 2004-2006-2006</t>
  </si>
  <si>
    <t>RTFs 2004-2006-2006</t>
  </si>
  <si>
    <t>PROVISIONES LEASING INCOBRABLES</t>
  </si>
  <si>
    <t>DEVOLUCIONES DE PRIMAS</t>
  </si>
  <si>
    <t>PRIMERAS PRIMAS INDIVIDUALES</t>
  </si>
  <si>
    <t>DEF ACCIDENTES PERSONALES COLECTIVO</t>
  </si>
  <si>
    <t>Otros - Instrumentos en Pacto</t>
  </si>
  <si>
    <t>RES.MATEMATICA C/P CURSO APV INDIVIDUAL</t>
  </si>
  <si>
    <t>RES.MATEMATICA C/P DOTAL PURO COLECTIVOS</t>
  </si>
  <si>
    <t>FORWARD DE TASA POR COBRAR</t>
  </si>
  <si>
    <t>CREDIVIDA POR DISTRIBUIR</t>
  </si>
  <si>
    <t>ASESORIA BANCO BICE</t>
  </si>
  <si>
    <t>Reservas Riesgo en Curso Desgravamen Colectivos Corto Plazo</t>
  </si>
  <si>
    <t>Reservas Matemáticas Salud Colectivo</t>
  </si>
  <si>
    <t>IVA DEBITO FISCAL BOLETAS</t>
  </si>
  <si>
    <t>FONDO DE GESTION</t>
  </si>
  <si>
    <t>ARRIENDOS POR COBRAR</t>
  </si>
  <si>
    <t>DIVIDENDOS POR COBRAR LEASING</t>
  </si>
  <si>
    <t>DEUDORES POR INVERSION</t>
  </si>
  <si>
    <t>CUENTA CORRIENTE POR COB INSCRIPCION</t>
  </si>
  <si>
    <t>CUENTA CORRIENTE POR COBRAR</t>
  </si>
  <si>
    <t>FONDOS INSCRIPCION DE MUTUOS</t>
  </si>
  <si>
    <t>TRASPASO DE SALDOS</t>
  </si>
  <si>
    <t>Arriendos Bienes Raices</t>
  </si>
  <si>
    <t>ANTICIPO COMISIONES AGENTES VIDA INDIVID</t>
  </si>
  <si>
    <t>TRASPASO APERTURA 2005</t>
  </si>
  <si>
    <t>CAPACITACION DEL PERSONAL SENCE</t>
  </si>
  <si>
    <t>INFORME DE TITULOS</t>
  </si>
  <si>
    <t>Otras deudas del Fisco</t>
  </si>
  <si>
    <t>Derechos</t>
  </si>
  <si>
    <t>Deudores Varios</t>
  </si>
  <si>
    <t>Deudas de Intermediarios</t>
  </si>
  <si>
    <t>Deudores Relacionados</t>
  </si>
  <si>
    <t>C.M. OTROS ACTIVOS</t>
  </si>
  <si>
    <t>C.M. GARANTIAS</t>
  </si>
  <si>
    <t>C.M. LETRAS HIPOTECARIAS U.F.</t>
  </si>
  <si>
    <t>C.M. DEPOSITOS A PLAZO</t>
  </si>
  <si>
    <t>C.M. BONOS EMPRESA</t>
  </si>
  <si>
    <t>C.M. BONOS LEASING</t>
  </si>
  <si>
    <t>C.M. BONOS BANCARIOS</t>
  </si>
  <si>
    <t>SEGUROS CESANTIA POR COBRAR</t>
  </si>
  <si>
    <t>GARANTIA ESTATAL POR COBRAR TESORERIA</t>
  </si>
  <si>
    <t>CUENTA CORRIENTE PERSONAL</t>
  </si>
  <si>
    <t>PRESTAMOS PERSONAL</t>
  </si>
  <si>
    <t>ENDOSOS A COBRAR</t>
  </si>
  <si>
    <t>Siniestros Maphfre</t>
  </si>
  <si>
    <t>Siniestros Transamerica</t>
  </si>
  <si>
    <t>Reasegurador Renta Maphfre</t>
  </si>
  <si>
    <t>Reasegurador Transamerica</t>
  </si>
  <si>
    <t>Siniestros cedidos</t>
  </si>
  <si>
    <t>En Proceso de Liquidación</t>
  </si>
  <si>
    <t>Ocurridos y No Reportados</t>
  </si>
  <si>
    <t>Beneficiarios de Asegurados no Fallecidos</t>
  </si>
  <si>
    <t>VALIJAS</t>
  </si>
  <si>
    <t>ABARROTES Y ARTICULOS DE ASEO</t>
  </si>
  <si>
    <t>GASTOS GENERALES Y OTROS</t>
  </si>
  <si>
    <t>Liquidados</t>
  </si>
  <si>
    <t>MS</t>
  </si>
  <si>
    <t>REVISAR NUEVAMENTE LOS EXCESOS</t>
  </si>
  <si>
    <t>Ajuste Inversiones CUI</t>
  </si>
  <si>
    <t>Activos Fijos</t>
  </si>
  <si>
    <t>Resultado Periodo S/ Detalle</t>
  </si>
  <si>
    <t>Valor de Cuadratura Bal/Eerr</t>
  </si>
  <si>
    <t>NOTAS DE COBRANZA COLECTIVOS</t>
  </si>
  <si>
    <t>NOTAS DE COBRANZA INDIVIDUALES</t>
  </si>
  <si>
    <t>COTIZACION SALUD ISAPRE EE</t>
  </si>
  <si>
    <t>CAJA DE COMPENSACION</t>
  </si>
  <si>
    <t>ASOCIACION CHILENA DE SEGURIDAD</t>
  </si>
  <si>
    <t>CCAF LEASING HABITACIONAL</t>
  </si>
  <si>
    <t>CCAF FULL AHORRO</t>
  </si>
  <si>
    <t>RETENCION JUDICIAL EMPLEADOS</t>
  </si>
  <si>
    <t>RETENCION JUDICIAL PENSIONADOS</t>
  </si>
  <si>
    <t>ASIGNACION FAMILIAR EEPP</t>
  </si>
  <si>
    <t>OTROS DESCUENTOS PENSIONADOS</t>
  </si>
  <si>
    <t xml:space="preserve">Número de Personas Aseguradas </t>
  </si>
  <si>
    <t>Siniestros Allianz</t>
  </si>
  <si>
    <t>Siniestros Munchener</t>
  </si>
  <si>
    <t>Ajuste Reserva Matemática</t>
  </si>
  <si>
    <t>Ajuste Reserva SV CUI</t>
  </si>
  <si>
    <t>Ajuste Otras Reservas</t>
  </si>
  <si>
    <t>PROVISION MENOR VALOR LEASING</t>
  </si>
  <si>
    <t>OBL.CON INST FIN</t>
  </si>
  <si>
    <t>OTROS PASIVOS</t>
  </si>
  <si>
    <t>ELEVACION AGUA POTABLE Y ALCANTARILLADO</t>
  </si>
  <si>
    <t>CLIMATIZACION</t>
  </si>
  <si>
    <t>ASCENSORES</t>
  </si>
  <si>
    <t>U.P.S.</t>
  </si>
  <si>
    <t>35,00%</t>
  </si>
  <si>
    <t>Inmobiliaria Vicente Valdes S.A.</t>
  </si>
  <si>
    <t>76.965.850-5</t>
  </si>
  <si>
    <t>Largo Plazo</t>
  </si>
  <si>
    <t>Deudas con el Fisco</t>
  </si>
  <si>
    <t>IVA</t>
  </si>
  <si>
    <t>Impuesto a la renta</t>
  </si>
  <si>
    <t>Impuestos de Terceros</t>
  </si>
  <si>
    <t>Otros Impuestos</t>
  </si>
  <si>
    <t>Deudas Previsionales</t>
  </si>
  <si>
    <t>Deudas con el Personal</t>
  </si>
  <si>
    <t>Remuneraciones por pagar</t>
  </si>
  <si>
    <t>Indemnizaciones y Otras</t>
  </si>
  <si>
    <t>Otras Deudas con el Personal</t>
  </si>
  <si>
    <t>RESULTADO POR VTA. BIENES RAICES HABITACIONALES</t>
  </si>
  <si>
    <t>C.M. INTS. US TREASSURY</t>
  </si>
  <si>
    <t>ARRIENDO DE ESTACIONAMIENTOS</t>
  </si>
  <si>
    <t>COMUNICACIONES</t>
  </si>
  <si>
    <t>SERVICIOS DE IMPRESION</t>
  </si>
  <si>
    <t>SERVICIOS EXTERNOS</t>
  </si>
  <si>
    <t>C.M. INTERESES DIFERIDOS LEASING</t>
  </si>
  <si>
    <t>C.M. C.E.R.O.</t>
  </si>
  <si>
    <t>C.M. RESERVAS TECNICAS</t>
  </si>
  <si>
    <t>C.M. OTROS PASIVOS</t>
  </si>
  <si>
    <t>C.M. CAPITAL PROPIO</t>
  </si>
  <si>
    <t>Primas</t>
  </si>
  <si>
    <t>SERVICIOS TEMPORALES</t>
  </si>
  <si>
    <t>Disponible en Banco</t>
  </si>
  <si>
    <t>g)</t>
  </si>
  <si>
    <t>Inmobiliaria el Coihue Dos S.A.</t>
  </si>
  <si>
    <t>C.M. EXCHANGE TRADED FUNDS (ETF)</t>
  </si>
  <si>
    <t>RES.MATEMATICA C/PDESGRAVAMEN INDIVIDUAL</t>
  </si>
  <si>
    <t>REAJUSTES PAGADOS POR MUTUOS</t>
  </si>
  <si>
    <t>COMISION RECAUDACION</t>
  </si>
  <si>
    <t>PROTOCOLIZACION</t>
  </si>
  <si>
    <t>DEPOSITO A PLAZO FIJO (DPF)</t>
  </si>
  <si>
    <t>Anglo American Capital</t>
  </si>
  <si>
    <t>Grupo Televisa S.A.</t>
  </si>
  <si>
    <t>Lafarge S.A</t>
  </si>
  <si>
    <t>Desarrolladora Homex S.A</t>
  </si>
  <si>
    <t>Muebles para su propio uso.</t>
  </si>
  <si>
    <t>Instrumentos Financieros  Bonos</t>
  </si>
  <si>
    <t>MANTENCION SOFTWARE DE APLICACIONES</t>
  </si>
  <si>
    <t>DIGITALIZACION DE IMÁGENES</t>
  </si>
  <si>
    <t>MANTENCION RED IP</t>
  </si>
  <si>
    <t>ASESORIAS Y ESTUDIOS</t>
  </si>
  <si>
    <t>OTROS GREMIALES</t>
  </si>
  <si>
    <t>DIFERENCIA DE CAMBIO RENTA VARIABLE</t>
  </si>
  <si>
    <t>COMISIONES INTERMEDIARIOS</t>
  </si>
  <si>
    <t>GASTOS NOTARIALES Y JUDICIALES</t>
  </si>
  <si>
    <t>INFORMES DICOM</t>
  </si>
  <si>
    <t>BONOS EMPRESA CUI</t>
  </si>
  <si>
    <t>BONOS LEASING CUI</t>
  </si>
  <si>
    <t>MUTUOS HIPOTECARIOS CUI</t>
  </si>
  <si>
    <t>P.R.C. CUI</t>
  </si>
  <si>
    <t>B.C.U. CUI</t>
  </si>
  <si>
    <t>BONOS RECONOCIMIENTO CUI</t>
  </si>
  <si>
    <t>DEUDORES LEASING CUI</t>
  </si>
  <si>
    <t>TOTAL CONTRATO FORWARD</t>
  </si>
  <si>
    <t>PROV. MENOR VALOR LEASING CUI</t>
  </si>
  <si>
    <t>INVERSION FONDOS MUTUOS CUI</t>
  </si>
  <si>
    <t>FONDO MUTUOS POR COBRAR CUI</t>
  </si>
  <si>
    <t>LLAVE604</t>
  </si>
  <si>
    <t>LLAVE603</t>
  </si>
  <si>
    <t>LLAVE602</t>
  </si>
  <si>
    <t>PROVISION ARRIENDOS INCOBRABLES</t>
  </si>
  <si>
    <t>RESERVA DE COMPROMISO PRESUPUESTARIO</t>
  </si>
  <si>
    <t>RESCATES APV INDIVIDUAL</t>
  </si>
  <si>
    <t>BICE CTA 01-26970-5</t>
  </si>
  <si>
    <t>CHILE CTA 01-000-14346-05</t>
  </si>
  <si>
    <t>SANTANDER CTA 040010344581</t>
  </si>
  <si>
    <t>SECURITY L-0458678-91</t>
  </si>
  <si>
    <t>BANCO CHILE BRU</t>
  </si>
  <si>
    <t>BANCO BICE BRU</t>
  </si>
  <si>
    <t>DEUDORES ARRENDATARIOS</t>
  </si>
  <si>
    <t>NUEVAS FACTURAS POR COBRAR CORPORATIVOS</t>
  </si>
  <si>
    <t>NUEVAS NOTAS DE COBRANZA CORPORATIVOS</t>
  </si>
  <si>
    <t>RECIBOS NO APLICADOS</t>
  </si>
  <si>
    <t>RECIBOS NO IDENTIFICADOS</t>
  </si>
  <si>
    <t>CUOTAS PACTOS POR COBRAR INMOBILIARIOS</t>
  </si>
  <si>
    <t>ANTICIPOS INMOBILIARIAS</t>
  </si>
  <si>
    <t>Letras de crédito emitidas por Bancos e Instituciones Financieras</t>
  </si>
  <si>
    <t xml:space="preserve">d) </t>
  </si>
  <si>
    <t>Bonos, pagarés y debentures emitidos por empresas públicas o privadas</t>
  </si>
  <si>
    <t>dd)</t>
  </si>
  <si>
    <t>Cuotas de fondo de Inversiones</t>
  </si>
  <si>
    <t>dd.1</t>
  </si>
  <si>
    <t>Mobiliarias</t>
  </si>
  <si>
    <t>dd.2</t>
  </si>
  <si>
    <t>Inmobiliarias</t>
  </si>
  <si>
    <t>dd.3</t>
  </si>
  <si>
    <t>Capital de Riesgo</t>
  </si>
  <si>
    <t>e)</t>
  </si>
  <si>
    <t>Acciones de Sociedades anónimas abiertas admitidas.</t>
  </si>
  <si>
    <t>ee)</t>
  </si>
  <si>
    <t>Acciones de Sociedades anónimas Inmobiliarias</t>
  </si>
  <si>
    <t>f)</t>
  </si>
  <si>
    <t>Crédito a asegurados por prima no vencida y no devengada (sólo 1er grupo)</t>
  </si>
  <si>
    <t>HONORARIOS POR PAGAR INVERSIONES RENTA FIJA</t>
  </si>
  <si>
    <t>HONORARIOS POR PAGAR INVERSIONES RENTA VARIABLE</t>
  </si>
  <si>
    <t>SOC. INMOB. EL COIHUE DOS S.A.</t>
  </si>
  <si>
    <t>CHILE CTA. N 50017-08</t>
  </si>
  <si>
    <t>Pérdidas Tributarias</t>
  </si>
  <si>
    <t>Sub Totales</t>
  </si>
  <si>
    <t>Saldos Cuentas Complementarias</t>
  </si>
  <si>
    <t>INSTRUMENTOS US TREASSURY</t>
  </si>
  <si>
    <t>REMANENTE CREDITO FISCAL</t>
  </si>
  <si>
    <t>INVERSIONES INMOBILIARIAS EE.RR.</t>
  </si>
  <si>
    <t>INVERSIONES CIEDESS</t>
  </si>
  <si>
    <t>ESTADO CTA N° 293032</t>
  </si>
  <si>
    <t>FORWARD POR PAGAR</t>
  </si>
  <si>
    <t>PROVEEDORES COMISIONES RV Y COLECTIVOS</t>
  </si>
  <si>
    <t>Patricio Claro Grez</t>
  </si>
  <si>
    <t>Valores Expresados en  :</t>
  </si>
  <si>
    <t>Valores al</t>
  </si>
  <si>
    <t>|</t>
  </si>
  <si>
    <t>NOTAS</t>
  </si>
  <si>
    <t>Reclasi.</t>
  </si>
  <si>
    <t>Notas y Observaciones</t>
  </si>
  <si>
    <t>R</t>
  </si>
  <si>
    <t>G</t>
  </si>
  <si>
    <t>Cta</t>
  </si>
  <si>
    <t>CUOTAS CRED. CONSUMO POR COBRAR</t>
  </si>
  <si>
    <t>CTA CTE POR COBRAR R.V.</t>
  </si>
  <si>
    <t>CUENTA CORRIENTE ROL PRIVADO</t>
  </si>
  <si>
    <t>CUENTA CORRIENTE POR COBRAR DIRECTORES</t>
  </si>
  <si>
    <t>FONDO FIJO SUCURSALES</t>
  </si>
  <si>
    <t>INTERES PERCIB. BONOS EMPRESA</t>
  </si>
  <si>
    <t>INTERES PERCIB. BONOS LEASING</t>
  </si>
  <si>
    <t>INTERES PERCIB. MUTUOS HIPOTECARIOS</t>
  </si>
  <si>
    <t>INTERES PERCIB. BONO RECONOCIMIENTO</t>
  </si>
  <si>
    <t>PRESTAMOS POR COBRAR PENSIONADOS</t>
  </si>
  <si>
    <t>ANTICIPOS PENSIONADOS</t>
  </si>
  <si>
    <t>SOBREGIRO POR COBRAR REMUNERACIONES</t>
  </si>
  <si>
    <t>LEY 18566 2%</t>
  </si>
  <si>
    <t>FONDOS A RENDIR</t>
  </si>
  <si>
    <t>CTA</t>
  </si>
  <si>
    <t>RAMO</t>
  </si>
  <si>
    <t>LLAVE606</t>
  </si>
  <si>
    <t>LLAVE605</t>
  </si>
  <si>
    <t>RES.RIESGO CURSO APV INDIVIDUAL</t>
  </si>
  <si>
    <t>RES.RIESGO CURSO DOTAL PURO COLECTIVOS</t>
  </si>
  <si>
    <t>Bienes Raices en Leasing</t>
  </si>
  <si>
    <t>Según Anexo Adjunto</t>
  </si>
  <si>
    <t>OTRAS INSTITUCIONES NO PREVISIONALES</t>
  </si>
  <si>
    <t>HOME MEDICAL CLINIC</t>
  </si>
  <si>
    <t>CREDITOS SINDICADOS APV</t>
  </si>
  <si>
    <t>INSTRUMENTOS US TREASURY APV</t>
  </si>
  <si>
    <t>BONOS VIVIENDA LEASING APV</t>
  </si>
  <si>
    <t>ACCIONES EXTRANJERAS APV (ACE)</t>
  </si>
  <si>
    <t>INTERES DEV. L/H U.F.</t>
  </si>
  <si>
    <t>INTERES DEV. BONOS BANCARIOS</t>
  </si>
  <si>
    <t>INTERES DEV. BONOS SUBORDINADOS</t>
  </si>
  <si>
    <t>INTERES DEV. BONOS EMPRESA</t>
  </si>
  <si>
    <t>INTERES DEV. BONOS LEASING</t>
  </si>
  <si>
    <t>INTERES DEV. MUTUOS HIPOTECARIOS</t>
  </si>
  <si>
    <t>INTERES DEV. PRC</t>
  </si>
  <si>
    <t>INTERES DEV. BONO RECONOCIMIENTO</t>
  </si>
  <si>
    <t>(5.24.47.00.00)</t>
  </si>
  <si>
    <t>Cuentas Por Pagar</t>
  </si>
  <si>
    <t>Honorarios por Pagar</t>
  </si>
  <si>
    <t>Valor Actualizado</t>
  </si>
  <si>
    <t>Comercial Mexicana</t>
  </si>
  <si>
    <t>ADRS</t>
  </si>
  <si>
    <t>PROVISION FLUCTUACION ADRS</t>
  </si>
  <si>
    <t>INTERESES DEV. OTROS INSTRUMENTOS</t>
  </si>
  <si>
    <t>EQUIPO LIMPIAFACHADA</t>
  </si>
  <si>
    <t>SUBESTACION ELECTRICA</t>
  </si>
  <si>
    <t>CONTROL AUTOMATICO PLC CORRECTIVA</t>
  </si>
  <si>
    <t>GRUPOS ELECTROGENOS CORRECTIVA</t>
  </si>
  <si>
    <t>DETECCION DE INCENDIO CORRECTIVA</t>
  </si>
  <si>
    <t>EXTINCION DE INCENDIO CORRECTIVA</t>
  </si>
  <si>
    <t>CONTROL DE ACCESO CORRECTIVA</t>
  </si>
  <si>
    <t>Otras Inversiones en el extranjero</t>
  </si>
  <si>
    <t>DEUDORES LEASING</t>
  </si>
  <si>
    <t>DIVIDENDOS BICE MUTUOS</t>
  </si>
  <si>
    <t>DIVIDENDOS PRINCIPAL</t>
  </si>
  <si>
    <t>FONDO FIJO</t>
  </si>
  <si>
    <t>CAPACITACION DEL PERSONAL</t>
  </si>
  <si>
    <t>DONACIONES</t>
  </si>
  <si>
    <t>ARRIENDOS PERCIBIDOS</t>
  </si>
  <si>
    <t>Ajuste Reserva Siniestros</t>
  </si>
  <si>
    <t>co mo</t>
  </si>
  <si>
    <t>Ajuste neto</t>
  </si>
  <si>
    <t>REASEGUROS POR COBRAR</t>
  </si>
  <si>
    <t>Reserva Valor del Fondo Seguros de Vida APV</t>
  </si>
  <si>
    <t>PROVEEDORES</t>
  </si>
  <si>
    <t>Inversiones No Representativas de Res. Técnicas y Patri. De Riesgo</t>
  </si>
  <si>
    <t>01-26123-1</t>
  </si>
  <si>
    <t>01-26332-3</t>
  </si>
  <si>
    <t>96.777.060-4</t>
  </si>
  <si>
    <t>Cartera Mutuos
Hipotecarios</t>
  </si>
  <si>
    <t>Administración de 
Mutuos Hipotecarios</t>
  </si>
  <si>
    <t>Cuentas por
Cobrar</t>
  </si>
  <si>
    <t>Saldo Cuenta</t>
  </si>
  <si>
    <t>Préstamos Cta. Cte.</t>
  </si>
  <si>
    <t>(5.24.42.00.00)</t>
  </si>
  <si>
    <t>C.M. PARTICIPACION CLIENTES</t>
  </si>
  <si>
    <t>C.M. CUENTAS DE RESULTADO</t>
  </si>
  <si>
    <t>CUADRO DE 
MARGEN DE CONTRIBUCION</t>
  </si>
  <si>
    <t>Prima de Primer año DIRECTA</t>
  </si>
  <si>
    <t>Prima de Primer año ACEPTADA</t>
  </si>
  <si>
    <t>Prima de Primer año CEDIDA</t>
  </si>
  <si>
    <t>Prima de Primer año NETA</t>
  </si>
  <si>
    <t>hannover</t>
  </si>
  <si>
    <t>Fecha de Contrato</t>
  </si>
  <si>
    <t>Valor Nominal</t>
  </si>
  <si>
    <t xml:space="preserve">Valor Cuota </t>
  </si>
  <si>
    <t>(U.F.)</t>
  </si>
  <si>
    <t>Valor Opción</t>
  </si>
  <si>
    <t xml:space="preserve">Tasa Interés </t>
  </si>
  <si>
    <t xml:space="preserve">   (%)</t>
  </si>
  <si>
    <t xml:space="preserve">Duración Contrato </t>
  </si>
  <si>
    <t>BIENES RAICES ADJUDICADOS POR TERCEROS</t>
  </si>
  <si>
    <t>FORMULARIOS</t>
  </si>
  <si>
    <t>Deudas del Personal</t>
  </si>
  <si>
    <t>Gastos Anticipados</t>
  </si>
  <si>
    <t>Intangibles</t>
  </si>
  <si>
    <t>Impuestos Diferidos</t>
  </si>
  <si>
    <t>DEF REASEGURO FLEXIBLE INDIVIDUAL</t>
  </si>
  <si>
    <t>DEF REASEGURO MIXTO O DOTAL INDIVIDUAL</t>
  </si>
  <si>
    <t>DEF REASEGURO APV INDIVIDUAL</t>
  </si>
  <si>
    <t>DEF ACCIDENTES PERSONALES INDIVIDUAL</t>
  </si>
  <si>
    <t>Bonos de Reconocimiento Vencidos</t>
  </si>
  <si>
    <t>(Pérdida) 
Ejercicio 
Anterior
M$</t>
  </si>
  <si>
    <t>DOCUMENTOS INCOBRABLES</t>
  </si>
  <si>
    <t>ASIGNACION FAMILIAR</t>
  </si>
  <si>
    <t>BANCO SECURITY E-0458678-01</t>
  </si>
  <si>
    <t>MUTUOS HIPOTECARIOS CARTERA PROPIA</t>
  </si>
  <si>
    <t>MUTUOS HIPOTECARIOS EN TRANSITO</t>
  </si>
  <si>
    <t>PROVISION DEUDORES INCOBRABLES</t>
  </si>
  <si>
    <t>CAMPAÑAS Y ACCIONES WEB</t>
  </si>
  <si>
    <t>RES.MATEMATICA L/P CURSO APV INDIVIDUAL</t>
  </si>
  <si>
    <t>RES.MATEMATICA L/P DOTAL PURO COLECTIVOS</t>
  </si>
  <si>
    <t>Desarrollo Inmobiliario Constructora Valle Grande S.A.</t>
  </si>
  <si>
    <t>Inmobiliaria BBI S.A.</t>
  </si>
  <si>
    <t>43,39%</t>
  </si>
  <si>
    <t>76.806.620-5</t>
  </si>
  <si>
    <t>Renta Vitalicia Vejez</t>
  </si>
  <si>
    <t>Renta Vitalicia Invalidez</t>
  </si>
  <si>
    <t>Renta Vitalicia Sobrevivencia</t>
  </si>
  <si>
    <t>Otros   (5.14.45.00.00)</t>
  </si>
  <si>
    <t>Garantías</t>
  </si>
  <si>
    <t>Opción de Compra Adelantada</t>
  </si>
  <si>
    <t>(SI/NO)</t>
  </si>
  <si>
    <t>NO</t>
  </si>
  <si>
    <t>Emisor</t>
  </si>
  <si>
    <t>Moneda</t>
  </si>
  <si>
    <t>Valor Presente</t>
  </si>
  <si>
    <t>US$</t>
  </si>
  <si>
    <t>M $</t>
  </si>
  <si>
    <t>Reserva de Riesgo en Curso</t>
  </si>
  <si>
    <t>Reserva Matemática</t>
  </si>
  <si>
    <t>Reserva Valor del Fondo</t>
  </si>
  <si>
    <t>SANTANDER BIENESTAR 2582811-9</t>
  </si>
  <si>
    <t>LETRAS HIPOTECARIAS U.F.</t>
  </si>
  <si>
    <t>NOTAS ESTRUCTURADAS APV</t>
  </si>
  <si>
    <t>NOTAS ESTRUCTURADAS CUI</t>
  </si>
  <si>
    <t>INTERESES DEVENGADOS NOTAS ESTRUCTURADAS</t>
  </si>
  <si>
    <t>INTERESES PERCIBIDOS NOTAS ESTRUCTURADAS</t>
  </si>
  <si>
    <t>REAJUSTES NOTAS ESTRUCTURADAS</t>
  </si>
  <si>
    <t>C.M. NOTAS ESTRUCTURADAS</t>
  </si>
  <si>
    <t>PUBLIGUIAS</t>
  </si>
  <si>
    <t>OTRAS PUBLICACIONES</t>
  </si>
  <si>
    <t>AUDITORIAS EXTERNAS</t>
  </si>
  <si>
    <t>GASTOS LEGALES</t>
  </si>
  <si>
    <t>GASTOS TASACIONES</t>
  </si>
  <si>
    <t>ASOC. ASEGURADORES DE CHILE</t>
  </si>
  <si>
    <t>ESTADIAS</t>
  </si>
  <si>
    <t>GASTOS DE REPRESENTACION</t>
  </si>
  <si>
    <t>PAGOS PENSIONES</t>
  </si>
  <si>
    <t>PAGOS SEGUROS INDIVIDUALES</t>
  </si>
  <si>
    <t>PAGOS CREDITOS</t>
  </si>
  <si>
    <t>PAGOS REMUNERACIONES</t>
  </si>
  <si>
    <t>INTERESES ACTIVOS EN LEASING</t>
  </si>
  <si>
    <t>INTERESES PERCIBIDOS BONOS EMPRESAS TASA FLOTANTE</t>
  </si>
  <si>
    <t>MUTUOS HIPOTECARIOS CARTERA PROPIA APV</t>
  </si>
  <si>
    <t>MUTUOS HIPOTECARIOS EN TRANSITO APV</t>
  </si>
  <si>
    <t>Desarrollo Inmobiliario Constructora Santo Tomás.</t>
  </si>
  <si>
    <t>76.928.330-7</t>
  </si>
  <si>
    <t>13,66%</t>
  </si>
  <si>
    <t>Fip Badajoz</t>
  </si>
  <si>
    <t>Fip Viña del mar</t>
  </si>
  <si>
    <t>20,67%</t>
  </si>
  <si>
    <t>Fip San Francisco</t>
  </si>
  <si>
    <t>Participación Clientes</t>
  </si>
  <si>
    <t>(5.22.20.00.00)</t>
  </si>
  <si>
    <t>Participación por Experiencia Favorable Clientes Vida</t>
  </si>
  <si>
    <t>Tipos de Instrumentos</t>
  </si>
  <si>
    <t>Código Instrumento</t>
  </si>
  <si>
    <t>Fecha de Suscripción</t>
  </si>
  <si>
    <t>Fecha Liquidación</t>
  </si>
  <si>
    <t>Valor de Operación M$</t>
  </si>
  <si>
    <t>Valor de Mercado M$</t>
  </si>
  <si>
    <t>Ventas con Compromiso de Compra</t>
  </si>
  <si>
    <t>SUB TOTAL</t>
  </si>
  <si>
    <t>Certificados Depósitos de Valores (CDV)</t>
  </si>
  <si>
    <t>Bienes Raíces Urbanos no Habitacionales</t>
  </si>
  <si>
    <t>Bienes Raíces Urbanos Habitacionales</t>
  </si>
  <si>
    <t>Arrendatario</t>
  </si>
  <si>
    <t xml:space="preserve">Entel </t>
  </si>
  <si>
    <t>Satel</t>
  </si>
  <si>
    <t>(Urbanos)</t>
  </si>
  <si>
    <t>BONOS LEASING APV</t>
  </si>
  <si>
    <t>MUTUOS HIPOTECARIOS APV</t>
  </si>
  <si>
    <t>Reservas Riesgo en Curso Dotal Puro Colectivos Corto Plazo</t>
  </si>
  <si>
    <t>Reservas Riesgo en Curso Protección Familiar Colectivos Corto Plazo</t>
  </si>
  <si>
    <t>Aplicación de las tablas  RV-2004, MI-2006 y 
B-2006</t>
  </si>
  <si>
    <t>Activo Fijo - Depreciación Acumuladas - Sub Total Bienes Raíces de Inversión</t>
  </si>
  <si>
    <t>Ramos Fecu</t>
  </si>
  <si>
    <t>Ramo</t>
  </si>
  <si>
    <t>Nombre Ramo</t>
  </si>
  <si>
    <t>Vida Entera</t>
  </si>
  <si>
    <t>Temporal de Vida</t>
  </si>
  <si>
    <t>Otros Seguros con Cuenta Unica de Inversión (CUI)</t>
  </si>
  <si>
    <t>Mixto o Dotal</t>
  </si>
  <si>
    <t>Depreciación Acumulada</t>
  </si>
  <si>
    <t>Valor Neto</t>
  </si>
  <si>
    <t>RES.MATEM.C/P DESGRAVAMEN COLECTIVO</t>
  </si>
  <si>
    <t>Privada</t>
  </si>
  <si>
    <t>Reservas Riesgo en Curso</t>
  </si>
  <si>
    <t>ANTICIPOS SVI</t>
  </si>
  <si>
    <t>Votorantim</t>
  </si>
  <si>
    <t>REAJUSTES C.E.R.O.</t>
  </si>
  <si>
    <t>Gasto Tributario Corriente</t>
  </si>
  <si>
    <t>Efecto por activos o pasivos por impuesto diferido del Ejercicio</t>
  </si>
  <si>
    <t>Efecto por Amortización de cuentas complementarias de activo y pasivo por impuesto diferido</t>
  </si>
  <si>
    <t>CAJA MONEDA EXTRANJERA</t>
  </si>
  <si>
    <t>Avance a tenedores de pólizas</t>
  </si>
  <si>
    <t>Bice Hipotecaria S.A.</t>
  </si>
  <si>
    <t>INTERESES DIFERIDOS POR LEASING APV</t>
  </si>
  <si>
    <t>PROV. MENOR VALOR LEASING APV</t>
  </si>
  <si>
    <t>Otras Reservas (Voluntarias)</t>
  </si>
  <si>
    <t>NOTAS ESTRUCTURADAS SERIE B</t>
  </si>
  <si>
    <t>REAJUSTES NOTAS ESTRUCTURADAS SERIE B</t>
  </si>
  <si>
    <t>C.M. NOTAS ESTRUCTURADAS SERIE B</t>
  </si>
  <si>
    <t>Reserva Valor del Fondo Ejercicio Anterior</t>
  </si>
  <si>
    <t>Reserva Valor del Fondo del Ejercicio</t>
  </si>
  <si>
    <t>PROV. FLUCT. ACCIONES EXTRANJERAS APV (ACE)</t>
  </si>
  <si>
    <t>PAGARE EMPRESAS APV</t>
  </si>
  <si>
    <t>BONOS GARANTIZADOS APV</t>
  </si>
  <si>
    <t>BTU TESORERIA GRAL DE LA REPUBLICA APV</t>
  </si>
  <si>
    <t>CREDITOS SINDICADOS CUI</t>
  </si>
  <si>
    <t>Siniestros</t>
  </si>
  <si>
    <t>Otros</t>
  </si>
  <si>
    <t>Prima Directa</t>
  </si>
  <si>
    <t>Prima Aceptada</t>
  </si>
  <si>
    <t>Corrección Monetaria</t>
  </si>
  <si>
    <t>NOMBRE Y GIRO</t>
  </si>
  <si>
    <t>VENTAS</t>
  </si>
  <si>
    <t>TOTAL VENTAS</t>
  </si>
  <si>
    <t>SERVICIO MEDICO</t>
  </si>
  <si>
    <t>ARRIENDO DE IMPRESORAS</t>
  </si>
  <si>
    <t>PROMOCIONES COMERCIALES</t>
  </si>
  <si>
    <t>EVENTOS</t>
  </si>
  <si>
    <t>MULTAS S.I.I.</t>
  </si>
  <si>
    <t>DEPRECIACION EDIFICIO</t>
  </si>
  <si>
    <t>DEPRECIACION MUEBLES Y UTILES</t>
  </si>
  <si>
    <t>DEPRECIACION VEHICULOS</t>
  </si>
  <si>
    <t>AMORTIZACION SOFTWARE</t>
  </si>
  <si>
    <t>ARRIENDO</t>
  </si>
  <si>
    <t>Directa</t>
  </si>
  <si>
    <t>Total Capitales Asegurados MM$</t>
  </si>
  <si>
    <t>Número de Fallecidos Esperados</t>
  </si>
  <si>
    <t>Número de Fallecidos Ocurridos</t>
  </si>
  <si>
    <t>Detalle</t>
  </si>
  <si>
    <t>Inversiones Financieras</t>
  </si>
  <si>
    <t>Activo Fijo</t>
  </si>
  <si>
    <t>Patrimonio</t>
  </si>
  <si>
    <t>PAGOS PROVISIONALES MENSUALES</t>
  </si>
  <si>
    <t>COSTO BIENES RAICES HABITACIONALES</t>
  </si>
  <si>
    <t>ESTADIAS COMERCIAL</t>
  </si>
  <si>
    <t>Forward por Cobrar</t>
  </si>
  <si>
    <t>Acciones de Sociedades Anónimas Abiertas</t>
  </si>
  <si>
    <t>Acciones de Sociedades Anónimas Cerradas</t>
  </si>
  <si>
    <t>RES. MATEMATICA DESGRAVAMEN COL</t>
  </si>
  <si>
    <t>RES.MATEMATICA C/P SALUD COLECTIVOS</t>
  </si>
  <si>
    <t>RES.MATEMATICA C/PSALUD INDIVIDUAL</t>
  </si>
  <si>
    <t>RES.MATEMATICA C/P FLEXIBLE INDIVIDUAL</t>
  </si>
  <si>
    <t>RES.MATEMATICA C/P DOTAL INDIVIDUAL</t>
  </si>
  <si>
    <t xml:space="preserve">Otros Deudores por Reaseguros - Deudores Reaseguros Colectivos Vida </t>
  </si>
  <si>
    <t>FIBRIA OVER</t>
  </si>
  <si>
    <t>GERDAU</t>
  </si>
  <si>
    <t xml:space="preserve">GERDAU VG </t>
  </si>
  <si>
    <t>URBIDESUR</t>
  </si>
  <si>
    <t>Fibria Over</t>
  </si>
  <si>
    <t>Gerdau</t>
  </si>
  <si>
    <t>Gerdau VG</t>
  </si>
  <si>
    <t>Urbidesur</t>
  </si>
  <si>
    <t>EWW US</t>
  </si>
  <si>
    <t>SPY</t>
  </si>
  <si>
    <t>Total otras inversiones en el extranjero</t>
  </si>
  <si>
    <t>BCP LATAM</t>
  </si>
  <si>
    <t>AMERICA MOVIL</t>
  </si>
  <si>
    <t>BBCPE-A</t>
  </si>
  <si>
    <t>BAMOV-D</t>
  </si>
  <si>
    <t>Reasegurador Suiza</t>
  </si>
  <si>
    <t>Seguros</t>
  </si>
  <si>
    <t>N°
Cuenta
Corriente</t>
  </si>
  <si>
    <t>Invalidez y Sobrevivencia (Circular 528)</t>
  </si>
  <si>
    <t>Reasegurador Renta Nacional</t>
  </si>
  <si>
    <t>Reservas Matemáticas Dotal Puro Colectivo Largo Plazo</t>
  </si>
  <si>
    <t>C.M. ACTIVO FIJO</t>
  </si>
  <si>
    <t>ECU</t>
  </si>
  <si>
    <t>IMPUESTO TERRITORIAL</t>
  </si>
  <si>
    <t>Reserva Renta Vitalicia Invalidez y Sobrevivencia Corto Plazo</t>
  </si>
  <si>
    <t>Reserva Renta Vitalicia Invalidez y Sobrevivencia Largo Plazo</t>
  </si>
  <si>
    <t>Seguros de Vida con APV</t>
  </si>
  <si>
    <t>PASIVO EXIGIBLE</t>
  </si>
  <si>
    <t>PATRIMONIO</t>
  </si>
  <si>
    <t>Valor de CUADRATURA DE BALANCE</t>
  </si>
  <si>
    <t>SUSCRIPCION DIARIOS Y REVISTAS</t>
  </si>
  <si>
    <t>SEGUROS ACTIVOS FIJOS</t>
  </si>
  <si>
    <t>MANTENCION DE OFICINAS</t>
  </si>
  <si>
    <t>FLETES Y MUDANZAS</t>
  </si>
  <si>
    <t>TELEFONIA Y COMUNICACIONES</t>
  </si>
  <si>
    <t>CONSUMO ELECTRICIDAD</t>
  </si>
  <si>
    <t>SEGUROS VEHICULOS</t>
  </si>
  <si>
    <t>PRIMAS CEDIDAS</t>
  </si>
  <si>
    <t>DEUDA BANCARIA BANCO</t>
  </si>
  <si>
    <t>COTIZACION PREVISIONAL AFP EE</t>
  </si>
  <si>
    <t>Primas por Pagar Reaseguradores -  Reasegurador Münchener</t>
  </si>
  <si>
    <t>Otros - Cuentas Por Pagar</t>
  </si>
  <si>
    <t>Reservas Riesgo en Curso Salud Colectivos Corto Plazo</t>
  </si>
  <si>
    <t>C.M. BONOS SUBORDINADOS</t>
  </si>
  <si>
    <t>C.M. MUTUOS HIPOTECARIOS</t>
  </si>
  <si>
    <t>C.M. CORA</t>
  </si>
  <si>
    <t>Total Fondos nacionales invertidos en el extranjero</t>
  </si>
  <si>
    <t>C.M. P.R.C.</t>
  </si>
  <si>
    <t>C.M. DEUDORES LEASING</t>
  </si>
  <si>
    <t>CALL CENTER</t>
  </si>
  <si>
    <t>BONOS HIJO NACIDO VIVO</t>
  </si>
  <si>
    <t>INTERESES PRESTAMOS COMPLEMENTARIOS</t>
  </si>
  <si>
    <t>Depreciación Vehículos</t>
  </si>
  <si>
    <t>CORREDORES DE INVERSIONES</t>
  </si>
  <si>
    <t>RES.MATEMATICA INDIVIDUALES</t>
  </si>
  <si>
    <t>RES.MATEMATICA COLECTIVOS</t>
  </si>
  <si>
    <t>RES.SINIESTROS DESGRAVAMEN COLECTIVO</t>
  </si>
  <si>
    <t>RES.SINIESTROS ACCID. PER. COLECTIVOS</t>
  </si>
  <si>
    <t>Inmobiliaria Parque Quinta Normal S.A.</t>
  </si>
  <si>
    <t>50,00%</t>
  </si>
  <si>
    <t>Acciones Sociedad Anonima Cerrada</t>
  </si>
  <si>
    <t>CLIENTES INDIRECTO APV</t>
  </si>
  <si>
    <t>ABONO ANTICIPOS MUTUOS POR PAGAR</t>
  </si>
  <si>
    <t>APV POR DISTRIBUIR</t>
  </si>
  <si>
    <t>PRIMA DIRECTA UNICA</t>
  </si>
  <si>
    <t>Reasegurador Hanover</t>
  </si>
  <si>
    <t>PRIMA CEDIDA UNICA</t>
  </si>
  <si>
    <t>AJUSTE OTRAS RESERVAS (VOLUNTARIAS)</t>
  </si>
  <si>
    <t>INMOBILIARIA VICENTE VALDES</t>
  </si>
  <si>
    <t>ACTIVOS EN LEASING</t>
  </si>
  <si>
    <t>OBLIGACIONES POR LEASING</t>
  </si>
  <si>
    <t>INTERESES PRESTAMOS PENSIONADOS</t>
  </si>
  <si>
    <t>Revalorización 
M$</t>
  </si>
  <si>
    <t>R - 187</t>
  </si>
  <si>
    <t>España</t>
  </si>
  <si>
    <t>R -  101</t>
  </si>
  <si>
    <t xml:space="preserve">     Mapfre Re</t>
  </si>
  <si>
    <t>Gastos Anticipados - Gastos Pagados por Anticipados</t>
  </si>
  <si>
    <t xml:space="preserve">      Total Bonos Financieros emitidos en el extranjero</t>
  </si>
  <si>
    <t>Reserva para Calce</t>
  </si>
  <si>
    <t>Reserva Descalce CUI</t>
  </si>
  <si>
    <t>Reserva Descalce APV</t>
  </si>
  <si>
    <t>Total Reserva para Calce</t>
  </si>
  <si>
    <t>COMISIONES GANADAS POR ADMINISTRACION MUTUOS</t>
  </si>
  <si>
    <t>INTERESES POR MORA</t>
  </si>
  <si>
    <t>INGRESOS DE COBRANZA</t>
  </si>
  <si>
    <t>SERVICIOS DE TASACION</t>
  </si>
  <si>
    <t>TOTAL PASIVO EXIGIBLE</t>
  </si>
  <si>
    <t>Capital Pagado</t>
  </si>
  <si>
    <t>Reservas Legales</t>
  </si>
  <si>
    <t>Reservas de Revalorización</t>
  </si>
  <si>
    <t>CHILE CTA. N 11639-04</t>
  </si>
  <si>
    <t>CHILE CTA. N 11743-09</t>
  </si>
  <si>
    <t>RES.MATEMATICA L/PSALUD INDIVIDUAL</t>
  </si>
  <si>
    <t>GTOS OPERACIONALES X PAGAR</t>
  </si>
  <si>
    <t>OTRAS CUENTAS POR PAGAR</t>
  </si>
  <si>
    <t>Magister S.A.</t>
  </si>
  <si>
    <t>VALOR PRESENTE CONTRATO SWAP A LA FECHA DE INFORMACION</t>
  </si>
  <si>
    <t>Número de Pólizas Contratadas en el periodo</t>
  </si>
  <si>
    <t>DOMINGUEZ Y ETCHEGARAY LTDA.</t>
  </si>
  <si>
    <t>L.C.C. CHILE</t>
  </si>
  <si>
    <t>J.D.A. CHILE</t>
  </si>
  <si>
    <t>FORECAST</t>
  </si>
  <si>
    <t>BICE HIPOTECARIA</t>
  </si>
  <si>
    <t>CIBERGROUP</t>
  </si>
  <si>
    <t>Siniestros por cobrar a reaseguradores (por siniestros pagados a asegurados) no vencido</t>
  </si>
  <si>
    <t>h)</t>
  </si>
  <si>
    <t>1</t>
  </si>
  <si>
    <t>Bienes raíces urbanos no habitacionales</t>
  </si>
  <si>
    <t>2</t>
  </si>
  <si>
    <t>Deudores por Leasing</t>
  </si>
  <si>
    <t>i)</t>
  </si>
  <si>
    <t>Crédito no vencido seguro de invalidez y sobrevivencia D.L. Nº 3500 y crédito por saldo cuenta individual (sólo 2do. grupo).</t>
  </si>
  <si>
    <t>ii)</t>
  </si>
  <si>
    <t>Avance a tenedores de pólizas de seguros de vida (sólo 2do. grupo).</t>
  </si>
  <si>
    <t>j)</t>
  </si>
  <si>
    <t>Activos internacionales.</t>
  </si>
  <si>
    <t>k)</t>
  </si>
  <si>
    <t>Crédito a cedentes por prima no vencida y no devengada (sólo 1er. grupo).</t>
  </si>
  <si>
    <t>l)</t>
  </si>
  <si>
    <t>Crédito a cedentes por prima no vencida devengada (sólo 1er. grupo).</t>
  </si>
  <si>
    <t>m)</t>
  </si>
  <si>
    <t>Descuento de aceptación no devengado.</t>
  </si>
  <si>
    <t>n)</t>
  </si>
  <si>
    <t>Mutuos hipotecarios endosables (sólo 2do. grupo).</t>
  </si>
  <si>
    <t>ñ)</t>
  </si>
  <si>
    <t>Cuotas de fondos mutuos.</t>
  </si>
  <si>
    <t>2.</t>
  </si>
  <si>
    <t>Activos No Representativos de Patrimonio Libre</t>
  </si>
  <si>
    <t>(5.11.17.00.00)</t>
  </si>
  <si>
    <t>Reservas Riesgo en Curso Vida Individual Largo Plazo</t>
  </si>
  <si>
    <t>Ajustes 
M$</t>
  </si>
  <si>
    <t>---</t>
  </si>
  <si>
    <t>Reserva de Fluctuación</t>
  </si>
  <si>
    <t>SINIESTROS POR COBRAR</t>
  </si>
  <si>
    <t>CONTRATOS SWAP VIGENTES</t>
  </si>
  <si>
    <t>CARACTERÍSTICAS DE LA OPERACIÓN</t>
  </si>
  <si>
    <t>Otros Ingresos</t>
  </si>
  <si>
    <t>Otros Egresos</t>
  </si>
  <si>
    <t>Reservas Riesgo en Curso Salud Colectivos Largo Plazo</t>
  </si>
  <si>
    <t>Reservas Riesgo en Curso Salud Individual Largo Plazo</t>
  </si>
  <si>
    <t>DESARROLLO DE SISTEMAS EXTERNOS</t>
  </si>
  <si>
    <t>REAJUSTES COBRADOS</t>
  </si>
  <si>
    <t>Reservas Riesgo en Curso Vida Entera Individuales Corto Plazo</t>
  </si>
  <si>
    <t>Reservas Matemáticas Accidentes Personales  Colectivo Corto Plazo</t>
  </si>
  <si>
    <t>GASTOS ADMINISTRACION PENSIONES</t>
  </si>
  <si>
    <t>BAJAS DE ACTIVO FIJO</t>
  </si>
  <si>
    <t>(5.11.16.00.00)</t>
  </si>
  <si>
    <t>Swaps</t>
  </si>
  <si>
    <t>Forward</t>
  </si>
  <si>
    <t>Créditos Complementarios</t>
  </si>
  <si>
    <t>Créditos Sindicados</t>
  </si>
  <si>
    <t>ARRIENDO ESTACIONAMIENTOS</t>
  </si>
  <si>
    <t>GASTOS RECHAZADOS VEHICULOS</t>
  </si>
  <si>
    <t>APORTES COMPAÑIA AL BIENESTAR</t>
  </si>
  <si>
    <t>PROVEEDORES SINIESTROS VIDA</t>
  </si>
  <si>
    <t>PROVEEDORES CREDITOS</t>
  </si>
  <si>
    <t>PROVEEDORES VALORES GARANTIZADOS INDIVIDUALES</t>
  </si>
  <si>
    <t>PROVEEDORES RRHH</t>
  </si>
  <si>
    <t>PROVEEDORES COMISIONES INDIVIDUALES</t>
  </si>
  <si>
    <t>PROVEEDORES CONTABILIDAD</t>
  </si>
  <si>
    <t>Res. Adicionales</t>
  </si>
  <si>
    <t>DEUDORES POR REASEG</t>
  </si>
  <si>
    <t>Gastos Administración</t>
  </si>
  <si>
    <t>01-30216-7</t>
  </si>
  <si>
    <t>01-30263-9</t>
  </si>
  <si>
    <t>Derecho pacto ventas</t>
  </si>
  <si>
    <t>Otros - Derechos en comunidad</t>
  </si>
  <si>
    <t>81.461.800-5</t>
  </si>
  <si>
    <t>Títulos de Deuda Emit. y Garant. por el Estado y Bco. Cent.</t>
  </si>
  <si>
    <t>DESARROLLO COMERCIAL CREDITOS</t>
  </si>
  <si>
    <t>ARRIENDO CAJERO AUTOMATICO</t>
  </si>
  <si>
    <t>Títulos de Deuda Emit. por el sist. Bancario y Financiero</t>
  </si>
  <si>
    <t>Valor Contable Manquehue Norte Nº 457-477 N° 1</t>
  </si>
  <si>
    <t>Valor Contable Manquehue Norte Nº 457-477 N° 2</t>
  </si>
  <si>
    <t>Inversiones - Disponible en Banco</t>
  </si>
  <si>
    <t>Inversiones - Instrumento Renta Variable</t>
  </si>
  <si>
    <t>CtaI</t>
  </si>
  <si>
    <t>FECU</t>
  </si>
  <si>
    <t>LLAVE607</t>
  </si>
  <si>
    <t>BONOS GARANTIZADOS</t>
  </si>
  <si>
    <t>C.M. INVERSION EXTRANJERA</t>
  </si>
  <si>
    <t>DIETAS DEL DIRECTORIO</t>
  </si>
  <si>
    <t>Inversiones - Bienes Raíces en Leasing N° 1</t>
  </si>
  <si>
    <t>Inversiones - Bienes Raíces en Leasing N° 2</t>
  </si>
  <si>
    <t>Gastos Anticipados - Existencias</t>
  </si>
  <si>
    <t>SUBESTACION ELECTRICA CORRECTIVA</t>
  </si>
  <si>
    <t>DIVIDENDOS DEFINITIVOS</t>
  </si>
  <si>
    <t>Reaseguro no Proporcional</t>
  </si>
  <si>
    <t>FLUCTUACION VEJEZ</t>
  </si>
  <si>
    <t>FLUCTUACION INVALIDEZ</t>
  </si>
  <si>
    <t>FLUCTUACION VEJEZ ANTICIPADA</t>
  </si>
  <si>
    <t>Total Pólizas Vigentes</t>
  </si>
  <si>
    <t>Número de Personas Aseguradas en el Periodo</t>
  </si>
  <si>
    <t>ANEXOS ESTADOS FINANCIEROS</t>
  </si>
  <si>
    <t>CUADRO A-1</t>
  </si>
  <si>
    <t>INVENTARIO DE INVERSIONES</t>
  </si>
  <si>
    <t>(Cifras en Miles de Pesos)</t>
  </si>
  <si>
    <t>1.</t>
  </si>
  <si>
    <t>Activos Representativos de Reservas Técnicas y Patrimonio</t>
  </si>
  <si>
    <t>a)</t>
  </si>
  <si>
    <t>Títulos emitidos o garantizados por el Estado o Banco Central</t>
  </si>
  <si>
    <t>b)</t>
  </si>
  <si>
    <t>Depósitos a plazo o títulos representativos de captaciones emitidos por Bancos e Instituciones Financieras</t>
  </si>
  <si>
    <t>Rebajar Montos delos Excesos de Inversiones.</t>
  </si>
  <si>
    <t>c)</t>
  </si>
  <si>
    <t>Reaseguro Aceptado</t>
  </si>
  <si>
    <t>Reaseguro Cedido</t>
  </si>
  <si>
    <t>Directos</t>
  </si>
  <si>
    <t>Aceptados</t>
  </si>
  <si>
    <t>Cedidos</t>
  </si>
  <si>
    <t>Deudas del Fisco</t>
  </si>
  <si>
    <t>Impuesto al Valor Agregado</t>
  </si>
  <si>
    <t>CTA CTE ISAPRE NORMEDICA</t>
  </si>
  <si>
    <t>HONORARIOS POR PAGAR SERVICIO AL CLIENTE</t>
  </si>
  <si>
    <t>Muebles, máquinas y vehículos</t>
  </si>
  <si>
    <t>ENDOSOS POR DISTRIBUIR</t>
  </si>
  <si>
    <t>CTA CTE PERSONAL POR DISTRIBUIR</t>
  </si>
  <si>
    <t>OBRAS EN EJECUCION</t>
  </si>
  <si>
    <t>OBRAS EN EJECUCION EN TRANSITO</t>
  </si>
  <si>
    <t>D° COMUNIDAD PLAZA DE ARMAS</t>
  </si>
  <si>
    <t>DESCUENTO COMISION REASEGURO UNICA</t>
  </si>
  <si>
    <t>DESCUENTO COMISION REASEGURO RENOVACION</t>
  </si>
  <si>
    <t>AJUSTE CONTRATO AFP</t>
  </si>
  <si>
    <t>DEVENGADO SWAP FLEXIBLE</t>
  </si>
  <si>
    <t>INTERESES CROSS C. SWAP FLEXIBLE</t>
  </si>
  <si>
    <t>INTERESES DEVENGADOS BONOS</t>
  </si>
  <si>
    <t>INTERESES DEVENGADOS PACTOS</t>
  </si>
  <si>
    <t>INTERESES POR MORA ARRIENDOS</t>
  </si>
  <si>
    <t>Títulos de Deuda Emit. por sociedades inscritas en S.V.S.</t>
  </si>
  <si>
    <t>Mutuos Hipotecarios Endosables</t>
  </si>
  <si>
    <t>Renta Variable</t>
  </si>
  <si>
    <t>Acciones</t>
  </si>
  <si>
    <t>PENTA SECURITY</t>
  </si>
  <si>
    <t>UNIDAD CORONARIA</t>
  </si>
  <si>
    <t>CORPORACION HABITACIONAL</t>
  </si>
  <si>
    <t>SEGUROS ANTICIPADOS</t>
  </si>
  <si>
    <t>CUENTA CORRIENTE SOCIEDADES RELACIONADAS</t>
  </si>
  <si>
    <t>ACTIVO COMPLEMENTARIO IMPTO DIF X PAGAR C/P</t>
  </si>
  <si>
    <t>EDIFICIO</t>
  </si>
  <si>
    <t>DEP ACUMULADA EDIFICIO</t>
  </si>
  <si>
    <t>DEP. ACUMULADA MUEBLES Y UTILES</t>
  </si>
  <si>
    <t>MAQUINARIA Y EQUIPOS</t>
  </si>
  <si>
    <t>SOFTWARE COMPUTACIONALES</t>
  </si>
  <si>
    <t>Reservas Matemáticas Desgravamen Individual</t>
  </si>
  <si>
    <t>B.C.P.</t>
  </si>
  <si>
    <t>B.C.P. APV</t>
  </si>
  <si>
    <t>INTERESES DEVENGADOS BCP</t>
  </si>
  <si>
    <t>INTERESES PERCIBIDOS BCP</t>
  </si>
  <si>
    <t>REAJUSTES BCP</t>
  </si>
  <si>
    <t>C.M. BCP</t>
  </si>
  <si>
    <t>Inmobiliaria Los Morros S.A.</t>
  </si>
  <si>
    <t>Prestación de servicios</t>
  </si>
  <si>
    <t>Cuotas de fondos</t>
  </si>
  <si>
    <t>Beneficiarios de Asegurados Fallecidos</t>
  </si>
  <si>
    <t>Pólizas no Vigentes en el Período</t>
  </si>
  <si>
    <t>Sobrevivencia</t>
  </si>
  <si>
    <t>COSTO FINANCIAMIENTO PACTO</t>
  </si>
  <si>
    <t>C.M. ACTIVO FIJO INMOBILIARIO</t>
  </si>
  <si>
    <t>C.M. DEPRECIACION ACUMULADA INMOBILIARIO</t>
  </si>
  <si>
    <t>CLIMATIZACION CORRECTIVA</t>
  </si>
  <si>
    <t>ASCENSORES CORRECTIVA</t>
  </si>
  <si>
    <t>U.P.S. CORRECTIVA</t>
  </si>
  <si>
    <t>SERVICIO MEDICO APORTE EMPRESA</t>
  </si>
  <si>
    <t>DESAHUCIO</t>
  </si>
  <si>
    <t>CCAF ASESORIA LEGAL</t>
  </si>
  <si>
    <t>OTROS DESCUENTOS PERSONAL</t>
  </si>
  <si>
    <t>IMPUESTO UNICO A LOS TRABAJADORES</t>
  </si>
  <si>
    <t>PROVISION GARANTIAS INCOBRABLES</t>
  </si>
  <si>
    <t>DIF. TIPO DE CAMBIO</t>
  </si>
  <si>
    <t>FACTURAS DESCONTADAS</t>
  </si>
  <si>
    <t>CTA CTE INMOB SANTO TOMAS</t>
  </si>
  <si>
    <t>GASTOS INMOBILIARIOS</t>
  </si>
  <si>
    <t>PAGOS PROVISIONALES MENSUALES POR PAGAR</t>
  </si>
  <si>
    <t>PRESTAMOS PENSIONADOS POR PAGAR</t>
  </si>
  <si>
    <t>CUENTA CORRIENTE DEUDORES</t>
  </si>
  <si>
    <t>CTA CTE INMOBILIARIAS</t>
  </si>
  <si>
    <t>CTA CTE LIQUIDACION DEUDORES</t>
  </si>
  <si>
    <t>CTA CTE LIQUIDACION REFINANCIAMIENTO</t>
  </si>
  <si>
    <t>CTA CTE LIQUIDACION INMOBILIARIAS</t>
  </si>
  <si>
    <t>castigo y provisiones de activos</t>
  </si>
  <si>
    <t>UTILIDAD POR VENTA DE MUTUOS</t>
  </si>
  <si>
    <t>INTERESES GANADOS POR MUTUOS HIPOTECARIOS</t>
  </si>
  <si>
    <t>REAJUSTES GANADOS POR MUTUOS</t>
  </si>
  <si>
    <t>Dotal Puro o Capital diferido</t>
  </si>
  <si>
    <t>Protección Familiar</t>
  </si>
  <si>
    <t>Incapacidad o Invalidez</t>
  </si>
  <si>
    <t>Asistencia</t>
  </si>
  <si>
    <t>Desgravamen</t>
  </si>
  <si>
    <t>PROV. DCTOS. INCOBRABLES PRIMAS</t>
  </si>
  <si>
    <t>PROV. MUTUOS ADJUDICADOS</t>
  </si>
  <si>
    <t>TASADORES</t>
  </si>
  <si>
    <t>SINIESTROS DIRECTOS UNICA</t>
  </si>
  <si>
    <t>SINIESTROS DIRECTOS RENOVACION</t>
  </si>
  <si>
    <t>SINIESTROS CEDIDOS UNICA</t>
  </si>
  <si>
    <t>SINIESTROS CEDIDOS RENOVACION</t>
  </si>
  <si>
    <t>COMISION ADMINISTRACIÓN COBRANZA CORPORATIVOS</t>
  </si>
  <si>
    <t>GASTOS POR IMPUESTOS</t>
  </si>
  <si>
    <t>Total</t>
  </si>
  <si>
    <t>BONOS GARANTIZADOS CUI</t>
  </si>
  <si>
    <t>ACCIONES NACIONALES POR PAGAR (ACC)</t>
  </si>
  <si>
    <t>GARANTIAS POR COBRAR INMOBILIARIAS</t>
  </si>
  <si>
    <t>GARANTIAS POR PAGAR INMOBILIARIAS</t>
  </si>
  <si>
    <t>INTERES DEV. DPF</t>
  </si>
  <si>
    <t>REAJUSTES DPF</t>
  </si>
  <si>
    <t>REAJUSTES BCU</t>
  </si>
  <si>
    <t>INTERESES DEV. BONOS EXTRANJEROS</t>
  </si>
  <si>
    <t>INTERESES DEV. PAGARES EMPRESAS</t>
  </si>
  <si>
    <t>FINANCIAMIENTO US$</t>
  </si>
  <si>
    <t>FINANCIAMIENTO DE INVERSIONES</t>
  </si>
  <si>
    <t>SWAP POR COBRAR</t>
  </si>
  <si>
    <t>CORTE CUPON Y SORTEO POR DISTRIBUIR</t>
  </si>
  <si>
    <t>PROYECTOS</t>
  </si>
  <si>
    <t>CANJE</t>
  </si>
  <si>
    <t>DEF REASEGURO VIDA ENTERA INDIVIDUAL</t>
  </si>
  <si>
    <t>DEPOSITOS A PLAZO REAJUSTABLE D.P.R. APV</t>
  </si>
  <si>
    <t>LETRAS HIPOTECARIAS U.F. APV</t>
  </si>
  <si>
    <t>LETRAS HIPOTECARIAS IVP APV</t>
  </si>
  <si>
    <t>BONOS BANCARIOS APV</t>
  </si>
  <si>
    <t>BONOS SUBORDINADOS APV</t>
  </si>
  <si>
    <t>BONOS EMPRESA APV</t>
  </si>
  <si>
    <t>Reservas Riesgo en Curso Accidentes Personales Colectivos Largo Plazo</t>
  </si>
  <si>
    <t>R -  032</t>
  </si>
  <si>
    <t>USA</t>
  </si>
  <si>
    <t>TOTAL COMPRAS</t>
  </si>
  <si>
    <t>TOTAL CONTRATO FORWARDS</t>
  </si>
  <si>
    <t>MUTUOS HIPOTECARIOS CARTERA PROPIA CUI</t>
  </si>
  <si>
    <t>MUTUOS HIPOTECARIOS EN TRANSITO CUI</t>
  </si>
  <si>
    <t>PROVISION DEUDORES INCOBRABLES CUI</t>
  </si>
  <si>
    <t>DEPOSITOS A PLAZO REAJUSTABLE D.P.R. CUI</t>
  </si>
  <si>
    <t>Activo Fijo - Valor Actualizados - Muebles y Útiles</t>
  </si>
  <si>
    <t>Activo Fijo - Valor Actualizados - Vehículos</t>
  </si>
  <si>
    <t>Activo Fijo - Valor Actualizados - Otras Inversiones Inmobiliarias</t>
  </si>
  <si>
    <t>INTERESES DEVENGADOS BONOS EMPRESAS TASA FLOTANTE</t>
  </si>
  <si>
    <t>Bancos. Nacionales</t>
  </si>
  <si>
    <t>Bancos extranjeros</t>
  </si>
  <si>
    <t>BICE CTA. N° 01-30263-9</t>
  </si>
  <si>
    <t xml:space="preserve">  </t>
  </si>
  <si>
    <t>PROVEEDORES APV</t>
  </si>
  <si>
    <t>COMISION ADMINISTRACION PRIMAS APV</t>
  </si>
  <si>
    <t>COMISION ADMINISTRACION APV</t>
  </si>
  <si>
    <t>Ajute inversiones CUI</t>
  </si>
  <si>
    <t>Pólizas con inicio de vigencia a contar del 9 de marzo de 2005 y hasta el 31 de enero de 2008</t>
  </si>
  <si>
    <t>Utilidades Retenidas</t>
  </si>
  <si>
    <t>Provisión Adicional de Mutuos Hipotecarios</t>
  </si>
  <si>
    <t>Arriendos Anticipados</t>
  </si>
  <si>
    <t>Prestamos a Térceros por Pagar</t>
  </si>
  <si>
    <t>Activos</t>
  </si>
  <si>
    <t>Pasivos</t>
  </si>
  <si>
    <t>Reserva Técnica Base</t>
  </si>
  <si>
    <t>SUELDOS</t>
  </si>
  <si>
    <t>GRATIFICACIONES</t>
  </si>
  <si>
    <t>BONIFICACIONES</t>
  </si>
  <si>
    <t>APORTE PATRONAL</t>
  </si>
  <si>
    <t>INDEMNIZACIONES</t>
  </si>
  <si>
    <t>SALA CUNA</t>
  </si>
  <si>
    <t>GASTOS DEPTO. PERSONAL</t>
  </si>
  <si>
    <t>MANIFESTACION DEL PERSONAL</t>
  </si>
  <si>
    <t>Revalorización Capital Pagado</t>
  </si>
  <si>
    <t>Sobreprecio en Venta de Acciones Propias</t>
  </si>
  <si>
    <t>Otras Reservas Legales</t>
  </si>
  <si>
    <t>Reservas Reglamentarias</t>
  </si>
  <si>
    <t>Reservas Calce</t>
  </si>
  <si>
    <t>Ajuste Reserva por Calce</t>
  </si>
  <si>
    <t>Reserva de Descalce Seguros con Cuenta Única de Inversión (CUI)</t>
  </si>
  <si>
    <t>BONOS LEASING</t>
  </si>
  <si>
    <t>MUTUOS HIPOTECARIOS</t>
  </si>
  <si>
    <t>P.R.C.</t>
  </si>
  <si>
    <t>TERRENOS</t>
  </si>
  <si>
    <t>Reserva Prima no Ganada</t>
  </si>
  <si>
    <t>Pasivo
 Inicial
M$</t>
  </si>
  <si>
    <t>Fecha
de
Aplicación</t>
  </si>
  <si>
    <t>Corrección Monetaria Inversiones Financieras</t>
  </si>
  <si>
    <t>Reservas Riesgo en Curso Incapacidad e Invalidez Colectivo Corto Plazo</t>
  </si>
  <si>
    <t>DIVIDENDOS MAYO 2010</t>
  </si>
  <si>
    <t>REPARACION Y MANTENCION</t>
  </si>
  <si>
    <t>RETENCION IMPUESTOS APV</t>
  </si>
  <si>
    <t>C.M. PRIMAS CEDIDAS</t>
  </si>
  <si>
    <t>DIF. CAMBIO RENTAS VITALICIAS</t>
  </si>
  <si>
    <t>C.M. AVANCE DE TENEDORES</t>
  </si>
  <si>
    <t>PARTICIPACION DE UTILIDADES</t>
  </si>
  <si>
    <t>HORAS EXTRAS</t>
  </si>
  <si>
    <t>Participación por Experiencia Favorable Clientes</t>
  </si>
  <si>
    <t>Títulos de Deuda de Renta Fija</t>
  </si>
  <si>
    <t>Provisión</t>
  </si>
  <si>
    <t>Dividendos</t>
  </si>
  <si>
    <t>COMERCIAL MEXICANA</t>
  </si>
  <si>
    <t>ANGLO AMERICAN CAPITAL</t>
  </si>
  <si>
    <t>GRUPO TELEVISA S.A.</t>
  </si>
  <si>
    <t>LAFARGE S.A</t>
  </si>
  <si>
    <t>DESARROLLADORA HOMEX S.A</t>
  </si>
  <si>
    <t>VALE OVERSEAS LIMITED</t>
  </si>
  <si>
    <t>ALTO PARANA S.A.</t>
  </si>
  <si>
    <t>PETROBRAS INTEL FINANCE</t>
  </si>
  <si>
    <t>COMPAGNIE DE SAINT GOBAIN</t>
  </si>
  <si>
    <t>MERRILL LYNCH &amp; COMPANY</t>
  </si>
  <si>
    <t>EARLS EIGHT LIMITED</t>
  </si>
  <si>
    <t>UF</t>
  </si>
  <si>
    <t>EEM US</t>
  </si>
  <si>
    <t>ANUALIDADES SEGURO UNIVERSITARIO</t>
  </si>
  <si>
    <t>CTA. CTE INV. INMOBILIARIAS SEGURAS S.A.</t>
  </si>
  <si>
    <t>Inversiones cuenta única de inversión</t>
  </si>
  <si>
    <t>Reserva valor del fondo</t>
  </si>
  <si>
    <t>Cuentas por
Pagar</t>
  </si>
  <si>
    <r>
      <t xml:space="preserve">Efecto 
en </t>
    </r>
    <r>
      <rPr>
        <b/>
        <sz val="7"/>
        <color indexed="9"/>
        <rFont val="Arial"/>
        <family val="2"/>
      </rPr>
      <t>Resultado</t>
    </r>
  </si>
  <si>
    <t>DIVIDENDOS EUROAMERICA SEGUROS DE VIDA S.A.</t>
  </si>
  <si>
    <t>INMOBILARIA APOQUINDO 2002 S.A.</t>
  </si>
  <si>
    <t>Cuentas por Cobrar (Pagar) Ajuste de Contrato</t>
  </si>
  <si>
    <t>LINEA DE CREDITO</t>
  </si>
  <si>
    <t>INTERES DEV. DPR</t>
  </si>
  <si>
    <t>C.M. CUOTAS DE FONDOS DE INVERSION (CFI)</t>
  </si>
  <si>
    <t>Reservas Matemáticas Vida Individual Largo Plazo</t>
  </si>
  <si>
    <t>BONO PLAN RENTA FIJA</t>
  </si>
  <si>
    <t>VALOR MERCADO DEL ACTIVO OBJETO A LA FECHA DE INFORMACION</t>
  </si>
  <si>
    <t>L</t>
  </si>
  <si>
    <t>Seguros de Vida con CUI</t>
  </si>
  <si>
    <t>RES.RIESGO CURSO FLEXIBLE INDIVIDUAL</t>
  </si>
  <si>
    <t>Prima de Renovación CEDIDA</t>
  </si>
  <si>
    <t>Prima de Renovación NETA</t>
  </si>
  <si>
    <t>TOTAL PRIMA DIRECTA</t>
  </si>
  <si>
    <t>Reaseguradores</t>
  </si>
  <si>
    <t>Otros Deudores</t>
  </si>
  <si>
    <t>Otros Activos</t>
  </si>
  <si>
    <t>TOTAL ACTIVOS</t>
  </si>
  <si>
    <t>Subtotal Maquinas y Equipos</t>
  </si>
  <si>
    <t>Máquinas y Equipos</t>
  </si>
  <si>
    <t>Muebles y Útiles</t>
  </si>
  <si>
    <t>Sub Total Bienes Raíces de Inversión</t>
  </si>
  <si>
    <t>Provisión de Vacaciones</t>
  </si>
  <si>
    <t>REAJUSTES BONOS SUBORDINADO</t>
  </si>
  <si>
    <t>REAJUSTES BONOS EMPRESA</t>
  </si>
  <si>
    <t>REAJUSTES BONOS LEASING</t>
  </si>
  <si>
    <t>REAJUSTES MUTUOS HIPOTECARIOS</t>
  </si>
  <si>
    <t>REAJUSTES PRC</t>
  </si>
  <si>
    <t>REAJUSTES LEASING</t>
  </si>
  <si>
    <t>REAJUSTES FONDOS MUTUOS</t>
  </si>
  <si>
    <t>Reserva  Matematica del Ejercicio Anterior</t>
  </si>
  <si>
    <t>Interes</t>
  </si>
  <si>
    <t>Reserva Liberada por Muerte</t>
  </si>
  <si>
    <t>Reserva Liberada por Otros Términos</t>
  </si>
  <si>
    <t>Reserva  Matematica del Ejercicio</t>
  </si>
  <si>
    <t>LETRAS HIPOTECARIAS IVP</t>
  </si>
  <si>
    <t>BONOS BANCARIOS</t>
  </si>
  <si>
    <t>BONOS SUBORDINADOS</t>
  </si>
  <si>
    <t>RECLASIFICAR A PROVEEDORES</t>
  </si>
  <si>
    <t>SOC. INMOB. PARQUE QUINTA NORMAL</t>
  </si>
  <si>
    <t>COMISIONES CORREDORES</t>
  </si>
  <si>
    <t>Superávit (Déficit) Inversiones representativas de Reservas Técnicas y Patrimonio de Riesgo</t>
  </si>
  <si>
    <t>PATRIMONIO NETO</t>
  </si>
  <si>
    <t>Endeudamiento Total</t>
  </si>
  <si>
    <t>Endeudamiento Financiero</t>
  </si>
  <si>
    <t>Siniestros por Cobrar no vencidos</t>
  </si>
  <si>
    <t>Siniestros Pagados</t>
  </si>
  <si>
    <t>CUENTAS CORRIENTES COMISIONISTAS</t>
  </si>
  <si>
    <t>IVA CREDITO FISCAL</t>
  </si>
  <si>
    <t>INVERSION FONDOS MUTUOS APV</t>
  </si>
  <si>
    <t>FONDO MUTUOS POR COBRAR APV</t>
  </si>
  <si>
    <t>BONOS SUBORDINADOS CUI</t>
  </si>
  <si>
    <t>Reserva Valor del Fondo Seguros de Vida CUI</t>
  </si>
  <si>
    <t>Reserva Valor del Fondo Seguros de Vida APV Largo Plazo</t>
  </si>
  <si>
    <t>Reserva Valor del Fondo Seguros de Vida CUI Largo Plazo</t>
  </si>
  <si>
    <t>Reservas Riesgo en Curso Dotal Individual Corto Plazo</t>
  </si>
  <si>
    <t>Obligaciones Obligación por Pacto</t>
  </si>
  <si>
    <t>Obligaciones Swap por pagar</t>
  </si>
  <si>
    <t>Obligaciones Prestamos pensionados por pagar</t>
  </si>
  <si>
    <t>FIP REPUBLICA DE CUBA</t>
  </si>
  <si>
    <t>BONO DE NOMBRAMIENTO</t>
  </si>
  <si>
    <t>CTAS POR COBRAR BIENESTAR EMPRESA 1</t>
  </si>
  <si>
    <t>FIP SAN FRANCISCO</t>
  </si>
  <si>
    <t>FLUCT. FIP SAN FRANCISCO</t>
  </si>
  <si>
    <t>FLUCT. FIP BADAJOZ</t>
  </si>
  <si>
    <t>Inmobiliaria Segura S.A.</t>
  </si>
  <si>
    <t>Juan Eduardo Correa Garcia</t>
  </si>
  <si>
    <t>CAPAUSD LX</t>
  </si>
  <si>
    <t>USD</t>
  </si>
  <si>
    <t>27,50%</t>
  </si>
  <si>
    <t>76.039.786-5</t>
  </si>
  <si>
    <t>HSBC BANK CHILE</t>
  </si>
  <si>
    <t>FLUCT. FIP REP. DE CUBA</t>
  </si>
  <si>
    <t>CORBANCA CTA. N° 30151926</t>
  </si>
  <si>
    <t>CTA. CTE FIP REPUBLICA DE CUBA</t>
  </si>
  <si>
    <t>COMISIONES POR PAGAR CORREDORES SEGUROS INDIVIDUALES</t>
  </si>
  <si>
    <t>Siniestros netos + Comisiones</t>
  </si>
  <si>
    <t>Fip Republica de Cuba</t>
  </si>
  <si>
    <t>FACTURAS POR COBRAR APV</t>
  </si>
  <si>
    <t>DOCUMENTOS EN COBRANZA JUDICIAL</t>
  </si>
  <si>
    <t>BONOS POST LABORAL</t>
  </si>
  <si>
    <t>LINEA DE CREDITO CREDIVIDA</t>
  </si>
  <si>
    <t>PROVISION DEUDORES ARRENDATARIOS</t>
  </si>
  <si>
    <t>RES.SIN IESTROS TEMPORAL VIDA INDIVIDUAL</t>
  </si>
  <si>
    <t>RES.SINIESTROS SALUD INDIVIDUAL</t>
  </si>
  <si>
    <t>RES SINIESTROS VIDA ENTERA INDIVIDUAL</t>
  </si>
  <si>
    <t>RES.SINIESTROS DOTAL INDIVIDUAL</t>
  </si>
  <si>
    <t>AUDITORIA Y NORMATIVA</t>
  </si>
  <si>
    <t>Reserva Matematica Ejercicio Anterior</t>
  </si>
  <si>
    <t>SEGUROS</t>
  </si>
  <si>
    <t>PETROLEO DIESEL</t>
  </si>
  <si>
    <t>ASEO DE AREAS COMUNES</t>
  </si>
  <si>
    <t>EXTRACCION DE BASURA</t>
  </si>
  <si>
    <t>ALARMA CARABINEROS</t>
  </si>
  <si>
    <t>ASESORIA Y ESTUDIOS</t>
  </si>
  <si>
    <t>CONTROL AUTOMATICO PLC</t>
  </si>
  <si>
    <t>GRUPOS ELECTROGENOS</t>
  </si>
  <si>
    <t>DETECCION DE INCENDIO</t>
  </si>
  <si>
    <t>EXTINCION DE INCENDIO</t>
  </si>
  <si>
    <t>CONTROL DE ACCESO</t>
  </si>
  <si>
    <t>BONOS EXTRANJEROS TRIBUTACION ARGENTINA</t>
  </si>
  <si>
    <t>FORWARD DE TASA POR PAGAR</t>
  </si>
  <si>
    <t>PRIMERAS PRIMAS EN TRANSITO</t>
  </si>
  <si>
    <t>CUSTODIA Y MANTENCION DE INVERSIONES</t>
  </si>
  <si>
    <t>Reservas Riesgo en Curso Accidentes Personales Colectivos Corto Plazo</t>
  </si>
  <si>
    <t>Reservas Riesgo en Curso Accidentes Personales Individuales Corto Plazo</t>
  </si>
  <si>
    <t>Reservas Riesgo en Curso Desgravamen Colectivos Largo Plazo</t>
  </si>
  <si>
    <t>CLIENTES DIRECTO APV</t>
  </si>
  <si>
    <t>Monto
UF
Mes</t>
  </si>
  <si>
    <t>Monto
Pagado
M$</t>
  </si>
  <si>
    <t>RES.SINIESTROS POR PAGAR COLECTIVOS</t>
  </si>
  <si>
    <t>RES. SINIESTROS POR PAGAR FLEXIBLE</t>
  </si>
  <si>
    <t>GTOS. COMUNES PROYECTO</t>
  </si>
  <si>
    <t>GTOS. ASESORIAS JUDICIALES Y OTROS</t>
  </si>
  <si>
    <t>Total Activo Fijo</t>
  </si>
  <si>
    <t>Siniestros por Pagar</t>
  </si>
  <si>
    <t>Programas computacionales</t>
  </si>
  <si>
    <t>Otros Pasivos</t>
  </si>
  <si>
    <t>TOTAL PASIVOS</t>
  </si>
  <si>
    <t>Inversiones</t>
  </si>
  <si>
    <t>Reserva Renta Vitalicia Privada Largo Plazo</t>
  </si>
  <si>
    <t>IMPUESTO RETENCION DOTALES 15%</t>
  </si>
  <si>
    <t>Reservas Matemáticas Protección familiar Largo Plazo</t>
  </si>
  <si>
    <t>Reservas Matemáticas Desgravamen Colectivo Largo Plazo</t>
  </si>
  <si>
    <t>IMPUESTO REMESA 2%</t>
  </si>
  <si>
    <t>Reservas Matemáticas Dotal Individual Largo Plazo</t>
  </si>
  <si>
    <t>Reservas Matemáticas Incapacidad e Invalidez Individual Largo Plazo</t>
  </si>
  <si>
    <t>SERVIU METROPOLITANO</t>
  </si>
  <si>
    <t>BICE SEGUROS DE VIDA</t>
  </si>
  <si>
    <t>SEGUROS ROYAL SUNALLIANCE</t>
  </si>
  <si>
    <t>METLIFE CHILE SEGUROS</t>
  </si>
  <si>
    <t>Primas por Pagar Reaseguradores</t>
  </si>
  <si>
    <t>Otras Reservas (Voluntarias) Ejercicio Anterior</t>
  </si>
  <si>
    <t>Otras Reservas (Voluntarias) del Ejercicio</t>
  </si>
  <si>
    <t>IPC</t>
  </si>
  <si>
    <t>Nota : Este cuadro es de generación automatica a partir de cifras de otros cuadros</t>
  </si>
  <si>
    <t>SEGURO AFP</t>
  </si>
  <si>
    <t xml:space="preserve">Invalidez y </t>
  </si>
  <si>
    <t>CIR. Nº528</t>
  </si>
  <si>
    <t>GASTOS DE PENSIONES POR PAGAR</t>
  </si>
  <si>
    <t>Activo Fijo - Valor Actualizados - Sub Total Bienes Raíces de Inversión</t>
  </si>
  <si>
    <t>Activo Fijo - Depreciación Acumuladas - Máquinas y Equipos</t>
  </si>
  <si>
    <t>Activo Fijo - Depreciación Acumuladas - Equipos Computacionales</t>
  </si>
  <si>
    <t>Activo Fijo - Depreciación Acumuladas - Muebles y Útiles</t>
  </si>
  <si>
    <t>Activo Fijo - Depreciación Acumuladas - Vehículos</t>
  </si>
  <si>
    <t>Activo Fijo - Depreciación Acumuladas - Otras Inversiones Inmobiliarias</t>
  </si>
  <si>
    <t>PRIMAS POR PAGAR</t>
  </si>
  <si>
    <t>MENOR VALOR LEASING</t>
  </si>
  <si>
    <t>ANTICIPO DE COMISIONES RENTA VITALICIAS</t>
  </si>
  <si>
    <t>OTROS ACTIVOS VALLE GRANDE</t>
  </si>
  <si>
    <t>CTA CTE DESARR. CONST VALLE GRANDE</t>
  </si>
  <si>
    <t>CTA CTE DESARR. CONST STO TOMAS</t>
  </si>
  <si>
    <t>CREDITOS DE INCENTIVOS POR PAGAR</t>
  </si>
  <si>
    <t>REAJUSTES BONOS EXTRANJEROS</t>
  </si>
  <si>
    <t>DIFERENCIA DE CAMBIO RENTA FIJA FLEXIBLE</t>
  </si>
  <si>
    <t>DIFERENCIA DE CAMBIO RENTA FIJA OBSERVADO SPOT</t>
  </si>
  <si>
    <t xml:space="preserve">5.01  ESTADO DE RESULTADOS ENTRE </t>
  </si>
  <si>
    <t>RESULT OPERACIONAL</t>
  </si>
  <si>
    <t>MARGEN CONTRIBUCION</t>
  </si>
  <si>
    <t>Prima Retenida Neta</t>
  </si>
  <si>
    <t>Prima Cedida</t>
  </si>
  <si>
    <t xml:space="preserve">  COMPRAS</t>
  </si>
  <si>
    <t>FECHA DE VENCIMIENTO DEL CONTRATO</t>
  </si>
  <si>
    <t>02-00369-4</t>
  </si>
  <si>
    <t>01-28527-0</t>
  </si>
  <si>
    <t>01-29979-4</t>
  </si>
  <si>
    <t>Comunidad Edificio Plaza de Armas</t>
  </si>
  <si>
    <t>76.029.909-K</t>
  </si>
  <si>
    <t>76.069.105-4</t>
  </si>
  <si>
    <t>76.042.867-1</t>
  </si>
  <si>
    <t>76.052.886-2</t>
  </si>
  <si>
    <t>Otros - Honorarios por Pagar</t>
  </si>
  <si>
    <t>Activo Fijo - Valor Actualizados - Máquinas y Equipos</t>
  </si>
  <si>
    <t>Otros Deudores por Reaseguro</t>
  </si>
  <si>
    <t>Títulos de Crédito Emit. por Entidades Banc. Internac.</t>
  </si>
  <si>
    <t>Títulos de Crédito Emit. o Garant. por Ent. Banc. Ext.</t>
  </si>
  <si>
    <t>Bonos Emit. por Sociedades o Corp. Extranjeras</t>
  </si>
  <si>
    <t>Acciones Emitidas por Sociedades o Corp. Extranjeras</t>
  </si>
  <si>
    <t>Cuotas de Fondos de Inv. Internacional y de Fondos Mutuos</t>
  </si>
  <si>
    <t>Menor Valor de Tasación</t>
  </si>
  <si>
    <t>Goodwill Tributario</t>
  </si>
  <si>
    <t>(Años)</t>
  </si>
  <si>
    <t>Copropiedad</t>
  </si>
  <si>
    <t>Período Pago</t>
  </si>
  <si>
    <t>Mensual</t>
  </si>
  <si>
    <t>Unidad Reajustable</t>
  </si>
  <si>
    <t>U.F.</t>
  </si>
  <si>
    <t xml:space="preserve">Interés Percibir </t>
  </si>
  <si>
    <t xml:space="preserve">Valor  Actual </t>
  </si>
  <si>
    <t>Otras Reservas Reglamentarias</t>
  </si>
  <si>
    <t>Utilidades (Pérdidas) Retenidas</t>
  </si>
  <si>
    <t>Utilidades Acumuladas</t>
  </si>
  <si>
    <t>DEPRECIACION OTROS ACTIVOS</t>
  </si>
  <si>
    <t>Prima Unica DIRECTA</t>
  </si>
  <si>
    <t>Prima Unica ACEPTADA</t>
  </si>
  <si>
    <t>Prima Unica CEDIDA</t>
  </si>
  <si>
    <t>Prima Unica NETA</t>
  </si>
  <si>
    <t>Prima de Renovación DIRECTA</t>
  </si>
  <si>
    <t>Prima de Renovación ACEPTADA</t>
  </si>
  <si>
    <t>Reserva Renta Vitalicia Sobrevivencia Largo Plazo</t>
  </si>
  <si>
    <t>Reverso de provisión de valuación por pérdidas tributarias</t>
  </si>
  <si>
    <t>CARACTERISTICAS DE LA OPERACIÓN</t>
  </si>
  <si>
    <t>FECHA DE 
REALIZACIÓN DE
LA OPERACIÓN</t>
  </si>
  <si>
    <t>FECHA DE 
VENCIMIENTO
DEL CONTRATO</t>
  </si>
  <si>
    <t>DERECHOS PACTOS VENTAS</t>
  </si>
  <si>
    <t>ASEO Y ORNATO</t>
  </si>
  <si>
    <t>IVA CREDITO NO RECUPERADO</t>
  </si>
  <si>
    <t>Reserva para Descalce N° 3</t>
  </si>
  <si>
    <t>Reserva para Descalce N° 4</t>
  </si>
  <si>
    <t>Siniestros por Cobrar - Siniestros Colectivos Salud Reaseguradores</t>
  </si>
  <si>
    <t>HONORARIOS POR PAGAR COMISIONES RV Y COLECTIVOS</t>
  </si>
  <si>
    <t>OBLIGACION POR PACTO INVERSIONES</t>
  </si>
  <si>
    <t>FONDOS MUTUOS POR PAGAR</t>
  </si>
  <si>
    <t>HONORARIOS POR PAGAR</t>
  </si>
  <si>
    <t>GARANTIAS POR PAGAR</t>
  </si>
  <si>
    <t>IMPUESTOS POR PAGAR</t>
  </si>
  <si>
    <t>NOTARIAS POR PAGAR</t>
  </si>
  <si>
    <t>SWAP POR PAGAR</t>
  </si>
  <si>
    <t>CUOTA MORTUORIA POR PAGAR</t>
  </si>
  <si>
    <t>Garantía Estatal por Cobrar</t>
  </si>
  <si>
    <t>(5.14.45.00.00)</t>
  </si>
  <si>
    <t>Otros Deudores por Reaseguros</t>
  </si>
  <si>
    <t>(5.13.30.00.00)</t>
  </si>
  <si>
    <t xml:space="preserve">Deudores Reaseguros Colectivos Vida </t>
  </si>
  <si>
    <t>Participación Reaseguros</t>
  </si>
  <si>
    <t>Siniestros por Cobrar</t>
  </si>
  <si>
    <t>(5.13.20.00.00)</t>
  </si>
  <si>
    <t>Valor Cuota</t>
  </si>
  <si>
    <t>CONTINUIDAD OPERATIVA</t>
  </si>
  <si>
    <t>Renta</t>
  </si>
  <si>
    <t>Reserva ajuste Valor del Fondo</t>
  </si>
  <si>
    <t>Reserva Matematica Ejercicio Anterior svlc</t>
  </si>
  <si>
    <t>Reserva de Riesgo en Curso Ejercicio Anterior svlc</t>
  </si>
  <si>
    <t>INVERSIONES POR PAGAR</t>
  </si>
  <si>
    <t>DEVOLUCION MORTALIDAD FAVORABLE POR PAGAR</t>
  </si>
  <si>
    <t>ADMINISTRADORA DE SALUD POR PAGAR</t>
  </si>
  <si>
    <t>SINIESTROS POR PAGAR VIDA</t>
  </si>
  <si>
    <t xml:space="preserve">5.03  ESTADO DE RESULTADOS ENTRE </t>
  </si>
  <si>
    <t xml:space="preserve">Y EL </t>
  </si>
  <si>
    <t>SUBTOTAL</t>
  </si>
  <si>
    <t>RESULTADO DE OPERACIÓN</t>
  </si>
  <si>
    <t>MARGEN DE CONTRIBUCIÓN</t>
  </si>
  <si>
    <t>Ajuste Reserva de Riesgo en Curso</t>
  </si>
  <si>
    <t>Ajuste Reservas Valor del Fondo</t>
  </si>
  <si>
    <t>Rentas Directas</t>
  </si>
  <si>
    <t>Rentas Aceptadas</t>
  </si>
  <si>
    <t>Rentas Cedidas</t>
  </si>
  <si>
    <t>Siniestros Directos</t>
  </si>
  <si>
    <t>Avance a Tenedores de Pólizas</t>
  </si>
  <si>
    <t>COMISIONES RENTAS VITALICIAS VEJEZ</t>
  </si>
  <si>
    <t>SEGUROS EMPLEADOS</t>
  </si>
  <si>
    <t>HONORARIOS</t>
  </si>
  <si>
    <t>IMPLEMENTOS DE COMPUTACION</t>
  </si>
  <si>
    <t>MANTENCION DE SERVIDORES</t>
  </si>
  <si>
    <t>MANTENCION DE PC'S</t>
  </si>
  <si>
    <t>MANTENCION DE IMPRESORAS</t>
  </si>
  <si>
    <t>MANTENCION PLANTA TELEFONICA</t>
  </si>
  <si>
    <t>SOPORTE INTERNO</t>
  </si>
  <si>
    <t>SOPORTE EXTERNO</t>
  </si>
  <si>
    <t>ASESORIAS INFORMATICAS</t>
  </si>
  <si>
    <t>GASTOS ENDOSO MUTUOS</t>
  </si>
  <si>
    <t>CONSUMO DE AGUA POTABLE</t>
  </si>
  <si>
    <t>Otros - Asignaciones Familiares Renta Vitalicia</t>
  </si>
  <si>
    <t>Otros - Cuentas por Cobrar Pensionados</t>
  </si>
  <si>
    <t>Otros - Documentos por Cobrar</t>
  </si>
  <si>
    <t>Otros - Garantía Estatal por Cobrar</t>
  </si>
  <si>
    <t>Otros - Prestamos a Terceros</t>
  </si>
  <si>
    <t>Otros - Otros Deudores N° 1</t>
  </si>
  <si>
    <t>Otros - Otros Deudores N° 2</t>
  </si>
  <si>
    <t>Otros - Garantías</t>
  </si>
  <si>
    <t>Otros - Otros Activos</t>
  </si>
  <si>
    <t>Otros - Licencias Computacionales</t>
  </si>
  <si>
    <t>PROVEEDORES INVERSIONES RENTA FIJA</t>
  </si>
  <si>
    <t>PROVEEDORES INVERSION EXTRANJERA</t>
  </si>
  <si>
    <t>PROVEEDORES GASTOS ADM. INVERSIONES</t>
  </si>
  <si>
    <t>HONORARIOS POR PAGAR SINIESTROS VIDA</t>
  </si>
  <si>
    <t>HONORARIOS POR PAGAR SINIESTROS SALUD</t>
  </si>
  <si>
    <t>DIVIDENDOS INTERAMERICANA VIDA</t>
  </si>
  <si>
    <t>CLIENTES</t>
  </si>
  <si>
    <t>INMOBILIARIA PARQUE QUINTA NORMAL S.A.</t>
  </si>
  <si>
    <t>INMOBILIARIA BBI S.A.</t>
  </si>
  <si>
    <t>HONORARIOS POR PAGAR INVERSION EXTRANJERA</t>
  </si>
  <si>
    <t>HONORARIOS POR PAGAR GASTOS ADM. INVERSIONES</t>
  </si>
  <si>
    <t>PROVEEDORES GASTOS MUTUOS HIPOTECARIOS</t>
  </si>
  <si>
    <t>CHILE CTA. N 14346-04</t>
  </si>
  <si>
    <t>Sub Total Cuentas de Balance</t>
  </si>
  <si>
    <t>Cuentas de Resultados</t>
  </si>
  <si>
    <t>PROVISION PRIMAS INCOBRABLES</t>
  </si>
  <si>
    <t>DEUDORES SINIESTROS</t>
  </si>
  <si>
    <t>CHEQUES GARANTIA REFINANCIAMIENTO</t>
  </si>
  <si>
    <t>SEGUROS POR COBRAR</t>
  </si>
  <si>
    <t>FILTROS EQUIPOS DE CLIMA</t>
  </si>
  <si>
    <t>REACTIVOS QUIMICOS CLIMA</t>
  </si>
  <si>
    <t>Seguros con Ahorro Previsional Voluntario (APV)</t>
  </si>
  <si>
    <t>Dotal Puro o Capital Diferido</t>
  </si>
  <si>
    <t>TOTAL SEGUROS NO PREVISIONALES</t>
  </si>
  <si>
    <t>Seguro de AFP</t>
  </si>
  <si>
    <t>TOTAL RAMOS</t>
  </si>
  <si>
    <r>
      <t xml:space="preserve">Bice </t>
    </r>
    <r>
      <rPr>
        <b/>
        <i/>
        <sz val="18"/>
        <color indexed="18"/>
        <rFont val="Comic Sans MS"/>
        <family val="4"/>
      </rPr>
      <t>Vida</t>
    </r>
  </si>
  <si>
    <t xml:space="preserve">     Münchener Rückversicherungs-Gesellschaft</t>
  </si>
  <si>
    <t xml:space="preserve">     Tolic</t>
  </si>
  <si>
    <t xml:space="preserve">     Hannover</t>
  </si>
  <si>
    <t>Instrumento Renta Fija</t>
  </si>
  <si>
    <t>Caja/Bancos</t>
  </si>
  <si>
    <t>Caja</t>
  </si>
  <si>
    <t>Bancos</t>
  </si>
  <si>
    <t>MENOR VALOR BIENES RAICES</t>
  </si>
  <si>
    <t>ARTICULOS TIENDA COMERCIAL</t>
  </si>
  <si>
    <t>EXISTENCIA BODEGA CIA.</t>
  </si>
  <si>
    <t>EXISTENCIA BODEGA TIENDA COMERCIAL</t>
  </si>
  <si>
    <t>TRASPASO DE EXISTENCIA</t>
  </si>
  <si>
    <t>PAGARE EMPRESAS</t>
  </si>
  <si>
    <t>AVANCE A TENEDORES DE POLIZAS</t>
  </si>
  <si>
    <t>BONOS SECURITIZADOS</t>
  </si>
  <si>
    <t>PROV. MUTUOS HIPOTECARIOS INCOBRABLES</t>
  </si>
  <si>
    <t>BTU TESORERIA GRAL DE LA REPUBLICA</t>
  </si>
  <si>
    <t>Nombre</t>
  </si>
  <si>
    <t>País</t>
  </si>
  <si>
    <t>Prima 
Cedida</t>
  </si>
  <si>
    <t>Costo de Reaseguro No Proporcional</t>
  </si>
  <si>
    <t>Alemania</t>
  </si>
  <si>
    <t>Reaseguro Nacional</t>
  </si>
  <si>
    <t>Reaseguro Extranjero</t>
  </si>
  <si>
    <t>Subtotales Nacionales</t>
  </si>
  <si>
    <t>Subtotales Extranjeros</t>
  </si>
  <si>
    <t>Corredores de Reaseguros</t>
  </si>
  <si>
    <t>GASTOS COMUNES AGENCIAS</t>
  </si>
  <si>
    <t>MANTENCION SOFTWARE</t>
  </si>
  <si>
    <t>GASTOS DEPTO. CREDITOS</t>
  </si>
  <si>
    <t>OTROS GASTOS</t>
  </si>
  <si>
    <t>Monto de la cuota anual al que se refiere la letra b) de la circular N° 1874</t>
  </si>
  <si>
    <t>Valor de la cuota trimestral</t>
  </si>
  <si>
    <t>Número de la cuota</t>
  </si>
  <si>
    <t>Valor de todas las cuotas reconocidas a la fecha de cierre de los estados financieros.</t>
  </si>
  <si>
    <t>Tasa de costo equivalente promedio implícita en el cálculo de las reservas técnicas base del total de la cartera de rentas vitalicias de la compañía vigentes al 31 de enero de 2008.</t>
  </si>
  <si>
    <t>MANTENCION EQUIPOS</t>
  </si>
  <si>
    <t>DIVIDENDOS BICE VIDA</t>
  </si>
  <si>
    <t>DIVIDENDOS CRUZ DEL SUR</t>
  </si>
  <si>
    <t>DIVIDENDOS METLIFE</t>
  </si>
  <si>
    <t>DIVIDENDOS OHIO NATIONAL</t>
  </si>
  <si>
    <t>Saldo
pasivo
M$</t>
  </si>
  <si>
    <t>&lt;</t>
  </si>
  <si>
    <t>Plazo
Amortizado</t>
  </si>
  <si>
    <t>Reserva
Prima no Ganada</t>
  </si>
  <si>
    <t>DIFERENCIA DE CAMBIO</t>
  </si>
  <si>
    <t>IMPUESTO A LA RENTA</t>
  </si>
  <si>
    <t>Subtotal Selección Items</t>
  </si>
  <si>
    <t>Patrimonio Neto</t>
  </si>
  <si>
    <t>Resultado Periodo</t>
  </si>
  <si>
    <t>Primas Netas</t>
  </si>
  <si>
    <t>Provisión de Cuentas Incobrables</t>
  </si>
  <si>
    <t xml:space="preserve">Ajuste CFI y CFM </t>
  </si>
  <si>
    <t>Ajuste Inversión Extranjera</t>
  </si>
  <si>
    <t>Licencia de uso de Programas</t>
  </si>
  <si>
    <t>DERECHOS DE LLAVES</t>
  </si>
  <si>
    <t>IYY US</t>
  </si>
  <si>
    <t>Bice Chileconsult
 Finanzas y Servicios  Ltda.</t>
  </si>
  <si>
    <t>79.918.860-0</t>
  </si>
  <si>
    <t>Mayor o Menor valor de Inversiones (VPP)</t>
  </si>
  <si>
    <t>RESERVAS TÉCNICAS</t>
  </si>
  <si>
    <t>RESERVA SEGUROS PREVISIONALES (D.L. 3.500)</t>
  </si>
  <si>
    <t>Rentas Vitalicias por Pagar</t>
  </si>
  <si>
    <t>Aporte Adicional Seguro Invalidez y Sobrevivencia</t>
  </si>
  <si>
    <t>RESERVA SEGUROS NO PREVISIONALES</t>
  </si>
  <si>
    <t xml:space="preserve"> </t>
  </si>
  <si>
    <t>PRIMAS POR COBRAR R.V.</t>
  </si>
  <si>
    <t>ANTICIPO DE CLIENTES</t>
  </si>
  <si>
    <t>Costos de Rentas</t>
  </si>
  <si>
    <t>Rentas Pagadas</t>
  </si>
  <si>
    <t>Variación Reservas Rentas</t>
  </si>
  <si>
    <t>Directas</t>
  </si>
  <si>
    <t>Aceptadas</t>
  </si>
  <si>
    <t>Cedidas</t>
  </si>
  <si>
    <t>Compañía de Seguros S.A.</t>
  </si>
  <si>
    <t>1.01.06.00.00</t>
  </si>
  <si>
    <t xml:space="preserve">Nombre de Fantasia </t>
  </si>
  <si>
    <t>5.01  BALANCE GENERAL</t>
  </si>
  <si>
    <t>(Cifras en miles de pesos)</t>
  </si>
  <si>
    <t>ACTIVOS</t>
  </si>
  <si>
    <t>PARCIAL</t>
  </si>
  <si>
    <t>TOTAL</t>
  </si>
  <si>
    <t>PASIVOS</t>
  </si>
  <si>
    <t>INVERSIONES</t>
  </si>
  <si>
    <t>RESERVAS TECNIC.</t>
  </si>
  <si>
    <t>Financieras</t>
  </si>
  <si>
    <t>Reserva Seg Prev</t>
  </si>
  <si>
    <t>Inmob. y Simil.</t>
  </si>
  <si>
    <t>DEUDORES POR PRIMAS</t>
  </si>
  <si>
    <t>MERCADERIA EN TRANSITO</t>
  </si>
  <si>
    <t>TRASPASO ARTICULOS TIENDA</t>
  </si>
  <si>
    <t xml:space="preserve">Goodwild Tributario </t>
  </si>
  <si>
    <t>Instrumento Renta Variable</t>
  </si>
  <si>
    <t>Inversiones en el Extranjero</t>
  </si>
  <si>
    <t>Gastos Financieros</t>
  </si>
  <si>
    <t>Bancarios</t>
  </si>
  <si>
    <t>Ajuste Provisiones y Castigos de Primas y Doc</t>
  </si>
  <si>
    <t>CORRECCIÓN MONETARIA</t>
  </si>
  <si>
    <t>ARRIENDO BRU</t>
  </si>
  <si>
    <t>RECUPERACION ARRIENDOS BRU</t>
  </si>
  <si>
    <t>ESCRITURACION</t>
  </si>
  <si>
    <t>INTERESES DEVENG BONOS EXTRANJEROS TRIB ARGENTINA</t>
  </si>
  <si>
    <t>Pólizas con ínicio de vigencia anterior al 9 de marzo de 2005</t>
  </si>
  <si>
    <t>Vale Overseas Limited</t>
  </si>
  <si>
    <t>Alto Parana S.A.</t>
  </si>
  <si>
    <t>Petrobras Intel Finance</t>
  </si>
  <si>
    <t>Compagnie De Saint Gobain</t>
  </si>
  <si>
    <t>Merrill Lynch &amp; Company</t>
  </si>
  <si>
    <t>Earls Eight Limited</t>
  </si>
  <si>
    <t>GBP</t>
  </si>
  <si>
    <t>FIDLLAI LX</t>
  </si>
  <si>
    <t>FLEFLAI LX</t>
  </si>
  <si>
    <t>GFAFX US</t>
  </si>
  <si>
    <t>TEMCHIA LX</t>
  </si>
  <si>
    <t>EWZ US</t>
  </si>
  <si>
    <t>Nemotecnico</t>
  </si>
  <si>
    <t>Utilidad del Ejercicio</t>
  </si>
  <si>
    <t>INVERSIONES DCV - VIDA</t>
  </si>
  <si>
    <t>GASTOS CCAF LOS ANDES</t>
  </si>
  <si>
    <t>PUBLICIDAD AGENCIA</t>
  </si>
  <si>
    <t>HONORARIOS POR PAGAR CONTABILIDAD</t>
  </si>
  <si>
    <t>HONORARIOS POR PAGAR MARKETING</t>
  </si>
  <si>
    <t>CUENTA CORRIENTE ADM EDIFICIO.</t>
  </si>
  <si>
    <t>PENSIONES POR PAGAR RENTAS PRIVADAS</t>
  </si>
  <si>
    <t>RES.RIESGO CURSO COLECTIVOS</t>
  </si>
  <si>
    <t>RES.RIESGO CURSO VIDA ENTERA INDIVIDUAL</t>
  </si>
  <si>
    <t>EXCHANGE TRADED FUNDS (ETF)</t>
  </si>
  <si>
    <t>PROVISION EXCHANGE TRADED FUNDS (ETF)</t>
  </si>
  <si>
    <t>FLUCTUACION VALORES ADM RENTAS</t>
  </si>
  <si>
    <t>RESULTADO EN VENTA EXCHANGE TRADED FUNDS (ETF)</t>
  </si>
  <si>
    <t>DIVIDENDOS EXCHANGE TRADED FUNDS (ETF)</t>
  </si>
  <si>
    <t>Invalidez y Sobrevivencia</t>
  </si>
  <si>
    <t>Dirección Bien Raíz</t>
  </si>
  <si>
    <t>Nombre del Tasador</t>
  </si>
  <si>
    <t>Valor Tasación [U.F.]</t>
  </si>
  <si>
    <t>Fecha Tasación</t>
  </si>
  <si>
    <t>Valor Contable [M$]</t>
  </si>
  <si>
    <t>(5.11.00.00.00)</t>
  </si>
  <si>
    <t>GASTOS MEDICOS</t>
  </si>
  <si>
    <t>ASESORIA MEDICA DESGRAVAMEN</t>
  </si>
  <si>
    <t>ARRIENDOS DEVENGADOS</t>
  </si>
  <si>
    <t>INTERESES PRESTAMOS RELACIONADOS</t>
  </si>
  <si>
    <t>FLUCTUACION DCV VIDA</t>
  </si>
  <si>
    <t>LLAVE601</t>
  </si>
  <si>
    <t>CUENTA</t>
  </si>
  <si>
    <t>M$</t>
  </si>
  <si>
    <t>MEXICHEM</t>
  </si>
  <si>
    <t>TELEMAR NL</t>
  </si>
  <si>
    <t>Mexichem</t>
  </si>
  <si>
    <t>Telemar NL</t>
  </si>
  <si>
    <t>VOTORANTIM</t>
  </si>
  <si>
    <t>BBVA MEX</t>
  </si>
  <si>
    <t>Bbva Mex</t>
  </si>
  <si>
    <t>BANCO DAVIDIENDA</t>
  </si>
  <si>
    <t>DAVVND</t>
  </si>
  <si>
    <t>COP</t>
  </si>
  <si>
    <t>CFIMSC</t>
  </si>
  <si>
    <t>RECIBOS NO APLICADOS RV</t>
  </si>
  <si>
    <t>RENTA VITALICIA POR DISTRIBUIR RV</t>
  </si>
  <si>
    <t>RENTA VITALICIA POR DISTRIBUIR INVERSIONES</t>
  </si>
  <si>
    <t>BONO DE RECONOCIMIENTO ACTUALIZADO</t>
  </si>
  <si>
    <t>RESPONSABILIDAD NEGOCIO RV BONO</t>
  </si>
  <si>
    <t>RESPONSABILIDAD NEGOCIO RV CTA INDIVIDUAL</t>
  </si>
  <si>
    <t>Inmobiliaria Nueva Apoquindo</t>
  </si>
  <si>
    <t>APORTE FISCAL APV POR COBRAR</t>
  </si>
  <si>
    <t>COMISIONES POR COBRAR RV</t>
  </si>
  <si>
    <t>BICE CTA. N 01-26970-4</t>
  </si>
  <si>
    <t>BICE CTA. N 01-26123-1</t>
  </si>
  <si>
    <t>BICE CTA. N 01-26332-3</t>
  </si>
  <si>
    <t>A. EDWARDS CTA. N 01-61-8100859</t>
  </si>
  <si>
    <t>SANTANDER CTA. N 74-0031743-1</t>
  </si>
  <si>
    <t>SANTANDER CTA. N 4405-9</t>
  </si>
  <si>
    <t>BANCO SANTANDER STGO CTA 42-04886-0</t>
  </si>
  <si>
    <t>CREDITO CTA. N 82021929</t>
  </si>
  <si>
    <t>CITIBANK N 0-105170-00-9</t>
  </si>
  <si>
    <t>BBVA CTA. N° 0504-0089-0100014918</t>
  </si>
  <si>
    <t>ESTADO CTA. N 291391</t>
  </si>
  <si>
    <t>BANCO BICE CTA 01-30497-6</t>
  </si>
  <si>
    <t>BBVA CTA. N° 0504-0089-0100013253</t>
  </si>
  <si>
    <t>BANCO BOSTON CTA N° 5226861</t>
  </si>
  <si>
    <t>CHILE CTA 11639-05</t>
  </si>
  <si>
    <t>BBVA CTA 05040099360600001892</t>
  </si>
  <si>
    <t>SANTANDER CTA 400082084105-7</t>
  </si>
  <si>
    <t>BICE CTA 01-26123-2</t>
  </si>
  <si>
    <t>BCI CTA 10256687-1</t>
  </si>
  <si>
    <t>CHILE CTA. N° 15-02724-01</t>
  </si>
  <si>
    <t>BANCO DE BOSTON CTA N° 5226861</t>
  </si>
  <si>
    <t>BBVA CTA N° 0504-0099-010002248</t>
  </si>
  <si>
    <t>BICE CTA N° 01-28527-0</t>
  </si>
  <si>
    <t>BICE CTA N° 01-29979-4</t>
  </si>
  <si>
    <t>SECURITY CTA. N° E-0482404-22</t>
  </si>
  <si>
    <t>BICE CTA. N° 01-30216-7</t>
  </si>
  <si>
    <t>SCOTIABANK CTA. N° 970670599</t>
  </si>
  <si>
    <t>BANK OF AMERICA NA Nº6550-0-27905 USD</t>
  </si>
  <si>
    <t>JP MORGAN USD CTA N° 790199947</t>
  </si>
  <si>
    <t>WACHOVIA BANK N° 07975032 (GBP)</t>
  </si>
  <si>
    <t>WACHOVIA BANK N° 07975162 (EUR)</t>
  </si>
  <si>
    <t>WELLS FARGO N° 2000192007061 (USD)</t>
  </si>
  <si>
    <t>BICE CTA N° 00-13-00259-5</t>
  </si>
  <si>
    <t>BICE CTA N° 013-01-00834-8</t>
  </si>
  <si>
    <t>SCOTIABANK COMUNIDAD</t>
  </si>
  <si>
    <t>BANCO BICE BRU CTA DIVIDENDOS</t>
  </si>
  <si>
    <t>DEPOSITOS A PLAZO REAJUSTABLE D.P.R.</t>
  </si>
  <si>
    <t>BONOS EMPRESAS</t>
  </si>
  <si>
    <t>C.E.R.O BCCH</t>
  </si>
  <si>
    <t>BONOS EXTRANJEROS</t>
  </si>
  <si>
    <t>CROSS CURRENCY SWAP</t>
  </si>
  <si>
    <t>DEUDORES  RUB POR VENTA DE BIENES</t>
  </si>
  <si>
    <t>PROVISION DEUDORES RUB</t>
  </si>
  <si>
    <t>DEUDORES VARIOS BRU</t>
  </si>
  <si>
    <t>CROSS CURRENCY SWAP FLEXIBLE</t>
  </si>
  <si>
    <t>INVERSION EN MONEDA EXTRANJERA</t>
  </si>
  <si>
    <t>DEUDORES ARRENDATARIOS BRUSA</t>
  </si>
  <si>
    <t>NOTAS ESTRUCTURADAS</t>
  </si>
  <si>
    <t>PROV. ADICIONAL MUTUOS HIPOTECARIOS</t>
  </si>
  <si>
    <t>PROV. MENOR VALOR TASACION LEASING</t>
  </si>
  <si>
    <t>ACCIONES EXTRANJERAS (ACE)</t>
  </si>
  <si>
    <t>PROV. FLUCT. ACCIONES EXTRANJERAS (ACE)</t>
  </si>
  <si>
    <t>CREDITOS SINDICADOS</t>
  </si>
  <si>
    <t>BONOS VIVIENDA LEASING</t>
  </si>
  <si>
    <t>BONOS EMPRESA TASA FLOTANTE</t>
  </si>
  <si>
    <t>BTP BONOS TESORERIA GRAL DE LA REPUBLICA PESOS</t>
  </si>
  <si>
    <t>ACCIONES NACIONALES (ACC)</t>
  </si>
  <si>
    <t>PROVISION ACCIONES PRESENCIA AJUSTADA (ACC)</t>
  </si>
  <si>
    <t>CUOTAS DE FONDOS DE INVERSION (CFI)</t>
  </si>
  <si>
    <t>PROV. CUOTAS DE FONDOS DE INVERSIÓN (CFI)</t>
  </si>
  <si>
    <t>INVERSION FONDOS MUTUOS NACIONALES</t>
  </si>
  <si>
    <t>CUOTAS DE FONDOS DE INVERSION INTERNACIONAL (CFII)</t>
  </si>
  <si>
    <t>FLUCTUACION CUOTAS DE FONDOS MUTUOS NACIONALES</t>
  </si>
  <si>
    <t>PROV. CUOTAS FONDOS DE INVERSION INTERNACIONAL (CFII)</t>
  </si>
  <si>
    <t xml:space="preserve">PROVISION DEUDORES INCOBRABLES APV   </t>
  </si>
  <si>
    <t>GARANTIA BRU COMUNIDAD EDIF. AHUMADA</t>
  </si>
  <si>
    <t>COMU. EDIF. CIA PLAZA DE ARMAS  BRU</t>
  </si>
  <si>
    <t>DEPOSITO A PLAZO FIJO D.P.F. APV</t>
  </si>
  <si>
    <t>PROV. MUTUOS HIPOTECARIOS INCOBRABLES APV</t>
  </si>
  <si>
    <t>C.E.R.O BCCH APV</t>
  </si>
  <si>
    <t>BONOS EXTRANJEROS APV</t>
  </si>
  <si>
    <t>BONO SECURITIZADO APV</t>
  </si>
  <si>
    <t>ACCIONES NACIONALES APV (ACC)</t>
  </si>
  <si>
    <t>PROVISION ACCIONES NACIONALES PRESENCIA AJUSTADA APV (ACC)</t>
  </si>
  <si>
    <t>CUOTAS DE FONDOS DE INVERSION APV (CFI)</t>
  </si>
  <si>
    <t>PROV. CUOTAS DE FONDOS DE INVERSION APV (CFI)</t>
  </si>
  <si>
    <t>CUOTAS DE FONDOS DE INVERSION INTERNACIONAL APV (CFII)</t>
  </si>
  <si>
    <t>PROV. CUOTAS FONDOS DE INVERSION INTERNACIONAL APV (CFII)</t>
  </si>
  <si>
    <t>FLUCTUACION CUOTAS DE FONDOS MUTUOS EXTRANJEROS APV</t>
  </si>
  <si>
    <t>DEPOSITO A PLAZO FIJO D.P.F. CUI</t>
  </si>
  <si>
    <t>PROV. MUTUOS HIPOTECARIOS INCOBRABLES CUI</t>
  </si>
  <si>
    <t>C.E.R.O BCCH CUI</t>
  </si>
  <si>
    <t>B.C.P. FLEXIBLE</t>
  </si>
  <si>
    <t>BONOS EXTRANJEROS CUI</t>
  </si>
  <si>
    <t>LETRAS HIPOTECARIAS RUB</t>
  </si>
  <si>
    <t>BONOS EMPRESA TASA FLOTENTE CUI</t>
  </si>
  <si>
    <t>BONOS SECURITIZADOS CUI</t>
  </si>
  <si>
    <t>BTU TESORERIA GRAL DE LA REPUBLICA CUI</t>
  </si>
  <si>
    <t>ACCIONES NACIONALES CUI (ACC)</t>
  </si>
  <si>
    <t>PROVISION ACCIONES NACIONALES PRESENCIA AJUSTADA CUI (ACC)</t>
  </si>
  <si>
    <t>CUOTAS DE FONDOS DE INVERSION CUI (CFI)</t>
  </si>
  <si>
    <t>PROV. CUOTAS DE FONDOS DE INVERSION CUI (CFI)</t>
  </si>
  <si>
    <t>CUOTAS DE FONDOS DE INVERSION INTERNACIONAL CUI (CFII)</t>
  </si>
  <si>
    <t>PROV CUOTAS FONDOS DE INVERSION INTERNACIONAL (CFII)</t>
  </si>
  <si>
    <t>FLUCTUACION CUOTAS DE FONDOS MUTUOS EXTRANJEROS CUI</t>
  </si>
  <si>
    <t>DIVIDENDOS POR COBRAR</t>
  </si>
  <si>
    <t>DIVIDENDOS SECURITY</t>
  </si>
  <si>
    <t>GTOS OPERACIONALES POR COBRAR</t>
  </si>
  <si>
    <t>EXCHANGE TRADED FUNDS FLEXIBLE</t>
  </si>
  <si>
    <t>PROVISION FLUCTUACION EXCHANGE TRADED FUNDS APV</t>
  </si>
  <si>
    <t>PROVISION FLUCTUACION EXCHANGE TRADED FUNDS FLEXIBLE</t>
  </si>
  <si>
    <t>FACTURAS POR COBRAR TELEMARKETING</t>
  </si>
  <si>
    <t>FACTURAS POR COBRAR INDIVIDUALES</t>
  </si>
  <si>
    <t>PRIMAS POR COBRAR DESGRAVAMEN</t>
  </si>
  <si>
    <t>PRESTAMOS AUTOMATICOS EN TRANSITO</t>
  </si>
  <si>
    <t>PRIMAS POR COBRAR MASIVOS</t>
  </si>
  <si>
    <t>FACTURAS EMITIDAS INDIVIDUALES</t>
  </si>
  <si>
    <t>RECAUDACION INDIVIDUAL</t>
  </si>
  <si>
    <t>PRIMAS POR COBRAR CORPORATIVOS</t>
  </si>
  <si>
    <t>PRIMAS POR COBRAR R.V. PRIVADA</t>
  </si>
  <si>
    <t>PRIMAS COLECTIVAS POR APLICAR</t>
  </si>
  <si>
    <t>NOTAS DE PRODUCCIÓN COLECTIVOS</t>
  </si>
  <si>
    <t>NUEVA FACTURAS POR COBRAR COLECTIVOS</t>
  </si>
  <si>
    <t>NUEVAS NOTAS DE COBRANZA COLECTIVOS</t>
  </si>
  <si>
    <t>RECAUDACION TARJETA CREDITO CAJA</t>
  </si>
  <si>
    <t>PROVISION DEUDORES INCOBRABLES INDIVIDUALES</t>
  </si>
  <si>
    <t>RECIBOS NO APLICADOS APV</t>
  </si>
  <si>
    <t>RECIBOS NO IDENTIFICADOS BRUSA DOS</t>
  </si>
  <si>
    <t>APV PRIMERAS PRIMAS POR COBRAR</t>
  </si>
  <si>
    <t>APV CONTROL PRIMERAS PRIMAS</t>
  </si>
  <si>
    <t>PROVISION SINIESTROS CEDIDOS INCOBRABLES</t>
  </si>
  <si>
    <t>PROV. PART. REASEGUROS</t>
  </si>
  <si>
    <t>PROVISION PARTICIPACION INCOBRABLE</t>
  </si>
  <si>
    <t>CHEQUE EN CARTERA RUB</t>
  </si>
  <si>
    <t>CHEQUE PROTESTADOS EN CARTERA</t>
  </si>
  <si>
    <t>DOCUMENTOS INCOB. BRUSSA DOS</t>
  </si>
  <si>
    <t>CTA CTE ASIGNACION FAMILIAR PENSIONADOS</t>
  </si>
  <si>
    <t>DEV. X COBRAR IMPTO AL MUTUO</t>
  </si>
  <si>
    <t>CTA. CTE. TESORERIA GENERAL DE LA REPUBLICA</t>
  </si>
  <si>
    <t>DONACIONES BRU ART.47 DL 3063</t>
  </si>
  <si>
    <t>PPM BRU ART. 33 BIS</t>
  </si>
  <si>
    <t>APORTE PREVISIONAL SOLIDARIO POR COBRAR IPS</t>
  </si>
  <si>
    <t>APORTE PREVISIONAL SOLIDARIO POR COBRAR PENSIONADO</t>
  </si>
  <si>
    <t>BONOS APORTE PREVISIONAL SOLIDARIO</t>
  </si>
  <si>
    <t>CUOTAS POR COBRAR PENSIONADOS</t>
  </si>
  <si>
    <t>CREDITO CONSUMO HIPOTECARIA</t>
  </si>
  <si>
    <t>CUOTAS CRED CONDUMO HIPOTECARIA POR COBRAR</t>
  </si>
  <si>
    <t>PREPAGOS POR COBRAR CREDITOS DE CONSUMO</t>
  </si>
  <si>
    <t>CUOTAS POR COBRAR LINEA DE CREDITO CREDIVIDA</t>
  </si>
  <si>
    <t>PROVISION INCOB. LINEA DE CREDITO CREDIVIDA</t>
  </si>
  <si>
    <t>CTA X COBRAR DESGRAVAMEN CREDITOS PENSIONADOS</t>
  </si>
  <si>
    <t>DISTRIBUCION APV POR CONVENIOS</t>
  </si>
  <si>
    <t>FONDO FIJO SUC. PAGO SINIESTROS SALUD</t>
  </si>
  <si>
    <t>FONDOS A RENDIR INMOBILIARIOS</t>
  </si>
  <si>
    <t>FONDOS A RENDIR EN EFECTIVO</t>
  </si>
  <si>
    <t>GARANTIAS X COBRAR</t>
  </si>
  <si>
    <t>ANTICIPO COMISIONES</t>
  </si>
  <si>
    <t>FONDOS POR RENDIR TRASSA</t>
  </si>
  <si>
    <t>CUENTA POR COBRAR</t>
  </si>
  <si>
    <t>ARRIENDOS POR COBRAR EX-LEASING</t>
  </si>
  <si>
    <t>RECAUDACIONES INMOBILIARIAS POR DISTRIBUIR</t>
  </si>
  <si>
    <t>CARGOS PAC POR SERVICIOS</t>
  </si>
  <si>
    <t>CTA X COBRAR PROPIEDADES PROCESO CPA/VTA</t>
  </si>
  <si>
    <t>CONTRIBUC. Y SEGUROS X COBRAR INMOBILIARIOS</t>
  </si>
  <si>
    <t>CTA CTE DEUDORES CARGO DIVIDENDO</t>
  </si>
  <si>
    <t>CTAS POR COBRAR INMOBILIARIAS</t>
  </si>
  <si>
    <t>CREDITO ACT. FIJO ART. 33 BIS LIR</t>
  </si>
  <si>
    <t>OTRAS CTAS POR COBRAR INMOBILIARIAS</t>
  </si>
  <si>
    <t>PAGO PROVISIONALES MENSUALES BRU</t>
  </si>
  <si>
    <t>CREDITO 4% ART. 104 LIR (LEY N° 20343)</t>
  </si>
  <si>
    <t>CUENTA CORRIENTE BRUSA</t>
  </si>
  <si>
    <t>CUENTA CORRIENTE POR COBRAR EE.RR.</t>
  </si>
  <si>
    <t>EDIFICIO BURGOS/APOQUINDO EN CONSTRUCCION</t>
  </si>
  <si>
    <t>BICE VIDA CIA DE SEGUROS</t>
  </si>
  <si>
    <t>COASA</t>
  </si>
  <si>
    <t>INMOB. DES Y CONST SANTO TOMAS</t>
  </si>
  <si>
    <t>SANITARIA BCC. S.A.</t>
  </si>
  <si>
    <t>COASA LIMITADA</t>
  </si>
  <si>
    <t>PROYECTO VALLE GRANDE</t>
  </si>
  <si>
    <t>SOC. INMOB. DON TOMAS S.A.</t>
  </si>
  <si>
    <t>NOVAGUAS S.A.</t>
  </si>
  <si>
    <t>CTA CTE SANITARIA BCC S.A.</t>
  </si>
  <si>
    <t>PIEDRA ROJA DESARROLLOS INMOBILIARIOS S.A.</t>
  </si>
  <si>
    <t>FLUCTUACION SANITARIA AGUAS NOVA S.A.</t>
  </si>
  <si>
    <t>DES. INMOB. Y CONST. VALLE GRANDE S.A.</t>
  </si>
  <si>
    <t>DES. INMOB. Y CONST. SANTO TOMAS S.A.</t>
  </si>
  <si>
    <t>FLUCT. DES. INMOB. Y CONST. VALLE GRANDE S.A.</t>
  </si>
  <si>
    <t>FLUCT. DES. INMOB. Y CONST. SANTO TOMAS S.A.</t>
  </si>
  <si>
    <t>INMOB. PARQUE Q. NORMAL S.A.</t>
  </si>
  <si>
    <t>FLUCT. PARQUE Q. NORMAL S.A.</t>
  </si>
  <si>
    <t>FLUCT. INMOBILIARIA BBI S.A.</t>
  </si>
  <si>
    <t>FLUCTUACION INMOB. VICENTE VALDES</t>
  </si>
  <si>
    <t>CTA. CTE. INMOB. VICENTE VALDES</t>
  </si>
  <si>
    <t>INMOBILIARIA LOS MORROS S.A.</t>
  </si>
  <si>
    <t>CTA. CTE. INMOB. LOS MORROS S.A.</t>
  </si>
  <si>
    <t>CTA. CTE. PIEDRA ROJA DESARROLLOS INMOB. S.A.</t>
  </si>
  <si>
    <t>CTA. CTE INMOBILIARIA BBI S.A.</t>
  </si>
  <si>
    <t>CTA CTE INMOB. COSTALMAHUE S.A.</t>
  </si>
  <si>
    <t>COSTALMAHUE S.A.</t>
  </si>
  <si>
    <t>FLUCTUAC. INMOB. LOS MORROS S.A.</t>
  </si>
  <si>
    <t>FLUCTUAC. INMOB. COSTALMAHUE S.A.</t>
  </si>
  <si>
    <t>OTROS ACTIVOS SANTO TOMAS</t>
  </si>
  <si>
    <t>INV. INMOBILIARIAS SEGURAS S.A.</t>
  </si>
  <si>
    <t>FLUCT. VALORES INV. INMOB. SEGURAS S.A.</t>
  </si>
  <si>
    <t>FIP VIÑA DEL MAR</t>
  </si>
  <si>
    <t>FLUCT. FIP VIÑA DEL MAR</t>
  </si>
  <si>
    <t>FLUCT. FIP REPUBLICA DE CUBA</t>
  </si>
  <si>
    <t>INV. INMOB Y CONST. NUEVA APOQUINDO S.A.</t>
  </si>
  <si>
    <t>FLUCT. INV. INMOB Y CONST. NUEVA APOQUINDO S.A.</t>
  </si>
  <si>
    <t>CTA. CTE. INV. INMOB Y CONST. NUEVA APOQUINDO S.A.</t>
  </si>
  <si>
    <t>PROV. CTA CTE INMOB PARQUE QUINTA NORMAL S.A.</t>
  </si>
  <si>
    <t>IMP. DIFERIDO POR COBRAR BRU</t>
  </si>
  <si>
    <t>DIVIDENDOS POR COBRAR RENTA VARIABLE</t>
  </si>
  <si>
    <t>ACCIONES NACIONALES POR COBRAR (ACC)</t>
  </si>
  <si>
    <t>VENCIMIENTO BONOS RECONOCIMIENTO POR COBRAR</t>
  </si>
  <si>
    <t>PROVISION DIVIDENDOS  MH  INCOBRABLES</t>
  </si>
  <si>
    <t>INVERSIONES POR DISTRIBUIR RENTA FIJA</t>
  </si>
  <si>
    <t>INVERSIONES POR DISTRIBUIR RENTA VARIABLE</t>
  </si>
  <si>
    <t>INVERSIONES POR DISTRIBUIR FONDOS MUTUOS</t>
  </si>
  <si>
    <t>INVERSIONES POR DISTRIBUIR DOLARES</t>
  </si>
  <si>
    <t>INVERSIONES POR DISTRIBUIR MUTUOS HIPOTECARIOS</t>
  </si>
  <si>
    <t xml:space="preserve"> LEASING POR DISTRIBUIR</t>
  </si>
  <si>
    <t>BANCOS POR DISTRIBUIR</t>
  </si>
  <si>
    <t>ANTICIPO DE SUELDO POR DISTRIBUIR</t>
  </si>
  <si>
    <t>DIVIDENDOS POR COBRAR MH HLC</t>
  </si>
  <si>
    <t>SEGUROS POR COBRAR MH DEUDORES</t>
  </si>
  <si>
    <t>PRIMERAS PRIMAS X COBRAR DEL PERSONAL</t>
  </si>
  <si>
    <t>INVERSIONES POR DISTRIBUIR INMOBILIARIAS</t>
  </si>
  <si>
    <t>EDITORIAL UNIVERSITARIA   BRU</t>
  </si>
  <si>
    <t>DEUDORES POR VTA B. RAIZ  AL. PLAZO BRU</t>
  </si>
  <si>
    <t>DEP. ACUMULADA MAQ Y EQUIPO</t>
  </si>
  <si>
    <t>AMORTIZACION  ACUMULADA SOFTWARE</t>
  </si>
  <si>
    <t>DEP. ACUMULADA EQUIPOS COMPUTACIONALES</t>
  </si>
  <si>
    <t>DEP ACUM REMODELACIONES</t>
  </si>
  <si>
    <t>ACTIVO FIJO INMOBILIARIO EN TRANSITO</t>
  </si>
  <si>
    <t>EDIFICIOS BRUSA DOS</t>
  </si>
  <si>
    <t>DEPRECIACION ACUMULADA BRUSA DOS</t>
  </si>
  <si>
    <t>DEP.ACUMULADA OTROS ACTIVOS</t>
  </si>
  <si>
    <t>MENOR VALOR INVERSION NUEVA APOQUINDO</t>
  </si>
  <si>
    <t>DERECHOS OPCION DE VENTA</t>
  </si>
  <si>
    <t>CUENTA X COBRAR ACTIVOS EN LEASING</t>
  </si>
  <si>
    <t>DEPREC. ACUMULADA ACTIVOS EN LEASING</t>
  </si>
  <si>
    <t>CUENTA X COBRAR DEUDORES MH</t>
  </si>
  <si>
    <t>CUENTAS X COBRAR B.R.A. VENDIDOS</t>
  </si>
  <si>
    <t>DEPRECIACION ACUMULADA BS. RS. ADJUDICADOS</t>
  </si>
  <si>
    <t>OTRAS  CUENTAS POR COBRAR INMOBILIARIAS</t>
  </si>
  <si>
    <t>DERECHOS NEGOCIO RV BONO</t>
  </si>
  <si>
    <t>DERECHOS NEGOCIO RV CTA INDIVIDUAL</t>
  </si>
  <si>
    <t>RECIBOS NO APLICADOS CTA DE ORDEN</t>
  </si>
  <si>
    <t>PAGOS ADMINISTRACION</t>
  </si>
  <si>
    <t>CONTROL CAMBIO BENEFICIARIOS</t>
  </si>
  <si>
    <t>CONTROL L.C. CREDIVIDA APERTURA</t>
  </si>
  <si>
    <t>RES.RIESGO CURSO DESGRAVAMEN COLECTIVOS</t>
  </si>
  <si>
    <t>RES.RIESGO DESGRAVAMEN INDIVIDUAL</t>
  </si>
  <si>
    <t>RES.RIESGO CURSO ACCID. PER. COLECTIVOS</t>
  </si>
  <si>
    <t>RES.RIESGO CURSO TEMPORAL VIDA COLECTIVOS</t>
  </si>
  <si>
    <t>RES.RIESGO CURSO TEMPORAL VIDA INDIVIDUAL</t>
  </si>
  <si>
    <t>RES.RIESGO CURSO INCAPACIDAD O INVALIDEZ INDIV.</t>
  </si>
  <si>
    <t>RES.RIESGO CURSO INCAPACIDAD O INVALIDEZ COLECTIVOS</t>
  </si>
  <si>
    <t>RES.RIESGO CURSO PROTECCION FAMILIAR COLECTIVOS</t>
  </si>
  <si>
    <t>RES.RIESGO CURSO INDIVIDUALES</t>
  </si>
  <si>
    <t>RES.MATEMATICA  C/P ACCID. PER. COLECTIVOS</t>
  </si>
  <si>
    <t>RES.MATEMATICA C/P TEMPORAL VIDA COLECTIVOS</t>
  </si>
  <si>
    <t>RES.MATEMATICA C/P TEMPORAL VIDA INDIVIDUAL</t>
  </si>
  <si>
    <t>RES MATEMATICA C/P VIDA ENTERA INDIVIDUAL</t>
  </si>
  <si>
    <t>RES.MATEMATICA C/P INCAPACIDAD O INVALIDEZ INDIV.</t>
  </si>
  <si>
    <t>RES.MATEMATICA C/P INCAPACIDAD O INVALIDEZ COLECTIVOS</t>
  </si>
  <si>
    <t>RES.MATEMATICA C/P PROTECCION FAMILIAR COLECTIVOS</t>
  </si>
  <si>
    <t>RES.SINIESTROS TEMPORAL VIDA COLECTIVOS</t>
  </si>
  <si>
    <t>RES.SINIESTROS SALUD COLECTIVOS</t>
  </si>
  <si>
    <t>RESERVA OC. Y NO REPORTADO SALUD</t>
  </si>
  <si>
    <t>RESERVA OC. Y NO REP DESGRAVAMEN IND.</t>
  </si>
  <si>
    <t>RESERVA OC. Y NO REP TEMPORAL VIDA COL.</t>
  </si>
  <si>
    <t>RES.SINIESTROS INCAPACIDAD O INVALIDEZ INDIV.</t>
  </si>
  <si>
    <t>RESERVA OC. Y NO REP PROTECCION FAM COLECTIVOS.</t>
  </si>
  <si>
    <t>RESERVA OC. Y NO REP INCAP O INV COL.</t>
  </si>
  <si>
    <t>RESERVA OC. Y NO REP ACCIDENTES PERS. COL</t>
  </si>
  <si>
    <t>RES.SINIESTROS PROTECCION FAMILIAR COLECTIVOS</t>
  </si>
  <si>
    <t>RESERVA OC. Y NO REP VIDA ENTERA IND.</t>
  </si>
  <si>
    <t>RESERVA OC. Y NO REP TEMPORAL VIDA IND.</t>
  </si>
  <si>
    <t>RESERVA OC. Y NO REP OTROS SEGUROS CUI IND.</t>
  </si>
  <si>
    <t>RESERVA OC. Y NO REP MIXTO O DOTAL IND.</t>
  </si>
  <si>
    <t>RESERVA OC. Y NO REP INCAP O INV IND.</t>
  </si>
  <si>
    <t>RESERVA OC. Y NO REP SALUD IND.</t>
  </si>
  <si>
    <t>RESERVA OC. Y NO REP ACCIDENTES PERS. IND.</t>
  </si>
  <si>
    <t>INGRESO ANTICIPADO POR REASEGUROS</t>
  </si>
  <si>
    <t>RECAUDACION DIVIDENDOS BANCO CHILE</t>
  </si>
  <si>
    <t>COTIZACION SALUD PENSIONADOS</t>
  </si>
  <si>
    <t>CAJA COMPENSACION PENSIONADOS</t>
  </si>
  <si>
    <t>PRESTAMOS CAJA COMPENSACION</t>
  </si>
  <si>
    <t>PTMOS CAJA COMPENSACION PENSIONADOS</t>
  </si>
  <si>
    <t>INSTITUTO DE NORMALIZACION PREV. INP</t>
  </si>
  <si>
    <t>RET IMPTO UNICO PENSIONADOS</t>
  </si>
  <si>
    <t>PROVISION IMPUESTO  A LA RENTA</t>
  </si>
  <si>
    <t>IMPUESTO TIMBRE Y ESTAMPILLAS</t>
  </si>
  <si>
    <t>INV POR PAGAR RETRO COMPRA</t>
  </si>
  <si>
    <t>INV POR PAGAR RETRO VENTA</t>
  </si>
  <si>
    <t>CROSS CURRENCY SWAP POR PAGAR</t>
  </si>
  <si>
    <t>SUELDOS POP PAGAR</t>
  </si>
  <si>
    <t>CTA CTE BIENESTAR</t>
  </si>
  <si>
    <t>PENSIONES R.V.POR PAGAR</t>
  </si>
  <si>
    <t>CTA CTE DEUDORES REFINANCIAMIENTO</t>
  </si>
  <si>
    <t>CUENTAS POR PAGAR</t>
  </si>
  <si>
    <t>ABONOS DE DIVIDENDOS HIPOTECARIOS</t>
  </si>
  <si>
    <t>CTA CTE DEUDORES PROCESO</t>
  </si>
  <si>
    <t>CTA CTE REFINANCIAMIENTO PROCESO</t>
  </si>
  <si>
    <t>CTA CTE INMOBILIARIAS PROCESO</t>
  </si>
  <si>
    <t>CUENTAS POR PAGAR EE.RR.</t>
  </si>
  <si>
    <t>HIPOTECARIA LA CONSTRUCCION S.A. POR PAGAR</t>
  </si>
  <si>
    <t>OTRAS CUENTAS POR PAGAR INMOBILIARIAS</t>
  </si>
  <si>
    <t>GARANTIA DE ARRIENDO  BRU</t>
  </si>
  <si>
    <t>RETENCION PARA REPARACIONES  BRU</t>
  </si>
  <si>
    <t>CUENTAS X PAGAR INMOB BRUSA DOS</t>
  </si>
  <si>
    <t>ARRIENDOS ANTICIPADOS  BRU</t>
  </si>
  <si>
    <t>PROVEEDORES REEMISION SINIESTROS SALUD</t>
  </si>
  <si>
    <t>PROVEEDORES PENSIONES Y GASTOS DE ADM. PENSIONES</t>
  </si>
  <si>
    <t>PROVEEDORES DEVOLUCIONES INDIVIDUALES</t>
  </si>
  <si>
    <t>CTA. CTE ACTIVIDADES DEL PERSONAL</t>
  </si>
  <si>
    <t>DERECHOS OPCION DE COMPRA</t>
  </si>
  <si>
    <t>PROVEEDORES SINIESTROS POR PAGAR SALUD</t>
  </si>
  <si>
    <t>CUENTA POR PAGAR CAJA LOS ANDES</t>
  </si>
  <si>
    <t>COMIS.CORREDORES MASIVOS POR PAGAR</t>
  </si>
  <si>
    <t>COMISION CORREDORES DESGRAVAMEN POR PAGAR</t>
  </si>
  <si>
    <t>AJUSTE DE CONTRATOS AFP</t>
  </si>
  <si>
    <t>PRIMERAS PRIMAS 57 BIS</t>
  </si>
  <si>
    <t>RECEPCION OC INVENTARIO TIENDA</t>
  </si>
  <si>
    <t>RECEPCION OC INVENTARIO CIA</t>
  </si>
  <si>
    <t>PRIMAS ANTICIPADAS INDIVIDUAL</t>
  </si>
  <si>
    <t>PROVEEDORES SINIESTROS SALUD</t>
  </si>
  <si>
    <t>DIVIDENDOS POR PAGAR ACCIONISTAS</t>
  </si>
  <si>
    <t>PROVEEDORES RENTA VARIABLE</t>
  </si>
  <si>
    <t>HONORARIOS POR PAGAR VALORES GARANTIZ. INDIV.</t>
  </si>
  <si>
    <t>HONORARIOS POR PAGAR PENSIONES Y GTOS ADM. PENSIONES</t>
  </si>
  <si>
    <t>HONORARIOS POR PAGAR DEVOLUC. INDIVIDUALES</t>
  </si>
  <si>
    <t>HONORARIOS POR PAGAR GTOS. MUTUOS HIPOTECARIOS</t>
  </si>
  <si>
    <t>APORTE PREVISIONAL SOLIDARIO POR PAGAR IPS</t>
  </si>
  <si>
    <t>APORTE PREVISIONAL SOLIDARIO POR PAGAR PENSIONADO</t>
  </si>
  <si>
    <t>CUENTA CORRIENTE CREDITOS POR DEVOLVER PENSIONADOS</t>
  </si>
  <si>
    <t>COMISION CORREDORES TELEMARKETING POR PAGAR</t>
  </si>
  <si>
    <t>COMISION ADMINISTRACION MASIVOS POR PAGAR</t>
  </si>
  <si>
    <t>COMISION ADMINISTRACION DESGRAVAMEN POR PAGAR</t>
  </si>
  <si>
    <t>COMISION ADMINISTRACION TELEMARKETING POR PAGAR</t>
  </si>
  <si>
    <t>AHORRRO CLIENTES APV POR PAGAR</t>
  </si>
  <si>
    <t>SEGURO DESGRAVAMEN POR PAGAR L.C. CREDIVIDA</t>
  </si>
  <si>
    <t>APV AVANCE PRIMERAS PRIMAS</t>
  </si>
  <si>
    <t>PENSIONES DEVENGADAS Y NO COBRADAS</t>
  </si>
  <si>
    <t>ANUALIDADES POR PAGAR SEGUROS UNIVERSITARIOS</t>
  </si>
  <si>
    <t>PROVEEDORES LINEA DE CREDITO</t>
  </si>
  <si>
    <t>OBLIGACION SUSCRIPCION FIP</t>
  </si>
  <si>
    <t>PROVISION VACACIONES</t>
  </si>
  <si>
    <t>PROVISION PRE-PAGO MUTUOS</t>
  </si>
  <si>
    <t>PROVISION DOC.INCOB.</t>
  </si>
  <si>
    <t>PROVISION DOC. INCOB BRUSA DOS</t>
  </si>
  <si>
    <t>PROVISIONES VARIAS BRUSA DOS</t>
  </si>
  <si>
    <t>PROVISION BE ADMINISTRACION</t>
  </si>
  <si>
    <t>IMPUESTO DIFERIDO POR PAGAR C/P</t>
  </si>
  <si>
    <t>ACTIVO COMPLEMENTARIO IMPUESTO DIF POR PAGAR</t>
  </si>
  <si>
    <t>PARTICIPACION CLIENTES TEMPORAL VIDA COLECTIVOS</t>
  </si>
  <si>
    <t>PARTICIPACION CLIENTES SALUD  COLECTIVOS</t>
  </si>
  <si>
    <t>PARTICIPACION CLIENTES DESGRAVAMEN  COLECTIVOS</t>
  </si>
  <si>
    <t>CTA CTE. COMU. EDIF. CIA PLAZA DE ARMAS  BRU</t>
  </si>
  <si>
    <t>DIVIDENDOS PAGADOS POR ADELANTADO</t>
  </si>
  <si>
    <t>OTRAS CUENTAS INMOBILIARIAS</t>
  </si>
  <si>
    <t>INGRESOS PERCIBIDOS POR ADELANTADO</t>
  </si>
  <si>
    <t>RECIBOS ANTICIPADO A CUENTA</t>
  </si>
  <si>
    <t>R.T.L/P VEJEZ</t>
  </si>
  <si>
    <t>R.T.L/P INVALIDEZ</t>
  </si>
  <si>
    <t>R.T.L/P SOBREVIVENCIA</t>
  </si>
  <si>
    <t>R.T.L/P PRIVADA</t>
  </si>
  <si>
    <t>R.T.L/P VEJEZ ANTICIPADA</t>
  </si>
  <si>
    <t>FLUCTUACION R.PRIVADA</t>
  </si>
  <si>
    <t>RES.MATEMATICA L/P DESGRAVAMEN COLECTIVO</t>
  </si>
  <si>
    <t>RES.MATEMATICA L/P TEMPORAL VIDA INDIVIDUAL</t>
  </si>
  <si>
    <t>RES.MATEMATICA L/P TEMPORAL VIDA COLECTIVO</t>
  </si>
  <si>
    <t>RES.MATEMATICA L/PDESGRAVAMEN INDIVIDUAL</t>
  </si>
  <si>
    <t>RES.MATEMATICA  L/P ACCID. PER. COLECTIVOS</t>
  </si>
  <si>
    <t>RES MATEMATICA L/P VIDA ENTERA INDIVIDUAL</t>
  </si>
  <si>
    <t>RES.MATEMATICA L/P INCAPACIDAD O INVALIDEZ INDIV.</t>
  </si>
  <si>
    <t>RES.MATEMATICA L/P INCAPACIDAD O INVALIDEZ COLECTIVOS</t>
  </si>
  <si>
    <t>RES.MATEMATICA L/P PROTECCION FAMILIAR COLECTIVOS</t>
  </si>
  <si>
    <t>IMPUESTO DIFERIDO POR PAGAR L/P</t>
  </si>
  <si>
    <t>PASIVO COMPLEMENTARIO IMPTO DIF X COBRAR L/P</t>
  </si>
  <si>
    <t>MAYOR MENORVALOR VENTA ACC. PROPIAS</t>
  </si>
  <si>
    <t>REVALORIZACION VENTAS ACCIONES PROPIA</t>
  </si>
  <si>
    <t>DIVIDENDOS PROVISORIOS (JUN-07)</t>
  </si>
  <si>
    <t>DIVIDENDOS ABRIL 2008</t>
  </si>
  <si>
    <t>UTILIDAD PERDIDA EJERCICIO ANT.</t>
  </si>
  <si>
    <t>RESULTADO POR IMPTO DIF</t>
  </si>
  <si>
    <t>IMPTO DIFERIDO GOODWILL TRIBUTARIO</t>
  </si>
  <si>
    <t>PRIMA DIRECTA 1ER AÑO</t>
  </si>
  <si>
    <t>PRIMA DIRECTA RENOVACIÓN</t>
  </si>
  <si>
    <t>PRIMA CEDIDA 1ER AÑO</t>
  </si>
  <si>
    <t>PRIMA CEDIDA RENOVACIÓN</t>
  </si>
  <si>
    <t>DESCUENTO COMISION REASEGURO 1ER AÑO</t>
  </si>
  <si>
    <t>INTERES DEV. L/H IVP</t>
  </si>
  <si>
    <t>INTERESES DEV. FONDOS MUTUOS</t>
  </si>
  <si>
    <t>INTERES PERCIB. DPR</t>
  </si>
  <si>
    <t>INTERES PERCIB. L/H IVP</t>
  </si>
  <si>
    <t>INTERES PERCIB. PRC</t>
  </si>
  <si>
    <t>INTERES PERCIB. FONDOS MUTUOS</t>
  </si>
  <si>
    <t>REAJUSTES DPR</t>
  </si>
  <si>
    <t>REAJUSTES BONO RECONOCIMIENTO</t>
  </si>
  <si>
    <t>REAJUSTES PRIMAS CEDIDA</t>
  </si>
  <si>
    <t>PERCIBIDO INVERSION EXTRANJERA RENTA FIJA</t>
  </si>
  <si>
    <t>INTERESES PERCIB. PTMOS ORDINARIOS AV.T</t>
  </si>
  <si>
    <t>DEVENGADO INVERSION EXTRANJERA RENTA FIJA</t>
  </si>
  <si>
    <t>INTERESES DEVENG. PTMOS AUTOMATICOS AV.T</t>
  </si>
  <si>
    <t>REAJUSTES VARIOS</t>
  </si>
  <si>
    <t>INTERESES FLEXIBLES</t>
  </si>
  <si>
    <t>INTERESES CROSS C. SWAP</t>
  </si>
  <si>
    <t>INTERES DEVENGADO CREDITOS SINDICADOS</t>
  </si>
  <si>
    <t>PERCIBIDOS SWAP FLEXIBLE</t>
  </si>
  <si>
    <t>INTERESES CROSS CURRENCY SWAP FLEXIBLE</t>
  </si>
  <si>
    <t>INTERESES PERCIB BONOS EXTRANJEROS TRIB ARGENTINA</t>
  </si>
  <si>
    <t>REAJUSTES BONOS EXTRANJEROS TRIBUTACION ARGENTINA</t>
  </si>
  <si>
    <t>INTERESES PERCIBIDOS DPF</t>
  </si>
  <si>
    <t>INTERESES DEV. BCU</t>
  </si>
  <si>
    <t>INTERESES PERCIBIDOS BCU</t>
  </si>
  <si>
    <t>INTERESES PERCIB. BONOS EXTRANJEROS</t>
  </si>
  <si>
    <t>INTERESES PERCIB. PAGARES EMPRESAS</t>
  </si>
  <si>
    <t>REAJUSTES PAGARE EMPRESAS</t>
  </si>
  <si>
    <t>INTERESES PERCIB. BONOS SECURITIZADOS</t>
  </si>
  <si>
    <t>INTERESES PERCIB. BONOS GARANTIZADOS</t>
  </si>
  <si>
    <t>INTERESES DEVENGADOS BTU</t>
  </si>
  <si>
    <t>INTERESES PERCIBIDOS BTU</t>
  </si>
  <si>
    <t>INTERESES PERCIBIDOS CREDITOS SINDICADOS</t>
  </si>
  <si>
    <t>INTERESES DEV. BONOS VIVIENDA LEASING</t>
  </si>
  <si>
    <t>INTERESES PERCIB. BONOS VIVIENDA LEASING</t>
  </si>
  <si>
    <t>INTERESES DEV. NOTAS ESTRUCTURADAS SERIE B</t>
  </si>
  <si>
    <t>INTERESES PERCIB. NOTAS ESTRUCTURADAS SERIE B</t>
  </si>
  <si>
    <t>COMISIONES GANADAS LINEA DE CREDITO CREDIVIDA</t>
  </si>
  <si>
    <t>REAJUSTES BONOS EMPRESA TASA FLOTANTE</t>
  </si>
  <si>
    <t>INGRESOS POR MUTUOS HIPOTECARIOS VIGENTES</t>
  </si>
  <si>
    <t>DEF REASEGURO</t>
  </si>
  <si>
    <t>DEF REASEGURO COL DESGRAV</t>
  </si>
  <si>
    <t>DEF REASEGURO COL SALUD</t>
  </si>
  <si>
    <t>DEF REASEGURO IND SALUD</t>
  </si>
  <si>
    <t>DEF REASEGURO TEMPORAL VIDA INDIVIDUAL</t>
  </si>
  <si>
    <t>DEF REASEGURO DESGRAVAMEN INDIVIDUAL</t>
  </si>
  <si>
    <t>AJUSTE MERCADO BCU CARTERA FLEXIBLE</t>
  </si>
  <si>
    <t>AJUSTE MERCADO BONO FINANCIERO CARTERA FLEXIBLE</t>
  </si>
  <si>
    <t>AJUSTE MERCADO BTU CARTERA FLEXIBLE</t>
  </si>
  <si>
    <t>AJUSTE MERCADO PRC CARTERA FLEXIBLE</t>
  </si>
  <si>
    <t>PERDIDA AJUSTE TASA S.V.S.</t>
  </si>
  <si>
    <t>UTIL. Y/O PERDIDA VENTA INVERSIONES RENTA FIJA</t>
  </si>
  <si>
    <t>PROVISION DIVIDENDOS INCOBRABLES M. HIPOTECARIOS</t>
  </si>
  <si>
    <t>DIVIDENDOS ACCIONES NACIONALES (ACC)</t>
  </si>
  <si>
    <t>UTILIDAD O PERDIDA VENTA ACCIONES NACIONALES (ACC)</t>
  </si>
  <si>
    <t>PROV. ACCIONES NACIONALES PRESENCIA AJUSTADA (ACC)</t>
  </si>
  <si>
    <t>DIF INTERESES POR CHEQUE A FECHA</t>
  </si>
  <si>
    <t>RESULTADO POR VTA. ACTIVO FIJO</t>
  </si>
  <si>
    <t>ARRIENDOS PERCIBIDOS EX-LEASING</t>
  </si>
  <si>
    <t>ARRIENDOS DEVENGADOS EX-LEASING</t>
  </si>
  <si>
    <t xml:space="preserve"> PERCIBIDO PACTOS</t>
  </si>
  <si>
    <t>DEVENGADO PACTOS</t>
  </si>
  <si>
    <t>INTERESES POR MORA LEASINGS</t>
  </si>
  <si>
    <t>INTERESES POR MORA ARRIENDOS EX-LEASING</t>
  </si>
  <si>
    <t>DIVIDENDOS ACCIONES EXTRANJERAS (ACE)</t>
  </si>
  <si>
    <t>INTERESES LEASING DEVENGADOS PMS/PM</t>
  </si>
  <si>
    <t>PROV. ADICIONAL ACCIONES PRESENCIA AJUSTADA</t>
  </si>
  <si>
    <t>REAJUSTES GARANTIAS ARRIENDOS</t>
  </si>
  <si>
    <t>VENTAS SEGUN ESCRITURAS</t>
  </si>
  <si>
    <t>ARRIENDO DE INMUEBLE</t>
  </si>
  <si>
    <t>COMISION INTERMEDIACION APV</t>
  </si>
  <si>
    <t>FLUCT. INMOB Y CONST. NUEVA APOQUINDO S.A.</t>
  </si>
  <si>
    <t>UTILIDAD O PERDIDA VENTA FONDOS DE INVERSION (CFI)</t>
  </si>
  <si>
    <t>UTILIDAD O PERDIDA VENTA DE ADRS</t>
  </si>
  <si>
    <t>INTERESES VARIOS INT. ARRIENDOS) BRU</t>
  </si>
  <si>
    <t>PROVISIÓN ADICIONAL MH INCOBRABLES</t>
  </si>
  <si>
    <t>FLUCT. INMOB PARQUE LOS NOGALES S.A.</t>
  </si>
  <si>
    <t>FLUCTUACION BONOS BANCARIOS CUI</t>
  </si>
  <si>
    <t>DIVIDENDOS CUOTAS FONDOS DE INVERSION (CFI)</t>
  </si>
  <si>
    <t>DIVIDENDOS CUOTAS FONDOS DE INVERSION INTERNACIONAL (CFII)</t>
  </si>
  <si>
    <t>PERCIBIDO INVERSIÓN EXTRANJERA RENTA VARIABLE</t>
  </si>
  <si>
    <t>DEVENGADO INVERSIÓN EXTRANJERA RENTA VARIABLE</t>
  </si>
  <si>
    <t>PROV. CUOTAS DE FDOS. NACIONALES INV EN EL EXTRANJERO (CFE)</t>
  </si>
  <si>
    <t>RESULTADO EN VENTA CUOTAS DE FDOS. NAC. INV. EN EL EXT. (CFE)</t>
  </si>
  <si>
    <t>DIVIDENDOS CUOTAS FDOS NAC INV EN EL EXT (CFE)</t>
  </si>
  <si>
    <t>FLUCTUACION DES. SANTO TOMAS S.A.</t>
  </si>
  <si>
    <t>PROV. CUOTAS DE FONDOS DE INVERSION INTERNACIONAL (CFII)</t>
  </si>
  <si>
    <t>FLUCT. PARQUE Q.NORMAL S.A.</t>
  </si>
  <si>
    <t>R° FLUCT. INMOB. BBI S.A.</t>
  </si>
  <si>
    <t>FLUCT. INV. INMOBILIARIA DESARR. VALLE GRANDE</t>
  </si>
  <si>
    <t>PROVISION INSTRUMENTOS FINANCIEROS</t>
  </si>
  <si>
    <t>CARGOS POR RESCATES SVI</t>
  </si>
  <si>
    <t>FLUCTUACION INMOB LOS MORROS S.A.</t>
  </si>
  <si>
    <t>FLUCTUACION INMOB COSTALMAHUE S.A.</t>
  </si>
  <si>
    <t>FLUCTUACION INMOB. VICENTE VALDES S.A.</t>
  </si>
  <si>
    <t>INTERESES DEV. BTP BONOS TESORERIA GRAL DE LA REPUBLICA PESOS</t>
  </si>
  <si>
    <t>INTERESES PERCIB. BTP BONOS TESORERIA GRAL DE LA REPUBLICA PESOS</t>
  </si>
  <si>
    <t>REAJUSTES BTP BONOS TESORERIA GRAL DE LA REPUBLICA PESOS</t>
  </si>
  <si>
    <t>AJUSTE MERCADO BR CARTERA APV</t>
  </si>
  <si>
    <t>AJUSTE MERCADO LH CARTERA APV</t>
  </si>
  <si>
    <t>AJUSTE MERCADO BONO EMPRESA FLEXIBLE</t>
  </si>
  <si>
    <t>AJUSTE MERCADO BONO EXTRANJEROS FLEXIBLE</t>
  </si>
  <si>
    <t>AJUSTE MERCADO BR CARTERA FLEXIBLE</t>
  </si>
  <si>
    <t>AJUSTE MERCADO BVL FLEXIBLE</t>
  </si>
  <si>
    <t>AJUSTE MERCADO DPR FLEXIBLE</t>
  </si>
  <si>
    <t>AJUSTE MERCADO LH FLEXIBLE</t>
  </si>
  <si>
    <t>AJUSTE MERCADO MH FLEXIBLE</t>
  </si>
  <si>
    <t>AJUSTE MERCADO BCP FLEXIBLE</t>
  </si>
  <si>
    <t>DIVIDENDOS ACCIONES S.A. CERRADAS</t>
  </si>
  <si>
    <t>R° FLUCTUACION INV. SEGURAS S.A.</t>
  </si>
  <si>
    <t>INTERESES GANADOS LINEA DE CREDITO CREDIVIDA</t>
  </si>
  <si>
    <t>COMISION POR RESCATES SEGUROS CON AHORRO</t>
  </si>
  <si>
    <t>COSTOS DE COBERTURA APV</t>
  </si>
  <si>
    <t>C.M. ACCIONES NACIONALES (ACC)</t>
  </si>
  <si>
    <t>C.M. BONOS RECONOCIMIENTO</t>
  </si>
  <si>
    <t>C.M. LETRAS HIPOTECARIAS IVP</t>
  </si>
  <si>
    <t>C.M. BONOS CROSS C. SWAP</t>
  </si>
  <si>
    <t>C.M. CREDITOS SINDICADOS</t>
  </si>
  <si>
    <t>CORRECION MONETARIA  BRU</t>
  </si>
  <si>
    <t>C.M. BONOS CROSS C. SWAP FLEXIBLE</t>
  </si>
  <si>
    <t>C.M. DEUDORES POR REASEGURO</t>
  </si>
  <si>
    <t>C.M. DEPRECIACION ACUMULADA</t>
  </si>
  <si>
    <t>C.M. BONOS EXTRANJEROS TRIBUTACION ARGENTINA</t>
  </si>
  <si>
    <t>C.M. CUOTAS DE FONDOS DE INVERSION INTERNACIONAL (CFII)</t>
  </si>
  <si>
    <t>C.M. BONOS EMPRESA TASA FLOTANTE</t>
  </si>
  <si>
    <t>C.M. BTP BONOS TESORERIA GRAL REPUBLICA EN PESOS</t>
  </si>
  <si>
    <t>C.M. DEPRECIACION ACUMULADA LICENCIAS</t>
  </si>
  <si>
    <t>C.M. BIENES RAICES ADJUDICADOS</t>
  </si>
  <si>
    <t>C.M. DEPRECIACION ACUMULADA B.R.A.</t>
  </si>
  <si>
    <t>OTROS GASTOS OPERACIONALES</t>
  </si>
  <si>
    <t>ASESORIA ADMINISTRACION</t>
  </si>
  <si>
    <t>SINIESTROS DIRECTOS 1ER AÑO</t>
  </si>
  <si>
    <t>SINIESTROS CEDIDOS 1ER AÑO</t>
  </si>
  <si>
    <t>RESERVAS RIESGO EN CURSO 1ER AÑO</t>
  </si>
  <si>
    <t>RESERVAS RIESGO EN CURSO UNICA</t>
  </si>
  <si>
    <t>RESERVAS RIESGO EN CURSO RENOVACION</t>
  </si>
  <si>
    <t>RESERVAS MATEMATICA 1ER AÑO</t>
  </si>
  <si>
    <t>RESERVAS MATEMATICA UNICA</t>
  </si>
  <si>
    <t>RESERVAS MATEMATICA RENOVACION</t>
  </si>
  <si>
    <t>COSTO MANTENCION</t>
  </si>
  <si>
    <t>PRIMA CEDIDA NO PROPORCIONAL</t>
  </si>
  <si>
    <t>INDEMNIZACION POR TERMINO DE CONTRATO</t>
  </si>
  <si>
    <t>FERIADO LEGAL</t>
  </si>
  <si>
    <t>SEGUROS DEL PERSONAL</t>
  </si>
  <si>
    <t>SUELDOS PERSONAL EXTERNO</t>
  </si>
  <si>
    <t>AGUINALDOS</t>
  </si>
  <si>
    <t>APORTE FONDO CESANTIA</t>
  </si>
  <si>
    <t>BENEFICIOS DEL PERSONAL</t>
  </si>
  <si>
    <t>PREMIOS COLECTIVOS RENTA FIJA</t>
  </si>
  <si>
    <t>PREMIOS MASIVOS RENTA FIJA</t>
  </si>
  <si>
    <t>SEGURO DE INVALIDEZ Y SOBREVIVENCIA</t>
  </si>
  <si>
    <t>MANIFESTACION DEL PERSONAL COMERCIAL</t>
  </si>
  <si>
    <t>GASTOS DE CAPACITACION COMERCIAL</t>
  </si>
  <si>
    <t>BONOS ESPECIALES AGUINALDOS</t>
  </si>
  <si>
    <t>APORTE FONDO DE CESANTIA</t>
  </si>
  <si>
    <t>BONO EJECUTIVOS</t>
  </si>
  <si>
    <t>COMISIONES PRIMERAS PRIMAS R. VARIABLE</t>
  </si>
  <si>
    <t>COMISIONES POR COBRANZA R. VARIABLE</t>
  </si>
  <si>
    <t>PREMIOS CONCURSOS R. VARIABLE</t>
  </si>
  <si>
    <t>PREMIOS COLECTIVOS RENTA VARIABLE</t>
  </si>
  <si>
    <t>PREMIOS MASIVOS RENTA VARIABLE</t>
  </si>
  <si>
    <t>PREMIOS PRODUCCION RENTA VARIABLE</t>
  </si>
  <si>
    <t>SEGURO DE INVALIDEZ Y SOBREVIVENCIA RV</t>
  </si>
  <si>
    <t>PREMIOS TRASPASO APORTE APV</t>
  </si>
  <si>
    <t>MULTAS RR.HH.</t>
  </si>
  <si>
    <t>ARRIENDO INMUEBLES SANTIAGO</t>
  </si>
  <si>
    <t>ARRIENDO AGENCIA</t>
  </si>
  <si>
    <t>CONTRIBUCIONES AGENCIAS</t>
  </si>
  <si>
    <t>MANTENCION EQUIPOS PROYECCION</t>
  </si>
  <si>
    <t>MANTENCION DE LICENCIAS</t>
  </si>
  <si>
    <t>CONTROL DE CALIDAD</t>
  </si>
  <si>
    <t>MANTENCIÓN TECNOLÓGICA</t>
  </si>
  <si>
    <t>MEJORAS FUNCIONALES</t>
  </si>
  <si>
    <t>MEJORAS TECNOLÓGICAS</t>
  </si>
  <si>
    <t>CLASIFICADORAS DE RIESGOS</t>
  </si>
  <si>
    <t>ASOC GREMIAL MUTUOS HIPOTECARIOS</t>
  </si>
  <si>
    <t>PUBL. PRENSA ESCRITA</t>
  </si>
  <si>
    <t>PUBL. RADIAL</t>
  </si>
  <si>
    <t>PUBL. METRO</t>
  </si>
  <si>
    <t>PUBL. VIA PUBLICA</t>
  </si>
  <si>
    <t>IMPRESOS INTERNOS</t>
  </si>
  <si>
    <t>ARTICULOS PROMOCIONALES MASIVOS</t>
  </si>
  <si>
    <t>MATERIAL PROMOCIONAL</t>
  </si>
  <si>
    <t>OTROS INSTITUCIONALES</t>
  </si>
  <si>
    <t>ESTUDIOS COMERCIALES</t>
  </si>
  <si>
    <t>TRASLADOS Y VIATICOS</t>
  </si>
  <si>
    <t>MEMORIA ANUAL</t>
  </si>
  <si>
    <t>MARKETING SUCURSALES</t>
  </si>
  <si>
    <t>PUBLICIDAD TELEVISION</t>
  </si>
  <si>
    <t>OTROS MARKETING</t>
  </si>
  <si>
    <t>FIDELIZACION</t>
  </si>
  <si>
    <t>INCENTIVO AGENTES DIRECTOS</t>
  </si>
  <si>
    <t>TRASLADOS Y VIATICOS COMERCIAL</t>
  </si>
  <si>
    <t>GASTOS DE REPRESENTACION COMERCIAL</t>
  </si>
  <si>
    <t>REMODELACION SUCURSALES</t>
  </si>
  <si>
    <t>GASTOS DE LICITACION</t>
  </si>
  <si>
    <t>INTERESES PTMO EMPRESAS RELACIONADAS</t>
  </si>
  <si>
    <t>GASTOS DE COBRANZA JUDICIAL MH</t>
  </si>
  <si>
    <t>GASTOS POR MUTUOS HIPOTECARIOS VIGENTES</t>
  </si>
  <si>
    <t>EMPASTES Y ENCUADERNACION</t>
  </si>
  <si>
    <t>COSTO VENTA ARTICULOS</t>
  </si>
  <si>
    <t>VARIACION COSTO PROMEDIO CIA</t>
  </si>
  <si>
    <t>GASTO IMPTO REMESA 2% NO RECUPERADO</t>
  </si>
  <si>
    <t>GASTOS SCOMP</t>
  </si>
  <si>
    <t>COMISION COBRANZA</t>
  </si>
  <si>
    <t>COMISION INTERMEDIACION AGF APV SVI</t>
  </si>
  <si>
    <t>AMORTIZACION PROYECTOS</t>
  </si>
  <si>
    <t>PERDIDA O UTILIDAD VTA ACTIVOS INMOBILIARIOS</t>
  </si>
  <si>
    <t>DEPRECIACION MAQ Y EQUIPOS</t>
  </si>
  <si>
    <t>DEPRECIACION BIEN RAICES</t>
  </si>
  <si>
    <t>MENOR VALOR TASACION LEASING</t>
  </si>
  <si>
    <t>AMORTIZACION OTROS ACTIVOS</t>
  </si>
  <si>
    <t>DEPRECIACION BIENES RAICES ADJUDICADOS</t>
  </si>
  <si>
    <t>GASTOS GENERALES Y SERV. BASICOS</t>
  </si>
  <si>
    <t>GASTOS DE CONTRIBUCIONES</t>
  </si>
  <si>
    <t>GASTOS LEGALES Y DE COBRANZA</t>
  </si>
  <si>
    <t>PROVISIONES DE INCOBRABILIDAD INMOB.</t>
  </si>
  <si>
    <t>PROVISION CHEQUES PROTESTADOS BRUSA</t>
  </si>
  <si>
    <t>MEJORAS Y HABILITACIONES</t>
  </si>
  <si>
    <t>GASTOS DE ASESORIAS Y ESTUDIOS</t>
  </si>
  <si>
    <t>GASTOS DE PROPIEDADES VACANTES</t>
  </si>
  <si>
    <t>CASTIGOS INMOBILIARIOS</t>
  </si>
  <si>
    <t>GASTOS RECHAZADOS PROPINAS</t>
  </si>
  <si>
    <t>GASTOS RECHAZADOS OTROS VARIOS</t>
  </si>
  <si>
    <t>ENERGIA ELECTRICA  CHILECTRA</t>
  </si>
  <si>
    <t>AGUA POTABLE  AGUAS ANDINAS</t>
  </si>
  <si>
    <t>EQUIPO DE COMUNICACIONES</t>
  </si>
  <si>
    <t>OTROS  BASH , BARRERA , MARMOL</t>
  </si>
  <si>
    <t>LUBRICANTES GENERADORES</t>
  </si>
  <si>
    <t>INSUMOS ELECTRICOS</t>
  </si>
  <si>
    <t>OTROS GASTOS  REPUESTOS E INSUMOS</t>
  </si>
  <si>
    <t>INTERESES COBRADOS Y/O DEVENGADO</t>
  </si>
  <si>
    <t>UTILIDAD SEGUROS DE VIDA LA CONSTRUCCION</t>
  </si>
  <si>
    <t>TIPO DE CAMBIO CROSS CURRENCY SWAP</t>
  </si>
  <si>
    <t>RESULTADO COMUNIDAD PLAZA DE ARMAS</t>
  </si>
  <si>
    <t>TIPO DE CAMBIO CROSS CURRENCY SWAP FLEXIBLE</t>
  </si>
  <si>
    <t>DIFERENCIA DE CAMBIO TRIBUTACION ARGENTINA</t>
  </si>
  <si>
    <t>OTROS INGRESOS X INDEMNIZ. SINIESTROS RESP. CIVIL</t>
  </si>
  <si>
    <t>DIFERENCIA DE CAMBIO RENTA FIJA INST. CON CROSS</t>
  </si>
  <si>
    <t>IMPUESTO UNICO ART 21</t>
  </si>
  <si>
    <t>IMPUESTOS DIFERIDO</t>
  </si>
  <si>
    <t>OTROS EGRESOS X SINIESTROS RESP. CIVIL</t>
  </si>
  <si>
    <t>RESERVA OC. Y NO REP DESGRAVAMEN COL</t>
  </si>
  <si>
    <t>01-30497-6</t>
  </si>
  <si>
    <t>RTF 2009 - 2006 - 2006</t>
  </si>
  <si>
    <t>Diferencia 
a Reconocer RV2009</t>
  </si>
  <si>
    <t>AEDU3 BZ</t>
  </si>
  <si>
    <t>BBAS3 BZ</t>
  </si>
  <si>
    <t>PDGR3 BZ</t>
  </si>
  <si>
    <t>CFICOMSLAT</t>
  </si>
  <si>
    <t>CFIIMDLAT</t>
  </si>
  <si>
    <t>BANCO DO BRASIL S.A</t>
  </si>
  <si>
    <t>PDG REALTY S.A.</t>
  </si>
  <si>
    <t>ANHANGUERA EDUCACIONAL</t>
  </si>
  <si>
    <t>CELFIN DEUDA LATINOAMERICANA</t>
  </si>
  <si>
    <t>MONEDA DEUDA LATINOAMERICANA</t>
  </si>
  <si>
    <t>MONEDA SMALL CAPITAL</t>
  </si>
  <si>
    <t>COMPASS SMALL CAP LATAM</t>
  </si>
  <si>
    <t>Chile</t>
  </si>
  <si>
    <t>Estados Unidos</t>
  </si>
  <si>
    <t>Inglaterra</t>
  </si>
  <si>
    <t>FONDO MUTUOS POR COBRAR</t>
  </si>
  <si>
    <t>DIVIDENDO POR COBRAR HLC</t>
  </si>
  <si>
    <t>DIVIDENDO POR COBRAR CIMENTA</t>
  </si>
  <si>
    <t>DIVIDENDO POR COBRAR CONCRECES</t>
  </si>
  <si>
    <t>DIVIDENDO POR COBRAR MUTUOS BICE</t>
  </si>
  <si>
    <t>DIVIDENDO POR COBRAR MUTUOS BICE HIPOTECARIA</t>
  </si>
  <si>
    <t>DIVIDENDO GARANTIZADO</t>
  </si>
  <si>
    <t>COMISIONES CREDIVIDA</t>
  </si>
  <si>
    <t>151</t>
  </si>
  <si>
    <t>COMISION DE PREPAGO MH</t>
  </si>
  <si>
    <t>UTILIDAD O PERDIDA EN VTA DE FIP PRIVADOS</t>
  </si>
  <si>
    <t>CONTRIBUCIONES</t>
  </si>
  <si>
    <t>Cuotas de fondos de inversión</t>
  </si>
  <si>
    <t>Saldos al 01 de Enero de 2011</t>
  </si>
  <si>
    <t>ASESORIAS Y CONSULTORIAS</t>
  </si>
  <si>
    <t>FLUCTUACION COLECTIVO PAX</t>
  </si>
  <si>
    <t>Saldos al 
31.12.2010 
M$</t>
  </si>
  <si>
    <t>CFICELDLA</t>
  </si>
  <si>
    <t>CLP</t>
  </si>
  <si>
    <t>BANCO INTERNACIONAL DEL PERU</t>
  </si>
  <si>
    <t>BANCO ITAU</t>
  </si>
  <si>
    <t>Banco Internacional del Perú</t>
  </si>
  <si>
    <t>Banco ITAU</t>
  </si>
  <si>
    <t>SUZANO TRADING LTDA</t>
  </si>
  <si>
    <t>Suzano TRD</t>
  </si>
  <si>
    <t>DIVIDENDOS POR PAGAR</t>
  </si>
  <si>
    <t>DIVIDENDOS ABRIL 2011</t>
  </si>
  <si>
    <t>RESERVA DE SINIESTROS COLECTIVOS</t>
  </si>
  <si>
    <t>C.M. RESERVAS DE SINIESTROS</t>
  </si>
  <si>
    <t>RESERVAS DE SINIESTROS</t>
  </si>
  <si>
    <t>REAJUSTES AVISOS DE COBRANZA</t>
  </si>
  <si>
    <t>PROVISION INCOB CREDITOS COMPLEMENTARIOS X BR ADJ.</t>
  </si>
  <si>
    <t>PROVISION INCOB. CREDITO COMPLEMENTARIO X BR ADJUDICADOS</t>
  </si>
  <si>
    <t>SVI</t>
  </si>
  <si>
    <t>RV</t>
  </si>
  <si>
    <t>COL</t>
  </si>
  <si>
    <t>OTROS</t>
  </si>
  <si>
    <t>Provisión Adicional Creditos Complementarios</t>
  </si>
  <si>
    <t>13-259-5</t>
  </si>
  <si>
    <t>EUR , GBP, USD</t>
  </si>
  <si>
    <t>INLACIA LX</t>
  </si>
  <si>
    <t>VPL</t>
  </si>
  <si>
    <t>BANCO COLOMBIA</t>
  </si>
  <si>
    <t>Banco Colombia</t>
  </si>
  <si>
    <t>STORA ENSO</t>
  </si>
  <si>
    <t>Sterv 16</t>
  </si>
  <si>
    <t>Siniestros Hannover</t>
  </si>
  <si>
    <t>Demetrio Zañartu Bacarreza</t>
  </si>
  <si>
    <t>Carlos Francisco Ballon Morales</t>
  </si>
  <si>
    <t>Fernando Fontaine Talavera</t>
  </si>
  <si>
    <t>BANCO BICE</t>
  </si>
  <si>
    <t>DEUTSCHE BANK CHILE</t>
  </si>
  <si>
    <t>BANCO SANTANDER</t>
  </si>
  <si>
    <t>BANCO BBVA CHILE</t>
  </si>
  <si>
    <t>RECAUDACION FACTURAS X COBRAR SVI</t>
  </si>
  <si>
    <t xml:space="preserve">RETENCION APORTE FISCAL </t>
  </si>
  <si>
    <t>BROWN BROTHERS HARRIMAN N° 5003330</t>
  </si>
  <si>
    <t>RESERVA DE SINIESTROS EN PROCESO DE LIQUIDACION</t>
  </si>
  <si>
    <t>Siniestros en proceso de liquidación</t>
  </si>
  <si>
    <t>Reserva de Siniestros en proceso de liquidación</t>
  </si>
  <si>
    <t>Gastos de administración</t>
  </si>
  <si>
    <t>Año 4</t>
  </si>
  <si>
    <t>TAM</t>
  </si>
  <si>
    <t>CFILPVEQII</t>
  </si>
  <si>
    <t>BICE PRIVATE EQUITY II</t>
  </si>
  <si>
    <t>EWH US</t>
  </si>
  <si>
    <t>IDX US</t>
  </si>
  <si>
    <t>VGK US</t>
  </si>
  <si>
    <t>XUTS LN</t>
  </si>
  <si>
    <t>OK</t>
  </si>
  <si>
    <t>TELEM SAU</t>
  </si>
  <si>
    <t>GRUPOSURA</t>
  </si>
  <si>
    <t>BRASKEM</t>
  </si>
  <si>
    <t>Grupo de inversiones Suramericana</t>
  </si>
  <si>
    <t>Braskem S.A.</t>
  </si>
  <si>
    <t>Telefonica de España S.A.</t>
  </si>
  <si>
    <t>OVERNIGHT BANCO BBH</t>
  </si>
  <si>
    <t>BANK BOSTON N.A.</t>
  </si>
  <si>
    <t>CITIBANK CHILE</t>
  </si>
  <si>
    <t>INTERESES EN MORA ARRIENDOS</t>
  </si>
  <si>
    <t>INTERESES EN MORA FINANCIAMIENTO</t>
  </si>
  <si>
    <t>INVERSIONES POR DISTRIBUIR FFMM 57 BIS ( CFM )</t>
  </si>
  <si>
    <t>VENTA DE CUOTAS FFMM ( CFM )</t>
  </si>
  <si>
    <t>INVERSIONES POR DISTRIBUIR FFMM FLEXIBLE ( CFM )</t>
  </si>
  <si>
    <t>PROV FLUCTUACION FFMM ( 57 BIS Y FLEXIBLE )</t>
  </si>
  <si>
    <t>BONIFICACION FISCAL SALUD</t>
  </si>
  <si>
    <t>CUENTA POR COBRAR CREDITOS</t>
  </si>
  <si>
    <t>DIVIDENDOS FIP PRIVADOS</t>
  </si>
  <si>
    <t>FIDELIZACION AGENTES RV</t>
  </si>
  <si>
    <t>ANTICIPO COMISIONES/PREMIOS</t>
  </si>
  <si>
    <t>PROYECTO DE SISTEMAS IFRS</t>
  </si>
  <si>
    <t>UTILIDAD O PERDIDA VENTA ACC EXTRANJERAS ( ACE)</t>
  </si>
  <si>
    <t>Saldos al 31 de Diciembre de 2011</t>
  </si>
  <si>
    <t>depreciacion</t>
  </si>
  <si>
    <t>amortizacion</t>
  </si>
  <si>
    <t>Bono Garantizado</t>
  </si>
  <si>
    <t>BFFCC-S</t>
  </si>
  <si>
    <t xml:space="preserve">Menor valor Inversion </t>
  </si>
  <si>
    <t>(5.14.44.00.00)</t>
  </si>
  <si>
    <t>Mayor o Menor Valor de Inversiones</t>
  </si>
  <si>
    <t>SANEAMENTO</t>
  </si>
  <si>
    <t>Sabesp 20</t>
  </si>
  <si>
    <t>PG SECONDARY</t>
  </si>
  <si>
    <t>EWG US</t>
  </si>
  <si>
    <t>ECH US</t>
  </si>
  <si>
    <t>XLF</t>
  </si>
  <si>
    <t>BANCO SANTANDER CHILE</t>
  </si>
  <si>
    <t>Sant 16</t>
  </si>
  <si>
    <t>GPCPV</t>
  </si>
  <si>
    <t>LINZOR CANADA</t>
  </si>
  <si>
    <t>LINZOR CANADA 2</t>
  </si>
  <si>
    <t>LINZOR EDUCA</t>
  </si>
  <si>
    <t>LINZOR SALUS</t>
  </si>
  <si>
    <t>LINZOR SPYGLASS</t>
  </si>
  <si>
    <t>LINZOR SANTA FE DOS</t>
  </si>
  <si>
    <t>LINZOR SANTA FE UNO</t>
  </si>
  <si>
    <t>BONO EMPRESA AFP</t>
  </si>
  <si>
    <t>BONOS BANCARIOS AFP</t>
  </si>
  <si>
    <t>BONOS DE RECONOCIMIENTO A</t>
  </si>
  <si>
    <t>CUOTAS DE FONDOS MUTUOS A</t>
  </si>
  <si>
    <t>DEPOSITOS A PLAZO REAJUST</t>
  </si>
  <si>
    <t>LETRAS HIPOTECARIAS UF AF</t>
  </si>
  <si>
    <t>UBS AFP</t>
  </si>
  <si>
    <t>BCU AFP</t>
  </si>
  <si>
    <t>BTU AFP</t>
  </si>
  <si>
    <t>CERO AFP</t>
  </si>
  <si>
    <t>AJUSTE ADOPCION CARTERA A</t>
  </si>
  <si>
    <t>RECIBOS NO APLICADOS INMO</t>
  </si>
  <si>
    <t>DETERIORO SEGUROS POR COB</t>
  </si>
  <si>
    <t>DETERIORO CUOTAS X COBRAR</t>
  </si>
  <si>
    <t>DETERIORO CREDITOS TERM.</t>
  </si>
  <si>
    <t>DETERIORO CUOTAS CREDITOS</t>
  </si>
  <si>
    <t>DETERIORO FONDOS POR REND</t>
  </si>
  <si>
    <t>DETERIORO SOBREGIRO POR P</t>
  </si>
  <si>
    <t>GARANTIA FINANCIAMIENTO P</t>
  </si>
  <si>
    <t>FINANCIAMIENTO POR APLICA</t>
  </si>
  <si>
    <t>GARANTIAS POR COBRAR PROY</t>
  </si>
  <si>
    <t>DETERIORO FONDOS DE GESTI</t>
  </si>
  <si>
    <t>DETERIORO CTA CTE X COBRA</t>
  </si>
  <si>
    <t>DETERIORO GARANTIAS X COB</t>
  </si>
  <si>
    <t>DETERIORO CTAS X COBRAR I</t>
  </si>
  <si>
    <t>DETERIORO CREDITO 4% ART</t>
  </si>
  <si>
    <t>AJUSTE ADOPCION PIEDRA RO</t>
  </si>
  <si>
    <t>AJUSTE ADOPCION INMOBILIA</t>
  </si>
  <si>
    <t>AJUSTE ADOPCION VICENTE V</t>
  </si>
  <si>
    <t>AJUSTE ADOPCION INVERSION</t>
  </si>
  <si>
    <t>AJUSTE ADOPCION INMOB Y C</t>
  </si>
  <si>
    <t>AJUSTE ADOPCION MAQUINAS</t>
  </si>
  <si>
    <t>AJUSTE ADOPCION MUEBLES Y</t>
  </si>
  <si>
    <t>AJUSTE ADOPCION OBRAS DE</t>
  </si>
  <si>
    <t>AJUSTE 1RA ADOPCION C.HIS</t>
  </si>
  <si>
    <t>DETERIORO TIENDA COMERCIA</t>
  </si>
  <si>
    <t>DETERIORO BIENES RAICES A</t>
  </si>
  <si>
    <t>DETERIORO CTAS X COBRAR D</t>
  </si>
  <si>
    <t>DETERIORO CTAS X COBRAR B</t>
  </si>
  <si>
    <t>ANTICIPO PRECIO POR PAGAR</t>
  </si>
  <si>
    <t>GARANTIAS POR PAGAR PROYE</t>
  </si>
  <si>
    <t>ANTICIPO POR APLICAR PROY</t>
  </si>
  <si>
    <t>RECIBOS ANTICIPADO A CUEN</t>
  </si>
  <si>
    <t>AJUSTE ADOPCION IFRS 1</t>
  </si>
  <si>
    <t>IMPUESTO DIFERIDO ADOPCIO</t>
  </si>
  <si>
    <t>INGRESOS DEVENGADOS Y PER</t>
  </si>
  <si>
    <t>REAJUSTES RESERVAS TECNIC</t>
  </si>
  <si>
    <t>REAJUSTES REASEGUROS</t>
  </si>
  <si>
    <t>REAJUSTES RESERVA DE SINI</t>
  </si>
  <si>
    <t>PARTICIPACIÓN REASEG. RESERVA MATEMATICA</t>
  </si>
  <si>
    <t>PARTICIPACIÓN REASEG. RESERVA SEG INV Y SOBREVIVENCIA</t>
  </si>
  <si>
    <t>PARTICIPACIÓN REASEG. RESERVA RENTA VITALICIA</t>
  </si>
  <si>
    <t>PARTICIPACIÓN REASEG. RESERVA RIESGO EN CURSO</t>
  </si>
  <si>
    <t>GARANTIA THRESHOLD POR PAGAR</t>
  </si>
  <si>
    <t>PARTICIPACIÓN REASEG. RESERVA SINIESTROS</t>
  </si>
  <si>
    <t>ESTADO DE SITUACIÓN FINANCIERA</t>
  </si>
  <si>
    <t>TOTAL ACTIVO</t>
  </si>
  <si>
    <t>TOTAL INVERSIONES FINANCIERAS</t>
  </si>
  <si>
    <t>Efectivo y Efectivo Equivalente</t>
  </si>
  <si>
    <t>Activos Financieros a Valor Razonable</t>
  </si>
  <si>
    <t>Activos Financieros a Costo Amortizado</t>
  </si>
  <si>
    <t>Avance Tenedores de Pólizas</t>
  </si>
  <si>
    <t>Préstamos Otorgados</t>
  </si>
  <si>
    <t>Inversiones Seguros Cuenta Única de Inversión (CUI)</t>
  </si>
  <si>
    <t>Participaciones en Entidades del Grupo</t>
  </si>
  <si>
    <t>Participaciones en Empresas Subsidiarias (Filiales)</t>
  </si>
  <si>
    <t>Participaciones en Empresas Asociadas (Coligadas)</t>
  </si>
  <si>
    <t>TOTAL INVERSIONES INMOBILIARIAS</t>
  </si>
  <si>
    <t>Propiedades de Inversión</t>
  </si>
  <si>
    <t>Cuentas por Cobrar Leasing</t>
  </si>
  <si>
    <t>Propiedades, Muebles y Equipos de Uso Propio</t>
  </si>
  <si>
    <t xml:space="preserve">        Propiedades de Uso Propio</t>
  </si>
  <si>
    <t xml:space="preserve">        Muebles y Equipos de Uso Propio</t>
  </si>
  <si>
    <t>ACTIVOS NO CORRIENTES MANTENIDOS PARA LA VENTA</t>
  </si>
  <si>
    <t>TOTAL CUENTAS DE SEGURO</t>
  </si>
  <si>
    <t>Cuentas por Cobrar de Seguros</t>
  </si>
  <si>
    <t>Cuentas por Cobrar Asegurados</t>
  </si>
  <si>
    <t>Deudores por Operaciones de Reaseguro</t>
  </si>
  <si>
    <t xml:space="preserve">        Siniestros por Cobrar a Reaseguradores</t>
  </si>
  <si>
    <t xml:space="preserve">        Primas por Cobrar Reaseguro Aceptado</t>
  </si>
  <si>
    <t xml:space="preserve">        Activo por Reaseguro No Proporcional</t>
  </si>
  <si>
    <t xml:space="preserve">        Otros Deudores por Operaciones de Reaseguro</t>
  </si>
  <si>
    <t>Deudores por Operaciones de Coaseguro</t>
  </si>
  <si>
    <t xml:space="preserve">        Primas por Cobrar por Operaciones de Coaseguro</t>
  </si>
  <si>
    <t xml:space="preserve">        Siniestros por Cobrar por Operaciones de Coaseguro</t>
  </si>
  <si>
    <t>Participación del Reaseguro en las Reservas Técnicas</t>
  </si>
  <si>
    <t>Participación del Reaseguro en la Reserva Riesgos en Curso</t>
  </si>
  <si>
    <t>Participación del Reaseguro en las Reservas Seguros Previsionales</t>
  </si>
  <si>
    <t xml:space="preserve">        Participación del Reaseguro en la Reserva Rentas Vitalicias</t>
  </si>
  <si>
    <t xml:space="preserve">        Participación del Reaseguro en la Reserva Seguro Invalidez y Sobrevivencia</t>
  </si>
  <si>
    <t>Participación del Reaseguro en la Reserva Matemática</t>
  </si>
  <si>
    <t>Participación del Reaseguro en la Reserva Rentas Privadas</t>
  </si>
  <si>
    <t>Participación del Reaseguro en la Reserva de Siniestros</t>
  </si>
  <si>
    <t>Participación del Reaseguro en la Reserva Catastrófica de Terremoto</t>
  </si>
  <si>
    <t>Participación del Reaseguro en la Reserva de Insuficiencia de Primas</t>
  </si>
  <si>
    <t>Participación del Reaseguro en las Otras Reservas Técnicas</t>
  </si>
  <si>
    <t>Goodwill</t>
  </si>
  <si>
    <t>Activos Intagibles Distintos a Goodwill</t>
  </si>
  <si>
    <t>Impuestos por Cobrar</t>
  </si>
  <si>
    <t>Cuenta por Cobrar por Impuestos Corrientes</t>
  </si>
  <si>
    <t>Activo por Impuestos Diferidos</t>
  </si>
  <si>
    <t>Cuentas por Cobrar Intermediarios</t>
  </si>
  <si>
    <t>TOTAL PASIVOS Y PATRIMONIO (B+C)</t>
  </si>
  <si>
    <t>PASIVOS FINANCIEROS</t>
  </si>
  <si>
    <t>PASIVOS NO CORRIENTES MANTENIDOS PARA LA VENTA</t>
  </si>
  <si>
    <t>TOTAL CUENTAS DE SEGUROS</t>
  </si>
  <si>
    <t>Reserva Riesgos en Curso</t>
  </si>
  <si>
    <t>Reservas Seguros Previsionales</t>
  </si>
  <si>
    <t xml:space="preserve">   Reserva Rentas Vitalicias</t>
  </si>
  <si>
    <t xml:space="preserve">   Reserva Seguro Invalidez y Sobrevivencia</t>
  </si>
  <si>
    <t>Reserva Rentas Privadas</t>
  </si>
  <si>
    <t>Reserva de Siniestros</t>
  </si>
  <si>
    <t>Reserva Catastrófica Terremoto</t>
  </si>
  <si>
    <t>Reserva de Insuficiencia de Primas</t>
  </si>
  <si>
    <t>Otras Reservas Técnicas</t>
  </si>
  <si>
    <t>Deudas por Operaciones de Seguro</t>
  </si>
  <si>
    <t>Deudas con Asegurados</t>
  </si>
  <si>
    <t>Deudas por Operaciones Reaseguro</t>
  </si>
  <si>
    <t>Deudas por Operaciones por Coaseguro</t>
  </si>
  <si>
    <t xml:space="preserve">   Primas por Pagar por Operaciones de Coaseguro</t>
  </si>
  <si>
    <t xml:space="preserve">   Siniestros por Pagar por Operaciones de Coaseguro</t>
  </si>
  <si>
    <t>Ingresos Anticipados por Operaciones de Seguros</t>
  </si>
  <si>
    <t>Provisiones</t>
  </si>
  <si>
    <t>Impuestos por Pagar</t>
  </si>
  <si>
    <t xml:space="preserve">   Cuenta por Pagar por Impuestos Corrientes</t>
  </si>
  <si>
    <t xml:space="preserve">   Pasivos por Impuestos Diferidos</t>
  </si>
  <si>
    <t>Deudas Relacionados</t>
  </si>
  <si>
    <t>Ingresos Anticipados</t>
  </si>
  <si>
    <t>Otros Pasivos no Financieros</t>
  </si>
  <si>
    <t>TOTAL PATRIMONIO</t>
  </si>
  <si>
    <t>Reservas</t>
  </si>
  <si>
    <t>Resultados Acumulados</t>
  </si>
  <si>
    <t>Resultados Acumulados Periodos Anteriores</t>
  </si>
  <si>
    <t>Resultado del Ejercicio</t>
  </si>
  <si>
    <t>(Dividendos)</t>
  </si>
  <si>
    <t>Otros Ajustes</t>
  </si>
  <si>
    <t>ESTADO DEL RESULTADO INTEGRAL</t>
  </si>
  <si>
    <t>ESTADO DE RESULTADOS</t>
  </si>
  <si>
    <t>MARGEN DE CONTRIBUCIÓN (MC)</t>
  </si>
  <si>
    <t>Prima Retenida</t>
  </si>
  <si>
    <t xml:space="preserve">      Prima Directa</t>
  </si>
  <si>
    <t xml:space="preserve">      Prima Aceptada</t>
  </si>
  <si>
    <t xml:space="preserve">      Prima Cedida</t>
  </si>
  <si>
    <t>Variación de Reservas Técnicas</t>
  </si>
  <si>
    <t xml:space="preserve">      Variación Reserva de Riesgo en Curso</t>
  </si>
  <si>
    <t xml:space="preserve">      Variación Reserva Matematica</t>
  </si>
  <si>
    <t xml:space="preserve">      Variación Reserva Valor del Fondo</t>
  </si>
  <si>
    <t xml:space="preserve">      Variación Reserva Catastrófica de Terremoto</t>
  </si>
  <si>
    <t xml:space="preserve">      Variación Reserva Insufuciencia de Primas</t>
  </si>
  <si>
    <t xml:space="preserve">      Variación Otras Reservas Técnicas</t>
  </si>
  <si>
    <t xml:space="preserve">Costo de Siniestros </t>
  </si>
  <si>
    <t xml:space="preserve">      Siniestros Directos</t>
  </si>
  <si>
    <t xml:space="preserve">      Siniestros Cedidos</t>
  </si>
  <si>
    <t xml:space="preserve">      Siniestros Aceptados</t>
  </si>
  <si>
    <t xml:space="preserve">Costo de Rentas </t>
  </si>
  <si>
    <t xml:space="preserve">      Rentas Directas</t>
  </si>
  <si>
    <t xml:space="preserve">      Rentas Cedidas</t>
  </si>
  <si>
    <t xml:space="preserve">      Rentas Aceptadas</t>
  </si>
  <si>
    <t xml:space="preserve">      Comisión Agentes Directos</t>
  </si>
  <si>
    <t xml:space="preserve">      Comisión Corredores y Retribución Asesores Previsionales</t>
  </si>
  <si>
    <t xml:space="preserve">      Comisiones de Reaseguro Aceptado</t>
  </si>
  <si>
    <t xml:space="preserve">      Comisiones de Reaseguro Cedido</t>
  </si>
  <si>
    <t>Gastos por Reaseguro No Proporcional</t>
  </si>
  <si>
    <t>Deterioro de Seguros</t>
  </si>
  <si>
    <t>COSTOS DE ADMINISTRACIÓN (CA)</t>
  </si>
  <si>
    <t>RESULTADO DE INVERSIONES (RI)</t>
  </si>
  <si>
    <t>Resultado Neto Inversiones Realizadas</t>
  </si>
  <si>
    <t xml:space="preserve">      Inversiones Inmobiliarias</t>
  </si>
  <si>
    <t xml:space="preserve">      Inversiones Financieras</t>
  </si>
  <si>
    <t>Resultado Neto Inversiones No Realizadas</t>
  </si>
  <si>
    <t>Resultado Neto Inversiones Devengadas</t>
  </si>
  <si>
    <t xml:space="preserve">      Depreciación</t>
  </si>
  <si>
    <t xml:space="preserve">      Gastos de gestión</t>
  </si>
  <si>
    <t>Resultado Neto Inversiones por Seguros con Cuenta Única de Inversiones</t>
  </si>
  <si>
    <t>Deterioro de Inversiones</t>
  </si>
  <si>
    <t>RESULTADO TÉCNICO DE SEGUROS (MC + RI + CA)</t>
  </si>
  <si>
    <t>Otros Gastos</t>
  </si>
  <si>
    <t xml:space="preserve">Utilidad (Pérdida) por Unidades Reajustables </t>
  </si>
  <si>
    <t xml:space="preserve">Resultado de Operaciones Continuas Antes de Impuesto Renta </t>
  </si>
  <si>
    <t>Utilidad (Pérdida) por Operaciones Discontinuas y Disponibles para la Venta (Netas de Impuestos)</t>
  </si>
  <si>
    <t>Impuesto Renta</t>
  </si>
  <si>
    <t>TOTAL RESULTADO DEL PERIODO</t>
  </si>
  <si>
    <t>ESTADO DE RESULTADO INTEGRAL</t>
  </si>
  <si>
    <t>Resultado en la Evaluación Propiedades, Muebles y Equipos</t>
  </si>
  <si>
    <t>Resultado en Activos Financieros</t>
  </si>
  <si>
    <t>Resultado en Coberturas de Flujo de Caja</t>
  </si>
  <si>
    <t>Otros Resultados con Ajuste en Patrimonio</t>
  </si>
  <si>
    <t>TOTAL OTRO RESULTADO INTEGRAL</t>
  </si>
  <si>
    <t>TOTAL DEL RESULTADO INTEGRAL</t>
  </si>
  <si>
    <t>Descripción</t>
  </si>
  <si>
    <t>Otros Deudores por Operaciones de Reaseguro</t>
  </si>
  <si>
    <t>EDIFICIO (Providencia 1806 Uso Propio)</t>
  </si>
  <si>
    <t>TERRENOS (Providencia 1806 Uso Propio)</t>
  </si>
  <si>
    <t>PARTICIPACIÓN REASEG. RESERVA SINIESTROS (ONR)</t>
  </si>
  <si>
    <t>RESERVAS MATEMATICA RENOVACION (RESERVA VALOR DEL FONDO)</t>
  </si>
  <si>
    <t>Nota 21.1 Cuentas por Cobrar por Impuestos Corrientes</t>
  </si>
  <si>
    <t>(5.15.21.00)</t>
  </si>
  <si>
    <t>Pagos Previsionales Mensuales</t>
  </si>
  <si>
    <t>PPM por Pérdidas Acumuladas Artículo N° 31 Inciso 3</t>
  </si>
  <si>
    <t>Crédito por Gasto de Capacitación</t>
  </si>
  <si>
    <t>Crédito por Adquisición de Activos Fijos</t>
  </si>
  <si>
    <t>Impuesto Renta por Pagar</t>
  </si>
  <si>
    <t>Detalle para Notas</t>
  </si>
  <si>
    <t>Codigo Nota</t>
  </si>
  <si>
    <t>21.1</t>
  </si>
  <si>
    <t>$</t>
  </si>
  <si>
    <t>Nota 22.6 Otros Activos</t>
  </si>
  <si>
    <t>(5.15.35.00)</t>
  </si>
  <si>
    <t>Cuentas Por Cobrar Inversiones</t>
  </si>
  <si>
    <t>Cuentas Por Cobrar Inmobiliaria</t>
  </si>
  <si>
    <t>Cuentas Por Cobrar Varias</t>
  </si>
  <si>
    <t>Garantias De Arriendos Por Cobrar</t>
  </si>
  <si>
    <t xml:space="preserve">Cuentas Por Cobrar Inmobiliaria/cheques A Fecha </t>
  </si>
  <si>
    <t>Cuentas Por Cobrar Pensiones y Otros</t>
  </si>
  <si>
    <t>Otras cuentas y documentos por pagar</t>
  </si>
  <si>
    <t>Cuentas por cobrar Inversiones</t>
  </si>
  <si>
    <t>Cuentas por Cobrar Inmobiliaria</t>
  </si>
  <si>
    <t>Inversiones por Pagar</t>
  </si>
  <si>
    <t>Garantías de arriendo</t>
  </si>
  <si>
    <t>Cuentas por pagar a inmobiliarias</t>
  </si>
  <si>
    <t>22.6</t>
  </si>
  <si>
    <t>DETERIORO CTAS X COBRAR DEUDORES MH</t>
  </si>
  <si>
    <t>DETERIORO CTAS X COBRAR BIENES ADJUDICADOS</t>
  </si>
  <si>
    <t>DETERIORO SEGUROS POR COBRAR</t>
  </si>
  <si>
    <t>DETERIORO FONDOS POR RENDIR</t>
  </si>
  <si>
    <t>DETERIORO FONDOS DE GESTION</t>
  </si>
  <si>
    <t>DETERIORO CTAS X COBRAR INMOBILIARIAS</t>
  </si>
  <si>
    <t>DETERIORO CUOTAS X COBRAR PENSIONADOS</t>
  </si>
  <si>
    <t>DETERIORO CTA CTE X COBRAR</t>
  </si>
  <si>
    <t>Nota 28.1.1 Otras Cuentas por Pagar por Impuestos</t>
  </si>
  <si>
    <t>(5.21.42.11)</t>
  </si>
  <si>
    <t>IVA por Pagar</t>
  </si>
  <si>
    <t>Impuesto de Terceros</t>
  </si>
  <si>
    <t>Impuesto de Reaseguro</t>
  </si>
  <si>
    <t>Otros Impuestos por Cobrar</t>
  </si>
  <si>
    <t>28.1.1</t>
  </si>
  <si>
    <t>Otros Impuestos por Pagar</t>
  </si>
  <si>
    <t>Nota 28.6  Otros Pasivos no Financieros</t>
  </si>
  <si>
    <t>(5.21.42.60)</t>
  </si>
  <si>
    <t xml:space="preserve"> AFP </t>
  </si>
  <si>
    <t>28.6</t>
  </si>
  <si>
    <t xml:space="preserve">Caja De Compensación  </t>
  </si>
  <si>
    <t>Cuentas por pagar pensiones y otros</t>
  </si>
  <si>
    <t xml:space="preserve">   Nota 48.3  Activos no Efectivos</t>
  </si>
  <si>
    <t>Programas Computacionales</t>
  </si>
  <si>
    <t>Derechos, Marcas, Patentes</t>
  </si>
  <si>
    <t>Menor Valor de Inversiones</t>
  </si>
  <si>
    <t>Cuenta Corriente Mercantiles</t>
  </si>
  <si>
    <t>Otros activos no efectivos</t>
  </si>
  <si>
    <t>48.3</t>
  </si>
  <si>
    <t>Nota 36  Otros Ingresos</t>
  </si>
  <si>
    <t>(5.31.51.00)</t>
  </si>
  <si>
    <t>Intereses por Prima</t>
  </si>
  <si>
    <t>Comisiones y Cargos por Administración de Polizas</t>
  </si>
  <si>
    <t>Nota 37  Otros Gastos</t>
  </si>
  <si>
    <t>(5.31.52.00)</t>
  </si>
  <si>
    <t>Amortización Acumulada Prog. Comp</t>
  </si>
  <si>
    <t>Inversiones Seguros Cuenta Unica de Inversión (CUI)</t>
  </si>
  <si>
    <t>Deudas por Operaciones de Reaseguro</t>
  </si>
  <si>
    <t>Deudas por Operaciones de Coaseguro</t>
  </si>
  <si>
    <t>Cuentas de Ingresos</t>
  </si>
  <si>
    <t>Cuentas de Egresos</t>
  </si>
  <si>
    <t>Resultado de Inversiones</t>
  </si>
  <si>
    <t>(5.31.61.00)</t>
  </si>
  <si>
    <t>Rubros</t>
  </si>
  <si>
    <t>Cargos</t>
  </si>
  <si>
    <t>Abonos</t>
  </si>
  <si>
    <t>Cuentas de Resultado</t>
  </si>
  <si>
    <t>Cargo (Abono) Neto a Resultado</t>
  </si>
  <si>
    <t>PROVISION CUOTAS FONDOS MUTUOS RV</t>
  </si>
  <si>
    <t>TASACIONES USADOS POR COBRAR</t>
  </si>
  <si>
    <t xml:space="preserve">DETERIORO B.R.A. </t>
  </si>
  <si>
    <t xml:space="preserve">RESERVA DE SINIESTROS EN PROCESO DE LIQUIDACION </t>
  </si>
  <si>
    <t>DETERIORO DE SEGUROS</t>
  </si>
  <si>
    <t>RESULTADO PROVISION CUOTAS DE FM RV</t>
  </si>
  <si>
    <t>RESERVA VALOR DEL FONDO</t>
  </si>
  <si>
    <t>RESERVA DE RENTAS VITALICIAS</t>
  </si>
  <si>
    <t>AJUSTE DE RESERVAS DE RENTA VITALICIA</t>
  </si>
  <si>
    <t>RESERVA DE RENTA VITALICIA</t>
  </si>
  <si>
    <t>AJUSTE DE RESERVA DE RENTA VITALICIA</t>
  </si>
  <si>
    <t>DETERIORO BIENES RAICES ADJUDICADOS</t>
  </si>
  <si>
    <t>DIFERENCIA DE CAMBIO BONOS EMPRESA</t>
  </si>
  <si>
    <t>DIFERENCIA DE CAMBIO BONO EXTRANJERO</t>
  </si>
  <si>
    <t>DIFERENCIA DE CAMBIO BANCO EN MONEDA EXTRANJERA</t>
  </si>
  <si>
    <t>REAJUSTE CTAS CTES EMPRESAS RELACIONADAS</t>
  </si>
  <si>
    <t>REAJUSTES GARANTIAS</t>
  </si>
  <si>
    <t>REAJUSTES CREDITOS COMPLEMENTARIOS</t>
  </si>
  <si>
    <t>EBS</t>
  </si>
  <si>
    <t>Saldos  al 
31.03.2012
M$</t>
  </si>
  <si>
    <t>Goodwil Tributario</t>
  </si>
  <si>
    <t>Adopción IFRS</t>
  </si>
  <si>
    <t xml:space="preserve">Reserva de Siniestros </t>
  </si>
  <si>
    <t>Variación Reserva Insuficiencia de primas</t>
  </si>
  <si>
    <t>Comisión Agentes Directos</t>
  </si>
  <si>
    <t>CUADRO COSTO DE ADMINISTRACION</t>
  </si>
  <si>
    <t>6.31.20.00</t>
  </si>
  <si>
    <t>6.31.21.00</t>
  </si>
  <si>
    <t>6.31.21.10</t>
  </si>
  <si>
    <t>6.31.21.20</t>
  </si>
  <si>
    <t>6.31.21.30</t>
  </si>
  <si>
    <t>6.31.22.00</t>
  </si>
  <si>
    <t>6.31.22.10</t>
  </si>
  <si>
    <t>6.31.22.20</t>
  </si>
  <si>
    <t>6.31.22.30</t>
  </si>
  <si>
    <t>Costo de Administración Directo</t>
  </si>
  <si>
    <t>Remuneración</t>
  </si>
  <si>
    <t>Gastos asociados al canal de distribución</t>
  </si>
  <si>
    <t>Costo de Administración Indirecto</t>
  </si>
  <si>
    <t>6.01.02</t>
  </si>
  <si>
    <t>Instrumentos en pacto ( Bonos Garantizados )</t>
  </si>
  <si>
    <t>PROVISION CUOTAS FONDOS MUTUOS RV VIDA</t>
  </si>
  <si>
    <t>INVERSIONES CUOTAS FONDOS MUTUOS RV VIDA</t>
  </si>
  <si>
    <t>40.1</t>
  </si>
  <si>
    <t>Impuesto año corriente</t>
  </si>
  <si>
    <t>Impuesto por gastos rechazados Artículo N°21</t>
  </si>
  <si>
    <t>Originación y reverso de diferencias temporarias</t>
  </si>
  <si>
    <t>Reserva Cedida Marzo 2012 Riesgo en curso</t>
  </si>
  <si>
    <t>Reserva Cedida Marzo 2012 Matematica</t>
  </si>
  <si>
    <t>Arriendos y Gastos Comunes</t>
  </si>
  <si>
    <t>Otros Gastos del Personal</t>
  </si>
  <si>
    <t>Patente Comercial</t>
  </si>
  <si>
    <t>Servicios de  Asesoria Externas</t>
  </si>
  <si>
    <t>Materiales y Utiles de Oficina</t>
  </si>
  <si>
    <t>IVA Crédito no Recuperado</t>
  </si>
  <si>
    <t>Gastos Administrativos Pensiones</t>
  </si>
  <si>
    <t>Otros Gastos de Administración</t>
  </si>
  <si>
    <t>Informática y comunicaciones</t>
  </si>
  <si>
    <t>Depreciación y amortización</t>
  </si>
  <si>
    <t>Nota 34  Costos de Administración</t>
  </si>
  <si>
    <t>(5.31.20.00)</t>
  </si>
  <si>
    <t>Administración de cobranza por seguros masivos</t>
  </si>
  <si>
    <t>Gastos Asociados al canal de distribución</t>
  </si>
  <si>
    <t>48.4</t>
  </si>
  <si>
    <t>b.2</t>
  </si>
  <si>
    <t>b.1</t>
  </si>
  <si>
    <t>ESTADO DE CAMBIO EN EL PATRIMONIO</t>
  </si>
  <si>
    <t>Capital</t>
  </si>
  <si>
    <t>Pagado</t>
  </si>
  <si>
    <t>Sobre Precio de acciones</t>
  </si>
  <si>
    <t>Reserva Ajuste por Calce</t>
  </si>
  <si>
    <t>Reserva Descalce Seguros CUI</t>
  </si>
  <si>
    <t>Otras Reservas</t>
  </si>
  <si>
    <t>Resultados Acumulados Períodos Anteriores</t>
  </si>
  <si>
    <t>Resultado en la evaluacion Propiedades , muebles y equipos</t>
  </si>
  <si>
    <t>Resultado en activos Financieros</t>
  </si>
  <si>
    <t>Resultado en Coberturas de Flujo de caja</t>
  </si>
  <si>
    <t>8.11.00.00</t>
  </si>
  <si>
    <t>Patrimonio Inicial antes de ajustes</t>
  </si>
  <si>
    <t>8.12.00.00</t>
  </si>
  <si>
    <t>Ajustes de periodos anteriores</t>
  </si>
  <si>
    <t>8.10.00.00</t>
  </si>
  <si>
    <t>Patrimonio al inicio del período</t>
  </si>
  <si>
    <t>8.20.00.00</t>
  </si>
  <si>
    <t>Resultado Integral</t>
  </si>
  <si>
    <t>8.21.00.00</t>
  </si>
  <si>
    <t xml:space="preserve">     Resultado del período</t>
  </si>
  <si>
    <t>8.22.00.00</t>
  </si>
  <si>
    <t xml:space="preserve">     Total de ingresos ( gastos ) registrados con abono ( cargo ) a patrimonio</t>
  </si>
  <si>
    <t>8.23.00.00</t>
  </si>
  <si>
    <t xml:space="preserve">     Impuestos diferidos</t>
  </si>
  <si>
    <t>8.30.00.00</t>
  </si>
  <si>
    <t>Transferencias a resultados Acumulados</t>
  </si>
  <si>
    <t>8.40.00.00</t>
  </si>
  <si>
    <t>Operaciones con los Accionistas</t>
  </si>
  <si>
    <t>8.41.00.00</t>
  </si>
  <si>
    <t xml:space="preserve">     Aumentos ( Disminución ) de capital</t>
  </si>
  <si>
    <t>8.42.00.00</t>
  </si>
  <si>
    <t xml:space="preserve">    (-) Distribución de Dividendos</t>
  </si>
  <si>
    <t>8.43.00.00</t>
  </si>
  <si>
    <t xml:space="preserve">    Otras Operaciones con los accionistas</t>
  </si>
  <si>
    <t>8.50.00.00</t>
  </si>
  <si>
    <t>8.60.00.00</t>
  </si>
  <si>
    <t>Transferencia de Patrimonio a resultado</t>
  </si>
  <si>
    <t>8.70.00.00</t>
  </si>
  <si>
    <t>PATRIMONIO AL FINAL DEL PERIODO</t>
  </si>
  <si>
    <t>6.81.01.00</t>
  </si>
  <si>
    <t>6.81.02.00</t>
  </si>
  <si>
    <t>6.81.03.00</t>
  </si>
  <si>
    <t>6.81.04.00</t>
  </si>
  <si>
    <t>6.81.05.00</t>
  </si>
  <si>
    <t>6.81.06.00</t>
  </si>
  <si>
    <t>6.81.07.00</t>
  </si>
  <si>
    <t>6.81.08.00</t>
  </si>
  <si>
    <t>6.81.09.00</t>
  </si>
  <si>
    <t>6.81.10.00</t>
  </si>
  <si>
    <t>6.81.11.00</t>
  </si>
  <si>
    <t>6.81.12.00</t>
  </si>
  <si>
    <t>6.81.13.00</t>
  </si>
  <si>
    <t>6.81.14.00</t>
  </si>
  <si>
    <t>6.82.01.00</t>
  </si>
  <si>
    <t>6.81.15.00</t>
  </si>
  <si>
    <t>6.82.02.00</t>
  </si>
  <si>
    <t>6.82.03.00</t>
  </si>
  <si>
    <t>6.82.04.00</t>
  </si>
  <si>
    <t>Número de item contratados en el período</t>
  </si>
  <si>
    <t>BANCO SANTANDER N° 200131</t>
  </si>
  <si>
    <t>RECIBOS NO IDENTIFICADOS INMOBILIARIA</t>
  </si>
  <si>
    <t>RECIBOS NO IDENTIFICADOS INMOBILIARIOS</t>
  </si>
  <si>
    <t>AJUSTE ADOPCION FONDO DE REPUBLICA DE CUBA</t>
  </si>
  <si>
    <t>AJUSTE ADOPCION FONDO VIÑA DEL MAR</t>
  </si>
  <si>
    <t>AJUSTE ADOPCION PARQUE QUINTA NORMAL</t>
  </si>
  <si>
    <t>AJUSTE ADOPCION FONDO BADAJOZ</t>
  </si>
  <si>
    <t>SVI CTAS X COBRAR VENTA C</t>
  </si>
  <si>
    <t>Inversiones a valor razonable</t>
  </si>
  <si>
    <t>Inversiones a costo amortizado</t>
  </si>
  <si>
    <t>Efectivo equivalente</t>
  </si>
  <si>
    <t>participaciones en entidades del grupo</t>
  </si>
  <si>
    <t>Inversiones inmobiliarias</t>
  </si>
  <si>
    <t>Muebles y equipos</t>
  </si>
  <si>
    <t>Activos no corrientes mantenidos para venta</t>
  </si>
  <si>
    <t>Sinistros por cobrar Reaseguros</t>
  </si>
  <si>
    <t>Total Activos</t>
  </si>
  <si>
    <t>Total activo representativo</t>
  </si>
  <si>
    <t>Menor valor Nueva apoquindo</t>
  </si>
  <si>
    <t>Inversión CEPA</t>
  </si>
  <si>
    <t>Diferencia</t>
  </si>
  <si>
    <t>Activo Obras de Arte</t>
  </si>
  <si>
    <t>BROWN BROTHERS HARRIMAN N°</t>
  </si>
  <si>
    <t>CTA CTE GARANTIA ESTATAL</t>
  </si>
  <si>
    <t>MENOR VALOR BIENES RAICES ADJUDICADOS</t>
  </si>
  <si>
    <t>COMISIONES AGENTES LIBRES</t>
  </si>
  <si>
    <t>DIVIDENDOS MAYO 2012</t>
  </si>
  <si>
    <t>MENOR VALOR B.R.A.</t>
  </si>
  <si>
    <t>DETERIORO CTA CTE EL COIHUE DOS S.A.</t>
  </si>
  <si>
    <t>REAJUSTES ANUALIDADES SVI</t>
  </si>
  <si>
    <t xml:space="preserve">SEGURO DESGRAVAMEN POR PAGAR </t>
  </si>
  <si>
    <t>MENOR VALOR BRA</t>
  </si>
  <si>
    <t>DETERIORO CTA. CTE. EL COIHUE DOS S.A.</t>
  </si>
  <si>
    <t>Inv No repres. Acciones cerradas</t>
  </si>
  <si>
    <t>Inv no repres. Fdos privados</t>
  </si>
  <si>
    <t>Activos No efectivos</t>
  </si>
  <si>
    <t>ESTADO DE FLUJOS DE EFECTIVO</t>
  </si>
  <si>
    <t>FLUJO DE EFECTIVO DE LAS ACTIVIDADES DE LA OPERACIÓN</t>
  </si>
  <si>
    <t>Ingresos de las Actividades de la Operación</t>
  </si>
  <si>
    <t>7.31.11.00</t>
  </si>
  <si>
    <t>Ingreso por prima de seguro y coaseguro</t>
  </si>
  <si>
    <t>7.31.12.00</t>
  </si>
  <si>
    <t>Ingreso por prima reaseguro aceptado</t>
  </si>
  <si>
    <t>7.31.13.00</t>
  </si>
  <si>
    <t>Devolución por rentas y siniestros</t>
  </si>
  <si>
    <t>7.31.14.00</t>
  </si>
  <si>
    <t>Ingresos por rentas y siniestros reasegurados</t>
  </si>
  <si>
    <t>7.31.15.00</t>
  </si>
  <si>
    <t>Ingreso por comisiones reaseguro cedido</t>
  </si>
  <si>
    <t>7.31.16.00</t>
  </si>
  <si>
    <t>Ingreso por activos financieros e inmobiliarios a valor razonable</t>
  </si>
  <si>
    <t>7.31.17.00</t>
  </si>
  <si>
    <t>Ingreso por activos financieros e inmobiliarios a costo amortizado</t>
  </si>
  <si>
    <t>7.31.18.00</t>
  </si>
  <si>
    <t>Ingreso por activos inmobliarios</t>
  </si>
  <si>
    <t>7.31.19.00</t>
  </si>
  <si>
    <t>Intereses y dividendos recibidos</t>
  </si>
  <si>
    <t>7.31.20.00</t>
  </si>
  <si>
    <t>Préstamos y partidas por cobrar</t>
  </si>
  <si>
    <t>7.31.21.00</t>
  </si>
  <si>
    <t>Otros Ingresos de la actividad aseguradora</t>
  </si>
  <si>
    <t>7.31.00.00</t>
  </si>
  <si>
    <t>Total Ingresos de efectivo de la actividad aseguradora</t>
  </si>
  <si>
    <t>Egresos de las Actividades de la Operación</t>
  </si>
  <si>
    <t>7.32.11.00</t>
  </si>
  <si>
    <t>Egresos por prestaciones seguro directo y coaseguro</t>
  </si>
  <si>
    <t>7.32.12.00</t>
  </si>
  <si>
    <t>Pago de rentas y siniestros</t>
  </si>
  <si>
    <t>7.32.13.00</t>
  </si>
  <si>
    <t>Egreso por comisiones seguro directo</t>
  </si>
  <si>
    <t>7.32.14.00</t>
  </si>
  <si>
    <t>Egreso por comisiones reaseguro aceptado</t>
  </si>
  <si>
    <t>7.32.15.00</t>
  </si>
  <si>
    <t>Egreso por activos financieros e Inmobiliarios a valor razonable</t>
  </si>
  <si>
    <t>7.32.16.00</t>
  </si>
  <si>
    <t>Egreso por activos financieros e Inmobiliarios a costo amortizado</t>
  </si>
  <si>
    <t>7.32.17.00</t>
  </si>
  <si>
    <t>Egresos por activos inmobiliarios</t>
  </si>
  <si>
    <t>7.32.18.00</t>
  </si>
  <si>
    <t>Gasto por Impuestos</t>
  </si>
  <si>
    <t>7.32.19.00</t>
  </si>
  <si>
    <t>Gasto de administración</t>
  </si>
  <si>
    <t>7.32.20.00</t>
  </si>
  <si>
    <t>Otros egresos de la actividad aseguradora</t>
  </si>
  <si>
    <t>7.32.00.00</t>
  </si>
  <si>
    <t>Total egresos de efectivo de la actividad aseguradora</t>
  </si>
  <si>
    <t>7.30.00.00</t>
  </si>
  <si>
    <t>Total flujo de efectivo neto de actividades de la operación</t>
  </si>
  <si>
    <t>FLUJO DE EFECTIVO DE LAS ACTIVIDADES DE INVERSIÓN</t>
  </si>
  <si>
    <t>Ingresos de actividades de inversión</t>
  </si>
  <si>
    <t>7.41.11.00</t>
  </si>
  <si>
    <t>Ingresos por propiedades, muebles y equipos</t>
  </si>
  <si>
    <t>7.41.12.00</t>
  </si>
  <si>
    <t>Ingresos Propiedades de Inversión</t>
  </si>
  <si>
    <t>7.41.13.00</t>
  </si>
  <si>
    <t>Ingresos por Activos Intangible</t>
  </si>
  <si>
    <t>7.41.14.00</t>
  </si>
  <si>
    <t>Ingresos por Activos mantenidos para la venta</t>
  </si>
  <si>
    <t>7.41.15.00</t>
  </si>
  <si>
    <t xml:space="preserve"> Ingresos por Participaciones en entidades del grupo y filiales</t>
  </si>
  <si>
    <t>7.41.16.00</t>
  </si>
  <si>
    <t>Otros Ingresos relacionados con las actividades de Inversión</t>
  </si>
  <si>
    <t>7.41.00.00</t>
  </si>
  <si>
    <t>Total Ingresos de efectivo de las actividades de Inversión</t>
  </si>
  <si>
    <t>Egresos de actividades de Inversión</t>
  </si>
  <si>
    <t>7.42.11.00</t>
  </si>
  <si>
    <t>Egresos por propiedades, muebles y equipos</t>
  </si>
  <si>
    <t>7.42.12.00</t>
  </si>
  <si>
    <t>7.42.13.00</t>
  </si>
  <si>
    <t>Activos Intangible</t>
  </si>
  <si>
    <t>7.42.14.00</t>
  </si>
  <si>
    <t>Activos mantenidos para la venta</t>
  </si>
  <si>
    <t>7.42.15.00</t>
  </si>
  <si>
    <t>Participaciones en entidades del grupo y filiales</t>
  </si>
  <si>
    <t>7.42.16.00</t>
  </si>
  <si>
    <t>Otros egresos relacionados con las actividades de Inversión</t>
  </si>
  <si>
    <t>7.42.00.00</t>
  </si>
  <si>
    <t>Total egresos de efectivo de las actividades de inversión</t>
  </si>
  <si>
    <t>7.40.00.00</t>
  </si>
  <si>
    <t>Total de flujo de efectivo neto de actividades de inversión</t>
  </si>
  <si>
    <t>FLUJO DE EFECTIVO DE LAS ACTIVIDADES DE FINANCIAMIENTO</t>
  </si>
  <si>
    <t>Ingresos de actividades de financiamiento</t>
  </si>
  <si>
    <t>7.51.11.00</t>
  </si>
  <si>
    <t xml:space="preserve"> Ingresos por Emisión de Instrumentos de patrimonio</t>
  </si>
  <si>
    <t>7.51.12.00</t>
  </si>
  <si>
    <t>Ingresos por préstamos a relacionados</t>
  </si>
  <si>
    <t>7.51.13.00</t>
  </si>
  <si>
    <t>Ingresos por Préstamos bancarios</t>
  </si>
  <si>
    <t>7.51.14.00</t>
  </si>
  <si>
    <t>Aumentos de capital</t>
  </si>
  <si>
    <t>7.51.15.00</t>
  </si>
  <si>
    <t>Otros ingresos relacionados con actividades de financiamiento</t>
  </si>
  <si>
    <t>7.51.00.00</t>
  </si>
  <si>
    <t>Total Ingresos de efectivo de las actividades de financiamiento</t>
  </si>
  <si>
    <t>Egresos de actividades de financiamiento</t>
  </si>
  <si>
    <t>7.52.11.00</t>
  </si>
  <si>
    <t>Dividendos de los accionistas</t>
  </si>
  <si>
    <t>7.52.12.00</t>
  </si>
  <si>
    <t>Intereses pagados</t>
  </si>
  <si>
    <t>7.52.13.00</t>
  </si>
  <si>
    <t>Disminución de capital</t>
  </si>
  <si>
    <t>7.52.14.00</t>
  </si>
  <si>
    <t>Egresos por préstamos con relacionados</t>
  </si>
  <si>
    <t>7.52.15.00</t>
  </si>
  <si>
    <t>Otros egresos relacionados con actividades de financiamiento</t>
  </si>
  <si>
    <t>7.52.00.00</t>
  </si>
  <si>
    <t>Total egresos de efectivo de las actividades de financiamiento</t>
  </si>
  <si>
    <t>7.50.00.00</t>
  </si>
  <si>
    <t>Total Flujo de efectivo neto de actividades de financiamiento</t>
  </si>
  <si>
    <t>7.60.00.00</t>
  </si>
  <si>
    <t>Efecto de las variaciones de los tipo de cambio</t>
  </si>
  <si>
    <t>7.70.00.00</t>
  </si>
  <si>
    <t>Total aumento (disminuciones) de efectivo y equivalentes</t>
  </si>
  <si>
    <t>7.71.00.00</t>
  </si>
  <si>
    <t>Efectivo y equivalentes al inicio del periodo</t>
  </si>
  <si>
    <t>7.72.00.00</t>
  </si>
  <si>
    <t>Efectivo y equivalentes al final del periodo</t>
  </si>
  <si>
    <t>7.80.00.00</t>
  </si>
  <si>
    <t>Componentes del efectivo y equivalentes al final del periodo</t>
  </si>
  <si>
    <t>7.81.00.00</t>
  </si>
  <si>
    <t>7.82.00.00</t>
  </si>
  <si>
    <t>Equivalente al efectivo</t>
  </si>
  <si>
    <t xml:space="preserve">Caja </t>
  </si>
  <si>
    <t>7.83.00.00</t>
  </si>
  <si>
    <t>Deudas por Operaciones Reaseguro ( Netas de descuento de cesión )</t>
  </si>
  <si>
    <t xml:space="preserve">ACTIVOS NO CORRIENTES MANTENIDOS PARA LA VENTA </t>
  </si>
  <si>
    <t>6.31.10.00</t>
  </si>
  <si>
    <t>6.31.11.00</t>
  </si>
  <si>
    <t>6.31.11.10</t>
  </si>
  <si>
    <t>6.31.11.20</t>
  </si>
  <si>
    <t>6.31.11.30</t>
  </si>
  <si>
    <t>6.31.12.40</t>
  </si>
  <si>
    <t>6.31.14.00</t>
  </si>
  <si>
    <t>6.31.14.10</t>
  </si>
  <si>
    <t>6.31.14.30</t>
  </si>
  <si>
    <t>6.31.14.20</t>
  </si>
  <si>
    <t>6.31.13.00</t>
  </si>
  <si>
    <t>6.31.13.10</t>
  </si>
  <si>
    <t>6.31.13.30</t>
  </si>
  <si>
    <t>6.31.13.20</t>
  </si>
  <si>
    <t>6.31.15.00</t>
  </si>
  <si>
    <t>6.31.15.10</t>
  </si>
  <si>
    <t>6.31.15.30</t>
  </si>
  <si>
    <t>6.31.15.40</t>
  </si>
  <si>
    <t>6.31.16.00</t>
  </si>
  <si>
    <t>6.31.17.00</t>
  </si>
  <si>
    <t>6.31.18.00</t>
  </si>
  <si>
    <t>Variación Reserva de Riesgo en Curso</t>
  </si>
  <si>
    <t>Variación Reserva Matemática</t>
  </si>
  <si>
    <t>Variación Reserva Valor del Fondo</t>
  </si>
  <si>
    <t>Variación Otras Reservas Técnicas</t>
  </si>
  <si>
    <t>6.31.12.10</t>
  </si>
  <si>
    <t>6.31.12.20</t>
  </si>
  <si>
    <t>6.31.12.30</t>
  </si>
  <si>
    <t>6.31.12.50</t>
  </si>
  <si>
    <t>Comisión Corredores y Retribución Asesores Previsionales</t>
  </si>
  <si>
    <t>6.31.15.20</t>
  </si>
  <si>
    <t>6.20.10.00</t>
  </si>
  <si>
    <t>6.20.11.00</t>
  </si>
  <si>
    <t>6.20.11.10</t>
  </si>
  <si>
    <t>6.20.11.20</t>
  </si>
  <si>
    <t>6.20.12.00</t>
  </si>
  <si>
    <t>6.20.13.00</t>
  </si>
  <si>
    <t>6.20.20.00</t>
  </si>
  <si>
    <t>6.20.21.00</t>
  </si>
  <si>
    <t>6.20.22.00</t>
  </si>
  <si>
    <t>6.20.23.00</t>
  </si>
  <si>
    <t>6.21.00.00</t>
  </si>
  <si>
    <t>6.20.31.00</t>
  </si>
  <si>
    <t>6.20.31.10</t>
  </si>
  <si>
    <t>6.20.31.20</t>
  </si>
  <si>
    <t>6.20.31.30</t>
  </si>
  <si>
    <t>6.20.31.40</t>
  </si>
  <si>
    <t>6.20.32.00</t>
  </si>
  <si>
    <t>6.35..01.00</t>
  </si>
  <si>
    <t>6.35.01.10</t>
  </si>
  <si>
    <t>6.35.01.20</t>
  </si>
  <si>
    <t>6.35.00.00</t>
  </si>
  <si>
    <t>6.35.10.00</t>
  </si>
  <si>
    <t>6.35.11.00</t>
  </si>
  <si>
    <t>6.35.11.10</t>
  </si>
  <si>
    <t>6.35.11.20</t>
  </si>
  <si>
    <t>6.35.11.30</t>
  </si>
  <si>
    <t>6.35.11.40</t>
  </si>
  <si>
    <t>6.35.11.50</t>
  </si>
  <si>
    <t>6.35.12.00</t>
  </si>
  <si>
    <t>6.35.12.10</t>
  </si>
  <si>
    <t>6.35.12.20</t>
  </si>
  <si>
    <t>6.35.12.30</t>
  </si>
  <si>
    <t>6.35.13.00</t>
  </si>
  <si>
    <t>6.35.13.10</t>
  </si>
  <si>
    <t>6.35.13.20</t>
  </si>
  <si>
    <t>6.35.13.30</t>
  </si>
  <si>
    <t>6.35.20.00</t>
  </si>
  <si>
    <t>6.35.21.00</t>
  </si>
  <si>
    <t>6.35.21.10</t>
  </si>
  <si>
    <t>6.35.21.20</t>
  </si>
  <si>
    <t>6.35.21.30</t>
  </si>
  <si>
    <t>6.35.22.00</t>
  </si>
  <si>
    <t>6.35.22.10</t>
  </si>
  <si>
    <t>6.35.22.20</t>
  </si>
  <si>
    <t>6.35.22.30</t>
  </si>
  <si>
    <t>6.35.23.00</t>
  </si>
  <si>
    <t>6.35.30.00</t>
  </si>
  <si>
    <t>6.40.01.00</t>
  </si>
  <si>
    <t>6.40.01.10</t>
  </si>
  <si>
    <t>6.40.01.20</t>
  </si>
  <si>
    <t>6.40.00.00</t>
  </si>
  <si>
    <t>6.40.10.00</t>
  </si>
  <si>
    <t>6.40.11.00</t>
  </si>
  <si>
    <t>6.40.12.00</t>
  </si>
  <si>
    <t>6.40.13.00</t>
  </si>
  <si>
    <t>6.40.20.00</t>
  </si>
  <si>
    <t>6.40.21.00</t>
  </si>
  <si>
    <t>6.40.22.00</t>
  </si>
  <si>
    <t>6.40.23.00</t>
  </si>
  <si>
    <t>6.40.30.00</t>
  </si>
  <si>
    <t>VARIACION RESERVA DE RIESGO EN CURSO</t>
  </si>
  <si>
    <t>6.51.10.00</t>
  </si>
  <si>
    <t>6.51.11.00</t>
  </si>
  <si>
    <t>6.51.12.00</t>
  </si>
  <si>
    <t>VARIACION RESERVA MATEMATICA</t>
  </si>
  <si>
    <t>6.51.20.00</t>
  </si>
  <si>
    <t>6.51.21.00</t>
  </si>
  <si>
    <t>6.51.22.00</t>
  </si>
  <si>
    <t>6.51.30.00</t>
  </si>
  <si>
    <t>VARIACION RESERVA VALOR DEL FONDO</t>
  </si>
  <si>
    <t>6.51.31.00</t>
  </si>
  <si>
    <t>6.51.32.00</t>
  </si>
  <si>
    <t>6.51.40.00</t>
  </si>
  <si>
    <t>VARIACION RESERVA INSUFICIENCIA DE PRIMAS</t>
  </si>
  <si>
    <t>6.51.41.00</t>
  </si>
  <si>
    <t>Reserva Insificiencia de Primas del Ejercicio  Anterior</t>
  </si>
  <si>
    <t>6.51.42.00</t>
  </si>
  <si>
    <t xml:space="preserve">Reserva Insificiencia de Primas del Ejercicio </t>
  </si>
  <si>
    <t>6.52.10.00</t>
  </si>
  <si>
    <t>VARIACION RESERVA DESVIACION SINIESTRALIDAD</t>
  </si>
  <si>
    <t>6.52.11.00</t>
  </si>
  <si>
    <t>Reserva Desviación Siniestralidad Ejercicio Anterior</t>
  </si>
  <si>
    <t>6.52.12.00</t>
  </si>
  <si>
    <t>6.52.20.00</t>
  </si>
  <si>
    <t>VARIACION POR TEST DE ADECUACION DE PASIVOS</t>
  </si>
  <si>
    <t>6.52.30.00</t>
  </si>
  <si>
    <t>6.52.31.00</t>
  </si>
  <si>
    <t>6.52.32.00</t>
  </si>
  <si>
    <t>6.71.10.00</t>
  </si>
  <si>
    <t>6.71.20.00</t>
  </si>
  <si>
    <t>6.71.30.00</t>
  </si>
  <si>
    <t>6.71.00.00</t>
  </si>
  <si>
    <t>6.72.10.00</t>
  </si>
  <si>
    <t>6.72.20.00</t>
  </si>
  <si>
    <t>6.72.30.00</t>
  </si>
  <si>
    <t>6.72.00.00</t>
  </si>
  <si>
    <t>6.73.10.00</t>
  </si>
  <si>
    <t>6.73.20.00</t>
  </si>
  <si>
    <t>6.73.30.00</t>
  </si>
  <si>
    <t>6.73.00.00</t>
  </si>
  <si>
    <t>6.70.00.00</t>
  </si>
  <si>
    <t>6.08.01</t>
  </si>
  <si>
    <t>CUADRO DE DATOS ESTADISTICOS</t>
  </si>
  <si>
    <t>Número de Items Vigentes</t>
  </si>
  <si>
    <t>6.08.02</t>
  </si>
  <si>
    <t>CUADRO DE DATOS VARIOS</t>
  </si>
  <si>
    <t>Nota 38 Diferencia de Cambio y Unidades Reajustables</t>
  </si>
  <si>
    <t>Activos financieros a valor razonable</t>
  </si>
  <si>
    <t>Activos financieros a costo amortizado</t>
  </si>
  <si>
    <t>Inversiones Inmobiliarias</t>
  </si>
  <si>
    <t>Cuentas por cobrar asegurados</t>
  </si>
  <si>
    <t>Participación del reaseguro en las reservas técnicas</t>
  </si>
  <si>
    <t xml:space="preserve">Pasivos Financieros </t>
  </si>
  <si>
    <t>Deudas con asegurados</t>
  </si>
  <si>
    <t>CODIGO</t>
  </si>
  <si>
    <t>NOMBRE DE CUENTA</t>
  </si>
  <si>
    <t>6.01.01 CUADRO DE MARGEN DE CONTRIBUCION</t>
  </si>
  <si>
    <t>6.31.12.00</t>
  </si>
  <si>
    <t>Cuadraturas</t>
  </si>
  <si>
    <t>6.02 CUADRO DE APERTURA DE RESERVAS DE PRIMAS</t>
  </si>
  <si>
    <t>6.02.01 PRIMA RETENIDA NETA</t>
  </si>
  <si>
    <t xml:space="preserve"> Prima Directa</t>
  </si>
  <si>
    <t xml:space="preserve">   Prima Directa Total</t>
  </si>
  <si>
    <t xml:space="preserve">   Ajuste por Contrato</t>
  </si>
  <si>
    <t xml:space="preserve"> Prima Aceptada</t>
  </si>
  <si>
    <t xml:space="preserve"> Prima Cedida</t>
  </si>
  <si>
    <t>6.02.02 RESERVA DE RIESGO EN CURSO</t>
  </si>
  <si>
    <t>6.02.03 CUADRO DE RESERVA MATEMATICA</t>
  </si>
  <si>
    <t>6.03 CUADRO COSTO DE SINIESTROS</t>
  </si>
  <si>
    <t>NOMBRE CUENTA</t>
  </si>
  <si>
    <t>Indemnización por Invalidez Accidental</t>
  </si>
  <si>
    <t>Indemnización  por Muerte Accidental</t>
  </si>
  <si>
    <t>ANTECEDENTES PARA LOS CUADROS TECNICOS</t>
  </si>
  <si>
    <t>SVI RESCATES</t>
  </si>
  <si>
    <t>Suma de Saldo</t>
  </si>
  <si>
    <t>Mes</t>
  </si>
  <si>
    <t>Total general</t>
  </si>
  <si>
    <t>101</t>
  </si>
  <si>
    <t>102</t>
  </si>
  <si>
    <t>103</t>
  </si>
  <si>
    <t>104</t>
  </si>
  <si>
    <t>Enero</t>
  </si>
  <si>
    <t>Febrero</t>
  </si>
  <si>
    <t>Marzo</t>
  </si>
  <si>
    <t>Abril</t>
  </si>
  <si>
    <t>Mayo</t>
  </si>
  <si>
    <t>Junio</t>
  </si>
  <si>
    <t>Julio</t>
  </si>
  <si>
    <t>Agosto</t>
  </si>
  <si>
    <t>Septiembre</t>
  </si>
  <si>
    <t>Octubre</t>
  </si>
  <si>
    <t>Noviembre</t>
  </si>
  <si>
    <t>Diciembre</t>
  </si>
  <si>
    <t>CUENTA:</t>
  </si>
  <si>
    <t>109</t>
  </si>
  <si>
    <t>110</t>
  </si>
  <si>
    <t>202</t>
  </si>
  <si>
    <t>209</t>
  </si>
  <si>
    <t>210</t>
  </si>
  <si>
    <t>212</t>
  </si>
  <si>
    <t>302</t>
  </si>
  <si>
    <t>310</t>
  </si>
  <si>
    <t>312</t>
  </si>
  <si>
    <t>313</t>
  </si>
  <si>
    <t xml:space="preserve">Enero </t>
  </si>
  <si>
    <t>207</t>
  </si>
  <si>
    <t>307</t>
  </si>
  <si>
    <t>420</t>
  </si>
  <si>
    <t>424</t>
  </si>
  <si>
    <t>510102</t>
  </si>
  <si>
    <t>108</t>
  </si>
  <si>
    <t>112</t>
  </si>
  <si>
    <t>114</t>
  </si>
  <si>
    <t>213</t>
  </si>
  <si>
    <t>309</t>
  </si>
  <si>
    <t>425</t>
  </si>
  <si>
    <t>Ramo Contab.</t>
  </si>
  <si>
    <t>510221</t>
  </si>
  <si>
    <t>SINIESTROS DIRECTOS VIDA 1ER AÑO</t>
  </si>
  <si>
    <t>105</t>
  </si>
  <si>
    <t>106</t>
  </si>
  <si>
    <t>107</t>
  </si>
  <si>
    <t>206</t>
  </si>
  <si>
    <t>301</t>
  </si>
  <si>
    <t>308</t>
  </si>
  <si>
    <t>SINIESTROS DIRECTOS VIDA UNICA</t>
  </si>
  <si>
    <t>SINIESTROS DIRECTOS VIDA RENOVACIÓN</t>
  </si>
  <si>
    <t>6.04 CUADRO COSTO DE RENTAS</t>
  </si>
  <si>
    <t>421</t>
  </si>
  <si>
    <t>422</t>
  </si>
  <si>
    <t>423</t>
  </si>
  <si>
    <t>431</t>
  </si>
  <si>
    <t>432</t>
  </si>
  <si>
    <t>434</t>
  </si>
  <si>
    <t>435</t>
  </si>
  <si>
    <t>510101</t>
  </si>
  <si>
    <t>510230</t>
  </si>
  <si>
    <t>Acumulado</t>
  </si>
  <si>
    <t>6.05.02 CUADRO OTRAS RESERVAS TECNICAS</t>
  </si>
  <si>
    <t>6.05.01 CUADRO DE RESERVAS DE PRIMAS</t>
  </si>
  <si>
    <t>6.06 CUADRO DE SEGUROS PREVISIONALES</t>
  </si>
  <si>
    <t>Anticipada</t>
  </si>
  <si>
    <t>Normal</t>
  </si>
  <si>
    <t>Parcial</t>
  </si>
  <si>
    <t>Sobrev.</t>
  </si>
  <si>
    <t>BICE CTA. N° 01-31135-2</t>
  </si>
  <si>
    <t>CONTROL DE DOCUMENTOS POR DEVOLVER</t>
  </si>
  <si>
    <t>CONTROL DE DOCUMENTOS POR VENCER</t>
  </si>
  <si>
    <t>SINIESTROS DIRECTOS VIDA RENOVACION</t>
  </si>
  <si>
    <t>CASTIGO CREDITOS COMPLEMENTARIOS</t>
  </si>
  <si>
    <t>IVA CREDITO NO RECUPERADO COMISIONES</t>
  </si>
  <si>
    <t>BICE CTA. N 01-311</t>
  </si>
  <si>
    <t xml:space="preserve">SINIESTROS DIRECTOS VIDA 1ER AÑO </t>
  </si>
  <si>
    <t>SINIESTROS DIRECTOS VIDA UNICOS</t>
  </si>
  <si>
    <t>CASTIGO CREDITOS DE CONSUMO</t>
  </si>
  <si>
    <t>DETERIORO INVERSIÓN PIEDRA ROJA</t>
  </si>
  <si>
    <t>FLUCT. PIEDRA ROJA S.A.</t>
  </si>
  <si>
    <t>Total Acumulado a Junio
2012</t>
  </si>
  <si>
    <t>Cuadratura</t>
  </si>
  <si>
    <t>Renta Vitalicia</t>
  </si>
  <si>
    <t>Renta Privada</t>
  </si>
  <si>
    <t>Calce Renta Vitalicia</t>
  </si>
  <si>
    <t>Participación Reaseguro</t>
  </si>
  <si>
    <t>Calce Cedido Renta Vitalicia-Calce Mutual PAX(Colectivos)</t>
  </si>
  <si>
    <t>Calce Cedido Renta Vitalicia (Ajuste)</t>
  </si>
  <si>
    <t>Total Codigo</t>
  </si>
  <si>
    <t>6.05 CUADRO COSTO DE RENTAS</t>
  </si>
  <si>
    <t>No corresponde al cuadro 6.04</t>
  </si>
  <si>
    <t>Observaciones</t>
  </si>
  <si>
    <t>PENSIONES PAGADAS AFP</t>
  </si>
  <si>
    <t>SOLO RAMOS DE RENTA VITALICIAS</t>
  </si>
  <si>
    <t>SOLO SINIESTROS</t>
  </si>
  <si>
    <t>Prima</t>
  </si>
  <si>
    <t>Cuenta comisiones directas</t>
  </si>
  <si>
    <t>Individuales</t>
  </si>
  <si>
    <t>Colectivos</t>
  </si>
  <si>
    <t>Renta vitalicia</t>
  </si>
  <si>
    <t>Afp</t>
  </si>
  <si>
    <t xml:space="preserve"> 01-31135-2</t>
  </si>
  <si>
    <t>UF Junio 2012</t>
  </si>
  <si>
    <t>UF Diciembre 2011</t>
  </si>
  <si>
    <t>INTERESES ANUALIDADES SEGUROS UNIVERSITARIOS</t>
  </si>
  <si>
    <t>Remuneraciones Directas AFP</t>
  </si>
  <si>
    <t>Remuneraciones Directas Colectivos</t>
  </si>
  <si>
    <t>Remuneraciones Directas R.V.</t>
  </si>
  <si>
    <t>Remuneraciones Directas S.V.I.</t>
  </si>
  <si>
    <t>Remuneraciones Indirectas AFP</t>
  </si>
  <si>
    <t>Remuneraciones Indirectas Colectivos</t>
  </si>
  <si>
    <t>Remuneraciones indirectas R.V.</t>
  </si>
  <si>
    <t>Remuneraciones indirectas S.V.I.</t>
  </si>
  <si>
    <t>Gastos asociados al canal de distribución directos AFP</t>
  </si>
  <si>
    <t>Gastos asociados al canal de distribución directos Colectivos</t>
  </si>
  <si>
    <t>Gastos asociados al canal de distribución directos R.V.</t>
  </si>
  <si>
    <t>Gastos asociados al canal de distribución directos S.V.I.</t>
  </si>
  <si>
    <t>Gastos de administarción otros directos AFP</t>
  </si>
  <si>
    <t>Gastos de administarción otros directos Colectivos</t>
  </si>
  <si>
    <t>Gastos de administarción otros directos R.V.</t>
  </si>
  <si>
    <t>Gastos de administarción otros directos S.V.I.</t>
  </si>
  <si>
    <t>Gastos de administración otros indirectos AFP</t>
  </si>
  <si>
    <t>Gastos de administración otros indirectos Colectivos</t>
  </si>
  <si>
    <t>Gastos de administración otros indirectos R.V.</t>
  </si>
  <si>
    <t>Gastos de administración otros indirectos S.V.I.</t>
  </si>
  <si>
    <t>Siniestros por cobrar a reaseguradores vencidos</t>
  </si>
  <si>
    <t>CUOTAS DE FONDOS MUTUOS AFP SIS</t>
  </si>
  <si>
    <t>PRIMAS POR COBRAR SIS</t>
  </si>
  <si>
    <t>TASACIONES NUEVAS POR COBRAR</t>
  </si>
  <si>
    <t>FONDO A RENDIR DIS</t>
  </si>
  <si>
    <t>IVA ARRIENDO POR COBRAR</t>
  </si>
  <si>
    <t>DESARROLLOS INMOBILIARIOS POR COBRAR</t>
  </si>
  <si>
    <t>RESERVA OC. Y NO REP AFP SIS</t>
  </si>
  <si>
    <t>RESERVA SINISTROS PENDIENTES</t>
  </si>
  <si>
    <t>ANTICIPOS POR APLICAR CUPONES MH</t>
  </si>
  <si>
    <t>PRIMA DIRECTA SIS 1ER AÑO</t>
  </si>
  <si>
    <t>RESERVA DE SINIESTROS AFP SIS</t>
  </si>
  <si>
    <t>COSTOS DE SINIESTROS SIS</t>
  </si>
  <si>
    <t>RESULTADO FECU JULIO 2012</t>
  </si>
  <si>
    <t>Fecha Estados Financieros : Julio-2012</t>
  </si>
  <si>
    <t>Instrumentos en pacto ( Cero )</t>
  </si>
  <si>
    <t>Acciones Sociedad Anonima ILC</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</si>
</sst>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 #,##0.00_-;_-* &quot;-&quot;??_-;_-@_-"/>
    <numFmt numFmtId="164" formatCode="#,##0_);\(#,##0\)"/>
    <numFmt numFmtId="165" formatCode="#,##0.00_);\(#,##0.00\)"/>
    <numFmt numFmtId="166" formatCode="_(* #,##0.00_);_(* \(#,##0.00\);_(* &quot;-&quot;??_);_(@_)"/>
    <numFmt numFmtId="167" formatCode="_(* #,##0_);_(* \(#,##0\);_(* &quot;-&quot;??_);_(@_)"/>
    <numFmt numFmtId="168" formatCode="#,##0.0000_);\(#,##0.0000\)"/>
    <numFmt numFmtId="169" formatCode="\ 0"/>
    <numFmt numFmtId="170" formatCode="\ \ 0"/>
    <numFmt numFmtId="171" formatCode="\ \ \ 0"/>
    <numFmt numFmtId="172" formatCode="dd\-mmm\-yyyy"/>
    <numFmt numFmtId="173" formatCode="dd/mmm/yyyy"/>
    <numFmt numFmtId="174" formatCode="0.00000000"/>
    <numFmt numFmtId="175" formatCode="#,##0.00000"/>
    <numFmt numFmtId="176" formatCode="\ General"/>
    <numFmt numFmtId="177" formatCode="#,##0;\(#,##0\)\ "/>
    <numFmt numFmtId="178" formatCode="mmm\-yyyy"/>
    <numFmt numFmtId="179" formatCode="_-* #,##0_-;\-* #,##0_-;_-* &quot;-&quot;??_-;_-@_-"/>
    <numFmt numFmtId="180" formatCode="#,##0;\(\-#,##0\)"/>
    <numFmt numFmtId="181" formatCode="_-[$€-2]\ * #,##0.00_-;\-[$€-2]\ * #,##0.00_-;_-[$€-2]\ * &quot;-&quot;??_-"/>
    <numFmt numFmtId="182" formatCode="#,##0.0000"/>
    <numFmt numFmtId="183" formatCode="###,###,###,###,##0"/>
    <numFmt numFmtId="184" formatCode="#,##0.000"/>
    <numFmt numFmtId="185" formatCode="###,###,###,###,##0.0000"/>
    <numFmt numFmtId="186" formatCode="#,##0;[Red]\(#,##0\)"/>
  </numFmts>
  <fonts count="123">
    <font>
      <sz val="8"/>
      <name val="Arial"/>
    </font>
    <font>
      <sz val="11"/>
      <color theme="1"/>
      <name val="Calibri"/>
      <family val="2"/>
      <scheme val="minor"/>
    </font>
    <font>
      <sz val="8"/>
      <name val="Arial"/>
      <family val="2"/>
    </font>
    <font>
      <sz val="8"/>
      <color indexed="18"/>
      <name val="Arial"/>
      <family val="2"/>
    </font>
    <font>
      <b/>
      <sz val="14"/>
      <color indexed="18"/>
      <name val="Arial"/>
      <family val="2"/>
    </font>
    <font>
      <b/>
      <sz val="10"/>
      <color indexed="18"/>
      <name val="Arial"/>
      <family val="2"/>
    </font>
    <font>
      <sz val="8"/>
      <color indexed="10"/>
      <name val="Arial"/>
      <family val="2"/>
    </font>
    <font>
      <b/>
      <sz val="8"/>
      <color indexed="18"/>
      <name val="Arial"/>
      <family val="2"/>
    </font>
    <font>
      <b/>
      <sz val="10"/>
      <color indexed="9"/>
      <name val="Arial"/>
      <family val="2"/>
    </font>
    <font>
      <sz val="10"/>
      <color indexed="18"/>
      <name val="Arial"/>
      <family val="2"/>
    </font>
    <font>
      <sz val="10"/>
      <name val="Times New Roman"/>
      <family val="1"/>
    </font>
    <font>
      <b/>
      <sz val="9"/>
      <color indexed="18"/>
      <name val="Arial"/>
      <family val="2"/>
    </font>
    <font>
      <b/>
      <sz val="8"/>
      <color indexed="10"/>
      <name val="Arial"/>
      <family val="2"/>
    </font>
    <font>
      <b/>
      <sz val="10"/>
      <color indexed="10"/>
      <name val="Arial"/>
      <family val="2"/>
    </font>
    <font>
      <sz val="8"/>
      <color indexed="12"/>
      <name val="Arial"/>
      <family val="2"/>
    </font>
    <font>
      <sz val="6"/>
      <color indexed="10"/>
      <name val="Arial"/>
      <family val="2"/>
    </font>
    <font>
      <sz val="6"/>
      <color indexed="12"/>
      <name val="Arial"/>
      <family val="2"/>
    </font>
    <font>
      <sz val="8"/>
      <name val="Arial"/>
      <family val="2"/>
    </font>
    <font>
      <b/>
      <sz val="8"/>
      <name val="Arial"/>
      <family val="2"/>
    </font>
    <font>
      <b/>
      <sz val="8"/>
      <color indexed="9"/>
      <name val="Arial"/>
      <family val="2"/>
    </font>
    <font>
      <b/>
      <sz val="6"/>
      <color indexed="9"/>
      <name val="Arial"/>
      <family val="2"/>
    </font>
    <font>
      <b/>
      <sz val="9"/>
      <color indexed="9"/>
      <name val="Arial"/>
      <family val="2"/>
    </font>
    <font>
      <sz val="6"/>
      <color indexed="18"/>
      <name val="Arial"/>
      <family val="2"/>
    </font>
    <font>
      <sz val="8"/>
      <color indexed="9"/>
      <name val="Arial"/>
      <family val="2"/>
    </font>
    <font>
      <sz val="8"/>
      <color indexed="8"/>
      <name val="Arial"/>
      <family val="2"/>
    </font>
    <font>
      <b/>
      <sz val="8"/>
      <color indexed="81"/>
      <name val="Tahoma"/>
      <family val="2"/>
    </font>
    <font>
      <sz val="8"/>
      <color indexed="81"/>
      <name val="Tahoma"/>
      <family val="2"/>
    </font>
    <font>
      <b/>
      <i/>
      <sz val="18"/>
      <color indexed="18"/>
      <name val="Comic Sans MS"/>
      <family val="4"/>
    </font>
    <font>
      <b/>
      <sz val="8"/>
      <color indexed="12"/>
      <name val="Arial"/>
      <family val="2"/>
    </font>
    <font>
      <sz val="10"/>
      <color indexed="9"/>
      <name val="Arial"/>
      <family val="2"/>
    </font>
    <font>
      <sz val="8"/>
      <color indexed="12"/>
      <name val="Courier New"/>
      <family val="3"/>
    </font>
    <font>
      <b/>
      <sz val="9"/>
      <color indexed="10"/>
      <name val="Courier New"/>
      <family val="3"/>
    </font>
    <font>
      <b/>
      <sz val="11"/>
      <color indexed="18"/>
      <name val="Arial"/>
      <family val="2"/>
    </font>
    <font>
      <b/>
      <sz val="8"/>
      <color indexed="12"/>
      <name val="Courier New"/>
      <family val="3"/>
    </font>
    <font>
      <b/>
      <sz val="9"/>
      <color indexed="10"/>
      <name val="Arial"/>
      <family val="2"/>
    </font>
    <font>
      <b/>
      <sz val="7"/>
      <color indexed="18"/>
      <name val="Arial"/>
      <family val="2"/>
    </font>
    <font>
      <sz val="7"/>
      <color indexed="10"/>
      <name val="Arial"/>
      <family val="2"/>
    </font>
    <font>
      <sz val="9"/>
      <color indexed="10"/>
      <name val="Arial"/>
      <family val="2"/>
    </font>
    <font>
      <sz val="9"/>
      <color indexed="18"/>
      <name val="Arial"/>
      <family val="2"/>
    </font>
    <font>
      <b/>
      <sz val="7"/>
      <color indexed="10"/>
      <name val="Arial"/>
      <family val="2"/>
    </font>
    <font>
      <sz val="7"/>
      <color indexed="12"/>
      <name val="Courier New"/>
      <family val="3"/>
    </font>
    <font>
      <b/>
      <sz val="8"/>
      <color indexed="18"/>
      <name val="Courier New"/>
      <family val="3"/>
    </font>
    <font>
      <b/>
      <sz val="7"/>
      <color indexed="12"/>
      <name val="Courier New"/>
      <family val="3"/>
    </font>
    <font>
      <sz val="7"/>
      <color indexed="18"/>
      <name val="Arial"/>
      <family val="2"/>
    </font>
    <font>
      <sz val="7"/>
      <color indexed="10"/>
      <name val="Courier New"/>
      <family val="3"/>
    </font>
    <font>
      <b/>
      <sz val="7"/>
      <color indexed="18"/>
      <name val="Courier New"/>
      <family val="3"/>
    </font>
    <font>
      <sz val="7"/>
      <color indexed="18"/>
      <name val="Courier New"/>
      <family val="3"/>
    </font>
    <font>
      <b/>
      <sz val="11"/>
      <color indexed="9"/>
      <name val="Arial"/>
      <family val="2"/>
    </font>
    <font>
      <b/>
      <sz val="7"/>
      <color indexed="9"/>
      <name val="Arial"/>
      <family val="2"/>
    </font>
    <font>
      <b/>
      <u/>
      <sz val="8"/>
      <color indexed="10"/>
      <name val="Courier New"/>
      <family val="3"/>
    </font>
    <font>
      <sz val="8"/>
      <color indexed="10"/>
      <name val="Courier New"/>
      <family val="3"/>
    </font>
    <font>
      <b/>
      <sz val="8"/>
      <color indexed="10"/>
      <name val="Courier New"/>
      <family val="3"/>
    </font>
    <font>
      <sz val="8"/>
      <color indexed="18"/>
      <name val="Courier New"/>
      <family val="3"/>
    </font>
    <font>
      <b/>
      <sz val="7"/>
      <color indexed="12"/>
      <name val="Arial"/>
      <family val="2"/>
    </font>
    <font>
      <b/>
      <sz val="9"/>
      <color indexed="12"/>
      <name val="Courier New"/>
      <family val="3"/>
    </font>
    <font>
      <sz val="7"/>
      <color indexed="12"/>
      <name val="Arial"/>
      <family val="2"/>
    </font>
    <font>
      <sz val="7"/>
      <color indexed="9"/>
      <name val="Arial"/>
      <family val="2"/>
    </font>
    <font>
      <b/>
      <sz val="10"/>
      <name val="Times New Roman"/>
      <family val="1"/>
    </font>
    <font>
      <sz val="8"/>
      <name val="Times New Roman"/>
      <family val="1"/>
    </font>
    <font>
      <b/>
      <sz val="6"/>
      <color indexed="18"/>
      <name val="Arial"/>
      <family val="2"/>
    </font>
    <font>
      <sz val="10"/>
      <color indexed="10"/>
      <name val="Times New Roman"/>
      <family val="1"/>
    </font>
    <font>
      <b/>
      <sz val="10"/>
      <color indexed="9"/>
      <name val="Times New Roman"/>
      <family val="1"/>
    </font>
    <font>
      <sz val="10"/>
      <color indexed="18"/>
      <name val="Times New Roman"/>
      <family val="1"/>
    </font>
    <font>
      <b/>
      <sz val="10"/>
      <color indexed="18"/>
      <name val="Times New Roman"/>
      <family val="1"/>
    </font>
    <font>
      <sz val="5"/>
      <color indexed="18"/>
      <name val="Arial"/>
      <family val="2"/>
    </font>
    <font>
      <b/>
      <sz val="8"/>
      <color indexed="56"/>
      <name val="Arial"/>
      <family val="2"/>
    </font>
    <font>
      <b/>
      <sz val="12"/>
      <color indexed="9"/>
      <name val="Arial"/>
      <family val="2"/>
    </font>
    <font>
      <sz val="7"/>
      <name val="Arial"/>
      <family val="2"/>
    </font>
    <font>
      <b/>
      <sz val="8"/>
      <color indexed="16"/>
      <name val="Arial"/>
      <family val="2"/>
    </font>
    <font>
      <sz val="8"/>
      <color indexed="56"/>
      <name val="Arial"/>
      <family val="2"/>
    </font>
    <font>
      <sz val="7.5"/>
      <color indexed="56"/>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sz val="10"/>
      <name val="Arial"/>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b/>
      <sz val="12"/>
      <color indexed="18"/>
      <name val="Arial"/>
      <family val="2"/>
    </font>
    <font>
      <b/>
      <u/>
      <sz val="9"/>
      <color indexed="18"/>
      <name val="Arial"/>
      <family val="2"/>
    </font>
    <font>
      <b/>
      <u/>
      <sz val="10"/>
      <color indexed="18"/>
      <name val="Arial"/>
      <family val="2"/>
    </font>
    <font>
      <sz val="8"/>
      <name val="Arial"/>
      <family val="2"/>
    </font>
    <font>
      <sz val="8"/>
      <color indexed="10"/>
      <name val="Arial"/>
      <family val="2"/>
    </font>
    <font>
      <sz val="8"/>
      <color indexed="18"/>
      <name val="Arial"/>
      <family val="2"/>
    </font>
    <font>
      <sz val="10"/>
      <name val="Arial"/>
      <family val="2"/>
    </font>
    <font>
      <sz val="10"/>
      <name val="MS Sans Serif"/>
      <family val="2"/>
    </font>
    <font>
      <sz val="11"/>
      <color theme="1"/>
      <name val="Calibri"/>
      <family val="2"/>
      <scheme val="minor"/>
    </font>
    <font>
      <b/>
      <sz val="8"/>
      <color rgb="FF002060"/>
      <name val="Arial"/>
      <family val="2"/>
    </font>
    <font>
      <sz val="8"/>
      <color theme="1"/>
      <name val="Arial"/>
      <family val="2"/>
    </font>
    <font>
      <sz val="8"/>
      <color rgb="FF002060"/>
      <name val="Arial"/>
      <family val="2"/>
    </font>
    <font>
      <sz val="8"/>
      <color theme="3" tint="-0.499984740745262"/>
      <name val="Arial"/>
      <family val="2"/>
    </font>
    <font>
      <sz val="8"/>
      <color rgb="FFFF0000"/>
      <name val="Arial"/>
      <family val="2"/>
    </font>
    <font>
      <sz val="11"/>
      <color indexed="9"/>
      <name val="Czcionka tekstu podstawowego"/>
      <family val="2"/>
      <charset val="238"/>
    </font>
    <font>
      <sz val="8"/>
      <name val="ＭＳ Ｐゴシック"/>
      <family val="3"/>
      <charset val="128"/>
    </font>
    <font>
      <b/>
      <sz val="8"/>
      <color theme="1"/>
      <name val="Arial"/>
      <family val="2"/>
    </font>
    <font>
      <sz val="11"/>
      <color indexed="9"/>
      <name val="Arial"/>
      <family val="2"/>
    </font>
    <font>
      <b/>
      <sz val="11"/>
      <color indexed="9"/>
      <name val="Times New Roman"/>
      <family val="1"/>
    </font>
    <font>
      <b/>
      <sz val="10"/>
      <color theme="0"/>
      <name val="Arial"/>
      <family val="2"/>
    </font>
    <font>
      <b/>
      <sz val="8"/>
      <color theme="0"/>
      <name val="Arial"/>
      <family val="2"/>
    </font>
    <font>
      <b/>
      <sz val="10"/>
      <color theme="0"/>
      <name val="Times New Roman"/>
      <family val="1"/>
    </font>
    <font>
      <b/>
      <sz val="8"/>
      <color rgb="FFFF0000"/>
      <name val="Arial"/>
      <family val="2"/>
    </font>
    <font>
      <sz val="8"/>
      <color theme="0"/>
      <name val="Arial"/>
      <family val="2"/>
    </font>
    <font>
      <sz val="10"/>
      <color theme="0"/>
      <name val="Arial"/>
      <family val="2"/>
    </font>
    <font>
      <sz val="9"/>
      <name val="Arial"/>
      <family val="2"/>
    </font>
    <font>
      <b/>
      <sz val="9"/>
      <name val="Arial"/>
      <family val="2"/>
    </font>
    <font>
      <b/>
      <sz val="10"/>
      <name val="Arial"/>
      <family val="2"/>
    </font>
    <font>
      <b/>
      <sz val="11"/>
      <color theme="3" tint="-0.499984740745262"/>
      <name val="Calibri"/>
      <family val="2"/>
      <scheme val="minor"/>
    </font>
    <font>
      <sz val="11"/>
      <color theme="3" tint="-0.499984740745262"/>
      <name val="Calibri"/>
      <family val="2"/>
      <scheme val="minor"/>
    </font>
    <font>
      <b/>
      <u/>
      <sz val="8"/>
      <color indexed="12"/>
      <name val="Arial"/>
      <family val="2"/>
    </font>
    <font>
      <sz val="10"/>
      <color theme="1"/>
      <name val="Arial"/>
      <family val="2"/>
    </font>
    <font>
      <b/>
      <sz val="10"/>
      <color theme="1"/>
      <name val="Arial"/>
      <family val="2"/>
    </font>
    <font>
      <b/>
      <u/>
      <sz val="8"/>
      <color indexed="12"/>
      <name val="Courier New"/>
      <family val="3"/>
    </font>
  </fonts>
  <fills count="5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indexed="57"/>
        <bgColor indexed="64"/>
      </patternFill>
    </fill>
    <fill>
      <patternFill patternType="solid">
        <fgColor indexed="18"/>
        <bgColor indexed="64"/>
      </patternFill>
    </fill>
    <fill>
      <patternFill patternType="solid">
        <fgColor indexed="56"/>
        <bgColor indexed="64"/>
      </patternFill>
    </fill>
    <fill>
      <patternFill patternType="solid">
        <fgColor indexed="22"/>
        <bgColor indexed="64"/>
      </patternFill>
    </fill>
    <fill>
      <patternFill patternType="solid">
        <fgColor indexed="41"/>
        <bgColor indexed="64"/>
      </patternFill>
    </fill>
    <fill>
      <patternFill patternType="solid">
        <fgColor indexed="9"/>
        <bgColor indexed="64"/>
      </patternFill>
    </fill>
    <fill>
      <patternFill patternType="gray125">
        <fgColor indexed="9"/>
      </patternFill>
    </fill>
    <fill>
      <patternFill patternType="solid">
        <fgColor indexed="43"/>
        <bgColor indexed="64"/>
      </patternFill>
    </fill>
    <fill>
      <patternFill patternType="solid">
        <fgColor rgb="FFFFFF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theme="8" tint="0.59999389629810485"/>
        <bgColor indexed="64"/>
      </patternFill>
    </fill>
    <fill>
      <patternFill patternType="solid">
        <fgColor theme="0"/>
        <bgColor indexed="8"/>
      </patternFill>
    </fill>
    <fill>
      <patternFill patternType="solid">
        <fgColor rgb="FFFFC000"/>
        <bgColor indexed="64"/>
      </patternFill>
    </fill>
    <fill>
      <patternFill patternType="solid">
        <fgColor rgb="FFFF00FF"/>
        <bgColor indexed="64"/>
      </patternFill>
    </fill>
    <fill>
      <patternFill patternType="solid">
        <fgColor rgb="FF66FF66"/>
        <bgColor indexed="64"/>
      </patternFill>
    </fill>
    <fill>
      <patternFill patternType="solid">
        <fgColor indexed="62"/>
        <bgColor indexed="64"/>
      </patternFill>
    </fill>
    <fill>
      <patternFill patternType="solid">
        <fgColor indexed="31"/>
        <bgColor indexed="64"/>
      </patternFill>
    </fill>
    <fill>
      <patternFill patternType="solid">
        <fgColor theme="3" tint="-0.249977111117893"/>
        <bgColor indexed="64"/>
      </patternFill>
    </fill>
    <fill>
      <patternFill patternType="solid">
        <fgColor theme="4" tint="0.59999389629810485"/>
        <bgColor indexed="64"/>
      </patternFill>
    </fill>
    <fill>
      <patternFill patternType="solid">
        <fgColor rgb="FF00B050"/>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rgb="FF0070C0"/>
        <bgColor indexed="64"/>
      </patternFill>
    </fill>
    <fill>
      <patternFill patternType="solid">
        <fgColor theme="4" tint="-0.249977111117893"/>
        <bgColor theme="4" tint="-0.249977111117893"/>
      </patternFill>
    </fill>
    <fill>
      <patternFill patternType="solid">
        <fgColor theme="6" tint="0.39997558519241921"/>
        <bgColor indexed="64"/>
      </patternFill>
    </fill>
    <fill>
      <patternFill patternType="solid">
        <fgColor theme="4" tint="-0.499984740745262"/>
        <bgColor indexed="64"/>
      </patternFill>
    </fill>
  </fills>
  <borders count="41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18"/>
      </left>
      <right style="thin">
        <color indexed="18"/>
      </right>
      <top style="thin">
        <color indexed="18"/>
      </top>
      <bottom style="thin">
        <color indexed="18"/>
      </bottom>
      <diagonal/>
    </border>
    <border>
      <left style="medium">
        <color indexed="18"/>
      </left>
      <right style="dotted">
        <color indexed="18"/>
      </right>
      <top style="medium">
        <color indexed="18"/>
      </top>
      <bottom style="dotted">
        <color indexed="18"/>
      </bottom>
      <diagonal/>
    </border>
    <border>
      <left style="dotted">
        <color indexed="18"/>
      </left>
      <right style="dotted">
        <color indexed="18"/>
      </right>
      <top style="medium">
        <color indexed="18"/>
      </top>
      <bottom style="dotted">
        <color indexed="18"/>
      </bottom>
      <diagonal/>
    </border>
    <border>
      <left style="medium">
        <color indexed="18"/>
      </left>
      <right style="dotted">
        <color indexed="18"/>
      </right>
      <top style="dotted">
        <color indexed="18"/>
      </top>
      <bottom style="medium">
        <color indexed="18"/>
      </bottom>
      <diagonal/>
    </border>
    <border>
      <left style="dotted">
        <color indexed="18"/>
      </left>
      <right style="dotted">
        <color indexed="18"/>
      </right>
      <top style="dotted">
        <color indexed="18"/>
      </top>
      <bottom style="medium">
        <color indexed="18"/>
      </bottom>
      <diagonal/>
    </border>
    <border>
      <left style="dotted">
        <color indexed="18"/>
      </left>
      <right style="medium">
        <color indexed="18"/>
      </right>
      <top style="dotted">
        <color indexed="18"/>
      </top>
      <bottom style="medium">
        <color indexed="18"/>
      </bottom>
      <diagonal/>
    </border>
    <border>
      <left/>
      <right/>
      <top/>
      <bottom style="medium">
        <color indexed="18"/>
      </bottom>
      <diagonal/>
    </border>
    <border>
      <left style="medium">
        <color indexed="18"/>
      </left>
      <right style="medium">
        <color indexed="18"/>
      </right>
      <top style="medium">
        <color indexed="18"/>
      </top>
      <bottom style="medium">
        <color indexed="18"/>
      </bottom>
      <diagonal/>
    </border>
    <border>
      <left style="dashed">
        <color indexed="18"/>
      </left>
      <right style="dashed">
        <color indexed="18"/>
      </right>
      <top style="medium">
        <color indexed="18"/>
      </top>
      <bottom style="medium">
        <color indexed="18"/>
      </bottom>
      <diagonal/>
    </border>
    <border>
      <left style="dashed">
        <color indexed="18"/>
      </left>
      <right/>
      <top style="medium">
        <color indexed="18"/>
      </top>
      <bottom style="medium">
        <color indexed="18"/>
      </bottom>
      <diagonal/>
    </border>
    <border>
      <left style="dashed">
        <color indexed="18"/>
      </left>
      <right style="medium">
        <color indexed="18"/>
      </right>
      <top style="medium">
        <color indexed="18"/>
      </top>
      <bottom style="medium">
        <color indexed="18"/>
      </bottom>
      <diagonal/>
    </border>
    <border>
      <left style="medium">
        <color indexed="18"/>
      </left>
      <right style="dashed">
        <color indexed="18"/>
      </right>
      <top style="medium">
        <color indexed="18"/>
      </top>
      <bottom style="dashed">
        <color indexed="18"/>
      </bottom>
      <diagonal/>
    </border>
    <border>
      <left style="dashed">
        <color indexed="18"/>
      </left>
      <right style="dashed">
        <color indexed="18"/>
      </right>
      <top style="medium">
        <color indexed="18"/>
      </top>
      <bottom style="dashed">
        <color indexed="18"/>
      </bottom>
      <diagonal/>
    </border>
    <border>
      <left style="dashed">
        <color indexed="18"/>
      </left>
      <right style="medium">
        <color indexed="18"/>
      </right>
      <top style="medium">
        <color indexed="18"/>
      </top>
      <bottom style="dashed">
        <color indexed="18"/>
      </bottom>
      <diagonal/>
    </border>
    <border>
      <left style="medium">
        <color indexed="18"/>
      </left>
      <right style="dashed">
        <color indexed="18"/>
      </right>
      <top style="dashed">
        <color indexed="18"/>
      </top>
      <bottom style="dashed">
        <color indexed="18"/>
      </bottom>
      <diagonal/>
    </border>
    <border>
      <left style="dashed">
        <color indexed="18"/>
      </left>
      <right style="dashed">
        <color indexed="18"/>
      </right>
      <top style="dashed">
        <color indexed="18"/>
      </top>
      <bottom style="dashed">
        <color indexed="18"/>
      </bottom>
      <diagonal/>
    </border>
    <border>
      <left style="dashed">
        <color indexed="18"/>
      </left>
      <right style="medium">
        <color indexed="18"/>
      </right>
      <top style="dashed">
        <color indexed="18"/>
      </top>
      <bottom style="dashed">
        <color indexed="18"/>
      </bottom>
      <diagonal/>
    </border>
    <border>
      <left style="medium">
        <color indexed="18"/>
      </left>
      <right style="dashed">
        <color indexed="18"/>
      </right>
      <top style="dashed">
        <color indexed="18"/>
      </top>
      <bottom/>
      <diagonal/>
    </border>
    <border>
      <left style="dashed">
        <color indexed="18"/>
      </left>
      <right style="dashed">
        <color indexed="18"/>
      </right>
      <top style="dashed">
        <color indexed="18"/>
      </top>
      <bottom/>
      <diagonal/>
    </border>
    <border>
      <left style="dashed">
        <color indexed="18"/>
      </left>
      <right style="medium">
        <color indexed="18"/>
      </right>
      <top style="dashed">
        <color indexed="18"/>
      </top>
      <bottom/>
      <diagonal/>
    </border>
    <border>
      <left style="medium">
        <color indexed="18"/>
      </left>
      <right style="dashed">
        <color indexed="18"/>
      </right>
      <top style="medium">
        <color indexed="18"/>
      </top>
      <bottom style="medium">
        <color indexed="18"/>
      </bottom>
      <diagonal/>
    </border>
    <border>
      <left style="medium">
        <color indexed="18"/>
      </left>
      <right style="dashed">
        <color indexed="18"/>
      </right>
      <top style="dashed">
        <color indexed="18"/>
      </top>
      <bottom style="medium">
        <color indexed="18"/>
      </bottom>
      <diagonal/>
    </border>
    <border>
      <left style="dashed">
        <color indexed="18"/>
      </left>
      <right style="dashed">
        <color indexed="18"/>
      </right>
      <top style="dashed">
        <color indexed="18"/>
      </top>
      <bottom style="medium">
        <color indexed="18"/>
      </bottom>
      <diagonal/>
    </border>
    <border>
      <left style="dashed">
        <color indexed="18"/>
      </left>
      <right style="medium">
        <color indexed="18"/>
      </right>
      <top style="dashed">
        <color indexed="18"/>
      </top>
      <bottom style="medium">
        <color indexed="18"/>
      </bottom>
      <diagonal/>
    </border>
    <border>
      <left style="medium">
        <color indexed="18"/>
      </left>
      <right style="dashed">
        <color indexed="18"/>
      </right>
      <top/>
      <bottom style="dashed">
        <color indexed="18"/>
      </bottom>
      <diagonal/>
    </border>
    <border>
      <left style="dashed">
        <color indexed="18"/>
      </left>
      <right style="dashed">
        <color indexed="18"/>
      </right>
      <top/>
      <bottom style="dashed">
        <color indexed="18"/>
      </bottom>
      <diagonal/>
    </border>
    <border>
      <left style="dashed">
        <color indexed="18"/>
      </left>
      <right style="dashed">
        <color indexed="18"/>
      </right>
      <top style="medium">
        <color indexed="18"/>
      </top>
      <bottom/>
      <diagonal/>
    </border>
    <border>
      <left style="dashed">
        <color indexed="18"/>
      </left>
      <right style="dashed">
        <color indexed="18"/>
      </right>
      <top/>
      <bottom style="medium">
        <color indexed="18"/>
      </bottom>
      <diagonal/>
    </border>
    <border>
      <left style="dotted">
        <color indexed="18"/>
      </left>
      <right style="dotted">
        <color indexed="18"/>
      </right>
      <top style="medium">
        <color indexed="18"/>
      </top>
      <bottom/>
      <diagonal/>
    </border>
    <border>
      <left style="dotted">
        <color indexed="18"/>
      </left>
      <right style="medium">
        <color indexed="18"/>
      </right>
      <top style="medium">
        <color indexed="18"/>
      </top>
      <bottom/>
      <diagonal/>
    </border>
    <border>
      <left style="dotted">
        <color indexed="18"/>
      </left>
      <right style="dotted">
        <color indexed="18"/>
      </right>
      <top style="dotted">
        <color indexed="18"/>
      </top>
      <bottom style="dotted">
        <color indexed="18"/>
      </bottom>
      <diagonal/>
    </border>
    <border>
      <left style="dotted">
        <color indexed="18"/>
      </left>
      <right style="medium">
        <color indexed="18"/>
      </right>
      <top style="medium">
        <color indexed="18"/>
      </top>
      <bottom style="dotted">
        <color indexed="18"/>
      </bottom>
      <diagonal/>
    </border>
    <border>
      <left style="medium">
        <color indexed="18"/>
      </left>
      <right style="dotted">
        <color indexed="18"/>
      </right>
      <top style="dotted">
        <color indexed="18"/>
      </top>
      <bottom style="dotted">
        <color indexed="18"/>
      </bottom>
      <diagonal/>
    </border>
    <border>
      <left style="dotted">
        <color indexed="18"/>
      </left>
      <right style="medium">
        <color indexed="18"/>
      </right>
      <top style="dotted">
        <color indexed="18"/>
      </top>
      <bottom style="dotted">
        <color indexed="18"/>
      </bottom>
      <diagonal/>
    </border>
    <border>
      <left style="thin">
        <color indexed="12"/>
      </left>
      <right style="thin">
        <color indexed="12"/>
      </right>
      <top style="thin">
        <color indexed="12"/>
      </top>
      <bottom style="thin">
        <color indexed="12"/>
      </bottom>
      <diagonal/>
    </border>
    <border>
      <left style="dashed">
        <color indexed="18"/>
      </left>
      <right style="dashed">
        <color indexed="18"/>
      </right>
      <top/>
      <bottom/>
      <diagonal/>
    </border>
    <border>
      <left style="dotted">
        <color indexed="18"/>
      </left>
      <right style="dotted">
        <color indexed="18"/>
      </right>
      <top style="thick">
        <color indexed="18"/>
      </top>
      <bottom style="dotted">
        <color indexed="18"/>
      </bottom>
      <diagonal/>
    </border>
    <border>
      <left style="dotted">
        <color indexed="18"/>
      </left>
      <right style="thick">
        <color indexed="18"/>
      </right>
      <top style="thick">
        <color indexed="18"/>
      </top>
      <bottom style="dotted">
        <color indexed="18"/>
      </bottom>
      <diagonal/>
    </border>
    <border>
      <left style="thick">
        <color indexed="18"/>
      </left>
      <right style="dotted">
        <color indexed="18"/>
      </right>
      <top style="dotted">
        <color indexed="18"/>
      </top>
      <bottom style="dotted">
        <color indexed="18"/>
      </bottom>
      <diagonal/>
    </border>
    <border>
      <left style="dotted">
        <color indexed="18"/>
      </left>
      <right style="thick">
        <color indexed="18"/>
      </right>
      <top style="dotted">
        <color indexed="18"/>
      </top>
      <bottom style="dotted">
        <color indexed="18"/>
      </bottom>
      <diagonal/>
    </border>
    <border>
      <left style="thick">
        <color indexed="18"/>
      </left>
      <right style="dotted">
        <color indexed="18"/>
      </right>
      <top style="dotted">
        <color indexed="18"/>
      </top>
      <bottom style="thick">
        <color indexed="18"/>
      </bottom>
      <diagonal/>
    </border>
    <border>
      <left style="dotted">
        <color indexed="18"/>
      </left>
      <right style="dotted">
        <color indexed="18"/>
      </right>
      <top style="dotted">
        <color indexed="18"/>
      </top>
      <bottom style="thick">
        <color indexed="18"/>
      </bottom>
      <diagonal/>
    </border>
    <border>
      <left style="dotted">
        <color indexed="18"/>
      </left>
      <right style="thick">
        <color indexed="18"/>
      </right>
      <top style="dotted">
        <color indexed="18"/>
      </top>
      <bottom style="thick">
        <color indexed="18"/>
      </bottom>
      <diagonal/>
    </border>
    <border>
      <left style="medium">
        <color indexed="18"/>
      </left>
      <right style="dotted">
        <color indexed="18"/>
      </right>
      <top style="medium">
        <color indexed="18"/>
      </top>
      <bottom/>
      <diagonal/>
    </border>
    <border>
      <left style="medium">
        <color indexed="18"/>
      </left>
      <right style="dotted">
        <color indexed="18"/>
      </right>
      <top/>
      <bottom/>
      <diagonal/>
    </border>
    <border>
      <left style="dotted">
        <color indexed="18"/>
      </left>
      <right style="dotted">
        <color indexed="18"/>
      </right>
      <top/>
      <bottom/>
      <diagonal/>
    </border>
    <border>
      <left style="dotted">
        <color indexed="18"/>
      </left>
      <right style="medium">
        <color indexed="18"/>
      </right>
      <top/>
      <bottom/>
      <diagonal/>
    </border>
    <border>
      <left style="dotted">
        <color indexed="18"/>
      </left>
      <right style="dotted">
        <color indexed="18"/>
      </right>
      <top style="dotted">
        <color indexed="18"/>
      </top>
      <bottom/>
      <diagonal/>
    </border>
    <border>
      <left style="medium">
        <color indexed="18"/>
      </left>
      <right style="dotted">
        <color indexed="18"/>
      </right>
      <top/>
      <bottom style="medium">
        <color indexed="18"/>
      </bottom>
      <diagonal/>
    </border>
    <border>
      <left style="dotted">
        <color indexed="18"/>
      </left>
      <right style="dotted">
        <color indexed="18"/>
      </right>
      <top/>
      <bottom style="medium">
        <color indexed="18"/>
      </bottom>
      <diagonal/>
    </border>
    <border>
      <left style="thick">
        <color indexed="18"/>
      </left>
      <right style="dotted">
        <color indexed="18"/>
      </right>
      <top/>
      <bottom style="dotted">
        <color indexed="18"/>
      </bottom>
      <diagonal/>
    </border>
    <border>
      <left style="dotted">
        <color indexed="18"/>
      </left>
      <right style="dotted">
        <color indexed="18"/>
      </right>
      <top/>
      <bottom style="dotted">
        <color indexed="18"/>
      </bottom>
      <diagonal/>
    </border>
    <border>
      <left style="dotted">
        <color indexed="18"/>
      </left>
      <right style="thick">
        <color indexed="18"/>
      </right>
      <top/>
      <bottom style="dotted">
        <color indexed="18"/>
      </bottom>
      <diagonal/>
    </border>
    <border>
      <left style="medium">
        <color indexed="18"/>
      </left>
      <right style="dotted">
        <color indexed="18"/>
      </right>
      <top style="medium">
        <color indexed="18"/>
      </top>
      <bottom style="medium">
        <color indexed="18"/>
      </bottom>
      <diagonal/>
    </border>
    <border>
      <left style="dotted">
        <color indexed="18"/>
      </left>
      <right style="dotted">
        <color indexed="18"/>
      </right>
      <top style="medium">
        <color indexed="18"/>
      </top>
      <bottom style="medium">
        <color indexed="18"/>
      </bottom>
      <diagonal/>
    </border>
    <border>
      <left style="dotted">
        <color indexed="18"/>
      </left>
      <right style="medium">
        <color indexed="18"/>
      </right>
      <top style="medium">
        <color indexed="18"/>
      </top>
      <bottom style="medium">
        <color indexed="18"/>
      </bottom>
      <diagonal/>
    </border>
    <border>
      <left style="thick">
        <color indexed="18"/>
      </left>
      <right style="dotted">
        <color indexed="18"/>
      </right>
      <top style="thick">
        <color indexed="18"/>
      </top>
      <bottom/>
      <diagonal/>
    </border>
    <border>
      <left style="dotted">
        <color indexed="18"/>
      </left>
      <right style="dotted">
        <color indexed="18"/>
      </right>
      <top style="thick">
        <color indexed="18"/>
      </top>
      <bottom/>
      <diagonal/>
    </border>
    <border>
      <left style="thick">
        <color indexed="18"/>
      </left>
      <right style="dotted">
        <color indexed="18"/>
      </right>
      <top/>
      <bottom style="thick">
        <color indexed="18"/>
      </bottom>
      <diagonal/>
    </border>
    <border>
      <left style="dotted">
        <color indexed="18"/>
      </left>
      <right style="dotted">
        <color indexed="18"/>
      </right>
      <top/>
      <bottom style="thick">
        <color indexed="18"/>
      </bottom>
      <diagonal/>
    </border>
    <border>
      <left style="medium">
        <color indexed="18"/>
      </left>
      <right style="dotted">
        <color indexed="18"/>
      </right>
      <top style="thick">
        <color indexed="18"/>
      </top>
      <bottom style="dotted">
        <color indexed="18"/>
      </bottom>
      <diagonal/>
    </border>
    <border>
      <left style="dotted">
        <color indexed="18"/>
      </left>
      <right style="medium">
        <color indexed="18"/>
      </right>
      <top style="dotted">
        <color indexed="18"/>
      </top>
      <bottom/>
      <diagonal/>
    </border>
    <border>
      <left style="medium">
        <color indexed="18"/>
      </left>
      <right/>
      <top style="medium">
        <color indexed="18"/>
      </top>
      <bottom style="medium">
        <color indexed="18"/>
      </bottom>
      <diagonal/>
    </border>
    <border>
      <left/>
      <right/>
      <top style="medium">
        <color indexed="18"/>
      </top>
      <bottom style="medium">
        <color indexed="18"/>
      </bottom>
      <diagonal/>
    </border>
    <border>
      <left style="medium">
        <color indexed="18"/>
      </left>
      <right/>
      <top style="dashed">
        <color indexed="18"/>
      </top>
      <bottom style="dashed">
        <color indexed="18"/>
      </bottom>
      <diagonal/>
    </border>
    <border>
      <left/>
      <right/>
      <top style="dashed">
        <color indexed="18"/>
      </top>
      <bottom style="dashed">
        <color indexed="18"/>
      </bottom>
      <diagonal/>
    </border>
    <border>
      <left/>
      <right/>
      <top style="dashed">
        <color indexed="18"/>
      </top>
      <bottom style="medium">
        <color indexed="18"/>
      </bottom>
      <diagonal/>
    </border>
    <border>
      <left style="medium">
        <color indexed="18"/>
      </left>
      <right/>
      <top style="dashed">
        <color indexed="18"/>
      </top>
      <bottom style="medium">
        <color indexed="18"/>
      </bottom>
      <diagonal/>
    </border>
    <border>
      <left/>
      <right style="thin">
        <color indexed="12"/>
      </right>
      <top style="medium">
        <color indexed="18"/>
      </top>
      <bottom style="medium">
        <color indexed="18"/>
      </bottom>
      <diagonal/>
    </border>
    <border>
      <left style="medium">
        <color indexed="18"/>
      </left>
      <right/>
      <top style="medium">
        <color indexed="18"/>
      </top>
      <bottom/>
      <diagonal/>
    </border>
    <border>
      <left/>
      <right/>
      <top style="medium">
        <color indexed="18"/>
      </top>
      <bottom/>
      <diagonal/>
    </border>
    <border>
      <left/>
      <right style="dashed">
        <color indexed="18"/>
      </right>
      <top style="medium">
        <color indexed="18"/>
      </top>
      <bottom style="medium">
        <color indexed="18"/>
      </bottom>
      <diagonal/>
    </border>
    <border>
      <left style="medium">
        <color indexed="18"/>
      </left>
      <right style="hair">
        <color indexed="18"/>
      </right>
      <top style="medium">
        <color indexed="18"/>
      </top>
      <bottom style="hair">
        <color indexed="18"/>
      </bottom>
      <diagonal/>
    </border>
    <border>
      <left style="hair">
        <color indexed="18"/>
      </left>
      <right style="medium">
        <color indexed="18"/>
      </right>
      <top style="medium">
        <color indexed="18"/>
      </top>
      <bottom style="hair">
        <color indexed="18"/>
      </bottom>
      <diagonal/>
    </border>
    <border>
      <left style="medium">
        <color indexed="18"/>
      </left>
      <right style="hair">
        <color indexed="18"/>
      </right>
      <top style="hair">
        <color indexed="18"/>
      </top>
      <bottom style="hair">
        <color indexed="18"/>
      </bottom>
      <diagonal/>
    </border>
    <border>
      <left style="hair">
        <color indexed="18"/>
      </left>
      <right style="medium">
        <color indexed="18"/>
      </right>
      <top style="hair">
        <color indexed="18"/>
      </top>
      <bottom style="hair">
        <color indexed="18"/>
      </bottom>
      <diagonal/>
    </border>
    <border>
      <left style="medium">
        <color indexed="18"/>
      </left>
      <right style="hair">
        <color indexed="18"/>
      </right>
      <top style="hair">
        <color indexed="18"/>
      </top>
      <bottom style="medium">
        <color indexed="18"/>
      </bottom>
      <diagonal/>
    </border>
    <border>
      <left style="hair">
        <color indexed="18"/>
      </left>
      <right style="medium">
        <color indexed="18"/>
      </right>
      <top style="hair">
        <color indexed="18"/>
      </top>
      <bottom style="medium">
        <color indexed="18"/>
      </bottom>
      <diagonal/>
    </border>
    <border>
      <left style="medium">
        <color indexed="18"/>
      </left>
      <right style="hair">
        <color indexed="18"/>
      </right>
      <top style="medium">
        <color indexed="18"/>
      </top>
      <bottom style="medium">
        <color indexed="18"/>
      </bottom>
      <diagonal/>
    </border>
    <border>
      <left style="hair">
        <color indexed="18"/>
      </left>
      <right style="medium">
        <color indexed="18"/>
      </right>
      <top style="medium">
        <color indexed="18"/>
      </top>
      <bottom style="medium">
        <color indexed="18"/>
      </bottom>
      <diagonal/>
    </border>
    <border>
      <left style="thin">
        <color indexed="18"/>
      </left>
      <right style="thin">
        <color indexed="18"/>
      </right>
      <top style="thin">
        <color indexed="18"/>
      </top>
      <bottom style="hair">
        <color indexed="18"/>
      </bottom>
      <diagonal/>
    </border>
    <border>
      <left style="thin">
        <color indexed="18"/>
      </left>
      <right style="thin">
        <color indexed="18"/>
      </right>
      <top style="hair">
        <color indexed="18"/>
      </top>
      <bottom style="hair">
        <color indexed="18"/>
      </bottom>
      <diagonal/>
    </border>
    <border>
      <left style="thin">
        <color indexed="18"/>
      </left>
      <right style="thin">
        <color indexed="18"/>
      </right>
      <top style="hair">
        <color indexed="18"/>
      </top>
      <bottom style="thin">
        <color indexed="18"/>
      </bottom>
      <diagonal/>
    </border>
    <border>
      <left style="medium">
        <color indexed="18"/>
      </left>
      <right/>
      <top style="dotted">
        <color indexed="18"/>
      </top>
      <bottom style="dotted">
        <color indexed="18"/>
      </bottom>
      <diagonal/>
    </border>
    <border>
      <left/>
      <right/>
      <top style="dotted">
        <color indexed="18"/>
      </top>
      <bottom style="dotted">
        <color indexed="18"/>
      </bottom>
      <diagonal/>
    </border>
    <border>
      <left/>
      <right style="dotted">
        <color indexed="18"/>
      </right>
      <top style="dotted">
        <color indexed="18"/>
      </top>
      <bottom style="dotted">
        <color indexed="18"/>
      </bottom>
      <diagonal/>
    </border>
    <border>
      <left style="dotted">
        <color indexed="18"/>
      </left>
      <right/>
      <top style="dotted">
        <color indexed="18"/>
      </top>
      <bottom style="dotted">
        <color indexed="18"/>
      </bottom>
      <diagonal/>
    </border>
    <border>
      <left/>
      <right style="medium">
        <color indexed="18"/>
      </right>
      <top style="dotted">
        <color indexed="18"/>
      </top>
      <bottom style="dotted">
        <color indexed="18"/>
      </bottom>
      <diagonal/>
    </border>
    <border>
      <left style="medium">
        <color indexed="18"/>
      </left>
      <right style="hair">
        <color indexed="18"/>
      </right>
      <top/>
      <bottom/>
      <diagonal/>
    </border>
    <border>
      <left style="hair">
        <color indexed="18"/>
      </left>
      <right style="medium">
        <color indexed="18"/>
      </right>
      <top/>
      <bottom/>
      <diagonal/>
    </border>
    <border>
      <left style="dashed">
        <color indexed="18"/>
      </left>
      <right/>
      <top style="dashed">
        <color indexed="18"/>
      </top>
      <bottom style="dashed">
        <color indexed="18"/>
      </bottom>
      <diagonal/>
    </border>
    <border>
      <left style="dashed">
        <color indexed="18"/>
      </left>
      <right/>
      <top style="medium">
        <color indexed="18"/>
      </top>
      <bottom/>
      <diagonal/>
    </border>
    <border>
      <left style="dashed">
        <color indexed="18"/>
      </left>
      <right/>
      <top style="dashed">
        <color indexed="18"/>
      </top>
      <bottom style="medium">
        <color indexed="18"/>
      </bottom>
      <diagonal/>
    </border>
    <border>
      <left style="dashed">
        <color indexed="18"/>
      </left>
      <right/>
      <top/>
      <bottom style="dashed">
        <color indexed="18"/>
      </bottom>
      <diagonal/>
    </border>
    <border>
      <left style="dotted">
        <color indexed="18"/>
      </left>
      <right style="medium">
        <color indexed="18"/>
      </right>
      <top style="dashed">
        <color indexed="18"/>
      </top>
      <bottom style="dashed">
        <color indexed="18"/>
      </bottom>
      <diagonal/>
    </border>
    <border>
      <left style="dotted">
        <color indexed="18"/>
      </left>
      <right style="medium">
        <color indexed="18"/>
      </right>
      <top style="dashed">
        <color indexed="18"/>
      </top>
      <bottom style="medium">
        <color indexed="18"/>
      </bottom>
      <diagonal/>
    </border>
    <border>
      <left style="medium">
        <color indexed="18"/>
      </left>
      <right style="hair">
        <color indexed="18"/>
      </right>
      <top style="hair">
        <color indexed="18"/>
      </top>
      <bottom/>
      <diagonal/>
    </border>
    <border>
      <left style="hair">
        <color indexed="18"/>
      </left>
      <right style="medium">
        <color indexed="18"/>
      </right>
      <top style="hair">
        <color indexed="18"/>
      </top>
      <bottom/>
      <diagonal/>
    </border>
    <border>
      <left style="dotted">
        <color indexed="18"/>
      </left>
      <right/>
      <top style="medium">
        <color indexed="18"/>
      </top>
      <bottom style="dotted">
        <color indexed="18"/>
      </bottom>
      <diagonal/>
    </border>
    <border>
      <left style="dotted">
        <color indexed="18"/>
      </left>
      <right/>
      <top style="dotted">
        <color indexed="18"/>
      </top>
      <bottom style="medium">
        <color indexed="18"/>
      </bottom>
      <diagonal/>
    </border>
    <border>
      <left style="dotted">
        <color indexed="18"/>
      </left>
      <right/>
      <top style="thick">
        <color indexed="18"/>
      </top>
      <bottom style="dotted">
        <color indexed="18"/>
      </bottom>
      <diagonal/>
    </border>
    <border>
      <left style="dotted">
        <color indexed="18"/>
      </left>
      <right/>
      <top style="dotted">
        <color indexed="18"/>
      </top>
      <bottom style="thick">
        <color indexed="18"/>
      </bottom>
      <diagonal/>
    </border>
    <border>
      <left style="dotted">
        <color indexed="18"/>
      </left>
      <right/>
      <top style="dotted">
        <color indexed="18"/>
      </top>
      <bottom/>
      <diagonal/>
    </border>
    <border>
      <left style="medium">
        <color indexed="18"/>
      </left>
      <right/>
      <top/>
      <bottom style="medium">
        <color indexed="18"/>
      </bottom>
      <diagonal/>
    </border>
    <border>
      <left/>
      <right/>
      <top/>
      <bottom style="thick">
        <color indexed="55"/>
      </bottom>
      <diagonal/>
    </border>
    <border>
      <left style="thin">
        <color indexed="18"/>
      </left>
      <right/>
      <top style="thin">
        <color indexed="18"/>
      </top>
      <bottom style="thin">
        <color indexed="18"/>
      </bottom>
      <diagonal/>
    </border>
    <border>
      <left/>
      <right/>
      <top style="thin">
        <color indexed="18"/>
      </top>
      <bottom style="thin">
        <color indexed="18"/>
      </bottom>
      <diagonal/>
    </border>
    <border>
      <left/>
      <right style="thin">
        <color indexed="18"/>
      </right>
      <top style="thin">
        <color indexed="18"/>
      </top>
      <bottom style="thin">
        <color indexed="18"/>
      </bottom>
      <diagonal/>
    </border>
    <border>
      <left style="dotted">
        <color indexed="18"/>
      </left>
      <right style="dashed">
        <color indexed="18"/>
      </right>
      <top style="dotted">
        <color indexed="18"/>
      </top>
      <bottom style="dotted">
        <color indexed="18"/>
      </bottom>
      <diagonal/>
    </border>
    <border>
      <left style="dashed">
        <color indexed="18"/>
      </left>
      <right style="medium">
        <color indexed="18"/>
      </right>
      <top/>
      <bottom style="dashed">
        <color indexed="18"/>
      </bottom>
      <diagonal/>
    </border>
    <border>
      <left style="hair">
        <color indexed="18"/>
      </left>
      <right style="medium">
        <color indexed="18"/>
      </right>
      <top/>
      <bottom style="hair">
        <color indexed="18"/>
      </bottom>
      <diagonal/>
    </border>
    <border>
      <left style="dotted">
        <color indexed="18"/>
      </left>
      <right style="medium">
        <color indexed="18"/>
      </right>
      <top style="thick">
        <color indexed="18"/>
      </top>
      <bottom style="dotted">
        <color indexed="18"/>
      </bottom>
      <diagonal/>
    </border>
    <border>
      <left/>
      <right/>
      <top style="dashed">
        <color indexed="18"/>
      </top>
      <bottom style="thin">
        <color indexed="18"/>
      </bottom>
      <diagonal/>
    </border>
    <border>
      <left style="medium">
        <color indexed="18"/>
      </left>
      <right/>
      <top/>
      <bottom style="thin">
        <color indexed="18"/>
      </bottom>
      <diagonal/>
    </border>
    <border>
      <left/>
      <right/>
      <top/>
      <bottom style="thin">
        <color indexed="18"/>
      </bottom>
      <diagonal/>
    </border>
    <border>
      <left style="dashed">
        <color indexed="18"/>
      </left>
      <right/>
      <top style="medium">
        <color indexed="18"/>
      </top>
      <bottom style="thin">
        <color indexed="18"/>
      </bottom>
      <diagonal/>
    </border>
    <border>
      <left/>
      <right/>
      <top style="medium">
        <color indexed="18"/>
      </top>
      <bottom style="thin">
        <color indexed="18"/>
      </bottom>
      <diagonal/>
    </border>
    <border>
      <left/>
      <right style="dashed">
        <color indexed="18"/>
      </right>
      <top style="medium">
        <color indexed="18"/>
      </top>
      <bottom style="thin">
        <color indexed="18"/>
      </bottom>
      <diagonal/>
    </border>
    <border>
      <left style="medium">
        <color indexed="18"/>
      </left>
      <right/>
      <top style="thin">
        <color indexed="18"/>
      </top>
      <bottom style="thin">
        <color indexed="18"/>
      </bottom>
      <diagonal/>
    </border>
    <border>
      <left style="dashed">
        <color indexed="18"/>
      </left>
      <right/>
      <top style="thin">
        <color indexed="18"/>
      </top>
      <bottom style="thin">
        <color indexed="18"/>
      </bottom>
      <diagonal/>
    </border>
    <border>
      <left/>
      <right style="dashed">
        <color indexed="18"/>
      </right>
      <top style="thin">
        <color indexed="18"/>
      </top>
      <bottom style="thin">
        <color indexed="18"/>
      </bottom>
      <diagonal/>
    </border>
    <border>
      <left style="medium">
        <color indexed="18"/>
      </left>
      <right/>
      <top style="thin">
        <color indexed="18"/>
      </top>
      <bottom style="dashed">
        <color indexed="18"/>
      </bottom>
      <diagonal/>
    </border>
    <border>
      <left/>
      <right/>
      <top style="thin">
        <color indexed="18"/>
      </top>
      <bottom style="dashed">
        <color indexed="18"/>
      </bottom>
      <diagonal/>
    </border>
    <border>
      <left style="medium">
        <color indexed="18"/>
      </left>
      <right/>
      <top style="dashed">
        <color indexed="18"/>
      </top>
      <bottom style="thin">
        <color indexed="18"/>
      </bottom>
      <diagonal/>
    </border>
    <border>
      <left style="medium">
        <color indexed="18"/>
      </left>
      <right/>
      <top style="thin">
        <color indexed="18"/>
      </top>
      <bottom style="medium">
        <color indexed="18"/>
      </bottom>
      <diagonal/>
    </border>
    <border>
      <left/>
      <right/>
      <top style="thin">
        <color indexed="18"/>
      </top>
      <bottom style="medium">
        <color indexed="18"/>
      </bottom>
      <diagonal/>
    </border>
    <border>
      <left style="medium">
        <color indexed="18"/>
      </left>
      <right/>
      <top style="medium">
        <color indexed="18"/>
      </top>
      <bottom style="thin">
        <color indexed="18"/>
      </bottom>
      <diagonal/>
    </border>
    <border>
      <left/>
      <right/>
      <top style="medium">
        <color indexed="18"/>
      </top>
      <bottom style="dashed">
        <color indexed="18"/>
      </bottom>
      <diagonal/>
    </border>
    <border>
      <left/>
      <right style="dashed">
        <color indexed="18"/>
      </right>
      <top style="dashed">
        <color indexed="18"/>
      </top>
      <bottom style="dashed">
        <color indexed="18"/>
      </bottom>
      <diagonal/>
    </border>
    <border>
      <left/>
      <right/>
      <top style="dashed">
        <color indexed="18"/>
      </top>
      <bottom/>
      <diagonal/>
    </border>
    <border>
      <left/>
      <right/>
      <top style="dotted">
        <color indexed="18"/>
      </top>
      <bottom style="thin">
        <color indexed="18"/>
      </bottom>
      <diagonal/>
    </border>
    <border>
      <left style="medium">
        <color indexed="18"/>
      </left>
      <right/>
      <top style="medium">
        <color indexed="18"/>
      </top>
      <bottom style="dashed">
        <color indexed="18"/>
      </bottom>
      <diagonal/>
    </border>
    <border>
      <left style="medium">
        <color indexed="18"/>
      </left>
      <right/>
      <top style="dotted">
        <color indexed="18"/>
      </top>
      <bottom style="thin">
        <color indexed="18"/>
      </bottom>
      <diagonal/>
    </border>
    <border>
      <left style="medium">
        <color indexed="18"/>
      </left>
      <right/>
      <top style="dashed">
        <color indexed="18"/>
      </top>
      <bottom/>
      <diagonal/>
    </border>
    <border>
      <left style="medium">
        <color indexed="18"/>
      </left>
      <right/>
      <top style="medium">
        <color indexed="18"/>
      </top>
      <bottom style="hair">
        <color indexed="18"/>
      </bottom>
      <diagonal/>
    </border>
    <border>
      <left/>
      <right/>
      <top style="medium">
        <color indexed="18"/>
      </top>
      <bottom style="hair">
        <color indexed="18"/>
      </bottom>
      <diagonal/>
    </border>
    <border>
      <left/>
      <right style="dotted">
        <color indexed="18"/>
      </right>
      <top style="medium">
        <color indexed="18"/>
      </top>
      <bottom style="hair">
        <color indexed="18"/>
      </bottom>
      <diagonal/>
    </border>
    <border>
      <left style="medium">
        <color indexed="18"/>
      </left>
      <right/>
      <top style="hair">
        <color indexed="18"/>
      </top>
      <bottom style="hair">
        <color indexed="18"/>
      </bottom>
      <diagonal/>
    </border>
    <border>
      <left/>
      <right/>
      <top style="hair">
        <color indexed="18"/>
      </top>
      <bottom style="hair">
        <color indexed="18"/>
      </bottom>
      <diagonal/>
    </border>
    <border>
      <left/>
      <right style="dotted">
        <color indexed="18"/>
      </right>
      <top style="hair">
        <color indexed="18"/>
      </top>
      <bottom style="hair">
        <color indexed="18"/>
      </bottom>
      <diagonal/>
    </border>
    <border>
      <left style="medium">
        <color indexed="18"/>
      </left>
      <right/>
      <top style="hair">
        <color indexed="18"/>
      </top>
      <bottom style="medium">
        <color indexed="18"/>
      </bottom>
      <diagonal/>
    </border>
    <border>
      <left/>
      <right/>
      <top style="hair">
        <color indexed="18"/>
      </top>
      <bottom style="medium">
        <color indexed="18"/>
      </bottom>
      <diagonal/>
    </border>
    <border>
      <left/>
      <right style="dotted">
        <color indexed="18"/>
      </right>
      <top style="hair">
        <color indexed="18"/>
      </top>
      <bottom style="medium">
        <color indexed="18"/>
      </bottom>
      <diagonal/>
    </border>
    <border>
      <left/>
      <right style="dotted">
        <color indexed="18"/>
      </right>
      <top style="medium">
        <color indexed="18"/>
      </top>
      <bottom style="dashed">
        <color indexed="18"/>
      </bottom>
      <diagonal/>
    </border>
    <border>
      <left style="dotted">
        <color indexed="18"/>
      </left>
      <right/>
      <top style="medium">
        <color indexed="18"/>
      </top>
      <bottom style="dashed">
        <color indexed="18"/>
      </bottom>
      <diagonal/>
    </border>
    <border>
      <left/>
      <right style="dotted">
        <color indexed="18"/>
      </right>
      <top/>
      <bottom style="medium">
        <color indexed="18"/>
      </bottom>
      <diagonal/>
    </border>
    <border>
      <left style="dotted">
        <color indexed="18"/>
      </left>
      <right/>
      <top/>
      <bottom style="medium">
        <color indexed="18"/>
      </bottom>
      <diagonal/>
    </border>
    <border>
      <left style="medium">
        <color indexed="18"/>
      </left>
      <right/>
      <top/>
      <bottom/>
      <diagonal/>
    </border>
    <border>
      <left/>
      <right style="dotted">
        <color indexed="18"/>
      </right>
      <top/>
      <bottom/>
      <diagonal/>
    </border>
    <border>
      <left style="dotted">
        <color indexed="18"/>
      </left>
      <right/>
      <top/>
      <bottom/>
      <diagonal/>
    </border>
    <border>
      <left/>
      <right/>
      <top style="dotted">
        <color indexed="18"/>
      </top>
      <bottom/>
      <diagonal/>
    </border>
    <border>
      <left/>
      <right style="dotted">
        <color indexed="18"/>
      </right>
      <top style="dotted">
        <color indexed="18"/>
      </top>
      <bottom/>
      <diagonal/>
    </border>
    <border>
      <left/>
      <right/>
      <top/>
      <bottom style="dashed">
        <color indexed="18"/>
      </bottom>
      <diagonal/>
    </border>
    <border>
      <left/>
      <right/>
      <top/>
      <bottom style="dotted">
        <color indexed="18"/>
      </bottom>
      <diagonal/>
    </border>
    <border>
      <left style="dotted">
        <color indexed="18"/>
      </left>
      <right/>
      <top/>
      <bottom style="dotted">
        <color indexed="18"/>
      </bottom>
      <diagonal/>
    </border>
    <border>
      <left/>
      <right style="dashed">
        <color indexed="18"/>
      </right>
      <top/>
      <bottom style="dotted">
        <color indexed="18"/>
      </bottom>
      <diagonal/>
    </border>
    <border>
      <left style="medium">
        <color indexed="18"/>
      </left>
      <right/>
      <top/>
      <bottom style="dotted">
        <color indexed="18"/>
      </bottom>
      <diagonal/>
    </border>
    <border>
      <left style="medium">
        <color indexed="18"/>
      </left>
      <right/>
      <top style="dotted">
        <color indexed="18"/>
      </top>
      <bottom/>
      <diagonal/>
    </border>
    <border>
      <left/>
      <right style="dashed">
        <color indexed="18"/>
      </right>
      <top style="dotted">
        <color indexed="18"/>
      </top>
      <bottom/>
      <diagonal/>
    </border>
    <border>
      <left/>
      <right/>
      <top style="medium">
        <color indexed="18"/>
      </top>
      <bottom style="dotted">
        <color indexed="18"/>
      </bottom>
      <diagonal/>
    </border>
    <border>
      <left style="medium">
        <color indexed="18"/>
      </left>
      <right/>
      <top style="medium">
        <color indexed="18"/>
      </top>
      <bottom style="dotted">
        <color indexed="18"/>
      </bottom>
      <diagonal/>
    </border>
    <border>
      <left/>
      <right style="dashed">
        <color indexed="18"/>
      </right>
      <top style="medium">
        <color indexed="18"/>
      </top>
      <bottom style="dotted">
        <color indexed="18"/>
      </bottom>
      <diagonal/>
    </border>
    <border>
      <left/>
      <right style="dotted">
        <color indexed="18"/>
      </right>
      <top style="medium">
        <color indexed="18"/>
      </top>
      <bottom style="medium">
        <color indexed="18"/>
      </bottom>
      <diagonal/>
    </border>
    <border>
      <left/>
      <right style="dotted">
        <color indexed="18"/>
      </right>
      <top style="medium">
        <color indexed="18"/>
      </top>
      <bottom style="dotted">
        <color indexed="18"/>
      </bottom>
      <diagonal/>
    </border>
    <border>
      <left/>
      <right style="dotted">
        <color indexed="18"/>
      </right>
      <top style="medium">
        <color indexed="18"/>
      </top>
      <bottom/>
      <diagonal/>
    </border>
    <border>
      <left style="dotted">
        <color indexed="18"/>
      </left>
      <right/>
      <top style="medium">
        <color indexed="18"/>
      </top>
      <bottom style="medium">
        <color indexed="18"/>
      </bottom>
      <diagonal/>
    </border>
    <border>
      <left style="medium">
        <color indexed="18"/>
      </left>
      <right style="dotted">
        <color indexed="18"/>
      </right>
      <top style="dotted">
        <color indexed="18"/>
      </top>
      <bottom/>
      <diagonal/>
    </border>
    <border>
      <left/>
      <right style="hair">
        <color indexed="18"/>
      </right>
      <top style="medium">
        <color indexed="18"/>
      </top>
      <bottom/>
      <diagonal/>
    </border>
    <border>
      <left style="hair">
        <color indexed="18"/>
      </left>
      <right style="hair">
        <color indexed="18"/>
      </right>
      <top style="medium">
        <color indexed="18"/>
      </top>
      <bottom style="dotted">
        <color indexed="18"/>
      </bottom>
      <diagonal/>
    </border>
    <border>
      <left style="hair">
        <color indexed="18"/>
      </left>
      <right style="hair">
        <color indexed="18"/>
      </right>
      <top style="medium">
        <color indexed="18"/>
      </top>
      <bottom/>
      <diagonal/>
    </border>
    <border>
      <left style="hair">
        <color indexed="18"/>
      </left>
      <right/>
      <top style="medium">
        <color indexed="18"/>
      </top>
      <bottom/>
      <diagonal/>
    </border>
    <border>
      <left style="dotted">
        <color indexed="18"/>
      </left>
      <right style="hair">
        <color indexed="18"/>
      </right>
      <top style="dotted">
        <color indexed="18"/>
      </top>
      <bottom style="dotted">
        <color indexed="18"/>
      </bottom>
      <diagonal/>
    </border>
    <border>
      <left style="hair">
        <color indexed="18"/>
      </left>
      <right style="hair">
        <color indexed="18"/>
      </right>
      <top/>
      <bottom/>
      <diagonal/>
    </border>
    <border>
      <left/>
      <right style="hair">
        <color indexed="18"/>
      </right>
      <top style="dashed">
        <color indexed="18"/>
      </top>
      <bottom style="medium">
        <color indexed="18"/>
      </bottom>
      <diagonal/>
    </border>
    <border>
      <left style="hair">
        <color indexed="18"/>
      </left>
      <right/>
      <top style="dashed">
        <color indexed="18"/>
      </top>
      <bottom style="medium">
        <color indexed="18"/>
      </bottom>
      <diagonal/>
    </border>
    <border>
      <left/>
      <right style="dashed">
        <color indexed="18"/>
      </right>
      <top style="dotted">
        <color indexed="18"/>
      </top>
      <bottom style="dotted">
        <color indexed="18"/>
      </bottom>
      <diagonal/>
    </border>
    <border>
      <left/>
      <right style="dashed">
        <color indexed="18"/>
      </right>
      <top style="dotted">
        <color indexed="18"/>
      </top>
      <bottom style="medium">
        <color indexed="18"/>
      </bottom>
      <diagonal/>
    </border>
    <border>
      <left style="medium">
        <color indexed="18"/>
      </left>
      <right style="dotted">
        <color indexed="18"/>
      </right>
      <top/>
      <bottom style="dotted">
        <color indexed="18"/>
      </bottom>
      <diagonal/>
    </border>
    <border>
      <left/>
      <right style="dotted">
        <color indexed="18"/>
      </right>
      <top/>
      <bottom style="dotted">
        <color indexed="18"/>
      </bottom>
      <diagonal/>
    </border>
    <border>
      <left style="medium">
        <color indexed="18"/>
      </left>
      <right style="hair">
        <color indexed="18"/>
      </right>
      <top/>
      <bottom style="medium">
        <color indexed="18"/>
      </bottom>
      <diagonal/>
    </border>
    <border>
      <left style="hair">
        <color indexed="18"/>
      </left>
      <right style="medium">
        <color indexed="18"/>
      </right>
      <top/>
      <bottom style="medium">
        <color indexed="18"/>
      </bottom>
      <diagonal/>
    </border>
    <border>
      <left/>
      <right style="dashed">
        <color indexed="18"/>
      </right>
      <top style="medium">
        <color indexed="18"/>
      </top>
      <bottom style="dashed">
        <color indexed="18"/>
      </bottom>
      <diagonal/>
    </border>
    <border>
      <left/>
      <right style="medium">
        <color indexed="18"/>
      </right>
      <top style="dashed">
        <color indexed="18"/>
      </top>
      <bottom style="dashed">
        <color indexed="18"/>
      </bottom>
      <diagonal/>
    </border>
    <border>
      <left/>
      <right style="dashed">
        <color indexed="18"/>
      </right>
      <top style="dashed">
        <color indexed="18"/>
      </top>
      <bottom/>
      <diagonal/>
    </border>
    <border>
      <left style="dashed">
        <color indexed="18"/>
      </left>
      <right/>
      <top style="dashed">
        <color indexed="18"/>
      </top>
      <bottom/>
      <diagonal/>
    </border>
    <border>
      <left/>
      <right style="medium">
        <color indexed="18"/>
      </right>
      <top style="dashed">
        <color indexed="18"/>
      </top>
      <bottom/>
      <diagonal/>
    </border>
    <border>
      <left/>
      <right style="dashed">
        <color indexed="18"/>
      </right>
      <top style="dashed">
        <color indexed="18"/>
      </top>
      <bottom style="medium">
        <color indexed="18"/>
      </bottom>
      <diagonal/>
    </border>
    <border>
      <left/>
      <right style="medium">
        <color indexed="18"/>
      </right>
      <top style="dashed">
        <color indexed="18"/>
      </top>
      <bottom style="medium">
        <color indexed="18"/>
      </bottom>
      <diagonal/>
    </border>
    <border>
      <left style="medium">
        <color indexed="18"/>
      </left>
      <right/>
      <top/>
      <bottom style="dashed">
        <color indexed="18"/>
      </bottom>
      <diagonal/>
    </border>
    <border>
      <left/>
      <right style="medium">
        <color indexed="18"/>
      </right>
      <top style="medium">
        <color indexed="18"/>
      </top>
      <bottom style="thin">
        <color indexed="18"/>
      </bottom>
      <diagonal/>
    </border>
    <border>
      <left style="medium">
        <color indexed="18"/>
      </left>
      <right/>
      <top style="dashed">
        <color indexed="18"/>
      </top>
      <bottom style="dotted">
        <color indexed="18"/>
      </bottom>
      <diagonal/>
    </border>
    <border>
      <left/>
      <right/>
      <top style="dashed">
        <color indexed="18"/>
      </top>
      <bottom style="dotted">
        <color indexed="18"/>
      </bottom>
      <diagonal/>
    </border>
    <border>
      <left/>
      <right style="dashed">
        <color indexed="18"/>
      </right>
      <top style="dashed">
        <color indexed="18"/>
      </top>
      <bottom style="dotted">
        <color indexed="18"/>
      </bottom>
      <diagonal/>
    </border>
    <border>
      <left/>
      <right style="dashed">
        <color indexed="18"/>
      </right>
      <top/>
      <bottom style="dashed">
        <color indexed="18"/>
      </bottom>
      <diagonal/>
    </border>
    <border>
      <left/>
      <right style="dashed">
        <color indexed="18"/>
      </right>
      <top style="dashed">
        <color indexed="18"/>
      </top>
      <bottom style="thin">
        <color indexed="18"/>
      </bottom>
      <diagonal/>
    </border>
    <border>
      <left style="medium">
        <color indexed="18"/>
      </left>
      <right/>
      <top style="thin">
        <color indexed="18"/>
      </top>
      <bottom/>
      <diagonal/>
    </border>
    <border>
      <left/>
      <right/>
      <top style="thin">
        <color indexed="18"/>
      </top>
      <bottom/>
      <diagonal/>
    </border>
    <border>
      <left/>
      <right style="dashed">
        <color indexed="18"/>
      </right>
      <top style="thin">
        <color indexed="18"/>
      </top>
      <bottom/>
      <diagonal/>
    </border>
    <border>
      <left style="dashed">
        <color indexed="18"/>
      </left>
      <right/>
      <top style="dotted">
        <color indexed="18"/>
      </top>
      <bottom style="dotted">
        <color indexed="18"/>
      </bottom>
      <diagonal/>
    </border>
    <border>
      <left style="thin">
        <color indexed="18"/>
      </left>
      <right/>
      <top style="dashed">
        <color indexed="18"/>
      </top>
      <bottom style="dashed">
        <color indexed="18"/>
      </bottom>
      <diagonal/>
    </border>
    <border>
      <left/>
      <right style="thin">
        <color indexed="18"/>
      </right>
      <top style="dashed">
        <color indexed="18"/>
      </top>
      <bottom style="dashed">
        <color indexed="18"/>
      </bottom>
      <diagonal/>
    </border>
    <border>
      <left/>
      <right style="dashed">
        <color indexed="18"/>
      </right>
      <top/>
      <bottom style="medium">
        <color indexed="18"/>
      </bottom>
      <diagonal/>
    </border>
    <border>
      <left style="dashed">
        <color indexed="18"/>
      </left>
      <right/>
      <top style="thin">
        <color indexed="18"/>
      </top>
      <bottom style="medium">
        <color indexed="18"/>
      </bottom>
      <diagonal/>
    </border>
    <border>
      <left/>
      <right style="dashed">
        <color indexed="18"/>
      </right>
      <top style="thin">
        <color indexed="18"/>
      </top>
      <bottom style="medium">
        <color indexed="18"/>
      </bottom>
      <diagonal/>
    </border>
    <border>
      <left style="dashed">
        <color indexed="18"/>
      </left>
      <right style="dotted">
        <color indexed="18"/>
      </right>
      <top style="dotted">
        <color indexed="18"/>
      </top>
      <bottom style="dotted">
        <color indexed="18"/>
      </bottom>
      <diagonal/>
    </border>
    <border>
      <left style="dashed">
        <color indexed="18"/>
      </left>
      <right style="dotted">
        <color indexed="18"/>
      </right>
      <top style="dotted">
        <color indexed="18"/>
      </top>
      <bottom style="medium">
        <color indexed="18"/>
      </bottom>
      <diagonal/>
    </border>
    <border>
      <left style="medium">
        <color indexed="64"/>
      </left>
      <right style="medium">
        <color indexed="64"/>
      </right>
      <top style="dashed">
        <color indexed="64"/>
      </top>
      <bottom style="dashed">
        <color indexed="64"/>
      </bottom>
      <diagonal/>
    </border>
    <border>
      <left/>
      <right/>
      <top style="dashed">
        <color indexed="64"/>
      </top>
      <bottom style="dashed">
        <color indexed="64"/>
      </bottom>
      <diagonal/>
    </border>
    <border>
      <left/>
      <right style="dashed">
        <color indexed="64"/>
      </right>
      <top style="dashed">
        <color indexed="64"/>
      </top>
      <bottom style="dashed">
        <color indexed="64"/>
      </bottom>
      <diagonal/>
    </border>
    <border>
      <left style="medium">
        <color indexed="9"/>
      </left>
      <right style="dashed">
        <color indexed="18"/>
      </right>
      <top style="medium">
        <color indexed="18"/>
      </top>
      <bottom style="medium">
        <color indexed="18"/>
      </bottom>
      <diagonal/>
    </border>
    <border>
      <left style="thin">
        <color indexed="18"/>
      </left>
      <right/>
      <top style="thin">
        <color indexed="18"/>
      </top>
      <bottom style="dashed">
        <color indexed="18"/>
      </bottom>
      <diagonal/>
    </border>
    <border>
      <left/>
      <right style="thin">
        <color indexed="18"/>
      </right>
      <top style="thin">
        <color indexed="18"/>
      </top>
      <bottom style="dashed">
        <color indexed="18"/>
      </bottom>
      <diagonal/>
    </border>
    <border>
      <left style="thin">
        <color indexed="18"/>
      </left>
      <right/>
      <top style="dashed">
        <color indexed="18"/>
      </top>
      <bottom style="thin">
        <color indexed="18"/>
      </bottom>
      <diagonal/>
    </border>
    <border>
      <left/>
      <right style="thin">
        <color indexed="18"/>
      </right>
      <top style="dashed">
        <color indexed="18"/>
      </top>
      <bottom style="thin">
        <color indexed="18"/>
      </bottom>
      <diagonal/>
    </border>
    <border>
      <left style="thin">
        <color indexed="18"/>
      </left>
      <right/>
      <top style="dashed">
        <color indexed="18"/>
      </top>
      <bottom style="dotted">
        <color indexed="18"/>
      </bottom>
      <diagonal/>
    </border>
    <border>
      <left/>
      <right style="thin">
        <color indexed="18"/>
      </right>
      <top style="dashed">
        <color indexed="18"/>
      </top>
      <bottom style="dotted">
        <color indexed="18"/>
      </bottom>
      <diagonal/>
    </border>
    <border>
      <left style="thin">
        <color indexed="18"/>
      </left>
      <right/>
      <top style="dashed">
        <color indexed="18"/>
      </top>
      <bottom/>
      <diagonal/>
    </border>
    <border>
      <left/>
      <right style="thin">
        <color indexed="18"/>
      </right>
      <top style="dashed">
        <color indexed="18"/>
      </top>
      <bottom/>
      <diagonal/>
    </border>
    <border>
      <left style="medium">
        <color indexed="18"/>
      </left>
      <right style="dashed">
        <color indexed="18"/>
      </right>
      <top style="medium">
        <color indexed="18"/>
      </top>
      <bottom/>
      <diagonal/>
    </border>
    <border>
      <left style="medium">
        <color indexed="18"/>
      </left>
      <right style="dashed">
        <color indexed="18"/>
      </right>
      <top/>
      <bottom style="medium">
        <color indexed="18"/>
      </bottom>
      <diagonal/>
    </border>
    <border>
      <left style="medium">
        <color indexed="18"/>
      </left>
      <right style="dashed">
        <color indexed="18"/>
      </right>
      <top/>
      <bottom/>
      <diagonal/>
    </border>
    <border>
      <left style="dashed">
        <color indexed="64"/>
      </left>
      <right/>
      <top style="dashed">
        <color indexed="18"/>
      </top>
      <bottom style="dashed">
        <color indexed="64"/>
      </bottom>
      <diagonal/>
    </border>
    <border>
      <left/>
      <right/>
      <top style="dashed">
        <color indexed="18"/>
      </top>
      <bottom style="dashed">
        <color indexed="64"/>
      </bottom>
      <diagonal/>
    </border>
    <border>
      <left/>
      <right style="dashed">
        <color indexed="18"/>
      </right>
      <top style="dashed">
        <color indexed="18"/>
      </top>
      <bottom style="dashed">
        <color indexed="64"/>
      </bottom>
      <diagonal/>
    </border>
    <border>
      <left style="dashed">
        <color indexed="64"/>
      </left>
      <right/>
      <top style="dashed">
        <color indexed="64"/>
      </top>
      <bottom style="dashed">
        <color indexed="64"/>
      </bottom>
      <diagonal/>
    </border>
    <border>
      <left/>
      <right style="medium">
        <color indexed="64"/>
      </right>
      <top style="dashed">
        <color indexed="64"/>
      </top>
      <bottom style="dashed">
        <color indexed="64"/>
      </bottom>
      <diagonal/>
    </border>
    <border>
      <left/>
      <right style="dashed">
        <color indexed="18"/>
      </right>
      <top style="dashed">
        <color indexed="64"/>
      </top>
      <bottom style="dashed">
        <color indexed="64"/>
      </bottom>
      <diagonal/>
    </border>
    <border>
      <left/>
      <right style="dashed">
        <color indexed="64"/>
      </right>
      <top style="dashed">
        <color indexed="18"/>
      </top>
      <bottom style="dashed">
        <color indexed="64"/>
      </bottom>
      <diagonal/>
    </border>
    <border>
      <left style="dashed">
        <color indexed="64"/>
      </left>
      <right/>
      <top style="dashed">
        <color indexed="18"/>
      </top>
      <bottom style="dashed">
        <color indexed="18"/>
      </bottom>
      <diagonal/>
    </border>
    <border>
      <left/>
      <right style="dashed">
        <color indexed="64"/>
      </right>
      <top style="dashed">
        <color indexed="18"/>
      </top>
      <bottom style="dashed">
        <color indexed="18"/>
      </bottom>
      <diagonal/>
    </border>
    <border>
      <left style="medium">
        <color indexed="64"/>
      </left>
      <right/>
      <top style="dashed">
        <color indexed="64"/>
      </top>
      <bottom style="dashed">
        <color indexed="64"/>
      </bottom>
      <diagonal/>
    </border>
    <border>
      <left/>
      <right style="medium">
        <color indexed="18"/>
      </right>
      <top style="medium">
        <color indexed="18"/>
      </top>
      <bottom style="dotted">
        <color indexed="18"/>
      </bottom>
      <diagonal/>
    </border>
    <border>
      <left/>
      <right style="medium">
        <color indexed="18"/>
      </right>
      <top style="medium">
        <color indexed="18"/>
      </top>
      <bottom style="medium">
        <color indexed="18"/>
      </bottom>
      <diagonal/>
    </border>
    <border>
      <left style="dashed">
        <color indexed="18"/>
      </left>
      <right/>
      <top/>
      <bottom style="medium">
        <color indexed="18"/>
      </bottom>
      <diagonal/>
    </border>
    <border>
      <left/>
      <right style="medium">
        <color indexed="18"/>
      </right>
      <top/>
      <bottom style="medium">
        <color indexed="18"/>
      </bottom>
      <diagonal/>
    </border>
    <border>
      <left style="thin">
        <color indexed="64"/>
      </left>
      <right/>
      <top style="dashed">
        <color indexed="64"/>
      </top>
      <bottom style="dashed">
        <color indexed="64"/>
      </bottom>
      <diagonal/>
    </border>
    <border>
      <left/>
      <right style="thin">
        <color indexed="64"/>
      </right>
      <top style="dashed">
        <color indexed="64"/>
      </top>
      <bottom style="dashed">
        <color indexed="64"/>
      </bottom>
      <diagonal/>
    </border>
    <border>
      <left/>
      <right style="thin">
        <color indexed="18"/>
      </right>
      <top style="dashed">
        <color indexed="64"/>
      </top>
      <bottom style="dashed">
        <color indexed="64"/>
      </bottom>
      <diagonal/>
    </border>
    <border>
      <left style="medium">
        <color indexed="64"/>
      </left>
      <right/>
      <top style="medium">
        <color indexed="64"/>
      </top>
      <bottom style="dashed">
        <color indexed="64"/>
      </bottom>
      <diagonal/>
    </border>
    <border>
      <left/>
      <right/>
      <top style="medium">
        <color indexed="64"/>
      </top>
      <bottom style="dashed">
        <color indexed="64"/>
      </bottom>
      <diagonal/>
    </border>
    <border>
      <left style="thin">
        <color indexed="18"/>
      </left>
      <right style="thin">
        <color indexed="18"/>
      </right>
      <top style="dashed">
        <color indexed="18"/>
      </top>
      <bottom style="dashed">
        <color indexed="18"/>
      </bottom>
      <diagonal/>
    </border>
    <border>
      <left style="dashed">
        <color indexed="18"/>
      </left>
      <right style="dashed">
        <color indexed="18"/>
      </right>
      <top style="dotted">
        <color indexed="18"/>
      </top>
      <bottom style="dotted">
        <color indexed="18"/>
      </bottom>
      <diagonal/>
    </border>
    <border>
      <left style="dashed">
        <color indexed="18"/>
      </left>
      <right style="dashed">
        <color indexed="18"/>
      </right>
      <top style="thin">
        <color indexed="18"/>
      </top>
      <bottom style="dashed">
        <color indexed="18"/>
      </bottom>
      <diagonal/>
    </border>
    <border>
      <left style="dashed">
        <color indexed="18"/>
      </left>
      <right/>
      <top style="medium">
        <color indexed="18"/>
      </top>
      <bottom style="dotted">
        <color indexed="18"/>
      </bottom>
      <diagonal/>
    </border>
    <border>
      <left style="dashed">
        <color indexed="18"/>
      </left>
      <right style="dashed">
        <color indexed="18"/>
      </right>
      <top style="medium">
        <color indexed="18"/>
      </top>
      <bottom style="dotted">
        <color indexed="18"/>
      </bottom>
      <diagonal/>
    </border>
    <border>
      <left/>
      <right style="medium">
        <color indexed="18"/>
      </right>
      <top/>
      <bottom style="dashed">
        <color indexed="18"/>
      </bottom>
      <diagonal/>
    </border>
    <border>
      <left style="dashed">
        <color indexed="18"/>
      </left>
      <right/>
      <top style="dotted">
        <color indexed="18"/>
      </top>
      <bottom style="medium">
        <color indexed="18"/>
      </bottom>
      <diagonal/>
    </border>
    <border>
      <left/>
      <right/>
      <top style="dotted">
        <color indexed="18"/>
      </top>
      <bottom style="medium">
        <color indexed="18"/>
      </bottom>
      <diagonal/>
    </border>
    <border>
      <left style="thin">
        <color indexed="18"/>
      </left>
      <right/>
      <top style="dotted">
        <color indexed="18"/>
      </top>
      <bottom style="medium">
        <color indexed="18"/>
      </bottom>
      <diagonal/>
    </border>
    <border>
      <left/>
      <right style="thin">
        <color indexed="18"/>
      </right>
      <top style="dotted">
        <color indexed="18"/>
      </top>
      <bottom style="medium">
        <color indexed="18"/>
      </bottom>
      <diagonal/>
    </border>
    <border>
      <left style="dashed">
        <color indexed="18"/>
      </left>
      <right/>
      <top/>
      <bottom style="dotted">
        <color indexed="18"/>
      </bottom>
      <diagonal/>
    </border>
    <border>
      <left style="dashed">
        <color indexed="18"/>
      </left>
      <right/>
      <top style="dotted">
        <color indexed="18"/>
      </top>
      <bottom style="dashed">
        <color indexed="18"/>
      </bottom>
      <diagonal/>
    </border>
    <border>
      <left/>
      <right/>
      <top style="dotted">
        <color indexed="18"/>
      </top>
      <bottom style="dashed">
        <color indexed="18"/>
      </bottom>
      <diagonal/>
    </border>
    <border>
      <left/>
      <right style="dotted">
        <color indexed="18"/>
      </right>
      <top style="dotted">
        <color indexed="18"/>
      </top>
      <bottom style="dashed">
        <color indexed="18"/>
      </bottom>
      <diagonal/>
    </border>
    <border>
      <left style="thin">
        <color indexed="18"/>
      </left>
      <right/>
      <top style="medium">
        <color indexed="18"/>
      </top>
      <bottom style="medium">
        <color indexed="18"/>
      </bottom>
      <diagonal/>
    </border>
    <border>
      <left/>
      <right style="thin">
        <color indexed="18"/>
      </right>
      <top style="medium">
        <color indexed="18"/>
      </top>
      <bottom style="medium">
        <color indexed="18"/>
      </bottom>
      <diagonal/>
    </border>
    <border>
      <left style="thin">
        <color indexed="18"/>
      </left>
      <right/>
      <top style="medium">
        <color indexed="18"/>
      </top>
      <bottom style="dotted">
        <color indexed="18"/>
      </bottom>
      <diagonal/>
    </border>
    <border>
      <left/>
      <right style="thin">
        <color indexed="18"/>
      </right>
      <top style="medium">
        <color indexed="18"/>
      </top>
      <bottom style="dotted">
        <color indexed="18"/>
      </bottom>
      <diagonal/>
    </border>
    <border>
      <left style="thin">
        <color indexed="18"/>
      </left>
      <right/>
      <top style="dotted">
        <color indexed="18"/>
      </top>
      <bottom style="dotted">
        <color indexed="18"/>
      </bottom>
      <diagonal/>
    </border>
    <border>
      <left/>
      <right style="thin">
        <color indexed="18"/>
      </right>
      <top style="dotted">
        <color indexed="18"/>
      </top>
      <bottom style="dotted">
        <color indexed="18"/>
      </bottom>
      <diagonal/>
    </border>
    <border>
      <left style="dotted">
        <color indexed="22"/>
      </left>
      <right/>
      <top/>
      <bottom style="medium">
        <color indexed="18"/>
      </bottom>
      <diagonal/>
    </border>
    <border>
      <left/>
      <right style="medium">
        <color indexed="56"/>
      </right>
      <top/>
      <bottom style="medium">
        <color indexed="18"/>
      </bottom>
      <diagonal/>
    </border>
    <border>
      <left style="dashed">
        <color indexed="18"/>
      </left>
      <right style="dashed">
        <color indexed="18"/>
      </right>
      <top style="dashed">
        <color indexed="18"/>
      </top>
      <bottom style="thin">
        <color indexed="18"/>
      </bottom>
      <diagonal/>
    </border>
    <border>
      <left style="dashed">
        <color indexed="18"/>
      </left>
      <right style="medium">
        <color indexed="18"/>
      </right>
      <top style="dashed">
        <color indexed="18"/>
      </top>
      <bottom style="thin">
        <color indexed="18"/>
      </bottom>
      <diagonal/>
    </border>
    <border>
      <left style="medium">
        <color indexed="18"/>
      </left>
      <right/>
      <top style="dotted">
        <color indexed="18"/>
      </top>
      <bottom style="medium">
        <color indexed="18"/>
      </bottom>
      <diagonal/>
    </border>
    <border>
      <left/>
      <right style="dotted">
        <color indexed="18"/>
      </right>
      <top style="dotted">
        <color indexed="18"/>
      </top>
      <bottom style="medium">
        <color indexed="18"/>
      </bottom>
      <diagonal/>
    </border>
    <border>
      <left style="medium">
        <color indexed="64"/>
      </left>
      <right/>
      <top style="dotted">
        <color indexed="64"/>
      </top>
      <bottom style="dotted">
        <color indexed="64"/>
      </bottom>
      <diagonal/>
    </border>
    <border>
      <left/>
      <right/>
      <top style="dotted">
        <color indexed="64"/>
      </top>
      <bottom style="dotted">
        <color indexed="64"/>
      </bottom>
      <diagonal/>
    </border>
    <border>
      <left/>
      <right style="dotted">
        <color indexed="64"/>
      </right>
      <top style="dotted">
        <color indexed="64"/>
      </top>
      <bottom style="dotted">
        <color indexed="64"/>
      </bottom>
      <diagonal/>
    </border>
    <border>
      <left/>
      <right style="medium">
        <color indexed="18"/>
      </right>
      <top style="medium">
        <color indexed="18"/>
      </top>
      <bottom style="dashed">
        <color indexed="18"/>
      </bottom>
      <diagonal/>
    </border>
    <border>
      <left/>
      <right style="dashed">
        <color indexed="63"/>
      </right>
      <top style="dashed">
        <color indexed="18"/>
      </top>
      <bottom style="dashed">
        <color indexed="18"/>
      </bottom>
      <diagonal/>
    </border>
    <border>
      <left style="thin">
        <color indexed="64"/>
      </left>
      <right/>
      <top style="medium">
        <color indexed="64"/>
      </top>
      <bottom style="dashed">
        <color indexed="64"/>
      </bottom>
      <diagonal/>
    </border>
    <border>
      <left/>
      <right style="thin">
        <color indexed="64"/>
      </right>
      <top style="medium">
        <color indexed="64"/>
      </top>
      <bottom style="dashed">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dashed">
        <color indexed="63"/>
      </top>
      <bottom style="dashed">
        <color indexed="18"/>
      </bottom>
      <diagonal/>
    </border>
    <border>
      <left/>
      <right style="dashed">
        <color indexed="18"/>
      </right>
      <top style="dashed">
        <color indexed="63"/>
      </top>
      <bottom style="dashed">
        <color indexed="18"/>
      </bottom>
      <diagonal/>
    </border>
    <border>
      <left/>
      <right style="medium">
        <color indexed="18"/>
      </right>
      <top style="medium">
        <color indexed="18"/>
      </top>
      <bottom/>
      <diagonal/>
    </border>
    <border>
      <left/>
      <right style="medium">
        <color indexed="18"/>
      </right>
      <top style="dotted">
        <color indexed="18"/>
      </top>
      <bottom style="medium">
        <color indexed="18"/>
      </bottom>
      <diagonal/>
    </border>
    <border>
      <left style="medium">
        <color indexed="18"/>
      </left>
      <right style="dashed">
        <color indexed="18"/>
      </right>
      <top style="dotted">
        <color indexed="18"/>
      </top>
      <bottom style="dotted">
        <color indexed="18"/>
      </bottom>
      <diagonal/>
    </border>
    <border>
      <left style="dashed">
        <color indexed="18"/>
      </left>
      <right style="medium">
        <color indexed="18"/>
      </right>
      <top style="medium">
        <color indexed="18"/>
      </top>
      <bottom style="dotted">
        <color indexed="18"/>
      </bottom>
      <diagonal/>
    </border>
    <border>
      <left style="dashed">
        <color indexed="18"/>
      </left>
      <right style="medium">
        <color indexed="18"/>
      </right>
      <top style="dotted">
        <color indexed="18"/>
      </top>
      <bottom style="dotted">
        <color indexed="18"/>
      </bottom>
      <diagonal/>
    </border>
    <border>
      <left style="medium">
        <color indexed="18"/>
      </left>
      <right style="dashed">
        <color indexed="18"/>
      </right>
      <top style="dotted">
        <color indexed="18"/>
      </top>
      <bottom style="medium">
        <color indexed="18"/>
      </bottom>
      <diagonal/>
    </border>
    <border>
      <left style="dashed">
        <color indexed="18"/>
      </left>
      <right style="dashed">
        <color indexed="18"/>
      </right>
      <top style="dotted">
        <color indexed="18"/>
      </top>
      <bottom style="medium">
        <color indexed="18"/>
      </bottom>
      <diagonal/>
    </border>
    <border>
      <left style="medium">
        <color indexed="18"/>
      </left>
      <right style="dashed">
        <color indexed="18"/>
      </right>
      <top style="medium">
        <color indexed="18"/>
      </top>
      <bottom style="dotted">
        <color indexed="18"/>
      </bottom>
      <diagonal/>
    </border>
    <border>
      <left style="medium">
        <color indexed="18"/>
      </left>
      <right/>
      <top style="medium">
        <color indexed="56"/>
      </top>
      <bottom style="dotted">
        <color indexed="18"/>
      </bottom>
      <diagonal/>
    </border>
    <border>
      <left/>
      <right/>
      <top style="medium">
        <color indexed="56"/>
      </top>
      <bottom style="dotted">
        <color indexed="18"/>
      </bottom>
      <diagonal/>
    </border>
    <border>
      <left/>
      <right style="thin">
        <color indexed="18"/>
      </right>
      <top style="medium">
        <color indexed="56"/>
      </top>
      <bottom style="dotted">
        <color indexed="18"/>
      </bottom>
      <diagonal/>
    </border>
    <border>
      <left style="medium">
        <color indexed="56"/>
      </left>
      <right/>
      <top style="medium">
        <color indexed="18"/>
      </top>
      <bottom style="medium">
        <color indexed="56"/>
      </bottom>
      <diagonal/>
    </border>
    <border>
      <left/>
      <right/>
      <top style="medium">
        <color indexed="18"/>
      </top>
      <bottom style="medium">
        <color indexed="56"/>
      </bottom>
      <diagonal/>
    </border>
    <border>
      <left/>
      <right style="medium">
        <color indexed="56"/>
      </right>
      <top style="medium">
        <color indexed="18"/>
      </top>
      <bottom style="medium">
        <color indexed="56"/>
      </bottom>
      <diagonal/>
    </border>
    <border>
      <left style="thin">
        <color indexed="18"/>
      </left>
      <right/>
      <top style="medium">
        <color indexed="56"/>
      </top>
      <bottom style="dotted">
        <color indexed="18"/>
      </bottom>
      <diagonal/>
    </border>
    <border>
      <left style="thin">
        <color indexed="18"/>
      </left>
      <right/>
      <top style="thin">
        <color indexed="56"/>
      </top>
      <bottom/>
      <diagonal/>
    </border>
    <border>
      <left/>
      <right/>
      <top style="thin">
        <color indexed="56"/>
      </top>
      <bottom/>
      <diagonal/>
    </border>
    <border>
      <left/>
      <right style="thin">
        <color indexed="18"/>
      </right>
      <top style="thin">
        <color indexed="56"/>
      </top>
      <bottom/>
      <diagonal/>
    </border>
    <border>
      <left style="thin">
        <color indexed="18"/>
      </left>
      <right/>
      <top/>
      <bottom style="dotted">
        <color indexed="18"/>
      </bottom>
      <diagonal/>
    </border>
    <border>
      <left/>
      <right style="thin">
        <color indexed="18"/>
      </right>
      <top/>
      <bottom style="dotted">
        <color indexed="18"/>
      </bottom>
      <diagonal/>
    </border>
    <border>
      <left style="dotted">
        <color indexed="22"/>
      </left>
      <right/>
      <top style="medium">
        <color indexed="18"/>
      </top>
      <bottom style="medium">
        <color indexed="18"/>
      </bottom>
      <diagonal/>
    </border>
    <border>
      <left/>
      <right style="dotted">
        <color indexed="22"/>
      </right>
      <top style="medium">
        <color indexed="18"/>
      </top>
      <bottom style="medium">
        <color indexed="18"/>
      </bottom>
      <diagonal/>
    </border>
    <border>
      <left/>
      <right style="dotted">
        <color indexed="22"/>
      </right>
      <top/>
      <bottom style="medium">
        <color indexed="18"/>
      </bottom>
      <diagonal/>
    </border>
    <border>
      <left style="dotted">
        <color indexed="22"/>
      </left>
      <right/>
      <top style="medium">
        <color indexed="18"/>
      </top>
      <bottom style="thin">
        <color indexed="56"/>
      </bottom>
      <diagonal/>
    </border>
    <border>
      <left/>
      <right style="dotted">
        <color indexed="22"/>
      </right>
      <top style="medium">
        <color indexed="18"/>
      </top>
      <bottom style="thin">
        <color indexed="56"/>
      </bottom>
      <diagonal/>
    </border>
    <border>
      <left style="dotted">
        <color indexed="22"/>
      </left>
      <right/>
      <top/>
      <bottom style="thin">
        <color indexed="56"/>
      </bottom>
      <diagonal/>
    </border>
    <border>
      <left/>
      <right/>
      <top/>
      <bottom style="thin">
        <color indexed="56"/>
      </bottom>
      <diagonal/>
    </border>
    <border>
      <left/>
      <right style="dotted">
        <color indexed="22"/>
      </right>
      <top/>
      <bottom style="thin">
        <color indexed="56"/>
      </bottom>
      <diagonal/>
    </border>
    <border>
      <left style="dotted">
        <color indexed="56"/>
      </left>
      <right/>
      <top style="medium">
        <color indexed="18"/>
      </top>
      <bottom style="medium">
        <color indexed="18"/>
      </bottom>
      <diagonal/>
    </border>
    <border>
      <left style="medium">
        <color indexed="56"/>
      </left>
      <right/>
      <top style="medium">
        <color indexed="18"/>
      </top>
      <bottom style="medium">
        <color indexed="18"/>
      </bottom>
      <diagonal/>
    </border>
    <border>
      <left/>
      <right style="dotted">
        <color indexed="56"/>
      </right>
      <top style="medium">
        <color indexed="18"/>
      </top>
      <bottom style="medium">
        <color indexed="18"/>
      </bottom>
      <diagonal/>
    </border>
    <border>
      <left style="thin">
        <color indexed="18"/>
      </left>
      <right style="thin">
        <color indexed="18"/>
      </right>
      <top style="medium">
        <color indexed="18"/>
      </top>
      <bottom style="dashed">
        <color indexed="18"/>
      </bottom>
      <diagonal/>
    </border>
    <border>
      <left style="thin">
        <color indexed="18"/>
      </left>
      <right/>
      <top style="medium">
        <color indexed="18"/>
      </top>
      <bottom style="dashed">
        <color indexed="18"/>
      </bottom>
      <diagonal/>
    </border>
    <border>
      <left style="dashed">
        <color indexed="18"/>
      </left>
      <right style="dotted">
        <color indexed="18"/>
      </right>
      <top style="medium">
        <color indexed="18"/>
      </top>
      <bottom style="medium">
        <color indexed="18"/>
      </bottom>
      <diagonal/>
    </border>
    <border>
      <left style="dotted">
        <color indexed="18"/>
      </left>
      <right/>
      <top style="medium">
        <color indexed="18"/>
      </top>
      <bottom/>
      <diagonal/>
    </border>
    <border>
      <left style="dashed">
        <color indexed="18"/>
      </left>
      <right style="medium">
        <color indexed="18"/>
      </right>
      <top/>
      <bottom style="medium">
        <color indexed="18"/>
      </bottom>
      <diagonal/>
    </border>
    <border>
      <left/>
      <right style="medium">
        <color indexed="64"/>
      </right>
      <top style="medium">
        <color indexed="64"/>
      </top>
      <bottom style="dashed">
        <color indexed="64"/>
      </bottom>
      <diagonal/>
    </border>
    <border>
      <left/>
      <right style="thin">
        <color indexed="18"/>
      </right>
      <top style="medium">
        <color indexed="18"/>
      </top>
      <bottom style="dashed">
        <color indexed="18"/>
      </bottom>
      <diagonal/>
    </border>
    <border>
      <left style="thin">
        <color indexed="18"/>
      </left>
      <right style="medium">
        <color indexed="18"/>
      </right>
      <top style="dashed">
        <color indexed="18"/>
      </top>
      <bottom style="dashed">
        <color indexed="18"/>
      </bottom>
      <diagonal/>
    </border>
    <border>
      <left style="hair">
        <color indexed="18"/>
      </left>
      <right style="hair">
        <color indexed="18"/>
      </right>
      <top style="dotted">
        <color indexed="18"/>
      </top>
      <bottom style="medium">
        <color indexed="18"/>
      </bottom>
      <diagonal/>
    </border>
    <border>
      <left/>
      <right style="dashed">
        <color indexed="18"/>
      </right>
      <top style="medium">
        <color indexed="18"/>
      </top>
      <bottom/>
      <diagonal/>
    </border>
    <border>
      <left style="hair">
        <color indexed="18"/>
      </left>
      <right style="medium">
        <color indexed="18"/>
      </right>
      <top style="medium">
        <color indexed="18"/>
      </top>
      <bottom/>
      <diagonal/>
    </border>
    <border>
      <left/>
      <right style="thin">
        <color indexed="18"/>
      </right>
      <top style="dashed">
        <color indexed="18"/>
      </top>
      <bottom style="medium">
        <color indexed="18"/>
      </bottom>
      <diagonal/>
    </border>
    <border>
      <left style="thin">
        <color indexed="18"/>
      </left>
      <right style="medium">
        <color indexed="18"/>
      </right>
      <top style="dashed">
        <color indexed="18"/>
      </top>
      <bottom style="medium">
        <color indexed="18"/>
      </bottom>
      <diagonal/>
    </border>
    <border>
      <left style="medium">
        <color indexed="18"/>
      </left>
      <right style="thin">
        <color indexed="18"/>
      </right>
      <top style="dashed">
        <color indexed="18"/>
      </top>
      <bottom style="medium">
        <color indexed="18"/>
      </bottom>
      <diagonal/>
    </border>
    <border>
      <left style="thin">
        <color indexed="18"/>
      </left>
      <right style="thin">
        <color indexed="18"/>
      </right>
      <top style="dashed">
        <color indexed="18"/>
      </top>
      <bottom style="medium">
        <color indexed="18"/>
      </bottom>
      <diagonal/>
    </border>
    <border>
      <left style="thin">
        <color indexed="18"/>
      </left>
      <right/>
      <top style="dashed">
        <color indexed="18"/>
      </top>
      <bottom style="medium">
        <color indexed="18"/>
      </bottom>
      <diagonal/>
    </border>
    <border>
      <left/>
      <right style="medium">
        <color indexed="18"/>
      </right>
      <top/>
      <bottom style="dotted">
        <color indexed="18"/>
      </bottom>
      <diagonal/>
    </border>
    <border>
      <left style="dotted">
        <color indexed="18"/>
      </left>
      <right style="dashed">
        <color indexed="18"/>
      </right>
      <top style="dashed">
        <color indexed="18"/>
      </top>
      <bottom style="medium">
        <color indexed="18"/>
      </bottom>
      <diagonal/>
    </border>
    <border>
      <left style="dotted">
        <color indexed="18"/>
      </left>
      <right style="dotted">
        <color indexed="18"/>
      </right>
      <top style="medium">
        <color indexed="18"/>
      </top>
      <bottom style="dashed">
        <color indexed="18"/>
      </bottom>
      <diagonal/>
    </border>
    <border>
      <left style="dotted">
        <color indexed="18"/>
      </left>
      <right style="dashed">
        <color indexed="18"/>
      </right>
      <top style="medium">
        <color indexed="18"/>
      </top>
      <bottom style="dashed">
        <color indexed="18"/>
      </bottom>
      <diagonal/>
    </border>
    <border>
      <left style="dashed">
        <color indexed="18"/>
      </left>
      <right/>
      <top style="medium">
        <color indexed="18"/>
      </top>
      <bottom style="dashed">
        <color indexed="18"/>
      </bottom>
      <diagonal/>
    </border>
    <border>
      <left style="dashed">
        <color indexed="18"/>
      </left>
      <right style="dashed">
        <color indexed="18"/>
      </right>
      <top style="thin">
        <color indexed="18"/>
      </top>
      <bottom/>
      <diagonal/>
    </border>
    <border>
      <left style="medium">
        <color indexed="18"/>
      </left>
      <right style="dashed">
        <color indexed="18"/>
      </right>
      <top style="dashed">
        <color indexed="18"/>
      </top>
      <bottom style="thin">
        <color indexed="18"/>
      </bottom>
      <diagonal/>
    </border>
    <border>
      <left/>
      <right style="medium">
        <color indexed="18"/>
      </right>
      <top style="thin">
        <color indexed="18"/>
      </top>
      <bottom style="medium">
        <color indexed="18"/>
      </bottom>
      <diagonal/>
    </border>
    <border>
      <left style="dashed">
        <color indexed="18"/>
      </left>
      <right style="medium">
        <color indexed="18"/>
      </right>
      <top style="thin">
        <color indexed="18"/>
      </top>
      <bottom/>
      <diagonal/>
    </border>
    <border>
      <left style="dashed">
        <color indexed="18"/>
      </left>
      <right style="dashed">
        <color indexed="18"/>
      </right>
      <top style="thin">
        <color indexed="18"/>
      </top>
      <bottom style="thin">
        <color indexed="18"/>
      </bottom>
      <diagonal/>
    </border>
    <border>
      <left/>
      <right style="medium">
        <color indexed="18"/>
      </right>
      <top style="thin">
        <color indexed="18"/>
      </top>
      <bottom style="thin">
        <color indexed="18"/>
      </bottom>
      <diagonal/>
    </border>
    <border>
      <left style="hair">
        <color indexed="64"/>
      </left>
      <right/>
      <top style="dashed">
        <color indexed="18"/>
      </top>
      <bottom style="dashed">
        <color indexed="18"/>
      </bottom>
      <diagonal/>
    </border>
    <border>
      <left style="dotted">
        <color indexed="64"/>
      </left>
      <right/>
      <top style="dotted">
        <color indexed="64"/>
      </top>
      <bottom style="dotted">
        <color indexed="64"/>
      </bottom>
      <diagonal/>
    </border>
    <border>
      <left style="dashed">
        <color indexed="18"/>
      </left>
      <right style="dashed">
        <color indexed="18"/>
      </right>
      <top style="thin">
        <color indexed="18"/>
      </top>
      <bottom style="medium">
        <color indexed="18"/>
      </bottom>
      <diagonal/>
    </border>
    <border>
      <left style="dashed">
        <color indexed="18"/>
      </left>
      <right style="medium">
        <color indexed="18"/>
      </right>
      <top style="thin">
        <color indexed="18"/>
      </top>
      <bottom style="medium">
        <color indexed="18"/>
      </bottom>
      <diagonal/>
    </border>
    <border>
      <left style="dashed">
        <color indexed="18"/>
      </left>
      <right style="dashed">
        <color indexed="18"/>
      </right>
      <top style="medium">
        <color indexed="18"/>
      </top>
      <bottom style="thin">
        <color indexed="18"/>
      </bottom>
      <diagonal/>
    </border>
    <border>
      <left style="dashed">
        <color indexed="18"/>
      </left>
      <right style="medium">
        <color indexed="18"/>
      </right>
      <top style="thin">
        <color indexed="18"/>
      </top>
      <bottom style="thin">
        <color indexed="18"/>
      </bottom>
      <diagonal/>
    </border>
    <border>
      <left style="dashed">
        <color indexed="18"/>
      </left>
      <right style="dashed">
        <color indexed="18"/>
      </right>
      <top style="dashed">
        <color indexed="18"/>
      </top>
      <bottom style="dotted">
        <color indexed="18"/>
      </bottom>
      <diagonal/>
    </border>
    <border>
      <left style="dashed">
        <color indexed="63"/>
      </left>
      <right/>
      <top style="dashed">
        <color indexed="63"/>
      </top>
      <bottom style="dashed">
        <color indexed="18"/>
      </bottom>
      <diagonal/>
    </border>
    <border>
      <left/>
      <right style="medium">
        <color indexed="18"/>
      </right>
      <top style="dashed">
        <color indexed="63"/>
      </top>
      <bottom style="dashed">
        <color indexed="18"/>
      </bottom>
      <diagonal/>
    </border>
    <border>
      <left/>
      <right style="medium">
        <color indexed="64"/>
      </right>
      <top style="dashed">
        <color indexed="18"/>
      </top>
      <bottom style="dashed">
        <color indexed="18"/>
      </bottom>
      <diagonal/>
    </border>
    <border>
      <left style="dashed">
        <color indexed="63"/>
      </left>
      <right/>
      <top style="dashed">
        <color indexed="18"/>
      </top>
      <bottom style="dashed">
        <color indexed="18"/>
      </bottom>
      <diagonal/>
    </border>
    <border>
      <left style="dashed">
        <color indexed="18"/>
      </left>
      <right style="medium">
        <color indexed="18"/>
      </right>
      <top style="dotted">
        <color indexed="18"/>
      </top>
      <bottom style="medium">
        <color indexed="18"/>
      </bottom>
      <diagonal/>
    </border>
    <border>
      <left style="dashed">
        <color indexed="18"/>
      </left>
      <right style="medium">
        <color indexed="18"/>
      </right>
      <top style="thin">
        <color indexed="18"/>
      </top>
      <bottom style="dashed">
        <color indexed="18"/>
      </bottom>
      <diagonal/>
    </border>
    <border>
      <left style="dashed">
        <color indexed="18"/>
      </left>
      <right style="medium">
        <color indexed="18"/>
      </right>
      <top style="medium">
        <color indexed="18"/>
      </top>
      <bottom/>
      <diagonal/>
    </border>
    <border>
      <left style="dashed">
        <color indexed="18"/>
      </left>
      <right/>
      <top style="thin">
        <color indexed="18"/>
      </top>
      <bottom style="dashed">
        <color indexed="18"/>
      </bottom>
      <diagonal/>
    </border>
    <border>
      <left/>
      <right style="medium">
        <color indexed="18"/>
      </right>
      <top style="thin">
        <color indexed="18"/>
      </top>
      <bottom style="dashed">
        <color indexed="18"/>
      </bottom>
      <diagonal/>
    </border>
    <border>
      <left/>
      <right style="dashed">
        <color indexed="18"/>
      </right>
      <top style="thin">
        <color indexed="18"/>
      </top>
      <bottom style="dashed">
        <color indexed="18"/>
      </bottom>
      <diagonal/>
    </border>
    <border>
      <left style="dashed">
        <color indexed="18"/>
      </left>
      <right/>
      <top style="dotted">
        <color indexed="18"/>
      </top>
      <bottom style="thin">
        <color indexed="18"/>
      </bottom>
      <diagonal/>
    </border>
    <border>
      <left/>
      <right style="dashed">
        <color indexed="18"/>
      </right>
      <top style="dotted">
        <color indexed="18"/>
      </top>
      <bottom style="thin">
        <color indexed="18"/>
      </bottom>
      <diagonal/>
    </border>
    <border>
      <left style="dashed">
        <color indexed="18"/>
      </left>
      <right style="medium">
        <color indexed="18"/>
      </right>
      <top style="medium">
        <color indexed="18"/>
      </top>
      <bottom style="thin">
        <color indexed="18"/>
      </bottom>
      <diagonal/>
    </border>
    <border>
      <left/>
      <right style="medium">
        <color indexed="18"/>
      </right>
      <top style="dotted">
        <color indexed="18"/>
      </top>
      <bottom style="thin">
        <color indexed="18"/>
      </bottom>
      <diagonal/>
    </border>
    <border>
      <left style="medium">
        <color indexed="18"/>
      </left>
      <right style="dashed">
        <color indexed="18"/>
      </right>
      <top style="dotted">
        <color indexed="18"/>
      </top>
      <bottom style="dashed">
        <color indexed="18"/>
      </bottom>
      <diagonal/>
    </border>
    <border>
      <left style="dashed">
        <color indexed="18"/>
      </left>
      <right style="dashed">
        <color indexed="18"/>
      </right>
      <top style="dotted">
        <color indexed="18"/>
      </top>
      <bottom style="dashed">
        <color indexed="18"/>
      </bottom>
      <diagonal/>
    </border>
    <border>
      <left style="dashed">
        <color indexed="18"/>
      </left>
      <right style="medium">
        <color indexed="18"/>
      </right>
      <top style="dashed">
        <color indexed="18"/>
      </top>
      <bottom style="dotted">
        <color indexed="18"/>
      </bottom>
      <diagonal/>
    </border>
    <border>
      <left style="dashed">
        <color indexed="18"/>
      </left>
      <right/>
      <top style="dashed">
        <color indexed="64"/>
      </top>
      <bottom style="medium">
        <color indexed="18"/>
      </bottom>
      <diagonal/>
    </border>
    <border>
      <left/>
      <right/>
      <top style="dashed">
        <color indexed="64"/>
      </top>
      <bottom style="medium">
        <color indexed="18"/>
      </bottom>
      <diagonal/>
    </border>
    <border>
      <left/>
      <right style="thin">
        <color indexed="18"/>
      </right>
      <top style="dashed">
        <color indexed="64"/>
      </top>
      <bottom style="medium">
        <color indexed="18"/>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dashed">
        <color indexed="18"/>
      </right>
      <top style="hair">
        <color indexed="18"/>
      </top>
      <bottom style="hair">
        <color indexed="18"/>
      </bottom>
      <diagonal/>
    </border>
    <border>
      <left style="medium">
        <color indexed="18"/>
      </left>
      <right/>
      <top style="hair">
        <color indexed="18"/>
      </top>
      <bottom/>
      <diagonal/>
    </border>
    <border>
      <left/>
      <right/>
      <top style="hair">
        <color indexed="18"/>
      </top>
      <bottom/>
      <diagonal/>
    </border>
    <border>
      <left/>
      <right style="dashed">
        <color indexed="18"/>
      </right>
      <top style="hair">
        <color indexed="18"/>
      </top>
      <bottom/>
      <diagonal/>
    </border>
    <border>
      <left style="dashed">
        <color indexed="18"/>
      </left>
      <right/>
      <top/>
      <bottom/>
      <diagonal/>
    </border>
    <border>
      <left/>
      <right style="dashed">
        <color indexed="18"/>
      </right>
      <top/>
      <bottom/>
      <diagonal/>
    </border>
    <border>
      <left/>
      <right style="medium">
        <color indexed="18"/>
      </right>
      <top/>
      <bottom/>
      <diagonal/>
    </border>
    <border>
      <left/>
      <right style="thin">
        <color indexed="64"/>
      </right>
      <top/>
      <bottom/>
      <diagonal/>
    </border>
    <border>
      <left style="thin">
        <color indexed="64"/>
      </left>
      <right style="thin">
        <color indexed="64"/>
      </right>
      <top/>
      <bottom/>
      <diagonal/>
    </border>
    <border>
      <left style="medium">
        <color auto="1"/>
      </left>
      <right style="dotted">
        <color auto="1"/>
      </right>
      <top style="medium">
        <color auto="1"/>
      </top>
      <bottom/>
      <diagonal/>
    </border>
    <border>
      <left style="dotted">
        <color auto="1"/>
      </left>
      <right style="dotted">
        <color auto="1"/>
      </right>
      <top style="medium">
        <color auto="1"/>
      </top>
      <bottom/>
      <diagonal/>
    </border>
    <border>
      <left style="dotted">
        <color auto="1"/>
      </left>
      <right style="medium">
        <color auto="1"/>
      </right>
      <top style="medium">
        <color auto="1"/>
      </top>
      <bottom/>
      <diagonal/>
    </border>
    <border>
      <left style="medium">
        <color auto="1"/>
      </left>
      <right style="dotted">
        <color auto="1"/>
      </right>
      <top/>
      <bottom style="medium">
        <color auto="1"/>
      </bottom>
      <diagonal/>
    </border>
    <border>
      <left style="dotted">
        <color auto="1"/>
      </left>
      <right style="dotted">
        <color auto="1"/>
      </right>
      <top/>
      <bottom style="medium">
        <color auto="1"/>
      </bottom>
      <diagonal/>
    </border>
    <border>
      <left style="dotted">
        <color auto="1"/>
      </left>
      <right style="medium">
        <color auto="1"/>
      </right>
      <top/>
      <bottom style="medium">
        <color auto="1"/>
      </bottom>
      <diagonal/>
    </border>
    <border>
      <left style="thick">
        <color indexed="18"/>
      </left>
      <right style="dotted">
        <color indexed="18"/>
      </right>
      <top style="dotted">
        <color indexed="18"/>
      </top>
      <bottom/>
      <diagonal/>
    </border>
    <border>
      <left style="dotted">
        <color indexed="18"/>
      </left>
      <right style="thick">
        <color indexed="18"/>
      </right>
      <top style="dotted">
        <color indexed="18"/>
      </top>
      <bottom/>
      <diagonal/>
    </border>
    <border>
      <left/>
      <right/>
      <top/>
      <bottom style="thin">
        <color theme="4" tint="-0.249977111117893"/>
      </bottom>
      <diagonal/>
    </border>
    <border>
      <left/>
      <right/>
      <top/>
      <bottom style="thin">
        <color theme="4" tint="0.79998168889431442"/>
      </bottom>
      <diagonal/>
    </border>
    <border>
      <left/>
      <right/>
      <top/>
      <bottom style="thin">
        <color theme="4" tint="0.59999389629810485"/>
      </bottom>
      <diagonal/>
    </border>
    <border>
      <left/>
      <right/>
      <top style="double">
        <color theme="4" tint="-0.249977111117893"/>
      </top>
      <bottom/>
      <diagonal/>
    </border>
    <border>
      <left/>
      <right/>
      <top style="thin">
        <color theme="4" tint="0.79998168889431442"/>
      </top>
      <bottom style="thin">
        <color theme="4" tint="0.79998168889431442"/>
      </bottom>
      <diagonal/>
    </border>
    <border>
      <left/>
      <right/>
      <top style="thin">
        <color rgb="FF002060"/>
      </top>
      <bottom style="medium">
        <color rgb="FF002060"/>
      </bottom>
      <diagonal/>
    </border>
    <border>
      <left style="thick">
        <color indexed="18"/>
      </left>
      <right style="dotted">
        <color indexed="18"/>
      </right>
      <top style="medium">
        <color indexed="18"/>
      </top>
      <bottom style="dotted">
        <color indexed="18"/>
      </bottom>
      <diagonal/>
    </border>
    <border>
      <left style="dotted">
        <color indexed="18"/>
      </left>
      <right style="thick">
        <color indexed="18"/>
      </right>
      <top style="medium">
        <color indexed="18"/>
      </top>
      <bottom style="dotted">
        <color indexed="18"/>
      </bottom>
      <diagonal/>
    </border>
    <border>
      <left style="thick">
        <color indexed="18"/>
      </left>
      <right style="dotted">
        <color indexed="18"/>
      </right>
      <top style="medium">
        <color rgb="FF002060"/>
      </top>
      <bottom style="dotted">
        <color indexed="18"/>
      </bottom>
      <diagonal/>
    </border>
    <border>
      <left style="dotted">
        <color indexed="18"/>
      </left>
      <right style="dotted">
        <color indexed="18"/>
      </right>
      <top style="medium">
        <color rgb="FF002060"/>
      </top>
      <bottom style="dotted">
        <color indexed="18"/>
      </bottom>
      <diagonal/>
    </border>
    <border>
      <left style="dotted">
        <color indexed="18"/>
      </left>
      <right style="thick">
        <color indexed="18"/>
      </right>
      <top style="medium">
        <color rgb="FF002060"/>
      </top>
      <bottom style="dotted">
        <color indexed="18"/>
      </bottom>
      <diagonal/>
    </border>
    <border>
      <left style="thick">
        <color indexed="18"/>
      </left>
      <right style="dotted">
        <color indexed="18"/>
      </right>
      <top style="dotted">
        <color indexed="18"/>
      </top>
      <bottom style="medium">
        <color indexed="18"/>
      </bottom>
      <diagonal/>
    </border>
    <border>
      <left style="dotted">
        <color indexed="18"/>
      </left>
      <right style="thick">
        <color indexed="18"/>
      </right>
      <top style="dotted">
        <color indexed="18"/>
      </top>
      <bottom style="medium">
        <color indexed="18"/>
      </bottom>
      <diagonal/>
    </border>
    <border>
      <left style="dotted">
        <color indexed="18"/>
      </left>
      <right style="thick">
        <color indexed="18"/>
      </right>
      <top/>
      <bottom/>
      <diagonal/>
    </border>
    <border>
      <left style="dotted">
        <color indexed="18"/>
      </left>
      <right style="thick">
        <color indexed="18"/>
      </right>
      <top/>
      <bottom style="medium">
        <color indexed="18"/>
      </bottom>
      <diagonal/>
    </border>
  </borders>
  <cellStyleXfs count="60">
    <xf numFmtId="0" fontId="0" fillId="0" borderId="0"/>
    <xf numFmtId="0" fontId="71" fillId="2" borderId="0" applyNumberFormat="0" applyBorder="0" applyAlignment="0" applyProtection="0"/>
    <xf numFmtId="0" fontId="71" fillId="3" borderId="0" applyNumberFormat="0" applyBorder="0" applyAlignment="0" applyProtection="0"/>
    <xf numFmtId="0" fontId="71" fillId="4" borderId="0" applyNumberFormat="0" applyBorder="0" applyAlignment="0" applyProtection="0"/>
    <xf numFmtId="0" fontId="71" fillId="5" borderId="0" applyNumberFormat="0" applyBorder="0" applyAlignment="0" applyProtection="0"/>
    <xf numFmtId="0" fontId="71" fillId="6" borderId="0" applyNumberFormat="0" applyBorder="0" applyAlignment="0" applyProtection="0"/>
    <xf numFmtId="0" fontId="71" fillId="7" borderId="0" applyNumberFormat="0" applyBorder="0" applyAlignment="0" applyProtection="0"/>
    <xf numFmtId="0" fontId="71" fillId="8" borderId="0" applyNumberFormat="0" applyBorder="0" applyAlignment="0" applyProtection="0"/>
    <xf numFmtId="0" fontId="71" fillId="9" borderId="0" applyNumberFormat="0" applyBorder="0" applyAlignment="0" applyProtection="0"/>
    <xf numFmtId="0" fontId="71" fillId="10" borderId="0" applyNumberFormat="0" applyBorder="0" applyAlignment="0" applyProtection="0"/>
    <xf numFmtId="0" fontId="71" fillId="5" borderId="0" applyNumberFormat="0" applyBorder="0" applyAlignment="0" applyProtection="0"/>
    <xf numFmtId="0" fontId="71" fillId="8" borderId="0" applyNumberFormat="0" applyBorder="0" applyAlignment="0" applyProtection="0"/>
    <xf numFmtId="0" fontId="71" fillId="11" borderId="0" applyNumberFormat="0" applyBorder="0" applyAlignment="0" applyProtection="0"/>
    <xf numFmtId="0" fontId="72" fillId="12" borderId="0" applyNumberFormat="0" applyBorder="0" applyAlignment="0" applyProtection="0"/>
    <xf numFmtId="0" fontId="72" fillId="9" borderId="0" applyNumberFormat="0" applyBorder="0" applyAlignment="0" applyProtection="0"/>
    <xf numFmtId="0" fontId="72" fillId="10" borderId="0" applyNumberFormat="0" applyBorder="0" applyAlignment="0" applyProtection="0"/>
    <xf numFmtId="0" fontId="72" fillId="13" borderId="0" applyNumberFormat="0" applyBorder="0" applyAlignment="0" applyProtection="0"/>
    <xf numFmtId="0" fontId="72" fillId="14" borderId="0" applyNumberFormat="0" applyBorder="0" applyAlignment="0" applyProtection="0"/>
    <xf numFmtId="0" fontId="72" fillId="15" borderId="0" applyNumberFormat="0" applyBorder="0" applyAlignment="0" applyProtection="0"/>
    <xf numFmtId="0" fontId="73" fillId="4" borderId="0" applyNumberFormat="0" applyBorder="0" applyAlignment="0" applyProtection="0"/>
    <xf numFmtId="0" fontId="74" fillId="16" borderId="1" applyNumberFormat="0" applyAlignment="0" applyProtection="0"/>
    <xf numFmtId="0" fontId="75" fillId="17" borderId="2" applyNumberFormat="0" applyAlignment="0" applyProtection="0"/>
    <xf numFmtId="0" fontId="76" fillId="0" borderId="3" applyNumberFormat="0" applyFill="0" applyAlignment="0" applyProtection="0"/>
    <xf numFmtId="0" fontId="77" fillId="0" borderId="0" applyNumberFormat="0" applyFill="0" applyBorder="0" applyAlignment="0" applyProtection="0"/>
    <xf numFmtId="0" fontId="72" fillId="18" borderId="0" applyNumberFormat="0" applyBorder="0" applyAlignment="0" applyProtection="0"/>
    <xf numFmtId="0" fontId="72" fillId="19" borderId="0" applyNumberFormat="0" applyBorder="0" applyAlignment="0" applyProtection="0"/>
    <xf numFmtId="0" fontId="72" fillId="20" borderId="0" applyNumberFormat="0" applyBorder="0" applyAlignment="0" applyProtection="0"/>
    <xf numFmtId="0" fontId="72" fillId="13" borderId="0" applyNumberFormat="0" applyBorder="0" applyAlignment="0" applyProtection="0"/>
    <xf numFmtId="0" fontId="72" fillId="14" borderId="0" applyNumberFormat="0" applyBorder="0" applyAlignment="0" applyProtection="0"/>
    <xf numFmtId="0" fontId="72" fillId="21" borderId="0" applyNumberFormat="0" applyBorder="0" applyAlignment="0" applyProtection="0"/>
    <xf numFmtId="0" fontId="78" fillId="7" borderId="1" applyNumberFormat="0" applyAlignment="0" applyProtection="0"/>
    <xf numFmtId="181" fontId="92" fillId="0" borderId="0" applyFont="0" applyFill="0" applyBorder="0" applyAlignment="0" applyProtection="0"/>
    <xf numFmtId="0" fontId="79" fillId="3" borderId="0" applyNumberFormat="0" applyBorder="0" applyAlignment="0" applyProtection="0"/>
    <xf numFmtId="43" fontId="2"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166" fontId="10" fillId="0" borderId="0" applyFont="0" applyFill="0" applyBorder="0" applyAlignment="0" applyProtection="0"/>
    <xf numFmtId="0" fontId="80" fillId="22" borderId="0" applyNumberFormat="0" applyBorder="0" applyAlignment="0" applyProtection="0"/>
    <xf numFmtId="0" fontId="81" fillId="0" borderId="0"/>
    <xf numFmtId="0" fontId="97" fillId="0" borderId="0"/>
    <xf numFmtId="0" fontId="96" fillId="0" borderId="0"/>
    <xf numFmtId="0" fontId="81" fillId="0" borderId="0"/>
    <xf numFmtId="0" fontId="95" fillId="0" borderId="0"/>
    <xf numFmtId="0" fontId="10" fillId="0" borderId="0"/>
    <xf numFmtId="0" fontId="10" fillId="0" borderId="0"/>
    <xf numFmtId="0" fontId="71" fillId="23" borderId="4" applyNumberFormat="0" applyFont="0" applyAlignment="0" applyProtection="0"/>
    <xf numFmtId="9" fontId="2" fillId="0" borderId="0" applyFont="0" applyFill="0" applyBorder="0" applyAlignment="0" applyProtection="0"/>
    <xf numFmtId="0" fontId="82" fillId="16" borderId="5" applyNumberFormat="0" applyAlignment="0" applyProtection="0"/>
    <xf numFmtId="0" fontId="83"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6" fillId="0" borderId="6" applyNumberFormat="0" applyFill="0" applyAlignment="0" applyProtection="0"/>
    <xf numFmtId="0" fontId="87" fillId="0" borderId="7" applyNumberFormat="0" applyFill="0" applyAlignment="0" applyProtection="0"/>
    <xf numFmtId="0" fontId="77" fillId="0" borderId="8" applyNumberFormat="0" applyFill="0" applyAlignment="0" applyProtection="0"/>
    <xf numFmtId="0" fontId="88" fillId="0" borderId="9" applyNumberFormat="0" applyFill="0" applyAlignment="0" applyProtection="0"/>
    <xf numFmtId="0" fontId="103" fillId="12" borderId="0" applyNumberFormat="0" applyBorder="0" applyAlignment="0" applyProtection="0"/>
    <xf numFmtId="43" fontId="1" fillId="0" borderId="0" applyFont="0" applyFill="0" applyBorder="0" applyAlignment="0" applyProtection="0"/>
    <xf numFmtId="0" fontId="1" fillId="0" borderId="0"/>
    <xf numFmtId="0" fontId="104" fillId="0" borderId="0" applyNumberFormat="0" applyFill="0" applyBorder="0">
      <alignment vertical="center"/>
    </xf>
    <xf numFmtId="0" fontId="81" fillId="0" borderId="0"/>
  </cellStyleXfs>
  <cellXfs count="2820">
    <xf numFmtId="0" fontId="0" fillId="0" borderId="0" xfId="0"/>
    <xf numFmtId="0" fontId="0" fillId="0" borderId="0" xfId="0" applyAlignment="1">
      <alignment vertical="center"/>
    </xf>
    <xf numFmtId="0" fontId="8" fillId="24" borderId="10" xfId="0" applyFont="1" applyFill="1" applyBorder="1" applyAlignment="1">
      <alignment horizontal="center" vertical="center" wrapText="1"/>
    </xf>
    <xf numFmtId="14" fontId="6" fillId="0" borderId="10" xfId="0" applyNumberFormat="1" applyFont="1" applyBorder="1" applyAlignment="1">
      <alignment horizontal="center" vertical="center"/>
    </xf>
    <xf numFmtId="165" fontId="3" fillId="0" borderId="10" xfId="0" applyNumberFormat="1" applyFont="1" applyBorder="1" applyAlignment="1">
      <alignment vertical="center"/>
    </xf>
    <xf numFmtId="0" fontId="14" fillId="0" borderId="0" xfId="0" applyFont="1"/>
    <xf numFmtId="0" fontId="6" fillId="0" borderId="0" xfId="0" applyFont="1"/>
    <xf numFmtId="0" fontId="15" fillId="0" borderId="0" xfId="0" applyFont="1"/>
    <xf numFmtId="1" fontId="16" fillId="0" borderId="0" xfId="0" applyNumberFormat="1" applyFont="1"/>
    <xf numFmtId="0" fontId="16" fillId="0" borderId="0" xfId="0" applyFont="1"/>
    <xf numFmtId="0" fontId="17" fillId="0" borderId="0" xfId="0" applyFont="1"/>
    <xf numFmtId="0" fontId="18" fillId="0" borderId="0" xfId="0" applyFont="1" applyAlignment="1">
      <alignment horizontal="right"/>
    </xf>
    <xf numFmtId="0" fontId="12" fillId="0" borderId="0" xfId="0" applyFont="1" applyAlignment="1">
      <alignment horizontal="right"/>
    </xf>
    <xf numFmtId="0" fontId="18" fillId="0" borderId="0" xfId="0" applyFont="1" applyAlignment="1">
      <alignment horizontal="center"/>
    </xf>
    <xf numFmtId="0" fontId="19" fillId="25" borderId="11" xfId="0" applyFont="1" applyFill="1" applyBorder="1"/>
    <xf numFmtId="0" fontId="19" fillId="25" borderId="12" xfId="0" applyFont="1" applyFill="1" applyBorder="1"/>
    <xf numFmtId="0" fontId="8" fillId="25" borderId="12" xfId="0" applyFont="1" applyFill="1" applyBorder="1"/>
    <xf numFmtId="0" fontId="20" fillId="25" borderId="12" xfId="0" applyFont="1" applyFill="1" applyBorder="1"/>
    <xf numFmtId="0" fontId="19" fillId="25" borderId="12" xfId="0" applyFont="1" applyFill="1" applyBorder="1" applyAlignment="1">
      <alignment horizontal="center"/>
    </xf>
    <xf numFmtId="0" fontId="19" fillId="25" borderId="13" xfId="0" applyFont="1" applyFill="1" applyBorder="1"/>
    <xf numFmtId="0" fontId="19" fillId="25" borderId="14" xfId="0" applyFont="1" applyFill="1" applyBorder="1"/>
    <xf numFmtId="0" fontId="19" fillId="25" borderId="14" xfId="0" applyFont="1" applyFill="1" applyBorder="1" applyAlignment="1">
      <alignment horizontal="center"/>
    </xf>
    <xf numFmtId="0" fontId="20" fillId="25" borderId="14" xfId="0" applyFont="1" applyFill="1" applyBorder="1"/>
    <xf numFmtId="0" fontId="20" fillId="25" borderId="14" xfId="0" applyFont="1" applyFill="1" applyBorder="1" applyAlignment="1">
      <alignment horizontal="center"/>
    </xf>
    <xf numFmtId="0" fontId="19" fillId="25" borderId="15" xfId="0" applyFont="1" applyFill="1" applyBorder="1" applyAlignment="1">
      <alignment horizontal="center"/>
    </xf>
    <xf numFmtId="0" fontId="3" fillId="0" borderId="0" xfId="0" applyFont="1"/>
    <xf numFmtId="0" fontId="22" fillId="0" borderId="0" xfId="0" applyFont="1"/>
    <xf numFmtId="0" fontId="7" fillId="0" borderId="0" xfId="0" applyFont="1" applyFill="1"/>
    <xf numFmtId="167" fontId="6" fillId="0" borderId="0" xfId="36" applyNumberFormat="1" applyFont="1"/>
    <xf numFmtId="3" fontId="17" fillId="0" borderId="0" xfId="0" applyNumberFormat="1" applyFont="1"/>
    <xf numFmtId="3" fontId="6" fillId="0" borderId="0" xfId="0" applyNumberFormat="1" applyFont="1"/>
    <xf numFmtId="167" fontId="17" fillId="0" borderId="0" xfId="0" applyNumberFormat="1" applyFont="1"/>
    <xf numFmtId="0" fontId="18" fillId="0" borderId="0" xfId="0" applyFont="1"/>
    <xf numFmtId="3" fontId="18" fillId="0" borderId="0" xfId="0" applyNumberFormat="1" applyFont="1"/>
    <xf numFmtId="37" fontId="17" fillId="0" borderId="0" xfId="0" applyNumberFormat="1" applyFont="1"/>
    <xf numFmtId="0" fontId="4" fillId="0" borderId="0" xfId="43" quotePrefix="1" applyFont="1" applyAlignment="1">
      <alignment horizontal="left"/>
    </xf>
    <xf numFmtId="0" fontId="14" fillId="0" borderId="0" xfId="43" applyFont="1"/>
    <xf numFmtId="0" fontId="4" fillId="0" borderId="16" xfId="43" applyFont="1" applyBorder="1"/>
    <xf numFmtId="0" fontId="14" fillId="0" borderId="16" xfId="43" applyFont="1" applyBorder="1"/>
    <xf numFmtId="0" fontId="12" fillId="0" borderId="0" xfId="43" applyFont="1"/>
    <xf numFmtId="0" fontId="6" fillId="0" borderId="0" xfId="43" applyFont="1"/>
    <xf numFmtId="0" fontId="12" fillId="0" borderId="0" xfId="43" applyFont="1" applyAlignment="1">
      <alignment horizontal="left"/>
    </xf>
    <xf numFmtId="14" fontId="7" fillId="0" borderId="17" xfId="43" applyNumberFormat="1" applyFont="1" applyBorder="1" applyAlignment="1">
      <alignment horizontal="center"/>
    </xf>
    <xf numFmtId="0" fontId="6" fillId="0" borderId="0" xfId="43" quotePrefix="1" applyFont="1"/>
    <xf numFmtId="0" fontId="8" fillId="26" borderId="18" xfId="43" applyFont="1" applyFill="1" applyBorder="1" applyAlignment="1">
      <alignment horizontal="center" vertical="center"/>
    </xf>
    <xf numFmtId="0" fontId="8" fillId="26" borderId="19" xfId="43" applyFont="1" applyFill="1" applyBorder="1" applyAlignment="1">
      <alignment horizontal="center" vertical="center"/>
    </xf>
    <xf numFmtId="0" fontId="8" fillId="26" borderId="20" xfId="43" applyFont="1" applyFill="1" applyBorder="1" applyAlignment="1">
      <alignment horizontal="center" vertical="center"/>
    </xf>
    <xf numFmtId="0" fontId="28" fillId="0" borderId="0" xfId="43" applyFont="1"/>
    <xf numFmtId="0" fontId="7" fillId="0" borderId="21" xfId="43" applyFont="1" applyBorder="1" applyAlignment="1">
      <alignment horizontal="center" vertical="center"/>
    </xf>
    <xf numFmtId="0" fontId="12" fillId="0" borderId="22" xfId="43" applyFont="1" applyBorder="1" applyAlignment="1">
      <alignment horizontal="center" vertical="center"/>
    </xf>
    <xf numFmtId="0" fontId="7" fillId="0" borderId="22" xfId="43" applyFont="1" applyBorder="1" applyAlignment="1">
      <alignment horizontal="left" vertical="center" indent="1"/>
    </xf>
    <xf numFmtId="164" fontId="3" fillId="0" borderId="22" xfId="43" applyNumberFormat="1" applyFont="1" applyBorder="1" applyAlignment="1">
      <alignment vertical="center"/>
    </xf>
    <xf numFmtId="164" fontId="7" fillId="0" borderId="23" xfId="43" applyNumberFormat="1" applyFont="1" applyBorder="1" applyAlignment="1">
      <alignment vertical="center"/>
    </xf>
    <xf numFmtId="0" fontId="3" fillId="0" borderId="24" xfId="43" applyFont="1" applyBorder="1" applyAlignment="1">
      <alignment horizontal="center" vertical="center"/>
    </xf>
    <xf numFmtId="0" fontId="6" fillId="0" borderId="25" xfId="43" applyFont="1" applyBorder="1" applyAlignment="1">
      <alignment horizontal="center" vertical="center"/>
    </xf>
    <xf numFmtId="0" fontId="3" fillId="0" borderId="25" xfId="43" applyFont="1" applyBorder="1" applyAlignment="1">
      <alignment horizontal="left" vertical="center" indent="3"/>
    </xf>
    <xf numFmtId="164" fontId="3" fillId="0" borderId="25" xfId="43" applyNumberFormat="1" applyFont="1" applyBorder="1" applyAlignment="1">
      <alignment vertical="center"/>
    </xf>
    <xf numFmtId="164" fontId="3" fillId="0" borderId="26" xfId="43" applyNumberFormat="1" applyFont="1" applyBorder="1" applyAlignment="1">
      <alignment vertical="center"/>
    </xf>
    <xf numFmtId="0" fontId="7" fillId="0" borderId="24" xfId="43" applyFont="1" applyBorder="1" applyAlignment="1">
      <alignment horizontal="center" vertical="center"/>
    </xf>
    <xf numFmtId="0" fontId="12" fillId="0" borderId="25" xfId="43" applyFont="1" applyBorder="1" applyAlignment="1">
      <alignment horizontal="center" vertical="center"/>
    </xf>
    <xf numFmtId="0" fontId="7" fillId="0" borderId="25" xfId="43" quotePrefix="1" applyFont="1" applyBorder="1" applyAlignment="1">
      <alignment horizontal="left" vertical="center" indent="1"/>
    </xf>
    <xf numFmtId="164" fontId="7" fillId="0" borderId="26" xfId="43" applyNumberFormat="1" applyFont="1" applyBorder="1" applyAlignment="1">
      <alignment vertical="center"/>
    </xf>
    <xf numFmtId="0" fontId="3" fillId="0" borderId="25" xfId="43" quotePrefix="1" applyFont="1" applyBorder="1" applyAlignment="1">
      <alignment horizontal="left" vertical="center" indent="3"/>
    </xf>
    <xf numFmtId="3" fontId="14" fillId="0" borderId="0" xfId="43" applyNumberFormat="1" applyFont="1"/>
    <xf numFmtId="0" fontId="7" fillId="0" borderId="25" xfId="43" applyFont="1" applyBorder="1" applyAlignment="1">
      <alignment horizontal="left" vertical="center" indent="1"/>
    </xf>
    <xf numFmtId="0" fontId="14" fillId="0" borderId="24" xfId="43" applyFont="1" applyBorder="1" applyAlignment="1">
      <alignment vertical="center"/>
    </xf>
    <xf numFmtId="0" fontId="14" fillId="0" borderId="25" xfId="43" applyFont="1" applyBorder="1" applyAlignment="1">
      <alignment horizontal="center" vertical="center"/>
    </xf>
    <xf numFmtId="0" fontId="14" fillId="0" borderId="25" xfId="43" applyFont="1" applyBorder="1" applyAlignment="1">
      <alignment vertical="center"/>
    </xf>
    <xf numFmtId="0" fontId="14" fillId="0" borderId="27" xfId="43" applyFont="1" applyBorder="1" applyAlignment="1">
      <alignment vertical="center"/>
    </xf>
    <xf numFmtId="0" fontId="14" fillId="0" borderId="28" xfId="43" applyFont="1" applyBorder="1" applyAlignment="1">
      <alignment horizontal="center" vertical="center"/>
    </xf>
    <xf numFmtId="0" fontId="14" fillId="0" borderId="28" xfId="43" applyFont="1" applyBorder="1" applyAlignment="1">
      <alignment vertical="center"/>
    </xf>
    <xf numFmtId="164" fontId="3" fillId="0" borderId="28" xfId="43" applyNumberFormat="1" applyFont="1" applyBorder="1" applyAlignment="1">
      <alignment vertical="center"/>
    </xf>
    <xf numFmtId="164" fontId="3" fillId="0" borderId="29" xfId="43" applyNumberFormat="1" applyFont="1" applyBorder="1" applyAlignment="1">
      <alignment vertical="center"/>
    </xf>
    <xf numFmtId="0" fontId="5" fillId="0" borderId="30" xfId="43" applyFont="1" applyBorder="1" applyAlignment="1">
      <alignment horizontal="center" vertical="center"/>
    </xf>
    <xf numFmtId="0" fontId="13" fillId="0" borderId="18" xfId="43" applyFont="1" applyBorder="1" applyAlignment="1">
      <alignment horizontal="center" vertical="center"/>
    </xf>
    <xf numFmtId="0" fontId="5" fillId="0" borderId="18" xfId="43" applyFont="1" applyBorder="1" applyAlignment="1">
      <alignment horizontal="left" vertical="center" indent="1"/>
    </xf>
    <xf numFmtId="164" fontId="5" fillId="0" borderId="18" xfId="43" applyNumberFormat="1" applyFont="1" applyBorder="1" applyAlignment="1">
      <alignment vertical="center"/>
    </xf>
    <xf numFmtId="164" fontId="5" fillId="0" borderId="20" xfId="43" applyNumberFormat="1" applyFont="1" applyBorder="1" applyAlignment="1">
      <alignment vertical="center"/>
    </xf>
    <xf numFmtId="0" fontId="7" fillId="0" borderId="10" xfId="43" applyFont="1" applyBorder="1"/>
    <xf numFmtId="3" fontId="7" fillId="0" borderId="10" xfId="43" applyNumberFormat="1" applyFont="1" applyBorder="1"/>
    <xf numFmtId="0" fontId="14" fillId="0" borderId="0" xfId="43" applyFont="1" applyBorder="1" applyAlignment="1">
      <alignment horizontal="center"/>
    </xf>
    <xf numFmtId="10" fontId="14" fillId="0" borderId="0" xfId="43" applyNumberFormat="1" applyFont="1" applyBorder="1" applyAlignment="1">
      <alignment horizontal="center"/>
    </xf>
    <xf numFmtId="0" fontId="14" fillId="0" borderId="0" xfId="43" applyFont="1" applyBorder="1"/>
    <xf numFmtId="0" fontId="28" fillId="0" borderId="0" xfId="43" applyFont="1" applyBorder="1"/>
    <xf numFmtId="14" fontId="12" fillId="0" borderId="0" xfId="43" applyNumberFormat="1" applyFont="1" applyBorder="1" applyAlignment="1">
      <alignment horizontal="center"/>
    </xf>
    <xf numFmtId="3" fontId="28" fillId="0" borderId="0" xfId="43" applyNumberFormat="1" applyFont="1" applyBorder="1"/>
    <xf numFmtId="0" fontId="12" fillId="0" borderId="22" xfId="43" quotePrefix="1" applyFont="1" applyBorder="1" applyAlignment="1">
      <alignment horizontal="left" vertical="center" indent="1"/>
    </xf>
    <xf numFmtId="164" fontId="7" fillId="0" borderId="22" xfId="43" applyNumberFormat="1" applyFont="1" applyFill="1" applyBorder="1" applyAlignment="1">
      <alignment vertical="center"/>
    </xf>
    <xf numFmtId="164" fontId="7" fillId="0" borderId="23" xfId="43" applyNumberFormat="1" applyFont="1" applyFill="1" applyBorder="1" applyAlignment="1">
      <alignment vertical="center"/>
    </xf>
    <xf numFmtId="0" fontId="12" fillId="0" borderId="25" xfId="43" quotePrefix="1" applyFont="1" applyBorder="1" applyAlignment="1">
      <alignment horizontal="left" vertical="center" indent="1"/>
    </xf>
    <xf numFmtId="164" fontId="7" fillId="0" borderId="25" xfId="43" applyNumberFormat="1" applyFont="1" applyFill="1" applyBorder="1" applyAlignment="1">
      <alignment vertical="center"/>
    </xf>
    <xf numFmtId="164" fontId="7" fillId="0" borderId="26" xfId="43" applyNumberFormat="1" applyFont="1" applyFill="1" applyBorder="1" applyAlignment="1">
      <alignment vertical="center"/>
    </xf>
    <xf numFmtId="0" fontId="12" fillId="0" borderId="25" xfId="43" quotePrefix="1" applyFont="1" applyBorder="1" applyAlignment="1">
      <alignment horizontal="left" vertical="center" indent="2"/>
    </xf>
    <xf numFmtId="0" fontId="6" fillId="0" borderId="25" xfId="43" applyFont="1" applyBorder="1" applyAlignment="1">
      <alignment horizontal="left" vertical="center" indent="3"/>
    </xf>
    <xf numFmtId="164" fontId="3" fillId="0" borderId="25" xfId="43" applyNumberFormat="1" applyFont="1" applyFill="1" applyBorder="1" applyAlignment="1">
      <alignment vertical="center"/>
    </xf>
    <xf numFmtId="164" fontId="3" fillId="0" borderId="26" xfId="43" applyNumberFormat="1" applyFont="1" applyFill="1" applyBorder="1" applyAlignment="1">
      <alignment vertical="center"/>
    </xf>
    <xf numFmtId="3" fontId="14" fillId="0" borderId="0" xfId="43" applyNumberFormat="1" applyFont="1" applyBorder="1"/>
    <xf numFmtId="0" fontId="6" fillId="0" borderId="25" xfId="43" quotePrefix="1" applyFont="1" applyBorder="1" applyAlignment="1">
      <alignment horizontal="left" vertical="center" indent="3"/>
    </xf>
    <xf numFmtId="0" fontId="12" fillId="0" borderId="25" xfId="43" applyFont="1" applyBorder="1" applyAlignment="1">
      <alignment horizontal="left" vertical="center" indent="2"/>
    </xf>
    <xf numFmtId="0" fontId="6" fillId="0" borderId="25" xfId="43" quotePrefix="1" applyFont="1" applyBorder="1" applyAlignment="1">
      <alignment horizontal="left" vertical="center" indent="1"/>
    </xf>
    <xf numFmtId="0" fontId="6" fillId="0" borderId="25" xfId="43" quotePrefix="1" applyFont="1" applyBorder="1" applyAlignment="1">
      <alignment horizontal="left" vertical="center" indent="2"/>
    </xf>
    <xf numFmtId="0" fontId="7" fillId="0" borderId="31" xfId="43" applyFont="1" applyBorder="1" applyAlignment="1">
      <alignment horizontal="center" vertical="center"/>
    </xf>
    <xf numFmtId="0" fontId="12" fillId="0" borderId="32" xfId="43" applyFont="1" applyBorder="1" applyAlignment="1">
      <alignment horizontal="center" vertical="center"/>
    </xf>
    <xf numFmtId="0" fontId="12" fillId="0" borderId="32" xfId="43" applyFont="1" applyBorder="1" applyAlignment="1">
      <alignment horizontal="left" vertical="center" indent="1"/>
    </xf>
    <xf numFmtId="164" fontId="7" fillId="0" borderId="32" xfId="43" applyNumberFormat="1" applyFont="1" applyFill="1" applyBorder="1" applyAlignment="1">
      <alignment vertical="center"/>
    </xf>
    <xf numFmtId="164" fontId="7" fillId="0" borderId="33" xfId="43" applyNumberFormat="1" applyFont="1" applyFill="1" applyBorder="1" applyAlignment="1">
      <alignment vertical="center"/>
    </xf>
    <xf numFmtId="0" fontId="17" fillId="0" borderId="0" xfId="43" applyFont="1"/>
    <xf numFmtId="0" fontId="7" fillId="0" borderId="0" xfId="43" applyFont="1"/>
    <xf numFmtId="14" fontId="7" fillId="0" borderId="0" xfId="43" applyNumberFormat="1" applyFont="1" applyAlignment="1">
      <alignment horizontal="center"/>
    </xf>
    <xf numFmtId="0" fontId="29" fillId="26" borderId="30" xfId="43" applyFont="1" applyFill="1" applyBorder="1" applyAlignment="1">
      <alignment vertical="center"/>
    </xf>
    <xf numFmtId="0" fontId="29" fillId="26" borderId="18" xfId="43" applyFont="1" applyFill="1" applyBorder="1" applyAlignment="1">
      <alignment vertical="center"/>
    </xf>
    <xf numFmtId="0" fontId="29" fillId="26" borderId="20" xfId="43" applyFont="1" applyFill="1" applyBorder="1" applyAlignment="1">
      <alignment vertical="center"/>
    </xf>
    <xf numFmtId="0" fontId="18" fillId="0" borderId="0" xfId="43" applyFont="1"/>
    <xf numFmtId="0" fontId="7" fillId="0" borderId="34" xfId="43" applyFont="1" applyBorder="1" applyAlignment="1">
      <alignment horizontal="center" vertical="center"/>
    </xf>
    <xf numFmtId="0" fontId="12" fillId="0" borderId="35" xfId="43" applyFont="1" applyBorder="1" applyAlignment="1">
      <alignment horizontal="left" vertical="center" indent="1"/>
    </xf>
    <xf numFmtId="0" fontId="12" fillId="0" borderId="25" xfId="43" applyFont="1" applyBorder="1" applyAlignment="1">
      <alignment horizontal="left" vertical="center" indent="1"/>
    </xf>
    <xf numFmtId="164" fontId="7" fillId="0" borderId="25" xfId="43" applyNumberFormat="1" applyFont="1" applyBorder="1" applyAlignment="1">
      <alignment vertical="center"/>
    </xf>
    <xf numFmtId="164" fontId="3" fillId="27" borderId="26" xfId="43" applyNumberFormat="1" applyFont="1" applyFill="1" applyBorder="1" applyAlignment="1">
      <alignment vertical="center"/>
    </xf>
    <xf numFmtId="0" fontId="12" fillId="0" borderId="25" xfId="43" applyFont="1" applyBorder="1" applyAlignment="1">
      <alignment horizontal="left" vertical="center" indent="3"/>
    </xf>
    <xf numFmtId="0" fontId="6" fillId="0" borderId="25" xfId="43" applyFont="1" applyBorder="1" applyAlignment="1">
      <alignment horizontal="left" vertical="center" indent="2"/>
    </xf>
    <xf numFmtId="0" fontId="6" fillId="0" borderId="32" xfId="43" applyFont="1" applyBorder="1" applyAlignment="1">
      <alignment horizontal="left" vertical="center" indent="3"/>
    </xf>
    <xf numFmtId="164" fontId="3" fillId="0" borderId="32" xfId="43" applyNumberFormat="1" applyFont="1" applyBorder="1" applyAlignment="1">
      <alignment vertical="center"/>
    </xf>
    <xf numFmtId="0" fontId="6" fillId="0" borderId="0" xfId="43" applyFont="1" applyBorder="1"/>
    <xf numFmtId="164" fontId="17" fillId="27" borderId="23" xfId="43" applyNumberFormat="1" applyFont="1" applyFill="1" applyBorder="1" applyAlignment="1">
      <alignment vertical="center"/>
    </xf>
    <xf numFmtId="164" fontId="17" fillId="27" borderId="26" xfId="43" applyNumberFormat="1" applyFont="1" applyFill="1" applyBorder="1" applyAlignment="1">
      <alignment vertical="center"/>
    </xf>
    <xf numFmtId="164" fontId="17" fillId="27" borderId="33" xfId="43" applyNumberFormat="1" applyFont="1" applyFill="1" applyBorder="1" applyAlignment="1">
      <alignment vertical="center"/>
    </xf>
    <xf numFmtId="0" fontId="12" fillId="0" borderId="22" xfId="43" applyFont="1" applyBorder="1" applyAlignment="1">
      <alignment horizontal="left" vertical="center" indent="1"/>
    </xf>
    <xf numFmtId="164" fontId="7" fillId="27" borderId="26" xfId="43" applyNumberFormat="1" applyFont="1" applyFill="1" applyBorder="1" applyAlignment="1">
      <alignment vertical="center"/>
    </xf>
    <xf numFmtId="0" fontId="6" fillId="0" borderId="25" xfId="43" applyFont="1" applyBorder="1" applyAlignment="1">
      <alignment horizontal="left" vertical="center" indent="4"/>
    </xf>
    <xf numFmtId="164" fontId="7" fillId="0" borderId="33" xfId="43" applyNumberFormat="1" applyFont="1" applyBorder="1" applyAlignment="1">
      <alignment vertical="center"/>
    </xf>
    <xf numFmtId="3" fontId="17" fillId="0" borderId="0" xfId="43" applyNumberFormat="1" applyFont="1"/>
    <xf numFmtId="0" fontId="8" fillId="25" borderId="36" xfId="43" applyFont="1" applyFill="1" applyBorder="1" applyAlignment="1">
      <alignment horizontal="center" vertical="center"/>
    </xf>
    <xf numFmtId="0" fontId="19" fillId="25" borderId="36" xfId="43" applyFont="1" applyFill="1" applyBorder="1" applyAlignment="1">
      <alignment horizontal="center" vertical="center" wrapText="1"/>
    </xf>
    <xf numFmtId="0" fontId="29" fillId="25" borderId="37" xfId="43" applyFont="1" applyFill="1" applyBorder="1"/>
    <xf numFmtId="0" fontId="19" fillId="25" borderId="32" xfId="43" applyFont="1" applyFill="1" applyBorder="1" applyAlignment="1">
      <alignment horizontal="center"/>
    </xf>
    <xf numFmtId="0" fontId="19" fillId="25" borderId="38" xfId="43" applyFont="1" applyFill="1" applyBorder="1" applyAlignment="1">
      <alignment horizontal="center" vertical="center" wrapText="1"/>
    </xf>
    <xf numFmtId="0" fontId="19" fillId="25" borderId="39" xfId="43" applyFont="1" applyFill="1" applyBorder="1" applyAlignment="1">
      <alignment horizontal="center" vertical="center" wrapText="1"/>
    </xf>
    <xf numFmtId="170" fontId="6" fillId="0" borderId="40" xfId="43" applyNumberFormat="1" applyFont="1" applyBorder="1" applyAlignment="1">
      <alignment horizontal="left"/>
    </xf>
    <xf numFmtId="0" fontId="6" fillId="0" borderId="40" xfId="43" applyFont="1" applyBorder="1"/>
    <xf numFmtId="170" fontId="6" fillId="0" borderId="14" xfId="43" applyNumberFormat="1" applyFont="1" applyBorder="1" applyAlignment="1">
      <alignment horizontal="left"/>
    </xf>
    <xf numFmtId="0" fontId="30" fillId="0" borderId="0" xfId="43" applyFont="1"/>
    <xf numFmtId="0" fontId="31" fillId="0" borderId="0" xfId="43" applyFont="1" applyAlignment="1">
      <alignment horizontal="center"/>
    </xf>
    <xf numFmtId="0" fontId="33" fillId="0" borderId="0" xfId="43" applyFont="1"/>
    <xf numFmtId="0" fontId="11" fillId="0" borderId="42" xfId="43" applyFont="1" applyBorder="1"/>
    <xf numFmtId="0" fontId="34" fillId="0" borderId="40" xfId="43" applyFont="1" applyBorder="1" applyAlignment="1">
      <alignment horizontal="left"/>
    </xf>
    <xf numFmtId="0" fontId="34" fillId="0" borderId="40" xfId="43" applyFont="1" applyBorder="1"/>
    <xf numFmtId="3" fontId="11" fillId="0" borderId="40" xfId="43" applyNumberFormat="1" applyFont="1" applyBorder="1"/>
    <xf numFmtId="3" fontId="11" fillId="0" borderId="43" xfId="43" applyNumberFormat="1" applyFont="1" applyBorder="1"/>
    <xf numFmtId="0" fontId="35" fillId="0" borderId="42" xfId="43" applyFont="1" applyBorder="1"/>
    <xf numFmtId="169" fontId="12" fillId="0" borderId="40" xfId="43" applyNumberFormat="1" applyFont="1" applyBorder="1" applyAlignment="1">
      <alignment horizontal="left"/>
    </xf>
    <xf numFmtId="0" fontId="12" fillId="0" borderId="40" xfId="43" applyFont="1" applyBorder="1"/>
    <xf numFmtId="3" fontId="7" fillId="0" borderId="40" xfId="43" applyNumberFormat="1" applyFont="1" applyBorder="1"/>
    <xf numFmtId="3" fontId="7" fillId="0" borderId="43" xfId="43" applyNumberFormat="1" applyFont="1" applyBorder="1"/>
    <xf numFmtId="0" fontId="36" fillId="0" borderId="40" xfId="43" applyFont="1" applyBorder="1"/>
    <xf numFmtId="3" fontId="3" fillId="0" borderId="40" xfId="43" applyNumberFormat="1" applyFont="1" applyBorder="1"/>
    <xf numFmtId="3" fontId="3" fillId="0" borderId="43" xfId="43" applyNumberFormat="1" applyFont="1" applyBorder="1"/>
    <xf numFmtId="169" fontId="34" fillId="0" borderId="40" xfId="43" applyNumberFormat="1" applyFont="1" applyBorder="1" applyAlignment="1">
      <alignment horizontal="left"/>
    </xf>
    <xf numFmtId="170" fontId="12" fillId="0" borderId="40" xfId="43" applyNumberFormat="1" applyFont="1" applyBorder="1" applyAlignment="1">
      <alignment horizontal="left"/>
    </xf>
    <xf numFmtId="0" fontId="39" fillId="0" borderId="40" xfId="43" applyFont="1" applyBorder="1"/>
    <xf numFmtId="170" fontId="6" fillId="0" borderId="44" xfId="43" applyNumberFormat="1" applyFont="1" applyBorder="1" applyAlignment="1">
      <alignment horizontal="left"/>
    </xf>
    <xf numFmtId="0" fontId="36" fillId="0" borderId="44" xfId="43" applyFont="1" applyBorder="1"/>
    <xf numFmtId="3" fontId="3" fillId="0" borderId="44" xfId="43" applyNumberFormat="1" applyFont="1" applyBorder="1"/>
    <xf numFmtId="10" fontId="6" fillId="0" borderId="0" xfId="46" applyNumberFormat="1" applyFont="1"/>
    <xf numFmtId="3" fontId="3" fillId="0" borderId="0" xfId="43" applyNumberFormat="1" applyFont="1"/>
    <xf numFmtId="0" fontId="36" fillId="0" borderId="0" xfId="43" applyFont="1"/>
    <xf numFmtId="3" fontId="7" fillId="0" borderId="0" xfId="43" applyNumberFormat="1" applyFont="1"/>
    <xf numFmtId="0" fontId="40" fillId="0" borderId="0" xfId="43" applyFont="1"/>
    <xf numFmtId="0" fontId="13" fillId="0" borderId="0" xfId="43" applyFont="1" applyAlignment="1">
      <alignment horizontal="left"/>
    </xf>
    <xf numFmtId="14" fontId="41" fillId="0" borderId="0" xfId="43" applyNumberFormat="1" applyFont="1" applyAlignment="1">
      <alignment horizontal="center"/>
    </xf>
    <xf numFmtId="0" fontId="29" fillId="25" borderId="45" xfId="43" applyFont="1" applyFill="1" applyBorder="1"/>
    <xf numFmtId="0" fontId="19" fillId="25" borderId="28" xfId="43" applyFont="1" applyFill="1" applyBorder="1" applyAlignment="1">
      <alignment horizontal="center"/>
    </xf>
    <xf numFmtId="0" fontId="42" fillId="0" borderId="0" xfId="43" applyFont="1"/>
    <xf numFmtId="0" fontId="35" fillId="0" borderId="48" xfId="43" applyFont="1" applyBorder="1"/>
    <xf numFmtId="0" fontId="36" fillId="0" borderId="40" xfId="43" applyFont="1" applyBorder="1" applyAlignment="1">
      <alignment horizontal="left"/>
    </xf>
    <xf numFmtId="3" fontId="43" fillId="0" borderId="40" xfId="43" applyNumberFormat="1" applyFont="1" applyBorder="1"/>
    <xf numFmtId="3" fontId="43" fillId="0" borderId="49" xfId="43" applyNumberFormat="1" applyFont="1" applyBorder="1"/>
    <xf numFmtId="0" fontId="11" fillId="0" borderId="48" xfId="43" applyFont="1" applyBorder="1"/>
    <xf numFmtId="3" fontId="11" fillId="0" borderId="49" xfId="43" applyNumberFormat="1" applyFont="1" applyBorder="1"/>
    <xf numFmtId="3" fontId="35" fillId="0" borderId="49" xfId="43" applyNumberFormat="1" applyFont="1" applyBorder="1"/>
    <xf numFmtId="170" fontId="39" fillId="0" borderId="40" xfId="43" applyNumberFormat="1" applyFont="1" applyBorder="1" applyAlignment="1">
      <alignment horizontal="left"/>
    </xf>
    <xf numFmtId="3" fontId="35" fillId="0" borderId="40" xfId="43" applyNumberFormat="1" applyFont="1" applyBorder="1"/>
    <xf numFmtId="171" fontId="36" fillId="0" borderId="40" xfId="43" applyNumberFormat="1" applyFont="1" applyBorder="1" applyAlignment="1">
      <alignment horizontal="left"/>
    </xf>
    <xf numFmtId="170" fontId="34" fillId="0" borderId="40" xfId="43" applyNumberFormat="1" applyFont="1" applyBorder="1" applyAlignment="1">
      <alignment horizontal="left"/>
    </xf>
    <xf numFmtId="0" fontId="11" fillId="0" borderId="50" xfId="43" applyFont="1" applyBorder="1"/>
    <xf numFmtId="169" fontId="34" fillId="0" borderId="51" xfId="43" applyNumberFormat="1" applyFont="1" applyBorder="1" applyAlignment="1">
      <alignment horizontal="left"/>
    </xf>
    <xf numFmtId="0" fontId="34" fillId="0" borderId="51" xfId="43" applyFont="1" applyBorder="1"/>
    <xf numFmtId="3" fontId="11" fillId="28" borderId="51" xfId="43" applyNumberFormat="1" applyFont="1" applyFill="1" applyBorder="1"/>
    <xf numFmtId="3" fontId="11" fillId="28" borderId="52" xfId="43" applyNumberFormat="1" applyFont="1" applyFill="1" applyBorder="1"/>
    <xf numFmtId="10" fontId="44" fillId="0" borderId="0" xfId="46" applyNumberFormat="1" applyFont="1"/>
    <xf numFmtId="0" fontId="44" fillId="0" borderId="0" xfId="43" applyFont="1"/>
    <xf numFmtId="3" fontId="45" fillId="0" borderId="0" xfId="43" applyNumberFormat="1" applyFont="1"/>
    <xf numFmtId="3" fontId="45" fillId="28" borderId="0" xfId="43" applyNumberFormat="1" applyFont="1" applyFill="1"/>
    <xf numFmtId="0" fontId="46" fillId="28" borderId="0" xfId="43" applyFont="1" applyFill="1"/>
    <xf numFmtId="3" fontId="40" fillId="0" borderId="0" xfId="43" applyNumberFormat="1" applyFont="1"/>
    <xf numFmtId="0" fontId="11" fillId="0" borderId="0" xfId="43" applyFont="1" applyAlignment="1">
      <alignment horizontal="left"/>
    </xf>
    <xf numFmtId="0" fontId="31" fillId="0" borderId="0" xfId="43" applyFont="1" applyAlignment="1">
      <alignment horizontal="left"/>
    </xf>
    <xf numFmtId="14" fontId="33" fillId="0" borderId="0" xfId="43" applyNumberFormat="1" applyFont="1" applyAlignment="1">
      <alignment horizontal="center"/>
    </xf>
    <xf numFmtId="0" fontId="23" fillId="25" borderId="53" xfId="43" applyFont="1" applyFill="1" applyBorder="1"/>
    <xf numFmtId="0" fontId="23" fillId="25" borderId="38" xfId="43" applyFont="1" applyFill="1" applyBorder="1"/>
    <xf numFmtId="0" fontId="19" fillId="25" borderId="39" xfId="43" applyFont="1" applyFill="1" applyBorder="1" applyAlignment="1">
      <alignment horizontal="center"/>
    </xf>
    <xf numFmtId="0" fontId="23" fillId="25" borderId="54" xfId="43" applyFont="1" applyFill="1" applyBorder="1"/>
    <xf numFmtId="0" fontId="23" fillId="25" borderId="55" xfId="43" applyFont="1" applyFill="1" applyBorder="1"/>
    <xf numFmtId="0" fontId="23" fillId="25" borderId="56" xfId="43" applyFont="1" applyFill="1" applyBorder="1"/>
    <xf numFmtId="0" fontId="23" fillId="25" borderId="57" xfId="43" applyFont="1" applyFill="1" applyBorder="1"/>
    <xf numFmtId="0" fontId="19" fillId="25" borderId="57" xfId="43" applyFont="1" applyFill="1" applyBorder="1" applyAlignment="1">
      <alignment horizontal="left"/>
    </xf>
    <xf numFmtId="0" fontId="47" fillId="25" borderId="55" xfId="43" applyFont="1" applyFill="1" applyBorder="1" applyAlignment="1">
      <alignment horizontal="center" vertical="center"/>
    </xf>
    <xf numFmtId="0" fontId="48" fillId="25" borderId="55" xfId="43" applyFont="1" applyFill="1" applyBorder="1" applyAlignment="1">
      <alignment horizontal="center" vertical="center" wrapText="1"/>
    </xf>
    <xf numFmtId="0" fontId="48" fillId="25" borderId="56" xfId="43" applyFont="1" applyFill="1" applyBorder="1" applyAlignment="1">
      <alignment horizontal="center" vertical="center" wrapText="1"/>
    </xf>
    <xf numFmtId="0" fontId="11" fillId="0" borderId="60" xfId="43" applyFont="1" applyBorder="1"/>
    <xf numFmtId="0" fontId="34" fillId="0" borderId="61" xfId="43" applyFont="1" applyBorder="1"/>
    <xf numFmtId="3" fontId="11" fillId="0" borderId="61" xfId="43" applyNumberFormat="1" applyFont="1" applyBorder="1"/>
    <xf numFmtId="3" fontId="11" fillId="0" borderId="62" xfId="43" applyNumberFormat="1" applyFont="1" applyBorder="1"/>
    <xf numFmtId="3" fontId="3" fillId="0" borderId="49" xfId="43" applyNumberFormat="1" applyFont="1" applyBorder="1"/>
    <xf numFmtId="3" fontId="7" fillId="0" borderId="49" xfId="43" applyNumberFormat="1" applyFont="1" applyBorder="1"/>
    <xf numFmtId="170" fontId="34" fillId="0" borderId="51" xfId="43" applyNumberFormat="1" applyFont="1" applyBorder="1" applyAlignment="1">
      <alignment horizontal="left"/>
    </xf>
    <xf numFmtId="0" fontId="49" fillId="0" borderId="0" xfId="43" applyFont="1"/>
    <xf numFmtId="0" fontId="50" fillId="0" borderId="0" xfId="43" applyFont="1"/>
    <xf numFmtId="10" fontId="51" fillId="0" borderId="0" xfId="46" applyNumberFormat="1" applyFont="1"/>
    <xf numFmtId="3" fontId="41" fillId="0" borderId="0" xfId="43" applyNumberFormat="1" applyFont="1"/>
    <xf numFmtId="3" fontId="41" fillId="28" borderId="0" xfId="43" applyNumberFormat="1" applyFont="1" applyFill="1"/>
    <xf numFmtId="0" fontId="52" fillId="0" borderId="0" xfId="43" applyFont="1"/>
    <xf numFmtId="3" fontId="52" fillId="0" borderId="0" xfId="43" applyNumberFormat="1" applyFont="1"/>
    <xf numFmtId="3" fontId="30" fillId="0" borderId="0" xfId="43" applyNumberFormat="1" applyFont="1"/>
    <xf numFmtId="0" fontId="4" fillId="0" borderId="0" xfId="43" applyFont="1" applyBorder="1"/>
    <xf numFmtId="0" fontId="34" fillId="0" borderId="0" xfId="43" applyFont="1" applyAlignment="1">
      <alignment horizontal="left"/>
    </xf>
    <xf numFmtId="0" fontId="34" fillId="0" borderId="0" xfId="43" applyFont="1" applyAlignment="1">
      <alignment horizontal="center"/>
    </xf>
    <xf numFmtId="3" fontId="11" fillId="0" borderId="40" xfId="43" applyNumberFormat="1" applyFont="1" applyBorder="1" applyAlignment="1">
      <alignment horizontal="right"/>
    </xf>
    <xf numFmtId="3" fontId="11" fillId="0" borderId="49" xfId="43" applyNumberFormat="1" applyFont="1" applyBorder="1" applyAlignment="1">
      <alignment horizontal="right"/>
    </xf>
    <xf numFmtId="3" fontId="35" fillId="0" borderId="40" xfId="43" applyNumberFormat="1" applyFont="1" applyBorder="1" applyAlignment="1">
      <alignment horizontal="right"/>
    </xf>
    <xf numFmtId="0" fontId="11" fillId="0" borderId="40" xfId="43" applyFont="1" applyBorder="1" applyAlignment="1">
      <alignment horizontal="center"/>
    </xf>
    <xf numFmtId="0" fontId="11" fillId="0" borderId="49" xfId="43" applyFont="1" applyBorder="1" applyAlignment="1">
      <alignment horizontal="center"/>
    </xf>
    <xf numFmtId="0" fontId="35" fillId="0" borderId="40" xfId="43" applyFont="1" applyBorder="1" applyAlignment="1">
      <alignment horizontal="center"/>
    </xf>
    <xf numFmtId="0" fontId="35" fillId="0" borderId="49" xfId="43" applyFont="1" applyBorder="1" applyAlignment="1">
      <alignment horizontal="center"/>
    </xf>
    <xf numFmtId="3" fontId="11" fillId="0" borderId="40" xfId="43" applyNumberFormat="1" applyFont="1" applyBorder="1" applyAlignment="1">
      <alignment horizontal="center"/>
    </xf>
    <xf numFmtId="3" fontId="11" fillId="0" borderId="49" xfId="43" applyNumberFormat="1" applyFont="1" applyBorder="1" applyAlignment="1">
      <alignment horizontal="center"/>
    </xf>
    <xf numFmtId="169" fontId="36" fillId="0" borderId="40" xfId="43" applyNumberFormat="1" applyFont="1" applyBorder="1" applyAlignment="1">
      <alignment horizontal="left"/>
    </xf>
    <xf numFmtId="0" fontId="54" fillId="0" borderId="0" xfId="43" applyFont="1"/>
    <xf numFmtId="0" fontId="35" fillId="0" borderId="50" xfId="43" applyFont="1" applyBorder="1"/>
    <xf numFmtId="169" fontId="36" fillId="0" borderId="51" xfId="43" applyNumberFormat="1" applyFont="1" applyBorder="1" applyAlignment="1">
      <alignment horizontal="left"/>
    </xf>
    <xf numFmtId="0" fontId="36" fillId="0" borderId="51" xfId="43" applyFont="1" applyBorder="1"/>
    <xf numFmtId="3" fontId="43" fillId="0" borderId="51" xfId="43" applyNumberFormat="1" applyFont="1" applyBorder="1"/>
    <xf numFmtId="3" fontId="43" fillId="0" borderId="52" xfId="43" applyNumberFormat="1" applyFont="1" applyBorder="1"/>
    <xf numFmtId="0" fontId="40" fillId="0" borderId="0" xfId="43" applyFont="1" applyBorder="1"/>
    <xf numFmtId="0" fontId="45" fillId="0" borderId="0" xfId="43" applyFont="1" applyBorder="1" applyAlignment="1">
      <alignment horizontal="center"/>
    </xf>
    <xf numFmtId="0" fontId="46" fillId="0" borderId="0" xfId="43" applyFont="1" applyBorder="1"/>
    <xf numFmtId="0" fontId="46" fillId="0" borderId="0" xfId="43" applyFont="1"/>
    <xf numFmtId="10" fontId="40" fillId="0" borderId="0" xfId="43" applyNumberFormat="1" applyFont="1"/>
    <xf numFmtId="0" fontId="36" fillId="0" borderId="63" xfId="43" applyFont="1" applyBorder="1"/>
    <xf numFmtId="0" fontId="43" fillId="0" borderId="64" xfId="43" applyFont="1" applyBorder="1"/>
    <xf numFmtId="0" fontId="43" fillId="0" borderId="65" xfId="43" applyFont="1" applyBorder="1"/>
    <xf numFmtId="0" fontId="55" fillId="0" borderId="0" xfId="43" applyFont="1"/>
    <xf numFmtId="0" fontId="43" fillId="0" borderId="0" xfId="43" applyFont="1"/>
    <xf numFmtId="0" fontId="35" fillId="0" borderId="0" xfId="43" applyFont="1"/>
    <xf numFmtId="0" fontId="56" fillId="25" borderId="53" xfId="43" applyFont="1" applyFill="1" applyBorder="1"/>
    <xf numFmtId="0" fontId="56" fillId="25" borderId="38" xfId="43" applyFont="1" applyFill="1" applyBorder="1"/>
    <xf numFmtId="0" fontId="56" fillId="25" borderId="54" xfId="43" applyFont="1" applyFill="1" applyBorder="1"/>
    <xf numFmtId="0" fontId="56" fillId="25" borderId="55" xfId="43" applyFont="1" applyFill="1" applyBorder="1"/>
    <xf numFmtId="0" fontId="48" fillId="25" borderId="55" xfId="43" applyFont="1" applyFill="1" applyBorder="1" applyAlignment="1">
      <alignment horizontal="center"/>
    </xf>
    <xf numFmtId="0" fontId="48" fillId="25" borderId="55" xfId="43" applyFont="1" applyFill="1" applyBorder="1" applyAlignment="1">
      <alignment horizontal="left"/>
    </xf>
    <xf numFmtId="0" fontId="48" fillId="25" borderId="54" xfId="43" applyFont="1" applyFill="1" applyBorder="1" applyAlignment="1">
      <alignment horizontal="center" vertical="center"/>
    </xf>
    <xf numFmtId="0" fontId="48" fillId="25" borderId="55" xfId="43" applyFont="1" applyFill="1" applyBorder="1" applyAlignment="1">
      <alignment horizontal="center" vertical="center"/>
    </xf>
    <xf numFmtId="0" fontId="48" fillId="25" borderId="61" xfId="43" applyFont="1" applyFill="1" applyBorder="1" applyAlignment="1">
      <alignment horizontal="center" vertical="center" wrapText="1"/>
    </xf>
    <xf numFmtId="0" fontId="56" fillId="25" borderId="58" xfId="43" applyFont="1" applyFill="1" applyBorder="1"/>
    <xf numFmtId="0" fontId="56" fillId="25" borderId="59" xfId="43" applyFont="1" applyFill="1" applyBorder="1"/>
    <xf numFmtId="0" fontId="48" fillId="25" borderId="14" xfId="43" applyFont="1" applyFill="1" applyBorder="1" applyAlignment="1">
      <alignment horizontal="center"/>
    </xf>
    <xf numFmtId="0" fontId="48" fillId="25" borderId="59" xfId="43" applyFont="1" applyFill="1" applyBorder="1" applyAlignment="1">
      <alignment horizontal="center"/>
    </xf>
    <xf numFmtId="1" fontId="34" fillId="0" borderId="61" xfId="43" applyNumberFormat="1" applyFont="1" applyBorder="1" applyAlignment="1">
      <alignment horizontal="left"/>
    </xf>
    <xf numFmtId="3" fontId="38" fillId="0" borderId="62" xfId="43" applyNumberFormat="1" applyFont="1" applyBorder="1"/>
    <xf numFmtId="170" fontId="36" fillId="0" borderId="40" xfId="43" applyNumberFormat="1" applyFont="1" applyBorder="1" applyAlignment="1">
      <alignment horizontal="left"/>
    </xf>
    <xf numFmtId="0" fontId="19" fillId="25" borderId="66" xfId="43" applyFont="1" applyFill="1" applyBorder="1" applyAlignment="1">
      <alignment horizontal="center" vertical="center"/>
    </xf>
    <xf numFmtId="0" fontId="19" fillId="25" borderId="67" xfId="43" applyFont="1" applyFill="1" applyBorder="1" applyAlignment="1">
      <alignment horizontal="center" vertical="center"/>
    </xf>
    <xf numFmtId="0" fontId="19" fillId="25" borderId="67" xfId="43" applyFont="1" applyFill="1" applyBorder="1" applyAlignment="1">
      <alignment horizontal="center" vertical="center" wrapText="1"/>
    </xf>
    <xf numFmtId="0" fontId="48" fillId="25" borderId="46" xfId="43" applyFont="1" applyFill="1" applyBorder="1" applyAlignment="1">
      <alignment horizontal="center" vertical="center" wrapText="1"/>
    </xf>
    <xf numFmtId="0" fontId="48" fillId="25" borderId="47" xfId="43" applyFont="1" applyFill="1" applyBorder="1" applyAlignment="1">
      <alignment horizontal="center" vertical="center" wrapText="1"/>
    </xf>
    <xf numFmtId="0" fontId="23" fillId="25" borderId="68" xfId="43" applyFont="1" applyFill="1" applyBorder="1"/>
    <xf numFmtId="0" fontId="23" fillId="25" borderId="69" xfId="43" applyFont="1" applyFill="1" applyBorder="1"/>
    <xf numFmtId="0" fontId="19" fillId="25" borderId="51" xfId="43" applyFont="1" applyFill="1" applyBorder="1" applyAlignment="1">
      <alignment horizontal="center"/>
    </xf>
    <xf numFmtId="0" fontId="19" fillId="25" borderId="52" xfId="43" applyFont="1" applyFill="1" applyBorder="1" applyAlignment="1">
      <alignment horizontal="center"/>
    </xf>
    <xf numFmtId="0" fontId="35" fillId="0" borderId="70" xfId="43" applyFont="1" applyBorder="1"/>
    <xf numFmtId="0" fontId="6" fillId="0" borderId="46" xfId="43" applyFont="1" applyBorder="1" applyAlignment="1">
      <alignment horizontal="left"/>
    </xf>
    <xf numFmtId="0" fontId="6" fillId="0" borderId="46" xfId="43" applyFont="1" applyBorder="1"/>
    <xf numFmtId="3" fontId="3" fillId="0" borderId="46" xfId="43" applyNumberFormat="1" applyFont="1" applyBorder="1"/>
    <xf numFmtId="0" fontId="6" fillId="0" borderId="40" xfId="43" applyFont="1" applyBorder="1" applyAlignment="1">
      <alignment horizontal="left"/>
    </xf>
    <xf numFmtId="0" fontId="11" fillId="0" borderId="13" xfId="43" applyFont="1" applyBorder="1"/>
    <xf numFmtId="0" fontId="34" fillId="0" borderId="14" xfId="43" applyFont="1" applyBorder="1" applyAlignment="1">
      <alignment horizontal="left"/>
    </xf>
    <xf numFmtId="0" fontId="34" fillId="0" borderId="14" xfId="43" applyFont="1" applyBorder="1"/>
    <xf numFmtId="3" fontId="11" fillId="0" borderId="14" xfId="43" applyNumberFormat="1" applyFont="1" applyBorder="1"/>
    <xf numFmtId="3" fontId="11" fillId="0" borderId="15" xfId="43" applyNumberFormat="1" applyFont="1" applyBorder="1"/>
    <xf numFmtId="0" fontId="19" fillId="25" borderId="53" xfId="43" applyFont="1" applyFill="1" applyBorder="1" applyAlignment="1">
      <alignment horizontal="center" vertical="center"/>
    </xf>
    <xf numFmtId="0" fontId="19" fillId="25" borderId="38" xfId="43" applyFont="1" applyFill="1" applyBorder="1" applyAlignment="1">
      <alignment horizontal="center" vertical="center"/>
    </xf>
    <xf numFmtId="0" fontId="48" fillId="25" borderId="12" xfId="43" applyFont="1" applyFill="1" applyBorder="1" applyAlignment="1">
      <alignment horizontal="center" vertical="center" wrapText="1"/>
    </xf>
    <xf numFmtId="0" fontId="48" fillId="25" borderId="41" xfId="43" applyFont="1" applyFill="1" applyBorder="1" applyAlignment="1">
      <alignment horizontal="center" vertical="center" wrapText="1"/>
    </xf>
    <xf numFmtId="0" fontId="19" fillId="25" borderId="57" xfId="43" applyFont="1" applyFill="1" applyBorder="1" applyAlignment="1">
      <alignment horizontal="center"/>
    </xf>
    <xf numFmtId="0" fontId="19" fillId="25" borderId="71" xfId="43" applyFont="1" applyFill="1" applyBorder="1" applyAlignment="1">
      <alignment horizontal="center"/>
    </xf>
    <xf numFmtId="0" fontId="11" fillId="0" borderId="11" xfId="43" applyFont="1" applyBorder="1"/>
    <xf numFmtId="170" fontId="6" fillId="0" borderId="12" xfId="43" applyNumberFormat="1" applyFont="1" applyBorder="1" applyAlignment="1">
      <alignment horizontal="left"/>
    </xf>
    <xf numFmtId="0" fontId="36" fillId="0" borderId="12" xfId="43" applyFont="1" applyBorder="1"/>
    <xf numFmtId="3" fontId="3" fillId="0" borderId="12" xfId="43" applyNumberFormat="1" applyFont="1" applyBorder="1"/>
    <xf numFmtId="0" fontId="35" fillId="0" borderId="13" xfId="43" applyFont="1" applyBorder="1"/>
    <xf numFmtId="170" fontId="36" fillId="0" borderId="14" xfId="43" applyNumberFormat="1" applyFont="1" applyBorder="1" applyAlignment="1">
      <alignment horizontal="left"/>
    </xf>
    <xf numFmtId="3" fontId="3" fillId="0" borderId="14" xfId="43" applyNumberFormat="1" applyFont="1" applyBorder="1"/>
    <xf numFmtId="0" fontId="3" fillId="0" borderId="0" xfId="43" applyFont="1"/>
    <xf numFmtId="37" fontId="8" fillId="26" borderId="72" xfId="43" applyNumberFormat="1" applyFont="1" applyFill="1" applyBorder="1" applyAlignment="1">
      <alignment horizontal="left" vertical="center" indent="1"/>
    </xf>
    <xf numFmtId="37" fontId="19" fillId="26" borderId="73" xfId="43" applyNumberFormat="1" applyFont="1" applyFill="1" applyBorder="1" applyAlignment="1">
      <alignment horizontal="center" vertical="center"/>
    </xf>
    <xf numFmtId="37" fontId="3" fillId="0" borderId="74" xfId="43" quotePrefix="1" applyNumberFormat="1" applyFont="1" applyBorder="1" applyAlignment="1">
      <alignment horizontal="left" vertical="center" indent="2"/>
    </xf>
    <xf numFmtId="37" fontId="3" fillId="0" borderId="75" xfId="43" applyNumberFormat="1" applyFont="1" applyBorder="1" applyAlignment="1">
      <alignment vertical="center"/>
    </xf>
    <xf numFmtId="0" fontId="3" fillId="0" borderId="76" xfId="43" applyFont="1" applyBorder="1" applyAlignment="1">
      <alignment vertical="center"/>
    </xf>
    <xf numFmtId="0" fontId="3" fillId="0" borderId="75" xfId="43" applyFont="1" applyBorder="1"/>
    <xf numFmtId="37" fontId="3" fillId="0" borderId="77" xfId="43" applyNumberFormat="1" applyFont="1" applyBorder="1" applyAlignment="1">
      <alignment horizontal="left" vertical="center" indent="2"/>
    </xf>
    <xf numFmtId="0" fontId="3" fillId="0" borderId="76" xfId="43" applyFont="1" applyBorder="1"/>
    <xf numFmtId="37" fontId="5" fillId="0" borderId="72" xfId="43" applyNumberFormat="1" applyFont="1" applyFill="1" applyBorder="1" applyAlignment="1">
      <alignment horizontal="left" vertical="center" indent="1"/>
    </xf>
    <xf numFmtId="0" fontId="23" fillId="26" borderId="72" xfId="43" applyFont="1" applyFill="1" applyBorder="1" applyAlignment="1">
      <alignment vertical="center"/>
    </xf>
    <xf numFmtId="0" fontId="23" fillId="26" borderId="73" xfId="43" applyFont="1" applyFill="1" applyBorder="1" applyAlignment="1">
      <alignment vertical="center"/>
    </xf>
    <xf numFmtId="0" fontId="23" fillId="26" borderId="73" xfId="43" applyFont="1" applyFill="1" applyBorder="1"/>
    <xf numFmtId="0" fontId="23" fillId="26" borderId="79" xfId="43" applyFont="1" applyFill="1" applyBorder="1"/>
    <xf numFmtId="0" fontId="23" fillId="26" borderId="80" xfId="43" applyFont="1" applyFill="1" applyBorder="1"/>
    <xf numFmtId="37" fontId="23" fillId="26" borderId="80" xfId="43" applyNumberFormat="1" applyFont="1" applyFill="1" applyBorder="1" applyAlignment="1">
      <alignment horizontal="center"/>
    </xf>
    <xf numFmtId="37" fontId="23" fillId="26" borderId="16" xfId="43" applyNumberFormat="1" applyFont="1" applyFill="1" applyBorder="1" applyAlignment="1">
      <alignment horizontal="center"/>
    </xf>
    <xf numFmtId="37" fontId="3" fillId="0" borderId="72" xfId="43" applyNumberFormat="1" applyFont="1" applyBorder="1" applyAlignment="1">
      <alignment horizontal="left" vertical="center" indent="1"/>
    </xf>
    <xf numFmtId="0" fontId="3" fillId="0" borderId="73" xfId="43" applyFont="1" applyBorder="1"/>
    <xf numFmtId="37" fontId="3" fillId="0" borderId="73" xfId="43" quotePrefix="1" applyNumberFormat="1" applyFont="1" applyFill="1" applyBorder="1" applyAlignment="1">
      <alignment horizontal="center" vertical="center"/>
    </xf>
    <xf numFmtId="0" fontId="3" fillId="0" borderId="81" xfId="43" applyFont="1" applyBorder="1"/>
    <xf numFmtId="37" fontId="3" fillId="0" borderId="19" xfId="43" quotePrefix="1" applyNumberFormat="1" applyFont="1" applyBorder="1" applyAlignment="1">
      <alignment horizontal="left" vertical="center" indent="1"/>
    </xf>
    <xf numFmtId="37" fontId="23" fillId="26" borderId="72" xfId="43" applyNumberFormat="1" applyFont="1" applyFill="1" applyBorder="1"/>
    <xf numFmtId="37" fontId="23" fillId="26" borderId="73" xfId="43" applyNumberFormat="1" applyFont="1" applyFill="1" applyBorder="1"/>
    <xf numFmtId="37" fontId="23" fillId="26" borderId="73" xfId="43" applyNumberFormat="1" applyFont="1" applyFill="1" applyBorder="1" applyAlignment="1">
      <alignment horizontal="center" vertical="center"/>
    </xf>
    <xf numFmtId="0" fontId="3" fillId="0" borderId="16" xfId="43" applyFont="1" applyFill="1" applyBorder="1" applyAlignment="1">
      <alignment vertical="center"/>
    </xf>
    <xf numFmtId="0" fontId="3" fillId="0" borderId="16" xfId="43" applyFont="1" applyBorder="1"/>
    <xf numFmtId="37" fontId="8" fillId="26" borderId="73" xfId="43" applyNumberFormat="1" applyFont="1" applyFill="1" applyBorder="1" applyAlignment="1">
      <alignment horizontal="left" vertical="center" indent="1"/>
    </xf>
    <xf numFmtId="0" fontId="3" fillId="26" borderId="73" xfId="43" applyFont="1" applyFill="1" applyBorder="1"/>
    <xf numFmtId="37" fontId="3" fillId="0" borderId="0" xfId="43" applyNumberFormat="1" applyFont="1" applyAlignment="1">
      <alignment vertical="center"/>
    </xf>
    <xf numFmtId="37" fontId="8" fillId="26" borderId="72" xfId="43" quotePrefix="1" applyNumberFormat="1" applyFont="1" applyFill="1" applyBorder="1" applyAlignment="1">
      <alignment horizontal="left" vertical="center" indent="1"/>
    </xf>
    <xf numFmtId="0" fontId="29" fillId="26" borderId="73" xfId="43" applyFont="1" applyFill="1" applyBorder="1" applyAlignment="1">
      <alignment vertical="center"/>
    </xf>
    <xf numFmtId="0" fontId="29" fillId="26" borderId="73" xfId="43" applyFont="1" applyFill="1" applyBorder="1"/>
    <xf numFmtId="0" fontId="23" fillId="26" borderId="73" xfId="43" quotePrefix="1" applyFont="1" applyFill="1" applyBorder="1" applyAlignment="1">
      <alignment horizontal="left" vertical="center"/>
    </xf>
    <xf numFmtId="0" fontId="3" fillId="0" borderId="0" xfId="43" applyFont="1" applyFill="1" applyAlignment="1">
      <alignment horizontal="center"/>
    </xf>
    <xf numFmtId="0" fontId="3" fillId="0" borderId="0" xfId="43" applyFont="1" applyFill="1" applyBorder="1"/>
    <xf numFmtId="0" fontId="23" fillId="26" borderId="81" xfId="43" applyFont="1" applyFill="1" applyBorder="1"/>
    <xf numFmtId="0" fontId="6" fillId="0" borderId="82" xfId="43" quotePrefix="1" applyFont="1" applyBorder="1" applyAlignment="1">
      <alignment horizontal="left"/>
    </xf>
    <xf numFmtId="0" fontId="6" fillId="0" borderId="83" xfId="43" applyFont="1" applyFill="1" applyBorder="1" applyAlignment="1">
      <alignment horizontal="center"/>
    </xf>
    <xf numFmtId="0" fontId="6" fillId="0" borderId="84" xfId="43" quotePrefix="1" applyFont="1" applyBorder="1" applyAlignment="1">
      <alignment horizontal="left"/>
    </xf>
    <xf numFmtId="0" fontId="6" fillId="0" borderId="85" xfId="43" applyFont="1" applyFill="1" applyBorder="1" applyAlignment="1">
      <alignment horizontal="center"/>
    </xf>
    <xf numFmtId="0" fontId="6" fillId="0" borderId="86" xfId="43" quotePrefix="1" applyFont="1" applyBorder="1" applyAlignment="1">
      <alignment horizontal="left"/>
    </xf>
    <xf numFmtId="0" fontId="6" fillId="0" borderId="87" xfId="43" applyFont="1" applyFill="1" applyBorder="1" applyAlignment="1">
      <alignment horizontal="center"/>
    </xf>
    <xf numFmtId="0" fontId="6" fillId="0" borderId="82" xfId="43" applyFont="1" applyBorder="1"/>
    <xf numFmtId="0" fontId="6" fillId="0" borderId="84" xfId="43" applyFont="1" applyBorder="1"/>
    <xf numFmtId="0" fontId="6" fillId="0" borderId="86" xfId="43" applyFont="1" applyBorder="1"/>
    <xf numFmtId="0" fontId="6" fillId="0" borderId="0" xfId="43" applyFont="1" applyFill="1" applyAlignment="1">
      <alignment horizontal="center"/>
    </xf>
    <xf numFmtId="0" fontId="6" fillId="0" borderId="88" xfId="43" quotePrefix="1" applyFont="1" applyBorder="1" applyAlignment="1">
      <alignment horizontal="left"/>
    </xf>
    <xf numFmtId="0" fontId="6" fillId="0" borderId="89" xfId="43" applyFont="1" applyFill="1" applyBorder="1" applyAlignment="1">
      <alignment horizontal="center"/>
    </xf>
    <xf numFmtId="0" fontId="8" fillId="24" borderId="10" xfId="43" applyFont="1" applyFill="1" applyBorder="1" applyAlignment="1">
      <alignment horizontal="center" vertical="center" wrapText="1"/>
    </xf>
    <xf numFmtId="0" fontId="23" fillId="24" borderId="10" xfId="43" applyFont="1" applyFill="1" applyBorder="1" applyAlignment="1">
      <alignment horizontal="center" vertical="center"/>
    </xf>
    <xf numFmtId="0" fontId="23" fillId="24" borderId="10" xfId="43" applyFont="1" applyFill="1" applyBorder="1" applyAlignment="1">
      <alignment vertical="center"/>
    </xf>
    <xf numFmtId="1" fontId="6" fillId="0" borderId="90" xfId="43" applyNumberFormat="1" applyFont="1" applyBorder="1" applyAlignment="1">
      <alignment horizontal="center" vertical="center"/>
    </xf>
    <xf numFmtId="1" fontId="6" fillId="0" borderId="91" xfId="43" applyNumberFormat="1" applyFont="1" applyBorder="1" applyAlignment="1">
      <alignment horizontal="center" vertical="center"/>
    </xf>
    <xf numFmtId="1" fontId="12" fillId="0" borderId="91" xfId="43" applyNumberFormat="1" applyFont="1" applyBorder="1" applyAlignment="1">
      <alignment horizontal="center" vertical="center"/>
    </xf>
    <xf numFmtId="1" fontId="12" fillId="0" borderId="92" xfId="43" applyNumberFormat="1" applyFont="1" applyBorder="1" applyAlignment="1">
      <alignment horizontal="center" vertical="center"/>
    </xf>
    <xf numFmtId="37" fontId="3" fillId="0" borderId="93" xfId="43" applyNumberFormat="1" applyFont="1" applyBorder="1" applyAlignment="1">
      <alignment horizontal="left" vertical="center" indent="1"/>
    </xf>
    <xf numFmtId="0" fontId="3" fillId="0" borderId="94" xfId="43" applyFont="1" applyBorder="1"/>
    <xf numFmtId="164" fontId="3" fillId="0" borderId="0" xfId="43" applyNumberFormat="1" applyFont="1"/>
    <xf numFmtId="14" fontId="19" fillId="25" borderId="41" xfId="0" applyNumberFormat="1" applyFont="1" applyFill="1" applyBorder="1" applyAlignment="1">
      <alignment horizontal="center"/>
    </xf>
    <xf numFmtId="37" fontId="8" fillId="0" borderId="93" xfId="43" applyNumberFormat="1" applyFont="1" applyFill="1" applyBorder="1" applyAlignment="1">
      <alignment horizontal="center" vertical="center"/>
    </xf>
    <xf numFmtId="37" fontId="8" fillId="0" borderId="94" xfId="43" applyNumberFormat="1" applyFont="1" applyFill="1" applyBorder="1" applyAlignment="1">
      <alignment horizontal="center" vertical="center"/>
    </xf>
    <xf numFmtId="37" fontId="8" fillId="0" borderId="95" xfId="43" applyNumberFormat="1" applyFont="1" applyFill="1" applyBorder="1" applyAlignment="1">
      <alignment horizontal="center" vertical="center"/>
    </xf>
    <xf numFmtId="37" fontId="8" fillId="0" borderId="96" xfId="43" applyNumberFormat="1" applyFont="1" applyFill="1" applyBorder="1" applyAlignment="1">
      <alignment horizontal="center" vertical="center"/>
    </xf>
    <xf numFmtId="37" fontId="23" fillId="0" borderId="96" xfId="43" applyNumberFormat="1" applyFont="1" applyFill="1" applyBorder="1" applyAlignment="1">
      <alignment horizontal="center" vertical="center"/>
    </xf>
    <xf numFmtId="37" fontId="23" fillId="0" borderId="94" xfId="43" applyNumberFormat="1" applyFont="1" applyFill="1" applyBorder="1" applyAlignment="1">
      <alignment horizontal="center" vertical="center"/>
    </xf>
    <xf numFmtId="37" fontId="23" fillId="0" borderId="95" xfId="43" applyNumberFormat="1" applyFont="1" applyFill="1" applyBorder="1" applyAlignment="1">
      <alignment horizontal="center" vertical="center"/>
    </xf>
    <xf numFmtId="37" fontId="23" fillId="0" borderId="97" xfId="43" applyNumberFormat="1" applyFont="1" applyFill="1" applyBorder="1" applyAlignment="1">
      <alignment horizontal="center" vertical="center"/>
    </xf>
    <xf numFmtId="37" fontId="3" fillId="0" borderId="94" xfId="43" quotePrefix="1" applyNumberFormat="1" applyFont="1" applyFill="1" applyBorder="1" applyAlignment="1">
      <alignment horizontal="center" vertical="center"/>
    </xf>
    <xf numFmtId="0" fontId="3" fillId="0" borderId="95" xfId="43" applyFont="1" applyBorder="1"/>
    <xf numFmtId="164" fontId="14" fillId="0" borderId="0" xfId="43" applyNumberFormat="1" applyFont="1"/>
    <xf numFmtId="0" fontId="3" fillId="28" borderId="0" xfId="0" applyFont="1" applyFill="1"/>
    <xf numFmtId="1" fontId="6" fillId="0" borderId="90" xfId="43" applyNumberFormat="1" applyFont="1" applyBorder="1" applyAlignment="1">
      <alignment horizontal="left" vertical="center" indent="1"/>
    </xf>
    <xf numFmtId="1" fontId="6" fillId="0" borderId="91" xfId="43" applyNumberFormat="1" applyFont="1" applyBorder="1" applyAlignment="1">
      <alignment horizontal="left" vertical="center" indent="1"/>
    </xf>
    <xf numFmtId="1" fontId="12" fillId="0" borderId="91" xfId="43" quotePrefix="1" applyNumberFormat="1" applyFont="1" applyBorder="1" applyAlignment="1">
      <alignment horizontal="left" vertical="center" indent="1"/>
    </xf>
    <xf numFmtId="1" fontId="12" fillId="0" borderId="92" xfId="43" applyNumberFormat="1" applyFont="1" applyBorder="1" applyAlignment="1">
      <alignment horizontal="left" vertical="center" indent="1"/>
    </xf>
    <xf numFmtId="164" fontId="5" fillId="0" borderId="0" xfId="43" applyNumberFormat="1" applyFont="1" applyFill="1" applyBorder="1" applyAlignment="1">
      <alignment vertical="center"/>
    </xf>
    <xf numFmtId="37" fontId="5" fillId="0" borderId="0" xfId="43" applyNumberFormat="1" applyFont="1" applyFill="1" applyBorder="1" applyAlignment="1">
      <alignment horizontal="left" vertical="center" indent="2"/>
    </xf>
    <xf numFmtId="37" fontId="5" fillId="0" borderId="73" xfId="43" applyNumberFormat="1" applyFont="1" applyFill="1" applyBorder="1" applyAlignment="1">
      <alignment horizontal="left" vertical="center" indent="1"/>
    </xf>
    <xf numFmtId="0" fontId="6" fillId="0" borderId="98" xfId="43" quotePrefix="1" applyFont="1" applyBorder="1" applyAlignment="1">
      <alignment horizontal="left"/>
    </xf>
    <xf numFmtId="0" fontId="6" fillId="0" borderId="99" xfId="43" applyFont="1" applyFill="1" applyBorder="1" applyAlignment="1">
      <alignment horizontal="center"/>
    </xf>
    <xf numFmtId="164" fontId="18" fillId="0" borderId="0" xfId="43" applyNumberFormat="1" applyFont="1"/>
    <xf numFmtId="164" fontId="17" fillId="0" borderId="0" xfId="43" applyNumberFormat="1" applyFont="1"/>
    <xf numFmtId="0" fontId="5" fillId="29" borderId="0" xfId="43" applyFont="1" applyFill="1" applyBorder="1" applyAlignment="1">
      <alignment horizontal="left" vertical="center" indent="1"/>
    </xf>
    <xf numFmtId="164" fontId="7" fillId="0" borderId="0" xfId="43" applyNumberFormat="1" applyFont="1" applyBorder="1" applyAlignment="1">
      <alignment vertical="center"/>
    </xf>
    <xf numFmtId="0" fontId="6" fillId="0" borderId="0" xfId="43" quotePrefix="1" applyFont="1" applyBorder="1" applyAlignment="1">
      <alignment horizontal="left"/>
    </xf>
    <xf numFmtId="0" fontId="6" fillId="0" borderId="0" xfId="43" applyFont="1" applyFill="1" applyBorder="1" applyAlignment="1">
      <alignment horizontal="center"/>
    </xf>
    <xf numFmtId="0" fontId="6" fillId="0" borderId="82" xfId="43" applyFont="1" applyBorder="1" applyAlignment="1">
      <alignment horizontal="left"/>
    </xf>
    <xf numFmtId="0" fontId="6" fillId="0" borderId="84" xfId="43" applyFont="1" applyBorder="1" applyAlignment="1">
      <alignment horizontal="left"/>
    </xf>
    <xf numFmtId="0" fontId="6" fillId="0" borderId="86" xfId="43" applyFont="1" applyBorder="1" applyAlignment="1">
      <alignment horizontal="left"/>
    </xf>
    <xf numFmtId="37" fontId="3" fillId="0" borderId="96" xfId="43" applyNumberFormat="1" applyFont="1" applyFill="1" applyBorder="1" applyAlignment="1">
      <alignment horizontal="left" vertical="center" indent="1"/>
    </xf>
    <xf numFmtId="37" fontId="3" fillId="0" borderId="94" xfId="43" applyNumberFormat="1" applyFont="1" applyFill="1" applyBorder="1" applyAlignment="1">
      <alignment horizontal="left" vertical="center" indent="1"/>
    </xf>
    <xf numFmtId="37" fontId="3" fillId="0" borderId="95" xfId="43" applyNumberFormat="1" applyFont="1" applyFill="1" applyBorder="1" applyAlignment="1">
      <alignment horizontal="left" vertical="center" indent="1"/>
    </xf>
    <xf numFmtId="37" fontId="3" fillId="0" borderId="96" xfId="43" applyNumberFormat="1" applyFont="1" applyBorder="1" applyAlignment="1">
      <alignment horizontal="left" vertical="center" indent="1"/>
    </xf>
    <xf numFmtId="177" fontId="3" fillId="0" borderId="0" xfId="43" applyNumberFormat="1" applyFont="1"/>
    <xf numFmtId="4" fontId="18" fillId="0" borderId="0" xfId="43" applyNumberFormat="1" applyFont="1"/>
    <xf numFmtId="4" fontId="17" fillId="0" borderId="0" xfId="43" applyNumberFormat="1" applyFont="1"/>
    <xf numFmtId="0" fontId="19" fillId="25" borderId="101" xfId="43" applyFont="1" applyFill="1" applyBorder="1" applyAlignment="1">
      <alignment horizontal="center" vertical="center" wrapText="1"/>
    </xf>
    <xf numFmtId="0" fontId="19" fillId="25" borderId="102" xfId="43" applyFont="1" applyFill="1" applyBorder="1" applyAlignment="1">
      <alignment horizontal="center"/>
    </xf>
    <xf numFmtId="164" fontId="7" fillId="0" borderId="100" xfId="43" applyNumberFormat="1" applyFont="1" applyBorder="1" applyAlignment="1">
      <alignment vertical="center"/>
    </xf>
    <xf numFmtId="164" fontId="7" fillId="0" borderId="104" xfId="43" applyNumberFormat="1" applyFont="1" applyBorder="1" applyAlignment="1">
      <alignment vertical="center"/>
    </xf>
    <xf numFmtId="164" fontId="3" fillId="0" borderId="104" xfId="43" applyNumberFormat="1" applyFont="1" applyBorder="1" applyAlignment="1">
      <alignment vertical="center"/>
    </xf>
    <xf numFmtId="0" fontId="19" fillId="25" borderId="105" xfId="43" applyFont="1" applyFill="1" applyBorder="1" applyAlignment="1">
      <alignment horizontal="center"/>
    </xf>
    <xf numFmtId="0" fontId="6" fillId="0" borderId="106" xfId="43" quotePrefix="1" applyFont="1" applyBorder="1" applyAlignment="1">
      <alignment horizontal="left"/>
    </xf>
    <xf numFmtId="0" fontId="6" fillId="0" borderId="107" xfId="43" applyFont="1" applyFill="1" applyBorder="1" applyAlignment="1">
      <alignment horizontal="center"/>
    </xf>
    <xf numFmtId="3" fontId="11" fillId="0" borderId="96" xfId="43" applyNumberFormat="1" applyFont="1" applyBorder="1"/>
    <xf numFmtId="3" fontId="7" fillId="0" borderId="96" xfId="43" applyNumberFormat="1" applyFont="1" applyBorder="1"/>
    <xf numFmtId="3" fontId="3" fillId="0" borderId="96" xfId="43" applyNumberFormat="1" applyFont="1" applyBorder="1"/>
    <xf numFmtId="3" fontId="43" fillId="0" borderId="96" xfId="43" applyNumberFormat="1" applyFont="1" applyBorder="1"/>
    <xf numFmtId="3" fontId="35" fillId="0" borderId="96" xfId="43" applyNumberFormat="1" applyFont="1" applyBorder="1"/>
    <xf numFmtId="3" fontId="11" fillId="0" borderId="96" xfId="43" applyNumberFormat="1" applyFont="1" applyBorder="1" applyAlignment="1">
      <alignment horizontal="right"/>
    </xf>
    <xf numFmtId="0" fontId="11" fillId="0" borderId="96" xfId="43" applyFont="1" applyBorder="1" applyAlignment="1">
      <alignment horizontal="center"/>
    </xf>
    <xf numFmtId="0" fontId="35" fillId="0" borderId="96" xfId="43" applyFont="1" applyBorder="1" applyAlignment="1">
      <alignment horizontal="center"/>
    </xf>
    <xf numFmtId="3" fontId="11" fillId="0" borderId="96" xfId="43" applyNumberFormat="1" applyFont="1" applyBorder="1" applyAlignment="1">
      <alignment horizontal="center"/>
    </xf>
    <xf numFmtId="3" fontId="43" fillId="0" borderId="111" xfId="43" applyNumberFormat="1" applyFont="1" applyBorder="1"/>
    <xf numFmtId="0" fontId="48" fillId="25" borderId="110" xfId="43" applyFont="1" applyFill="1" applyBorder="1" applyAlignment="1">
      <alignment horizontal="center" vertical="center" wrapText="1"/>
    </xf>
    <xf numFmtId="0" fontId="19" fillId="25" borderId="111" xfId="43" applyFont="1" applyFill="1" applyBorder="1" applyAlignment="1">
      <alignment horizontal="center"/>
    </xf>
    <xf numFmtId="0" fontId="12" fillId="0" borderId="0" xfId="0" applyFont="1" applyFill="1"/>
    <xf numFmtId="0" fontId="6" fillId="0" borderId="106" xfId="43" applyFont="1" applyBorder="1"/>
    <xf numFmtId="3" fontId="11" fillId="0" borderId="57" xfId="43" applyNumberFormat="1" applyFont="1" applyBorder="1"/>
    <xf numFmtId="3" fontId="11" fillId="0" borderId="112" xfId="43" applyNumberFormat="1" applyFont="1" applyBorder="1"/>
    <xf numFmtId="3" fontId="11" fillId="0" borderId="71" xfId="43" applyNumberFormat="1" applyFont="1" applyBorder="1"/>
    <xf numFmtId="37" fontId="5" fillId="0" borderId="0" xfId="43" quotePrefix="1" applyNumberFormat="1" applyFont="1" applyFill="1" applyBorder="1" applyAlignment="1">
      <alignment horizontal="left" vertical="center" indent="1"/>
    </xf>
    <xf numFmtId="0" fontId="3" fillId="0" borderId="0" xfId="43" applyFont="1" applyFill="1"/>
    <xf numFmtId="0" fontId="3" fillId="0" borderId="0" xfId="43" applyFont="1" applyBorder="1"/>
    <xf numFmtId="3" fontId="18" fillId="0" borderId="0" xfId="43" applyNumberFormat="1" applyFont="1"/>
    <xf numFmtId="37" fontId="3" fillId="0" borderId="113" xfId="43" quotePrefix="1" applyNumberFormat="1" applyFont="1" applyBorder="1" applyAlignment="1">
      <alignment horizontal="left" vertical="center" indent="2"/>
    </xf>
    <xf numFmtId="0" fontId="3" fillId="0" borderId="16" xfId="43" applyFont="1" applyBorder="1" applyAlignment="1">
      <alignment vertical="center"/>
    </xf>
    <xf numFmtId="37" fontId="3" fillId="0" borderId="113" xfId="43" applyNumberFormat="1" applyFont="1" applyBorder="1" applyAlignment="1">
      <alignment horizontal="left" vertical="center" indent="2"/>
    </xf>
    <xf numFmtId="3" fontId="43" fillId="0" borderId="40" xfId="43" applyNumberFormat="1" applyFont="1" applyFill="1" applyBorder="1"/>
    <xf numFmtId="179" fontId="30" fillId="0" borderId="0" xfId="33" applyNumberFormat="1" applyFont="1"/>
    <xf numFmtId="167" fontId="6" fillId="0" borderId="0" xfId="36" applyNumberFormat="1" applyFont="1" applyFill="1"/>
    <xf numFmtId="0" fontId="5" fillId="29" borderId="79" xfId="43" applyFont="1" applyFill="1" applyBorder="1" applyAlignment="1">
      <alignment horizontal="left" vertical="center" indent="1"/>
    </xf>
    <xf numFmtId="0" fontId="6" fillId="0" borderId="80" xfId="43" applyFont="1" applyBorder="1"/>
    <xf numFmtId="0" fontId="15" fillId="29" borderId="80" xfId="43" applyFont="1" applyFill="1" applyBorder="1"/>
    <xf numFmtId="0" fontId="30" fillId="0" borderId="0" xfId="43" applyFont="1" applyAlignment="1">
      <alignment horizontal="center"/>
    </xf>
    <xf numFmtId="3" fontId="30" fillId="0" borderId="0" xfId="43" applyNumberFormat="1" applyFont="1" applyAlignment="1">
      <alignment horizontal="center"/>
    </xf>
    <xf numFmtId="3" fontId="6" fillId="0" borderId="40" xfId="43" applyNumberFormat="1" applyFont="1" applyBorder="1"/>
    <xf numFmtId="3" fontId="12" fillId="0" borderId="40" xfId="43" applyNumberFormat="1" applyFont="1" applyBorder="1"/>
    <xf numFmtId="164" fontId="3" fillId="0" borderId="0" xfId="43" applyNumberFormat="1" applyFont="1" applyFill="1" applyBorder="1" applyAlignment="1">
      <alignment vertical="center"/>
    </xf>
    <xf numFmtId="0" fontId="62" fillId="0" borderId="0" xfId="43" applyFont="1" applyFill="1" applyBorder="1" applyAlignment="1">
      <alignment vertical="center"/>
    </xf>
    <xf numFmtId="37" fontId="3" fillId="0" borderId="0" xfId="43" quotePrefix="1" applyNumberFormat="1" applyFont="1" applyFill="1" applyBorder="1" applyAlignment="1">
      <alignment horizontal="left" vertical="center" indent="2"/>
    </xf>
    <xf numFmtId="0" fontId="3" fillId="0" borderId="0" xfId="43" applyFont="1" applyFill="1" applyBorder="1" applyAlignment="1">
      <alignment vertical="center"/>
    </xf>
    <xf numFmtId="167" fontId="17" fillId="0" borderId="0" xfId="36" applyNumberFormat="1" applyFont="1" applyFill="1"/>
    <xf numFmtId="167" fontId="17" fillId="0" borderId="0" xfId="0" applyNumberFormat="1" applyFont="1" applyFill="1"/>
    <xf numFmtId="37" fontId="3" fillId="0" borderId="113" xfId="43" quotePrefix="1" applyNumberFormat="1" applyFont="1" applyFill="1" applyBorder="1" applyAlignment="1">
      <alignment horizontal="left" vertical="center" indent="2"/>
    </xf>
    <xf numFmtId="0" fontId="3" fillId="0" borderId="16" xfId="43" applyFont="1" applyFill="1" applyBorder="1"/>
    <xf numFmtId="0" fontId="6" fillId="0" borderId="0" xfId="0" applyFont="1" applyFill="1"/>
    <xf numFmtId="0" fontId="3" fillId="0" borderId="0" xfId="0" applyFont="1" applyAlignment="1">
      <alignment vertical="center"/>
    </xf>
    <xf numFmtId="0" fontId="4" fillId="0" borderId="0" xfId="0" applyFont="1" applyAlignment="1">
      <alignment vertical="center"/>
    </xf>
    <xf numFmtId="0" fontId="89" fillId="0" borderId="0" xfId="0" applyFont="1" applyAlignment="1">
      <alignment vertical="center"/>
    </xf>
    <xf numFmtId="0" fontId="3" fillId="0" borderId="114" xfId="0" applyFont="1" applyBorder="1" applyAlignment="1">
      <alignment vertical="center"/>
    </xf>
    <xf numFmtId="0" fontId="89" fillId="0" borderId="0" xfId="0" quotePrefix="1" applyFont="1" applyAlignment="1">
      <alignment horizontal="left" vertical="center"/>
    </xf>
    <xf numFmtId="0" fontId="90" fillId="0" borderId="0" xfId="0" quotePrefix="1" applyFont="1" applyAlignment="1">
      <alignment horizontal="left" vertical="center"/>
    </xf>
    <xf numFmtId="0" fontId="3" fillId="0" borderId="0" xfId="0" quotePrefix="1" applyFont="1" applyAlignment="1">
      <alignment horizontal="left" vertical="center"/>
    </xf>
    <xf numFmtId="0" fontId="3" fillId="0" borderId="80" xfId="0" applyFont="1" applyBorder="1" applyAlignment="1">
      <alignment vertical="center"/>
    </xf>
    <xf numFmtId="0" fontId="5" fillId="0" borderId="0" xfId="0" quotePrefix="1" applyFont="1" applyAlignment="1">
      <alignment horizontal="center" vertical="center"/>
    </xf>
    <xf numFmtId="0" fontId="91" fillId="0" borderId="0" xfId="0" quotePrefix="1" applyFont="1" applyAlignment="1">
      <alignment horizontal="left" vertical="center"/>
    </xf>
    <xf numFmtId="0" fontId="3" fillId="0" borderId="0" xfId="0" applyFont="1" applyAlignment="1">
      <alignment horizontal="center" vertical="center"/>
    </xf>
    <xf numFmtId="0" fontId="6" fillId="0" borderId="0" xfId="0" applyFont="1" applyAlignment="1">
      <alignment vertical="center"/>
    </xf>
    <xf numFmtId="0" fontId="3" fillId="0" borderId="0" xfId="0" quotePrefix="1" applyFont="1" applyAlignment="1">
      <alignment horizontal="center" vertical="center"/>
    </xf>
    <xf numFmtId="164" fontId="3" fillId="0" borderId="0" xfId="0" applyNumberFormat="1" applyFont="1" applyAlignment="1">
      <alignment vertical="center"/>
    </xf>
    <xf numFmtId="0" fontId="69" fillId="0" borderId="0" xfId="0" applyFont="1" applyAlignment="1">
      <alignment vertical="center"/>
    </xf>
    <xf numFmtId="0" fontId="5" fillId="0" borderId="115" xfId="0" applyFont="1" applyBorder="1" applyAlignment="1">
      <alignment horizontal="left" vertical="center" indent="1"/>
    </xf>
    <xf numFmtId="0" fontId="3" fillId="0" borderId="116" xfId="0" applyFont="1" applyBorder="1" applyAlignment="1">
      <alignment vertical="center"/>
    </xf>
    <xf numFmtId="0" fontId="3" fillId="0" borderId="117" xfId="0" applyFont="1" applyBorder="1" applyAlignment="1">
      <alignment vertical="center"/>
    </xf>
    <xf numFmtId="0" fontId="17" fillId="0" borderId="0" xfId="0" applyFont="1" applyFill="1"/>
    <xf numFmtId="0" fontId="6" fillId="0" borderId="98" xfId="43" applyFont="1" applyBorder="1" applyAlignment="1">
      <alignment horizontal="left"/>
    </xf>
    <xf numFmtId="0" fontId="12" fillId="0" borderId="0" xfId="0" applyFont="1" applyFill="1" applyAlignment="1">
      <alignment horizontal="right"/>
    </xf>
    <xf numFmtId="0" fontId="21" fillId="0" borderId="12" xfId="0" applyFont="1" applyFill="1" applyBorder="1" applyAlignment="1">
      <alignment horizontal="center"/>
    </xf>
    <xf numFmtId="0" fontId="19" fillId="0" borderId="14" xfId="0" applyFont="1" applyFill="1" applyBorder="1"/>
    <xf numFmtId="3" fontId="12" fillId="0" borderId="0" xfId="0" applyNumberFormat="1" applyFont="1" applyFill="1"/>
    <xf numFmtId="167" fontId="6" fillId="0" borderId="0" xfId="0" applyNumberFormat="1" applyFont="1" applyFill="1"/>
    <xf numFmtId="37" fontId="6" fillId="0" borderId="0" xfId="43" applyNumberFormat="1" applyFont="1" applyBorder="1" applyAlignment="1">
      <alignment vertical="center"/>
    </xf>
    <xf numFmtId="37" fontId="6" fillId="0" borderId="0" xfId="43" quotePrefix="1" applyNumberFormat="1" applyFont="1" applyBorder="1" applyAlignment="1">
      <alignment vertical="center"/>
    </xf>
    <xf numFmtId="3" fontId="0" fillId="0" borderId="0" xfId="0" applyNumberFormat="1"/>
    <xf numFmtId="0" fontId="3" fillId="29" borderId="0" xfId="0" applyFont="1" applyFill="1" applyAlignment="1">
      <alignment vertical="center"/>
    </xf>
    <xf numFmtId="0" fontId="3" fillId="30" borderId="0" xfId="43" applyFont="1" applyFill="1" applyBorder="1"/>
    <xf numFmtId="0" fontId="0" fillId="30" borderId="0" xfId="0" applyFill="1" applyBorder="1"/>
    <xf numFmtId="164" fontId="3" fillId="30" borderId="0" xfId="43" applyNumberFormat="1" applyFont="1" applyFill="1" applyBorder="1"/>
    <xf numFmtId="164" fontId="3" fillId="29" borderId="25" xfId="43" applyNumberFormat="1" applyFont="1" applyFill="1" applyBorder="1" applyAlignment="1">
      <alignment vertical="center"/>
    </xf>
    <xf numFmtId="0" fontId="3" fillId="29" borderId="0" xfId="43" applyFont="1" applyFill="1"/>
    <xf numFmtId="3" fontId="3" fillId="29" borderId="40" xfId="43" applyNumberFormat="1" applyFont="1" applyFill="1" applyBorder="1"/>
    <xf numFmtId="3" fontId="3" fillId="0" borderId="97" xfId="43" applyNumberFormat="1" applyFont="1" applyBorder="1"/>
    <xf numFmtId="3" fontId="3" fillId="0" borderId="118" xfId="43" applyNumberFormat="1" applyFont="1" applyBorder="1"/>
    <xf numFmtId="167" fontId="18" fillId="0" borderId="0" xfId="0" applyNumberFormat="1" applyFont="1"/>
    <xf numFmtId="0" fontId="3" fillId="0" borderId="0" xfId="0" applyFont="1" applyFill="1"/>
    <xf numFmtId="1" fontId="22" fillId="0" borderId="0" xfId="0" applyNumberFormat="1" applyFont="1" applyFill="1"/>
    <xf numFmtId="0" fontId="22" fillId="0" borderId="0" xfId="0" applyFont="1" applyFill="1"/>
    <xf numFmtId="0" fontId="9" fillId="0" borderId="0" xfId="0" applyFont="1" applyFill="1"/>
    <xf numFmtId="3" fontId="17" fillId="0" borderId="0" xfId="0" applyNumberFormat="1" applyFont="1" applyFill="1"/>
    <xf numFmtId="3" fontId="6" fillId="0" borderId="0" xfId="0" applyNumberFormat="1" applyFont="1" applyFill="1"/>
    <xf numFmtId="0" fontId="15" fillId="0" borderId="0" xfId="0" applyFont="1" applyFill="1"/>
    <xf numFmtId="0" fontId="12" fillId="0" borderId="0" xfId="0" applyFont="1" applyFill="1" applyAlignment="1">
      <alignment horizontal="center"/>
    </xf>
    <xf numFmtId="3" fontId="18" fillId="0" borderId="0" xfId="0" applyNumberFormat="1" applyFont="1" applyFill="1"/>
    <xf numFmtId="0" fontId="18" fillId="0" borderId="0" xfId="0" applyFont="1" applyFill="1"/>
    <xf numFmtId="167" fontId="12" fillId="0" borderId="0" xfId="0" applyNumberFormat="1" applyFont="1" applyFill="1"/>
    <xf numFmtId="0" fontId="24" fillId="0" borderId="0" xfId="0" applyFont="1" applyFill="1"/>
    <xf numFmtId="175" fontId="6" fillId="0" borderId="0" xfId="0" applyNumberFormat="1" applyFont="1" applyFill="1"/>
    <xf numFmtId="0" fontId="68" fillId="0" borderId="0" xfId="0" applyFont="1" applyFill="1"/>
    <xf numFmtId="37" fontId="17" fillId="0" borderId="0" xfId="0" applyNumberFormat="1" applyFont="1" applyFill="1"/>
    <xf numFmtId="1" fontId="6" fillId="0" borderId="25" xfId="43" applyNumberFormat="1" applyFont="1" applyBorder="1" applyAlignment="1">
      <alignment horizontal="center" vertical="center"/>
    </xf>
    <xf numFmtId="1" fontId="6" fillId="0" borderId="32" xfId="43" applyNumberFormat="1" applyFont="1" applyBorder="1" applyAlignment="1">
      <alignment horizontal="center" vertical="center"/>
    </xf>
    <xf numFmtId="9" fontId="7" fillId="0" borderId="0" xfId="46" applyFont="1"/>
    <xf numFmtId="9" fontId="17" fillId="0" borderId="0" xfId="46" applyFont="1"/>
    <xf numFmtId="9" fontId="29" fillId="26" borderId="30" xfId="46" applyFont="1" applyFill="1" applyBorder="1" applyAlignment="1">
      <alignment vertical="center"/>
    </xf>
    <xf numFmtId="9" fontId="29" fillId="26" borderId="18" xfId="46" applyFont="1" applyFill="1" applyBorder="1" applyAlignment="1">
      <alignment vertical="center"/>
    </xf>
    <xf numFmtId="9" fontId="29" fillId="26" borderId="20" xfId="46" applyFont="1" applyFill="1" applyBorder="1" applyAlignment="1">
      <alignment vertical="center"/>
    </xf>
    <xf numFmtId="9" fontId="7" fillId="0" borderId="34" xfId="46" applyFont="1" applyBorder="1" applyAlignment="1">
      <alignment horizontal="center" vertical="center"/>
    </xf>
    <xf numFmtId="9" fontId="12" fillId="0" borderId="35" xfId="46" applyFont="1" applyBorder="1" applyAlignment="1">
      <alignment horizontal="left" vertical="center" indent="1"/>
    </xf>
    <xf numFmtId="9" fontId="3" fillId="27" borderId="119" xfId="46" applyFont="1" applyFill="1" applyBorder="1" applyAlignment="1">
      <alignment vertical="center"/>
    </xf>
    <xf numFmtId="9" fontId="7" fillId="0" borderId="24" xfId="46" applyFont="1" applyBorder="1" applyAlignment="1">
      <alignment horizontal="center" vertical="center"/>
    </xf>
    <xf numFmtId="9" fontId="12" fillId="0" borderId="25" xfId="46" applyFont="1" applyBorder="1" applyAlignment="1">
      <alignment horizontal="left" vertical="center" indent="1"/>
    </xf>
    <xf numFmtId="9" fontId="3" fillId="27" borderId="26" xfId="46" applyFont="1" applyFill="1" applyBorder="1" applyAlignment="1">
      <alignment vertical="center"/>
    </xf>
    <xf numFmtId="9" fontId="12" fillId="0" borderId="25" xfId="46" applyFont="1" applyBorder="1" applyAlignment="1">
      <alignment horizontal="left" vertical="center" indent="2"/>
    </xf>
    <xf numFmtId="9" fontId="6" fillId="0" borderId="25" xfId="46" applyFont="1" applyBorder="1" applyAlignment="1">
      <alignment horizontal="left" vertical="center" indent="3"/>
    </xf>
    <xf numFmtId="9" fontId="3" fillId="27" borderId="25" xfId="46" applyFont="1" applyFill="1" applyBorder="1" applyAlignment="1">
      <alignment vertical="center"/>
    </xf>
    <xf numFmtId="9" fontId="12" fillId="0" borderId="25" xfId="46" applyFont="1" applyBorder="1" applyAlignment="1">
      <alignment horizontal="left" vertical="center" indent="3"/>
    </xf>
    <xf numFmtId="9" fontId="6" fillId="0" borderId="25" xfId="46" applyFont="1" applyBorder="1" applyAlignment="1">
      <alignment horizontal="left" vertical="center" indent="2"/>
    </xf>
    <xf numFmtId="9" fontId="7" fillId="0" borderId="31" xfId="46" applyFont="1" applyBorder="1" applyAlignment="1">
      <alignment horizontal="center" vertical="center"/>
    </xf>
    <xf numFmtId="9" fontId="6" fillId="0" borderId="32" xfId="46" applyFont="1" applyBorder="1" applyAlignment="1">
      <alignment horizontal="left" vertical="center" indent="3"/>
    </xf>
    <xf numFmtId="9" fontId="3" fillId="27" borderId="33" xfId="46" applyFont="1" applyFill="1" applyBorder="1" applyAlignment="1">
      <alignment vertical="center"/>
    </xf>
    <xf numFmtId="1" fontId="14" fillId="0" borderId="0" xfId="43" applyNumberFormat="1" applyFont="1"/>
    <xf numFmtId="1" fontId="14" fillId="0" borderId="16" xfId="43" applyNumberFormat="1" applyFont="1" applyBorder="1"/>
    <xf numFmtId="1" fontId="17" fillId="0" borderId="0" xfId="46" applyNumberFormat="1" applyFont="1"/>
    <xf numFmtId="1" fontId="29" fillId="26" borderId="18" xfId="46" applyNumberFormat="1" applyFont="1" applyFill="1" applyBorder="1" applyAlignment="1">
      <alignment vertical="center"/>
    </xf>
    <xf numFmtId="1" fontId="12" fillId="0" borderId="35" xfId="46" applyNumberFormat="1" applyFont="1" applyBorder="1" applyAlignment="1">
      <alignment horizontal="center" vertical="center"/>
    </xf>
    <xf numFmtId="1" fontId="12" fillId="0" borderId="25" xfId="46" applyNumberFormat="1" applyFont="1" applyBorder="1" applyAlignment="1">
      <alignment horizontal="center" vertical="center"/>
    </xf>
    <xf numFmtId="1" fontId="6" fillId="0" borderId="25" xfId="46" applyNumberFormat="1" applyFont="1" applyBorder="1" applyAlignment="1">
      <alignment horizontal="center" vertical="center"/>
    </xf>
    <xf numFmtId="1" fontId="6" fillId="0" borderId="32" xfId="46" applyNumberFormat="1" applyFont="1" applyBorder="1" applyAlignment="1">
      <alignment horizontal="center" vertical="center"/>
    </xf>
    <xf numFmtId="1" fontId="6" fillId="0" borderId="0" xfId="43" applyNumberFormat="1" applyFont="1" applyBorder="1"/>
    <xf numFmtId="1" fontId="17" fillId="0" borderId="0" xfId="43" applyNumberFormat="1" applyFont="1"/>
    <xf numFmtId="1" fontId="29" fillId="26" borderId="18" xfId="43" applyNumberFormat="1" applyFont="1" applyFill="1" applyBorder="1" applyAlignment="1">
      <alignment vertical="center"/>
    </xf>
    <xf numFmtId="1" fontId="12" fillId="0" borderId="25" xfId="43" applyNumberFormat="1" applyFont="1" applyBorder="1" applyAlignment="1">
      <alignment horizontal="center" vertical="center"/>
    </xf>
    <xf numFmtId="1" fontId="12" fillId="0" borderId="22" xfId="43" applyNumberFormat="1" applyFont="1" applyBorder="1" applyAlignment="1">
      <alignment horizontal="center" vertical="center"/>
    </xf>
    <xf numFmtId="1" fontId="12" fillId="0" borderId="32" xfId="43" applyNumberFormat="1" applyFont="1" applyBorder="1" applyAlignment="1">
      <alignment horizontal="center" vertical="center"/>
    </xf>
    <xf numFmtId="4" fontId="14" fillId="0" borderId="0" xfId="46" applyNumberFormat="1" applyFont="1"/>
    <xf numFmtId="4" fontId="14" fillId="0" borderId="16" xfId="46" applyNumberFormat="1" applyFont="1" applyBorder="1"/>
    <xf numFmtId="4" fontId="17" fillId="0" borderId="0" xfId="46" applyNumberFormat="1" applyFont="1"/>
    <xf numFmtId="4" fontId="8" fillId="26" borderId="18" xfId="46" applyNumberFormat="1" applyFont="1" applyFill="1" applyBorder="1" applyAlignment="1">
      <alignment horizontal="center" vertical="center"/>
    </xf>
    <xf numFmtId="4" fontId="7" fillId="27" borderId="35" xfId="46" applyNumberFormat="1" applyFont="1" applyFill="1" applyBorder="1" applyAlignment="1">
      <alignment vertical="center"/>
    </xf>
    <xf numFmtId="4" fontId="7" fillId="0" borderId="35" xfId="46" applyNumberFormat="1" applyFont="1" applyBorder="1" applyAlignment="1">
      <alignment vertical="center"/>
    </xf>
    <xf numFmtId="4" fontId="7" fillId="27" borderId="25" xfId="46" applyNumberFormat="1" applyFont="1" applyFill="1" applyBorder="1" applyAlignment="1">
      <alignment vertical="center"/>
    </xf>
    <xf numFmtId="4" fontId="7" fillId="0" borderId="25" xfId="46" applyNumberFormat="1" applyFont="1" applyBorder="1" applyAlignment="1">
      <alignment vertical="center"/>
    </xf>
    <xf numFmtId="4" fontId="3" fillId="0" borderId="25" xfId="46" applyNumberFormat="1" applyFont="1" applyBorder="1" applyAlignment="1">
      <alignment vertical="center"/>
    </xf>
    <xf numFmtId="4" fontId="3" fillId="27" borderId="25" xfId="46" applyNumberFormat="1" applyFont="1" applyFill="1" applyBorder="1" applyAlignment="1">
      <alignment vertical="center"/>
    </xf>
    <xf numFmtId="4" fontId="3" fillId="0" borderId="32" xfId="46" applyNumberFormat="1" applyFont="1" applyBorder="1" applyAlignment="1">
      <alignment vertical="center"/>
    </xf>
    <xf numFmtId="4" fontId="3" fillId="27" borderId="32" xfId="46" applyNumberFormat="1" applyFont="1" applyFill="1" applyBorder="1" applyAlignment="1">
      <alignment vertical="center"/>
    </xf>
    <xf numFmtId="4" fontId="14" fillId="0" borderId="0" xfId="46" applyNumberFormat="1" applyFont="1" applyBorder="1"/>
    <xf numFmtId="4" fontId="17" fillId="27" borderId="25" xfId="46" applyNumberFormat="1" applyFont="1" applyFill="1" applyBorder="1" applyAlignment="1">
      <alignment vertical="center"/>
    </xf>
    <xf numFmtId="4" fontId="17" fillId="27" borderId="32" xfId="46" applyNumberFormat="1" applyFont="1" applyFill="1" applyBorder="1" applyAlignment="1">
      <alignment vertical="center"/>
    </xf>
    <xf numFmtId="4" fontId="12" fillId="0" borderId="0" xfId="46" applyNumberFormat="1" applyFont="1" applyAlignment="1">
      <alignment horizontal="center"/>
    </xf>
    <xf numFmtId="4" fontId="7" fillId="27" borderId="22" xfId="46" applyNumberFormat="1" applyFont="1" applyFill="1" applyBorder="1" applyAlignment="1">
      <alignment vertical="center"/>
    </xf>
    <xf numFmtId="4" fontId="7" fillId="27" borderId="32" xfId="46" applyNumberFormat="1" applyFont="1" applyFill="1" applyBorder="1" applyAlignment="1">
      <alignment vertical="center"/>
    </xf>
    <xf numFmtId="14" fontId="7" fillId="0" borderId="0" xfId="46" applyNumberFormat="1" applyFont="1" applyAlignment="1">
      <alignment horizontal="center"/>
    </xf>
    <xf numFmtId="164" fontId="5" fillId="0" borderId="0" xfId="43" applyNumberFormat="1" applyFont="1"/>
    <xf numFmtId="0" fontId="6" fillId="0" borderId="120" xfId="43" applyFont="1" applyFill="1" applyBorder="1" applyAlignment="1">
      <alignment horizontal="center"/>
    </xf>
    <xf numFmtId="4" fontId="30" fillId="0" borderId="0" xfId="43" applyNumberFormat="1" applyFont="1"/>
    <xf numFmtId="3" fontId="3" fillId="0" borderId="121" xfId="43" applyNumberFormat="1" applyFont="1" applyBorder="1"/>
    <xf numFmtId="167" fontId="18" fillId="32" borderId="0" xfId="0" applyNumberFormat="1" applyFont="1" applyFill="1"/>
    <xf numFmtId="0" fontId="3" fillId="33" borderId="0" xfId="43" applyFont="1" applyFill="1"/>
    <xf numFmtId="0" fontId="3" fillId="33" borderId="75" xfId="43" applyFont="1" applyFill="1" applyBorder="1"/>
    <xf numFmtId="0" fontId="3" fillId="33" borderId="122" xfId="43" applyFont="1" applyFill="1" applyBorder="1"/>
    <xf numFmtId="37" fontId="3" fillId="33" borderId="42" xfId="43" applyNumberFormat="1" applyFont="1" applyFill="1" applyBorder="1" applyAlignment="1">
      <alignment horizontal="left" vertical="center" indent="1"/>
    </xf>
    <xf numFmtId="0" fontId="3" fillId="33" borderId="123" xfId="43" applyFont="1" applyFill="1" applyBorder="1"/>
    <xf numFmtId="37" fontId="7" fillId="33" borderId="124" xfId="43" quotePrefix="1" applyNumberFormat="1" applyFont="1" applyFill="1" applyBorder="1" applyAlignment="1">
      <alignment horizontal="left" vertical="center"/>
    </xf>
    <xf numFmtId="0" fontId="3" fillId="33" borderId="124" xfId="43" applyFont="1" applyFill="1" applyBorder="1"/>
    <xf numFmtId="37" fontId="3" fillId="33" borderId="125" xfId="43" applyNumberFormat="1" applyFont="1" applyFill="1" applyBorder="1" applyAlignment="1">
      <alignment vertical="center"/>
    </xf>
    <xf numFmtId="0" fontId="3" fillId="33" borderId="126" xfId="43" applyFont="1" applyFill="1" applyBorder="1"/>
    <xf numFmtId="0" fontId="3" fillId="33" borderId="127" xfId="43" applyFont="1" applyFill="1" applyBorder="1"/>
    <xf numFmtId="37" fontId="3" fillId="33" borderId="126" xfId="43" applyNumberFormat="1" applyFont="1" applyFill="1" applyBorder="1" applyAlignment="1">
      <alignment vertical="center"/>
    </xf>
    <xf numFmtId="0" fontId="3" fillId="33" borderId="128" xfId="43" applyFont="1" applyFill="1" applyBorder="1"/>
    <xf numFmtId="37" fontId="7" fillId="33" borderId="116" xfId="43" quotePrefix="1" applyNumberFormat="1" applyFont="1" applyFill="1" applyBorder="1" applyAlignment="1">
      <alignment horizontal="left" vertical="center" indent="1"/>
    </xf>
    <xf numFmtId="0" fontId="3" fillId="33" borderId="116" xfId="43" applyFont="1" applyFill="1" applyBorder="1"/>
    <xf numFmtId="37" fontId="3" fillId="33" borderId="129" xfId="43" applyNumberFormat="1" applyFont="1" applyFill="1" applyBorder="1" applyAlignment="1">
      <alignment vertical="center"/>
    </xf>
    <xf numFmtId="0" fontId="3" fillId="33" borderId="130" xfId="43" applyFont="1" applyFill="1" applyBorder="1"/>
    <xf numFmtId="0" fontId="43" fillId="33" borderId="131" xfId="43" applyFont="1" applyFill="1" applyBorder="1" applyAlignment="1">
      <alignment horizontal="left"/>
    </xf>
    <xf numFmtId="37" fontId="3" fillId="33" borderId="75" xfId="43" quotePrefix="1" applyNumberFormat="1" applyFont="1" applyFill="1" applyBorder="1" applyAlignment="1">
      <alignment vertical="center"/>
    </xf>
    <xf numFmtId="0" fontId="3" fillId="33" borderId="132" xfId="43" applyFont="1" applyFill="1" applyBorder="1"/>
    <xf numFmtId="0" fontId="43" fillId="33" borderId="74" xfId="43" applyFont="1" applyFill="1" applyBorder="1"/>
    <xf numFmtId="37" fontId="3" fillId="33" borderId="122" xfId="43" applyNumberFormat="1" applyFont="1" applyFill="1" applyBorder="1" applyAlignment="1">
      <alignment horizontal="left" vertical="center" indent="2"/>
    </xf>
    <xf numFmtId="0" fontId="43" fillId="33" borderId="133" xfId="43" applyFont="1" applyFill="1" applyBorder="1"/>
    <xf numFmtId="0" fontId="3" fillId="33" borderId="134" xfId="43" applyFont="1" applyFill="1" applyBorder="1"/>
    <xf numFmtId="37" fontId="7" fillId="33" borderId="135" xfId="43" quotePrefix="1" applyNumberFormat="1" applyFont="1" applyFill="1" applyBorder="1" applyAlignment="1">
      <alignment horizontal="left" vertical="center" indent="1"/>
    </xf>
    <xf numFmtId="0" fontId="3" fillId="33" borderId="135" xfId="43" applyFont="1" applyFill="1" applyBorder="1"/>
    <xf numFmtId="0" fontId="3" fillId="33" borderId="136" xfId="43" applyFont="1" applyFill="1" applyBorder="1"/>
    <xf numFmtId="37" fontId="7" fillId="33" borderId="126" xfId="43" quotePrefix="1" applyNumberFormat="1" applyFont="1" applyFill="1" applyBorder="1" applyAlignment="1">
      <alignment horizontal="left" vertical="center"/>
    </xf>
    <xf numFmtId="37" fontId="7" fillId="33" borderId="126" xfId="43" applyNumberFormat="1" applyFont="1" applyFill="1" applyBorder="1" applyAlignment="1">
      <alignment vertical="center"/>
    </xf>
    <xf numFmtId="37" fontId="7" fillId="33" borderId="116" xfId="43" applyNumberFormat="1" applyFont="1" applyFill="1" applyBorder="1" applyAlignment="1">
      <alignment vertical="center"/>
    </xf>
    <xf numFmtId="0" fontId="3" fillId="32" borderId="0" xfId="0" applyFont="1" applyFill="1"/>
    <xf numFmtId="0" fontId="7" fillId="34" borderId="0" xfId="0" applyFont="1" applyFill="1"/>
    <xf numFmtId="1" fontId="3" fillId="0" borderId="0" xfId="0" applyNumberFormat="1" applyFont="1" applyFill="1"/>
    <xf numFmtId="179" fontId="17" fillId="0" borderId="0" xfId="33" applyNumberFormat="1" applyFont="1"/>
    <xf numFmtId="0" fontId="28" fillId="0" borderId="16" xfId="43" applyFont="1" applyBorder="1"/>
    <xf numFmtId="3" fontId="3" fillId="33" borderId="40" xfId="43" applyNumberFormat="1" applyFont="1" applyFill="1" applyBorder="1"/>
    <xf numFmtId="3" fontId="3" fillId="33" borderId="43" xfId="43" applyNumberFormat="1" applyFont="1" applyFill="1" applyBorder="1"/>
    <xf numFmtId="37" fontId="3" fillId="0" borderId="16" xfId="43" applyNumberFormat="1" applyFont="1" applyBorder="1" applyAlignment="1">
      <alignment vertical="center"/>
    </xf>
    <xf numFmtId="0" fontId="3" fillId="33" borderId="94" xfId="43" applyFont="1" applyFill="1" applyBorder="1"/>
    <xf numFmtId="0" fontId="7" fillId="32" borderId="0" xfId="0" applyFont="1" applyFill="1"/>
    <xf numFmtId="0" fontId="3" fillId="33" borderId="137" xfId="43" applyFont="1" applyFill="1" applyBorder="1" applyAlignment="1">
      <alignment vertical="center"/>
    </xf>
    <xf numFmtId="37" fontId="3" fillId="33" borderId="137" xfId="43" applyNumberFormat="1" applyFont="1" applyFill="1" applyBorder="1" applyAlignment="1">
      <alignment vertical="center"/>
    </xf>
    <xf numFmtId="37" fontId="3" fillId="33" borderId="74" xfId="43" quotePrefix="1" applyNumberFormat="1" applyFont="1" applyFill="1" applyBorder="1" applyAlignment="1">
      <alignment horizontal="left" vertical="center" indent="2"/>
    </xf>
    <xf numFmtId="0" fontId="3" fillId="33" borderId="75" xfId="43" applyFont="1" applyFill="1" applyBorder="1" applyAlignment="1">
      <alignment vertical="center"/>
    </xf>
    <xf numFmtId="37" fontId="3" fillId="33" borderId="75" xfId="43" applyNumberFormat="1" applyFont="1" applyFill="1" applyBorder="1" applyAlignment="1">
      <alignment vertical="center"/>
    </xf>
    <xf numFmtId="37" fontId="3" fillId="33" borderId="77" xfId="43" quotePrefix="1" applyNumberFormat="1" applyFont="1" applyFill="1" applyBorder="1" applyAlignment="1">
      <alignment horizontal="left" vertical="center" indent="2"/>
    </xf>
    <xf numFmtId="0" fontId="3" fillId="33" borderId="76" xfId="43" applyFont="1" applyFill="1" applyBorder="1" applyAlignment="1">
      <alignment vertical="center"/>
    </xf>
    <xf numFmtId="37" fontId="3" fillId="33" borderId="76" xfId="43" applyNumberFormat="1" applyFont="1" applyFill="1" applyBorder="1" applyAlignment="1">
      <alignment vertical="center"/>
    </xf>
    <xf numFmtId="0" fontId="3" fillId="33" borderId="137" xfId="43" applyFont="1" applyFill="1" applyBorder="1"/>
    <xf numFmtId="0" fontId="3" fillId="33" borderId="76" xfId="43" applyFont="1" applyFill="1" applyBorder="1"/>
    <xf numFmtId="37" fontId="5" fillId="33" borderId="72" xfId="43" applyNumberFormat="1" applyFont="1" applyFill="1" applyBorder="1" applyAlignment="1">
      <alignment horizontal="left" vertical="center" indent="1"/>
    </xf>
    <xf numFmtId="37" fontId="5" fillId="33" borderId="73" xfId="43" applyNumberFormat="1" applyFont="1" applyFill="1" applyBorder="1" applyAlignment="1">
      <alignment vertical="center"/>
    </xf>
    <xf numFmtId="0" fontId="7" fillId="33" borderId="137" xfId="43" applyFont="1" applyFill="1" applyBorder="1" applyAlignment="1">
      <alignment vertical="center"/>
    </xf>
    <xf numFmtId="0" fontId="3" fillId="33" borderId="138" xfId="43" applyFont="1" applyFill="1" applyBorder="1"/>
    <xf numFmtId="0" fontId="3" fillId="33" borderId="139" xfId="43" applyFont="1" applyFill="1" applyBorder="1" applyAlignment="1">
      <alignment vertical="center"/>
    </xf>
    <xf numFmtId="0" fontId="3" fillId="33" borderId="139" xfId="43" applyFont="1" applyFill="1" applyBorder="1"/>
    <xf numFmtId="0" fontId="3" fillId="33" borderId="140" xfId="43" applyFont="1" applyFill="1" applyBorder="1"/>
    <xf numFmtId="37" fontId="3" fillId="33" borderId="141" xfId="43" quotePrefix="1" applyNumberFormat="1" applyFont="1" applyFill="1" applyBorder="1" applyAlignment="1">
      <alignment horizontal="left" vertical="center" indent="1"/>
    </xf>
    <xf numFmtId="37" fontId="3" fillId="33" borderId="142" xfId="43" applyNumberFormat="1" applyFont="1" applyFill="1" applyBorder="1" applyAlignment="1">
      <alignment horizontal="left" vertical="center" indent="1"/>
    </xf>
    <xf numFmtId="0" fontId="3" fillId="33" borderId="0" xfId="43" applyFont="1" applyFill="1" applyBorder="1" applyAlignment="1">
      <alignment vertical="center"/>
    </xf>
    <xf numFmtId="37" fontId="3" fillId="33" borderId="0" xfId="43" applyNumberFormat="1" applyFont="1" applyFill="1" applyBorder="1" applyAlignment="1">
      <alignment vertical="center"/>
    </xf>
    <xf numFmtId="0" fontId="3" fillId="33" borderId="0" xfId="43" applyFont="1" applyFill="1" applyBorder="1"/>
    <xf numFmtId="37" fontId="3" fillId="33" borderId="143" xfId="43" quotePrefix="1" applyNumberFormat="1" applyFont="1" applyFill="1" applyBorder="1" applyAlignment="1">
      <alignment horizontal="left" vertical="center" indent="1"/>
    </xf>
    <xf numFmtId="37" fontId="3" fillId="33" borderId="139" xfId="43" applyNumberFormat="1" applyFont="1" applyFill="1" applyBorder="1" applyAlignment="1">
      <alignment vertical="center"/>
    </xf>
    <xf numFmtId="0" fontId="3" fillId="33" borderId="140" xfId="43" applyFont="1" applyFill="1" applyBorder="1" applyAlignment="1">
      <alignment vertical="center"/>
    </xf>
    <xf numFmtId="37" fontId="3" fillId="33" borderId="140" xfId="43" applyNumberFormat="1" applyFont="1" applyFill="1" applyBorder="1" applyAlignment="1">
      <alignment vertical="center"/>
    </xf>
    <xf numFmtId="37" fontId="7" fillId="33" borderId="141" xfId="43" applyNumberFormat="1" applyFont="1" applyFill="1" applyBorder="1" applyAlignment="1">
      <alignment horizontal="left" vertical="center" indent="1"/>
    </xf>
    <xf numFmtId="0" fontId="3" fillId="33" borderId="144" xfId="43" applyFont="1" applyFill="1" applyBorder="1" applyAlignment="1">
      <alignment vertical="center"/>
    </xf>
    <xf numFmtId="0" fontId="3" fillId="33" borderId="145" xfId="43" applyFont="1" applyFill="1" applyBorder="1" applyAlignment="1">
      <alignment vertical="center"/>
    </xf>
    <xf numFmtId="0" fontId="3" fillId="33" borderId="146" xfId="43" applyFont="1" applyFill="1" applyBorder="1" applyAlignment="1">
      <alignment vertical="center"/>
    </xf>
    <xf numFmtId="0" fontId="3" fillId="33" borderId="147" xfId="43" applyFont="1" applyFill="1" applyBorder="1" applyAlignment="1">
      <alignment horizontal="center" vertical="center"/>
    </xf>
    <xf numFmtId="0" fontId="3" fillId="33" borderId="148" xfId="43" applyFont="1" applyFill="1" applyBorder="1" applyAlignment="1">
      <alignment horizontal="center" vertical="center"/>
    </xf>
    <xf numFmtId="0" fontId="3" fillId="33" borderId="149" xfId="43" applyFont="1" applyFill="1" applyBorder="1" applyAlignment="1">
      <alignment horizontal="center" vertical="center"/>
    </xf>
    <xf numFmtId="0" fontId="3" fillId="33" borderId="96" xfId="43" applyFont="1" applyFill="1" applyBorder="1" applyAlignment="1">
      <alignment horizontal="center" vertical="center"/>
    </xf>
    <xf numFmtId="0" fontId="3" fillId="33" borderId="94" xfId="43" applyFont="1" applyFill="1" applyBorder="1" applyAlignment="1">
      <alignment horizontal="center" vertical="center"/>
    </xf>
    <xf numFmtId="0" fontId="3" fillId="33" borderId="95" xfId="43" applyFont="1" applyFill="1" applyBorder="1" applyAlignment="1">
      <alignment horizontal="center" vertical="center"/>
    </xf>
    <xf numFmtId="164" fontId="3" fillId="33" borderId="96" xfId="43" applyNumberFormat="1" applyFont="1" applyFill="1" applyBorder="1" applyAlignment="1">
      <alignment horizontal="center" vertical="center"/>
    </xf>
    <xf numFmtId="164" fontId="3" fillId="33" borderId="95" xfId="43" applyNumberFormat="1" applyFont="1" applyFill="1" applyBorder="1" applyAlignment="1">
      <alignment horizontal="center" vertical="center"/>
    </xf>
    <xf numFmtId="177" fontId="69" fillId="33" borderId="97" xfId="43" applyNumberFormat="1" applyFont="1" applyFill="1" applyBorder="1" applyAlignment="1">
      <alignment horizontal="right" vertical="center"/>
    </xf>
    <xf numFmtId="0" fontId="3" fillId="33" borderId="147" xfId="43" applyFont="1" applyFill="1" applyBorder="1" applyAlignment="1">
      <alignment vertical="center"/>
    </xf>
    <xf numFmtId="0" fontId="3" fillId="33" borderId="148" xfId="43" applyFont="1" applyFill="1" applyBorder="1" applyAlignment="1">
      <alignment vertical="center"/>
    </xf>
    <xf numFmtId="0" fontId="3" fillId="33" borderId="149" xfId="43" applyFont="1" applyFill="1" applyBorder="1" applyAlignment="1">
      <alignment vertical="center"/>
    </xf>
    <xf numFmtId="0" fontId="3" fillId="33" borderId="150" xfId="43" applyFont="1" applyFill="1" applyBorder="1" applyAlignment="1">
      <alignment vertical="center"/>
    </xf>
    <xf numFmtId="0" fontId="3" fillId="33" borderId="151" xfId="43" applyFont="1" applyFill="1" applyBorder="1" applyAlignment="1">
      <alignment vertical="center"/>
    </xf>
    <xf numFmtId="0" fontId="3" fillId="33" borderId="152" xfId="43" applyFont="1" applyFill="1" applyBorder="1" applyAlignment="1">
      <alignment vertical="center"/>
    </xf>
    <xf numFmtId="0" fontId="7" fillId="33" borderId="141" xfId="43" applyFont="1" applyFill="1" applyBorder="1" applyAlignment="1">
      <alignment vertical="center"/>
    </xf>
    <xf numFmtId="0" fontId="7" fillId="33" borderId="153" xfId="43" applyFont="1" applyFill="1" applyBorder="1" applyAlignment="1">
      <alignment vertical="center"/>
    </xf>
    <xf numFmtId="0" fontId="7" fillId="33" borderId="154" xfId="43" applyFont="1" applyFill="1" applyBorder="1" applyAlignment="1">
      <alignment vertical="center"/>
    </xf>
    <xf numFmtId="0" fontId="7" fillId="33" borderId="113" xfId="43" applyFont="1" applyFill="1" applyBorder="1" applyAlignment="1">
      <alignment vertical="center"/>
    </xf>
    <xf numFmtId="0" fontId="7" fillId="33" borderId="16" xfId="43" applyFont="1" applyFill="1" applyBorder="1" applyAlignment="1">
      <alignment vertical="center"/>
    </xf>
    <xf numFmtId="0" fontId="7" fillId="33" borderId="155" xfId="43" applyFont="1" applyFill="1" applyBorder="1" applyAlignment="1">
      <alignment vertical="center"/>
    </xf>
    <xf numFmtId="0" fontId="7" fillId="33" borderId="156" xfId="43" applyFont="1" applyFill="1" applyBorder="1" applyAlignment="1">
      <alignment vertical="center"/>
    </xf>
    <xf numFmtId="0" fontId="7" fillId="33" borderId="157" xfId="43" applyFont="1" applyFill="1" applyBorder="1" applyAlignment="1">
      <alignment horizontal="center" vertical="center" wrapText="1"/>
    </xf>
    <xf numFmtId="0" fontId="7" fillId="33" borderId="0" xfId="43" applyFont="1" applyFill="1" applyBorder="1" applyAlignment="1">
      <alignment horizontal="center" vertical="center" wrapText="1"/>
    </xf>
    <xf numFmtId="0" fontId="7" fillId="33" borderId="158" xfId="43" applyFont="1" applyFill="1" applyBorder="1" applyAlignment="1">
      <alignment horizontal="center" vertical="center" wrapText="1"/>
    </xf>
    <xf numFmtId="0" fontId="7" fillId="33" borderId="159" xfId="43" applyFont="1" applyFill="1" applyBorder="1" applyAlignment="1">
      <alignment horizontal="center" vertical="center"/>
    </xf>
    <xf numFmtId="0" fontId="7" fillId="33" borderId="0" xfId="43" applyFont="1" applyFill="1" applyBorder="1" applyAlignment="1">
      <alignment horizontal="center" vertical="center"/>
    </xf>
    <xf numFmtId="0" fontId="7" fillId="33" borderId="158" xfId="43" applyFont="1" applyFill="1" applyBorder="1" applyAlignment="1">
      <alignment horizontal="center" vertical="center"/>
    </xf>
    <xf numFmtId="176" fontId="7" fillId="33" borderId="112" xfId="43" applyNumberFormat="1" applyFont="1" applyFill="1" applyBorder="1" applyAlignment="1">
      <alignment horizontal="left" vertical="center"/>
    </xf>
    <xf numFmtId="176" fontId="7" fillId="33" borderId="160" xfId="43" applyNumberFormat="1" applyFont="1" applyFill="1" applyBorder="1" applyAlignment="1">
      <alignment horizontal="left" vertical="center"/>
    </xf>
    <xf numFmtId="176" fontId="7" fillId="33" borderId="161" xfId="43" applyNumberFormat="1" applyFont="1" applyFill="1" applyBorder="1" applyAlignment="1">
      <alignment horizontal="left" vertical="center"/>
    </xf>
    <xf numFmtId="164" fontId="3" fillId="33" borderId="159" xfId="43" applyNumberFormat="1" applyFont="1" applyFill="1" applyBorder="1" applyAlignment="1">
      <alignment horizontal="center" vertical="center"/>
    </xf>
    <xf numFmtId="164" fontId="3" fillId="33" borderId="158" xfId="43" applyNumberFormat="1" applyFont="1" applyFill="1" applyBorder="1" applyAlignment="1">
      <alignment horizontal="center" vertical="center"/>
    </xf>
    <xf numFmtId="177" fontId="69" fillId="33" borderId="159" xfId="43" applyNumberFormat="1" applyFont="1" applyFill="1" applyBorder="1" applyAlignment="1">
      <alignment horizontal="center" vertical="center"/>
    </xf>
    <xf numFmtId="177" fontId="69" fillId="33" borderId="158" xfId="43" applyNumberFormat="1" applyFont="1" applyFill="1" applyBorder="1" applyAlignment="1">
      <alignment horizontal="center" vertical="center"/>
    </xf>
    <xf numFmtId="177" fontId="69" fillId="33" borderId="159" xfId="43" applyNumberFormat="1" applyFont="1" applyFill="1" applyBorder="1" applyAlignment="1">
      <alignment vertical="center"/>
    </xf>
    <xf numFmtId="177" fontId="69" fillId="33" borderId="158" xfId="43" applyNumberFormat="1" applyFont="1" applyFill="1" applyBorder="1" applyAlignment="1">
      <alignment vertical="center"/>
    </xf>
    <xf numFmtId="0" fontId="3" fillId="33" borderId="162" xfId="43" applyFont="1" applyFill="1" applyBorder="1"/>
    <xf numFmtId="179" fontId="30" fillId="0" borderId="0" xfId="43" applyNumberFormat="1" applyFont="1" applyAlignment="1">
      <alignment horizontal="center"/>
    </xf>
    <xf numFmtId="3" fontId="6" fillId="32" borderId="0" xfId="0" applyNumberFormat="1" applyFont="1" applyFill="1"/>
    <xf numFmtId="3" fontId="18" fillId="32" borderId="0" xfId="0" applyNumberFormat="1" applyFont="1" applyFill="1"/>
    <xf numFmtId="3" fontId="12" fillId="32" borderId="0" xfId="0" applyNumberFormat="1" applyFont="1" applyFill="1"/>
    <xf numFmtId="0" fontId="9" fillId="32" borderId="0" xfId="0" applyFont="1" applyFill="1"/>
    <xf numFmtId="0" fontId="22" fillId="32" borderId="0" xfId="0" applyFont="1" applyFill="1"/>
    <xf numFmtId="1" fontId="22" fillId="32" borderId="0" xfId="0" applyNumberFormat="1" applyFont="1" applyFill="1"/>
    <xf numFmtId="1" fontId="3" fillId="32" borderId="0" xfId="0" applyNumberFormat="1" applyFont="1" applyFill="1"/>
    <xf numFmtId="1" fontId="12" fillId="0" borderId="25" xfId="46" applyNumberFormat="1" applyFont="1" applyFill="1" applyBorder="1" applyAlignment="1">
      <alignment horizontal="center" vertical="center"/>
    </xf>
    <xf numFmtId="9" fontId="12" fillId="0" borderId="25" xfId="46" applyFont="1" applyFill="1" applyBorder="1" applyAlignment="1">
      <alignment horizontal="left" vertical="center" indent="2"/>
    </xf>
    <xf numFmtId="1" fontId="6" fillId="0" borderId="25" xfId="46" applyNumberFormat="1" applyFont="1" applyFill="1" applyBorder="1" applyAlignment="1">
      <alignment horizontal="center" vertical="center"/>
    </xf>
    <xf numFmtId="9" fontId="6" fillId="0" borderId="25" xfId="46" applyFont="1" applyFill="1" applyBorder="1" applyAlignment="1">
      <alignment horizontal="left" vertical="center" indent="3"/>
    </xf>
    <xf numFmtId="167" fontId="6" fillId="33" borderId="0" xfId="36" applyNumberFormat="1" applyFont="1" applyFill="1"/>
    <xf numFmtId="0" fontId="45" fillId="28" borderId="0" xfId="43" applyFont="1" applyFill="1"/>
    <xf numFmtId="3" fontId="43" fillId="33" borderId="40" xfId="43" applyNumberFormat="1" applyFont="1" applyFill="1" applyBorder="1"/>
    <xf numFmtId="3" fontId="11" fillId="33" borderId="61" xfId="43" applyNumberFormat="1" applyFont="1" applyFill="1" applyBorder="1"/>
    <xf numFmtId="3" fontId="7" fillId="33" borderId="40" xfId="43" applyNumberFormat="1" applyFont="1" applyFill="1" applyBorder="1"/>
    <xf numFmtId="3" fontId="11" fillId="33" borderId="40" xfId="43" applyNumberFormat="1" applyFont="1" applyFill="1" applyBorder="1"/>
    <xf numFmtId="3" fontId="11" fillId="36" borderId="51" xfId="43" applyNumberFormat="1" applyFont="1" applyFill="1" applyBorder="1"/>
    <xf numFmtId="179" fontId="14" fillId="0" borderId="0" xfId="33" applyNumberFormat="1" applyFont="1"/>
    <xf numFmtId="3" fontId="6" fillId="33" borderId="40" xfId="43" applyNumberFormat="1" applyFont="1" applyFill="1" applyBorder="1"/>
    <xf numFmtId="4" fontId="3" fillId="33" borderId="25" xfId="46" applyNumberFormat="1" applyFont="1" applyFill="1" applyBorder="1" applyAlignment="1">
      <alignment vertical="center"/>
    </xf>
    <xf numFmtId="37" fontId="3" fillId="33" borderId="93" xfId="43" applyNumberFormat="1" applyFont="1" applyFill="1" applyBorder="1" applyAlignment="1">
      <alignment horizontal="left" vertical="center" indent="1"/>
    </xf>
    <xf numFmtId="37" fontId="3" fillId="33" borderId="163" xfId="43" applyNumberFormat="1" applyFont="1" applyFill="1" applyBorder="1" applyAlignment="1">
      <alignment horizontal="left" vertical="center" indent="1"/>
    </xf>
    <xf numFmtId="37" fontId="3" fillId="33" borderId="164" xfId="43" applyNumberFormat="1" applyFont="1" applyFill="1" applyBorder="1" applyAlignment="1">
      <alignment horizontal="left" vertical="center" indent="1"/>
    </xf>
    <xf numFmtId="37" fontId="3" fillId="33" borderId="165" xfId="43" applyNumberFormat="1" applyFont="1" applyFill="1" applyBorder="1" applyAlignment="1">
      <alignment horizontal="left" vertical="center" indent="1"/>
    </xf>
    <xf numFmtId="37" fontId="3" fillId="33" borderId="166" xfId="43" applyNumberFormat="1" applyFont="1" applyFill="1" applyBorder="1" applyAlignment="1">
      <alignment horizontal="left" vertical="center" indent="1"/>
    </xf>
    <xf numFmtId="37" fontId="3" fillId="33" borderId="167" xfId="43" applyNumberFormat="1" applyFont="1" applyFill="1" applyBorder="1" applyAlignment="1">
      <alignment horizontal="left" vertical="center" indent="1"/>
    </xf>
    <xf numFmtId="37" fontId="3" fillId="33" borderId="160" xfId="43" applyNumberFormat="1" applyFont="1" applyFill="1" applyBorder="1" applyAlignment="1">
      <alignment horizontal="left" vertical="center" indent="1"/>
    </xf>
    <xf numFmtId="37" fontId="3" fillId="33" borderId="112" xfId="43" applyNumberFormat="1" applyFont="1" applyFill="1" applyBorder="1" applyAlignment="1">
      <alignment horizontal="left" vertical="center" indent="1"/>
    </xf>
    <xf numFmtId="37" fontId="3" fillId="33" borderId="168" xfId="43" applyNumberFormat="1" applyFont="1" applyFill="1" applyBorder="1" applyAlignment="1">
      <alignment horizontal="left" vertical="center" indent="1"/>
    </xf>
    <xf numFmtId="164" fontId="3" fillId="33" borderId="25" xfId="43" applyNumberFormat="1" applyFont="1" applyFill="1" applyBorder="1" applyAlignment="1">
      <alignment vertical="center"/>
    </xf>
    <xf numFmtId="3" fontId="35" fillId="33" borderId="40" xfId="43" applyNumberFormat="1" applyFont="1" applyFill="1" applyBorder="1"/>
    <xf numFmtId="0" fontId="14" fillId="0" borderId="0" xfId="43" applyFont="1" applyAlignment="1">
      <alignment horizontal="right"/>
    </xf>
    <xf numFmtId="164" fontId="28" fillId="0" borderId="0" xfId="43" applyNumberFormat="1" applyFont="1"/>
    <xf numFmtId="37" fontId="3" fillId="33" borderId="94" xfId="43" quotePrefix="1" applyNumberFormat="1" applyFont="1" applyFill="1" applyBorder="1" applyAlignment="1">
      <alignment horizontal="center" vertical="center"/>
    </xf>
    <xf numFmtId="37" fontId="3" fillId="33" borderId="169" xfId="43" applyNumberFormat="1" applyFont="1" applyFill="1" applyBorder="1" applyAlignment="1">
      <alignment horizontal="center" vertical="center"/>
    </xf>
    <xf numFmtId="37" fontId="3" fillId="33" borderId="170" xfId="43" applyNumberFormat="1" applyFont="1" applyFill="1" applyBorder="1" applyAlignment="1">
      <alignment horizontal="left" vertical="center" indent="1"/>
    </xf>
    <xf numFmtId="0" fontId="3" fillId="33" borderId="169" xfId="43" applyFont="1" applyFill="1" applyBorder="1"/>
    <xf numFmtId="37" fontId="3" fillId="33" borderId="169" xfId="43" quotePrefix="1" applyNumberFormat="1" applyFont="1" applyFill="1" applyBorder="1" applyAlignment="1">
      <alignment horizontal="center" vertical="center"/>
    </xf>
    <xf numFmtId="37" fontId="3" fillId="33" borderId="12" xfId="43" applyNumberFormat="1" applyFont="1" applyFill="1" applyBorder="1" applyAlignment="1">
      <alignment horizontal="left" vertical="center" indent="1"/>
    </xf>
    <xf numFmtId="0" fontId="3" fillId="33" borderId="171" xfId="43" applyFont="1" applyFill="1" applyBorder="1"/>
    <xf numFmtId="37" fontId="3" fillId="33" borderId="40" xfId="43" applyNumberFormat="1" applyFont="1" applyFill="1" applyBorder="1" applyAlignment="1">
      <alignment horizontal="left" vertical="center" indent="1"/>
    </xf>
    <xf numFmtId="37" fontId="3" fillId="33" borderId="75" xfId="43" quotePrefix="1" applyNumberFormat="1" applyFont="1" applyFill="1" applyBorder="1" applyAlignment="1">
      <alignment horizontal="center" vertical="center"/>
    </xf>
    <xf numFmtId="37" fontId="3" fillId="33" borderId="162" xfId="43" quotePrefix="1" applyNumberFormat="1" applyFont="1" applyFill="1" applyBorder="1" applyAlignment="1">
      <alignment horizontal="center" vertical="center"/>
    </xf>
    <xf numFmtId="37" fontId="7" fillId="33" borderId="72" xfId="43" applyNumberFormat="1" applyFont="1" applyFill="1" applyBorder="1" applyAlignment="1">
      <alignment vertical="center"/>
    </xf>
    <xf numFmtId="37" fontId="7" fillId="33" borderId="73" xfId="43" applyNumberFormat="1" applyFont="1" applyFill="1" applyBorder="1" applyAlignment="1">
      <alignment vertical="center"/>
    </xf>
    <xf numFmtId="37" fontId="7" fillId="33" borderId="73" xfId="43" applyNumberFormat="1" applyFont="1" applyFill="1" applyBorder="1" applyAlignment="1">
      <alignment horizontal="left" vertical="center" indent="2"/>
    </xf>
    <xf numFmtId="37" fontId="7" fillId="33" borderId="172" xfId="43" applyNumberFormat="1" applyFont="1" applyFill="1" applyBorder="1" applyAlignment="1">
      <alignment horizontal="left" vertical="center" indent="2"/>
    </xf>
    <xf numFmtId="0" fontId="3" fillId="33" borderId="160" xfId="43" applyFont="1" applyFill="1" applyBorder="1"/>
    <xf numFmtId="37" fontId="3" fillId="33" borderId="160" xfId="43" quotePrefix="1" applyNumberFormat="1" applyFont="1" applyFill="1" applyBorder="1" applyAlignment="1">
      <alignment horizontal="center" vertical="center"/>
    </xf>
    <xf numFmtId="0" fontId="3" fillId="33" borderId="173" xfId="43" applyFont="1" applyFill="1" applyBorder="1"/>
    <xf numFmtId="0" fontId="3" fillId="33" borderId="80" xfId="43" applyFont="1" applyFill="1" applyBorder="1"/>
    <xf numFmtId="37" fontId="3" fillId="33" borderId="80" xfId="43" quotePrefix="1" applyNumberFormat="1" applyFont="1" applyFill="1" applyBorder="1" applyAlignment="1">
      <alignment horizontal="center" vertical="center"/>
    </xf>
    <xf numFmtId="0" fontId="3" fillId="33" borderId="174" xfId="43" applyFont="1" applyFill="1" applyBorder="1"/>
    <xf numFmtId="0" fontId="3" fillId="33" borderId="95" xfId="43" applyFont="1" applyFill="1" applyBorder="1"/>
    <xf numFmtId="0" fontId="3" fillId="33" borderId="161" xfId="43" applyFont="1" applyFill="1" applyBorder="1"/>
    <xf numFmtId="37" fontId="7" fillId="33" borderId="72" xfId="43" applyNumberFormat="1" applyFont="1" applyFill="1" applyBorder="1" applyAlignment="1">
      <alignment horizontal="left" vertical="center" indent="2"/>
    </xf>
    <xf numFmtId="37" fontId="3" fillId="33" borderId="170" xfId="43" applyNumberFormat="1" applyFont="1" applyFill="1" applyBorder="1" applyAlignment="1">
      <alignment horizontal="left" vertical="center" indent="2"/>
    </xf>
    <xf numFmtId="37" fontId="7" fillId="33" borderId="169" xfId="43" applyNumberFormat="1" applyFont="1" applyFill="1" applyBorder="1" applyAlignment="1">
      <alignment horizontal="left" vertical="center" indent="2"/>
    </xf>
    <xf numFmtId="37" fontId="7" fillId="33" borderId="108" xfId="43" applyNumberFormat="1" applyFont="1" applyFill="1" applyBorder="1" applyAlignment="1">
      <alignment horizontal="left" vertical="center" indent="2"/>
    </xf>
    <xf numFmtId="37" fontId="7" fillId="33" borderId="173" xfId="43" applyNumberFormat="1" applyFont="1" applyFill="1" applyBorder="1" applyAlignment="1">
      <alignment horizontal="left" vertical="center" indent="2"/>
    </xf>
    <xf numFmtId="37" fontId="7" fillId="33" borderId="175" xfId="43" applyNumberFormat="1" applyFont="1" applyFill="1" applyBorder="1" applyAlignment="1">
      <alignment horizontal="left" vertical="center" indent="2"/>
    </xf>
    <xf numFmtId="37" fontId="3" fillId="33" borderId="176" xfId="43" applyNumberFormat="1" applyFont="1" applyFill="1" applyBorder="1" applyAlignment="1">
      <alignment horizontal="left" vertical="center" indent="1"/>
    </xf>
    <xf numFmtId="0" fontId="3" fillId="33" borderId="177" xfId="43" applyFont="1" applyFill="1" applyBorder="1"/>
    <xf numFmtId="37" fontId="3" fillId="33" borderId="178" xfId="43" applyNumberFormat="1" applyFont="1" applyFill="1" applyBorder="1" applyAlignment="1">
      <alignment horizontal="left" vertical="center" indent="1"/>
    </xf>
    <xf numFmtId="0" fontId="3" fillId="33" borderId="179" xfId="43" applyFont="1" applyFill="1" applyBorder="1"/>
    <xf numFmtId="37" fontId="3" fillId="33" borderId="180" xfId="43" quotePrefix="1" applyNumberFormat="1" applyFont="1" applyFill="1" applyBorder="1" applyAlignment="1">
      <alignment horizontal="center" vertical="center"/>
    </xf>
    <xf numFmtId="0" fontId="3" fillId="37" borderId="176" xfId="42" applyFont="1" applyFill="1" applyBorder="1" applyAlignment="1">
      <alignment horizontal="left" indent="1"/>
    </xf>
    <xf numFmtId="37" fontId="3" fillId="33" borderId="94" xfId="43" applyNumberFormat="1" applyFont="1" applyFill="1" applyBorder="1" applyAlignment="1">
      <alignment horizontal="left" vertical="center" indent="1"/>
    </xf>
    <xf numFmtId="37" fontId="3" fillId="33" borderId="95" xfId="43" applyNumberFormat="1" applyFont="1" applyFill="1" applyBorder="1" applyAlignment="1">
      <alignment horizontal="left" vertical="center" indent="1"/>
    </xf>
    <xf numFmtId="37" fontId="3" fillId="33" borderId="181" xfId="43" applyNumberFormat="1" applyFont="1" applyFill="1" applyBorder="1" applyAlignment="1">
      <alignment horizontal="left" vertical="center" indent="1"/>
    </xf>
    <xf numFmtId="37" fontId="3" fillId="33" borderId="182" xfId="43" applyNumberFormat="1" applyFont="1" applyFill="1" applyBorder="1" applyAlignment="1">
      <alignment horizontal="left" vertical="center" indent="1"/>
    </xf>
    <xf numFmtId="37" fontId="3" fillId="33" borderId="77" xfId="43" applyNumberFormat="1" applyFont="1" applyFill="1" applyBorder="1" applyAlignment="1">
      <alignment horizontal="left" vertical="center" indent="1"/>
    </xf>
    <xf numFmtId="37" fontId="3" fillId="33" borderId="76" xfId="43" quotePrefix="1" applyNumberFormat="1" applyFont="1" applyFill="1" applyBorder="1" applyAlignment="1">
      <alignment horizontal="center" vertical="center"/>
    </xf>
    <xf numFmtId="0" fontId="3" fillId="33" borderId="183" xfId="43" applyFont="1" applyFill="1" applyBorder="1"/>
    <xf numFmtId="37" fontId="3" fillId="33" borderId="184" xfId="43" applyNumberFormat="1" applyFont="1" applyFill="1" applyBorder="1" applyAlignment="1">
      <alignment horizontal="left" vertical="center" indent="1"/>
    </xf>
    <xf numFmtId="0" fontId="3" fillId="33" borderId="185" xfId="43" applyFont="1" applyFill="1" applyBorder="1"/>
    <xf numFmtId="0" fontId="3" fillId="33" borderId="168" xfId="43" applyFont="1" applyFill="1" applyBorder="1"/>
    <xf numFmtId="37" fontId="3" fillId="33" borderId="13" xfId="43" applyNumberFormat="1" applyFont="1" applyFill="1" applyBorder="1" applyAlignment="1">
      <alignment horizontal="left" vertical="center" indent="1"/>
    </xf>
    <xf numFmtId="0" fontId="3" fillId="33" borderId="186" xfId="43" applyFont="1" applyFill="1" applyBorder="1"/>
    <xf numFmtId="37" fontId="3" fillId="33" borderId="187" xfId="43" applyNumberFormat="1" applyFont="1" applyFill="1" applyBorder="1" applyAlignment="1">
      <alignment horizontal="left" vertical="center" indent="1"/>
    </xf>
    <xf numFmtId="37" fontId="3" fillId="33" borderId="163" xfId="43" quotePrefix="1" applyNumberFormat="1" applyFont="1" applyFill="1" applyBorder="1" applyAlignment="1">
      <alignment horizontal="center" vertical="center"/>
    </xf>
    <xf numFmtId="0" fontId="3" fillId="33" borderId="165" xfId="43" applyFont="1" applyFill="1" applyBorder="1"/>
    <xf numFmtId="37" fontId="3" fillId="33" borderId="61" xfId="43" applyNumberFormat="1" applyFont="1" applyFill="1" applyBorder="1" applyAlignment="1">
      <alignment horizontal="left" vertical="center" indent="1"/>
    </xf>
    <xf numFmtId="0" fontId="3" fillId="33" borderId="163" xfId="43" applyFont="1" applyFill="1" applyBorder="1"/>
    <xf numFmtId="0" fontId="3" fillId="33" borderId="188" xfId="43" applyFont="1" applyFill="1" applyBorder="1"/>
    <xf numFmtId="37" fontId="3" fillId="33" borderId="96" xfId="43" applyNumberFormat="1" applyFont="1" applyFill="1" applyBorder="1" applyAlignment="1">
      <alignment horizontal="left" vertical="center" indent="1"/>
    </xf>
    <xf numFmtId="37" fontId="8" fillId="33" borderId="160" xfId="43" applyNumberFormat="1" applyFont="1" applyFill="1" applyBorder="1" applyAlignment="1">
      <alignment horizontal="center" vertical="center"/>
    </xf>
    <xf numFmtId="37" fontId="8" fillId="33" borderId="168" xfId="43" applyNumberFormat="1" applyFont="1" applyFill="1" applyBorder="1" applyAlignment="1">
      <alignment horizontal="center" vertical="center"/>
    </xf>
    <xf numFmtId="37" fontId="3" fillId="33" borderId="57" xfId="43" applyNumberFormat="1" applyFont="1" applyFill="1" applyBorder="1" applyAlignment="1">
      <alignment horizontal="left" vertical="center" indent="1"/>
    </xf>
    <xf numFmtId="37" fontId="8" fillId="33" borderId="161" xfId="43" applyNumberFormat="1" applyFont="1" applyFill="1" applyBorder="1" applyAlignment="1">
      <alignment horizontal="center" vertical="center"/>
    </xf>
    <xf numFmtId="37" fontId="7" fillId="33" borderId="169" xfId="43" applyNumberFormat="1" applyFont="1" applyFill="1" applyBorder="1" applyAlignment="1">
      <alignment vertical="center"/>
    </xf>
    <xf numFmtId="37" fontId="7" fillId="33" borderId="173" xfId="43" applyNumberFormat="1" applyFont="1" applyFill="1" applyBorder="1" applyAlignment="1">
      <alignment vertical="center"/>
    </xf>
    <xf numFmtId="37" fontId="3" fillId="33" borderId="12" xfId="43" applyNumberFormat="1" applyFont="1" applyFill="1" applyBorder="1" applyAlignment="1">
      <alignment horizontal="left" vertical="center" indent="2"/>
    </xf>
    <xf numFmtId="37" fontId="7" fillId="33" borderId="0" xfId="43" applyNumberFormat="1" applyFont="1" applyFill="1" applyBorder="1" applyAlignment="1">
      <alignment horizontal="left" vertical="center" indent="2"/>
    </xf>
    <xf numFmtId="37" fontId="3" fillId="33" borderId="169" xfId="43" applyNumberFormat="1" applyFont="1" applyFill="1" applyBorder="1" applyAlignment="1">
      <alignment horizontal="left" vertical="center" indent="1"/>
    </xf>
    <xf numFmtId="37" fontId="3" fillId="33" borderId="173" xfId="43" applyNumberFormat="1" applyFont="1" applyFill="1" applyBorder="1" applyAlignment="1">
      <alignment horizontal="left" vertical="center" indent="1"/>
    </xf>
    <xf numFmtId="0" fontId="3" fillId="33" borderId="176" xfId="42" applyFont="1" applyFill="1" applyBorder="1" applyAlignment="1">
      <alignment horizontal="left" indent="1"/>
    </xf>
    <xf numFmtId="37" fontId="3" fillId="33" borderId="161" xfId="43" applyNumberFormat="1" applyFont="1" applyFill="1" applyBorder="1" applyAlignment="1">
      <alignment horizontal="left" vertical="center" indent="1"/>
    </xf>
    <xf numFmtId="37" fontId="7" fillId="33" borderId="135" xfId="43" applyNumberFormat="1" applyFont="1" applyFill="1" applyBorder="1" applyAlignment="1">
      <alignment vertical="center"/>
    </xf>
    <xf numFmtId="37" fontId="5" fillId="33" borderId="73" xfId="43" applyNumberFormat="1" applyFont="1" applyFill="1" applyBorder="1" applyAlignment="1">
      <alignment horizontal="left" vertical="center" indent="1"/>
    </xf>
    <xf numFmtId="37" fontId="28" fillId="33" borderId="73" xfId="43" applyNumberFormat="1" applyFont="1" applyFill="1" applyBorder="1" applyAlignment="1">
      <alignment horizontal="left" vertical="center" indent="1"/>
    </xf>
    <xf numFmtId="37" fontId="28" fillId="33" borderId="81" xfId="43" applyNumberFormat="1" applyFont="1" applyFill="1" applyBorder="1" applyAlignment="1">
      <alignment horizontal="left" vertical="center" indent="1"/>
    </xf>
    <xf numFmtId="179" fontId="30" fillId="0" borderId="0" xfId="43" applyNumberFormat="1" applyFont="1"/>
    <xf numFmtId="3" fontId="3" fillId="33" borderId="15" xfId="43" applyNumberFormat="1" applyFont="1" applyFill="1" applyBorder="1"/>
    <xf numFmtId="0" fontId="5" fillId="33" borderId="79" xfId="43" applyFont="1" applyFill="1" applyBorder="1" applyAlignment="1">
      <alignment horizontal="left" vertical="center" indent="1"/>
    </xf>
    <xf numFmtId="0" fontId="6" fillId="33" borderId="80" xfId="43" applyFont="1" applyFill="1" applyBorder="1"/>
    <xf numFmtId="0" fontId="15" fillId="33" borderId="80" xfId="43" applyFont="1" applyFill="1" applyBorder="1"/>
    <xf numFmtId="0" fontId="3" fillId="38" borderId="0" xfId="0" applyFont="1" applyFill="1"/>
    <xf numFmtId="1" fontId="22" fillId="38" borderId="0" xfId="0" applyNumberFormat="1" applyFont="1" applyFill="1"/>
    <xf numFmtId="0" fontId="22" fillId="38" borderId="0" xfId="0" applyFont="1" applyFill="1"/>
    <xf numFmtId="1" fontId="3" fillId="38" borderId="0" xfId="0" applyNumberFormat="1" applyFont="1" applyFill="1"/>
    <xf numFmtId="0" fontId="9" fillId="38" borderId="0" xfId="0" applyFont="1" applyFill="1"/>
    <xf numFmtId="0" fontId="7" fillId="38" borderId="0" xfId="0" applyFont="1" applyFill="1"/>
    <xf numFmtId="0" fontId="6" fillId="38" borderId="0" xfId="0" applyFont="1" applyFill="1"/>
    <xf numFmtId="0" fontId="98" fillId="38" borderId="0" xfId="0" applyFont="1" applyFill="1"/>
    <xf numFmtId="164" fontId="7" fillId="33" borderId="25" xfId="43" applyNumberFormat="1" applyFont="1" applyFill="1" applyBorder="1" applyAlignment="1">
      <alignment vertical="center"/>
    </xf>
    <xf numFmtId="179" fontId="3" fillId="0" borderId="0" xfId="33" applyNumberFormat="1" applyFont="1"/>
    <xf numFmtId="0" fontId="6" fillId="0" borderId="189" xfId="43" quotePrefix="1" applyFont="1" applyBorder="1" applyAlignment="1">
      <alignment horizontal="left"/>
    </xf>
    <xf numFmtId="0" fontId="6" fillId="0" borderId="190" xfId="43" applyFont="1" applyFill="1" applyBorder="1" applyAlignment="1">
      <alignment horizontal="center"/>
    </xf>
    <xf numFmtId="3" fontId="28" fillId="0" borderId="0" xfId="43" applyNumberFormat="1" applyFont="1"/>
    <xf numFmtId="0" fontId="14" fillId="38" borderId="0" xfId="43" applyFont="1" applyFill="1"/>
    <xf numFmtId="0" fontId="14" fillId="35" borderId="0" xfId="43" applyFont="1" applyFill="1"/>
    <xf numFmtId="0" fontId="14" fillId="32" borderId="0" xfId="43" applyFont="1" applyFill="1"/>
    <xf numFmtId="179" fontId="14" fillId="0" borderId="0" xfId="43" applyNumberFormat="1" applyFont="1"/>
    <xf numFmtId="37" fontId="3" fillId="33" borderId="94" xfId="43" quotePrefix="1" applyNumberFormat="1" applyFont="1" applyFill="1" applyBorder="1" applyAlignment="1">
      <alignment horizontal="center" vertical="center"/>
    </xf>
    <xf numFmtId="37" fontId="3" fillId="33" borderId="94" xfId="43" applyNumberFormat="1" applyFont="1" applyFill="1" applyBorder="1" applyAlignment="1">
      <alignment horizontal="left" vertical="center" indent="1"/>
    </xf>
    <xf numFmtId="37" fontId="3" fillId="33" borderId="95" xfId="43" applyNumberFormat="1" applyFont="1" applyFill="1" applyBorder="1" applyAlignment="1">
      <alignment horizontal="left" vertical="center" indent="1"/>
    </xf>
    <xf numFmtId="37" fontId="5" fillId="33" borderId="73" xfId="43" applyNumberFormat="1" applyFont="1" applyFill="1" applyBorder="1" applyAlignment="1">
      <alignment vertical="center"/>
    </xf>
    <xf numFmtId="37" fontId="7" fillId="33" borderId="73" xfId="43" applyNumberFormat="1" applyFont="1" applyFill="1" applyBorder="1" applyAlignment="1">
      <alignment horizontal="left" vertical="center"/>
    </xf>
    <xf numFmtId="164" fontId="3" fillId="0" borderId="0" xfId="43" applyNumberFormat="1" applyFont="1" applyBorder="1"/>
    <xf numFmtId="37" fontId="3" fillId="33" borderId="141" xfId="43" quotePrefix="1" applyNumberFormat="1" applyFont="1" applyFill="1" applyBorder="1" applyAlignment="1">
      <alignment horizontal="left" vertical="center" indent="2"/>
    </xf>
    <xf numFmtId="37" fontId="3" fillId="33" borderId="74" xfId="43" applyNumberFormat="1" applyFont="1" applyFill="1" applyBorder="1" applyAlignment="1">
      <alignment horizontal="left" vertical="center" indent="2"/>
    </xf>
    <xf numFmtId="37" fontId="7" fillId="33" borderId="72" xfId="43" quotePrefix="1" applyNumberFormat="1" applyFont="1" applyFill="1" applyBorder="1" applyAlignment="1">
      <alignment horizontal="left" vertical="center" indent="1"/>
    </xf>
    <xf numFmtId="37" fontId="5" fillId="33" borderId="72" xfId="43" quotePrefix="1" applyNumberFormat="1" applyFont="1" applyFill="1" applyBorder="1" applyAlignment="1">
      <alignment horizontal="left" vertical="center" indent="1"/>
    </xf>
    <xf numFmtId="37" fontId="3" fillId="33" borderId="141" xfId="43" applyNumberFormat="1" applyFont="1" applyFill="1" applyBorder="1" applyAlignment="1">
      <alignment horizontal="left" vertical="center" indent="2"/>
    </xf>
    <xf numFmtId="0" fontId="3" fillId="32" borderId="137" xfId="43" applyFont="1" applyFill="1" applyBorder="1"/>
    <xf numFmtId="0" fontId="3" fillId="32" borderId="75" xfId="43" applyFont="1" applyFill="1" applyBorder="1"/>
    <xf numFmtId="0" fontId="3" fillId="32" borderId="76" xfId="43" applyFont="1" applyFill="1" applyBorder="1"/>
    <xf numFmtId="37" fontId="3" fillId="33" borderId="143" xfId="43" applyNumberFormat="1" applyFont="1" applyFill="1" applyBorder="1" applyAlignment="1">
      <alignment horizontal="left" vertical="center" indent="2"/>
    </xf>
    <xf numFmtId="37" fontId="5" fillId="33" borderId="113" xfId="43" applyNumberFormat="1" applyFont="1" applyFill="1" applyBorder="1" applyAlignment="1">
      <alignment horizontal="left" vertical="center" indent="1"/>
    </xf>
    <xf numFmtId="0" fontId="9" fillId="33" borderId="16" xfId="43" applyFont="1" applyFill="1" applyBorder="1"/>
    <xf numFmtId="37" fontId="3" fillId="33" borderId="141" xfId="43" applyNumberFormat="1" applyFont="1" applyFill="1" applyBorder="1" applyAlignment="1">
      <alignment horizontal="left" vertical="center" indent="1"/>
    </xf>
    <xf numFmtId="37" fontId="7" fillId="33" borderId="137" xfId="43" applyNumberFormat="1" applyFont="1" applyFill="1" applyBorder="1" applyAlignment="1">
      <alignment horizontal="right" vertical="center"/>
    </xf>
    <xf numFmtId="37" fontId="3" fillId="33" borderId="113" xfId="43" applyNumberFormat="1" applyFont="1" applyFill="1" applyBorder="1" applyAlignment="1">
      <alignment horizontal="left" vertical="center" indent="1"/>
    </xf>
    <xf numFmtId="37" fontId="7" fillId="33" borderId="16" xfId="43" applyNumberFormat="1" applyFont="1" applyFill="1" applyBorder="1" applyAlignment="1">
      <alignment horizontal="right" vertical="center"/>
    </xf>
    <xf numFmtId="0" fontId="3" fillId="33" borderId="16" xfId="43" applyFont="1" applyFill="1" applyBorder="1" applyAlignment="1">
      <alignment vertical="center"/>
    </xf>
    <xf numFmtId="37" fontId="3" fillId="33" borderId="16" xfId="43" applyNumberFormat="1" applyFont="1" applyFill="1" applyBorder="1" applyAlignment="1">
      <alignment vertical="center"/>
    </xf>
    <xf numFmtId="0" fontId="3" fillId="33" borderId="16" xfId="43" applyFont="1" applyFill="1" applyBorder="1"/>
    <xf numFmtId="0" fontId="5" fillId="33" borderId="73" xfId="43" applyFont="1" applyFill="1" applyBorder="1"/>
    <xf numFmtId="37" fontId="3" fillId="33" borderId="75" xfId="43" applyNumberFormat="1" applyFont="1" applyFill="1" applyBorder="1" applyAlignment="1">
      <alignment horizontal="left" vertical="center" indent="2"/>
    </xf>
    <xf numFmtId="0" fontId="3" fillId="33" borderId="199" xfId="43" applyFont="1" applyFill="1" applyBorder="1"/>
    <xf numFmtId="164" fontId="64" fillId="32" borderId="75" xfId="43" applyNumberFormat="1" applyFont="1" applyFill="1" applyBorder="1" applyAlignment="1">
      <alignment vertical="center"/>
    </xf>
    <xf numFmtId="37" fontId="3" fillId="33" borderId="77" xfId="43" applyNumberFormat="1" applyFont="1" applyFill="1" applyBorder="1" applyAlignment="1">
      <alignment horizontal="left" vertical="center" indent="2"/>
    </xf>
    <xf numFmtId="37" fontId="3" fillId="33" borderId="200" xfId="43" applyNumberFormat="1" applyFont="1" applyFill="1" applyBorder="1" applyAlignment="1">
      <alignment horizontal="left" vertical="center" indent="2"/>
    </xf>
    <xf numFmtId="0" fontId="3" fillId="33" borderId="201" xfId="43" applyFont="1" applyFill="1" applyBorder="1"/>
    <xf numFmtId="37" fontId="3" fillId="33" borderId="73" xfId="43" applyNumberFormat="1" applyFont="1" applyFill="1" applyBorder="1" applyAlignment="1">
      <alignment vertical="center"/>
    </xf>
    <xf numFmtId="0" fontId="3" fillId="33" borderId="73" xfId="43" applyFont="1" applyFill="1" applyBorder="1"/>
    <xf numFmtId="0" fontId="7" fillId="33" borderId="0" xfId="0" applyFont="1" applyFill="1"/>
    <xf numFmtId="37" fontId="3" fillId="33" borderId="143" xfId="43" quotePrefix="1" applyNumberFormat="1" applyFont="1" applyFill="1" applyBorder="1" applyAlignment="1">
      <alignment horizontal="left" vertical="center" indent="2"/>
    </xf>
    <xf numFmtId="37" fontId="5" fillId="33" borderId="126" xfId="43" applyNumberFormat="1" applyFont="1" applyFill="1" applyBorder="1" applyAlignment="1">
      <alignment vertical="center"/>
    </xf>
    <xf numFmtId="0" fontId="5" fillId="33" borderId="126" xfId="43" applyFont="1" applyFill="1" applyBorder="1"/>
    <xf numFmtId="37" fontId="3" fillId="33" borderId="198" xfId="43" applyNumberFormat="1" applyFont="1" applyFill="1" applyBorder="1" applyAlignment="1">
      <alignment horizontal="left" vertical="center" indent="3"/>
    </xf>
    <xf numFmtId="37" fontId="3" fillId="33" borderId="162" xfId="43" applyNumberFormat="1" applyFont="1" applyFill="1" applyBorder="1" applyAlignment="1">
      <alignment horizontal="left" vertical="center" indent="2"/>
    </xf>
    <xf numFmtId="37" fontId="3" fillId="33" borderId="74" xfId="43" applyNumberFormat="1" applyFont="1" applyFill="1" applyBorder="1" applyAlignment="1">
      <alignment horizontal="left" vertical="center" indent="3"/>
    </xf>
    <xf numFmtId="0" fontId="3" fillId="33" borderId="201" xfId="43" applyFont="1" applyFill="1" applyBorder="1" applyAlignment="1">
      <alignment vertical="center"/>
    </xf>
    <xf numFmtId="0" fontId="3" fillId="33" borderId="202" xfId="43" applyFont="1" applyFill="1" applyBorder="1"/>
    <xf numFmtId="0" fontId="3" fillId="33" borderId="162" xfId="43" applyFont="1" applyFill="1" applyBorder="1" applyAlignment="1">
      <alignment vertical="center"/>
    </xf>
    <xf numFmtId="0" fontId="3" fillId="33" borderId="203" xfId="43" applyFont="1" applyFill="1" applyBorder="1"/>
    <xf numFmtId="37" fontId="3" fillId="33" borderId="133" xfId="43" applyNumberFormat="1" applyFont="1" applyFill="1" applyBorder="1" applyAlignment="1">
      <alignment horizontal="left" vertical="center" indent="2"/>
    </xf>
    <xf numFmtId="0" fontId="3" fillId="33" borderId="122" xfId="43" applyFont="1" applyFill="1" applyBorder="1" applyAlignment="1">
      <alignment vertical="center"/>
    </xf>
    <xf numFmtId="0" fontId="3" fillId="33" borderId="204" xfId="43" applyFont="1" applyFill="1" applyBorder="1"/>
    <xf numFmtId="37" fontId="5" fillId="33" borderId="128" xfId="43" quotePrefix="1" applyNumberFormat="1" applyFont="1" applyFill="1" applyBorder="1" applyAlignment="1">
      <alignment horizontal="left" vertical="center" indent="1"/>
    </xf>
    <xf numFmtId="37" fontId="5" fillId="33" borderId="116" xfId="43" applyNumberFormat="1" applyFont="1" applyFill="1" applyBorder="1" applyAlignment="1">
      <alignment vertical="center"/>
    </xf>
    <xf numFmtId="0" fontId="9" fillId="33" borderId="116" xfId="43" applyFont="1" applyFill="1" applyBorder="1"/>
    <xf numFmtId="0" fontId="9" fillId="33" borderId="130" xfId="43" applyFont="1" applyFill="1" applyBorder="1"/>
    <xf numFmtId="37" fontId="3" fillId="33" borderId="205" xfId="43" applyNumberFormat="1" applyFont="1" applyFill="1" applyBorder="1" applyAlignment="1">
      <alignment horizontal="left" vertical="center" indent="2"/>
    </xf>
    <xf numFmtId="0" fontId="3" fillId="33" borderId="206" xfId="43" applyFont="1" applyFill="1" applyBorder="1" applyAlignment="1">
      <alignment vertical="center"/>
    </xf>
    <xf numFmtId="0" fontId="3" fillId="33" borderId="206" xfId="43" applyFont="1" applyFill="1" applyBorder="1"/>
    <xf numFmtId="0" fontId="3" fillId="33" borderId="207" xfId="43" applyFont="1" applyFill="1" applyBorder="1"/>
    <xf numFmtId="0" fontId="9" fillId="33" borderId="73" xfId="43" applyFont="1" applyFill="1" applyBorder="1"/>
    <xf numFmtId="0" fontId="9" fillId="33" borderId="81" xfId="43" applyFont="1" applyFill="1" applyBorder="1"/>
    <xf numFmtId="0" fontId="94" fillId="33" borderId="0" xfId="0" applyFont="1" applyFill="1"/>
    <xf numFmtId="37" fontId="5" fillId="33" borderId="16" xfId="43" applyNumberFormat="1" applyFont="1" applyFill="1" applyBorder="1" applyAlignment="1">
      <alignment horizontal="left" vertical="center" indent="1"/>
    </xf>
    <xf numFmtId="37" fontId="5" fillId="32" borderId="72" xfId="43" applyNumberFormat="1" applyFont="1" applyFill="1" applyBorder="1" applyAlignment="1">
      <alignment horizontal="left" vertical="center" indent="1"/>
    </xf>
    <xf numFmtId="37" fontId="5" fillId="32" borderId="73" xfId="43" applyNumberFormat="1" applyFont="1" applyFill="1" applyBorder="1" applyAlignment="1">
      <alignment horizontal="left" vertical="center" indent="1"/>
    </xf>
    <xf numFmtId="37" fontId="28" fillId="32" borderId="73" xfId="43" applyNumberFormat="1" applyFont="1" applyFill="1" applyBorder="1" applyAlignment="1">
      <alignment horizontal="left" vertical="center" indent="1"/>
    </xf>
    <xf numFmtId="37" fontId="28" fillId="32" borderId="81" xfId="43" applyNumberFormat="1" applyFont="1" applyFill="1" applyBorder="1" applyAlignment="1">
      <alignment horizontal="left" vertical="center" indent="1"/>
    </xf>
    <xf numFmtId="37" fontId="3" fillId="33" borderId="166" xfId="43" applyNumberFormat="1" applyFont="1" applyFill="1" applyBorder="1" applyAlignment="1">
      <alignment horizontal="left" vertical="center" indent="2"/>
    </xf>
    <xf numFmtId="37" fontId="7" fillId="33" borderId="163" xfId="43" applyNumberFormat="1" applyFont="1" applyFill="1" applyBorder="1" applyAlignment="1">
      <alignment horizontal="left" vertical="center" indent="2"/>
    </xf>
    <xf numFmtId="37" fontId="7" fillId="33" borderId="164" xfId="43" applyNumberFormat="1" applyFont="1" applyFill="1" applyBorder="1" applyAlignment="1">
      <alignment horizontal="left" vertical="center" indent="2"/>
    </xf>
    <xf numFmtId="37" fontId="7" fillId="33" borderId="188" xfId="43" applyNumberFormat="1" applyFont="1" applyFill="1" applyBorder="1" applyAlignment="1">
      <alignment horizontal="left" vertical="center" indent="2"/>
    </xf>
    <xf numFmtId="164" fontId="64" fillId="33" borderId="208" xfId="43" applyNumberFormat="1" applyFont="1" applyFill="1" applyBorder="1" applyAlignment="1">
      <alignment vertical="center"/>
    </xf>
    <xf numFmtId="164" fontId="64" fillId="33" borderId="185" xfId="43" applyNumberFormat="1" applyFont="1" applyFill="1" applyBorder="1" applyAlignment="1">
      <alignment vertical="center"/>
    </xf>
    <xf numFmtId="0" fontId="5" fillId="33" borderId="72" xfId="43" applyFont="1" applyFill="1" applyBorder="1" applyAlignment="1">
      <alignment horizontal="left" vertical="center" indent="1"/>
    </xf>
    <xf numFmtId="0" fontId="59" fillId="33" borderId="73" xfId="43" applyFont="1" applyFill="1" applyBorder="1" applyAlignment="1">
      <alignment vertical="center"/>
    </xf>
    <xf numFmtId="0" fontId="3" fillId="33" borderId="73" xfId="43" applyFont="1" applyFill="1" applyBorder="1" applyAlignment="1">
      <alignment vertical="center"/>
    </xf>
    <xf numFmtId="164" fontId="59" fillId="33" borderId="73" xfId="43" applyNumberFormat="1" applyFont="1" applyFill="1" applyBorder="1" applyAlignment="1">
      <alignment vertical="center"/>
    </xf>
    <xf numFmtId="164" fontId="3" fillId="33" borderId="73" xfId="43" applyNumberFormat="1" applyFont="1" applyFill="1" applyBorder="1" applyAlignment="1">
      <alignment vertical="center"/>
    </xf>
    <xf numFmtId="0" fontId="11" fillId="33" borderId="72" xfId="43" applyFont="1" applyFill="1" applyBorder="1" applyAlignment="1">
      <alignment horizontal="left" vertical="center" indent="1"/>
    </xf>
    <xf numFmtId="14" fontId="22" fillId="33" borderId="209" xfId="43" applyNumberFormat="1" applyFont="1" applyFill="1" applyBorder="1" applyAlignment="1">
      <alignment horizontal="center" vertical="center"/>
    </xf>
    <xf numFmtId="14" fontId="22" fillId="33" borderId="210" xfId="43" applyNumberFormat="1" applyFont="1" applyFill="1" applyBorder="1" applyAlignment="1">
      <alignment horizontal="center" vertical="center"/>
    </xf>
    <xf numFmtId="0" fontId="5" fillId="33" borderId="72" xfId="43" applyFont="1" applyFill="1" applyBorder="1" applyAlignment="1">
      <alignment vertical="center"/>
    </xf>
    <xf numFmtId="0" fontId="5" fillId="33" borderId="73" xfId="43" applyFont="1" applyFill="1" applyBorder="1" applyAlignment="1">
      <alignment vertical="center"/>
    </xf>
    <xf numFmtId="0" fontId="5" fillId="33" borderId="81" xfId="43" applyFont="1" applyFill="1" applyBorder="1" applyAlignment="1">
      <alignment vertical="center"/>
    </xf>
    <xf numFmtId="164" fontId="5" fillId="33" borderId="0" xfId="43" applyNumberFormat="1" applyFont="1" applyFill="1"/>
    <xf numFmtId="179" fontId="17" fillId="0" borderId="0" xfId="33" applyNumberFormat="1" applyFont="1" applyFill="1"/>
    <xf numFmtId="179" fontId="17" fillId="0" borderId="0" xfId="0" applyNumberFormat="1" applyFont="1" applyFill="1"/>
    <xf numFmtId="177" fontId="69" fillId="33" borderId="96" xfId="43" applyNumberFormat="1" applyFont="1" applyFill="1" applyBorder="1" applyAlignment="1">
      <alignment horizontal="right" vertical="center"/>
    </xf>
    <xf numFmtId="177" fontId="69" fillId="33" borderId="95" xfId="43" applyNumberFormat="1" applyFont="1" applyFill="1" applyBorder="1" applyAlignment="1">
      <alignment horizontal="right" vertical="center"/>
    </xf>
    <xf numFmtId="37" fontId="3" fillId="33" borderId="94" xfId="43" quotePrefix="1" applyNumberFormat="1" applyFont="1" applyFill="1" applyBorder="1" applyAlignment="1">
      <alignment horizontal="center" vertical="center"/>
    </xf>
    <xf numFmtId="164" fontId="3" fillId="33" borderId="0" xfId="43" applyNumberFormat="1" applyFont="1" applyFill="1" applyBorder="1" applyAlignment="1">
      <alignment vertical="center"/>
    </xf>
    <xf numFmtId="0" fontId="62" fillId="33" borderId="0" xfId="43" applyFont="1" applyFill="1" applyBorder="1" applyAlignment="1">
      <alignment vertical="center"/>
    </xf>
    <xf numFmtId="37" fontId="3" fillId="33" borderId="94" xfId="43" applyNumberFormat="1" applyFont="1" applyFill="1" applyBorder="1" applyAlignment="1">
      <alignment horizontal="left" vertical="center" indent="1"/>
    </xf>
    <xf numFmtId="37" fontId="3" fillId="33" borderId="95" xfId="43" applyNumberFormat="1" applyFont="1" applyFill="1" applyBorder="1" applyAlignment="1">
      <alignment horizontal="left" vertical="center" indent="1"/>
    </xf>
    <xf numFmtId="37" fontId="3" fillId="33" borderId="212" xfId="43" applyNumberFormat="1" applyFont="1" applyFill="1" applyBorder="1" applyAlignment="1">
      <alignment vertical="center"/>
    </xf>
    <xf numFmtId="0" fontId="3" fillId="33" borderId="213" xfId="43" applyFont="1" applyFill="1" applyBorder="1"/>
    <xf numFmtId="37" fontId="3" fillId="33" borderId="116" xfId="43" applyNumberFormat="1" applyFont="1" applyFill="1" applyBorder="1" applyAlignment="1">
      <alignment vertical="center"/>
    </xf>
    <xf numFmtId="37" fontId="3" fillId="33" borderId="135" xfId="43" applyNumberFormat="1" applyFont="1" applyFill="1" applyBorder="1" applyAlignment="1">
      <alignment vertical="center"/>
    </xf>
    <xf numFmtId="37" fontId="3" fillId="33" borderId="0" xfId="43" applyNumberFormat="1" applyFont="1" applyFill="1" applyBorder="1" applyAlignment="1">
      <alignment horizontal="left" vertical="center" indent="2"/>
    </xf>
    <xf numFmtId="37" fontId="3" fillId="33" borderId="113" xfId="43" quotePrefix="1" applyNumberFormat="1" applyFont="1" applyFill="1" applyBorder="1" applyAlignment="1">
      <alignment horizontal="left" vertical="center" indent="2"/>
    </xf>
    <xf numFmtId="37" fontId="3" fillId="33" borderId="72" xfId="43" quotePrefix="1" applyNumberFormat="1" applyFont="1" applyFill="1" applyBorder="1" applyAlignment="1">
      <alignment horizontal="left" vertical="center" indent="2"/>
    </xf>
    <xf numFmtId="3" fontId="11" fillId="0" borderId="40" xfId="43" applyNumberFormat="1" applyFont="1" applyFill="1" applyBorder="1"/>
    <xf numFmtId="3" fontId="35" fillId="0" borderId="40" xfId="43" applyNumberFormat="1" applyFont="1" applyFill="1" applyBorder="1"/>
    <xf numFmtId="3" fontId="11" fillId="0" borderId="51" xfId="43" applyNumberFormat="1" applyFont="1" applyFill="1" applyBorder="1"/>
    <xf numFmtId="3" fontId="7" fillId="0" borderId="40" xfId="43" applyNumberFormat="1" applyFont="1" applyFill="1" applyBorder="1"/>
    <xf numFmtId="3" fontId="3" fillId="0" borderId="40" xfId="43" applyNumberFormat="1" applyFont="1" applyFill="1" applyBorder="1"/>
    <xf numFmtId="3" fontId="35" fillId="0" borderId="40" xfId="43" applyNumberFormat="1" applyFont="1" applyFill="1" applyBorder="1" applyAlignment="1">
      <alignment horizontal="right"/>
    </xf>
    <xf numFmtId="3" fontId="11" fillId="0" borderId="40" xfId="43" applyNumberFormat="1" applyFont="1" applyFill="1" applyBorder="1" applyAlignment="1">
      <alignment horizontal="right"/>
    </xf>
    <xf numFmtId="0" fontId="35" fillId="0" borderId="40" xfId="43" applyFont="1" applyFill="1" applyBorder="1" applyAlignment="1">
      <alignment horizontal="center"/>
    </xf>
    <xf numFmtId="3" fontId="11" fillId="0" borderId="40" xfId="43" applyNumberFormat="1" applyFont="1" applyFill="1" applyBorder="1" applyAlignment="1">
      <alignment horizontal="center"/>
    </xf>
    <xf numFmtId="0" fontId="11" fillId="0" borderId="40" xfId="43" applyFont="1" applyFill="1" applyBorder="1" applyAlignment="1">
      <alignment horizontal="center"/>
    </xf>
    <xf numFmtId="3" fontId="35" fillId="0" borderId="51" xfId="43" applyNumberFormat="1" applyFont="1" applyFill="1" applyBorder="1" applyAlignment="1">
      <alignment horizontal="right"/>
    </xf>
    <xf numFmtId="3" fontId="3" fillId="0" borderId="46" xfId="43" applyNumberFormat="1" applyFont="1" applyFill="1" applyBorder="1"/>
    <xf numFmtId="3" fontId="11" fillId="0" borderId="14" xfId="43" applyNumberFormat="1" applyFont="1" applyFill="1" applyBorder="1"/>
    <xf numFmtId="37" fontId="3" fillId="33" borderId="94" xfId="43" quotePrefix="1" applyNumberFormat="1" applyFont="1" applyFill="1" applyBorder="1" applyAlignment="1">
      <alignment horizontal="center" vertical="center"/>
    </xf>
    <xf numFmtId="37" fontId="3" fillId="33" borderId="94" xfId="43" applyNumberFormat="1" applyFont="1" applyFill="1" applyBorder="1" applyAlignment="1">
      <alignment horizontal="left" vertical="center" indent="1"/>
    </xf>
    <xf numFmtId="37" fontId="3" fillId="33" borderId="95" xfId="43" applyNumberFormat="1" applyFont="1" applyFill="1" applyBorder="1" applyAlignment="1">
      <alignment horizontal="left" vertical="center" indent="1"/>
    </xf>
    <xf numFmtId="37" fontId="7" fillId="33" borderId="94" xfId="43" applyNumberFormat="1" applyFont="1" applyFill="1" applyBorder="1" applyAlignment="1">
      <alignment vertical="center"/>
    </xf>
    <xf numFmtId="37" fontId="7" fillId="33" borderId="95" xfId="43" applyNumberFormat="1" applyFont="1" applyFill="1" applyBorder="1" applyAlignment="1">
      <alignment vertical="center"/>
    </xf>
    <xf numFmtId="37" fontId="3" fillId="33" borderId="40" xfId="43" applyNumberFormat="1" applyFont="1" applyFill="1" applyBorder="1" applyAlignment="1">
      <alignment horizontal="left" vertical="center" indent="2"/>
    </xf>
    <xf numFmtId="37" fontId="7" fillId="33" borderId="94" xfId="43" applyNumberFormat="1" applyFont="1" applyFill="1" applyBorder="1" applyAlignment="1">
      <alignment horizontal="left" vertical="center" indent="2"/>
    </xf>
    <xf numFmtId="37" fontId="7" fillId="33" borderId="95" xfId="43" applyNumberFormat="1" applyFont="1" applyFill="1" applyBorder="1" applyAlignment="1">
      <alignment horizontal="left" vertical="center" indent="2"/>
    </xf>
    <xf numFmtId="37" fontId="3" fillId="33" borderId="214" xfId="43" applyNumberFormat="1" applyFont="1" applyFill="1" applyBorder="1" applyAlignment="1">
      <alignment horizontal="left" vertical="center" indent="1"/>
    </xf>
    <xf numFmtId="37" fontId="3" fillId="33" borderId="215" xfId="43" applyNumberFormat="1" applyFont="1" applyFill="1" applyBorder="1" applyAlignment="1">
      <alignment horizontal="left" vertical="center" indent="1"/>
    </xf>
    <xf numFmtId="164" fontId="64" fillId="33" borderId="138" xfId="43" applyNumberFormat="1" applyFont="1" applyFill="1" applyBorder="1" applyAlignment="1">
      <alignment vertical="center"/>
    </xf>
    <xf numFmtId="168" fontId="64" fillId="33" borderId="75" xfId="43" applyNumberFormat="1" applyFont="1" applyFill="1" applyBorder="1" applyAlignment="1">
      <alignment vertical="center"/>
    </xf>
    <xf numFmtId="168" fontId="64" fillId="33" borderId="138" xfId="43" applyNumberFormat="1" applyFont="1" applyFill="1" applyBorder="1" applyAlignment="1">
      <alignment vertical="center"/>
    </xf>
    <xf numFmtId="164" fontId="64" fillId="33" borderId="75" xfId="43" applyNumberFormat="1" applyFont="1" applyFill="1" applyBorder="1" applyAlignment="1">
      <alignment vertical="center"/>
    </xf>
    <xf numFmtId="0" fontId="59" fillId="33" borderId="80" xfId="43" applyFont="1" applyFill="1" applyBorder="1" applyAlignment="1">
      <alignment vertical="center"/>
    </xf>
    <xf numFmtId="0" fontId="99" fillId="33" borderId="216" xfId="0" applyFont="1" applyFill="1" applyBorder="1"/>
    <xf numFmtId="3" fontId="100" fillId="33" borderId="217" xfId="38" applyNumberFormat="1" applyFont="1" applyFill="1" applyBorder="1" applyAlignment="1">
      <alignment vertical="center"/>
    </xf>
    <xf numFmtId="3" fontId="100" fillId="33" borderId="218" xfId="38" applyNumberFormat="1" applyFont="1" applyFill="1" applyBorder="1" applyAlignment="1">
      <alignment vertical="center"/>
    </xf>
    <xf numFmtId="14" fontId="22" fillId="33" borderId="100" xfId="43" applyNumberFormat="1" applyFont="1" applyFill="1" applyBorder="1" applyAlignment="1">
      <alignment vertical="center"/>
    </xf>
    <xf numFmtId="14" fontId="22" fillId="33" borderId="75" xfId="43" applyNumberFormat="1" applyFont="1" applyFill="1" applyBorder="1" applyAlignment="1">
      <alignment vertical="center"/>
    </xf>
    <xf numFmtId="14" fontId="22" fillId="33" borderId="138" xfId="43" applyNumberFormat="1" applyFont="1" applyFill="1" applyBorder="1" applyAlignment="1">
      <alignment vertical="center"/>
    </xf>
    <xf numFmtId="0" fontId="15" fillId="33" borderId="137" xfId="43" applyFont="1" applyFill="1" applyBorder="1"/>
    <xf numFmtId="0" fontId="6" fillId="33" borderId="137" xfId="43" applyFont="1" applyFill="1" applyBorder="1"/>
    <xf numFmtId="0" fontId="7" fillId="39" borderId="0" xfId="0" applyFont="1" applyFill="1"/>
    <xf numFmtId="0" fontId="12" fillId="39" borderId="0" xfId="0" applyFont="1" applyFill="1"/>
    <xf numFmtId="167" fontId="6" fillId="40" borderId="0" xfId="36" applyNumberFormat="1" applyFont="1" applyFill="1"/>
    <xf numFmtId="3" fontId="18" fillId="0" borderId="0" xfId="0" applyNumberFormat="1" applyFont="1" applyAlignment="1">
      <alignment horizontal="right"/>
    </xf>
    <xf numFmtId="4" fontId="12" fillId="32" borderId="25" xfId="46" applyNumberFormat="1" applyFont="1" applyFill="1" applyBorder="1" applyAlignment="1">
      <alignment vertical="center"/>
    </xf>
    <xf numFmtId="164" fontId="7" fillId="32" borderId="0" xfId="43" applyNumberFormat="1" applyFont="1" applyFill="1" applyBorder="1" applyAlignment="1">
      <alignment vertical="center"/>
    </xf>
    <xf numFmtId="0" fontId="3" fillId="39" borderId="0" xfId="0" applyFont="1" applyFill="1"/>
    <xf numFmtId="0" fontId="3" fillId="0" borderId="0" xfId="0" applyFont="1" applyFill="1" applyAlignment="1">
      <alignment horizontal="left"/>
    </xf>
    <xf numFmtId="164" fontId="7" fillId="35" borderId="26" xfId="43" applyNumberFormat="1" applyFont="1" applyFill="1" applyBorder="1" applyAlignment="1">
      <alignment vertical="center"/>
    </xf>
    <xf numFmtId="0" fontId="12" fillId="0" borderId="25" xfId="43" applyFont="1" applyFill="1" applyBorder="1" applyAlignment="1">
      <alignment horizontal="left" vertical="center" indent="1"/>
    </xf>
    <xf numFmtId="4" fontId="7" fillId="0" borderId="25" xfId="46" applyNumberFormat="1" applyFont="1" applyFill="1" applyBorder="1" applyAlignment="1">
      <alignment vertical="center"/>
    </xf>
    <xf numFmtId="4" fontId="3" fillId="0" borderId="25" xfId="46" applyNumberFormat="1" applyFont="1" applyFill="1" applyBorder="1" applyAlignment="1">
      <alignment vertical="center"/>
    </xf>
    <xf numFmtId="0" fontId="19" fillId="41" borderId="372" xfId="55" applyFont="1" applyFill="1" applyBorder="1" applyAlignment="1">
      <alignment vertical="center"/>
    </xf>
    <xf numFmtId="0" fontId="23" fillId="41" borderId="373" xfId="55" applyFont="1" applyFill="1" applyBorder="1" applyAlignment="1">
      <alignment horizontal="center" vertical="center"/>
    </xf>
    <xf numFmtId="0" fontId="19" fillId="41" borderId="373" xfId="55" applyFont="1" applyFill="1" applyBorder="1" applyAlignment="1">
      <alignment vertical="center"/>
    </xf>
    <xf numFmtId="14" fontId="19" fillId="41" borderId="374" xfId="56" applyNumberFormat="1" applyFont="1" applyFill="1" applyBorder="1" applyAlignment="1">
      <alignment horizontal="center" vertical="center"/>
    </xf>
    <xf numFmtId="0" fontId="99" fillId="0" borderId="0" xfId="57" applyFont="1"/>
    <xf numFmtId="0" fontId="18" fillId="42" borderId="375" xfId="57" applyFont="1" applyFill="1" applyBorder="1" applyAlignment="1">
      <alignment vertical="center"/>
    </xf>
    <xf numFmtId="0" fontId="2" fillId="42" borderId="376" xfId="57" applyFont="1" applyFill="1" applyBorder="1" applyAlignment="1">
      <alignment horizontal="center" vertical="center"/>
    </xf>
    <xf numFmtId="0" fontId="18" fillId="42" borderId="376" xfId="57" applyFont="1" applyFill="1" applyBorder="1" applyAlignment="1">
      <alignment vertical="center"/>
    </xf>
    <xf numFmtId="179" fontId="2" fillId="42" borderId="377" xfId="56" applyNumberFormat="1" applyFont="1" applyFill="1" applyBorder="1" applyAlignment="1">
      <alignment vertical="center"/>
    </xf>
    <xf numFmtId="0" fontId="2" fillId="42" borderId="378" xfId="57" applyFont="1" applyFill="1" applyBorder="1" applyAlignment="1">
      <alignment horizontal="center" vertical="center"/>
    </xf>
    <xf numFmtId="0" fontId="2" fillId="42" borderId="0" xfId="57" applyFont="1" applyFill="1" applyBorder="1" applyAlignment="1">
      <alignment horizontal="center" vertical="center"/>
    </xf>
    <xf numFmtId="0" fontId="18" fillId="42" borderId="0" xfId="57" applyFont="1" applyFill="1" applyBorder="1" applyAlignment="1">
      <alignment vertical="center"/>
    </xf>
    <xf numFmtId="179" fontId="18" fillId="0" borderId="379" xfId="56" applyNumberFormat="1" applyFont="1" applyFill="1" applyBorder="1" applyAlignment="1" applyProtection="1">
      <alignment vertical="center"/>
      <protection locked="0"/>
    </xf>
    <xf numFmtId="0" fontId="2" fillId="42" borderId="0" xfId="57" applyFont="1" applyFill="1" applyBorder="1" applyAlignment="1">
      <alignment vertical="center"/>
    </xf>
    <xf numFmtId="179" fontId="2" fillId="0" borderId="379" xfId="56" applyNumberFormat="1" applyFont="1" applyFill="1" applyBorder="1" applyAlignment="1" applyProtection="1">
      <alignment vertical="center"/>
      <protection locked="0"/>
    </xf>
    <xf numFmtId="179" fontId="18" fillId="42" borderId="379" xfId="56" applyNumberFormat="1" applyFont="1" applyFill="1" applyBorder="1" applyAlignment="1">
      <alignment vertical="center"/>
    </xf>
    <xf numFmtId="0" fontId="2" fillId="42" borderId="0" xfId="57" applyFont="1" applyFill="1" applyBorder="1" applyAlignment="1">
      <alignment vertical="center" wrapText="1"/>
    </xf>
    <xf numFmtId="0" fontId="2" fillId="42" borderId="0" xfId="57" applyFont="1" applyFill="1" applyBorder="1" applyAlignment="1" applyProtection="1">
      <alignment vertical="center" wrapText="1"/>
    </xf>
    <xf numFmtId="179" fontId="99" fillId="0" borderId="0" xfId="57" applyNumberFormat="1" applyFont="1"/>
    <xf numFmtId="0" fontId="2" fillId="42" borderId="0" xfId="58" applyFont="1" applyFill="1" applyBorder="1" applyAlignment="1" applyProtection="1">
      <alignment horizontal="center" vertical="center"/>
    </xf>
    <xf numFmtId="0" fontId="18" fillId="42" borderId="0" xfId="57" applyFont="1" applyFill="1" applyBorder="1" applyAlignment="1" applyProtection="1">
      <alignment vertical="center" wrapText="1"/>
    </xf>
    <xf numFmtId="0" fontId="99" fillId="0" borderId="0" xfId="57" applyFont="1" applyAlignment="1">
      <alignment horizontal="left"/>
    </xf>
    <xf numFmtId="0" fontId="2" fillId="42" borderId="372" xfId="57" applyFont="1" applyFill="1" applyBorder="1" applyAlignment="1">
      <alignment horizontal="center" vertical="center"/>
    </xf>
    <xf numFmtId="0" fontId="2" fillId="42" borderId="373" xfId="57" applyFont="1" applyFill="1" applyBorder="1" applyAlignment="1">
      <alignment horizontal="center" vertical="center"/>
    </xf>
    <xf numFmtId="0" fontId="2" fillId="42" borderId="380" xfId="57" applyFont="1" applyFill="1" applyBorder="1" applyAlignment="1" applyProtection="1">
      <alignment vertical="center" wrapText="1"/>
    </xf>
    <xf numFmtId="0" fontId="99" fillId="0" borderId="0" xfId="57" applyFont="1" applyAlignment="1">
      <alignment horizontal="center"/>
    </xf>
    <xf numFmtId="0" fontId="99" fillId="0" borderId="0" xfId="57" applyFont="1" applyAlignment="1"/>
    <xf numFmtId="179" fontId="99" fillId="0" borderId="0" xfId="56" applyNumberFormat="1" applyFont="1"/>
    <xf numFmtId="179" fontId="105" fillId="0" borderId="0" xfId="57" applyNumberFormat="1" applyFont="1"/>
    <xf numFmtId="179" fontId="2" fillId="42" borderId="381" xfId="56" applyNumberFormat="1" applyFont="1" applyFill="1" applyBorder="1" applyAlignment="1">
      <alignment vertical="center"/>
    </xf>
    <xf numFmtId="0" fontId="18" fillId="42" borderId="0" xfId="57" applyFont="1" applyFill="1" applyBorder="1" applyAlignment="1">
      <alignment vertical="center" wrapText="1"/>
    </xf>
    <xf numFmtId="0" fontId="2" fillId="42" borderId="373" xfId="57" applyFont="1" applyFill="1" applyBorder="1" applyAlignment="1" applyProtection="1">
      <alignment vertical="center" wrapText="1"/>
    </xf>
    <xf numFmtId="0" fontId="18" fillId="42" borderId="378" xfId="57" applyFont="1" applyFill="1" applyBorder="1" applyAlignment="1">
      <alignment vertical="center"/>
    </xf>
    <xf numFmtId="179" fontId="2" fillId="0" borderId="382" xfId="56" applyNumberFormat="1" applyFont="1" applyFill="1" applyBorder="1" applyAlignment="1" applyProtection="1">
      <alignment vertical="center"/>
      <protection locked="0"/>
    </xf>
    <xf numFmtId="0" fontId="18" fillId="42" borderId="383" xfId="57" applyFont="1" applyFill="1" applyBorder="1" applyAlignment="1">
      <alignment horizontal="center" vertical="center"/>
    </xf>
    <xf numFmtId="0" fontId="18" fillId="42" borderId="384" xfId="57" applyFont="1" applyFill="1" applyBorder="1" applyAlignment="1">
      <alignment horizontal="center" vertical="center"/>
    </xf>
    <xf numFmtId="0" fontId="18" fillId="42" borderId="384" xfId="57" applyFont="1" applyFill="1" applyBorder="1" applyAlignment="1">
      <alignment vertical="center"/>
    </xf>
    <xf numFmtId="179" fontId="2" fillId="0" borderId="374" xfId="56" applyNumberFormat="1" applyFont="1" applyFill="1" applyBorder="1" applyAlignment="1" applyProtection="1">
      <alignment vertical="center"/>
      <protection locked="0"/>
    </xf>
    <xf numFmtId="0" fontId="2" fillId="42" borderId="383" xfId="57" applyFont="1" applyFill="1" applyBorder="1" applyAlignment="1">
      <alignment horizontal="center" vertical="center"/>
    </xf>
    <xf numFmtId="179" fontId="2" fillId="42" borderId="379" xfId="56" applyNumberFormat="1" applyFont="1" applyFill="1" applyBorder="1" applyAlignment="1">
      <alignment vertical="center"/>
    </xf>
    <xf numFmtId="0" fontId="2" fillId="0" borderId="383" xfId="57" applyFont="1" applyFill="1" applyBorder="1" applyAlignment="1">
      <alignment horizontal="center" vertical="center"/>
    </xf>
    <xf numFmtId="0" fontId="2" fillId="0" borderId="384" xfId="57" applyFont="1" applyFill="1" applyBorder="1" applyAlignment="1">
      <alignment horizontal="center" vertical="center"/>
    </xf>
    <xf numFmtId="0" fontId="2" fillId="0" borderId="384" xfId="57" applyFont="1" applyFill="1" applyBorder="1" applyAlignment="1" applyProtection="1">
      <alignment vertical="center" wrapText="1"/>
    </xf>
    <xf numFmtId="179" fontId="2" fillId="0" borderId="384" xfId="56" applyNumberFormat="1" applyFont="1" applyFill="1" applyBorder="1" applyAlignment="1" applyProtection="1">
      <alignment vertical="center"/>
      <protection locked="0"/>
    </xf>
    <xf numFmtId="0" fontId="18" fillId="42" borderId="378" xfId="57" applyFont="1" applyFill="1" applyBorder="1" applyAlignment="1">
      <alignment horizontal="left" vertical="center"/>
    </xf>
    <xf numFmtId="179" fontId="2" fillId="42" borderId="377" xfId="56" applyNumberFormat="1" applyFont="1" applyFill="1" applyBorder="1" applyAlignment="1" applyProtection="1">
      <alignment vertical="center" wrapText="1"/>
    </xf>
    <xf numFmtId="0" fontId="105" fillId="0" borderId="0" xfId="57" applyFont="1" applyAlignment="1">
      <alignment horizontal="right"/>
    </xf>
    <xf numFmtId="0" fontId="17" fillId="0" borderId="0" xfId="43" applyFont="1" applyBorder="1"/>
    <xf numFmtId="0" fontId="19" fillId="41" borderId="383" xfId="55" applyFont="1" applyFill="1" applyBorder="1" applyAlignment="1">
      <alignment vertical="center"/>
    </xf>
    <xf numFmtId="0" fontId="23" fillId="41" borderId="384" xfId="55" applyFont="1" applyFill="1" applyBorder="1" applyAlignment="1">
      <alignment horizontal="center" vertical="center"/>
    </xf>
    <xf numFmtId="0" fontId="19" fillId="41" borderId="384" xfId="55" applyFont="1" applyFill="1" applyBorder="1" applyAlignment="1">
      <alignment vertical="center"/>
    </xf>
    <xf numFmtId="14" fontId="19" fillId="41" borderId="379" xfId="56" applyNumberFormat="1" applyFont="1" applyFill="1" applyBorder="1" applyAlignment="1">
      <alignment horizontal="center" vertical="center"/>
    </xf>
    <xf numFmtId="179" fontId="18" fillId="42" borderId="380" xfId="56" applyNumberFormat="1" applyFont="1" applyFill="1" applyBorder="1" applyAlignment="1">
      <alignment vertical="center"/>
    </xf>
    <xf numFmtId="164" fontId="3" fillId="33" borderId="100" xfId="43" applyNumberFormat="1" applyFont="1" applyFill="1" applyBorder="1" applyAlignment="1">
      <alignment vertical="center"/>
    </xf>
    <xf numFmtId="0" fontId="62" fillId="33" borderId="75" xfId="43" applyFont="1" applyFill="1" applyBorder="1" applyAlignment="1">
      <alignment vertical="center"/>
    </xf>
    <xf numFmtId="164" fontId="6" fillId="0" borderId="100" xfId="43" applyNumberFormat="1" applyFont="1" applyBorder="1" applyAlignment="1">
      <alignment horizontal="center" vertical="center"/>
    </xf>
    <xf numFmtId="37" fontId="5" fillId="33" borderId="73" xfId="43" applyNumberFormat="1" applyFont="1" applyFill="1" applyBorder="1" applyAlignment="1">
      <alignment vertical="center"/>
    </xf>
    <xf numFmtId="0" fontId="106" fillId="26" borderId="73" xfId="43" applyFont="1" applyFill="1" applyBorder="1" applyAlignment="1">
      <alignment vertical="center"/>
    </xf>
    <xf numFmtId="0" fontId="106" fillId="26" borderId="73" xfId="43" applyFont="1" applyFill="1" applyBorder="1"/>
    <xf numFmtId="0" fontId="106" fillId="26" borderId="73" xfId="43" quotePrefix="1" applyFont="1" applyFill="1" applyBorder="1" applyAlignment="1">
      <alignment horizontal="left" vertical="center"/>
    </xf>
    <xf numFmtId="37" fontId="106" fillId="26" borderId="73" xfId="43" applyNumberFormat="1" applyFont="1" applyFill="1" applyBorder="1" applyAlignment="1">
      <alignment horizontal="center" vertical="center"/>
    </xf>
    <xf numFmtId="179" fontId="7" fillId="0" borderId="0" xfId="33" applyNumberFormat="1" applyFont="1"/>
    <xf numFmtId="179" fontId="3" fillId="0" borderId="0" xfId="43" applyNumberFormat="1" applyFont="1"/>
    <xf numFmtId="0" fontId="19" fillId="25" borderId="109" xfId="0" applyFont="1" applyFill="1" applyBorder="1" applyAlignment="1">
      <alignment horizontal="center"/>
    </xf>
    <xf numFmtId="0" fontId="2" fillId="0" borderId="0" xfId="0" applyFont="1"/>
    <xf numFmtId="37" fontId="3" fillId="33" borderId="147" xfId="43" applyNumberFormat="1" applyFont="1" applyFill="1" applyBorder="1" applyAlignment="1">
      <alignment horizontal="left" vertical="center" indent="2"/>
    </xf>
    <xf numFmtId="0" fontId="62" fillId="0" borderId="148" xfId="43" applyFont="1" applyBorder="1" applyAlignment="1">
      <alignment wrapText="1"/>
    </xf>
    <xf numFmtId="0" fontId="62" fillId="0" borderId="385" xfId="43" applyFont="1" applyBorder="1" applyAlignment="1">
      <alignment wrapText="1"/>
    </xf>
    <xf numFmtId="37" fontId="3" fillId="33" borderId="386" xfId="43" applyNumberFormat="1" applyFont="1" applyFill="1" applyBorder="1" applyAlignment="1">
      <alignment horizontal="left" vertical="center" indent="2"/>
    </xf>
    <xf numFmtId="0" fontId="62" fillId="0" borderId="387" xfId="43" applyFont="1" applyBorder="1" applyAlignment="1">
      <alignment wrapText="1"/>
    </xf>
    <xf numFmtId="0" fontId="62" fillId="0" borderId="388" xfId="43" applyFont="1" applyBorder="1" applyAlignment="1">
      <alignment wrapText="1"/>
    </xf>
    <xf numFmtId="164" fontId="100" fillId="33" borderId="389" xfId="43" applyNumberFormat="1" applyFont="1" applyFill="1" applyBorder="1" applyAlignment="1">
      <alignment vertical="center"/>
    </xf>
    <xf numFmtId="164" fontId="100" fillId="33" borderId="0" xfId="43" applyNumberFormat="1" applyFont="1" applyFill="1" applyBorder="1" applyAlignment="1">
      <alignment vertical="center"/>
    </xf>
    <xf numFmtId="164" fontId="100" fillId="33" borderId="390" xfId="43" applyNumberFormat="1" applyFont="1" applyFill="1" applyBorder="1" applyAlignment="1">
      <alignment vertical="center"/>
    </xf>
    <xf numFmtId="164" fontId="6" fillId="0" borderId="389" xfId="43" applyNumberFormat="1" applyFont="1" applyBorder="1" applyAlignment="1">
      <alignment horizontal="center" vertical="center"/>
    </xf>
    <xf numFmtId="164" fontId="6" fillId="0" borderId="0" xfId="43" applyNumberFormat="1" applyFont="1" applyBorder="1" applyAlignment="1">
      <alignment horizontal="center" vertical="center"/>
    </xf>
    <xf numFmtId="164" fontId="6" fillId="0" borderId="391" xfId="43" applyNumberFormat="1" applyFont="1" applyBorder="1" applyAlignment="1">
      <alignment horizontal="center" vertical="center"/>
    </xf>
    <xf numFmtId="0" fontId="62" fillId="33" borderId="138" xfId="43" applyFont="1" applyFill="1" applyBorder="1" applyAlignment="1">
      <alignment vertical="center"/>
    </xf>
    <xf numFmtId="0" fontId="60" fillId="0" borderId="75" xfId="43" applyFont="1" applyBorder="1" applyAlignment="1">
      <alignment horizontal="center" vertical="center"/>
    </xf>
    <xf numFmtId="0" fontId="60" fillId="0" borderId="192" xfId="43" applyFont="1" applyBorder="1" applyAlignment="1">
      <alignment horizontal="center" vertical="center"/>
    </xf>
    <xf numFmtId="37" fontId="5" fillId="33" borderId="136" xfId="43" applyNumberFormat="1" applyFont="1" applyFill="1" applyBorder="1" applyAlignment="1">
      <alignment horizontal="left" vertical="center" indent="1"/>
    </xf>
    <xf numFmtId="0" fontId="17" fillId="0" borderId="0" xfId="0" applyFont="1" applyFill="1" applyProtection="1">
      <protection locked="0"/>
    </xf>
    <xf numFmtId="0" fontId="7" fillId="0" borderId="0" xfId="0" applyFont="1" applyFill="1" applyProtection="1">
      <protection locked="0"/>
    </xf>
    <xf numFmtId="167" fontId="6" fillId="0" borderId="0" xfId="36" applyNumberFormat="1" applyFont="1" applyFill="1" applyProtection="1">
      <protection locked="0"/>
    </xf>
    <xf numFmtId="0" fontId="7" fillId="39" borderId="0" xfId="0" applyFont="1" applyFill="1" applyProtection="1">
      <protection locked="0"/>
    </xf>
    <xf numFmtId="0" fontId="7" fillId="32" borderId="0" xfId="0" applyFont="1" applyFill="1" applyProtection="1">
      <protection locked="0"/>
    </xf>
    <xf numFmtId="167" fontId="17" fillId="0" borderId="0" xfId="36" applyNumberFormat="1" applyFont="1" applyFill="1" applyProtection="1">
      <protection locked="0"/>
    </xf>
    <xf numFmtId="0" fontId="12" fillId="0" borderId="0" xfId="0" applyFont="1" applyFill="1" applyProtection="1">
      <protection locked="0"/>
    </xf>
    <xf numFmtId="167" fontId="17" fillId="0" borderId="0" xfId="0" applyNumberFormat="1" applyFont="1" applyFill="1" applyProtection="1">
      <protection locked="0"/>
    </xf>
    <xf numFmtId="167" fontId="6" fillId="33" borderId="0" xfId="36" applyNumberFormat="1" applyFont="1" applyFill="1" applyProtection="1">
      <protection locked="0"/>
    </xf>
    <xf numFmtId="0" fontId="7" fillId="38" borderId="0" xfId="0" applyFont="1" applyFill="1" applyProtection="1">
      <protection locked="0"/>
    </xf>
    <xf numFmtId="0" fontId="98" fillId="38" borderId="0" xfId="0" applyFont="1" applyFill="1" applyProtection="1">
      <protection locked="0"/>
    </xf>
    <xf numFmtId="0" fontId="68" fillId="0" borderId="0" xfId="0" applyFont="1" applyFill="1" applyProtection="1">
      <protection locked="0"/>
    </xf>
    <xf numFmtId="0" fontId="7" fillId="34" borderId="0" xfId="0" applyFont="1" applyFill="1" applyProtection="1">
      <protection locked="0"/>
    </xf>
    <xf numFmtId="0" fontId="3" fillId="0" borderId="0" xfId="0" applyFont="1" applyFill="1" applyProtection="1"/>
    <xf numFmtId="1" fontId="22" fillId="0" borderId="0" xfId="0" applyNumberFormat="1" applyFont="1" applyFill="1" applyProtection="1"/>
    <xf numFmtId="0" fontId="22" fillId="0" borderId="0" xfId="0" applyFont="1" applyFill="1" applyProtection="1"/>
    <xf numFmtId="1" fontId="3" fillId="0" borderId="0" xfId="0" applyNumberFormat="1" applyFont="1" applyFill="1" applyProtection="1"/>
    <xf numFmtId="0" fontId="9" fillId="0" borderId="0" xfId="0" applyFont="1" applyFill="1" applyProtection="1"/>
    <xf numFmtId="0" fontId="17" fillId="0" borderId="0" xfId="0" applyFont="1" applyFill="1" applyProtection="1"/>
    <xf numFmtId="0" fontId="9" fillId="32" borderId="0" xfId="0" applyFont="1" applyFill="1" applyProtection="1"/>
    <xf numFmtId="0" fontId="22" fillId="32" borderId="0" xfId="0" applyFont="1" applyFill="1" applyProtection="1"/>
    <xf numFmtId="0" fontId="3" fillId="0" borderId="0" xfId="43" applyFont="1" applyProtection="1"/>
    <xf numFmtId="0" fontId="6" fillId="0" borderId="0" xfId="0" applyFont="1" applyFill="1" applyProtection="1"/>
    <xf numFmtId="1" fontId="22" fillId="38" borderId="0" xfId="0" applyNumberFormat="1" applyFont="1" applyFill="1" applyProtection="1"/>
    <xf numFmtId="0" fontId="3" fillId="38" borderId="0" xfId="0" applyFont="1" applyFill="1" applyProtection="1"/>
    <xf numFmtId="0" fontId="22" fillId="38" borderId="0" xfId="0" applyFont="1" applyFill="1" applyProtection="1"/>
    <xf numFmtId="1" fontId="3" fillId="38" borderId="0" xfId="0" applyNumberFormat="1" applyFont="1" applyFill="1" applyProtection="1"/>
    <xf numFmtId="0" fontId="9" fillId="38" borderId="0" xfId="0" applyFont="1" applyFill="1" applyProtection="1"/>
    <xf numFmtId="0" fontId="6" fillId="38" borderId="0" xfId="0" applyFont="1" applyFill="1" applyProtection="1"/>
    <xf numFmtId="1" fontId="22" fillId="32" borderId="0" xfId="0" applyNumberFormat="1" applyFont="1" applyFill="1" applyProtection="1"/>
    <xf numFmtId="0" fontId="3" fillId="32" borderId="0" xfId="0" applyFont="1" applyFill="1" applyProtection="1"/>
    <xf numFmtId="1" fontId="3" fillId="32" borderId="0" xfId="0" applyNumberFormat="1" applyFont="1" applyFill="1" applyProtection="1"/>
    <xf numFmtId="0" fontId="15" fillId="0" borderId="0" xfId="0" applyFont="1" applyFill="1" applyProtection="1"/>
    <xf numFmtId="167" fontId="2" fillId="0" borderId="0" xfId="0" applyNumberFormat="1" applyFont="1" applyFill="1"/>
    <xf numFmtId="164" fontId="3" fillId="0" borderId="100" xfId="43" applyNumberFormat="1" applyFont="1" applyBorder="1" applyAlignment="1">
      <alignment vertical="center"/>
    </xf>
    <xf numFmtId="164" fontId="3" fillId="0" borderId="100" xfId="43" applyNumberFormat="1" applyFont="1" applyFill="1" applyBorder="1" applyAlignment="1">
      <alignment vertical="center"/>
    </xf>
    <xf numFmtId="14" fontId="3" fillId="0" borderId="0" xfId="43" applyNumberFormat="1" applyFont="1" applyFill="1"/>
    <xf numFmtId="14" fontId="7" fillId="0" borderId="0" xfId="43" applyNumberFormat="1" applyFont="1" applyFill="1" applyAlignment="1">
      <alignment horizontal="left"/>
    </xf>
    <xf numFmtId="0" fontId="3" fillId="0" borderId="141" xfId="43" applyFont="1" applyFill="1" applyBorder="1" applyAlignment="1">
      <alignment horizontal="left" vertical="center" indent="1"/>
    </xf>
    <xf numFmtId="0" fontId="3" fillId="0" borderId="137" xfId="43" applyFont="1" applyFill="1" applyBorder="1"/>
    <xf numFmtId="0" fontId="3" fillId="0" borderId="137" xfId="43" applyFont="1" applyFill="1" applyBorder="1" applyAlignment="1">
      <alignment horizontal="left" vertical="center" wrapText="1" indent="5"/>
    </xf>
    <xf numFmtId="0" fontId="3" fillId="0" borderId="191" xfId="43" applyFont="1" applyFill="1" applyBorder="1" applyAlignment="1">
      <alignment horizontal="left" vertical="center" wrapText="1" indent="5"/>
    </xf>
    <xf numFmtId="0" fontId="3" fillId="0" borderId="74" xfId="43" applyFont="1" applyFill="1" applyBorder="1" applyAlignment="1">
      <alignment horizontal="left" vertical="center" indent="1"/>
    </xf>
    <xf numFmtId="0" fontId="3" fillId="0" borderId="75" xfId="43" applyFont="1" applyFill="1" applyBorder="1"/>
    <xf numFmtId="164" fontId="3" fillId="0" borderId="25" xfId="43" applyNumberFormat="1" applyFont="1" applyFill="1" applyBorder="1" applyAlignment="1">
      <alignment vertical="center"/>
    </xf>
    <xf numFmtId="0" fontId="3" fillId="0" borderId="77" xfId="43" quotePrefix="1" applyFont="1" applyFill="1" applyBorder="1" applyAlignment="1">
      <alignment horizontal="left" vertical="center" indent="1"/>
    </xf>
    <xf numFmtId="0" fontId="3" fillId="0" borderId="76" xfId="43" applyFont="1" applyFill="1" applyBorder="1"/>
    <xf numFmtId="0" fontId="5" fillId="32" borderId="72" xfId="43" applyNumberFormat="1" applyFont="1" applyFill="1" applyBorder="1" applyAlignment="1">
      <alignment horizontal="left" vertical="center" indent="1"/>
    </xf>
    <xf numFmtId="0" fontId="5" fillId="32" borderId="73" xfId="43" applyFont="1" applyFill="1" applyBorder="1" applyAlignment="1">
      <alignment vertical="center"/>
    </xf>
    <xf numFmtId="0" fontId="5" fillId="32" borderId="78" xfId="43" applyFont="1" applyFill="1" applyBorder="1" applyAlignment="1">
      <alignment vertical="center"/>
    </xf>
    <xf numFmtId="0" fontId="9" fillId="32" borderId="73" xfId="43" applyFont="1" applyFill="1" applyBorder="1"/>
    <xf numFmtId="0" fontId="5" fillId="32" borderId="19" xfId="43" applyFont="1" applyFill="1" applyBorder="1" applyAlignment="1">
      <alignment vertical="center"/>
    </xf>
    <xf numFmtId="0" fontId="9" fillId="32" borderId="81" xfId="43" applyFont="1" applyFill="1" applyBorder="1"/>
    <xf numFmtId="0" fontId="7" fillId="32" borderId="141" xfId="43" applyNumberFormat="1" applyFont="1" applyFill="1" applyBorder="1" applyAlignment="1">
      <alignment horizontal="left" vertical="center" indent="2"/>
    </xf>
    <xf numFmtId="0" fontId="7" fillId="32" borderId="137" xfId="43" applyFont="1" applyFill="1" applyBorder="1" applyAlignment="1">
      <alignment vertical="center"/>
    </xf>
    <xf numFmtId="0" fontId="3" fillId="32" borderId="191" xfId="43" applyFont="1" applyFill="1" applyBorder="1"/>
    <xf numFmtId="0" fontId="7" fillId="32" borderId="100" xfId="43" applyFont="1" applyFill="1" applyBorder="1" applyAlignment="1">
      <alignment vertical="center"/>
    </xf>
    <xf numFmtId="0" fontId="3" fillId="32" borderId="138" xfId="43" applyFont="1" applyFill="1" applyBorder="1"/>
    <xf numFmtId="0" fontId="3" fillId="32" borderId="192" xfId="43" applyFont="1" applyFill="1" applyBorder="1"/>
    <xf numFmtId="0" fontId="7" fillId="32" borderId="74" xfId="43" applyNumberFormat="1" applyFont="1" applyFill="1" applyBorder="1" applyAlignment="1">
      <alignment horizontal="left" vertical="center" indent="2"/>
    </xf>
    <xf numFmtId="0" fontId="7" fillId="32" borderId="75" xfId="43" applyFont="1" applyFill="1" applyBorder="1" applyAlignment="1">
      <alignment vertical="center"/>
    </xf>
    <xf numFmtId="0" fontId="3" fillId="32" borderId="74" xfId="43" applyNumberFormat="1" applyFont="1" applyFill="1" applyBorder="1" applyAlignment="1">
      <alignment horizontal="left" vertical="center" indent="3"/>
    </xf>
    <xf numFmtId="0" fontId="3" fillId="32" borderId="75" xfId="43" applyFont="1" applyFill="1" applyBorder="1" applyAlignment="1">
      <alignment vertical="center"/>
    </xf>
    <xf numFmtId="0" fontId="7" fillId="32" borderId="74" xfId="43" applyNumberFormat="1" applyFont="1" applyFill="1" applyBorder="1" applyAlignment="1">
      <alignment horizontal="left" vertical="center" indent="3"/>
    </xf>
    <xf numFmtId="0" fontId="7" fillId="32" borderId="74" xfId="43" quotePrefix="1" applyNumberFormat="1" applyFont="1" applyFill="1" applyBorder="1" applyAlignment="1">
      <alignment horizontal="left" vertical="center" indent="2"/>
    </xf>
    <xf numFmtId="0" fontId="3" fillId="32" borderId="74" xfId="43" quotePrefix="1" applyNumberFormat="1" applyFont="1" applyFill="1" applyBorder="1" applyAlignment="1">
      <alignment horizontal="left" vertical="center" indent="3"/>
    </xf>
    <xf numFmtId="0" fontId="3" fillId="32" borderId="74" xfId="43" applyNumberFormat="1" applyFont="1" applyFill="1" applyBorder="1" applyAlignment="1">
      <alignment horizontal="left" vertical="center" indent="2"/>
    </xf>
    <xf numFmtId="0" fontId="3" fillId="32" borderId="143" xfId="43" applyNumberFormat="1" applyFont="1" applyFill="1" applyBorder="1" applyAlignment="1">
      <alignment horizontal="left" vertical="center" indent="2"/>
    </xf>
    <xf numFmtId="0" fontId="3" fillId="32" borderId="139" xfId="43" applyFont="1" applyFill="1" applyBorder="1" applyAlignment="1">
      <alignment vertical="center"/>
    </xf>
    <xf numFmtId="0" fontId="3" fillId="32" borderId="139" xfId="43" applyFont="1" applyFill="1" applyBorder="1"/>
    <xf numFmtId="0" fontId="3" fillId="32" borderId="193" xfId="43" applyFont="1" applyFill="1" applyBorder="1"/>
    <xf numFmtId="0" fontId="7" fillId="32" borderId="194" xfId="43" applyFont="1" applyFill="1" applyBorder="1" applyAlignment="1">
      <alignment vertical="center"/>
    </xf>
    <xf numFmtId="0" fontId="3" fillId="32" borderId="195" xfId="43" applyFont="1" applyFill="1" applyBorder="1"/>
    <xf numFmtId="0" fontId="3" fillId="32" borderId="77" xfId="43" applyNumberFormat="1" applyFont="1" applyFill="1" applyBorder="1" applyAlignment="1">
      <alignment horizontal="left" vertical="center" indent="2"/>
    </xf>
    <xf numFmtId="0" fontId="3" fillId="32" borderId="76" xfId="43" applyFont="1" applyFill="1" applyBorder="1" applyAlignment="1">
      <alignment vertical="center"/>
    </xf>
    <xf numFmtId="0" fontId="3" fillId="32" borderId="196" xfId="43" applyFont="1" applyFill="1" applyBorder="1"/>
    <xf numFmtId="0" fontId="7" fillId="32" borderId="102" xfId="43" applyFont="1" applyFill="1" applyBorder="1" applyAlignment="1">
      <alignment vertical="center"/>
    </xf>
    <xf numFmtId="0" fontId="3" fillId="32" borderId="197" xfId="43" applyFont="1" applyFill="1" applyBorder="1"/>
    <xf numFmtId="37" fontId="3" fillId="32" borderId="141" xfId="43" quotePrefix="1" applyNumberFormat="1" applyFont="1" applyFill="1" applyBorder="1" applyAlignment="1">
      <alignment horizontal="left" vertical="center" indent="1"/>
    </xf>
    <xf numFmtId="37" fontId="3" fillId="32" borderId="137" xfId="43" applyNumberFormat="1" applyFont="1" applyFill="1" applyBorder="1" applyAlignment="1">
      <alignment horizontal="left" vertical="center" indent="2"/>
    </xf>
    <xf numFmtId="37" fontId="3" fillId="32" borderId="137" xfId="43" applyNumberFormat="1" applyFont="1" applyFill="1" applyBorder="1" applyAlignment="1">
      <alignment vertical="center"/>
    </xf>
    <xf numFmtId="37" fontId="3" fillId="32" borderId="77" xfId="43" quotePrefix="1" applyNumberFormat="1" applyFont="1" applyFill="1" applyBorder="1" applyAlignment="1">
      <alignment horizontal="left" vertical="center" indent="1"/>
    </xf>
    <xf numFmtId="37" fontId="3" fillId="32" borderId="76" xfId="43" applyNumberFormat="1" applyFont="1" applyFill="1" applyBorder="1" applyAlignment="1">
      <alignment horizontal="left" vertical="center" indent="2"/>
    </xf>
    <xf numFmtId="37" fontId="3" fillId="32" borderId="76" xfId="43" applyNumberFormat="1" applyFont="1" applyFill="1" applyBorder="1" applyAlignment="1">
      <alignment vertical="center"/>
    </xf>
    <xf numFmtId="37" fontId="7" fillId="32" borderId="72" xfId="43" quotePrefix="1" applyNumberFormat="1" applyFont="1" applyFill="1" applyBorder="1" applyAlignment="1">
      <alignment horizontal="left" vertical="center" indent="1"/>
    </xf>
    <xf numFmtId="37" fontId="7" fillId="32" borderId="73" xfId="43" quotePrefix="1" applyNumberFormat="1" applyFont="1" applyFill="1" applyBorder="1" applyAlignment="1">
      <alignment horizontal="left" vertical="center" indent="1"/>
    </xf>
    <xf numFmtId="37" fontId="3" fillId="32" borderId="141" xfId="43" applyNumberFormat="1" applyFont="1" applyFill="1" applyBorder="1" applyAlignment="1">
      <alignment horizontal="left" vertical="center" indent="1"/>
    </xf>
    <xf numFmtId="37" fontId="3" fillId="32" borderId="74" xfId="43" applyNumberFormat="1" applyFont="1" applyFill="1" applyBorder="1" applyAlignment="1">
      <alignment horizontal="left" vertical="center" indent="1"/>
    </xf>
    <xf numFmtId="37" fontId="3" fillId="32" borderId="75" xfId="43" applyNumberFormat="1" applyFont="1" applyFill="1" applyBorder="1" applyAlignment="1">
      <alignment horizontal="left" vertical="center" indent="2"/>
    </xf>
    <xf numFmtId="37" fontId="3" fillId="32" borderId="75" xfId="43" applyNumberFormat="1" applyFont="1" applyFill="1" applyBorder="1" applyAlignment="1">
      <alignment vertical="center"/>
    </xf>
    <xf numFmtId="0" fontId="5" fillId="32" borderId="73" xfId="43" applyFont="1" applyFill="1" applyBorder="1"/>
    <xf numFmtId="0" fontId="5" fillId="32" borderId="81" xfId="43" applyFont="1" applyFill="1" applyBorder="1"/>
    <xf numFmtId="37" fontId="3" fillId="32" borderId="74" xfId="43" applyNumberFormat="1" applyFont="1" applyFill="1" applyBorder="1" applyAlignment="1">
      <alignment horizontal="left" vertical="center" indent="2"/>
    </xf>
    <xf numFmtId="0" fontId="3" fillId="32" borderId="75" xfId="43" applyFont="1" applyFill="1" applyBorder="1" applyAlignment="1">
      <alignment horizontal="left" indent="1"/>
    </xf>
    <xf numFmtId="0" fontId="3" fillId="32" borderId="138" xfId="43" applyFont="1" applyFill="1" applyBorder="1" applyAlignment="1">
      <alignment horizontal="left" indent="1"/>
    </xf>
    <xf numFmtId="37" fontId="3" fillId="32" borderId="113" xfId="43" applyNumberFormat="1" applyFont="1" applyFill="1" applyBorder="1" applyAlignment="1">
      <alignment horizontal="left" vertical="center" indent="2"/>
    </xf>
    <xf numFmtId="0" fontId="3" fillId="32" borderId="16" xfId="43" applyFont="1" applyFill="1" applyBorder="1" applyAlignment="1">
      <alignment horizontal="left" indent="1"/>
    </xf>
    <xf numFmtId="0" fontId="3" fillId="32" borderId="211" xfId="43" applyFont="1" applyFill="1" applyBorder="1" applyAlignment="1">
      <alignment horizontal="left" indent="1"/>
    </xf>
    <xf numFmtId="37" fontId="3" fillId="32" borderId="141" xfId="43" quotePrefix="1" applyNumberFormat="1" applyFont="1" applyFill="1" applyBorder="1" applyAlignment="1">
      <alignment horizontal="left" vertical="center" indent="2"/>
    </xf>
    <xf numFmtId="0" fontId="3" fillId="32" borderId="137" xfId="43" applyFont="1" applyFill="1" applyBorder="1" applyAlignment="1">
      <alignment vertical="center"/>
    </xf>
    <xf numFmtId="37" fontId="3" fillId="32" borderId="74" xfId="43" quotePrefix="1" applyNumberFormat="1" applyFont="1" applyFill="1" applyBorder="1" applyAlignment="1">
      <alignment horizontal="left" vertical="center" indent="2"/>
    </xf>
    <xf numFmtId="37" fontId="3" fillId="32" borderId="77" xfId="43" quotePrefix="1" applyNumberFormat="1" applyFont="1" applyFill="1" applyBorder="1" applyAlignment="1">
      <alignment horizontal="left" vertical="center" indent="2"/>
    </xf>
    <xf numFmtId="37" fontId="7" fillId="32" borderId="113" xfId="43" applyNumberFormat="1" applyFont="1" applyFill="1" applyBorder="1" applyAlignment="1">
      <alignment horizontal="left" vertical="center" indent="1"/>
    </xf>
    <xf numFmtId="37" fontId="7" fillId="32" borderId="16" xfId="43" applyNumberFormat="1" applyFont="1" applyFill="1" applyBorder="1" applyAlignment="1">
      <alignment horizontal="left" vertical="center"/>
    </xf>
    <xf numFmtId="37" fontId="5" fillId="32" borderId="72" xfId="43" quotePrefix="1" applyNumberFormat="1" applyFont="1" applyFill="1" applyBorder="1" applyAlignment="1">
      <alignment horizontal="left" vertical="center" indent="1"/>
    </xf>
    <xf numFmtId="37" fontId="7" fillId="32" borderId="73" xfId="43" applyNumberFormat="1" applyFont="1" applyFill="1" applyBorder="1" applyAlignment="1">
      <alignment horizontal="left" vertical="center"/>
    </xf>
    <xf numFmtId="37" fontId="3" fillId="32" borderId="141" xfId="43" applyNumberFormat="1" applyFont="1" applyFill="1" applyBorder="1" applyAlignment="1">
      <alignment horizontal="left" vertical="center" indent="2"/>
    </xf>
    <xf numFmtId="37" fontId="7" fillId="32" borderId="136" xfId="43" applyNumberFormat="1" applyFont="1" applyFill="1" applyBorder="1" applyAlignment="1">
      <alignment horizontal="left" vertical="center" indent="1"/>
    </xf>
    <xf numFmtId="37" fontId="7" fillId="32" borderId="126" xfId="43" applyNumberFormat="1" applyFont="1" applyFill="1" applyBorder="1" applyAlignment="1">
      <alignment horizontal="left" vertical="center"/>
    </xf>
    <xf numFmtId="0" fontId="3" fillId="32" borderId="126" xfId="43" applyFont="1" applyFill="1" applyBorder="1"/>
    <xf numFmtId="37" fontId="3" fillId="32" borderId="131" xfId="43" applyNumberFormat="1" applyFont="1" applyFill="1" applyBorder="1" applyAlignment="1">
      <alignment horizontal="left" vertical="center" indent="2"/>
    </xf>
    <xf numFmtId="37" fontId="3" fillId="32" borderId="132" xfId="43" applyNumberFormat="1" applyFont="1" applyFill="1" applyBorder="1" applyAlignment="1">
      <alignment horizontal="left" vertical="center" indent="3"/>
    </xf>
    <xf numFmtId="0" fontId="3" fillId="32" borderId="132" xfId="43" applyFont="1" applyFill="1" applyBorder="1"/>
    <xf numFmtId="37" fontId="3" fillId="32" borderId="143" xfId="43" applyNumberFormat="1" applyFont="1" applyFill="1" applyBorder="1" applyAlignment="1">
      <alignment horizontal="left" vertical="center" indent="2"/>
    </xf>
    <xf numFmtId="37" fontId="3" fillId="32" borderId="139" xfId="43" applyNumberFormat="1" applyFont="1" applyFill="1" applyBorder="1" applyAlignment="1">
      <alignment horizontal="left" vertical="center" indent="3"/>
    </xf>
    <xf numFmtId="37" fontId="7" fillId="32" borderId="128" xfId="43" applyNumberFormat="1" applyFont="1" applyFill="1" applyBorder="1" applyAlignment="1">
      <alignment horizontal="left" vertical="center" indent="1"/>
    </xf>
    <xf numFmtId="37" fontId="7" fillId="32" borderId="116" xfId="43" applyNumberFormat="1" applyFont="1" applyFill="1" applyBorder="1" applyAlignment="1">
      <alignment horizontal="left" vertical="center"/>
    </xf>
    <xf numFmtId="0" fontId="3" fillId="32" borderId="116" xfId="43" applyFont="1" applyFill="1" applyBorder="1"/>
    <xf numFmtId="37" fontId="3" fillId="32" borderId="142" xfId="43" applyNumberFormat="1" applyFont="1" applyFill="1" applyBorder="1" applyAlignment="1">
      <alignment horizontal="left" vertical="center" indent="2"/>
    </xf>
    <xf numFmtId="37" fontId="3" fillId="32" borderId="140" xfId="43" applyNumberFormat="1" applyFont="1" applyFill="1" applyBorder="1" applyAlignment="1">
      <alignment horizontal="left" vertical="center" indent="3"/>
    </xf>
    <xf numFmtId="0" fontId="3" fillId="32" borderId="140" xfId="43" applyFont="1" applyFill="1" applyBorder="1"/>
    <xf numFmtId="37" fontId="3" fillId="32" borderId="75" xfId="43" applyNumberFormat="1" applyFont="1" applyFill="1" applyBorder="1" applyAlignment="1">
      <alignment horizontal="left" vertical="center" indent="3"/>
    </xf>
    <xf numFmtId="37" fontId="3" fillId="32" borderId="198" xfId="43" applyNumberFormat="1" applyFont="1" applyFill="1" applyBorder="1" applyAlignment="1">
      <alignment horizontal="left" vertical="center" indent="2"/>
    </xf>
    <xf numFmtId="37" fontId="3" fillId="32" borderId="162" xfId="43" applyNumberFormat="1" applyFont="1" applyFill="1" applyBorder="1" applyAlignment="1">
      <alignment horizontal="left" vertical="center" indent="3"/>
    </xf>
    <xf numFmtId="37" fontId="3" fillId="32" borderId="131" xfId="43" quotePrefix="1" applyNumberFormat="1" applyFont="1" applyFill="1" applyBorder="1" applyAlignment="1">
      <alignment horizontal="left" vertical="center" indent="2"/>
    </xf>
    <xf numFmtId="0" fontId="3" fillId="32" borderId="132" xfId="43" applyFont="1" applyFill="1" applyBorder="1" applyAlignment="1">
      <alignment horizontal="left"/>
    </xf>
    <xf numFmtId="0" fontId="3" fillId="32" borderId="76" xfId="43" applyFont="1" applyFill="1" applyBorder="1" applyAlignment="1">
      <alignment horizontal="left"/>
    </xf>
    <xf numFmtId="37" fontId="5" fillId="32" borderId="113" xfId="43" applyNumberFormat="1" applyFont="1" applyFill="1" applyBorder="1" applyAlignment="1">
      <alignment horizontal="left" vertical="center" indent="1"/>
    </xf>
    <xf numFmtId="37" fontId="5" fillId="32" borderId="16" xfId="43" applyNumberFormat="1" applyFont="1" applyFill="1" applyBorder="1" applyAlignment="1">
      <alignment horizontal="left" vertical="center"/>
    </xf>
    <xf numFmtId="0" fontId="9" fillId="32" borderId="16" xfId="43" applyFont="1" applyFill="1" applyBorder="1"/>
    <xf numFmtId="37" fontId="5" fillId="32" borderId="136" xfId="43" quotePrefix="1" applyNumberFormat="1" applyFont="1" applyFill="1" applyBorder="1" applyAlignment="1">
      <alignment horizontal="left" vertical="center" indent="1"/>
    </xf>
    <xf numFmtId="37" fontId="5" fillId="32" borderId="126" xfId="43" applyNumberFormat="1" applyFont="1" applyFill="1" applyBorder="1" applyAlignment="1">
      <alignment vertical="center"/>
    </xf>
    <xf numFmtId="0" fontId="5" fillId="32" borderId="126" xfId="43" applyFont="1" applyFill="1" applyBorder="1"/>
    <xf numFmtId="37" fontId="3" fillId="32" borderId="198" xfId="43" applyNumberFormat="1" applyFont="1" applyFill="1" applyBorder="1" applyAlignment="1">
      <alignment horizontal="left" vertical="center" indent="3"/>
    </xf>
    <xf numFmtId="37" fontId="3" fillId="32" borderId="162" xfId="43" applyNumberFormat="1" applyFont="1" applyFill="1" applyBorder="1" applyAlignment="1">
      <alignment horizontal="left" vertical="center" indent="2"/>
    </xf>
    <xf numFmtId="0" fontId="3" fillId="32" borderId="162" xfId="43" applyFont="1" applyFill="1" applyBorder="1"/>
    <xf numFmtId="37" fontId="3" fillId="32" borderId="74" xfId="43" applyNumberFormat="1" applyFont="1" applyFill="1" applyBorder="1" applyAlignment="1">
      <alignment horizontal="left" vertical="center" indent="3"/>
    </xf>
    <xf numFmtId="37" fontId="3" fillId="32" borderId="143" xfId="43" applyNumberFormat="1" applyFont="1" applyFill="1" applyBorder="1" applyAlignment="1">
      <alignment horizontal="left" vertical="center" indent="3"/>
    </xf>
    <xf numFmtId="37" fontId="3" fillId="32" borderId="139" xfId="43" applyNumberFormat="1" applyFont="1" applyFill="1" applyBorder="1" applyAlignment="1">
      <alignment horizontal="left" vertical="center" indent="2"/>
    </xf>
    <xf numFmtId="37" fontId="5" fillId="32" borderId="134" xfId="43" quotePrefix="1" applyNumberFormat="1" applyFont="1" applyFill="1" applyBorder="1" applyAlignment="1">
      <alignment horizontal="left" vertical="center" indent="1"/>
    </xf>
    <xf numFmtId="37" fontId="5" fillId="32" borderId="135" xfId="43" applyNumberFormat="1" applyFont="1" applyFill="1" applyBorder="1" applyAlignment="1">
      <alignment vertical="center"/>
    </xf>
    <xf numFmtId="0" fontId="5" fillId="32" borderId="135" xfId="43" applyFont="1" applyFill="1" applyBorder="1"/>
    <xf numFmtId="37" fontId="28" fillId="32" borderId="0" xfId="43" applyNumberFormat="1" applyFont="1" applyFill="1" applyBorder="1" applyAlignment="1">
      <alignment vertical="center"/>
    </xf>
    <xf numFmtId="0" fontId="3" fillId="32" borderId="0" xfId="43" applyFont="1" applyFill="1" applyBorder="1"/>
    <xf numFmtId="37" fontId="5" fillId="32" borderId="73" xfId="43" applyNumberFormat="1" applyFont="1" applyFill="1" applyBorder="1" applyAlignment="1">
      <alignment vertical="center"/>
    </xf>
    <xf numFmtId="164" fontId="7" fillId="32" borderId="32" xfId="43" applyNumberFormat="1" applyFont="1" applyFill="1" applyBorder="1" applyAlignment="1">
      <alignment vertical="center"/>
    </xf>
    <xf numFmtId="0" fontId="111" fillId="0" borderId="25" xfId="43" applyFont="1" applyBorder="1" applyAlignment="1">
      <alignment horizontal="left" vertical="center" indent="3"/>
    </xf>
    <xf numFmtId="164" fontId="3" fillId="0" borderId="105" xfId="43" applyNumberFormat="1" applyFont="1" applyBorder="1" applyAlignment="1">
      <alignment vertical="center"/>
    </xf>
    <xf numFmtId="164" fontId="7" fillId="0" borderId="35" xfId="43" applyNumberFormat="1" applyFont="1" applyFill="1" applyBorder="1" applyAlignment="1">
      <alignment vertical="center"/>
    </xf>
    <xf numFmtId="164" fontId="7" fillId="0" borderId="100" xfId="43" applyNumberFormat="1" applyFont="1" applyFill="1" applyBorder="1" applyAlignment="1">
      <alignment vertical="center"/>
    </xf>
    <xf numFmtId="164" fontId="7" fillId="0" borderId="104" xfId="43" applyNumberFormat="1" applyFont="1" applyFill="1" applyBorder="1" applyAlignment="1">
      <alignment vertical="center"/>
    </xf>
    <xf numFmtId="164" fontId="3" fillId="0" borderId="104" xfId="43" applyNumberFormat="1" applyFont="1" applyFill="1" applyBorder="1" applyAlignment="1">
      <alignment vertical="center"/>
    </xf>
    <xf numFmtId="164" fontId="3" fillId="0" borderId="32" xfId="43" applyNumberFormat="1" applyFont="1" applyFill="1" applyBorder="1" applyAlignment="1">
      <alignment vertical="center"/>
    </xf>
    <xf numFmtId="164" fontId="3" fillId="0" borderId="33" xfId="43" applyNumberFormat="1" applyFont="1" applyFill="1" applyBorder="1" applyAlignment="1">
      <alignment vertical="center"/>
    </xf>
    <xf numFmtId="179" fontId="99" fillId="0" borderId="0" xfId="33" applyNumberFormat="1" applyFont="1"/>
    <xf numFmtId="0" fontId="3" fillId="0" borderId="0" xfId="39" applyFont="1" applyAlignment="1">
      <alignment vertical="center"/>
    </xf>
    <xf numFmtId="0" fontId="3" fillId="33" borderId="0" xfId="0" applyFont="1" applyFill="1" applyAlignment="1">
      <alignment vertical="center"/>
    </xf>
    <xf numFmtId="164" fontId="3" fillId="33" borderId="0" xfId="0" applyNumberFormat="1" applyFont="1" applyFill="1" applyBorder="1" applyAlignment="1">
      <alignment vertical="center"/>
    </xf>
    <xf numFmtId="3" fontId="35" fillId="0" borderId="0" xfId="43" applyNumberFormat="1" applyFont="1" applyFill="1" applyBorder="1" applyAlignment="1">
      <alignment horizontal="right"/>
    </xf>
    <xf numFmtId="3" fontId="35" fillId="0" borderId="49" xfId="43" applyNumberFormat="1" applyFont="1" applyBorder="1" applyAlignment="1">
      <alignment horizontal="right"/>
    </xf>
    <xf numFmtId="0" fontId="112" fillId="0" borderId="0" xfId="43" applyFont="1" applyFill="1"/>
    <xf numFmtId="0" fontId="108" fillId="43" borderId="379" xfId="0" applyFont="1" applyFill="1" applyBorder="1" applyAlignment="1">
      <alignment horizontal="center"/>
    </xf>
    <xf numFmtId="0" fontId="114" fillId="44" borderId="382" xfId="0" applyFont="1" applyFill="1" applyBorder="1"/>
    <xf numFmtId="0" fontId="114" fillId="44" borderId="393" xfId="0" applyFont="1" applyFill="1" applyBorder="1"/>
    <xf numFmtId="0" fontId="114" fillId="44" borderId="374" xfId="0" applyFont="1" applyFill="1" applyBorder="1"/>
    <xf numFmtId="179" fontId="2" fillId="0" borderId="0" xfId="33" applyNumberFormat="1" applyFont="1"/>
    <xf numFmtId="0" fontId="116" fillId="0" borderId="0" xfId="0" applyFont="1"/>
    <xf numFmtId="167" fontId="6" fillId="32" borderId="0" xfId="36" applyNumberFormat="1" applyFont="1" applyFill="1" applyProtection="1">
      <protection locked="0"/>
    </xf>
    <xf numFmtId="167" fontId="6" fillId="35" borderId="0" xfId="36" applyNumberFormat="1" applyFont="1" applyFill="1" applyProtection="1">
      <protection locked="0"/>
    </xf>
    <xf numFmtId="167" fontId="6" fillId="38" borderId="0" xfId="36" applyNumberFormat="1" applyFont="1" applyFill="1" applyProtection="1">
      <protection locked="0"/>
    </xf>
    <xf numFmtId="167" fontId="6" fillId="45" borderId="0" xfId="36" applyNumberFormat="1" applyFont="1" applyFill="1" applyProtection="1">
      <protection locked="0"/>
    </xf>
    <xf numFmtId="167" fontId="6" fillId="34" borderId="0" xfId="36" applyNumberFormat="1" applyFont="1" applyFill="1" applyProtection="1">
      <protection locked="0"/>
    </xf>
    <xf numFmtId="167" fontId="6" fillId="46" borderId="0" xfId="36" applyNumberFormat="1" applyFont="1" applyFill="1" applyProtection="1">
      <protection locked="0"/>
    </xf>
    <xf numFmtId="167" fontId="6" fillId="47" borderId="0" xfId="36" applyNumberFormat="1" applyFont="1" applyFill="1" applyProtection="1">
      <protection locked="0"/>
    </xf>
    <xf numFmtId="167" fontId="6" fillId="48" borderId="0" xfId="36" applyNumberFormat="1" applyFont="1" applyFill="1" applyProtection="1">
      <protection locked="0"/>
    </xf>
    <xf numFmtId="167" fontId="6" fillId="49" borderId="0" xfId="36" applyNumberFormat="1" applyFont="1" applyFill="1" applyProtection="1">
      <protection locked="0"/>
    </xf>
    <xf numFmtId="167" fontId="6" fillId="50" borderId="0" xfId="36" applyNumberFormat="1" applyFont="1" applyFill="1" applyProtection="1">
      <protection locked="0"/>
    </xf>
    <xf numFmtId="167" fontId="6" fillId="51" borderId="0" xfId="36" applyNumberFormat="1" applyFont="1" applyFill="1" applyProtection="1">
      <protection locked="0"/>
    </xf>
    <xf numFmtId="167" fontId="6" fillId="52" borderId="0" xfId="36" applyNumberFormat="1" applyFont="1" applyFill="1" applyProtection="1">
      <protection locked="0"/>
    </xf>
    <xf numFmtId="167" fontId="6" fillId="53" borderId="0" xfId="36" applyNumberFormat="1" applyFont="1" applyFill="1" applyProtection="1">
      <protection locked="0"/>
    </xf>
    <xf numFmtId="167" fontId="6" fillId="54" borderId="0" xfId="36" applyNumberFormat="1" applyFont="1" applyFill="1" applyProtection="1">
      <protection locked="0"/>
    </xf>
    <xf numFmtId="167" fontId="6" fillId="55" borderId="0" xfId="36" applyNumberFormat="1" applyFont="1" applyFill="1" applyProtection="1">
      <protection locked="0"/>
    </xf>
    <xf numFmtId="179" fontId="99" fillId="0" borderId="0" xfId="57" applyNumberFormat="1" applyFont="1" applyAlignment="1">
      <alignment horizontal="left"/>
    </xf>
    <xf numFmtId="167" fontId="6" fillId="38" borderId="0" xfId="36" applyNumberFormat="1" applyFont="1" applyFill="1"/>
    <xf numFmtId="179" fontId="33" fillId="0" borderId="0" xfId="33" applyNumberFormat="1" applyFont="1" applyAlignment="1">
      <alignment horizontal="center"/>
    </xf>
    <xf numFmtId="0" fontId="3" fillId="0" borderId="0" xfId="0" applyFont="1" applyBorder="1" applyAlignment="1">
      <alignment vertical="center"/>
    </xf>
    <xf numFmtId="0" fontId="3" fillId="0" borderId="375" xfId="0" applyFont="1" applyBorder="1" applyAlignment="1">
      <alignment vertical="center"/>
    </xf>
    <xf numFmtId="0" fontId="3" fillId="0" borderId="378" xfId="0" applyFont="1" applyBorder="1" applyAlignment="1">
      <alignment vertical="center"/>
    </xf>
    <xf numFmtId="0" fontId="3" fillId="0" borderId="382" xfId="0" applyFont="1" applyBorder="1" applyAlignment="1">
      <alignment vertical="center"/>
    </xf>
    <xf numFmtId="179" fontId="3" fillId="0" borderId="393" xfId="0" applyNumberFormat="1" applyFont="1" applyBorder="1" applyAlignment="1">
      <alignment vertical="center"/>
    </xf>
    <xf numFmtId="0" fontId="3" fillId="0" borderId="393" xfId="0" applyFont="1" applyBorder="1" applyAlignment="1">
      <alignment vertical="center"/>
    </xf>
    <xf numFmtId="0" fontId="3" fillId="0" borderId="374" xfId="0" applyFont="1" applyBorder="1" applyAlignment="1">
      <alignment vertical="center"/>
    </xf>
    <xf numFmtId="179" fontId="3" fillId="0" borderId="379" xfId="33" applyNumberFormat="1" applyFont="1" applyBorder="1" applyAlignment="1">
      <alignment vertical="center"/>
    </xf>
    <xf numFmtId="179" fontId="3" fillId="0" borderId="382" xfId="33" applyNumberFormat="1" applyFont="1" applyBorder="1" applyAlignment="1">
      <alignment vertical="center"/>
    </xf>
    <xf numFmtId="179" fontId="3" fillId="0" borderId="393" xfId="33" applyNumberFormat="1" applyFont="1" applyBorder="1" applyAlignment="1">
      <alignment vertical="center"/>
    </xf>
    <xf numFmtId="0" fontId="3" fillId="0" borderId="379" xfId="0" applyFont="1" applyBorder="1" applyAlignment="1">
      <alignment vertical="center"/>
    </xf>
    <xf numFmtId="0" fontId="3" fillId="0" borderId="372" xfId="0" applyFont="1" applyBorder="1" applyAlignment="1">
      <alignment vertical="center"/>
    </xf>
    <xf numFmtId="179" fontId="3" fillId="0" borderId="383" xfId="33" applyNumberFormat="1" applyFont="1" applyBorder="1" applyAlignment="1">
      <alignment vertical="center"/>
    </xf>
    <xf numFmtId="179" fontId="7" fillId="0" borderId="379" xfId="33" applyNumberFormat="1" applyFont="1" applyBorder="1" applyAlignment="1">
      <alignment vertical="center"/>
    </xf>
    <xf numFmtId="164" fontId="7" fillId="0" borderId="383" xfId="0" applyNumberFormat="1" applyFont="1" applyBorder="1" applyAlignment="1">
      <alignment vertical="center"/>
    </xf>
    <xf numFmtId="167" fontId="17" fillId="32" borderId="0" xfId="36" applyNumberFormat="1" applyFont="1" applyFill="1"/>
    <xf numFmtId="0" fontId="2" fillId="0" borderId="0" xfId="0" applyFont="1" applyFill="1"/>
    <xf numFmtId="164" fontId="3" fillId="0" borderId="25" xfId="43" applyNumberFormat="1" applyFont="1" applyFill="1" applyBorder="1" applyAlignment="1">
      <alignment vertical="center"/>
    </xf>
    <xf numFmtId="164" fontId="3" fillId="0" borderId="26" xfId="43" applyNumberFormat="1" applyFont="1" applyFill="1" applyBorder="1" applyAlignment="1">
      <alignment vertical="center"/>
    </xf>
    <xf numFmtId="164" fontId="3" fillId="0" borderId="100" xfId="43" applyNumberFormat="1" applyFont="1" applyFill="1" applyBorder="1" applyAlignment="1">
      <alignment vertical="center"/>
    </xf>
    <xf numFmtId="14" fontId="19" fillId="41" borderId="374" xfId="33" applyNumberFormat="1" applyFont="1" applyFill="1" applyBorder="1" applyAlignment="1">
      <alignment horizontal="center" vertical="center"/>
    </xf>
    <xf numFmtId="179" fontId="19" fillId="41" borderId="380" xfId="33" quotePrefix="1" applyNumberFormat="1" applyFont="1" applyFill="1" applyBorder="1" applyAlignment="1">
      <alignment horizontal="center" vertical="center"/>
    </xf>
    <xf numFmtId="0" fontId="99" fillId="0" borderId="0" xfId="0" applyFont="1"/>
    <xf numFmtId="0" fontId="18" fillId="42" borderId="375" xfId="0" applyFont="1" applyFill="1" applyBorder="1" applyAlignment="1">
      <alignment vertical="center"/>
    </xf>
    <xf numFmtId="0" fontId="2" fillId="42" borderId="376" xfId="0" applyFont="1" applyFill="1" applyBorder="1" applyAlignment="1">
      <alignment horizontal="center" vertical="center"/>
    </xf>
    <xf numFmtId="0" fontId="18" fillId="42" borderId="376" xfId="0" applyFont="1" applyFill="1" applyBorder="1" applyAlignment="1">
      <alignment vertical="center"/>
    </xf>
    <xf numFmtId="179" fontId="2" fillId="42" borderId="376" xfId="33" applyNumberFormat="1" applyFont="1" applyFill="1" applyBorder="1" applyAlignment="1">
      <alignment vertical="center"/>
    </xf>
    <xf numFmtId="179" fontId="2" fillId="42" borderId="381" xfId="33" applyNumberFormat="1" applyFont="1" applyFill="1" applyBorder="1" applyAlignment="1">
      <alignment vertical="center"/>
    </xf>
    <xf numFmtId="0" fontId="18" fillId="42" borderId="378" xfId="0" applyFont="1" applyFill="1" applyBorder="1" applyAlignment="1">
      <alignment horizontal="left" vertical="center"/>
    </xf>
    <xf numFmtId="0" fontId="2" fillId="42" borderId="0" xfId="0" applyFont="1" applyFill="1" applyBorder="1" applyAlignment="1">
      <alignment horizontal="center" vertical="center"/>
    </xf>
    <xf numFmtId="0" fontId="18" fillId="42" borderId="0" xfId="0" applyFont="1" applyFill="1" applyBorder="1" applyAlignment="1">
      <alignment vertical="center"/>
    </xf>
    <xf numFmtId="179" fontId="2" fillId="0" borderId="379" xfId="33" applyNumberFormat="1" applyFont="1" applyFill="1" applyBorder="1" applyAlignment="1" applyProtection="1">
      <alignment vertical="center"/>
      <protection locked="0"/>
    </xf>
    <xf numFmtId="0" fontId="2" fillId="42" borderId="0" xfId="0" applyFont="1" applyFill="1" applyBorder="1" applyAlignment="1">
      <alignment vertical="center"/>
    </xf>
    <xf numFmtId="0" fontId="2" fillId="42" borderId="378" xfId="0" applyFont="1" applyFill="1" applyBorder="1" applyAlignment="1">
      <alignment horizontal="center" vertical="center"/>
    </xf>
    <xf numFmtId="0" fontId="2" fillId="42" borderId="0" xfId="0" applyFont="1" applyFill="1" applyBorder="1" applyAlignment="1">
      <alignment vertical="center" wrapText="1"/>
    </xf>
    <xf numFmtId="0" fontId="2" fillId="42" borderId="0" xfId="0" applyFont="1" applyFill="1" applyBorder="1" applyAlignment="1" applyProtection="1">
      <alignment vertical="center" wrapText="1"/>
    </xf>
    <xf numFmtId="0" fontId="18" fillId="42" borderId="378" xfId="0" applyFont="1" applyFill="1" applyBorder="1" applyAlignment="1">
      <alignment horizontal="center" vertical="center"/>
    </xf>
    <xf numFmtId="0" fontId="18" fillId="42" borderId="0" xfId="0" applyFont="1" applyFill="1" applyBorder="1" applyAlignment="1">
      <alignment horizontal="center" vertical="center"/>
    </xf>
    <xf numFmtId="0" fontId="18" fillId="42" borderId="0" xfId="0" applyFont="1" applyFill="1" applyBorder="1" applyAlignment="1" applyProtection="1">
      <alignment vertical="center" wrapText="1"/>
    </xf>
    <xf numFmtId="179" fontId="18" fillId="0" borderId="379" xfId="33" applyNumberFormat="1" applyFont="1" applyFill="1" applyBorder="1" applyAlignment="1" applyProtection="1">
      <alignment vertical="center"/>
      <protection locked="0"/>
    </xf>
    <xf numFmtId="0" fontId="105" fillId="0" borderId="0" xfId="0" applyFont="1"/>
    <xf numFmtId="179" fontId="99" fillId="0" borderId="379" xfId="33" applyNumberFormat="1" applyFont="1" applyFill="1" applyBorder="1"/>
    <xf numFmtId="0" fontId="18" fillId="42" borderId="0" xfId="0" applyFont="1" applyFill="1" applyBorder="1" applyAlignment="1">
      <alignment horizontal="left" vertical="center"/>
    </xf>
    <xf numFmtId="179" fontId="18" fillId="42" borderId="379" xfId="33" applyNumberFormat="1" applyFont="1" applyFill="1" applyBorder="1" applyAlignment="1">
      <alignment vertical="center"/>
    </xf>
    <xf numFmtId="179" fontId="2" fillId="42" borderId="379" xfId="33" applyNumberFormat="1" applyFont="1" applyFill="1" applyBorder="1" applyAlignment="1">
      <alignment vertical="center"/>
    </xf>
    <xf numFmtId="0" fontId="2" fillId="42" borderId="0" xfId="0" applyFont="1" applyFill="1" applyBorder="1" applyAlignment="1">
      <alignment horizontal="left" vertical="center"/>
    </xf>
    <xf numFmtId="179" fontId="2" fillId="0" borderId="377" xfId="33" applyNumberFormat="1" applyFont="1" applyFill="1" applyBorder="1" applyAlignment="1" applyProtection="1">
      <alignment vertical="center"/>
      <protection locked="0"/>
    </xf>
    <xf numFmtId="0" fontId="2" fillId="42" borderId="372" xfId="0" applyFont="1" applyFill="1" applyBorder="1" applyAlignment="1">
      <alignment horizontal="center" vertical="center"/>
    </xf>
    <xf numFmtId="0" fontId="2" fillId="42" borderId="373" xfId="0" applyFont="1" applyFill="1" applyBorder="1" applyAlignment="1">
      <alignment horizontal="center" vertical="center"/>
    </xf>
    <xf numFmtId="0" fontId="2" fillId="42" borderId="373" xfId="0" applyFont="1" applyFill="1" applyBorder="1" applyAlignment="1">
      <alignment horizontal="left" vertical="center"/>
    </xf>
    <xf numFmtId="0" fontId="2" fillId="42" borderId="373" xfId="0" applyFont="1" applyFill="1" applyBorder="1" applyAlignment="1" applyProtection="1">
      <alignment vertical="center" wrapText="1"/>
    </xf>
    <xf numFmtId="0" fontId="99" fillId="0" borderId="0" xfId="0" applyFont="1" applyAlignment="1">
      <alignment horizontal="center"/>
    </xf>
    <xf numFmtId="0" fontId="99" fillId="0" borderId="0" xfId="0" applyFont="1" applyAlignment="1"/>
    <xf numFmtId="0" fontId="2" fillId="42" borderId="392" xfId="0" applyFont="1" applyFill="1" applyBorder="1" applyAlignment="1" applyProtection="1">
      <alignment vertical="center" wrapText="1"/>
    </xf>
    <xf numFmtId="0" fontId="12" fillId="0" borderId="32" xfId="43" applyFont="1" applyBorder="1" applyAlignment="1">
      <alignment horizontal="left" vertical="center" indent="2"/>
    </xf>
    <xf numFmtId="0" fontId="36" fillId="0" borderId="51" xfId="43" applyFont="1" applyBorder="1" applyAlignment="1">
      <alignment horizontal="left"/>
    </xf>
    <xf numFmtId="0" fontId="35" fillId="0" borderId="0" xfId="43" applyFont="1" applyBorder="1"/>
    <xf numFmtId="0" fontId="36" fillId="0" borderId="0" xfId="43" applyFont="1" applyBorder="1" applyAlignment="1">
      <alignment horizontal="left"/>
    </xf>
    <xf numFmtId="0" fontId="36" fillId="0" borderId="0" xfId="43" applyFont="1" applyBorder="1"/>
    <xf numFmtId="3" fontId="43" fillId="0" borderId="0" xfId="43" applyNumberFormat="1" applyFont="1" applyBorder="1"/>
    <xf numFmtId="0" fontId="34" fillId="0" borderId="61" xfId="43" applyFont="1" applyBorder="1" applyAlignment="1">
      <alignment horizontal="left"/>
    </xf>
    <xf numFmtId="164" fontId="3" fillId="0" borderId="100" xfId="43" applyNumberFormat="1" applyFont="1" applyFill="1" applyBorder="1" applyAlignment="1">
      <alignment vertical="center"/>
    </xf>
    <xf numFmtId="0" fontId="62" fillId="0" borderId="75" xfId="43" applyFont="1" applyFill="1" applyBorder="1" applyAlignment="1">
      <alignment vertical="center"/>
    </xf>
    <xf numFmtId="0" fontId="62" fillId="0" borderId="138" xfId="43" applyFont="1" applyFill="1" applyBorder="1" applyAlignment="1">
      <alignment vertical="center"/>
    </xf>
    <xf numFmtId="0" fontId="0" fillId="0" borderId="394" xfId="0" applyBorder="1"/>
    <xf numFmtId="0" fontId="0" fillId="0" borderId="395" xfId="0" applyBorder="1"/>
    <xf numFmtId="0" fontId="0" fillId="0" borderId="396" xfId="0" applyBorder="1"/>
    <xf numFmtId="0" fontId="117" fillId="0" borderId="397" xfId="0" applyFont="1" applyBorder="1"/>
    <xf numFmtId="0" fontId="117" fillId="0" borderId="398" xfId="0" applyFont="1" applyBorder="1"/>
    <xf numFmtId="0" fontId="118" fillId="0" borderId="398" xfId="0" applyFont="1" applyBorder="1"/>
    <xf numFmtId="0" fontId="0" fillId="0" borderId="398" xfId="0" applyBorder="1"/>
    <xf numFmtId="0" fontId="0" fillId="0" borderId="399" xfId="0" applyBorder="1"/>
    <xf numFmtId="0" fontId="117" fillId="0" borderId="0" xfId="0" applyFont="1" applyBorder="1"/>
    <xf numFmtId="0" fontId="118" fillId="0" borderId="0" xfId="0" applyFont="1" applyBorder="1"/>
    <xf numFmtId="0" fontId="35" fillId="0" borderId="11" xfId="43" applyFont="1" applyBorder="1"/>
    <xf numFmtId="3" fontId="3" fillId="33" borderId="12" xfId="43" applyNumberFormat="1" applyFont="1" applyFill="1" applyBorder="1"/>
    <xf numFmtId="3" fontId="3" fillId="0" borderId="41" xfId="43" applyNumberFormat="1" applyFont="1" applyBorder="1"/>
    <xf numFmtId="0" fontId="36" fillId="0" borderId="14" xfId="43" applyFont="1" applyBorder="1"/>
    <xf numFmtId="3" fontId="3" fillId="0" borderId="15" xfId="43" applyNumberFormat="1" applyFont="1" applyBorder="1"/>
    <xf numFmtId="164" fontId="3" fillId="0" borderId="25" xfId="43" applyNumberFormat="1" applyFont="1" applyFill="1" applyBorder="1" applyAlignment="1">
      <alignment vertical="center"/>
    </xf>
    <xf numFmtId="0" fontId="98" fillId="0" borderId="0" xfId="43" applyFont="1" applyAlignment="1">
      <alignment horizontal="left"/>
    </xf>
    <xf numFmtId="164" fontId="7" fillId="0" borderId="103" xfId="43" applyNumberFormat="1" applyFont="1" applyFill="1" applyBorder="1" applyAlignment="1">
      <alignment vertical="center"/>
    </xf>
    <xf numFmtId="164" fontId="7" fillId="0" borderId="255" xfId="43" applyNumberFormat="1" applyFont="1" applyFill="1" applyBorder="1" applyAlignment="1">
      <alignment vertical="center"/>
    </xf>
    <xf numFmtId="0" fontId="119" fillId="0" borderId="0" xfId="43" applyFont="1"/>
    <xf numFmtId="0" fontId="19" fillId="25" borderId="55" xfId="43" applyFont="1" applyFill="1" applyBorder="1" applyAlignment="1">
      <alignment horizontal="center"/>
    </xf>
    <xf numFmtId="0" fontId="11" fillId="0" borderId="187" xfId="43" applyFont="1" applyBorder="1"/>
    <xf numFmtId="3" fontId="11" fillId="0" borderId="164" xfId="43" applyNumberFormat="1" applyFont="1" applyBorder="1"/>
    <xf numFmtId="0" fontId="32" fillId="0" borderId="16" xfId="43" applyFont="1" applyBorder="1" applyAlignment="1">
      <alignment horizontal="left"/>
    </xf>
    <xf numFmtId="0" fontId="34" fillId="0" borderId="16" xfId="43" applyFont="1" applyBorder="1"/>
    <xf numFmtId="0" fontId="7" fillId="0" borderId="16" xfId="43" applyFont="1" applyBorder="1" applyAlignment="1">
      <alignment horizontal="center"/>
    </xf>
    <xf numFmtId="0" fontId="8" fillId="0" borderId="80" xfId="43" applyFont="1" applyFill="1" applyBorder="1" applyAlignment="1">
      <alignment horizontal="center" vertical="center"/>
    </xf>
    <xf numFmtId="0" fontId="29" fillId="0" borderId="80" xfId="43" applyFont="1" applyFill="1" applyBorder="1"/>
    <xf numFmtId="0" fontId="8" fillId="0" borderId="80" xfId="43" quotePrefix="1" applyFont="1" applyFill="1" applyBorder="1" applyAlignment="1">
      <alignment horizontal="center" vertical="center" wrapText="1"/>
    </xf>
    <xf numFmtId="0" fontId="19" fillId="0" borderId="80" xfId="43" applyFont="1" applyFill="1" applyBorder="1" applyAlignment="1">
      <alignment horizontal="center"/>
    </xf>
    <xf numFmtId="0" fontId="35" fillId="0" borderId="187" xfId="43" applyFont="1" applyBorder="1"/>
    <xf numFmtId="3" fontId="3" fillId="0" borderId="61" xfId="43" applyNumberFormat="1" applyFont="1" applyBorder="1"/>
    <xf numFmtId="169" fontId="6" fillId="0" borderId="14" xfId="43" applyNumberFormat="1" applyFont="1" applyBorder="1" applyAlignment="1">
      <alignment horizontal="left"/>
    </xf>
    <xf numFmtId="3" fontId="3" fillId="0" borderId="109" xfId="43" applyNumberFormat="1" applyFont="1" applyBorder="1"/>
    <xf numFmtId="0" fontId="35" fillId="0" borderId="80" xfId="43" applyFont="1" applyBorder="1"/>
    <xf numFmtId="169" fontId="6" fillId="0" borderId="80" xfId="43" applyNumberFormat="1" applyFont="1" applyBorder="1" applyAlignment="1">
      <alignment horizontal="left"/>
    </xf>
    <xf numFmtId="3" fontId="3" fillId="29" borderId="80" xfId="43" applyNumberFormat="1" applyFont="1" applyFill="1" applyBorder="1"/>
    <xf numFmtId="3" fontId="3" fillId="0" borderId="80" xfId="43" applyNumberFormat="1" applyFont="1" applyBorder="1"/>
    <xf numFmtId="3" fontId="3" fillId="29" borderId="16" xfId="43" applyNumberFormat="1" applyFont="1" applyFill="1" applyBorder="1"/>
    <xf numFmtId="3" fontId="3" fillId="0" borderId="16" xfId="43" applyNumberFormat="1" applyFont="1" applyBorder="1"/>
    <xf numFmtId="169" fontId="34" fillId="0" borderId="12" xfId="43" applyNumberFormat="1" applyFont="1" applyBorder="1" applyAlignment="1">
      <alignment horizontal="left"/>
    </xf>
    <xf numFmtId="0" fontId="34" fillId="0" borderId="12" xfId="43" applyFont="1" applyBorder="1"/>
    <xf numFmtId="3" fontId="11" fillId="29" borderId="12" xfId="43" applyNumberFormat="1" applyFont="1" applyFill="1" applyBorder="1"/>
    <xf numFmtId="3" fontId="11" fillId="0" borderId="12" xfId="43" applyNumberFormat="1" applyFont="1" applyBorder="1"/>
    <xf numFmtId="3" fontId="11" fillId="33" borderId="12" xfId="43" applyNumberFormat="1" applyFont="1" applyFill="1" applyBorder="1"/>
    <xf numFmtId="3" fontId="11" fillId="0" borderId="108" xfId="43" applyNumberFormat="1" applyFont="1" applyBorder="1"/>
    <xf numFmtId="3" fontId="11" fillId="0" borderId="41" xfId="43" applyNumberFormat="1" applyFont="1" applyBorder="1"/>
    <xf numFmtId="0" fontId="35" fillId="0" borderId="176" xfId="43" applyFont="1" applyBorder="1"/>
    <xf numFmtId="0" fontId="36" fillId="0" borderId="57" xfId="43" applyFont="1" applyBorder="1"/>
    <xf numFmtId="3" fontId="3" fillId="29" borderId="57" xfId="43" applyNumberFormat="1" applyFont="1" applyFill="1" applyBorder="1"/>
    <xf numFmtId="3" fontId="6" fillId="0" borderId="57" xfId="43" applyNumberFormat="1" applyFont="1" applyBorder="1"/>
    <xf numFmtId="3" fontId="3" fillId="0" borderId="57" xfId="43" applyNumberFormat="1" applyFont="1" applyBorder="1"/>
    <xf numFmtId="3" fontId="3" fillId="0" borderId="112" xfId="43" applyNumberFormat="1" applyFont="1" applyBorder="1"/>
    <xf numFmtId="3" fontId="3" fillId="0" borderId="71" xfId="43" applyNumberFormat="1" applyFont="1" applyBorder="1"/>
    <xf numFmtId="0" fontId="7" fillId="0" borderId="73" xfId="43" applyFont="1" applyBorder="1" applyAlignment="1">
      <alignment horizontal="left"/>
    </xf>
    <xf numFmtId="169" fontId="12" fillId="0" borderId="73" xfId="43" applyNumberFormat="1" applyFont="1" applyBorder="1" applyAlignment="1">
      <alignment horizontal="left"/>
    </xf>
    <xf numFmtId="0" fontId="12" fillId="0" borderId="73" xfId="43" applyFont="1" applyBorder="1"/>
    <xf numFmtId="3" fontId="7" fillId="29" borderId="73" xfId="43" applyNumberFormat="1" applyFont="1" applyFill="1" applyBorder="1"/>
    <xf numFmtId="3" fontId="7" fillId="0" borderId="73" xfId="43" applyNumberFormat="1" applyFont="1" applyBorder="1"/>
    <xf numFmtId="0" fontId="11" fillId="27" borderId="63" xfId="43" applyFont="1" applyFill="1" applyBorder="1"/>
    <xf numFmtId="170" fontId="37" fillId="27" borderId="64" xfId="43" applyNumberFormat="1" applyFont="1" applyFill="1" applyBorder="1" applyAlignment="1">
      <alignment horizontal="left"/>
    </xf>
    <xf numFmtId="0" fontId="6" fillId="27" borderId="64" xfId="43" applyFont="1" applyFill="1" applyBorder="1"/>
    <xf numFmtId="3" fontId="38" fillId="27" borderId="64" xfId="43" applyNumberFormat="1" applyFont="1" applyFill="1" applyBorder="1"/>
    <xf numFmtId="170" fontId="6" fillId="0" borderId="61" xfId="43" applyNumberFormat="1" applyFont="1" applyBorder="1" applyAlignment="1">
      <alignment horizontal="left"/>
    </xf>
    <xf numFmtId="0" fontId="11" fillId="0" borderId="80" xfId="43" applyFont="1" applyFill="1" applyBorder="1"/>
    <xf numFmtId="170" fontId="37" fillId="0" borderId="80" xfId="43" applyNumberFormat="1" applyFont="1" applyFill="1" applyBorder="1" applyAlignment="1">
      <alignment horizontal="left"/>
    </xf>
    <xf numFmtId="0" fontId="6" fillId="0" borderId="80" xfId="43" applyFont="1" applyFill="1" applyBorder="1"/>
    <xf numFmtId="3" fontId="38" fillId="0" borderId="80" xfId="43" applyNumberFormat="1" applyFont="1" applyFill="1" applyBorder="1"/>
    <xf numFmtId="0" fontId="36" fillId="0" borderId="61" xfId="43" applyFont="1" applyBorder="1"/>
    <xf numFmtId="3" fontId="3" fillId="33" borderId="61" xfId="43" applyNumberFormat="1" applyFont="1" applyFill="1" applyBorder="1"/>
    <xf numFmtId="0" fontId="35" fillId="0" borderId="16" xfId="43" applyFont="1" applyBorder="1"/>
    <xf numFmtId="170" fontId="6" fillId="0" borderId="16" xfId="43" applyNumberFormat="1" applyFont="1" applyBorder="1" applyAlignment="1">
      <alignment horizontal="left"/>
    </xf>
    <xf numFmtId="0" fontId="6" fillId="0" borderId="16" xfId="43" applyFont="1" applyBorder="1"/>
    <xf numFmtId="0" fontId="11" fillId="0" borderId="13" xfId="43" applyFont="1" applyFill="1" applyBorder="1"/>
    <xf numFmtId="170" fontId="37" fillId="0" borderId="14" xfId="43" applyNumberFormat="1" applyFont="1" applyFill="1" applyBorder="1" applyAlignment="1">
      <alignment horizontal="left"/>
    </xf>
    <xf numFmtId="0" fontId="6" fillId="0" borderId="14" xfId="43" applyFont="1" applyFill="1" applyBorder="1"/>
    <xf numFmtId="3" fontId="38" fillId="0" borderId="14" xfId="43" applyNumberFormat="1" applyFont="1" applyFill="1" applyBorder="1"/>
    <xf numFmtId="3" fontId="38" fillId="0" borderId="109" xfId="43" applyNumberFormat="1" applyFont="1" applyFill="1" applyBorder="1"/>
    <xf numFmtId="3" fontId="38" fillId="0" borderId="15" xfId="43" applyNumberFormat="1" applyFont="1" applyFill="1" applyBorder="1"/>
    <xf numFmtId="0" fontId="8" fillId="0" borderId="73" xfId="43" applyFont="1" applyFill="1" applyBorder="1" applyAlignment="1">
      <alignment horizontal="center" vertical="center"/>
    </xf>
    <xf numFmtId="0" fontId="29" fillId="0" borderId="73" xfId="43" applyFont="1" applyFill="1" applyBorder="1"/>
    <xf numFmtId="0" fontId="8" fillId="0" borderId="73" xfId="43" quotePrefix="1" applyFont="1" applyFill="1" applyBorder="1" applyAlignment="1">
      <alignment horizontal="center" vertical="center" wrapText="1"/>
    </xf>
    <xf numFmtId="0" fontId="19" fillId="0" borderId="73" xfId="43" applyFont="1" applyFill="1" applyBorder="1" applyAlignment="1">
      <alignment horizontal="center"/>
    </xf>
    <xf numFmtId="0" fontId="35" fillId="0" borderId="400" xfId="43" applyFont="1" applyBorder="1"/>
    <xf numFmtId="0" fontId="36" fillId="0" borderId="57" xfId="43" applyFont="1" applyBorder="1" applyAlignment="1">
      <alignment horizontal="left"/>
    </xf>
    <xf numFmtId="3" fontId="43" fillId="0" borderId="57" xfId="43" applyNumberFormat="1" applyFont="1" applyBorder="1"/>
    <xf numFmtId="3" fontId="43" fillId="0" borderId="112" xfId="43" applyNumberFormat="1" applyFont="1" applyBorder="1"/>
    <xf numFmtId="3" fontId="43" fillId="0" borderId="401" xfId="43" applyNumberFormat="1" applyFont="1" applyBorder="1"/>
    <xf numFmtId="3" fontId="11" fillId="0" borderId="61" xfId="43" applyNumberFormat="1" applyFont="1" applyFill="1" applyBorder="1"/>
    <xf numFmtId="0" fontId="35" fillId="0" borderId="73" xfId="43" applyFont="1" applyBorder="1"/>
    <xf numFmtId="0" fontId="36" fillId="0" borderId="73" xfId="43" applyFont="1" applyBorder="1" applyAlignment="1">
      <alignment horizontal="left"/>
    </xf>
    <xf numFmtId="0" fontId="36" fillId="0" borderId="73" xfId="43" applyFont="1" applyBorder="1"/>
    <xf numFmtId="3" fontId="43" fillId="0" borderId="73" xfId="43" applyNumberFormat="1" applyFont="1" applyFill="1" applyBorder="1"/>
    <xf numFmtId="3" fontId="43" fillId="0" borderId="73" xfId="43" applyNumberFormat="1" applyFont="1" applyBorder="1"/>
    <xf numFmtId="3" fontId="35" fillId="0" borderId="61" xfId="43" applyNumberFormat="1" applyFont="1" applyBorder="1"/>
    <xf numFmtId="3" fontId="7" fillId="0" borderId="61" xfId="43" applyNumberFormat="1" applyFont="1" applyFill="1" applyBorder="1"/>
    <xf numFmtId="3" fontId="35" fillId="0" borderId="61" xfId="43" applyNumberFormat="1" applyFont="1" applyFill="1" applyBorder="1"/>
    <xf numFmtId="3" fontId="43" fillId="0" borderId="61" xfId="43" applyNumberFormat="1" applyFont="1" applyFill="1" applyBorder="1"/>
    <xf numFmtId="0" fontId="108" fillId="56" borderId="402" xfId="0" applyFont="1" applyFill="1" applyBorder="1"/>
    <xf numFmtId="0" fontId="113" fillId="56" borderId="402" xfId="0" applyFont="1" applyFill="1" applyBorder="1"/>
    <xf numFmtId="0" fontId="113" fillId="56" borderId="403" xfId="0" applyFont="1" applyFill="1" applyBorder="1"/>
    <xf numFmtId="0" fontId="113" fillId="56" borderId="404" xfId="0" applyFont="1" applyFill="1" applyBorder="1"/>
    <xf numFmtId="0" fontId="120" fillId="0" borderId="403" xfId="0" applyFont="1" applyBorder="1"/>
    <xf numFmtId="3" fontId="120" fillId="0" borderId="403" xfId="0" applyNumberFormat="1" applyFont="1" applyBorder="1"/>
    <xf numFmtId="0" fontId="120" fillId="0" borderId="0" xfId="0" applyFont="1" applyBorder="1"/>
    <xf numFmtId="3" fontId="120" fillId="0" borderId="0" xfId="0" applyNumberFormat="1" applyFont="1" applyBorder="1"/>
    <xf numFmtId="0" fontId="121" fillId="0" borderId="405" xfId="0" applyFont="1" applyBorder="1"/>
    <xf numFmtId="3" fontId="121" fillId="0" borderId="405" xfId="0" applyNumberFormat="1" applyFont="1" applyBorder="1"/>
    <xf numFmtId="0" fontId="113" fillId="56" borderId="0" xfId="0" applyFont="1" applyFill="1" applyBorder="1"/>
    <xf numFmtId="0" fontId="2" fillId="0" borderId="0" xfId="43" applyFont="1"/>
    <xf numFmtId="0" fontId="2" fillId="0" borderId="0" xfId="43" applyFont="1" applyBorder="1"/>
    <xf numFmtId="0" fontId="5" fillId="0" borderId="0" xfId="43" applyFont="1" applyBorder="1"/>
    <xf numFmtId="0" fontId="120" fillId="0" borderId="406" xfId="0" applyFont="1" applyBorder="1"/>
    <xf numFmtId="171" fontId="36" fillId="49" borderId="40" xfId="43" applyNumberFormat="1" applyFont="1" applyFill="1" applyBorder="1" applyAlignment="1">
      <alignment horizontal="left"/>
    </xf>
    <xf numFmtId="170" fontId="34" fillId="49" borderId="40" xfId="43" applyNumberFormat="1" applyFont="1" applyFill="1" applyBorder="1" applyAlignment="1">
      <alignment horizontal="left"/>
    </xf>
    <xf numFmtId="0" fontId="8" fillId="0" borderId="407" xfId="43" applyFont="1" applyFill="1" applyBorder="1" applyAlignment="1">
      <alignment horizontal="center" vertical="center"/>
    </xf>
    <xf numFmtId="0" fontId="8" fillId="0" borderId="407" xfId="43" quotePrefix="1" applyFont="1" applyFill="1" applyBorder="1" applyAlignment="1">
      <alignment horizontal="center" vertical="center" wrapText="1"/>
    </xf>
    <xf numFmtId="0" fontId="23" fillId="0" borderId="407" xfId="43" applyFont="1" applyFill="1" applyBorder="1"/>
    <xf numFmtId="0" fontId="19" fillId="0" borderId="407" xfId="43" applyFont="1" applyFill="1" applyBorder="1" applyAlignment="1">
      <alignment horizontal="center"/>
    </xf>
    <xf numFmtId="170" fontId="6" fillId="0" borderId="73" xfId="43" applyNumberFormat="1" applyFont="1" applyBorder="1" applyAlignment="1">
      <alignment horizontal="left"/>
    </xf>
    <xf numFmtId="0" fontId="6" fillId="0" borderId="73" xfId="43" applyFont="1" applyBorder="1"/>
    <xf numFmtId="3" fontId="3" fillId="0" borderId="73" xfId="43" applyNumberFormat="1" applyFont="1" applyFill="1" applyBorder="1"/>
    <xf numFmtId="3" fontId="3" fillId="0" borderId="73" xfId="43" applyNumberFormat="1" applyFont="1" applyBorder="1"/>
    <xf numFmtId="171" fontId="6" fillId="49" borderId="40" xfId="43" applyNumberFormat="1" applyFont="1" applyFill="1" applyBorder="1" applyAlignment="1">
      <alignment horizontal="left"/>
    </xf>
    <xf numFmtId="171" fontId="6" fillId="57" borderId="40" xfId="43" applyNumberFormat="1" applyFont="1" applyFill="1" applyBorder="1" applyAlignment="1">
      <alignment horizontal="left"/>
    </xf>
    <xf numFmtId="0" fontId="113" fillId="56" borderId="404" xfId="0" applyFont="1" applyFill="1" applyBorder="1" applyAlignment="1">
      <alignment horizontal="center" wrapText="1"/>
    </xf>
    <xf numFmtId="0" fontId="11" fillId="0" borderId="408" xfId="43" applyFont="1" applyBorder="1"/>
    <xf numFmtId="3" fontId="11" fillId="0" borderId="12" xfId="43" applyNumberFormat="1" applyFont="1" applyFill="1" applyBorder="1"/>
    <xf numFmtId="3" fontId="11" fillId="0" borderId="409" xfId="43" applyNumberFormat="1" applyFont="1" applyBorder="1"/>
    <xf numFmtId="3" fontId="3" fillId="33" borderId="49" xfId="43" applyNumberFormat="1" applyFont="1" applyFill="1" applyBorder="1"/>
    <xf numFmtId="0" fontId="11" fillId="0" borderId="410" xfId="43" applyFont="1" applyBorder="1"/>
    <xf numFmtId="169" fontId="34" fillId="0" borderId="411" xfId="43" applyNumberFormat="1" applyFont="1" applyBorder="1" applyAlignment="1">
      <alignment horizontal="left"/>
    </xf>
    <xf numFmtId="0" fontId="34" fillId="0" borderId="411" xfId="43" applyFont="1" applyBorder="1"/>
    <xf numFmtId="3" fontId="11" fillId="33" borderId="411" xfId="43" applyNumberFormat="1" applyFont="1" applyFill="1" applyBorder="1"/>
    <xf numFmtId="3" fontId="11" fillId="0" borderId="411" xfId="43" applyNumberFormat="1" applyFont="1" applyBorder="1"/>
    <xf numFmtId="3" fontId="11" fillId="0" borderId="412" xfId="43" applyNumberFormat="1" applyFont="1" applyBorder="1"/>
    <xf numFmtId="0" fontId="35" fillId="0" borderId="413" xfId="43" applyFont="1" applyBorder="1"/>
    <xf numFmtId="0" fontId="6" fillId="0" borderId="14" xfId="43" applyFont="1" applyBorder="1"/>
    <xf numFmtId="3" fontId="7" fillId="0" borderId="14" xfId="43" applyNumberFormat="1" applyFont="1" applyFill="1" applyBorder="1"/>
    <xf numFmtId="3" fontId="3" fillId="33" borderId="14" xfId="43" applyNumberFormat="1" applyFont="1" applyFill="1" applyBorder="1"/>
    <xf numFmtId="3" fontId="3" fillId="0" borderId="414" xfId="43" applyNumberFormat="1" applyFont="1" applyBorder="1"/>
    <xf numFmtId="3" fontId="11" fillId="0" borderId="61" xfId="43" applyNumberFormat="1" applyFont="1" applyBorder="1" applyAlignment="1">
      <alignment horizontal="right"/>
    </xf>
    <xf numFmtId="0" fontId="11" fillId="0" borderId="73" xfId="43" applyFont="1" applyBorder="1" applyAlignment="1">
      <alignment horizontal="left"/>
    </xf>
    <xf numFmtId="0" fontId="53" fillId="0" borderId="73" xfId="43" applyFont="1" applyBorder="1"/>
    <xf numFmtId="0" fontId="34" fillId="0" borderId="73" xfId="43" applyFont="1" applyBorder="1"/>
    <xf numFmtId="0" fontId="35" fillId="0" borderId="73" xfId="43" applyFont="1" applyBorder="1" applyAlignment="1">
      <alignment horizontal="center"/>
    </xf>
    <xf numFmtId="174" fontId="35" fillId="0" borderId="73" xfId="43" applyNumberFormat="1" applyFont="1" applyBorder="1" applyAlignment="1">
      <alignment horizontal="center"/>
    </xf>
    <xf numFmtId="0" fontId="34" fillId="0" borderId="12" xfId="43" applyFont="1" applyBorder="1" applyAlignment="1">
      <alignment horizontal="left"/>
    </xf>
    <xf numFmtId="0" fontId="35" fillId="0" borderId="12" xfId="43" applyFont="1" applyFill="1" applyBorder="1" applyAlignment="1">
      <alignment horizontal="center"/>
    </xf>
    <xf numFmtId="0" fontId="35" fillId="0" borderId="12" xfId="43" applyFont="1" applyBorder="1" applyAlignment="1">
      <alignment horizontal="center"/>
    </xf>
    <xf numFmtId="0" fontId="35" fillId="0" borderId="108" xfId="43" applyFont="1" applyBorder="1" applyAlignment="1">
      <alignment horizontal="center"/>
    </xf>
    <xf numFmtId="0" fontId="35" fillId="0" borderId="409" xfId="43" applyFont="1" applyBorder="1" applyAlignment="1">
      <alignment horizontal="center"/>
    </xf>
    <xf numFmtId="3" fontId="7" fillId="0" borderId="61" xfId="43" applyNumberFormat="1" applyFont="1" applyBorder="1" applyAlignment="1">
      <alignment horizontal="right"/>
    </xf>
    <xf numFmtId="0" fontId="36" fillId="48" borderId="40" xfId="43" applyFont="1" applyFill="1" applyBorder="1" applyAlignment="1">
      <alignment horizontal="left"/>
    </xf>
    <xf numFmtId="0" fontId="56" fillId="25" borderId="158" xfId="43" applyFont="1" applyFill="1" applyBorder="1"/>
    <xf numFmtId="0" fontId="7" fillId="48" borderId="0" xfId="0" applyFont="1" applyFill="1" applyProtection="1">
      <protection locked="0"/>
    </xf>
    <xf numFmtId="0" fontId="12" fillId="48" borderId="0" xfId="0" applyFont="1" applyFill="1" applyProtection="1">
      <protection locked="0"/>
    </xf>
    <xf numFmtId="0" fontId="12" fillId="32" borderId="0" xfId="0" applyFont="1" applyFill="1" applyProtection="1">
      <protection locked="0"/>
    </xf>
    <xf numFmtId="167" fontId="6" fillId="35" borderId="0" xfId="36" applyNumberFormat="1" applyFont="1" applyFill="1"/>
    <xf numFmtId="167" fontId="102" fillId="35" borderId="0" xfId="0" applyNumberFormat="1" applyFont="1" applyFill="1"/>
    <xf numFmtId="0" fontId="18" fillId="0" borderId="0" xfId="0" applyFont="1" applyFill="1" applyAlignment="1">
      <alignment horizontal="right"/>
    </xf>
    <xf numFmtId="0" fontId="0" fillId="0" borderId="0" xfId="0" applyFill="1"/>
    <xf numFmtId="0" fontId="122" fillId="0" borderId="0" xfId="43" applyFont="1"/>
    <xf numFmtId="186" fontId="30" fillId="0" borderId="0" xfId="33" applyNumberFormat="1" applyFont="1"/>
    <xf numFmtId="186" fontId="30" fillId="0" borderId="0" xfId="43" applyNumberFormat="1" applyFont="1"/>
    <xf numFmtId="0" fontId="33" fillId="0" borderId="383" xfId="43" applyFont="1" applyBorder="1"/>
    <xf numFmtId="0" fontId="33" fillId="0" borderId="384" xfId="43" applyFont="1" applyBorder="1"/>
    <xf numFmtId="186" fontId="33" fillId="0" borderId="377" xfId="43" applyNumberFormat="1" applyFont="1" applyBorder="1"/>
    <xf numFmtId="164" fontId="3" fillId="0" borderId="25" xfId="43" applyNumberFormat="1" applyFont="1" applyFill="1" applyBorder="1" applyAlignment="1">
      <alignment vertical="center"/>
    </xf>
    <xf numFmtId="164" fontId="3" fillId="0" borderId="26" xfId="43" applyNumberFormat="1" applyFont="1" applyFill="1" applyBorder="1" applyAlignment="1">
      <alignment vertical="center"/>
    </xf>
    <xf numFmtId="0" fontId="120" fillId="48" borderId="403" xfId="0" applyFont="1" applyFill="1" applyBorder="1"/>
    <xf numFmtId="3" fontId="120" fillId="48" borderId="403" xfId="0" applyNumberFormat="1" applyFont="1" applyFill="1" applyBorder="1"/>
    <xf numFmtId="0" fontId="0" fillId="48" borderId="0" xfId="0" applyFill="1"/>
    <xf numFmtId="3" fontId="120" fillId="32" borderId="0" xfId="0" applyNumberFormat="1" applyFont="1" applyFill="1" applyBorder="1"/>
    <xf numFmtId="0" fontId="109" fillId="58" borderId="0" xfId="0" applyFont="1" applyFill="1"/>
    <xf numFmtId="0" fontId="112" fillId="58" borderId="0" xfId="0" applyFont="1" applyFill="1"/>
    <xf numFmtId="0" fontId="120" fillId="0" borderId="0" xfId="0" applyFont="1" applyBorder="1" applyAlignment="1">
      <alignment horizontal="left"/>
    </xf>
    <xf numFmtId="0" fontId="7" fillId="49" borderId="0" xfId="0" applyFont="1" applyFill="1" applyProtection="1">
      <protection locked="0"/>
    </xf>
    <xf numFmtId="175" fontId="30" fillId="0" borderId="0" xfId="43" applyNumberFormat="1" applyFont="1"/>
    <xf numFmtId="3" fontId="11" fillId="36" borderId="52" xfId="43" applyNumberFormat="1" applyFont="1" applyFill="1" applyBorder="1"/>
    <xf numFmtId="3" fontId="45" fillId="35" borderId="0" xfId="43" applyNumberFormat="1" applyFont="1" applyFill="1"/>
    <xf numFmtId="0" fontId="40" fillId="35" borderId="0" xfId="43" applyFont="1" applyFill="1"/>
    <xf numFmtId="17" fontId="40" fillId="0" borderId="0" xfId="43" applyNumberFormat="1" applyFont="1"/>
    <xf numFmtId="3" fontId="11" fillId="0" borderId="409" xfId="43" applyNumberFormat="1" applyFont="1" applyBorder="1" applyAlignment="1">
      <alignment horizontal="right"/>
    </xf>
    <xf numFmtId="179" fontId="28" fillId="0" borderId="0" xfId="33" applyNumberFormat="1" applyFont="1"/>
    <xf numFmtId="43" fontId="14" fillId="0" borderId="0" xfId="43" applyNumberFormat="1" applyFont="1"/>
    <xf numFmtId="3" fontId="43" fillId="33" borderId="49" xfId="43" applyNumberFormat="1" applyFont="1" applyFill="1" applyBorder="1"/>
    <xf numFmtId="3" fontId="43" fillId="0" borderId="49" xfId="43" applyNumberFormat="1" applyFont="1" applyFill="1" applyBorder="1"/>
    <xf numFmtId="176" fontId="7" fillId="33" borderId="164" xfId="43" applyNumberFormat="1" applyFont="1" applyFill="1" applyBorder="1" applyAlignment="1">
      <alignment horizontal="center" vertical="center"/>
    </xf>
    <xf numFmtId="176" fontId="7" fillId="33" borderId="163" xfId="43" applyNumberFormat="1" applyFont="1" applyFill="1" applyBorder="1" applyAlignment="1">
      <alignment horizontal="center" vertical="center"/>
    </xf>
    <xf numFmtId="176" fontId="7" fillId="33" borderId="188" xfId="43" applyNumberFormat="1" applyFont="1" applyFill="1" applyBorder="1" applyAlignment="1">
      <alignment horizontal="center" vertical="center"/>
    </xf>
    <xf numFmtId="167" fontId="6" fillId="36" borderId="0" xfId="36" applyNumberFormat="1" applyFont="1" applyFill="1" applyProtection="1">
      <protection locked="0"/>
    </xf>
    <xf numFmtId="0" fontId="48" fillId="25" borderId="415" xfId="43" applyFont="1" applyFill="1" applyBorder="1" applyAlignment="1">
      <alignment horizontal="center"/>
    </xf>
    <xf numFmtId="0" fontId="48" fillId="25" borderId="415" xfId="43" applyFont="1" applyFill="1" applyBorder="1" applyAlignment="1">
      <alignment horizontal="center" vertical="center" wrapText="1"/>
    </xf>
    <xf numFmtId="0" fontId="48" fillId="25" borderId="416" xfId="43" applyFont="1" applyFill="1" applyBorder="1" applyAlignment="1">
      <alignment horizontal="center"/>
    </xf>
    <xf numFmtId="179" fontId="6" fillId="0" borderId="0" xfId="33" applyNumberFormat="1" applyFont="1"/>
    <xf numFmtId="3" fontId="3" fillId="0" borderId="43" xfId="43" applyNumberFormat="1" applyFont="1" applyFill="1" applyBorder="1"/>
    <xf numFmtId="169" fontId="6" fillId="0" borderId="40" xfId="43" applyNumberFormat="1" applyFont="1" applyFill="1" applyBorder="1" applyAlignment="1">
      <alignment horizontal="left"/>
    </xf>
    <xf numFmtId="169" fontId="6" fillId="0" borderId="57" xfId="43" applyNumberFormat="1" applyFont="1" applyFill="1" applyBorder="1" applyAlignment="1">
      <alignment horizontal="left"/>
    </xf>
    <xf numFmtId="170" fontId="6" fillId="0" borderId="40" xfId="43" applyNumberFormat="1" applyFont="1" applyFill="1" applyBorder="1" applyAlignment="1">
      <alignment horizontal="left"/>
    </xf>
    <xf numFmtId="3" fontId="3" fillId="33" borderId="41" xfId="43" applyNumberFormat="1" applyFont="1" applyFill="1" applyBorder="1"/>
    <xf numFmtId="179" fontId="0" fillId="0" borderId="0" xfId="0" applyNumberFormat="1"/>
    <xf numFmtId="179" fontId="114" fillId="0" borderId="379" xfId="33" applyNumberFormat="1" applyFont="1" applyFill="1" applyBorder="1"/>
    <xf numFmtId="179" fontId="114" fillId="0" borderId="375" xfId="33" applyNumberFormat="1" applyFont="1" applyFill="1" applyBorder="1"/>
    <xf numFmtId="179" fontId="114" fillId="0" borderId="382" xfId="33" applyNumberFormat="1" applyFont="1" applyFill="1" applyBorder="1"/>
    <xf numFmtId="179" fontId="114" fillId="0" borderId="376" xfId="33" applyNumberFormat="1" applyFont="1" applyFill="1" applyBorder="1"/>
    <xf numFmtId="0" fontId="114" fillId="0" borderId="382" xfId="0" applyFont="1" applyFill="1" applyBorder="1"/>
    <xf numFmtId="0" fontId="114" fillId="0" borderId="376" xfId="0" applyFont="1" applyFill="1" applyBorder="1"/>
    <xf numFmtId="0" fontId="114" fillId="0" borderId="381" xfId="0" applyFont="1" applyFill="1" applyBorder="1"/>
    <xf numFmtId="179" fontId="114" fillId="0" borderId="378" xfId="33" applyNumberFormat="1" applyFont="1" applyFill="1" applyBorder="1"/>
    <xf numFmtId="179" fontId="114" fillId="0" borderId="393" xfId="33" applyNumberFormat="1" applyFont="1" applyFill="1" applyBorder="1"/>
    <xf numFmtId="179" fontId="114" fillId="0" borderId="0" xfId="33" applyNumberFormat="1" applyFont="1" applyFill="1" applyBorder="1"/>
    <xf numFmtId="0" fontId="114" fillId="0" borderId="393" xfId="0" applyFont="1" applyFill="1" applyBorder="1"/>
    <xf numFmtId="0" fontId="114" fillId="0" borderId="0" xfId="0" applyFont="1" applyFill="1" applyBorder="1"/>
    <xf numFmtId="0" fontId="114" fillId="0" borderId="392" xfId="0" applyFont="1" applyFill="1" applyBorder="1"/>
    <xf numFmtId="179" fontId="114" fillId="0" borderId="383" xfId="33" applyNumberFormat="1" applyFont="1" applyFill="1" applyBorder="1"/>
    <xf numFmtId="179" fontId="114" fillId="0" borderId="384" xfId="33" applyNumberFormat="1" applyFont="1" applyFill="1" applyBorder="1"/>
    <xf numFmtId="0" fontId="114" fillId="0" borderId="379" xfId="0" applyFont="1" applyFill="1" applyBorder="1"/>
    <xf numFmtId="0" fontId="114" fillId="0" borderId="384" xfId="0" applyFont="1" applyFill="1" applyBorder="1"/>
    <xf numFmtId="179" fontId="114" fillId="0" borderId="377" xfId="33" applyNumberFormat="1" applyFont="1" applyFill="1" applyBorder="1"/>
    <xf numFmtId="179" fontId="114" fillId="0" borderId="381" xfId="33" applyNumberFormat="1" applyFont="1" applyFill="1" applyBorder="1"/>
    <xf numFmtId="179" fontId="114" fillId="0" borderId="392" xfId="33" applyNumberFormat="1" applyFont="1" applyFill="1" applyBorder="1"/>
    <xf numFmtId="179" fontId="114" fillId="0" borderId="372" xfId="33" applyNumberFormat="1" applyFont="1" applyFill="1" applyBorder="1"/>
    <xf numFmtId="179" fontId="114" fillId="0" borderId="374" xfId="33" applyNumberFormat="1" applyFont="1" applyFill="1" applyBorder="1"/>
    <xf numFmtId="179" fontId="114" fillId="0" borderId="373" xfId="33" applyNumberFormat="1" applyFont="1" applyFill="1" applyBorder="1"/>
    <xf numFmtId="0" fontId="114" fillId="0" borderId="374" xfId="0" applyFont="1" applyFill="1" applyBorder="1"/>
    <xf numFmtId="0" fontId="114" fillId="0" borderId="373" xfId="0" applyFont="1" applyFill="1" applyBorder="1"/>
    <xf numFmtId="179" fontId="114" fillId="0" borderId="380" xfId="33" applyNumberFormat="1" applyFont="1" applyFill="1" applyBorder="1"/>
    <xf numFmtId="164" fontId="3" fillId="0" borderId="25" xfId="43" applyNumberFormat="1" applyFont="1" applyFill="1" applyBorder="1" applyAlignment="1">
      <alignment vertical="center"/>
    </xf>
    <xf numFmtId="164" fontId="3" fillId="0" borderId="100" xfId="43" applyNumberFormat="1" applyFont="1" applyBorder="1" applyAlignment="1">
      <alignment vertical="center"/>
    </xf>
    <xf numFmtId="164" fontId="3" fillId="0" borderId="102" xfId="43" applyNumberFormat="1" applyFont="1" applyBorder="1" applyAlignment="1">
      <alignment vertical="center"/>
    </xf>
    <xf numFmtId="3" fontId="11" fillId="0" borderId="57" xfId="43" applyNumberFormat="1" applyFont="1" applyFill="1" applyBorder="1"/>
    <xf numFmtId="0" fontId="11" fillId="0" borderId="176" xfId="43" applyFont="1" applyBorder="1"/>
    <xf numFmtId="0" fontId="34" fillId="0" borderId="57" xfId="43" applyFont="1" applyBorder="1" applyAlignment="1">
      <alignment horizontal="left"/>
    </xf>
    <xf numFmtId="0" fontId="34" fillId="0" borderId="57" xfId="43" applyFont="1" applyBorder="1"/>
    <xf numFmtId="167" fontId="6" fillId="0" borderId="0" xfId="0" applyNumberFormat="1" applyFont="1"/>
    <xf numFmtId="164" fontId="14" fillId="38" borderId="0" xfId="43" applyNumberFormat="1" applyFont="1" applyFill="1"/>
    <xf numFmtId="0" fontId="3" fillId="0" borderId="393" xfId="39" applyFont="1" applyBorder="1" applyAlignment="1">
      <alignment vertical="center"/>
    </xf>
    <xf numFmtId="167" fontId="6" fillId="34" borderId="0" xfId="36" applyNumberFormat="1" applyFont="1" applyFill="1"/>
    <xf numFmtId="167" fontId="17" fillId="34" borderId="0" xfId="36" applyNumberFormat="1" applyFont="1" applyFill="1"/>
    <xf numFmtId="167" fontId="17" fillId="34" borderId="0" xfId="36" applyNumberFormat="1" applyFont="1" applyFill="1" applyProtection="1">
      <protection locked="0"/>
    </xf>
    <xf numFmtId="167" fontId="102" fillId="34" borderId="0" xfId="36" applyNumberFormat="1" applyFont="1" applyFill="1"/>
    <xf numFmtId="167" fontId="93" fillId="34" borderId="0" xfId="36" applyNumberFormat="1" applyFont="1" applyFill="1" applyProtection="1">
      <protection locked="0"/>
    </xf>
    <xf numFmtId="179" fontId="6" fillId="0" borderId="0" xfId="33" applyNumberFormat="1" applyFont="1" applyFill="1"/>
    <xf numFmtId="179" fontId="17" fillId="0" borderId="0" xfId="0" applyNumberFormat="1" applyFont="1"/>
    <xf numFmtId="0" fontId="115" fillId="44" borderId="372" xfId="0" applyFont="1" applyFill="1" applyBorder="1" applyAlignment="1">
      <alignment horizontal="left"/>
    </xf>
    <xf numFmtId="0" fontId="115" fillId="44" borderId="373" xfId="0" applyFont="1" applyFill="1" applyBorder="1" applyAlignment="1">
      <alignment horizontal="left"/>
    </xf>
    <xf numFmtId="0" fontId="115" fillId="44" borderId="380" xfId="0" applyFont="1" applyFill="1" applyBorder="1" applyAlignment="1">
      <alignment horizontal="left"/>
    </xf>
    <xf numFmtId="0" fontId="114" fillId="44" borderId="378" xfId="0" applyFont="1" applyFill="1" applyBorder="1" applyAlignment="1">
      <alignment horizontal="left"/>
    </xf>
    <xf numFmtId="0" fontId="114" fillId="44" borderId="0" xfId="0" applyFont="1" applyFill="1" applyBorder="1" applyAlignment="1">
      <alignment horizontal="left"/>
    </xf>
    <xf numFmtId="0" fontId="114" fillId="44" borderId="392" xfId="0" applyFont="1" applyFill="1" applyBorder="1" applyAlignment="1">
      <alignment horizontal="left"/>
    </xf>
    <xf numFmtId="0" fontId="114" fillId="44" borderId="378" xfId="0" applyFont="1" applyFill="1" applyBorder="1" applyAlignment="1">
      <alignment horizontal="center"/>
    </xf>
    <xf numFmtId="0" fontId="114" fillId="44" borderId="0" xfId="0" applyFont="1" applyFill="1" applyBorder="1" applyAlignment="1">
      <alignment horizontal="center"/>
    </xf>
    <xf numFmtId="0" fontId="114" fillId="44" borderId="392" xfId="0" applyFont="1" applyFill="1" applyBorder="1" applyAlignment="1">
      <alignment horizontal="center"/>
    </xf>
    <xf numFmtId="0" fontId="108" fillId="43" borderId="381" xfId="0" applyFont="1" applyFill="1" applyBorder="1" applyAlignment="1">
      <alignment horizontal="center" vertical="center" wrapText="1"/>
    </xf>
    <xf numFmtId="0" fontId="108" fillId="43" borderId="392" xfId="0" applyFont="1" applyFill="1" applyBorder="1" applyAlignment="1">
      <alignment horizontal="center" vertical="center" wrapText="1"/>
    </xf>
    <xf numFmtId="0" fontId="108" fillId="43" borderId="380" xfId="0" applyFont="1" applyFill="1" applyBorder="1" applyAlignment="1">
      <alignment horizontal="center" vertical="center" wrapText="1"/>
    </xf>
    <xf numFmtId="0" fontId="108" fillId="43" borderId="375" xfId="0" applyFont="1" applyFill="1" applyBorder="1" applyAlignment="1">
      <alignment horizontal="center" vertical="center" wrapText="1"/>
    </xf>
    <xf numFmtId="0" fontId="108" fillId="43" borderId="378" xfId="0" applyFont="1" applyFill="1" applyBorder="1" applyAlignment="1">
      <alignment horizontal="center" vertical="center" wrapText="1"/>
    </xf>
    <xf numFmtId="0" fontId="108" fillId="43" borderId="372" xfId="0" applyFont="1" applyFill="1" applyBorder="1" applyAlignment="1">
      <alignment horizontal="center" vertical="center" wrapText="1"/>
    </xf>
    <xf numFmtId="0" fontId="108" fillId="43" borderId="376" xfId="0" applyFont="1" applyFill="1" applyBorder="1" applyAlignment="1">
      <alignment horizontal="center" vertical="center" wrapText="1"/>
    </xf>
    <xf numFmtId="0" fontId="108" fillId="43" borderId="0" xfId="0" applyFont="1" applyFill="1" applyBorder="1" applyAlignment="1">
      <alignment horizontal="center" vertical="center" wrapText="1"/>
    </xf>
    <xf numFmtId="0" fontId="108" fillId="43" borderId="373" xfId="0" applyFont="1" applyFill="1" applyBorder="1" applyAlignment="1">
      <alignment horizontal="center" vertical="center" wrapText="1"/>
    </xf>
    <xf numFmtId="0" fontId="113" fillId="43" borderId="381" xfId="0" applyFont="1" applyFill="1" applyBorder="1" applyAlignment="1">
      <alignment horizontal="center"/>
    </xf>
    <xf numFmtId="0" fontId="113" fillId="43" borderId="392" xfId="0" applyFont="1" applyFill="1" applyBorder="1" applyAlignment="1">
      <alignment horizontal="center"/>
    </xf>
    <xf numFmtId="0" fontId="113" fillId="43" borderId="380" xfId="0" applyFont="1" applyFill="1" applyBorder="1" applyAlignment="1">
      <alignment horizontal="center"/>
    </xf>
    <xf numFmtId="0" fontId="108" fillId="43" borderId="375" xfId="0" applyFont="1" applyFill="1" applyBorder="1" applyAlignment="1">
      <alignment horizontal="center" vertical="center"/>
    </xf>
    <xf numFmtId="0" fontId="108" fillId="43" borderId="376" xfId="0" applyFont="1" applyFill="1" applyBorder="1" applyAlignment="1">
      <alignment horizontal="center" vertical="center"/>
    </xf>
    <xf numFmtId="0" fontId="108" fillId="43" borderId="381" xfId="0" applyFont="1" applyFill="1" applyBorder="1" applyAlignment="1">
      <alignment horizontal="center" vertical="center"/>
    </xf>
    <xf numFmtId="0" fontId="108" fillId="43" borderId="378" xfId="0" applyFont="1" applyFill="1" applyBorder="1" applyAlignment="1">
      <alignment horizontal="center" vertical="center"/>
    </xf>
    <xf numFmtId="0" fontId="108" fillId="43" borderId="0" xfId="0" applyFont="1" applyFill="1" applyBorder="1" applyAlignment="1">
      <alignment horizontal="center" vertical="center"/>
    </xf>
    <xf numFmtId="0" fontId="108" fillId="43" borderId="392" xfId="0" applyFont="1" applyFill="1" applyBorder="1" applyAlignment="1">
      <alignment horizontal="center" vertical="center"/>
    </xf>
    <xf numFmtId="0" fontId="108" fillId="43" borderId="372" xfId="0" applyFont="1" applyFill="1" applyBorder="1" applyAlignment="1">
      <alignment horizontal="center" vertical="center"/>
    </xf>
    <xf numFmtId="0" fontId="108" fillId="43" borderId="373" xfId="0" applyFont="1" applyFill="1" applyBorder="1" applyAlignment="1">
      <alignment horizontal="center" vertical="center"/>
    </xf>
    <xf numFmtId="0" fontId="108" fillId="43" borderId="380" xfId="0" applyFont="1" applyFill="1" applyBorder="1" applyAlignment="1">
      <alignment horizontal="center" vertical="center"/>
    </xf>
    <xf numFmtId="0" fontId="108" fillId="43" borderId="383" xfId="0" applyFont="1" applyFill="1" applyBorder="1" applyAlignment="1">
      <alignment horizontal="center"/>
    </xf>
    <xf numFmtId="0" fontId="108" fillId="43" borderId="384" xfId="0" applyFont="1" applyFill="1" applyBorder="1" applyAlignment="1">
      <alignment horizontal="center"/>
    </xf>
    <xf numFmtId="0" fontId="108" fillId="43" borderId="377" xfId="0" applyFont="1" applyFill="1" applyBorder="1" applyAlignment="1">
      <alignment horizontal="center"/>
    </xf>
    <xf numFmtId="0" fontId="108" fillId="43" borderId="382" xfId="0" applyFont="1" applyFill="1" applyBorder="1" applyAlignment="1">
      <alignment horizontal="center"/>
    </xf>
    <xf numFmtId="0" fontId="108" fillId="43" borderId="393" xfId="0" applyFont="1" applyFill="1" applyBorder="1" applyAlignment="1">
      <alignment horizontal="center"/>
    </xf>
    <xf numFmtId="0" fontId="108" fillId="43" borderId="374" xfId="0" applyFont="1" applyFill="1" applyBorder="1" applyAlignment="1">
      <alignment horizontal="center"/>
    </xf>
    <xf numFmtId="0" fontId="114" fillId="44" borderId="375" xfId="0" applyFont="1" applyFill="1" applyBorder="1" applyAlignment="1">
      <alignment horizontal="left"/>
    </xf>
    <xf numFmtId="0" fontId="114" fillId="44" borderId="376" xfId="0" applyFont="1" applyFill="1" applyBorder="1" applyAlignment="1">
      <alignment horizontal="left"/>
    </xf>
    <xf numFmtId="0" fontId="114" fillId="44" borderId="381" xfId="0" applyFont="1" applyFill="1" applyBorder="1" applyAlignment="1">
      <alignment horizontal="left"/>
    </xf>
    <xf numFmtId="0" fontId="108" fillId="43" borderId="382" xfId="0" applyFont="1" applyFill="1" applyBorder="1" applyAlignment="1">
      <alignment horizontal="center" vertical="center"/>
    </xf>
    <xf numFmtId="0" fontId="108" fillId="43" borderId="393" xfId="0" applyFont="1" applyFill="1" applyBorder="1" applyAlignment="1">
      <alignment horizontal="center" vertical="center"/>
    </xf>
    <xf numFmtId="0" fontId="108" fillId="43" borderId="374" xfId="0" applyFont="1" applyFill="1" applyBorder="1" applyAlignment="1">
      <alignment horizontal="center" vertical="center"/>
    </xf>
    <xf numFmtId="0" fontId="8" fillId="26" borderId="30" xfId="43" applyFont="1" applyFill="1" applyBorder="1" applyAlignment="1">
      <alignment horizontal="center" vertical="center"/>
    </xf>
    <xf numFmtId="0" fontId="8" fillId="26" borderId="18" xfId="43" applyFont="1" applyFill="1" applyBorder="1" applyAlignment="1">
      <alignment horizontal="center" vertical="center"/>
    </xf>
    <xf numFmtId="0" fontId="8" fillId="26" borderId="219" xfId="43" applyFont="1" applyFill="1" applyBorder="1" applyAlignment="1">
      <alignment horizontal="center" vertical="center"/>
    </xf>
    <xf numFmtId="0" fontId="3" fillId="0" borderId="0" xfId="39" applyFont="1" applyAlignment="1">
      <alignment horizontal="left" vertical="center" wrapText="1"/>
    </xf>
    <xf numFmtId="164" fontId="3" fillId="33" borderId="115" xfId="39" applyNumberFormat="1" applyFont="1" applyFill="1" applyBorder="1" applyAlignment="1">
      <alignment horizontal="right" vertical="center"/>
    </xf>
    <xf numFmtId="164" fontId="3" fillId="33" borderId="116" xfId="39" applyNumberFormat="1" applyFont="1" applyFill="1" applyBorder="1" applyAlignment="1">
      <alignment horizontal="right" vertical="center"/>
    </xf>
    <xf numFmtId="164" fontId="3" fillId="33" borderId="117" xfId="39" applyNumberFormat="1" applyFont="1" applyFill="1" applyBorder="1" applyAlignment="1">
      <alignment horizontal="right" vertical="center"/>
    </xf>
    <xf numFmtId="164" fontId="3" fillId="33" borderId="115" xfId="39" applyNumberFormat="1" applyFont="1" applyFill="1" applyBorder="1" applyAlignment="1">
      <alignment vertical="center"/>
    </xf>
    <xf numFmtId="164" fontId="3" fillId="33" borderId="116" xfId="39" applyNumberFormat="1" applyFont="1" applyFill="1" applyBorder="1" applyAlignment="1">
      <alignment vertical="center"/>
    </xf>
    <xf numFmtId="164" fontId="3" fillId="33" borderId="117" xfId="39" applyNumberFormat="1" applyFont="1" applyFill="1" applyBorder="1" applyAlignment="1">
      <alignment vertical="center"/>
    </xf>
    <xf numFmtId="164" fontId="5" fillId="0" borderId="115" xfId="0" applyNumberFormat="1" applyFont="1" applyBorder="1" applyAlignment="1">
      <alignment vertical="center"/>
    </xf>
    <xf numFmtId="164" fontId="5" fillId="0" borderId="116" xfId="0" applyNumberFormat="1" applyFont="1" applyBorder="1" applyAlignment="1">
      <alignment vertical="center"/>
    </xf>
    <xf numFmtId="164" fontId="5" fillId="0" borderId="117" xfId="0" applyNumberFormat="1" applyFont="1" applyBorder="1" applyAlignment="1">
      <alignment vertical="center"/>
    </xf>
    <xf numFmtId="164" fontId="3" fillId="0" borderId="115" xfId="39" applyNumberFormat="1" applyFont="1" applyFill="1" applyBorder="1" applyAlignment="1">
      <alignment horizontal="right" vertical="center"/>
    </xf>
    <xf numFmtId="164" fontId="3" fillId="0" borderId="116" xfId="39" applyNumberFormat="1" applyFont="1" applyFill="1" applyBorder="1" applyAlignment="1">
      <alignment horizontal="right" vertical="center"/>
    </xf>
    <xf numFmtId="164" fontId="3" fillId="0" borderId="117" xfId="39" applyNumberFormat="1" applyFont="1" applyFill="1" applyBorder="1" applyAlignment="1">
      <alignment horizontal="right" vertical="center"/>
    </xf>
    <xf numFmtId="164" fontId="3" fillId="33" borderId="220" xfId="0" applyNumberFormat="1" applyFont="1" applyFill="1" applyBorder="1" applyAlignment="1">
      <alignment vertical="center"/>
    </xf>
    <xf numFmtId="164" fontId="3" fillId="33" borderId="132" xfId="0" applyNumberFormat="1" applyFont="1" applyFill="1" applyBorder="1" applyAlignment="1">
      <alignment vertical="center"/>
    </xf>
    <xf numFmtId="164" fontId="3" fillId="33" borderId="221" xfId="0" applyNumberFormat="1" applyFont="1" applyFill="1" applyBorder="1" applyAlignment="1">
      <alignment vertical="center"/>
    </xf>
    <xf numFmtId="164" fontId="100" fillId="33" borderId="209" xfId="0" applyNumberFormat="1" applyFont="1" applyFill="1" applyBorder="1" applyAlignment="1">
      <alignment vertical="center"/>
    </xf>
    <xf numFmtId="164" fontId="100" fillId="33" borderId="75" xfId="0" applyNumberFormat="1" applyFont="1" applyFill="1" applyBorder="1" applyAlignment="1">
      <alignment vertical="center"/>
    </xf>
    <xf numFmtId="164" fontId="100" fillId="33" borderId="210" xfId="0" applyNumberFormat="1" applyFont="1" applyFill="1" applyBorder="1" applyAlignment="1">
      <alignment vertical="center"/>
    </xf>
    <xf numFmtId="164" fontId="3" fillId="33" borderId="209" xfId="0" applyNumberFormat="1" applyFont="1" applyFill="1" applyBorder="1" applyAlignment="1">
      <alignment vertical="center"/>
    </xf>
    <xf numFmtId="164" fontId="3" fillId="33" borderId="75" xfId="0" applyNumberFormat="1" applyFont="1" applyFill="1" applyBorder="1" applyAlignment="1">
      <alignment vertical="center"/>
    </xf>
    <xf numFmtId="164" fontId="3" fillId="33" borderId="210" xfId="0" applyNumberFormat="1" applyFont="1" applyFill="1" applyBorder="1" applyAlignment="1">
      <alignment vertical="center"/>
    </xf>
    <xf numFmtId="164" fontId="3" fillId="33" borderId="115" xfId="0" applyNumberFormat="1" applyFont="1" applyFill="1" applyBorder="1" applyAlignment="1">
      <alignment vertical="center"/>
    </xf>
    <xf numFmtId="164" fontId="3" fillId="33" borderId="116" xfId="0" applyNumberFormat="1" applyFont="1" applyFill="1" applyBorder="1" applyAlignment="1">
      <alignment vertical="center"/>
    </xf>
    <xf numFmtId="164" fontId="3" fillId="33" borderId="117" xfId="0" applyNumberFormat="1" applyFont="1" applyFill="1" applyBorder="1" applyAlignment="1">
      <alignment vertical="center"/>
    </xf>
    <xf numFmtId="164" fontId="3" fillId="0" borderId="220" xfId="0" applyNumberFormat="1" applyFont="1" applyFill="1" applyBorder="1" applyAlignment="1">
      <alignment vertical="center"/>
    </xf>
    <xf numFmtId="164" fontId="3" fillId="0" borderId="132" xfId="0" applyNumberFormat="1" applyFont="1" applyFill="1" applyBorder="1" applyAlignment="1">
      <alignment vertical="center"/>
    </xf>
    <xf numFmtId="164" fontId="3" fillId="0" borderId="221" xfId="0" applyNumberFormat="1" applyFont="1" applyFill="1" applyBorder="1" applyAlignment="1">
      <alignment vertical="center"/>
    </xf>
    <xf numFmtId="164" fontId="3" fillId="33" borderId="222" xfId="0" applyNumberFormat="1" applyFont="1" applyFill="1" applyBorder="1" applyAlignment="1">
      <alignment vertical="center"/>
    </xf>
    <xf numFmtId="164" fontId="3" fillId="33" borderId="122" xfId="0" applyNumberFormat="1" applyFont="1" applyFill="1" applyBorder="1" applyAlignment="1">
      <alignment vertical="center"/>
    </xf>
    <xf numFmtId="164" fontId="3" fillId="33" borderId="223" xfId="0" applyNumberFormat="1" applyFont="1" applyFill="1" applyBorder="1" applyAlignment="1">
      <alignment vertical="center"/>
    </xf>
    <xf numFmtId="164" fontId="3" fillId="0" borderId="209" xfId="0" applyNumberFormat="1" applyFont="1" applyFill="1" applyBorder="1" applyAlignment="1">
      <alignment vertical="center"/>
    </xf>
    <xf numFmtId="164" fontId="3" fillId="0" borderId="75" xfId="0" applyNumberFormat="1" applyFont="1" applyFill="1" applyBorder="1" applyAlignment="1">
      <alignment vertical="center"/>
    </xf>
    <xf numFmtId="164" fontId="3" fillId="0" borderId="210" xfId="0" applyNumberFormat="1" applyFont="1" applyFill="1" applyBorder="1" applyAlignment="1">
      <alignment vertical="center"/>
    </xf>
    <xf numFmtId="164" fontId="3" fillId="0" borderId="115" xfId="0" applyNumberFormat="1" applyFont="1" applyFill="1" applyBorder="1" applyAlignment="1">
      <alignment vertical="center"/>
    </xf>
    <xf numFmtId="164" fontId="3" fillId="0" borderId="116" xfId="0" applyNumberFormat="1" applyFont="1" applyFill="1" applyBorder="1" applyAlignment="1">
      <alignment vertical="center"/>
    </xf>
    <xf numFmtId="164" fontId="3" fillId="0" borderId="117" xfId="0" applyNumberFormat="1" applyFont="1" applyFill="1" applyBorder="1" applyAlignment="1">
      <alignment vertical="center"/>
    </xf>
    <xf numFmtId="164" fontId="3" fillId="0" borderId="222" xfId="0" applyNumberFormat="1" applyFont="1" applyFill="1" applyBorder="1" applyAlignment="1">
      <alignment vertical="center"/>
    </xf>
    <xf numFmtId="164" fontId="3" fillId="0" borderId="122" xfId="0" applyNumberFormat="1" applyFont="1" applyFill="1" applyBorder="1" applyAlignment="1">
      <alignment vertical="center"/>
    </xf>
    <xf numFmtId="164" fontId="3" fillId="0" borderId="223" xfId="0" applyNumberFormat="1" applyFont="1" applyFill="1" applyBorder="1" applyAlignment="1">
      <alignment vertical="center"/>
    </xf>
    <xf numFmtId="0" fontId="3" fillId="0" borderId="0" xfId="0" applyFont="1" applyAlignment="1">
      <alignment horizontal="left" vertical="center" wrapText="1"/>
    </xf>
    <xf numFmtId="164" fontId="3" fillId="0" borderId="115" xfId="39" applyNumberFormat="1" applyFont="1" applyFill="1" applyBorder="1" applyAlignment="1">
      <alignment vertical="center"/>
    </xf>
    <xf numFmtId="164" fontId="3" fillId="0" borderId="116" xfId="39" applyNumberFormat="1" applyFont="1" applyFill="1" applyBorder="1" applyAlignment="1">
      <alignment vertical="center"/>
    </xf>
    <xf numFmtId="164" fontId="3" fillId="0" borderId="117" xfId="39" applyNumberFormat="1" applyFont="1" applyFill="1" applyBorder="1" applyAlignment="1">
      <alignment vertical="center"/>
    </xf>
    <xf numFmtId="0" fontId="3" fillId="0" borderId="0" xfId="0" quotePrefix="1" applyFont="1" applyAlignment="1">
      <alignment horizontal="left" vertical="center" wrapText="1"/>
    </xf>
    <xf numFmtId="0" fontId="3" fillId="0" borderId="0" xfId="0" applyFont="1" applyAlignment="1">
      <alignment horizontal="left" vertical="center" wrapText="1" indent="1"/>
    </xf>
    <xf numFmtId="0" fontId="3" fillId="0" borderId="0" xfId="0" quotePrefix="1" applyFont="1" applyAlignment="1">
      <alignment horizontal="left" vertical="center" wrapText="1" indent="1"/>
    </xf>
    <xf numFmtId="164" fontId="3" fillId="0" borderId="220" xfId="0" applyNumberFormat="1" applyFont="1" applyBorder="1" applyAlignment="1">
      <alignment vertical="center"/>
    </xf>
    <xf numFmtId="164" fontId="3" fillId="0" borderId="132" xfId="0" applyNumberFormat="1" applyFont="1" applyBorder="1" applyAlignment="1">
      <alignment vertical="center"/>
    </xf>
    <xf numFmtId="164" fontId="3" fillId="0" borderId="221" xfId="0" applyNumberFormat="1" applyFont="1" applyBorder="1" applyAlignment="1">
      <alignment vertical="center"/>
    </xf>
    <xf numFmtId="164" fontId="3" fillId="0" borderId="209" xfId="0" applyNumberFormat="1" applyFont="1" applyBorder="1" applyAlignment="1">
      <alignment vertical="center"/>
    </xf>
    <xf numFmtId="164" fontId="3" fillId="0" borderId="75" xfId="0" applyNumberFormat="1" applyFont="1" applyBorder="1" applyAlignment="1">
      <alignment vertical="center"/>
    </xf>
    <xf numFmtId="164" fontId="3" fillId="0" borderId="210" xfId="0" applyNumberFormat="1" applyFont="1" applyBorder="1" applyAlignment="1">
      <alignment vertical="center"/>
    </xf>
    <xf numFmtId="164" fontId="100" fillId="0" borderId="222" xfId="0" applyNumberFormat="1" applyFont="1" applyBorder="1" applyAlignment="1">
      <alignment vertical="center"/>
    </xf>
    <xf numFmtId="164" fontId="100" fillId="0" borderId="122" xfId="0" applyNumberFormat="1" applyFont="1" applyBorder="1" applyAlignment="1">
      <alignment vertical="center"/>
    </xf>
    <xf numFmtId="164" fontId="100" fillId="0" borderId="223" xfId="0" applyNumberFormat="1" applyFont="1" applyBorder="1" applyAlignment="1">
      <alignment vertical="center"/>
    </xf>
    <xf numFmtId="164" fontId="3" fillId="0" borderId="0" xfId="0" applyNumberFormat="1" applyFont="1" applyAlignment="1">
      <alignment horizontal="center" vertical="center"/>
    </xf>
    <xf numFmtId="164" fontId="3" fillId="29" borderId="0" xfId="0" applyNumberFormat="1" applyFont="1" applyFill="1" applyAlignment="1">
      <alignment horizontal="center" vertical="center"/>
    </xf>
    <xf numFmtId="0" fontId="3" fillId="29" borderId="0" xfId="0" applyFont="1" applyFill="1" applyAlignment="1">
      <alignment horizontal="center" vertical="center"/>
    </xf>
    <xf numFmtId="164" fontId="6" fillId="0" borderId="220" xfId="0" applyNumberFormat="1" applyFont="1" applyBorder="1" applyAlignment="1">
      <alignment vertical="center"/>
    </xf>
    <xf numFmtId="164" fontId="6" fillId="0" borderId="132" xfId="0" applyNumberFormat="1" applyFont="1" applyBorder="1" applyAlignment="1">
      <alignment vertical="center"/>
    </xf>
    <xf numFmtId="164" fontId="6" fillId="0" borderId="221" xfId="0" applyNumberFormat="1" applyFont="1" applyBorder="1" applyAlignment="1">
      <alignment vertical="center"/>
    </xf>
    <xf numFmtId="164" fontId="6" fillId="0" borderId="222" xfId="0" applyNumberFormat="1" applyFont="1" applyBorder="1" applyAlignment="1">
      <alignment vertical="center"/>
    </xf>
    <xf numFmtId="164" fontId="6" fillId="0" borderId="122" xfId="0" applyNumberFormat="1" applyFont="1" applyBorder="1" applyAlignment="1">
      <alignment vertical="center"/>
    </xf>
    <xf numFmtId="164" fontId="6" fillId="0" borderId="223" xfId="0" applyNumberFormat="1" applyFont="1" applyBorder="1" applyAlignment="1">
      <alignment vertical="center"/>
    </xf>
    <xf numFmtId="164" fontId="3" fillId="33" borderId="224" xfId="0" applyNumberFormat="1" applyFont="1" applyFill="1" applyBorder="1" applyAlignment="1">
      <alignment vertical="center"/>
    </xf>
    <xf numFmtId="164" fontId="3" fillId="33" borderId="201" xfId="0" applyNumberFormat="1" applyFont="1" applyFill="1" applyBorder="1" applyAlignment="1">
      <alignment vertical="center"/>
    </xf>
    <xf numFmtId="164" fontId="3" fillId="33" borderId="225" xfId="0" applyNumberFormat="1" applyFont="1" applyFill="1" applyBorder="1" applyAlignment="1">
      <alignment vertical="center"/>
    </xf>
    <xf numFmtId="164" fontId="3" fillId="33" borderId="226" xfId="0" applyNumberFormat="1" applyFont="1" applyFill="1" applyBorder="1" applyAlignment="1">
      <alignment vertical="center"/>
    </xf>
    <xf numFmtId="164" fontId="3" fillId="33" borderId="139" xfId="0" applyNumberFormat="1" applyFont="1" applyFill="1" applyBorder="1" applyAlignment="1">
      <alignment vertical="center"/>
    </xf>
    <xf numFmtId="164" fontId="3" fillId="33" borderId="227" xfId="0" applyNumberFormat="1" applyFont="1" applyFill="1" applyBorder="1" applyAlignment="1">
      <alignment vertical="center"/>
    </xf>
    <xf numFmtId="177" fontId="3" fillId="33" borderId="40" xfId="43" applyNumberFormat="1" applyFont="1" applyFill="1" applyBorder="1" applyAlignment="1">
      <alignment horizontal="right" vertical="center"/>
    </xf>
    <xf numFmtId="0" fontId="3" fillId="33" borderId="42" xfId="43" applyFont="1" applyFill="1" applyBorder="1" applyAlignment="1">
      <alignment horizontal="center" vertical="center"/>
    </xf>
    <xf numFmtId="0" fontId="3" fillId="33" borderId="40" xfId="43" applyFont="1" applyFill="1" applyBorder="1" applyAlignment="1">
      <alignment horizontal="center" vertical="center"/>
    </xf>
    <xf numFmtId="177" fontId="6" fillId="33" borderId="40" xfId="43" applyNumberFormat="1" applyFont="1" applyFill="1" applyBorder="1" applyAlignment="1">
      <alignment horizontal="right" vertical="center"/>
    </xf>
    <xf numFmtId="177" fontId="6" fillId="33" borderId="43" xfId="43" applyNumberFormat="1" applyFont="1" applyFill="1" applyBorder="1" applyAlignment="1">
      <alignment horizontal="right" vertical="center"/>
    </xf>
    <xf numFmtId="0" fontId="99" fillId="0" borderId="231" xfId="0" applyFont="1" applyBorder="1" applyAlignment="1">
      <alignment horizontal="center"/>
    </xf>
    <xf numFmtId="0" fontId="99" fillId="0" borderId="232" xfId="0" applyFont="1" applyBorder="1" applyAlignment="1">
      <alignment horizontal="center"/>
    </xf>
    <xf numFmtId="0" fontId="99" fillId="0" borderId="233" xfId="0" applyFont="1" applyBorder="1" applyAlignment="1">
      <alignment horizontal="center"/>
    </xf>
    <xf numFmtId="183" fontId="99" fillId="0" borderId="234" xfId="0" applyNumberFormat="1" applyFont="1" applyBorder="1" applyAlignment="1">
      <alignment horizontal="center"/>
    </xf>
    <xf numFmtId="183" fontId="99" fillId="0" borderId="235" xfId="0" applyNumberFormat="1" applyFont="1" applyBorder="1" applyAlignment="1">
      <alignment horizontal="center"/>
    </xf>
    <xf numFmtId="183" fontId="99" fillId="0" borderId="217" xfId="0" applyNumberFormat="1" applyFont="1" applyBorder="1" applyAlignment="1">
      <alignment horizontal="center"/>
    </xf>
    <xf numFmtId="183" fontId="99" fillId="0" borderId="236" xfId="0" applyNumberFormat="1" applyFont="1" applyBorder="1" applyAlignment="1">
      <alignment horizontal="center"/>
    </xf>
    <xf numFmtId="14" fontId="101" fillId="33" borderId="231" xfId="38" applyNumberFormat="1" applyFont="1" applyFill="1" applyBorder="1" applyAlignment="1">
      <alignment horizontal="center" vertical="center"/>
    </xf>
    <xf numFmtId="14" fontId="101" fillId="33" borderId="237" xfId="38" applyNumberFormat="1" applyFont="1" applyFill="1" applyBorder="1" applyAlignment="1">
      <alignment horizontal="center" vertical="center"/>
    </xf>
    <xf numFmtId="164" fontId="3" fillId="33" borderId="238" xfId="43" applyNumberFormat="1" applyFont="1" applyFill="1" applyBorder="1" applyAlignment="1">
      <alignment horizontal="center" vertical="center"/>
    </xf>
    <xf numFmtId="164" fontId="3" fillId="33" borderId="239" xfId="43" applyNumberFormat="1" applyFont="1" applyFill="1" applyBorder="1" applyAlignment="1">
      <alignment horizontal="center" vertical="center"/>
    </xf>
    <xf numFmtId="14" fontId="100" fillId="33" borderId="234" xfId="41" applyNumberFormat="1" applyFont="1" applyFill="1" applyBorder="1" applyAlignment="1">
      <alignment horizontal="center" vertical="center"/>
    </xf>
    <xf numFmtId="14" fontId="100" fillId="33" borderId="217" xfId="41" applyNumberFormat="1" applyFont="1" applyFill="1" applyBorder="1" applyAlignment="1">
      <alignment horizontal="center" vertical="center"/>
    </xf>
    <xf numFmtId="0" fontId="99" fillId="0" borderId="240" xfId="0" applyFont="1" applyBorder="1" applyAlignment="1">
      <alignment horizontal="center"/>
    </xf>
    <xf numFmtId="0" fontId="99" fillId="0" borderId="217" xfId="0" applyFont="1" applyBorder="1" applyAlignment="1">
      <alignment horizontal="center"/>
    </xf>
    <xf numFmtId="0" fontId="99" fillId="0" borderId="236" xfId="0" applyFont="1" applyBorder="1" applyAlignment="1">
      <alignment horizontal="center"/>
    </xf>
    <xf numFmtId="37" fontId="3" fillId="33" borderId="96" xfId="43" quotePrefix="1" applyNumberFormat="1" applyFont="1" applyFill="1" applyBorder="1" applyAlignment="1">
      <alignment horizontal="center" vertical="center"/>
    </xf>
    <xf numFmtId="37" fontId="3" fillId="33" borderId="94" xfId="43" quotePrefix="1" applyNumberFormat="1" applyFont="1" applyFill="1" applyBorder="1" applyAlignment="1">
      <alignment horizontal="center" vertical="center"/>
    </xf>
    <xf numFmtId="37" fontId="3" fillId="33" borderId="95" xfId="43" quotePrefix="1" applyNumberFormat="1" applyFont="1" applyFill="1" applyBorder="1" applyAlignment="1">
      <alignment horizontal="center" vertical="center"/>
    </xf>
    <xf numFmtId="37" fontId="6" fillId="33" borderId="96" xfId="43" applyNumberFormat="1" applyFont="1" applyFill="1" applyBorder="1" applyAlignment="1">
      <alignment horizontal="center" vertical="center"/>
    </xf>
    <xf numFmtId="37" fontId="6" fillId="33" borderId="94" xfId="43" applyNumberFormat="1" applyFont="1" applyFill="1" applyBorder="1" applyAlignment="1">
      <alignment horizontal="center" vertical="center"/>
    </xf>
    <xf numFmtId="37" fontId="6" fillId="33" borderId="95" xfId="43" applyNumberFormat="1" applyFont="1" applyFill="1" applyBorder="1" applyAlignment="1">
      <alignment horizontal="center" vertical="center"/>
    </xf>
    <xf numFmtId="164" fontId="6" fillId="0" borderId="96" xfId="43" applyNumberFormat="1" applyFont="1" applyFill="1" applyBorder="1" applyAlignment="1">
      <alignment horizontal="center" vertical="center"/>
    </xf>
    <xf numFmtId="164" fontId="6" fillId="0" borderId="94" xfId="43" applyNumberFormat="1" applyFont="1" applyFill="1" applyBorder="1" applyAlignment="1">
      <alignment horizontal="center" vertical="center"/>
    </xf>
    <xf numFmtId="164" fontId="6" fillId="0" borderId="97" xfId="43" applyNumberFormat="1" applyFont="1" applyFill="1" applyBorder="1" applyAlignment="1">
      <alignment horizontal="center" vertical="center"/>
    </xf>
    <xf numFmtId="0" fontId="100" fillId="33" borderId="96" xfId="0" applyFont="1" applyFill="1" applyBorder="1" applyAlignment="1">
      <alignment horizontal="center"/>
    </xf>
    <xf numFmtId="0" fontId="100" fillId="33" borderId="94" xfId="0" applyFont="1" applyFill="1" applyBorder="1" applyAlignment="1">
      <alignment horizontal="center"/>
    </xf>
    <xf numFmtId="0" fontId="100" fillId="33" borderId="95" xfId="0" applyFont="1" applyFill="1" applyBorder="1" applyAlignment="1">
      <alignment horizontal="center"/>
    </xf>
    <xf numFmtId="37" fontId="6" fillId="0" borderId="96" xfId="43" applyNumberFormat="1" applyFont="1" applyFill="1" applyBorder="1" applyAlignment="1">
      <alignment horizontal="center" vertical="center"/>
    </xf>
    <xf numFmtId="37" fontId="6" fillId="0" borderId="94" xfId="43" applyNumberFormat="1" applyFont="1" applyFill="1" applyBorder="1" applyAlignment="1">
      <alignment horizontal="center" vertical="center"/>
    </xf>
    <xf numFmtId="37" fontId="6" fillId="0" borderId="97" xfId="43" applyNumberFormat="1" applyFont="1" applyFill="1" applyBorder="1" applyAlignment="1">
      <alignment horizontal="center" vertical="center"/>
    </xf>
    <xf numFmtId="14" fontId="99" fillId="0" borderId="245" xfId="0" applyNumberFormat="1" applyFont="1" applyBorder="1" applyAlignment="1">
      <alignment horizontal="center"/>
    </xf>
    <xf numFmtId="14" fontId="99" fillId="0" borderId="246" xfId="0" applyNumberFormat="1" applyFont="1" applyBorder="1" applyAlignment="1">
      <alignment horizontal="center"/>
    </xf>
    <xf numFmtId="185" fontId="99" fillId="0" borderId="245" xfId="0" applyNumberFormat="1" applyFont="1" applyBorder="1" applyAlignment="1">
      <alignment horizontal="center"/>
    </xf>
    <xf numFmtId="185" fontId="99" fillId="0" borderId="246" xfId="0" applyNumberFormat="1" applyFont="1" applyBorder="1" applyAlignment="1">
      <alignment horizontal="center"/>
    </xf>
    <xf numFmtId="164" fontId="5" fillId="33" borderId="18" xfId="43" applyNumberFormat="1" applyFont="1" applyFill="1" applyBorder="1" applyAlignment="1">
      <alignment vertical="center"/>
    </xf>
    <xf numFmtId="0" fontId="63" fillId="33" borderId="18" xfId="43" applyFont="1" applyFill="1" applyBorder="1" applyAlignment="1">
      <alignment vertical="center"/>
    </xf>
    <xf numFmtId="0" fontId="63" fillId="33" borderId="20" xfId="43" applyFont="1" applyFill="1" applyBorder="1" applyAlignment="1">
      <alignment vertical="center"/>
    </xf>
    <xf numFmtId="164" fontId="3" fillId="32" borderId="25" xfId="43" applyNumberFormat="1" applyFont="1" applyFill="1" applyBorder="1" applyAlignment="1">
      <alignment vertical="center"/>
    </xf>
    <xf numFmtId="0" fontId="62" fillId="32" borderId="25" xfId="43" applyFont="1" applyFill="1" applyBorder="1" applyAlignment="1">
      <alignment vertical="center"/>
    </xf>
    <xf numFmtId="0" fontId="62" fillId="32" borderId="26" xfId="43" applyFont="1" applyFill="1" applyBorder="1" applyAlignment="1">
      <alignment vertical="center"/>
    </xf>
    <xf numFmtId="164" fontId="3" fillId="33" borderId="25" xfId="43" applyNumberFormat="1" applyFont="1" applyFill="1" applyBorder="1" applyAlignment="1">
      <alignment vertical="center"/>
    </xf>
    <xf numFmtId="0" fontId="62" fillId="33" borderId="25" xfId="43" applyFont="1" applyFill="1" applyBorder="1" applyAlignment="1">
      <alignment vertical="center"/>
    </xf>
    <xf numFmtId="164" fontId="8" fillId="26" borderId="19" xfId="43" applyNumberFormat="1" applyFont="1" applyFill="1" applyBorder="1" applyAlignment="1">
      <alignment vertical="center"/>
    </xf>
    <xf numFmtId="0" fontId="61" fillId="26" borderId="73" xfId="43" applyFont="1" applyFill="1" applyBorder="1" applyAlignment="1">
      <alignment vertical="center"/>
    </xf>
    <xf numFmtId="0" fontId="61" fillId="26" borderId="242" xfId="43" applyFont="1" applyFill="1" applyBorder="1" applyAlignment="1">
      <alignment vertical="center"/>
    </xf>
    <xf numFmtId="164" fontId="3" fillId="33" borderId="19" xfId="43" applyNumberFormat="1" applyFont="1" applyFill="1" applyBorder="1" applyAlignment="1">
      <alignment vertical="center"/>
    </xf>
    <xf numFmtId="0" fontId="62" fillId="33" borderId="73" xfId="43" applyFont="1" applyFill="1" applyBorder="1" applyAlignment="1">
      <alignment vertical="center"/>
    </xf>
    <xf numFmtId="0" fontId="62" fillId="33" borderId="242" xfId="43" applyFont="1" applyFill="1" applyBorder="1" applyAlignment="1">
      <alignment vertical="center"/>
    </xf>
    <xf numFmtId="164" fontId="3" fillId="33" borderId="243" xfId="43" applyNumberFormat="1" applyFont="1" applyFill="1" applyBorder="1" applyAlignment="1">
      <alignment vertical="center"/>
    </xf>
    <xf numFmtId="0" fontId="62" fillId="33" borderId="16" xfId="43" applyFont="1" applyFill="1" applyBorder="1" applyAlignment="1">
      <alignment vertical="center"/>
    </xf>
    <xf numFmtId="0" fontId="62" fillId="33" borderId="244" xfId="43" applyFont="1" applyFill="1" applyBorder="1" applyAlignment="1">
      <alignment vertical="center"/>
    </xf>
    <xf numFmtId="0" fontId="99" fillId="0" borderId="247" xfId="0" applyFont="1" applyBorder="1" applyAlignment="1">
      <alignment horizontal="center"/>
    </xf>
    <xf numFmtId="37" fontId="6" fillId="0" borderId="108" xfId="43" applyNumberFormat="1" applyFont="1" applyFill="1" applyBorder="1" applyAlignment="1">
      <alignment horizontal="center" vertical="center"/>
    </xf>
    <xf numFmtId="37" fontId="6" fillId="0" borderId="169" xfId="43" applyNumberFormat="1" applyFont="1" applyFill="1" applyBorder="1" applyAlignment="1">
      <alignment horizontal="center" vertical="center"/>
    </xf>
    <xf numFmtId="37" fontId="6" fillId="0" borderId="241" xfId="43" applyNumberFormat="1" applyFont="1" applyFill="1" applyBorder="1" applyAlignment="1">
      <alignment horizontal="center" vertical="center"/>
    </xf>
    <xf numFmtId="37" fontId="6" fillId="33" borderId="164" xfId="43" applyNumberFormat="1" applyFont="1" applyFill="1" applyBorder="1" applyAlignment="1">
      <alignment horizontal="center" vertical="center"/>
    </xf>
    <xf numFmtId="37" fontId="6" fillId="33" borderId="163" xfId="43" applyNumberFormat="1" applyFont="1" applyFill="1" applyBorder="1" applyAlignment="1">
      <alignment horizontal="center" vertical="center"/>
    </xf>
    <xf numFmtId="37" fontId="6" fillId="33" borderId="188" xfId="43" applyNumberFormat="1" applyFont="1" applyFill="1" applyBorder="1" applyAlignment="1">
      <alignment horizontal="center" vertical="center"/>
    </xf>
    <xf numFmtId="37" fontId="6" fillId="33" borderId="96" xfId="43" quotePrefix="1" applyNumberFormat="1" applyFont="1" applyFill="1" applyBorder="1" applyAlignment="1">
      <alignment horizontal="center" vertical="center"/>
    </xf>
    <xf numFmtId="37" fontId="6" fillId="33" borderId="94" xfId="43" quotePrefix="1" applyNumberFormat="1" applyFont="1" applyFill="1" applyBorder="1" applyAlignment="1">
      <alignment horizontal="center" vertical="center"/>
    </xf>
    <xf numFmtId="37" fontId="6" fillId="33" borderId="95" xfId="43" quotePrefix="1" applyNumberFormat="1" applyFont="1" applyFill="1" applyBorder="1" applyAlignment="1">
      <alignment horizontal="center" vertical="center"/>
    </xf>
    <xf numFmtId="37" fontId="6" fillId="0" borderId="96" xfId="43" quotePrefix="1" applyNumberFormat="1" applyFont="1" applyFill="1" applyBorder="1" applyAlignment="1">
      <alignment horizontal="center" vertical="center"/>
    </xf>
    <xf numFmtId="37" fontId="6" fillId="0" borderId="94" xfId="43" quotePrefix="1" applyNumberFormat="1" applyFont="1" applyFill="1" applyBorder="1" applyAlignment="1">
      <alignment horizontal="center" vertical="center"/>
    </xf>
    <xf numFmtId="37" fontId="6" fillId="0" borderId="97" xfId="43" quotePrefix="1" applyNumberFormat="1" applyFont="1" applyFill="1" applyBorder="1" applyAlignment="1">
      <alignment horizontal="center" vertical="center"/>
    </xf>
    <xf numFmtId="177" fontId="99" fillId="0" borderId="245" xfId="33" applyNumberFormat="1" applyFont="1" applyBorder="1" applyAlignment="1">
      <alignment horizontal="center"/>
    </xf>
    <xf numFmtId="177" fontId="99" fillId="0" borderId="235" xfId="33" applyNumberFormat="1" applyFont="1" applyBorder="1" applyAlignment="1">
      <alignment horizontal="center"/>
    </xf>
    <xf numFmtId="0" fontId="99" fillId="33" borderId="245" xfId="0" applyFont="1" applyFill="1" applyBorder="1" applyAlignment="1">
      <alignment horizontal="center"/>
    </xf>
    <xf numFmtId="0" fontId="99" fillId="33" borderId="217" xfId="0" applyFont="1" applyFill="1" applyBorder="1" applyAlignment="1">
      <alignment horizontal="center"/>
    </xf>
    <xf numFmtId="0" fontId="99" fillId="33" borderId="246" xfId="0" applyFont="1" applyFill="1" applyBorder="1" applyAlignment="1">
      <alignment horizontal="center"/>
    </xf>
    <xf numFmtId="14" fontId="22" fillId="33" borderId="209" xfId="43" applyNumberFormat="1" applyFont="1" applyFill="1" applyBorder="1" applyAlignment="1">
      <alignment horizontal="center" vertical="center"/>
    </xf>
    <xf numFmtId="14" fontId="22" fillId="33" borderId="210" xfId="43" applyNumberFormat="1" applyFont="1" applyFill="1" applyBorder="1" applyAlignment="1">
      <alignment horizontal="center" vertical="center"/>
    </xf>
    <xf numFmtId="14" fontId="22" fillId="33" borderId="250" xfId="43" applyNumberFormat="1" applyFont="1" applyFill="1" applyBorder="1" applyAlignment="1">
      <alignment horizontal="center" vertical="center"/>
    </xf>
    <xf numFmtId="0" fontId="99" fillId="0" borderId="248" xfId="0" applyFont="1" applyBorder="1" applyAlignment="1">
      <alignment horizontal="center"/>
    </xf>
    <xf numFmtId="0" fontId="99" fillId="0" borderId="249" xfId="0" applyFont="1" applyBorder="1" applyAlignment="1">
      <alignment horizontal="center"/>
    </xf>
    <xf numFmtId="0" fontId="3" fillId="33" borderId="93" xfId="43" applyFont="1" applyFill="1" applyBorder="1" applyAlignment="1">
      <alignment horizontal="left" vertical="center" indent="1"/>
    </xf>
    <xf numFmtId="0" fontId="3" fillId="33" borderId="94" xfId="43" applyFont="1" applyFill="1" applyBorder="1" applyAlignment="1">
      <alignment horizontal="left" vertical="center" indent="1"/>
    </xf>
    <xf numFmtId="0" fontId="3" fillId="33" borderId="185" xfId="43" applyFont="1" applyFill="1" applyBorder="1" applyAlignment="1">
      <alignment horizontal="left" vertical="center" indent="1"/>
    </xf>
    <xf numFmtId="0" fontId="3" fillId="33" borderId="251" xfId="43" applyFont="1" applyFill="1" applyBorder="1" applyAlignment="1">
      <alignment horizontal="center" vertical="center"/>
    </xf>
    <xf numFmtId="164" fontId="6" fillId="33" borderId="208" xfId="43" applyNumberFormat="1" applyFont="1" applyFill="1" applyBorder="1" applyAlignment="1">
      <alignment vertical="center"/>
    </xf>
    <xf numFmtId="164" fontId="6" fillId="33" borderId="94" xfId="43" applyNumberFormat="1" applyFont="1" applyFill="1" applyBorder="1" applyAlignment="1">
      <alignment vertical="center"/>
    </xf>
    <xf numFmtId="164" fontId="6" fillId="33" borderId="185" xfId="43" applyNumberFormat="1" applyFont="1" applyFill="1" applyBorder="1" applyAlignment="1">
      <alignment vertical="center"/>
    </xf>
    <xf numFmtId="3" fontId="6" fillId="0" borderId="96" xfId="42" applyNumberFormat="1" applyFont="1" applyFill="1" applyBorder="1" applyAlignment="1">
      <alignment horizontal="center"/>
    </xf>
    <xf numFmtId="3" fontId="6" fillId="0" borderId="94" xfId="42" applyNumberFormat="1" applyFont="1" applyFill="1" applyBorder="1" applyAlignment="1">
      <alignment horizontal="center"/>
    </xf>
    <xf numFmtId="3" fontId="6" fillId="0" borderId="97" xfId="42" applyNumberFormat="1" applyFont="1" applyFill="1" applyBorder="1" applyAlignment="1">
      <alignment horizontal="center"/>
    </xf>
    <xf numFmtId="164" fontId="3" fillId="33" borderId="319" xfId="43" applyNumberFormat="1" applyFont="1" applyFill="1" applyBorder="1" applyAlignment="1">
      <alignment vertical="center"/>
    </xf>
    <xf numFmtId="164" fontId="3" fillId="33" borderId="279" xfId="43" applyNumberFormat="1" applyFont="1" applyFill="1" applyBorder="1" applyAlignment="1">
      <alignment vertical="center"/>
    </xf>
    <xf numFmtId="37" fontId="3" fillId="33" borderId="108" xfId="43" quotePrefix="1" applyNumberFormat="1" applyFont="1" applyFill="1" applyBorder="1" applyAlignment="1">
      <alignment horizontal="center" vertical="center"/>
    </xf>
    <xf numFmtId="37" fontId="3" fillId="33" borderId="169" xfId="43" quotePrefix="1" applyNumberFormat="1" applyFont="1" applyFill="1" applyBorder="1" applyAlignment="1">
      <alignment horizontal="center" vertical="center"/>
    </xf>
    <xf numFmtId="37" fontId="3" fillId="33" borderId="173" xfId="43" quotePrefix="1" applyNumberFormat="1" applyFont="1" applyFill="1" applyBorder="1" applyAlignment="1">
      <alignment horizontal="center" vertical="center"/>
    </xf>
    <xf numFmtId="37" fontId="8" fillId="26" borderId="36" xfId="43" applyNumberFormat="1" applyFont="1" applyFill="1" applyBorder="1" applyAlignment="1">
      <alignment horizontal="center" vertical="center"/>
    </xf>
    <xf numFmtId="37" fontId="8" fillId="26" borderId="37" xfId="43" applyNumberFormat="1" applyFont="1" applyFill="1" applyBorder="1" applyAlignment="1">
      <alignment horizontal="center" vertical="center"/>
    </xf>
    <xf numFmtId="164" fontId="3" fillId="33" borderId="209" xfId="43" applyNumberFormat="1" applyFont="1" applyFill="1" applyBorder="1" applyAlignment="1">
      <alignment vertical="center"/>
    </xf>
    <xf numFmtId="164" fontId="3" fillId="33" borderId="210" xfId="43" applyNumberFormat="1" applyFont="1" applyFill="1" applyBorder="1" applyAlignment="1">
      <alignment vertical="center"/>
    </xf>
    <xf numFmtId="14" fontId="3" fillId="33" borderId="208" xfId="43" applyNumberFormat="1" applyFont="1" applyFill="1" applyBorder="1" applyAlignment="1">
      <alignment horizontal="center" vertical="center"/>
    </xf>
    <xf numFmtId="14" fontId="3" fillId="33" borderId="185" xfId="43" applyNumberFormat="1" applyFont="1" applyFill="1" applyBorder="1" applyAlignment="1">
      <alignment horizontal="center" vertical="center"/>
    </xf>
    <xf numFmtId="0" fontId="19" fillId="26" borderId="34" xfId="43" applyFont="1" applyFill="1" applyBorder="1" applyAlignment="1">
      <alignment horizontal="center" vertical="center" wrapText="1"/>
    </xf>
    <xf numFmtId="0" fontId="19" fillId="26" borderId="35" xfId="43" applyFont="1" applyFill="1" applyBorder="1" applyAlignment="1">
      <alignment horizontal="center" vertical="center" wrapText="1"/>
    </xf>
    <xf numFmtId="164" fontId="3" fillId="33" borderId="192" xfId="43" applyNumberFormat="1" applyFont="1" applyFill="1" applyBorder="1" applyAlignment="1">
      <alignment vertical="center"/>
    </xf>
    <xf numFmtId="164" fontId="64" fillId="33" borderId="208" xfId="43" applyNumberFormat="1" applyFont="1" applyFill="1" applyBorder="1" applyAlignment="1">
      <alignment vertical="center"/>
    </xf>
    <xf numFmtId="164" fontId="64" fillId="33" borderId="185" xfId="43" applyNumberFormat="1" applyFont="1" applyFill="1" applyBorder="1" applyAlignment="1">
      <alignment vertical="center"/>
    </xf>
    <xf numFmtId="3" fontId="6" fillId="33" borderId="96" xfId="42" applyNumberFormat="1" applyFont="1" applyFill="1" applyBorder="1" applyAlignment="1">
      <alignment horizontal="center"/>
    </xf>
    <xf numFmtId="3" fontId="6" fillId="33" borderId="94" xfId="42" applyNumberFormat="1" applyFont="1" applyFill="1" applyBorder="1" applyAlignment="1">
      <alignment horizontal="center"/>
    </xf>
    <xf numFmtId="3" fontId="6" fillId="33" borderId="95" xfId="42" applyNumberFormat="1" applyFont="1" applyFill="1" applyBorder="1" applyAlignment="1">
      <alignment horizontal="center"/>
    </xf>
    <xf numFmtId="37" fontId="3" fillId="33" borderId="96" xfId="43" applyNumberFormat="1" applyFont="1" applyFill="1" applyBorder="1" applyAlignment="1">
      <alignment horizontal="center" vertical="center"/>
    </xf>
    <xf numFmtId="37" fontId="3" fillId="33" borderId="94" xfId="43" applyNumberFormat="1" applyFont="1" applyFill="1" applyBorder="1" applyAlignment="1">
      <alignment horizontal="center" vertical="center"/>
    </xf>
    <xf numFmtId="37" fontId="3" fillId="33" borderId="95" xfId="43" applyNumberFormat="1" applyFont="1" applyFill="1" applyBorder="1" applyAlignment="1">
      <alignment horizontal="center" vertical="center"/>
    </xf>
    <xf numFmtId="164" fontId="6" fillId="33" borderId="253" xfId="43" applyNumberFormat="1" applyFont="1" applyFill="1" applyBorder="1" applyAlignment="1">
      <alignment vertical="center"/>
    </xf>
    <xf numFmtId="164" fontId="6" fillId="33" borderId="169" xfId="43" applyNumberFormat="1" applyFont="1" applyFill="1" applyBorder="1" applyAlignment="1">
      <alignment vertical="center"/>
    </xf>
    <xf numFmtId="164" fontId="6" fillId="33" borderId="171" xfId="43" applyNumberFormat="1" applyFont="1" applyFill="1" applyBorder="1" applyAlignment="1">
      <alignment vertical="center"/>
    </xf>
    <xf numFmtId="164" fontId="6" fillId="33" borderId="179" xfId="43" quotePrefix="1" applyNumberFormat="1" applyFont="1" applyFill="1" applyBorder="1" applyAlignment="1">
      <alignment horizontal="center" vertical="center"/>
    </xf>
    <xf numFmtId="37" fontId="7" fillId="33" borderId="72" xfId="43" applyNumberFormat="1" applyFont="1" applyFill="1" applyBorder="1" applyAlignment="1">
      <alignment horizontal="left" vertical="center" indent="2"/>
    </xf>
    <xf numFmtId="37" fontId="7" fillId="33" borderId="73" xfId="43" applyNumberFormat="1" applyFont="1" applyFill="1" applyBorder="1" applyAlignment="1">
      <alignment horizontal="left" vertical="center" indent="2"/>
    </xf>
    <xf numFmtId="164" fontId="6" fillId="33" borderId="184" xfId="43" quotePrefix="1" applyNumberFormat="1" applyFont="1" applyFill="1" applyBorder="1" applyAlignment="1">
      <alignment horizontal="center" vertical="center"/>
    </xf>
    <xf numFmtId="164" fontId="6" fillId="33" borderId="76" xfId="43" quotePrefix="1" applyNumberFormat="1" applyFont="1" applyFill="1" applyBorder="1" applyAlignment="1">
      <alignment horizontal="center" vertical="center"/>
    </xf>
    <xf numFmtId="164" fontId="6" fillId="33" borderId="183" xfId="43" quotePrefix="1" applyNumberFormat="1" applyFont="1" applyFill="1" applyBorder="1" applyAlignment="1">
      <alignment horizontal="center" vertical="center"/>
    </xf>
    <xf numFmtId="37" fontId="3" fillId="33" borderId="108" xfId="43" applyNumberFormat="1" applyFont="1" applyFill="1" applyBorder="1" applyAlignment="1">
      <alignment horizontal="center" vertical="center"/>
    </xf>
    <xf numFmtId="37" fontId="3" fillId="33" borderId="169" xfId="43" applyNumberFormat="1" applyFont="1" applyFill="1" applyBorder="1" applyAlignment="1">
      <alignment horizontal="center" vertical="center"/>
    </xf>
    <xf numFmtId="37" fontId="3" fillId="33" borderId="173" xfId="43" applyNumberFormat="1" applyFont="1" applyFill="1" applyBorder="1" applyAlignment="1">
      <alignment horizontal="center" vertical="center"/>
    </xf>
    <xf numFmtId="37" fontId="23" fillId="26" borderId="37" xfId="43" applyNumberFormat="1" applyFont="1" applyFill="1" applyBorder="1" applyAlignment="1">
      <alignment horizontal="center" vertical="center"/>
    </xf>
    <xf numFmtId="37" fontId="23" fillId="26" borderId="322" xfId="43" applyNumberFormat="1" applyFont="1" applyFill="1" applyBorder="1" applyAlignment="1">
      <alignment horizontal="center" vertical="center"/>
    </xf>
    <xf numFmtId="37" fontId="8" fillId="26" borderId="228" xfId="43" applyNumberFormat="1" applyFont="1" applyFill="1" applyBorder="1" applyAlignment="1">
      <alignment horizontal="center" vertical="center"/>
    </xf>
    <xf numFmtId="37" fontId="8" fillId="26" borderId="229" xfId="43" applyNumberFormat="1" applyFont="1" applyFill="1" applyBorder="1" applyAlignment="1">
      <alignment horizontal="center" vertical="center"/>
    </xf>
    <xf numFmtId="0" fontId="3" fillId="33" borderId="254" xfId="43" applyFont="1" applyFill="1" applyBorder="1" applyAlignment="1">
      <alignment horizontal="center" vertical="center"/>
    </xf>
    <xf numFmtId="0" fontId="22" fillId="33" borderId="74" xfId="43" applyFont="1" applyFill="1" applyBorder="1" applyAlignment="1">
      <alignment horizontal="left" vertical="center" indent="1"/>
    </xf>
    <xf numFmtId="0" fontId="22" fillId="33" borderId="75" xfId="43" applyFont="1" applyFill="1" applyBorder="1" applyAlignment="1">
      <alignment horizontal="left" vertical="center" indent="1"/>
    </xf>
    <xf numFmtId="0" fontId="22" fillId="33" borderId="138" xfId="43" applyFont="1" applyFill="1" applyBorder="1" applyAlignment="1">
      <alignment horizontal="left" vertical="center" indent="1"/>
    </xf>
    <xf numFmtId="164" fontId="7" fillId="33" borderId="19" xfId="43" applyNumberFormat="1" applyFont="1" applyFill="1" applyBorder="1" applyAlignment="1">
      <alignment vertical="center"/>
    </xf>
    <xf numFmtId="164" fontId="7" fillId="33" borderId="73" xfId="43" applyNumberFormat="1" applyFont="1" applyFill="1" applyBorder="1" applyAlignment="1">
      <alignment vertical="center"/>
    </xf>
    <xf numFmtId="164" fontId="7" fillId="33" borderId="81" xfId="43" applyNumberFormat="1" applyFont="1" applyFill="1" applyBorder="1" applyAlignment="1">
      <alignment vertical="center"/>
    </xf>
    <xf numFmtId="3" fontId="6" fillId="0" borderId="96" xfId="0" applyNumberFormat="1" applyFont="1" applyFill="1" applyBorder="1" applyAlignment="1">
      <alignment horizontal="center"/>
    </xf>
    <xf numFmtId="3" fontId="6" fillId="0" borderId="94" xfId="0" applyNumberFormat="1" applyFont="1" applyFill="1" applyBorder="1" applyAlignment="1">
      <alignment horizontal="center"/>
    </xf>
    <xf numFmtId="3" fontId="6" fillId="0" borderId="97" xfId="0" applyNumberFormat="1" applyFont="1" applyFill="1" applyBorder="1" applyAlignment="1">
      <alignment horizontal="center"/>
    </xf>
    <xf numFmtId="0" fontId="19" fillId="26" borderId="25" xfId="43" applyFont="1" applyFill="1" applyBorder="1" applyAlignment="1">
      <alignment horizontal="center" vertical="center" wrapText="1"/>
    </xf>
    <xf numFmtId="0" fontId="22" fillId="33" borderId="100" xfId="43" applyFont="1" applyFill="1" applyBorder="1" applyAlignment="1">
      <alignment horizontal="center" vertical="center"/>
    </xf>
    <xf numFmtId="0" fontId="22" fillId="33" borderId="75" xfId="43" applyFont="1" applyFill="1" applyBorder="1" applyAlignment="1">
      <alignment horizontal="center" vertical="center"/>
    </xf>
    <xf numFmtId="0" fontId="22" fillId="33" borderId="138" xfId="43" applyFont="1" applyFill="1" applyBorder="1" applyAlignment="1">
      <alignment horizontal="center" vertical="center"/>
    </xf>
    <xf numFmtId="14" fontId="3" fillId="33" borderId="253" xfId="43" applyNumberFormat="1" applyFont="1" applyFill="1" applyBorder="1" applyAlignment="1">
      <alignment horizontal="center" vertical="center"/>
    </xf>
    <xf numFmtId="14" fontId="3" fillId="33" borderId="171" xfId="43" applyNumberFormat="1" applyFont="1" applyFill="1" applyBorder="1" applyAlignment="1">
      <alignment horizontal="center" vertical="center"/>
    </xf>
    <xf numFmtId="14" fontId="22" fillId="33" borderId="100" xfId="43" applyNumberFormat="1" applyFont="1" applyFill="1" applyBorder="1" applyAlignment="1">
      <alignment horizontal="center" vertical="center"/>
    </xf>
    <xf numFmtId="14" fontId="22" fillId="33" borderId="138" xfId="43" applyNumberFormat="1" applyFont="1" applyFill="1" applyBorder="1" applyAlignment="1">
      <alignment horizontal="center" vertical="center"/>
    </xf>
    <xf numFmtId="164" fontId="64" fillId="33" borderId="100" xfId="43" applyNumberFormat="1" applyFont="1" applyFill="1" applyBorder="1" applyAlignment="1">
      <alignment vertical="center"/>
    </xf>
    <xf numFmtId="164" fontId="64" fillId="33" borderId="138" xfId="43" applyNumberFormat="1" applyFont="1" applyFill="1" applyBorder="1" applyAlignment="1">
      <alignment vertical="center"/>
    </xf>
    <xf numFmtId="37" fontId="3" fillId="33" borderId="326" xfId="43" quotePrefix="1" applyNumberFormat="1" applyFont="1" applyFill="1" applyBorder="1" applyAlignment="1">
      <alignment horizontal="center" vertical="center"/>
    </xf>
    <xf numFmtId="4" fontId="6" fillId="33" borderId="96" xfId="42" applyNumberFormat="1" applyFont="1" applyFill="1" applyBorder="1" applyAlignment="1">
      <alignment horizontal="center"/>
    </xf>
    <xf numFmtId="4" fontId="6" fillId="33" borderId="94" xfId="42" applyNumberFormat="1" applyFont="1" applyFill="1" applyBorder="1" applyAlignment="1">
      <alignment horizontal="center"/>
    </xf>
    <xf numFmtId="4" fontId="6" fillId="33" borderId="95" xfId="42" applyNumberFormat="1" applyFont="1" applyFill="1" applyBorder="1" applyAlignment="1">
      <alignment horizontal="center"/>
    </xf>
    <xf numFmtId="164" fontId="5" fillId="0" borderId="81" xfId="43" applyNumberFormat="1" applyFont="1" applyFill="1" applyBorder="1" applyAlignment="1">
      <alignment horizontal="center" vertical="center"/>
    </xf>
    <xf numFmtId="164" fontId="5" fillId="0" borderId="18" xfId="43" applyNumberFormat="1" applyFont="1" applyFill="1" applyBorder="1" applyAlignment="1">
      <alignment horizontal="center" vertical="center"/>
    </xf>
    <xf numFmtId="164" fontId="5" fillId="0" borderId="20" xfId="43" applyNumberFormat="1" applyFont="1" applyFill="1" applyBorder="1" applyAlignment="1">
      <alignment horizontal="center" vertical="center"/>
    </xf>
    <xf numFmtId="164" fontId="13" fillId="32" borderId="18" xfId="43" applyNumberFormat="1" applyFont="1" applyFill="1" applyBorder="1" applyAlignment="1">
      <alignment horizontal="center" vertical="center"/>
    </xf>
    <xf numFmtId="0" fontId="19" fillId="26" borderId="35" xfId="43" quotePrefix="1" applyFont="1" applyFill="1" applyBorder="1" applyAlignment="1">
      <alignment horizontal="center" vertical="center" textRotation="90" wrapText="1"/>
    </xf>
    <xf numFmtId="0" fontId="19" fillId="26" borderId="25" xfId="43" quotePrefix="1" applyFont="1" applyFill="1" applyBorder="1" applyAlignment="1">
      <alignment horizontal="center" vertical="center" textRotation="90" wrapText="1"/>
    </xf>
    <xf numFmtId="0" fontId="19" fillId="26" borderId="32" xfId="43" quotePrefix="1" applyFont="1" applyFill="1" applyBorder="1" applyAlignment="1">
      <alignment horizontal="center" vertical="center" textRotation="90" wrapText="1"/>
    </xf>
    <xf numFmtId="37" fontId="5" fillId="33" borderId="72" xfId="43" applyNumberFormat="1" applyFont="1" applyFill="1" applyBorder="1" applyAlignment="1">
      <alignment horizontal="left" vertical="center" indent="2"/>
    </xf>
    <xf numFmtId="37" fontId="5" fillId="33" borderId="73" xfId="43" applyNumberFormat="1" applyFont="1" applyFill="1" applyBorder="1" applyAlignment="1">
      <alignment horizontal="left" vertical="center" indent="2"/>
    </xf>
    <xf numFmtId="37" fontId="5" fillId="33" borderId="81" xfId="43" applyNumberFormat="1" applyFont="1" applyFill="1" applyBorder="1" applyAlignment="1">
      <alignment horizontal="left" vertical="center" indent="2"/>
    </xf>
    <xf numFmtId="37" fontId="66" fillId="26" borderId="30" xfId="43" applyNumberFormat="1" applyFont="1" applyFill="1" applyBorder="1" applyAlignment="1">
      <alignment horizontal="center" vertical="center" wrapText="1"/>
    </xf>
    <xf numFmtId="37" fontId="66" fillId="26" borderId="18" xfId="43" applyNumberFormat="1" applyFont="1" applyFill="1" applyBorder="1" applyAlignment="1">
      <alignment horizontal="center" vertical="center"/>
    </xf>
    <xf numFmtId="0" fontId="19" fillId="26" borderId="35" xfId="43" quotePrefix="1" applyFont="1" applyFill="1" applyBorder="1" applyAlignment="1">
      <alignment horizontal="center" vertical="center" wrapText="1"/>
    </xf>
    <xf numFmtId="0" fontId="22" fillId="33" borderId="331" xfId="43" applyFont="1" applyFill="1" applyBorder="1" applyAlignment="1">
      <alignment vertical="center"/>
    </xf>
    <xf numFmtId="0" fontId="22" fillId="33" borderId="332" xfId="43" applyFont="1" applyFill="1" applyBorder="1" applyAlignment="1">
      <alignment vertical="center"/>
    </xf>
    <xf numFmtId="0" fontId="22" fillId="33" borderId="333" xfId="43" applyFont="1" applyFill="1" applyBorder="1" applyAlignment="1">
      <alignment vertical="center"/>
    </xf>
    <xf numFmtId="1" fontId="6" fillId="33" borderId="25" xfId="43" applyNumberFormat="1" applyFont="1" applyFill="1" applyBorder="1" applyAlignment="1">
      <alignment horizontal="center" vertical="center"/>
    </xf>
    <xf numFmtId="3" fontId="3" fillId="31" borderId="258" xfId="43" applyNumberFormat="1" applyFont="1" applyFill="1" applyBorder="1" applyAlignment="1">
      <alignment horizontal="right" vertical="center" indent="1"/>
    </xf>
    <xf numFmtId="3" fontId="3" fillId="31" borderId="257" xfId="43" applyNumberFormat="1" applyFont="1" applyFill="1" applyBorder="1" applyAlignment="1">
      <alignment horizontal="right" vertical="center" indent="1"/>
    </xf>
    <xf numFmtId="3" fontId="3" fillId="31" borderId="259" xfId="43" applyNumberFormat="1" applyFont="1" applyFill="1" applyBorder="1" applyAlignment="1">
      <alignment horizontal="right" vertical="center" indent="1"/>
    </xf>
    <xf numFmtId="37" fontId="3" fillId="33" borderId="260" xfId="43" quotePrefix="1" applyNumberFormat="1" applyFont="1" applyFill="1" applyBorder="1" applyAlignment="1">
      <alignment horizontal="center" vertical="center"/>
    </xf>
    <xf numFmtId="37" fontId="3" fillId="33" borderId="163" xfId="43" quotePrefix="1" applyNumberFormat="1" applyFont="1" applyFill="1" applyBorder="1" applyAlignment="1">
      <alignment horizontal="center" vertical="center"/>
    </xf>
    <xf numFmtId="37" fontId="3" fillId="33" borderId="188" xfId="43" quotePrefix="1" applyNumberFormat="1" applyFont="1" applyFill="1" applyBorder="1" applyAlignment="1">
      <alignment horizontal="center" vertical="center"/>
    </xf>
    <xf numFmtId="37" fontId="3" fillId="33" borderId="261" xfId="43" quotePrefix="1" applyNumberFormat="1" applyFont="1" applyFill="1" applyBorder="1" applyAlignment="1">
      <alignment horizontal="center" vertical="center"/>
    </xf>
    <xf numFmtId="37" fontId="3" fillId="33" borderId="262" xfId="43" quotePrefix="1" applyNumberFormat="1" applyFont="1" applyFill="1" applyBorder="1" applyAlignment="1">
      <alignment horizontal="center" vertical="center"/>
    </xf>
    <xf numFmtId="37" fontId="3" fillId="33" borderId="263" xfId="43" quotePrefix="1" applyNumberFormat="1" applyFont="1" applyFill="1" applyBorder="1" applyAlignment="1">
      <alignment horizontal="center" vertical="center"/>
    </xf>
    <xf numFmtId="164" fontId="6" fillId="33" borderId="256" xfId="43" applyNumberFormat="1" applyFont="1" applyFill="1" applyBorder="1" applyAlignment="1">
      <alignment horizontal="right" vertical="center" indent="1"/>
    </xf>
    <xf numFmtId="164" fontId="6" fillId="33" borderId="257" xfId="43" applyNumberFormat="1" applyFont="1" applyFill="1" applyBorder="1" applyAlignment="1">
      <alignment horizontal="right" vertical="center" indent="1"/>
    </xf>
    <xf numFmtId="164" fontId="6" fillId="33" borderId="186" xfId="43" applyNumberFormat="1" applyFont="1" applyFill="1" applyBorder="1" applyAlignment="1">
      <alignment horizontal="right" vertical="center" indent="1"/>
    </xf>
    <xf numFmtId="164" fontId="7" fillId="33" borderId="19" xfId="43" applyNumberFormat="1" applyFont="1" applyFill="1" applyBorder="1" applyAlignment="1">
      <alignment horizontal="center" vertical="center"/>
    </xf>
    <xf numFmtId="164" fontId="7" fillId="33" borderId="73" xfId="43" applyNumberFormat="1" applyFont="1" applyFill="1" applyBorder="1" applyAlignment="1">
      <alignment horizontal="center" vertical="center"/>
    </xf>
    <xf numFmtId="164" fontId="7" fillId="33" borderId="81" xfId="43" applyNumberFormat="1" applyFont="1" applyFill="1" applyBorder="1" applyAlignment="1">
      <alignment horizontal="center" vertical="center"/>
    </xf>
    <xf numFmtId="37" fontId="7" fillId="33" borderId="73" xfId="43" applyNumberFormat="1" applyFont="1" applyFill="1" applyBorder="1" applyAlignment="1">
      <alignment horizontal="center" vertical="center"/>
    </xf>
    <xf numFmtId="37" fontId="7" fillId="33" borderId="81" xfId="43" applyNumberFormat="1" applyFont="1" applyFill="1" applyBorder="1" applyAlignment="1">
      <alignment horizontal="center" vertical="center"/>
    </xf>
    <xf numFmtId="3" fontId="3" fillId="32" borderId="276" xfId="0" applyNumberFormat="1" applyFont="1" applyFill="1" applyBorder="1" applyAlignment="1">
      <alignment horizontal="center" vertical="center"/>
    </xf>
    <xf numFmtId="3" fontId="3" fillId="32" borderId="277" xfId="0" applyNumberFormat="1" applyFont="1" applyFill="1" applyBorder="1" applyAlignment="1">
      <alignment horizontal="center" vertical="center"/>
    </xf>
    <xf numFmtId="3" fontId="3" fillId="32" borderId="278" xfId="0" applyNumberFormat="1" applyFont="1" applyFill="1" applyBorder="1" applyAlignment="1">
      <alignment horizontal="center" vertical="center"/>
    </xf>
    <xf numFmtId="164" fontId="3" fillId="32" borderId="100" xfId="43" applyNumberFormat="1" applyFont="1" applyFill="1" applyBorder="1" applyAlignment="1">
      <alignment horizontal="center" vertical="center"/>
    </xf>
    <xf numFmtId="164" fontId="3" fillId="32" borderId="280" xfId="43" applyNumberFormat="1" applyFont="1" applyFill="1" applyBorder="1" applyAlignment="1">
      <alignment horizontal="center" vertical="center"/>
    </xf>
    <xf numFmtId="182" fontId="3" fillId="32" borderId="283" xfId="0" applyNumberFormat="1" applyFont="1" applyFill="1" applyBorder="1" applyAlignment="1">
      <alignment horizontal="center" vertical="center"/>
    </xf>
    <xf numFmtId="182" fontId="3" fillId="32" borderId="284" xfId="0" applyNumberFormat="1" applyFont="1" applyFill="1" applyBorder="1" applyAlignment="1">
      <alignment horizontal="center" vertical="center"/>
    </xf>
    <xf numFmtId="37" fontId="19" fillId="26" borderId="64" xfId="43" applyNumberFormat="1" applyFont="1" applyFill="1" applyBorder="1" applyAlignment="1">
      <alignment horizontal="center" vertical="center" wrapText="1"/>
    </xf>
    <xf numFmtId="3" fontId="6" fillId="33" borderId="256" xfId="43" applyNumberFormat="1" applyFont="1" applyFill="1" applyBorder="1" applyAlignment="1">
      <alignment horizontal="right" vertical="center" indent="1"/>
    </xf>
    <xf numFmtId="3" fontId="6" fillId="33" borderId="257" xfId="43" applyNumberFormat="1" applyFont="1" applyFill="1" applyBorder="1" applyAlignment="1">
      <alignment horizontal="right" vertical="center" indent="1"/>
    </xf>
    <xf numFmtId="3" fontId="6" fillId="33" borderId="186" xfId="43" applyNumberFormat="1" applyFont="1" applyFill="1" applyBorder="1" applyAlignment="1">
      <alignment horizontal="right" vertical="center" indent="1"/>
    </xf>
    <xf numFmtId="3" fontId="17" fillId="0" borderId="264" xfId="0" applyNumberFormat="1" applyFont="1" applyBorder="1" applyAlignment="1">
      <alignment horizontal="right" vertical="center" indent="1"/>
    </xf>
    <xf numFmtId="3" fontId="17" fillId="0" borderId="73" xfId="0" applyNumberFormat="1" applyFont="1" applyBorder="1" applyAlignment="1">
      <alignment horizontal="right" vertical="center" indent="1"/>
    </xf>
    <xf numFmtId="3" fontId="17" fillId="0" borderId="265" xfId="0" applyNumberFormat="1" applyFont="1" applyBorder="1" applyAlignment="1">
      <alignment horizontal="right" vertical="center" indent="1"/>
    </xf>
    <xf numFmtId="3" fontId="17" fillId="33" borderId="266" xfId="0" applyNumberFormat="1" applyFont="1" applyFill="1" applyBorder="1" applyAlignment="1">
      <alignment horizontal="right" vertical="center" indent="1"/>
    </xf>
    <xf numFmtId="3" fontId="17" fillId="33" borderId="169" xfId="0" applyNumberFormat="1" applyFont="1" applyFill="1" applyBorder="1" applyAlignment="1">
      <alignment horizontal="right" vertical="center" indent="1"/>
    </xf>
    <xf numFmtId="3" fontId="17" fillId="33" borderId="267" xfId="0" applyNumberFormat="1" applyFont="1" applyFill="1" applyBorder="1" applyAlignment="1">
      <alignment horizontal="right" vertical="center" indent="1"/>
    </xf>
    <xf numFmtId="3" fontId="17" fillId="33" borderId="268" xfId="0" applyNumberFormat="1" applyFont="1" applyFill="1" applyBorder="1" applyAlignment="1">
      <alignment horizontal="right" vertical="center" indent="1"/>
    </xf>
    <xf numFmtId="3" fontId="17" fillId="33" borderId="94" xfId="0" applyNumberFormat="1" applyFont="1" applyFill="1" applyBorder="1" applyAlignment="1">
      <alignment horizontal="right" vertical="center" indent="1"/>
    </xf>
    <xf numFmtId="3" fontId="17" fillId="33" borderId="269" xfId="0" applyNumberFormat="1" applyFont="1" applyFill="1" applyBorder="1" applyAlignment="1">
      <alignment horizontal="right" vertical="center" indent="1"/>
    </xf>
    <xf numFmtId="164" fontId="5" fillId="0" borderId="19" xfId="43" applyNumberFormat="1" applyFont="1" applyFill="1" applyBorder="1" applyAlignment="1">
      <alignment horizontal="center" vertical="center"/>
    </xf>
    <xf numFmtId="164" fontId="5" fillId="0" borderId="73" xfId="43" applyNumberFormat="1" applyFont="1" applyFill="1" applyBorder="1" applyAlignment="1">
      <alignment horizontal="center" vertical="center"/>
    </xf>
    <xf numFmtId="164" fontId="5" fillId="0" borderId="242" xfId="43" applyNumberFormat="1" applyFont="1" applyFill="1" applyBorder="1" applyAlignment="1">
      <alignment horizontal="center" vertical="center"/>
    </xf>
    <xf numFmtId="177" fontId="69" fillId="33" borderId="40" xfId="43" applyNumberFormat="1" applyFont="1" applyFill="1" applyBorder="1" applyAlignment="1">
      <alignment horizontal="right" vertical="center"/>
    </xf>
    <xf numFmtId="164" fontId="5" fillId="33" borderId="19" xfId="43" applyNumberFormat="1" applyFont="1" applyFill="1" applyBorder="1" applyAlignment="1">
      <alignment horizontal="right" vertical="center"/>
    </xf>
    <xf numFmtId="164" fontId="5" fillId="33" borderId="73" xfId="43" applyNumberFormat="1" applyFont="1" applyFill="1" applyBorder="1" applyAlignment="1">
      <alignment horizontal="right" vertical="center"/>
    </xf>
    <xf numFmtId="0" fontId="63" fillId="33" borderId="242" xfId="43" applyFont="1" applyFill="1" applyBorder="1" applyAlignment="1">
      <alignment horizontal="right" vertical="center"/>
    </xf>
    <xf numFmtId="37" fontId="8" fillId="26" borderId="270" xfId="43" applyNumberFormat="1" applyFont="1" applyFill="1" applyBorder="1" applyAlignment="1">
      <alignment horizontal="center" vertical="center" wrapText="1"/>
    </xf>
    <xf numFmtId="37" fontId="8" fillId="26" borderId="16" xfId="43" applyNumberFormat="1" applyFont="1" applyFill="1" applyBorder="1" applyAlignment="1">
      <alignment horizontal="center" vertical="center" wrapText="1"/>
    </xf>
    <xf numFmtId="37" fontId="8" fillId="26" borderId="271" xfId="43" applyNumberFormat="1" applyFont="1" applyFill="1" applyBorder="1" applyAlignment="1">
      <alignment horizontal="center" vertical="center" wrapText="1"/>
    </xf>
    <xf numFmtId="37" fontId="19" fillId="26" borderId="18" xfId="43" applyNumberFormat="1" applyFont="1" applyFill="1" applyBorder="1" applyAlignment="1">
      <alignment horizontal="center" vertical="center" wrapText="1"/>
    </xf>
    <xf numFmtId="37" fontId="19" fillId="26" borderId="18" xfId="43" quotePrefix="1" applyNumberFormat="1" applyFont="1" applyFill="1" applyBorder="1" applyAlignment="1">
      <alignment horizontal="center" vertical="center" wrapText="1"/>
    </xf>
    <xf numFmtId="37" fontId="19" fillId="26" borderId="20" xfId="43" quotePrefix="1" applyNumberFormat="1" applyFont="1" applyFill="1" applyBorder="1" applyAlignment="1">
      <alignment horizontal="center" vertical="center" wrapText="1"/>
    </xf>
    <xf numFmtId="0" fontId="19" fillId="26" borderId="24" xfId="43" applyFont="1" applyFill="1" applyBorder="1" applyAlignment="1">
      <alignment horizontal="center" vertical="center"/>
    </xf>
    <xf numFmtId="0" fontId="19" fillId="26" borderId="25" xfId="43" applyFont="1" applyFill="1" applyBorder="1" applyAlignment="1">
      <alignment horizontal="center" vertical="center"/>
    </xf>
    <xf numFmtId="0" fontId="19" fillId="26" borderId="31" xfId="43" applyFont="1" applyFill="1" applyBorder="1" applyAlignment="1">
      <alignment horizontal="center" vertical="center"/>
    </xf>
    <xf numFmtId="0" fontId="19" fillId="26" borderId="32" xfId="43" applyFont="1" applyFill="1" applyBorder="1" applyAlignment="1">
      <alignment horizontal="center" vertical="center"/>
    </xf>
    <xf numFmtId="0" fontId="15" fillId="33" borderId="80" xfId="43" applyFont="1" applyFill="1" applyBorder="1" applyAlignment="1">
      <alignment horizontal="center"/>
    </xf>
    <xf numFmtId="0" fontId="15" fillId="33" borderId="80" xfId="43" applyFont="1" applyFill="1" applyBorder="1" applyAlignment="1">
      <alignment horizontal="center" vertical="center"/>
    </xf>
    <xf numFmtId="0" fontId="15" fillId="33" borderId="137" xfId="43" applyFont="1" applyFill="1" applyBorder="1" applyAlignment="1">
      <alignment horizontal="center" vertical="center"/>
    </xf>
    <xf numFmtId="164" fontId="6" fillId="33" borderId="25" xfId="43" applyNumberFormat="1" applyFont="1" applyFill="1" applyBorder="1" applyAlignment="1">
      <alignment vertical="center"/>
    </xf>
    <xf numFmtId="0" fontId="60" fillId="33" borderId="25" xfId="43" applyFont="1" applyFill="1" applyBorder="1" applyAlignment="1">
      <alignment vertical="center"/>
    </xf>
    <xf numFmtId="0" fontId="60" fillId="33" borderId="26" xfId="43" applyFont="1" applyFill="1" applyBorder="1" applyAlignment="1">
      <alignment vertical="center"/>
    </xf>
    <xf numFmtId="164" fontId="6" fillId="33" borderId="22" xfId="43" applyNumberFormat="1" applyFont="1" applyFill="1" applyBorder="1" applyAlignment="1">
      <alignment vertical="center"/>
    </xf>
    <xf numFmtId="0" fontId="60" fillId="33" borderId="22" xfId="43" applyFont="1" applyFill="1" applyBorder="1" applyAlignment="1">
      <alignment vertical="center"/>
    </xf>
    <xf numFmtId="164" fontId="5" fillId="32" borderId="18" xfId="43" applyNumberFormat="1" applyFont="1" applyFill="1" applyBorder="1" applyAlignment="1">
      <alignment vertical="center"/>
    </xf>
    <xf numFmtId="0" fontId="63" fillId="32" borderId="18" xfId="43" applyFont="1" applyFill="1" applyBorder="1" applyAlignment="1">
      <alignment vertical="center"/>
    </xf>
    <xf numFmtId="164" fontId="3" fillId="33" borderId="100" xfId="43" applyNumberFormat="1" applyFont="1" applyFill="1" applyBorder="1" applyAlignment="1">
      <alignment vertical="center"/>
    </xf>
    <xf numFmtId="0" fontId="62" fillId="33" borderId="75" xfId="43" applyFont="1" applyFill="1" applyBorder="1" applyAlignment="1">
      <alignment vertical="center"/>
    </xf>
    <xf numFmtId="0" fontId="62" fillId="33" borderId="192" xfId="43" applyFont="1" applyFill="1" applyBorder="1" applyAlignment="1">
      <alignment vertical="center"/>
    </xf>
    <xf numFmtId="164" fontId="3" fillId="33" borderId="40" xfId="43" applyNumberFormat="1" applyFont="1" applyFill="1" applyBorder="1" applyAlignment="1">
      <alignment horizontal="center" vertical="center"/>
    </xf>
    <xf numFmtId="177" fontId="3" fillId="33" borderId="12" xfId="43" applyNumberFormat="1" applyFont="1" applyFill="1" applyBorder="1" applyAlignment="1">
      <alignment horizontal="right" vertical="center"/>
    </xf>
    <xf numFmtId="177" fontId="69" fillId="33" borderId="12" xfId="43" applyNumberFormat="1" applyFont="1" applyFill="1" applyBorder="1" applyAlignment="1">
      <alignment horizontal="right" vertical="center"/>
    </xf>
    <xf numFmtId="177" fontId="69" fillId="33" borderId="108" xfId="43" applyNumberFormat="1" applyFont="1" applyFill="1" applyBorder="1" applyAlignment="1">
      <alignment vertical="center"/>
    </xf>
    <xf numFmtId="177" fontId="69" fillId="33" borderId="173" xfId="43" applyNumberFormat="1" applyFont="1" applyFill="1" applyBorder="1" applyAlignment="1">
      <alignment vertical="center"/>
    </xf>
    <xf numFmtId="180" fontId="19" fillId="26" borderId="141" xfId="43" quotePrefix="1" applyNumberFormat="1" applyFont="1" applyFill="1" applyBorder="1" applyAlignment="1">
      <alignment horizontal="center" vertical="center"/>
    </xf>
    <xf numFmtId="180" fontId="19" fillId="26" borderId="137" xfId="43" applyNumberFormat="1" applyFont="1" applyFill="1" applyBorder="1" applyAlignment="1">
      <alignment horizontal="center" vertical="center"/>
    </xf>
    <xf numFmtId="180" fontId="19" fillId="26" borderId="279" xfId="43" applyNumberFormat="1" applyFont="1" applyFill="1" applyBorder="1" applyAlignment="1">
      <alignment horizontal="center" vertical="center"/>
    </xf>
    <xf numFmtId="37" fontId="3" fillId="33" borderId="289" xfId="43" applyNumberFormat="1" applyFont="1" applyFill="1" applyBorder="1" applyAlignment="1">
      <alignment horizontal="left" vertical="center" wrapText="1" indent="2"/>
    </xf>
    <xf numFmtId="37" fontId="3" fillId="33" borderId="251" xfId="43" applyNumberFormat="1" applyFont="1" applyFill="1" applyBorder="1" applyAlignment="1">
      <alignment horizontal="left" vertical="center" wrapText="1" indent="2"/>
    </xf>
    <xf numFmtId="164" fontId="3" fillId="33" borderId="22" xfId="43" applyNumberFormat="1" applyFont="1" applyFill="1" applyBorder="1" applyAlignment="1">
      <alignment vertical="center"/>
    </xf>
    <xf numFmtId="0" fontId="62" fillId="33" borderId="22" xfId="43" applyFont="1" applyFill="1" applyBorder="1" applyAlignment="1">
      <alignment vertical="center"/>
    </xf>
    <xf numFmtId="37" fontId="19" fillId="26" borderId="32" xfId="43" applyNumberFormat="1" applyFont="1" applyFill="1" applyBorder="1" applyAlignment="1">
      <alignment horizontal="center" vertical="center" wrapText="1"/>
    </xf>
    <xf numFmtId="164" fontId="6" fillId="33" borderId="103" xfId="43" applyNumberFormat="1" applyFont="1" applyFill="1" applyBorder="1" applyAlignment="1">
      <alignment vertical="center"/>
    </xf>
    <xf numFmtId="164" fontId="6" fillId="33" borderId="162" xfId="43" applyNumberFormat="1" applyFont="1" applyFill="1" applyBorder="1" applyAlignment="1">
      <alignment vertical="center"/>
    </xf>
    <xf numFmtId="164" fontId="6" fillId="33" borderId="255" xfId="43" applyNumberFormat="1" applyFont="1" applyFill="1" applyBorder="1" applyAlignment="1">
      <alignment vertical="center"/>
    </xf>
    <xf numFmtId="0" fontId="48" fillId="26" borderId="194" xfId="43" applyFont="1" applyFill="1" applyBorder="1" applyAlignment="1">
      <alignment horizontal="center" vertical="center" textRotation="90" wrapText="1"/>
    </xf>
    <xf numFmtId="0" fontId="67" fillId="0" borderId="195" xfId="0" applyFont="1" applyBorder="1"/>
    <xf numFmtId="0" fontId="67" fillId="0" borderId="103" xfId="0" applyFont="1" applyBorder="1"/>
    <xf numFmtId="0" fontId="67" fillId="0" borderId="255" xfId="0" applyFont="1" applyBorder="1"/>
    <xf numFmtId="0" fontId="19" fillId="26" borderId="194" xfId="43" applyFont="1" applyFill="1" applyBorder="1" applyAlignment="1">
      <alignment horizontal="center" vertical="center" wrapText="1"/>
    </xf>
    <xf numFmtId="0" fontId="58" fillId="0" borderId="193" xfId="43" applyFont="1" applyBorder="1" applyAlignment="1">
      <alignment horizontal="center" vertical="center" wrapText="1"/>
    </xf>
    <xf numFmtId="0" fontId="58" fillId="0" borderId="103" xfId="43" applyFont="1" applyBorder="1" applyAlignment="1">
      <alignment horizontal="center" vertical="center" wrapText="1"/>
    </xf>
    <xf numFmtId="0" fontId="58" fillId="0" borderId="203" xfId="43" applyFont="1" applyBorder="1" applyAlignment="1">
      <alignment horizontal="center" vertical="center" wrapText="1"/>
    </xf>
    <xf numFmtId="0" fontId="63" fillId="33" borderId="172" xfId="43" applyFont="1" applyFill="1" applyBorder="1" applyAlignment="1">
      <alignment horizontal="right" vertical="center"/>
    </xf>
    <xf numFmtId="0" fontId="19" fillId="26" borderId="32" xfId="43" applyFont="1" applyFill="1" applyBorder="1" applyAlignment="1">
      <alignment horizontal="center" vertical="center" wrapText="1"/>
    </xf>
    <xf numFmtId="0" fontId="19" fillId="26" borderId="102" xfId="43" applyFont="1" applyFill="1" applyBorder="1" applyAlignment="1">
      <alignment horizontal="center" vertical="center" wrapText="1"/>
    </xf>
    <xf numFmtId="0" fontId="19" fillId="26" borderId="197" xfId="43" applyFont="1" applyFill="1" applyBorder="1" applyAlignment="1">
      <alignment horizontal="center" vertical="center" wrapText="1"/>
    </xf>
    <xf numFmtId="3" fontId="6" fillId="33" borderId="253" xfId="43" applyNumberFormat="1" applyFont="1" applyFill="1" applyBorder="1" applyAlignment="1">
      <alignment horizontal="right" vertical="center" indent="1"/>
    </xf>
    <xf numFmtId="3" fontId="6" fillId="33" borderId="169" xfId="43" applyNumberFormat="1" applyFont="1" applyFill="1" applyBorder="1" applyAlignment="1">
      <alignment horizontal="right" vertical="center" indent="1"/>
    </xf>
    <xf numFmtId="3" fontId="6" fillId="33" borderId="171" xfId="43" applyNumberFormat="1" applyFont="1" applyFill="1" applyBorder="1" applyAlignment="1">
      <alignment horizontal="right" vertical="center" indent="1"/>
    </xf>
    <xf numFmtId="164" fontId="6" fillId="33" borderId="253" xfId="43" applyNumberFormat="1" applyFont="1" applyFill="1" applyBorder="1" applyAlignment="1">
      <alignment horizontal="right" vertical="center" indent="1"/>
    </xf>
    <xf numFmtId="164" fontId="6" fillId="33" borderId="169" xfId="43" applyNumberFormat="1" applyFont="1" applyFill="1" applyBorder="1" applyAlignment="1">
      <alignment horizontal="right" vertical="center" indent="1"/>
    </xf>
    <xf numFmtId="164" fontId="6" fillId="33" borderId="171" xfId="43" applyNumberFormat="1" applyFont="1" applyFill="1" applyBorder="1" applyAlignment="1">
      <alignment horizontal="right" vertical="center" indent="1"/>
    </xf>
    <xf numFmtId="176" fontId="7" fillId="33" borderId="40" xfId="43" applyNumberFormat="1" applyFont="1" applyFill="1" applyBorder="1" applyAlignment="1">
      <alignment horizontal="left" vertical="center" wrapText="1"/>
    </xf>
    <xf numFmtId="176" fontId="7" fillId="33" borderId="40" xfId="43" applyNumberFormat="1" applyFont="1" applyFill="1" applyBorder="1" applyAlignment="1">
      <alignment horizontal="left" vertical="center"/>
    </xf>
    <xf numFmtId="37" fontId="3" fillId="32" borderId="27" xfId="43" applyNumberFormat="1" applyFont="1" applyFill="1" applyBorder="1" applyAlignment="1">
      <alignment horizontal="left" vertical="center" wrapText="1" indent="2"/>
    </xf>
    <xf numFmtId="0" fontId="62" fillId="32" borderId="28" xfId="43" applyFont="1" applyFill="1" applyBorder="1" applyAlignment="1">
      <alignment horizontal="left" wrapText="1" indent="1"/>
    </xf>
    <xf numFmtId="1" fontId="6" fillId="32" borderId="28" xfId="43" applyNumberFormat="1" applyFont="1" applyFill="1" applyBorder="1" applyAlignment="1">
      <alignment horizontal="center" vertical="center"/>
    </xf>
    <xf numFmtId="37" fontId="8" fillId="26" borderId="72" xfId="43" applyNumberFormat="1" applyFont="1" applyFill="1" applyBorder="1" applyAlignment="1">
      <alignment horizontal="center" vertical="center" wrapText="1"/>
    </xf>
    <xf numFmtId="37" fontId="8" fillId="26" borderId="73" xfId="43" applyNumberFormat="1" applyFont="1" applyFill="1" applyBorder="1" applyAlignment="1">
      <alignment horizontal="center" vertical="center" wrapText="1"/>
    </xf>
    <xf numFmtId="37" fontId="8" fillId="26" borderId="81" xfId="43" applyNumberFormat="1" applyFont="1" applyFill="1" applyBorder="1" applyAlignment="1">
      <alignment horizontal="center" vertical="center" wrapText="1"/>
    </xf>
    <xf numFmtId="164" fontId="6" fillId="33" borderId="288" xfId="43" applyNumberFormat="1" applyFont="1" applyFill="1" applyBorder="1" applyAlignment="1">
      <alignment horizontal="right" vertical="center" indent="1"/>
    </xf>
    <xf numFmtId="164" fontId="6" fillId="33" borderId="241" xfId="43" applyNumberFormat="1" applyFont="1" applyFill="1" applyBorder="1" applyAlignment="1">
      <alignment horizontal="right" vertical="center" indent="1"/>
    </xf>
    <xf numFmtId="164" fontId="3" fillId="33" borderId="26" xfId="43" applyNumberFormat="1" applyFont="1" applyFill="1" applyBorder="1" applyAlignment="1">
      <alignment vertical="center"/>
    </xf>
    <xf numFmtId="164" fontId="6" fillId="33" borderId="272" xfId="43" applyNumberFormat="1" applyFont="1" applyFill="1" applyBorder="1" applyAlignment="1">
      <alignment vertical="center"/>
    </xf>
    <xf numFmtId="0" fontId="60" fillId="33" borderId="272" xfId="43" applyFont="1" applyFill="1" applyBorder="1" applyAlignment="1">
      <alignment vertical="center"/>
    </xf>
    <xf numFmtId="0" fontId="60" fillId="33" borderId="273" xfId="43" applyFont="1" applyFill="1" applyBorder="1" applyAlignment="1">
      <alignment vertical="center"/>
    </xf>
    <xf numFmtId="0" fontId="3" fillId="33" borderId="22" xfId="43" applyFont="1" applyFill="1" applyBorder="1" applyAlignment="1">
      <alignment vertical="center"/>
    </xf>
    <xf numFmtId="0" fontId="3" fillId="33" borderId="23" xfId="43" applyFont="1" applyFill="1" applyBorder="1" applyAlignment="1">
      <alignment vertical="center"/>
    </xf>
    <xf numFmtId="164" fontId="3" fillId="33" borderId="32" xfId="43" applyNumberFormat="1" applyFont="1" applyFill="1" applyBorder="1" applyAlignment="1">
      <alignment vertical="center"/>
    </xf>
    <xf numFmtId="0" fontId="10" fillId="33" borderId="32" xfId="43" applyFill="1" applyBorder="1" applyAlignment="1">
      <alignment vertical="center"/>
    </xf>
    <xf numFmtId="0" fontId="10" fillId="33" borderId="33" xfId="43" applyFill="1" applyBorder="1" applyAlignment="1">
      <alignment vertical="center"/>
    </xf>
    <xf numFmtId="164" fontId="3" fillId="32" borderId="28" xfId="43" applyNumberFormat="1" applyFont="1" applyFill="1" applyBorder="1" applyAlignment="1">
      <alignment vertical="center"/>
    </xf>
    <xf numFmtId="0" fontId="62" fillId="32" borderId="28" xfId="43" applyFont="1" applyFill="1" applyBorder="1" applyAlignment="1">
      <alignment vertical="center"/>
    </xf>
    <xf numFmtId="0" fontId="62" fillId="32" borderId="29" xfId="43" applyFont="1" applyFill="1" applyBorder="1" applyAlignment="1">
      <alignment vertical="center"/>
    </xf>
    <xf numFmtId="164" fontId="3" fillId="32" borderId="0" xfId="43" applyNumberFormat="1" applyFont="1" applyFill="1" applyBorder="1" applyAlignment="1">
      <alignment vertical="center"/>
    </xf>
    <xf numFmtId="0" fontId="62" fillId="32" borderId="0" xfId="43" applyFont="1" applyFill="1" applyBorder="1" applyAlignment="1">
      <alignment vertical="center"/>
    </xf>
    <xf numFmtId="164" fontId="22" fillId="33" borderId="25" xfId="43" applyNumberFormat="1" applyFont="1" applyFill="1" applyBorder="1" applyAlignment="1">
      <alignment vertical="center"/>
    </xf>
    <xf numFmtId="164" fontId="7" fillId="33" borderId="72" xfId="43" applyNumberFormat="1" applyFont="1" applyFill="1" applyBorder="1" applyAlignment="1">
      <alignment horizontal="center" vertical="center"/>
    </xf>
    <xf numFmtId="164" fontId="7" fillId="33" borderId="242" xfId="43" applyNumberFormat="1" applyFont="1" applyFill="1" applyBorder="1" applyAlignment="1">
      <alignment horizontal="center" vertical="center"/>
    </xf>
    <xf numFmtId="37" fontId="19" fillId="26" borderId="33" xfId="43" applyNumberFormat="1" applyFont="1" applyFill="1" applyBorder="1" applyAlignment="1">
      <alignment horizontal="center" vertical="center" wrapText="1"/>
    </xf>
    <xf numFmtId="164" fontId="6" fillId="33" borderId="100" xfId="43" applyNumberFormat="1" applyFont="1" applyFill="1" applyBorder="1" applyAlignment="1">
      <alignment vertical="center"/>
    </xf>
    <xf numFmtId="164" fontId="6" fillId="33" borderId="75" xfId="43" applyNumberFormat="1" applyFont="1" applyFill="1" applyBorder="1" applyAlignment="1">
      <alignment vertical="center"/>
    </xf>
    <xf numFmtId="164" fontId="6" fillId="33" borderId="192" xfId="43" applyNumberFormat="1" applyFont="1" applyFill="1" applyBorder="1" applyAlignment="1">
      <alignment vertical="center"/>
    </xf>
    <xf numFmtId="164" fontId="3" fillId="33" borderId="272" xfId="43" applyNumberFormat="1" applyFont="1" applyFill="1" applyBorder="1" applyAlignment="1">
      <alignment vertical="center"/>
    </xf>
    <xf numFmtId="0" fontId="3" fillId="33" borderId="272" xfId="43" applyFont="1" applyFill="1" applyBorder="1" applyAlignment="1">
      <alignment vertical="center"/>
    </xf>
    <xf numFmtId="0" fontId="3" fillId="33" borderId="273" xfId="43" applyFont="1" applyFill="1" applyBorder="1" applyAlignment="1">
      <alignment vertical="center"/>
    </xf>
    <xf numFmtId="164" fontId="6" fillId="33" borderId="339" xfId="43" applyNumberFormat="1" applyFont="1" applyFill="1" applyBorder="1" applyAlignment="1">
      <alignment vertical="center"/>
    </xf>
    <xf numFmtId="0" fontId="60" fillId="33" borderId="339" xfId="43" applyFont="1" applyFill="1" applyBorder="1" applyAlignment="1">
      <alignment vertical="center"/>
    </xf>
    <xf numFmtId="0" fontId="60" fillId="33" borderId="23" xfId="43" applyFont="1" applyFill="1" applyBorder="1" applyAlignment="1">
      <alignment vertical="center"/>
    </xf>
    <xf numFmtId="164" fontId="6" fillId="33" borderId="351" xfId="43" applyNumberFormat="1" applyFont="1" applyFill="1" applyBorder="1" applyAlignment="1">
      <alignment vertical="center"/>
    </xf>
    <xf numFmtId="0" fontId="60" fillId="33" borderId="351" xfId="43" applyFont="1" applyFill="1" applyBorder="1" applyAlignment="1">
      <alignment vertical="center"/>
    </xf>
    <xf numFmtId="0" fontId="8" fillId="26" borderId="141" xfId="43" quotePrefix="1" applyFont="1" applyFill="1" applyBorder="1" applyAlignment="1">
      <alignment horizontal="center" vertical="center"/>
    </xf>
    <xf numFmtId="0" fontId="8" fillId="26" borderId="137" xfId="43" applyFont="1" applyFill="1" applyBorder="1" applyAlignment="1">
      <alignment horizontal="center" vertical="center"/>
    </xf>
    <xf numFmtId="0" fontId="8" fillId="26" borderId="279" xfId="43" applyFont="1" applyFill="1" applyBorder="1" applyAlignment="1">
      <alignment horizontal="center" vertical="center"/>
    </xf>
    <xf numFmtId="0" fontId="22" fillId="33" borderId="34" xfId="43" applyFont="1" applyFill="1" applyBorder="1" applyAlignment="1">
      <alignment horizontal="left" vertical="center" indent="1"/>
    </xf>
    <xf numFmtId="0" fontId="22" fillId="33" borderId="35" xfId="43" applyFont="1" applyFill="1" applyBorder="1" applyAlignment="1">
      <alignment horizontal="left" vertical="center" indent="1"/>
    </xf>
    <xf numFmtId="0" fontId="20" fillId="26" borderId="32" xfId="43" applyFont="1" applyFill="1" applyBorder="1" applyAlignment="1">
      <alignment horizontal="center" vertical="center" wrapText="1"/>
    </xf>
    <xf numFmtId="0" fontId="3" fillId="33" borderId="137" xfId="43" applyFont="1" applyFill="1" applyBorder="1" applyAlignment="1">
      <alignment horizontal="center" vertical="center"/>
    </xf>
    <xf numFmtId="0" fontId="3" fillId="33" borderId="279" xfId="43" applyFont="1" applyFill="1" applyBorder="1" applyAlignment="1">
      <alignment horizontal="center" vertical="center"/>
    </xf>
    <xf numFmtId="0" fontId="22" fillId="33" borderId="25" xfId="43" applyFont="1" applyFill="1" applyBorder="1" applyAlignment="1">
      <alignment horizontal="center" vertical="center"/>
    </xf>
    <xf numFmtId="14" fontId="22" fillId="33" borderId="25" xfId="43" applyNumberFormat="1" applyFont="1" applyFill="1" applyBorder="1" applyAlignment="1">
      <alignment horizontal="center" vertical="center"/>
    </xf>
    <xf numFmtId="0" fontId="5" fillId="33" borderId="143" xfId="43" applyFont="1" applyFill="1" applyBorder="1" applyAlignment="1">
      <alignment horizontal="left" vertical="center"/>
    </xf>
    <xf numFmtId="0" fontId="5" fillId="33" borderId="139" xfId="43" applyFont="1" applyFill="1" applyBorder="1" applyAlignment="1">
      <alignment horizontal="left" vertical="center"/>
    </xf>
    <xf numFmtId="0" fontId="5" fillId="33" borderId="75" xfId="43" applyFont="1" applyFill="1" applyBorder="1" applyAlignment="1">
      <alignment horizontal="left" vertical="center"/>
    </xf>
    <xf numFmtId="0" fontId="5" fillId="33" borderId="192" xfId="43" applyFont="1" applyFill="1" applyBorder="1" applyAlignment="1">
      <alignment horizontal="left" vertical="center"/>
    </xf>
    <xf numFmtId="164" fontId="22" fillId="33" borderId="35" xfId="43" applyNumberFormat="1" applyFont="1" applyFill="1" applyBorder="1" applyAlignment="1">
      <alignment vertical="center"/>
    </xf>
    <xf numFmtId="0" fontId="3" fillId="32" borderId="75" xfId="0" applyFont="1" applyFill="1" applyBorder="1" applyAlignment="1">
      <alignment horizontal="center" vertical="center"/>
    </xf>
    <xf numFmtId="164" fontId="64" fillId="33" borderId="25" xfId="43" applyNumberFormat="1" applyFont="1" applyFill="1" applyBorder="1" applyAlignment="1">
      <alignment vertical="center"/>
    </xf>
    <xf numFmtId="37" fontId="19" fillId="26" borderId="72" xfId="43" applyNumberFormat="1" applyFont="1" applyFill="1" applyBorder="1" applyAlignment="1">
      <alignment horizontal="center" vertical="center"/>
    </xf>
    <xf numFmtId="37" fontId="19" fillId="26" borderId="73" xfId="43" applyNumberFormat="1" applyFont="1" applyFill="1" applyBorder="1" applyAlignment="1">
      <alignment horizontal="center" vertical="center"/>
    </xf>
    <xf numFmtId="37" fontId="3" fillId="33" borderId="141" xfId="43" quotePrefix="1" applyNumberFormat="1" applyFont="1" applyFill="1" applyBorder="1" applyAlignment="1">
      <alignment horizontal="left" vertical="center" wrapText="1" indent="2"/>
    </xf>
    <xf numFmtId="37" fontId="3" fillId="33" borderId="137" xfId="43" quotePrefix="1" applyNumberFormat="1" applyFont="1" applyFill="1" applyBorder="1" applyAlignment="1">
      <alignment horizontal="left" vertical="center" wrapText="1" indent="2"/>
    </xf>
    <xf numFmtId="37" fontId="3" fillId="33" borderId="191" xfId="43" quotePrefix="1" applyNumberFormat="1" applyFont="1" applyFill="1" applyBorder="1" applyAlignment="1">
      <alignment horizontal="left" vertical="center" wrapText="1" indent="2"/>
    </xf>
    <xf numFmtId="0" fontId="7" fillId="33" borderId="11" xfId="43" applyFont="1" applyFill="1" applyBorder="1" applyAlignment="1">
      <alignment horizontal="center" vertical="center"/>
    </xf>
    <xf numFmtId="0" fontId="7" fillId="33" borderId="12" xfId="43" applyFont="1" applyFill="1" applyBorder="1" applyAlignment="1">
      <alignment horizontal="center" vertical="center"/>
    </xf>
    <xf numFmtId="0" fontId="7" fillId="0" borderId="64" xfId="43" applyFont="1" applyBorder="1" applyAlignment="1">
      <alignment horizontal="center" vertical="center"/>
    </xf>
    <xf numFmtId="0" fontId="3" fillId="0" borderId="73" xfId="43" applyFont="1" applyBorder="1" applyAlignment="1">
      <alignment horizontal="center"/>
    </xf>
    <xf numFmtId="177" fontId="3" fillId="0" borderId="73" xfId="43" applyNumberFormat="1" applyFont="1" applyBorder="1" applyAlignment="1">
      <alignment horizontal="right" vertical="center"/>
    </xf>
    <xf numFmtId="0" fontId="7" fillId="0" borderId="63" xfId="43" applyFont="1" applyBorder="1" applyAlignment="1">
      <alignment horizontal="center" vertical="center"/>
    </xf>
    <xf numFmtId="176" fontId="7" fillId="33" borderId="108" xfId="43" applyNumberFormat="1" applyFont="1" applyFill="1" applyBorder="1" applyAlignment="1">
      <alignment horizontal="left" vertical="center"/>
    </xf>
    <xf numFmtId="176" fontId="7" fillId="33" borderId="169" xfId="43" applyNumberFormat="1" applyFont="1" applyFill="1" applyBorder="1" applyAlignment="1">
      <alignment horizontal="left" vertical="center"/>
    </xf>
    <xf numFmtId="176" fontId="7" fillId="33" borderId="173" xfId="43" applyNumberFormat="1" applyFont="1" applyFill="1" applyBorder="1" applyAlignment="1">
      <alignment horizontal="left" vertical="center"/>
    </xf>
    <xf numFmtId="0" fontId="3" fillId="0" borderId="73" xfId="43" applyFont="1" applyBorder="1" applyAlignment="1">
      <alignment horizontal="center" vertical="center"/>
    </xf>
    <xf numFmtId="1" fontId="3" fillId="32" borderId="285" xfId="0" applyNumberFormat="1" applyFont="1" applyFill="1" applyBorder="1" applyAlignment="1" applyProtection="1">
      <alignment horizontal="center" vertical="top" wrapText="1"/>
    </xf>
    <xf numFmtId="1" fontId="3" fillId="32" borderId="286" xfId="0" applyNumberFormat="1" applyFont="1" applyFill="1" applyBorder="1" applyAlignment="1" applyProtection="1">
      <alignment horizontal="center" vertical="top" wrapText="1"/>
    </xf>
    <xf numFmtId="37" fontId="19" fillId="26" borderId="19" xfId="43" applyNumberFormat="1" applyFont="1" applyFill="1" applyBorder="1" applyAlignment="1">
      <alignment horizontal="center" vertical="center"/>
    </xf>
    <xf numFmtId="37" fontId="19" fillId="26" borderId="242" xfId="43" applyNumberFormat="1" applyFont="1" applyFill="1" applyBorder="1" applyAlignment="1">
      <alignment horizontal="center" vertical="center"/>
    </xf>
    <xf numFmtId="184" fontId="3" fillId="0" borderId="0" xfId="43" applyNumberFormat="1" applyFont="1" applyAlignment="1">
      <alignment horizontal="center"/>
    </xf>
    <xf numFmtId="0" fontId="3" fillId="0" borderId="0" xfId="43" applyFont="1" applyAlignment="1">
      <alignment horizontal="center"/>
    </xf>
    <xf numFmtId="164" fontId="6" fillId="30" borderId="0" xfId="43" applyNumberFormat="1" applyFont="1" applyFill="1" applyBorder="1" applyAlignment="1">
      <alignment vertical="center"/>
    </xf>
    <xf numFmtId="0" fontId="60" fillId="30" borderId="0" xfId="43" applyFont="1" applyFill="1" applyBorder="1" applyAlignment="1">
      <alignment vertical="center"/>
    </xf>
    <xf numFmtId="0" fontId="22" fillId="33" borderId="24" xfId="43" applyFont="1" applyFill="1" applyBorder="1" applyAlignment="1">
      <alignment horizontal="left" vertical="center" indent="1"/>
    </xf>
    <xf numFmtId="0" fontId="22" fillId="33" borderId="25" xfId="43" applyFont="1" applyFill="1" applyBorder="1" applyAlignment="1">
      <alignment horizontal="left" vertical="center" indent="1"/>
    </xf>
    <xf numFmtId="37" fontId="21" fillId="26" borderId="18" xfId="43" applyNumberFormat="1" applyFont="1" applyFill="1" applyBorder="1" applyAlignment="1">
      <alignment horizontal="center" vertical="center" wrapText="1"/>
    </xf>
    <xf numFmtId="37" fontId="21" fillId="26" borderId="20" xfId="43" applyNumberFormat="1" applyFont="1" applyFill="1" applyBorder="1" applyAlignment="1">
      <alignment horizontal="center" vertical="center" wrapText="1"/>
    </xf>
    <xf numFmtId="164" fontId="3" fillId="0" borderId="102" xfId="43" applyNumberFormat="1" applyFont="1" applyBorder="1" applyAlignment="1">
      <alignment vertical="center"/>
    </xf>
    <xf numFmtId="0" fontId="62" fillId="0" borderId="76" xfId="43" applyFont="1" applyBorder="1" applyAlignment="1">
      <alignment vertical="center"/>
    </xf>
    <xf numFmtId="0" fontId="62" fillId="0" borderId="197" xfId="43" applyFont="1" applyBorder="1" applyAlignment="1">
      <alignment vertical="center"/>
    </xf>
    <xf numFmtId="37" fontId="8" fillId="26" borderId="21" xfId="43" applyNumberFormat="1" applyFont="1" applyFill="1" applyBorder="1" applyAlignment="1">
      <alignment horizontal="center" vertical="center"/>
    </xf>
    <xf numFmtId="37" fontId="8" fillId="26" borderId="22" xfId="43" applyNumberFormat="1" applyFont="1" applyFill="1" applyBorder="1" applyAlignment="1">
      <alignment horizontal="center" vertical="center"/>
    </xf>
    <xf numFmtId="37" fontId="8" fillId="26" borderId="31" xfId="43" applyNumberFormat="1" applyFont="1" applyFill="1" applyBorder="1" applyAlignment="1">
      <alignment horizontal="center" vertical="center"/>
    </xf>
    <xf numFmtId="37" fontId="8" fillId="26" borderId="32" xfId="43" applyNumberFormat="1" applyFont="1" applyFill="1" applyBorder="1" applyAlignment="1">
      <alignment horizontal="center" vertical="center"/>
    </xf>
    <xf numFmtId="0" fontId="19" fillId="26" borderId="35" xfId="43" applyFont="1" applyFill="1" applyBorder="1" applyAlignment="1">
      <alignment horizontal="center" vertical="center" textRotation="90" wrapText="1"/>
    </xf>
    <xf numFmtId="0" fontId="8" fillId="26" borderId="30" xfId="43" applyFont="1" applyFill="1" applyBorder="1" applyAlignment="1">
      <alignment horizontal="center" vertical="center" wrapText="1"/>
    </xf>
    <xf numFmtId="0" fontId="8" fillId="26" borderId="18" xfId="43" applyFont="1" applyFill="1" applyBorder="1" applyAlignment="1">
      <alignment horizontal="center" vertical="center" wrapText="1"/>
    </xf>
    <xf numFmtId="37" fontId="6" fillId="33" borderId="31" xfId="43" applyNumberFormat="1" applyFont="1" applyFill="1" applyBorder="1" applyAlignment="1">
      <alignment horizontal="left" vertical="center" wrapText="1" indent="1"/>
    </xf>
    <xf numFmtId="37" fontId="6" fillId="33" borderId="32" xfId="43" applyNumberFormat="1" applyFont="1" applyFill="1" applyBorder="1" applyAlignment="1">
      <alignment horizontal="left" vertical="center" wrapText="1" indent="1"/>
    </xf>
    <xf numFmtId="164" fontId="6" fillId="33" borderId="138" xfId="43" applyNumberFormat="1" applyFont="1" applyFill="1" applyBorder="1" applyAlignment="1">
      <alignment vertical="center"/>
    </xf>
    <xf numFmtId="164" fontId="5" fillId="32" borderId="347" xfId="43" applyNumberFormat="1" applyFont="1" applyFill="1" applyBorder="1" applyAlignment="1">
      <alignment vertical="center"/>
    </xf>
    <xf numFmtId="0" fontId="63" fillId="32" borderId="347" xfId="43" applyFont="1" applyFill="1" applyBorder="1" applyAlignment="1">
      <alignment vertical="center"/>
    </xf>
    <xf numFmtId="177" fontId="3" fillId="33" borderId="43" xfId="43" applyNumberFormat="1" applyFont="1" applyFill="1" applyBorder="1" applyAlignment="1">
      <alignment horizontal="right" vertical="center"/>
    </xf>
    <xf numFmtId="177" fontId="69" fillId="33" borderId="73" xfId="43" applyNumberFormat="1" applyFont="1" applyFill="1" applyBorder="1" applyAlignment="1">
      <alignment horizontal="right" vertical="center"/>
    </xf>
    <xf numFmtId="177" fontId="69" fillId="33" borderId="242" xfId="43" applyNumberFormat="1" applyFont="1" applyFill="1" applyBorder="1" applyAlignment="1">
      <alignment horizontal="right" vertical="center"/>
    </xf>
    <xf numFmtId="177" fontId="69" fillId="33" borderId="41" xfId="43" applyNumberFormat="1" applyFont="1" applyFill="1" applyBorder="1" applyAlignment="1">
      <alignment horizontal="right" vertical="center"/>
    </xf>
    <xf numFmtId="177" fontId="69" fillId="33" borderId="43" xfId="43" applyNumberFormat="1" applyFont="1" applyFill="1" applyBorder="1" applyAlignment="1">
      <alignment horizontal="right" vertical="center"/>
    </xf>
    <xf numFmtId="177" fontId="3" fillId="33" borderId="41" xfId="43" applyNumberFormat="1" applyFont="1" applyFill="1" applyBorder="1" applyAlignment="1">
      <alignment horizontal="right" vertical="center"/>
    </xf>
    <xf numFmtId="37" fontId="19" fillId="26" borderId="65" xfId="43" applyNumberFormat="1" applyFont="1" applyFill="1" applyBorder="1" applyAlignment="1">
      <alignment horizontal="center" vertical="center" wrapText="1"/>
    </xf>
    <xf numFmtId="177" fontId="3" fillId="0" borderId="242" xfId="43" applyNumberFormat="1" applyFont="1" applyBorder="1" applyAlignment="1">
      <alignment horizontal="right" vertical="center"/>
    </xf>
    <xf numFmtId="177" fontId="69" fillId="33" borderId="80" xfId="43" applyNumberFormat="1" applyFont="1" applyFill="1" applyBorder="1" applyAlignment="1">
      <alignment horizontal="center" vertical="center"/>
    </xf>
    <xf numFmtId="177" fontId="69" fillId="33" borderId="287" xfId="43" applyNumberFormat="1" applyFont="1" applyFill="1" applyBorder="1" applyAlignment="1">
      <alignment horizontal="center" vertical="center"/>
    </xf>
    <xf numFmtId="177" fontId="69" fillId="33" borderId="32" xfId="43" applyNumberFormat="1" applyFont="1" applyFill="1" applyBorder="1" applyAlignment="1">
      <alignment horizontal="center" vertical="center"/>
    </xf>
    <xf numFmtId="177" fontId="69" fillId="33" borderId="33" xfId="43" applyNumberFormat="1" applyFont="1" applyFill="1" applyBorder="1" applyAlignment="1">
      <alignment horizontal="center" vertical="center"/>
    </xf>
    <xf numFmtId="177" fontId="69" fillId="33" borderId="22" xfId="43" applyNumberFormat="1" applyFont="1" applyFill="1" applyBorder="1" applyAlignment="1">
      <alignment horizontal="center" vertical="center"/>
    </xf>
    <xf numFmtId="177" fontId="69" fillId="33" borderId="23" xfId="43" applyNumberFormat="1" applyFont="1" applyFill="1" applyBorder="1" applyAlignment="1">
      <alignment horizontal="center" vertical="center"/>
    </xf>
    <xf numFmtId="37" fontId="3" fillId="33" borderId="24" xfId="43" applyNumberFormat="1" applyFont="1" applyFill="1" applyBorder="1" applyAlignment="1">
      <alignment horizontal="left" vertical="center" wrapText="1" indent="2"/>
    </xf>
    <xf numFmtId="37" fontId="3" fillId="33" borderId="25" xfId="43" applyNumberFormat="1" applyFont="1" applyFill="1" applyBorder="1" applyAlignment="1">
      <alignment horizontal="left" vertical="center" wrapText="1" indent="2"/>
    </xf>
    <xf numFmtId="37" fontId="9" fillId="33" borderId="292" xfId="43" applyNumberFormat="1" applyFont="1" applyFill="1" applyBorder="1" applyAlignment="1">
      <alignment horizontal="left" vertical="center" wrapText="1" indent="2"/>
    </xf>
    <xf numFmtId="0" fontId="62" fillId="33" borderId="293" xfId="43" applyFont="1" applyFill="1" applyBorder="1" applyAlignment="1">
      <alignment horizontal="left" wrapText="1" indent="1"/>
    </xf>
    <xf numFmtId="37" fontId="3" fillId="33" borderId="21" xfId="43" applyNumberFormat="1" applyFont="1" applyFill="1" applyBorder="1" applyAlignment="1">
      <alignment horizontal="left" vertical="center" wrapText="1" indent="2"/>
    </xf>
    <xf numFmtId="37" fontId="3" fillId="33" borderId="22" xfId="43" applyNumberFormat="1" applyFont="1" applyFill="1" applyBorder="1" applyAlignment="1">
      <alignment horizontal="left" vertical="center" wrapText="1" indent="2"/>
    </xf>
    <xf numFmtId="164" fontId="5" fillId="32" borderId="19" xfId="43" applyNumberFormat="1" applyFont="1" applyFill="1" applyBorder="1" applyAlignment="1">
      <alignment horizontal="right" vertical="center"/>
    </xf>
    <xf numFmtId="164" fontId="5" fillId="32" borderId="73" xfId="43" applyNumberFormat="1" applyFont="1" applyFill="1" applyBorder="1" applyAlignment="1">
      <alignment horizontal="right" vertical="center"/>
    </xf>
    <xf numFmtId="0" fontId="63" fillId="32" borderId="172" xfId="43" applyFont="1" applyFill="1" applyBorder="1" applyAlignment="1">
      <alignment horizontal="right" vertical="center"/>
    </xf>
    <xf numFmtId="177" fontId="70" fillId="33" borderId="12" xfId="43" applyNumberFormat="1" applyFont="1" applyFill="1" applyBorder="1" applyAlignment="1">
      <alignment horizontal="right" vertical="center"/>
    </xf>
    <xf numFmtId="164" fontId="3" fillId="33" borderId="14" xfId="43" applyNumberFormat="1" applyFont="1" applyFill="1" applyBorder="1" applyAlignment="1">
      <alignment horizontal="center" vertical="center"/>
    </xf>
    <xf numFmtId="177" fontId="70" fillId="33" borderId="14" xfId="43" applyNumberFormat="1" applyFont="1" applyFill="1" applyBorder="1" applyAlignment="1">
      <alignment horizontal="right" vertical="center"/>
    </xf>
    <xf numFmtId="176" fontId="7" fillId="33" borderId="14" xfId="43" applyNumberFormat="1" applyFont="1" applyFill="1" applyBorder="1" applyAlignment="1">
      <alignment horizontal="left" vertical="center"/>
    </xf>
    <xf numFmtId="164" fontId="3" fillId="33" borderId="73" xfId="43" applyNumberFormat="1" applyFont="1" applyFill="1" applyBorder="1" applyAlignment="1">
      <alignment horizontal="center" vertical="center"/>
    </xf>
    <xf numFmtId="164" fontId="6" fillId="33" borderId="28" xfId="43" applyNumberFormat="1" applyFont="1" applyFill="1" applyBorder="1" applyAlignment="1">
      <alignment vertical="center"/>
    </xf>
    <xf numFmtId="0" fontId="60" fillId="33" borderId="28" xfId="43" applyFont="1" applyFill="1" applyBorder="1" applyAlignment="1">
      <alignment vertical="center"/>
    </xf>
    <xf numFmtId="1" fontId="6" fillId="33" borderId="28" xfId="43" applyNumberFormat="1" applyFont="1" applyFill="1" applyBorder="1" applyAlignment="1">
      <alignment horizontal="center" vertical="center"/>
    </xf>
    <xf numFmtId="179" fontId="3" fillId="0" borderId="0" xfId="33" applyNumberFormat="1" applyFont="1" applyAlignment="1">
      <alignment horizontal="center"/>
    </xf>
    <xf numFmtId="37" fontId="19" fillId="26" borderId="20" xfId="43" applyNumberFormat="1" applyFont="1" applyFill="1" applyBorder="1" applyAlignment="1">
      <alignment horizontal="center" vertical="center" wrapText="1"/>
    </xf>
    <xf numFmtId="37" fontId="5" fillId="33" borderId="19" xfId="43" applyNumberFormat="1" applyFont="1" applyFill="1" applyBorder="1" applyAlignment="1">
      <alignment vertical="center"/>
    </xf>
    <xf numFmtId="37" fontId="5" fillId="33" borderId="73" xfId="43" applyNumberFormat="1" applyFont="1" applyFill="1" applyBorder="1" applyAlignment="1">
      <alignment vertical="center"/>
    </xf>
    <xf numFmtId="37" fontId="5" fillId="33" borderId="242" xfId="43" applyNumberFormat="1" applyFont="1" applyFill="1" applyBorder="1" applyAlignment="1">
      <alignment vertical="center"/>
    </xf>
    <xf numFmtId="37" fontId="3" fillId="33" borderId="254" xfId="43" applyNumberFormat="1" applyFont="1" applyFill="1" applyBorder="1" applyAlignment="1">
      <alignment vertical="center"/>
    </xf>
    <xf numFmtId="37" fontId="3" fillId="33" borderId="290" xfId="43" applyNumberFormat="1" applyFont="1" applyFill="1" applyBorder="1" applyAlignment="1">
      <alignment vertical="center"/>
    </xf>
    <xf numFmtId="37" fontId="101" fillId="33" borderId="254" xfId="43" applyNumberFormat="1" applyFont="1" applyFill="1" applyBorder="1" applyAlignment="1">
      <alignment vertical="center"/>
    </xf>
    <xf numFmtId="37" fontId="3" fillId="33" borderId="251" xfId="43" applyNumberFormat="1" applyFont="1" applyFill="1" applyBorder="1" applyAlignment="1">
      <alignment vertical="center"/>
    </xf>
    <xf numFmtId="37" fontId="3" fillId="33" borderId="291" xfId="43" applyNumberFormat="1" applyFont="1" applyFill="1" applyBorder="1" applyAlignment="1">
      <alignment vertical="center"/>
    </xf>
    <xf numFmtId="164" fontId="5" fillId="0" borderId="18" xfId="43" applyNumberFormat="1" applyFont="1" applyFill="1" applyBorder="1" applyAlignment="1">
      <alignment vertical="center"/>
    </xf>
    <xf numFmtId="164" fontId="6" fillId="32" borderId="28" xfId="43" applyNumberFormat="1" applyFont="1" applyFill="1" applyBorder="1" applyAlignment="1">
      <alignment vertical="center"/>
    </xf>
    <xf numFmtId="0" fontId="60" fillId="32" borderId="28" xfId="43" applyFont="1" applyFill="1" applyBorder="1" applyAlignment="1">
      <alignment vertical="center"/>
    </xf>
    <xf numFmtId="37" fontId="3" fillId="0" borderId="321" xfId="43" quotePrefix="1" applyNumberFormat="1" applyFont="1" applyBorder="1" applyAlignment="1">
      <alignment horizontal="center" vertical="center"/>
    </xf>
    <xf numFmtId="37" fontId="3" fillId="0" borderId="80" xfId="43" quotePrefix="1" applyNumberFormat="1" applyFont="1" applyBorder="1" applyAlignment="1">
      <alignment horizontal="center" vertical="center"/>
    </xf>
    <xf numFmtId="37" fontId="3" fillId="0" borderId="174" xfId="43" quotePrefix="1" applyNumberFormat="1" applyFont="1" applyBorder="1" applyAlignment="1">
      <alignment horizontal="center" vertical="center"/>
    </xf>
    <xf numFmtId="37" fontId="3" fillId="0" borderId="13" xfId="43" applyNumberFormat="1" applyFont="1" applyFill="1" applyBorder="1" applyAlignment="1">
      <alignment horizontal="left" vertical="center" indent="1"/>
    </xf>
    <xf numFmtId="37" fontId="3" fillId="0" borderId="14" xfId="43" applyNumberFormat="1" applyFont="1" applyFill="1" applyBorder="1" applyAlignment="1">
      <alignment horizontal="left" vertical="center" indent="1"/>
    </xf>
    <xf numFmtId="37" fontId="3" fillId="0" borderId="40" xfId="43" applyNumberFormat="1" applyFont="1" applyBorder="1" applyAlignment="1">
      <alignment horizontal="left" vertical="center" indent="1"/>
    </xf>
    <xf numFmtId="37" fontId="3" fillId="0" borderId="12" xfId="43" quotePrefix="1" applyNumberFormat="1" applyFont="1" applyBorder="1" applyAlignment="1">
      <alignment horizontal="left" vertical="center" indent="1"/>
    </xf>
    <xf numFmtId="164" fontId="6" fillId="0" borderId="14" xfId="43" quotePrefix="1" applyNumberFormat="1" applyFont="1" applyBorder="1" applyAlignment="1">
      <alignment vertical="center"/>
    </xf>
    <xf numFmtId="164" fontId="6" fillId="0" borderId="15" xfId="43" quotePrefix="1" applyNumberFormat="1" applyFont="1" applyBorder="1" applyAlignment="1">
      <alignment vertical="center"/>
    </xf>
    <xf numFmtId="176" fontId="7" fillId="33" borderId="12" xfId="43" applyNumberFormat="1" applyFont="1" applyFill="1" applyBorder="1" applyAlignment="1">
      <alignment horizontal="left" vertical="center"/>
    </xf>
    <xf numFmtId="164" fontId="3" fillId="32" borderId="102" xfId="43" applyNumberFormat="1" applyFont="1" applyFill="1" applyBorder="1" applyAlignment="1">
      <alignment horizontal="right" vertical="center"/>
    </xf>
    <xf numFmtId="164" fontId="3" fillId="32" borderId="76" xfId="43" applyNumberFormat="1" applyFont="1" applyFill="1" applyBorder="1" applyAlignment="1">
      <alignment horizontal="right" vertical="center"/>
    </xf>
    <xf numFmtId="164" fontId="3" fillId="32" borderId="196" xfId="43" applyNumberFormat="1" applyFont="1" applyFill="1" applyBorder="1" applyAlignment="1">
      <alignment horizontal="right" vertical="center"/>
    </xf>
    <xf numFmtId="164" fontId="5" fillId="0" borderId="20" xfId="43" applyNumberFormat="1" applyFont="1" applyFill="1" applyBorder="1" applyAlignment="1">
      <alignment vertical="center"/>
    </xf>
    <xf numFmtId="0" fontId="7" fillId="33" borderId="73" xfId="43" applyFont="1" applyFill="1" applyBorder="1" applyAlignment="1">
      <alignment horizontal="left" vertical="center"/>
    </xf>
    <xf numFmtId="164" fontId="3" fillId="33" borderId="12" xfId="43" applyNumberFormat="1" applyFont="1" applyFill="1" applyBorder="1" applyAlignment="1">
      <alignment horizontal="center" vertical="center"/>
    </xf>
    <xf numFmtId="177" fontId="69" fillId="33" borderId="109" xfId="43" applyNumberFormat="1" applyFont="1" applyFill="1" applyBorder="1" applyAlignment="1">
      <alignment vertical="center"/>
    </xf>
    <xf numFmtId="177" fontId="69" fillId="33" borderId="275" xfId="43" applyNumberFormat="1" applyFont="1" applyFill="1" applyBorder="1" applyAlignment="1">
      <alignment vertical="center"/>
    </xf>
    <xf numFmtId="37" fontId="3" fillId="33" borderId="24" xfId="43" applyNumberFormat="1" applyFont="1" applyFill="1" applyBorder="1" applyAlignment="1">
      <alignment horizontal="left" vertical="center" wrapText="1" indent="1"/>
    </xf>
    <xf numFmtId="37" fontId="3" fillId="33" borderId="25" xfId="43" applyNumberFormat="1" applyFont="1" applyFill="1" applyBorder="1" applyAlignment="1">
      <alignment horizontal="left" vertical="center" wrapText="1" indent="1"/>
    </xf>
    <xf numFmtId="0" fontId="62" fillId="33" borderId="26" xfId="43" applyFont="1" applyFill="1" applyBorder="1" applyAlignment="1">
      <alignment vertical="center"/>
    </xf>
    <xf numFmtId="0" fontId="62" fillId="33" borderId="23" xfId="43" applyFont="1" applyFill="1" applyBorder="1" applyAlignment="1">
      <alignment vertical="center"/>
    </xf>
    <xf numFmtId="164" fontId="3" fillId="33" borderId="109" xfId="43" applyNumberFormat="1" applyFont="1" applyFill="1" applyBorder="1" applyAlignment="1">
      <alignment horizontal="center" vertical="center"/>
    </xf>
    <xf numFmtId="164" fontId="3" fillId="33" borderId="275" xfId="43" applyNumberFormat="1" applyFont="1" applyFill="1" applyBorder="1" applyAlignment="1">
      <alignment horizontal="center" vertical="center"/>
    </xf>
    <xf numFmtId="164" fontId="3" fillId="33" borderId="80" xfId="43" applyNumberFormat="1" applyFont="1" applyFill="1" applyBorder="1" applyAlignment="1">
      <alignment horizontal="center" vertical="center"/>
    </xf>
    <xf numFmtId="37" fontId="8" fillId="26" borderId="30" xfId="43" applyNumberFormat="1" applyFont="1" applyFill="1" applyBorder="1" applyAlignment="1">
      <alignment horizontal="center" vertical="center" wrapText="1"/>
    </xf>
    <xf numFmtId="37" fontId="8" fillId="26" borderId="18" xfId="43" applyNumberFormat="1" applyFont="1" applyFill="1" applyBorder="1" applyAlignment="1">
      <alignment horizontal="center" vertical="center"/>
    </xf>
    <xf numFmtId="37" fontId="3" fillId="0" borderId="164" xfId="43" quotePrefix="1" applyNumberFormat="1" applyFont="1" applyBorder="1" applyAlignment="1">
      <alignment horizontal="center" vertical="center"/>
    </xf>
    <xf numFmtId="37" fontId="3" fillId="0" borderId="163" xfId="43" quotePrefix="1" applyNumberFormat="1" applyFont="1" applyBorder="1" applyAlignment="1">
      <alignment horizontal="center" vertical="center"/>
    </xf>
    <xf numFmtId="37" fontId="3" fillId="0" borderId="188" xfId="43" quotePrefix="1" applyNumberFormat="1" applyFont="1" applyBorder="1" applyAlignment="1">
      <alignment horizontal="center" vertical="center"/>
    </xf>
    <xf numFmtId="37" fontId="3" fillId="0" borderId="14" xfId="43" applyNumberFormat="1" applyFont="1" applyBorder="1" applyAlignment="1">
      <alignment horizontal="left" vertical="center" indent="1"/>
    </xf>
    <xf numFmtId="177" fontId="69" fillId="33" borderId="108" xfId="43" applyNumberFormat="1" applyFont="1" applyFill="1" applyBorder="1" applyAlignment="1">
      <alignment horizontal="right" vertical="center"/>
    </xf>
    <xf numFmtId="177" fontId="69" fillId="33" borderId="173" xfId="43" applyNumberFormat="1" applyFont="1" applyFill="1" applyBorder="1" applyAlignment="1">
      <alignment horizontal="right" vertical="center"/>
    </xf>
    <xf numFmtId="177" fontId="69" fillId="33" borderId="109" xfId="43" applyNumberFormat="1" applyFont="1" applyFill="1" applyBorder="1" applyAlignment="1">
      <alignment horizontal="right" vertical="center"/>
    </xf>
    <xf numFmtId="177" fontId="69" fillId="33" borderId="275" xfId="43" applyNumberFormat="1" applyFont="1" applyFill="1" applyBorder="1" applyAlignment="1">
      <alignment horizontal="right" vertical="center"/>
    </xf>
    <xf numFmtId="164" fontId="6" fillId="0" borderId="40" xfId="43" quotePrefix="1" applyNumberFormat="1" applyFont="1" applyBorder="1" applyAlignment="1">
      <alignment vertical="center"/>
    </xf>
    <xf numFmtId="164" fontId="6" fillId="0" borderId="43" xfId="43" quotePrefix="1" applyNumberFormat="1" applyFont="1" applyBorder="1" applyAlignment="1">
      <alignment vertical="center"/>
    </xf>
    <xf numFmtId="37" fontId="3" fillId="0" borderId="96" xfId="43" quotePrefix="1" applyNumberFormat="1" applyFont="1" applyBorder="1" applyAlignment="1">
      <alignment horizontal="center" vertical="center"/>
    </xf>
    <xf numFmtId="37" fontId="3" fillId="0" borderId="94" xfId="43" quotePrefix="1" applyNumberFormat="1" applyFont="1" applyBorder="1" applyAlignment="1">
      <alignment horizontal="center" vertical="center"/>
    </xf>
    <xf numFmtId="37" fontId="3" fillId="0" borderId="95" xfId="43" quotePrefix="1" applyNumberFormat="1" applyFont="1" applyBorder="1" applyAlignment="1">
      <alignment horizontal="center" vertical="center"/>
    </xf>
    <xf numFmtId="37" fontId="7" fillId="0" borderId="72" xfId="43" applyNumberFormat="1" applyFont="1" applyFill="1" applyBorder="1" applyAlignment="1">
      <alignment horizontal="left" vertical="center" indent="2"/>
    </xf>
    <xf numFmtId="37" fontId="7" fillId="0" borderId="73" xfId="43" applyNumberFormat="1" applyFont="1" applyFill="1" applyBorder="1" applyAlignment="1">
      <alignment horizontal="left" vertical="center" indent="2"/>
    </xf>
    <xf numFmtId="0" fontId="99" fillId="0" borderId="281" xfId="0" applyFont="1" applyBorder="1" applyAlignment="1">
      <alignment horizontal="center"/>
    </xf>
    <xf numFmtId="14" fontId="99" fillId="0" borderId="281" xfId="0" applyNumberFormat="1" applyFont="1" applyBorder="1" applyAlignment="1">
      <alignment horizontal="center"/>
    </xf>
    <xf numFmtId="14" fontId="99" fillId="0" borderId="282" xfId="0" applyNumberFormat="1" applyFont="1" applyBorder="1" applyAlignment="1">
      <alignment horizontal="center"/>
    </xf>
    <xf numFmtId="14" fontId="22" fillId="33" borderId="318" xfId="43" applyNumberFormat="1" applyFont="1" applyFill="1" applyBorder="1" applyAlignment="1">
      <alignment horizontal="center" vertical="center"/>
    </xf>
    <xf numFmtId="14" fontId="22" fillId="33" borderId="319" xfId="43" applyNumberFormat="1" applyFont="1" applyFill="1" applyBorder="1" applyAlignment="1">
      <alignment horizontal="center" vertical="center"/>
    </xf>
    <xf numFmtId="0" fontId="99" fillId="0" borderId="282" xfId="0" applyFont="1" applyBorder="1" applyAlignment="1">
      <alignment horizontal="center"/>
    </xf>
    <xf numFmtId="37" fontId="8" fillId="26" borderId="36" xfId="43" applyNumberFormat="1" applyFont="1" applyFill="1" applyBorder="1" applyAlignment="1">
      <alignment horizontal="center" vertical="center" wrapText="1"/>
    </xf>
    <xf numFmtId="37" fontId="13" fillId="32" borderId="72" xfId="43" applyNumberFormat="1" applyFont="1" applyFill="1" applyBorder="1" applyAlignment="1">
      <alignment horizontal="center" vertical="center"/>
    </xf>
    <xf numFmtId="37" fontId="13" fillId="32" borderId="73" xfId="43" applyNumberFormat="1" applyFont="1" applyFill="1" applyBorder="1" applyAlignment="1">
      <alignment horizontal="center" vertical="center"/>
    </xf>
    <xf numFmtId="37" fontId="13" fillId="32" borderId="81" xfId="43" applyNumberFormat="1" applyFont="1" applyFill="1" applyBorder="1" applyAlignment="1">
      <alignment horizontal="center" vertical="center"/>
    </xf>
    <xf numFmtId="37" fontId="3" fillId="33" borderId="27" xfId="43" applyNumberFormat="1" applyFont="1" applyFill="1" applyBorder="1" applyAlignment="1">
      <alignment horizontal="left" vertical="center" wrapText="1" indent="2"/>
    </xf>
    <xf numFmtId="37" fontId="3" fillId="33" borderId="28" xfId="43" applyNumberFormat="1" applyFont="1" applyFill="1" applyBorder="1" applyAlignment="1">
      <alignment horizontal="left" vertical="center" wrapText="1" indent="2"/>
    </xf>
    <xf numFmtId="0" fontId="3" fillId="29" borderId="295" xfId="43" applyFont="1" applyFill="1" applyBorder="1" applyAlignment="1">
      <alignment horizontal="left" vertical="center" wrapText="1" indent="1"/>
    </xf>
    <xf numFmtId="0" fontId="3" fillId="29" borderId="296" xfId="43" applyFont="1" applyFill="1" applyBorder="1" applyAlignment="1">
      <alignment horizontal="left" vertical="center" wrapText="1" indent="1"/>
    </xf>
    <xf numFmtId="0" fontId="3" fillId="29" borderId="297" xfId="43" applyFont="1" applyFill="1" applyBorder="1" applyAlignment="1">
      <alignment horizontal="left" vertical="center" wrapText="1" indent="1"/>
    </xf>
    <xf numFmtId="0" fontId="22" fillId="29" borderId="93" xfId="43" applyFont="1" applyFill="1" applyBorder="1" applyAlignment="1">
      <alignment horizontal="left" vertical="center" wrapText="1" indent="1"/>
    </xf>
    <xf numFmtId="0" fontId="22" fillId="29" borderId="94" xfId="43" applyFont="1" applyFill="1" applyBorder="1" applyAlignment="1">
      <alignment horizontal="left" vertical="center" wrapText="1" indent="1"/>
    </xf>
    <xf numFmtId="0" fontId="22" fillId="29" borderId="269" xfId="43" applyFont="1" applyFill="1" applyBorder="1" applyAlignment="1">
      <alignment horizontal="left" vertical="center" wrapText="1" indent="1"/>
    </xf>
    <xf numFmtId="0" fontId="3" fillId="29" borderId="274" xfId="43" applyFont="1" applyFill="1" applyBorder="1" applyAlignment="1">
      <alignment horizontal="left" vertical="center" wrapText="1" indent="1"/>
    </xf>
    <xf numFmtId="0" fontId="3" fillId="29" borderId="257" xfId="43" applyFont="1" applyFill="1" applyBorder="1" applyAlignment="1">
      <alignment horizontal="left" vertical="center" wrapText="1" indent="1"/>
    </xf>
    <xf numFmtId="0" fontId="3" fillId="29" borderId="259" xfId="43" applyFont="1" applyFill="1" applyBorder="1" applyAlignment="1">
      <alignment horizontal="left" vertical="center" wrapText="1" indent="1"/>
    </xf>
    <xf numFmtId="37" fontId="8" fillId="26" borderId="298" xfId="43" applyNumberFormat="1" applyFont="1" applyFill="1" applyBorder="1" applyAlignment="1">
      <alignment horizontal="center" vertical="center" wrapText="1"/>
    </xf>
    <xf numFmtId="37" fontId="8" fillId="26" borderId="299" xfId="43" applyNumberFormat="1" applyFont="1" applyFill="1" applyBorder="1" applyAlignment="1">
      <alignment horizontal="center" vertical="center" wrapText="1"/>
    </xf>
    <xf numFmtId="37" fontId="8" fillId="26" borderId="300" xfId="43" applyNumberFormat="1" applyFont="1" applyFill="1" applyBorder="1" applyAlignment="1">
      <alignment horizontal="center" vertical="center" wrapText="1"/>
    </xf>
    <xf numFmtId="3" fontId="3" fillId="33" borderId="301" xfId="43" applyNumberFormat="1" applyFont="1" applyFill="1" applyBorder="1" applyAlignment="1">
      <alignment horizontal="right" vertical="center" indent="1"/>
    </xf>
    <xf numFmtId="3" fontId="3" fillId="33" borderId="296" xfId="43" applyNumberFormat="1" applyFont="1" applyFill="1" applyBorder="1" applyAlignment="1">
      <alignment horizontal="right" vertical="center" indent="1"/>
    </xf>
    <xf numFmtId="3" fontId="3" fillId="33" borderId="297" xfId="43" applyNumberFormat="1" applyFont="1" applyFill="1" applyBorder="1" applyAlignment="1">
      <alignment horizontal="right" vertical="center" indent="1"/>
    </xf>
    <xf numFmtId="3" fontId="3" fillId="33" borderId="268" xfId="43" applyNumberFormat="1" applyFont="1" applyFill="1" applyBorder="1" applyAlignment="1">
      <alignment horizontal="right" vertical="center" indent="1"/>
    </xf>
    <xf numFmtId="3" fontId="3" fillId="33" borderId="94" xfId="43" applyNumberFormat="1" applyFont="1" applyFill="1" applyBorder="1" applyAlignment="1">
      <alignment horizontal="right" vertical="center" indent="1"/>
    </xf>
    <xf numFmtId="3" fontId="3" fillId="33" borderId="269" xfId="43" applyNumberFormat="1" applyFont="1" applyFill="1" applyBorder="1" applyAlignment="1">
      <alignment horizontal="right" vertical="center" indent="1"/>
    </xf>
    <xf numFmtId="3" fontId="3" fillId="33" borderId="268" xfId="43" applyNumberFormat="1" applyFont="1" applyFill="1" applyBorder="1" applyAlignment="1">
      <alignment horizontal="center" vertical="center"/>
    </xf>
    <xf numFmtId="3" fontId="3" fillId="33" borderId="94" xfId="43" applyNumberFormat="1" applyFont="1" applyFill="1" applyBorder="1" applyAlignment="1">
      <alignment horizontal="center" vertical="center"/>
    </xf>
    <xf numFmtId="3" fontId="3" fillId="33" borderId="269" xfId="43" applyNumberFormat="1" applyFont="1" applyFill="1" applyBorder="1" applyAlignment="1">
      <alignment horizontal="center" vertical="center"/>
    </xf>
    <xf numFmtId="10" fontId="3" fillId="33" borderId="258" xfId="46" quotePrefix="1" applyNumberFormat="1" applyFont="1" applyFill="1" applyBorder="1" applyAlignment="1">
      <alignment horizontal="right" vertical="center" indent="1"/>
    </xf>
    <xf numFmtId="10" fontId="3" fillId="33" borderId="257" xfId="46" quotePrefix="1" applyNumberFormat="1" applyFont="1" applyFill="1" applyBorder="1" applyAlignment="1">
      <alignment horizontal="right" vertical="center" indent="1"/>
    </xf>
    <xf numFmtId="10" fontId="3" fillId="33" borderId="259" xfId="46" quotePrefix="1" applyNumberFormat="1" applyFont="1" applyFill="1" applyBorder="1" applyAlignment="1">
      <alignment horizontal="right" vertical="center" indent="1"/>
    </xf>
    <xf numFmtId="0" fontId="3" fillId="29" borderId="93" xfId="43" applyFont="1" applyFill="1" applyBorder="1" applyAlignment="1">
      <alignment horizontal="left" vertical="center" wrapText="1" indent="1"/>
    </xf>
    <xf numFmtId="0" fontId="3" fillId="29" borderId="94" xfId="43" applyFont="1" applyFill="1" applyBorder="1" applyAlignment="1">
      <alignment horizontal="left" vertical="center" wrapText="1" indent="1"/>
    </xf>
    <xf numFmtId="0" fontId="3" fillId="29" borderId="269" xfId="43" applyFont="1" applyFill="1" applyBorder="1" applyAlignment="1">
      <alignment horizontal="left" vertical="center" wrapText="1" indent="1"/>
    </xf>
    <xf numFmtId="164" fontId="15" fillId="33" borderId="208" xfId="43" applyNumberFormat="1" applyFont="1" applyFill="1" applyBorder="1" applyAlignment="1">
      <alignment vertical="center"/>
    </xf>
    <xf numFmtId="164" fontId="15" fillId="33" borderId="97" xfId="43" applyNumberFormat="1" applyFont="1" applyFill="1" applyBorder="1" applyAlignment="1">
      <alignment vertical="center"/>
    </xf>
    <xf numFmtId="14" fontId="22" fillId="33" borderId="208" xfId="43" applyNumberFormat="1" applyFont="1" applyFill="1" applyBorder="1" applyAlignment="1">
      <alignment horizontal="center" vertical="center"/>
    </xf>
    <xf numFmtId="14" fontId="22" fillId="33" borderId="185" xfId="43" applyNumberFormat="1" applyFont="1" applyFill="1" applyBorder="1" applyAlignment="1">
      <alignment horizontal="center" vertical="center"/>
    </xf>
    <xf numFmtId="3" fontId="3" fillId="33" borderId="194" xfId="43" applyNumberFormat="1" applyFont="1" applyFill="1" applyBorder="1" applyAlignment="1">
      <alignment horizontal="right"/>
    </xf>
    <xf numFmtId="3" fontId="3" fillId="33" borderId="139" xfId="43" applyNumberFormat="1" applyFont="1" applyFill="1" applyBorder="1" applyAlignment="1">
      <alignment horizontal="right"/>
    </xf>
    <xf numFmtId="3" fontId="3" fillId="33" borderId="193" xfId="43" applyNumberFormat="1" applyFont="1" applyFill="1" applyBorder="1" applyAlignment="1">
      <alignment horizontal="right"/>
    </xf>
    <xf numFmtId="37" fontId="7" fillId="33" borderId="81" xfId="43" applyNumberFormat="1" applyFont="1" applyFill="1" applyBorder="1" applyAlignment="1">
      <alignment horizontal="left" vertical="center" indent="2"/>
    </xf>
    <xf numFmtId="37" fontId="7" fillId="33" borderId="72" xfId="43" applyNumberFormat="1" applyFont="1" applyFill="1" applyBorder="1" applyAlignment="1">
      <alignment horizontal="left" vertical="center"/>
    </xf>
    <xf numFmtId="37" fontId="7" fillId="33" borderId="73" xfId="43" applyNumberFormat="1" applyFont="1" applyFill="1" applyBorder="1" applyAlignment="1">
      <alignment horizontal="left" vertical="center"/>
    </xf>
    <xf numFmtId="37" fontId="7" fillId="33" borderId="172" xfId="43" applyNumberFormat="1" applyFont="1" applyFill="1" applyBorder="1" applyAlignment="1">
      <alignment horizontal="left" vertical="center"/>
    </xf>
    <xf numFmtId="0" fontId="22" fillId="29" borderId="170" xfId="43" applyFont="1" applyFill="1" applyBorder="1" applyAlignment="1">
      <alignment horizontal="left" vertical="center" wrapText="1" indent="1"/>
    </xf>
    <xf numFmtId="0" fontId="22" fillId="29" borderId="169" xfId="43" applyFont="1" applyFill="1" applyBorder="1" applyAlignment="1">
      <alignment horizontal="left" vertical="center" wrapText="1" indent="1"/>
    </xf>
    <xf numFmtId="0" fontId="22" fillId="29" borderId="267" xfId="43" applyFont="1" applyFill="1" applyBorder="1" applyAlignment="1">
      <alignment horizontal="left" vertical="center" wrapText="1" indent="1"/>
    </xf>
    <xf numFmtId="3" fontId="3" fillId="31" borderId="268" xfId="43" applyNumberFormat="1" applyFont="1" applyFill="1" applyBorder="1" applyAlignment="1">
      <alignment horizontal="right" vertical="center" indent="1"/>
    </xf>
    <xf numFmtId="3" fontId="3" fillId="31" borderId="94" xfId="43" applyNumberFormat="1" applyFont="1" applyFill="1" applyBorder="1" applyAlignment="1">
      <alignment horizontal="right" vertical="center" indent="1"/>
    </xf>
    <xf numFmtId="3" fontId="3" fillId="31" borderId="269" xfId="43" applyNumberFormat="1" applyFont="1" applyFill="1" applyBorder="1" applyAlignment="1">
      <alignment horizontal="right" vertical="center" indent="1"/>
    </xf>
    <xf numFmtId="3" fontId="17" fillId="31" borderId="258" xfId="0" applyNumberFormat="1" applyFont="1" applyFill="1" applyBorder="1" applyAlignment="1">
      <alignment horizontal="right" vertical="center" indent="1"/>
    </xf>
    <xf numFmtId="3" fontId="17" fillId="31" borderId="257" xfId="0" applyNumberFormat="1" applyFont="1" applyFill="1" applyBorder="1" applyAlignment="1">
      <alignment horizontal="right" vertical="center" indent="1"/>
    </xf>
    <xf numFmtId="3" fontId="17" fillId="31" borderId="259" xfId="0" applyNumberFormat="1" applyFont="1" applyFill="1" applyBorder="1" applyAlignment="1">
      <alignment horizontal="right" vertical="center" indent="1"/>
    </xf>
    <xf numFmtId="3" fontId="17" fillId="31" borderId="268" xfId="0" applyNumberFormat="1" applyFont="1" applyFill="1" applyBorder="1" applyAlignment="1">
      <alignment horizontal="right" vertical="center" indent="1"/>
    </xf>
    <xf numFmtId="3" fontId="17" fillId="31" borderId="94" xfId="0" applyNumberFormat="1" applyFont="1" applyFill="1" applyBorder="1" applyAlignment="1">
      <alignment horizontal="right" vertical="center" indent="1"/>
    </xf>
    <xf numFmtId="3" fontId="17" fillId="31" borderId="269" xfId="0" applyNumberFormat="1" applyFont="1" applyFill="1" applyBorder="1" applyAlignment="1">
      <alignment horizontal="right" vertical="center" indent="1"/>
    </xf>
    <xf numFmtId="3" fontId="3" fillId="33" borderId="266" xfId="43" applyNumberFormat="1" applyFont="1" applyFill="1" applyBorder="1" applyAlignment="1">
      <alignment horizontal="right" vertical="center" indent="1"/>
    </xf>
    <xf numFmtId="3" fontId="3" fillId="33" borderId="169" xfId="43" applyNumberFormat="1" applyFont="1" applyFill="1" applyBorder="1" applyAlignment="1">
      <alignment horizontal="right" vertical="center" indent="1"/>
    </xf>
    <xf numFmtId="3" fontId="3" fillId="33" borderId="267" xfId="43" applyNumberFormat="1" applyFont="1" applyFill="1" applyBorder="1" applyAlignment="1">
      <alignment horizontal="right" vertical="center" indent="1"/>
    </xf>
    <xf numFmtId="37" fontId="8" fillId="26" borderId="315" xfId="43" applyNumberFormat="1" applyFont="1" applyFill="1" applyBorder="1" applyAlignment="1">
      <alignment horizontal="center" vertical="center" wrapText="1"/>
    </xf>
    <xf numFmtId="37" fontId="8" fillId="26" borderId="308" xfId="43" applyNumberFormat="1" applyFont="1" applyFill="1" applyBorder="1" applyAlignment="1">
      <alignment horizontal="center" vertical="center" wrapText="1"/>
    </xf>
    <xf numFmtId="0" fontId="22" fillId="29" borderId="274" xfId="43" applyFont="1" applyFill="1" applyBorder="1" applyAlignment="1">
      <alignment horizontal="left" vertical="center" wrapText="1" indent="1"/>
    </xf>
    <xf numFmtId="0" fontId="22" fillId="29" borderId="257" xfId="43" applyFont="1" applyFill="1" applyBorder="1" applyAlignment="1">
      <alignment horizontal="left" vertical="center" wrapText="1" indent="1"/>
    </xf>
    <xf numFmtId="0" fontId="22" fillId="29" borderId="259" xfId="43" applyFont="1" applyFill="1" applyBorder="1" applyAlignment="1">
      <alignment horizontal="left" vertical="center" wrapText="1" indent="1"/>
    </xf>
    <xf numFmtId="164" fontId="15" fillId="33" borderId="185" xfId="43" applyNumberFormat="1" applyFont="1" applyFill="1" applyBorder="1" applyAlignment="1">
      <alignment vertical="center"/>
    </xf>
    <xf numFmtId="0" fontId="22" fillId="33" borderId="251" xfId="43" applyFont="1" applyFill="1" applyBorder="1" applyAlignment="1">
      <alignment horizontal="center" vertical="center"/>
    </xf>
    <xf numFmtId="164" fontId="15" fillId="33" borderId="94" xfId="43" applyNumberFormat="1" applyFont="1" applyFill="1" applyBorder="1" applyAlignment="1">
      <alignment vertical="center"/>
    </xf>
    <xf numFmtId="0" fontId="22" fillId="33" borderId="93" xfId="43" applyFont="1" applyFill="1" applyBorder="1" applyAlignment="1">
      <alignment horizontal="left" vertical="center" indent="1"/>
    </xf>
    <xf numFmtId="0" fontId="22" fillId="33" borderId="94" xfId="43" applyFont="1" applyFill="1" applyBorder="1" applyAlignment="1">
      <alignment horizontal="left" vertical="center" indent="1"/>
    </xf>
    <xf numFmtId="0" fontId="22" fillId="33" borderId="185" xfId="43" applyFont="1" applyFill="1" applyBorder="1" applyAlignment="1">
      <alignment horizontal="left" vertical="center" indent="1"/>
    </xf>
    <xf numFmtId="3" fontId="3" fillId="33" borderId="258" xfId="43" applyNumberFormat="1" applyFont="1" applyFill="1" applyBorder="1" applyAlignment="1">
      <alignment horizontal="right" vertical="center" indent="1"/>
    </xf>
    <xf numFmtId="3" fontId="3" fillId="33" borderId="257" xfId="43" applyNumberFormat="1" applyFont="1" applyFill="1" applyBorder="1" applyAlignment="1">
      <alignment horizontal="right" vertical="center" indent="1"/>
    </xf>
    <xf numFmtId="3" fontId="3" fillId="33" borderId="259" xfId="43" applyNumberFormat="1" applyFont="1" applyFill="1" applyBorder="1" applyAlignment="1">
      <alignment horizontal="right" vertical="center" indent="1"/>
    </xf>
    <xf numFmtId="3" fontId="9" fillId="33" borderId="302" xfId="0" applyNumberFormat="1" applyFont="1" applyFill="1" applyBorder="1" applyAlignment="1">
      <alignment horizontal="center" vertical="center"/>
    </xf>
    <xf numFmtId="3" fontId="9" fillId="33" borderId="304" xfId="0" applyNumberFormat="1" applyFont="1" applyFill="1" applyBorder="1" applyAlignment="1">
      <alignment horizontal="center" vertical="center"/>
    </xf>
    <xf numFmtId="3" fontId="9" fillId="33" borderId="305" xfId="0" applyNumberFormat="1" applyFont="1" applyFill="1" applyBorder="1" applyAlignment="1">
      <alignment horizontal="center" vertical="center"/>
    </xf>
    <xf numFmtId="3" fontId="9" fillId="33" borderId="306" xfId="0" applyNumberFormat="1" applyFont="1" applyFill="1" applyBorder="1" applyAlignment="1">
      <alignment horizontal="center" vertical="center"/>
    </xf>
    <xf numFmtId="3" fontId="3" fillId="0" borderId="264" xfId="43" applyNumberFormat="1" applyFont="1" applyBorder="1" applyAlignment="1">
      <alignment horizontal="right" vertical="center" indent="1"/>
    </xf>
    <xf numFmtId="3" fontId="3" fillId="0" borderId="265" xfId="43" applyNumberFormat="1" applyFont="1" applyBorder="1" applyAlignment="1">
      <alignment horizontal="right" vertical="center" indent="1"/>
    </xf>
    <xf numFmtId="3" fontId="3" fillId="0" borderId="73" xfId="43" applyNumberFormat="1" applyFont="1" applyBorder="1" applyAlignment="1">
      <alignment horizontal="right" vertical="center" indent="1"/>
    </xf>
    <xf numFmtId="3" fontId="17" fillId="33" borderId="258" xfId="0" applyNumberFormat="1" applyFont="1" applyFill="1" applyBorder="1" applyAlignment="1">
      <alignment horizontal="right" vertical="center" indent="1"/>
    </xf>
    <xf numFmtId="3" fontId="17" fillId="33" borderId="257" xfId="0" applyNumberFormat="1" applyFont="1" applyFill="1" applyBorder="1" applyAlignment="1">
      <alignment horizontal="right" vertical="center" indent="1"/>
    </xf>
    <xf numFmtId="3" fontId="17" fillId="33" borderId="259" xfId="0" applyNumberFormat="1" applyFont="1" applyFill="1" applyBorder="1" applyAlignment="1">
      <alignment horizontal="right" vertical="center" indent="1"/>
    </xf>
    <xf numFmtId="37" fontId="8" fillId="26" borderId="307" xfId="43" applyNumberFormat="1" applyFont="1" applyFill="1" applyBorder="1" applyAlignment="1">
      <alignment horizontal="center" vertical="center" wrapText="1"/>
    </xf>
    <xf numFmtId="164" fontId="7" fillId="33" borderId="242" xfId="43" applyNumberFormat="1" applyFont="1" applyFill="1" applyBorder="1" applyAlignment="1">
      <alignment vertical="center"/>
    </xf>
    <xf numFmtId="37" fontId="8" fillId="26" borderId="309" xfId="43" applyNumberFormat="1" applyFont="1" applyFill="1" applyBorder="1" applyAlignment="1">
      <alignment horizontal="center" vertical="center" wrapText="1"/>
    </xf>
    <xf numFmtId="37" fontId="8" fillId="26" borderId="310" xfId="43" applyNumberFormat="1" applyFont="1" applyFill="1" applyBorder="1" applyAlignment="1">
      <alignment horizontal="center" vertical="center" wrapText="1"/>
    </xf>
    <xf numFmtId="37" fontId="8" fillId="26" borderId="311" xfId="43" applyNumberFormat="1" applyFont="1" applyFill="1" applyBorder="1" applyAlignment="1">
      <alignment horizontal="center" vertical="center" wrapText="1"/>
    </xf>
    <xf numFmtId="37" fontId="8" fillId="26" borderId="312" xfId="43" applyNumberFormat="1" applyFont="1" applyFill="1" applyBorder="1" applyAlignment="1">
      <alignment horizontal="center" vertical="center" wrapText="1"/>
    </xf>
    <xf numFmtId="37" fontId="8" fillId="26" borderId="313" xfId="43" applyNumberFormat="1" applyFont="1" applyFill="1" applyBorder="1" applyAlignment="1">
      <alignment horizontal="center" vertical="center" wrapText="1"/>
    </xf>
    <xf numFmtId="37" fontId="8" fillId="26" borderId="314" xfId="43" applyNumberFormat="1" applyFont="1" applyFill="1" applyBorder="1" applyAlignment="1">
      <alignment horizontal="center" vertical="center" wrapText="1"/>
    </xf>
    <xf numFmtId="0" fontId="15" fillId="33" borderId="72" xfId="43" applyFont="1" applyFill="1" applyBorder="1" applyAlignment="1">
      <alignment horizontal="center" vertical="center"/>
    </xf>
    <xf numFmtId="0" fontId="15" fillId="33" borderId="73" xfId="43" applyFont="1" applyFill="1" applyBorder="1" applyAlignment="1">
      <alignment horizontal="center" vertical="center"/>
    </xf>
    <xf numFmtId="0" fontId="15" fillId="33" borderId="242" xfId="43" applyFont="1" applyFill="1" applyBorder="1" applyAlignment="1">
      <alignment horizontal="center" vertical="center"/>
    </xf>
    <xf numFmtId="3" fontId="3" fillId="29" borderId="264" xfId="43" applyNumberFormat="1" applyFont="1" applyFill="1" applyBorder="1" applyAlignment="1">
      <alignment horizontal="right" vertical="center" indent="1"/>
    </xf>
    <xf numFmtId="3" fontId="3" fillId="29" borderId="73" xfId="43" applyNumberFormat="1" applyFont="1" applyFill="1" applyBorder="1" applyAlignment="1">
      <alignment horizontal="right" vertical="center" indent="1"/>
    </xf>
    <xf numFmtId="3" fontId="3" fillId="29" borderId="265" xfId="43" applyNumberFormat="1" applyFont="1" applyFill="1" applyBorder="1" applyAlignment="1">
      <alignment horizontal="right" vertical="center" indent="1"/>
    </xf>
    <xf numFmtId="37" fontId="8" fillId="26" borderId="316" xfId="43" applyNumberFormat="1" applyFont="1" applyFill="1" applyBorder="1" applyAlignment="1">
      <alignment horizontal="center" vertical="center" wrapText="1"/>
    </xf>
    <xf numFmtId="37" fontId="8" fillId="26" borderId="317" xfId="43" applyNumberFormat="1" applyFont="1" applyFill="1" applyBorder="1" applyAlignment="1">
      <alignment horizontal="center" vertical="center" wrapText="1"/>
    </xf>
    <xf numFmtId="3" fontId="9" fillId="33" borderId="303" xfId="0" applyNumberFormat="1" applyFont="1" applyFill="1" applyBorder="1" applyAlignment="1">
      <alignment horizontal="center" vertical="center"/>
    </xf>
    <xf numFmtId="3" fontId="9" fillId="33" borderId="163" xfId="0" applyNumberFormat="1" applyFont="1" applyFill="1" applyBorder="1" applyAlignment="1">
      <alignment horizontal="center" vertical="center"/>
    </xf>
    <xf numFmtId="0" fontId="22" fillId="29" borderId="72" xfId="43" applyFont="1" applyFill="1" applyBorder="1" applyAlignment="1">
      <alignment horizontal="left" vertical="center" wrapText="1" indent="1"/>
    </xf>
    <xf numFmtId="0" fontId="22" fillId="29" borderId="73" xfId="43" applyFont="1" applyFill="1" applyBorder="1" applyAlignment="1">
      <alignment horizontal="left" vertical="center" wrapText="1" indent="1"/>
    </xf>
    <xf numFmtId="0" fontId="22" fillId="29" borderId="265" xfId="43" applyFont="1" applyFill="1" applyBorder="1" applyAlignment="1">
      <alignment horizontal="left" vertical="center" wrapText="1" indent="1"/>
    </xf>
    <xf numFmtId="164" fontId="3" fillId="33" borderId="324" xfId="43" applyNumberFormat="1" applyFont="1" applyFill="1" applyBorder="1" applyAlignment="1">
      <alignment vertical="center"/>
    </xf>
    <xf numFmtId="164" fontId="22" fillId="33" borderId="100" xfId="43" applyNumberFormat="1" applyFont="1" applyFill="1" applyBorder="1" applyAlignment="1">
      <alignment vertical="center"/>
    </xf>
    <xf numFmtId="164" fontId="22" fillId="33" borderId="138" xfId="43" applyNumberFormat="1" applyFont="1" applyFill="1" applyBorder="1" applyAlignment="1">
      <alignment vertical="center"/>
    </xf>
    <xf numFmtId="164" fontId="5" fillId="32" borderId="18" xfId="43" applyNumberFormat="1" applyFont="1" applyFill="1" applyBorder="1" applyAlignment="1">
      <alignment horizontal="center" vertical="center"/>
    </xf>
    <xf numFmtId="164" fontId="5" fillId="32" borderId="20" xfId="43" applyNumberFormat="1" applyFont="1" applyFill="1" applyBorder="1" applyAlignment="1">
      <alignment horizontal="center" vertical="center"/>
    </xf>
    <xf numFmtId="164" fontId="5" fillId="0" borderId="175" xfId="43" applyNumberFormat="1" applyFont="1" applyFill="1" applyBorder="1" applyAlignment="1">
      <alignment horizontal="center" vertical="center"/>
    </xf>
    <xf numFmtId="0" fontId="0" fillId="0" borderId="73" xfId="0" applyFill="1" applyBorder="1" applyAlignment="1">
      <alignment horizontal="center"/>
    </xf>
    <xf numFmtId="0" fontId="0" fillId="0" borderId="242" xfId="0" applyFill="1" applyBorder="1" applyAlignment="1">
      <alignment horizontal="center"/>
    </xf>
    <xf numFmtId="0" fontId="58" fillId="0" borderId="35" xfId="43" applyFont="1" applyBorder="1" applyAlignment="1">
      <alignment horizontal="center" vertical="center" textRotation="90" wrapText="1"/>
    </xf>
    <xf numFmtId="0" fontId="58" fillId="0" borderId="25" xfId="43" applyFont="1" applyBorder="1" applyAlignment="1">
      <alignment horizontal="center" vertical="center" textRotation="90" wrapText="1"/>
    </xf>
    <xf numFmtId="37" fontId="3" fillId="33" borderId="101" xfId="43" quotePrefix="1" applyNumberFormat="1" applyFont="1" applyFill="1" applyBorder="1" applyAlignment="1">
      <alignment horizontal="center" vertical="center"/>
    </xf>
    <xf numFmtId="37" fontId="3" fillId="33" borderId="80" xfId="43" quotePrefix="1" applyNumberFormat="1" applyFont="1" applyFill="1" applyBorder="1" applyAlignment="1">
      <alignment horizontal="center" vertical="center"/>
    </xf>
    <xf numFmtId="37" fontId="3" fillId="33" borderId="174" xfId="43" quotePrefix="1" applyNumberFormat="1" applyFont="1" applyFill="1" applyBorder="1" applyAlignment="1">
      <alignment horizontal="center" vertical="center"/>
    </xf>
    <xf numFmtId="37" fontId="6" fillId="33" borderId="108" xfId="43" applyNumberFormat="1" applyFont="1" applyFill="1" applyBorder="1" applyAlignment="1">
      <alignment horizontal="center" vertical="center"/>
    </xf>
    <xf numFmtId="37" fontId="6" fillId="33" borderId="169" xfId="43" applyNumberFormat="1" applyFont="1" applyFill="1" applyBorder="1" applyAlignment="1">
      <alignment horizontal="center" vertical="center"/>
    </xf>
    <xf numFmtId="37" fontId="6" fillId="33" borderId="173" xfId="43" applyNumberFormat="1" applyFont="1" applyFill="1" applyBorder="1" applyAlignment="1">
      <alignment horizontal="center" vertical="center"/>
    </xf>
    <xf numFmtId="37" fontId="66" fillId="26" borderId="18" xfId="43" applyNumberFormat="1" applyFont="1" applyFill="1" applyBorder="1" applyAlignment="1">
      <alignment horizontal="center" vertical="center" wrapText="1"/>
    </xf>
    <xf numFmtId="164" fontId="22" fillId="33" borderId="332" xfId="43" applyNumberFormat="1" applyFont="1" applyFill="1" applyBorder="1" applyAlignment="1">
      <alignment vertical="center"/>
    </xf>
    <xf numFmtId="0" fontId="22" fillId="33" borderId="369" xfId="43" applyFont="1" applyFill="1" applyBorder="1" applyAlignment="1">
      <alignment horizontal="center" vertical="center"/>
    </xf>
    <xf numFmtId="0" fontId="22" fillId="33" borderId="370" xfId="43" applyFont="1" applyFill="1" applyBorder="1" applyAlignment="1">
      <alignment horizontal="center" vertical="center"/>
    </xf>
    <xf numFmtId="0" fontId="22" fillId="33" borderId="371" xfId="43" applyFont="1" applyFill="1" applyBorder="1" applyAlignment="1">
      <alignment horizontal="center" vertical="center"/>
    </xf>
    <xf numFmtId="37" fontId="28" fillId="33" borderId="320" xfId="43" applyNumberFormat="1" applyFont="1" applyFill="1" applyBorder="1" applyAlignment="1">
      <alignment horizontal="center" vertical="center"/>
    </xf>
    <xf numFmtId="37" fontId="28" fillId="33" borderId="64" xfId="43" applyNumberFormat="1" applyFont="1" applyFill="1" applyBorder="1" applyAlignment="1">
      <alignment horizontal="center" vertical="center"/>
    </xf>
    <xf numFmtId="164" fontId="6" fillId="0" borderId="94" xfId="43" quotePrefix="1" applyNumberFormat="1" applyFont="1" applyBorder="1" applyAlignment="1">
      <alignment vertical="center"/>
    </xf>
    <xf numFmtId="164" fontId="6" fillId="0" borderId="97" xfId="43" quotePrefix="1" applyNumberFormat="1" applyFont="1" applyBorder="1" applyAlignment="1">
      <alignment vertical="center"/>
    </xf>
    <xf numFmtId="164" fontId="3" fillId="33" borderId="251" xfId="43" applyNumberFormat="1" applyFont="1" applyFill="1" applyBorder="1" applyAlignment="1">
      <alignment vertical="center"/>
    </xf>
    <xf numFmtId="0" fontId="62" fillId="33" borderId="291" xfId="43" applyFont="1" applyFill="1" applyBorder="1" applyAlignment="1">
      <alignment vertical="center"/>
    </xf>
    <xf numFmtId="37" fontId="65" fillId="32" borderId="73" xfId="43" applyNumberFormat="1" applyFont="1" applyFill="1" applyBorder="1" applyAlignment="1">
      <alignment horizontal="center" vertical="center"/>
    </xf>
    <xf numFmtId="164" fontId="22" fillId="33" borderId="329" xfId="43" applyNumberFormat="1" applyFont="1" applyFill="1" applyBorder="1" applyAlignment="1">
      <alignment vertical="center"/>
    </xf>
    <xf numFmtId="164" fontId="22" fillId="33" borderId="330" xfId="43" applyNumberFormat="1" applyFont="1" applyFill="1" applyBorder="1" applyAlignment="1">
      <alignment vertical="center"/>
    </xf>
    <xf numFmtId="177" fontId="69" fillId="33" borderId="14" xfId="43" applyNumberFormat="1" applyFont="1" applyFill="1" applyBorder="1" applyAlignment="1">
      <alignment horizontal="right" vertical="center"/>
    </xf>
    <xf numFmtId="177" fontId="69" fillId="33" borderId="15" xfId="43" applyNumberFormat="1" applyFont="1" applyFill="1" applyBorder="1" applyAlignment="1">
      <alignment horizontal="right" vertical="center"/>
    </xf>
    <xf numFmtId="0" fontId="7" fillId="33" borderId="59" xfId="43" applyFont="1" applyFill="1" applyBorder="1" applyAlignment="1">
      <alignment horizontal="center" vertical="center"/>
    </xf>
    <xf numFmtId="0" fontId="7" fillId="33" borderId="64" xfId="43" applyFont="1" applyFill="1" applyBorder="1" applyAlignment="1">
      <alignment horizontal="center" vertical="center"/>
    </xf>
    <xf numFmtId="177" fontId="99" fillId="0" borderId="281" xfId="33" applyNumberFormat="1" applyFont="1" applyBorder="1" applyAlignment="1">
      <alignment horizontal="center"/>
    </xf>
    <xf numFmtId="177" fontId="99" fillId="0" borderId="323" xfId="33" applyNumberFormat="1" applyFont="1" applyBorder="1" applyAlignment="1">
      <alignment horizontal="center"/>
    </xf>
    <xf numFmtId="185" fontId="99" fillId="0" borderId="281" xfId="0" applyNumberFormat="1" applyFont="1" applyBorder="1" applyAlignment="1">
      <alignment horizontal="center"/>
    </xf>
    <xf numFmtId="185" fontId="99" fillId="0" borderId="282" xfId="0" applyNumberFormat="1" applyFont="1" applyBorder="1" applyAlignment="1">
      <alignment horizontal="center"/>
    </xf>
    <xf numFmtId="164" fontId="5" fillId="33" borderId="19" xfId="43" applyNumberFormat="1" applyFont="1" applyFill="1" applyBorder="1" applyAlignment="1">
      <alignment horizontal="center" vertical="center"/>
    </xf>
    <xf numFmtId="164" fontId="5" fillId="33" borderId="73" xfId="43" applyNumberFormat="1" applyFont="1" applyFill="1" applyBorder="1" applyAlignment="1">
      <alignment horizontal="center" vertical="center"/>
    </xf>
    <xf numFmtId="164" fontId="5" fillId="33" borderId="242" xfId="43" applyNumberFormat="1" applyFont="1" applyFill="1" applyBorder="1" applyAlignment="1">
      <alignment horizontal="center" vertical="center"/>
    </xf>
    <xf numFmtId="164" fontId="6" fillId="0" borderId="179" xfId="43" quotePrefix="1" applyNumberFormat="1" applyFont="1" applyFill="1" applyBorder="1" applyAlignment="1">
      <alignment horizontal="center" vertical="center"/>
    </xf>
    <xf numFmtId="164" fontId="6" fillId="0" borderId="328" xfId="43" quotePrefix="1" applyNumberFormat="1" applyFont="1" applyFill="1" applyBorder="1" applyAlignment="1">
      <alignment horizontal="center" vertical="center"/>
    </xf>
    <xf numFmtId="164" fontId="15" fillId="33" borderId="210" xfId="43" applyNumberFormat="1" applyFont="1" applyFill="1" applyBorder="1" applyAlignment="1">
      <alignment vertical="center"/>
    </xf>
    <xf numFmtId="164" fontId="15" fillId="33" borderId="325" xfId="43" applyNumberFormat="1" applyFont="1" applyFill="1" applyBorder="1" applyAlignment="1">
      <alignment vertical="center"/>
    </xf>
    <xf numFmtId="14" fontId="3" fillId="33" borderId="267" xfId="43" applyNumberFormat="1" applyFont="1" applyFill="1" applyBorder="1" applyAlignment="1">
      <alignment horizontal="center" vertical="center"/>
    </xf>
    <xf numFmtId="0" fontId="15" fillId="33" borderId="287" xfId="43" applyFont="1" applyFill="1" applyBorder="1" applyAlignment="1">
      <alignment horizontal="center"/>
    </xf>
    <xf numFmtId="14" fontId="22" fillId="33" borderId="332" xfId="43" applyNumberFormat="1" applyFont="1" applyFill="1" applyBorder="1" applyAlignment="1">
      <alignment horizontal="center" vertical="center"/>
    </xf>
    <xf numFmtId="0" fontId="3" fillId="33" borderId="170" xfId="43" applyFont="1" applyFill="1" applyBorder="1" applyAlignment="1">
      <alignment horizontal="left" vertical="center" indent="1"/>
    </xf>
    <xf numFmtId="0" fontId="3" fillId="33" borderId="169" xfId="43" applyFont="1" applyFill="1" applyBorder="1" applyAlignment="1">
      <alignment horizontal="left" vertical="center" indent="1"/>
    </xf>
    <xf numFmtId="0" fontId="3" fillId="33" borderId="171" xfId="43" applyFont="1" applyFill="1" applyBorder="1" applyAlignment="1">
      <alignment horizontal="left" vertical="center" indent="1"/>
    </xf>
    <xf numFmtId="3" fontId="6" fillId="33" borderId="108" xfId="42" applyNumberFormat="1" applyFont="1" applyFill="1" applyBorder="1" applyAlignment="1">
      <alignment horizontal="center"/>
    </xf>
    <xf numFmtId="3" fontId="6" fillId="33" borderId="169" xfId="42" applyNumberFormat="1" applyFont="1" applyFill="1" applyBorder="1" applyAlignment="1">
      <alignment horizontal="center"/>
    </xf>
    <xf numFmtId="3" fontId="6" fillId="33" borderId="173" xfId="42" applyNumberFormat="1" applyFont="1" applyFill="1" applyBorder="1" applyAlignment="1">
      <alignment horizontal="center"/>
    </xf>
    <xf numFmtId="0" fontId="58" fillId="0" borderId="119" xfId="43" applyFont="1" applyBorder="1" applyAlignment="1">
      <alignment horizontal="center" vertical="center" textRotation="90" wrapText="1"/>
    </xf>
    <xf numFmtId="0" fontId="58" fillId="0" borderId="26" xfId="43" applyFont="1" applyBorder="1" applyAlignment="1">
      <alignment horizontal="center" vertical="center" textRotation="90" wrapText="1"/>
    </xf>
    <xf numFmtId="164" fontId="6" fillId="0" borderId="321" xfId="43" applyNumberFormat="1" applyFont="1" applyFill="1" applyBorder="1" applyAlignment="1">
      <alignment horizontal="center" vertical="center"/>
    </xf>
    <xf numFmtId="164" fontId="6" fillId="0" borderId="80" xfId="43" applyNumberFormat="1" applyFont="1" applyFill="1" applyBorder="1" applyAlignment="1">
      <alignment horizontal="center" vertical="center"/>
    </xf>
    <xf numFmtId="164" fontId="6" fillId="0" borderId="287" xfId="43" applyNumberFormat="1" applyFont="1" applyFill="1" applyBorder="1" applyAlignment="1">
      <alignment horizontal="center" vertical="center"/>
    </xf>
    <xf numFmtId="37" fontId="6" fillId="0" borderId="164" xfId="43" applyNumberFormat="1" applyFont="1" applyFill="1" applyBorder="1" applyAlignment="1">
      <alignment horizontal="center" vertical="center"/>
    </xf>
    <xf numFmtId="37" fontId="6" fillId="0" borderId="163" xfId="43" applyNumberFormat="1" applyFont="1" applyFill="1" applyBorder="1" applyAlignment="1">
      <alignment horizontal="center" vertical="center"/>
    </xf>
    <xf numFmtId="37" fontId="6" fillId="0" borderId="334" xfId="43" applyNumberFormat="1" applyFont="1" applyFill="1" applyBorder="1" applyAlignment="1">
      <alignment horizontal="center" vertical="center"/>
    </xf>
    <xf numFmtId="164" fontId="7" fillId="33" borderId="18" xfId="43" applyNumberFormat="1" applyFont="1" applyFill="1" applyBorder="1" applyAlignment="1">
      <alignment vertical="center"/>
    </xf>
    <xf numFmtId="164" fontId="7" fillId="33" borderId="20" xfId="43" applyNumberFormat="1" applyFont="1" applyFill="1" applyBorder="1" applyAlignment="1">
      <alignment vertical="center"/>
    </xf>
    <xf numFmtId="3" fontId="6" fillId="0" borderId="108" xfId="42" applyNumberFormat="1" applyFont="1" applyFill="1" applyBorder="1" applyAlignment="1">
      <alignment horizontal="center"/>
    </xf>
    <xf numFmtId="3" fontId="6" fillId="0" borderId="169" xfId="42" applyNumberFormat="1" applyFont="1" applyFill="1" applyBorder="1" applyAlignment="1">
      <alignment horizontal="center"/>
    </xf>
    <xf numFmtId="3" fontId="6" fillId="0" borderId="241" xfId="42" applyNumberFormat="1" applyFont="1" applyFill="1" applyBorder="1" applyAlignment="1">
      <alignment horizontal="center"/>
    </xf>
    <xf numFmtId="1" fontId="6" fillId="33" borderId="22" xfId="43" applyNumberFormat="1" applyFont="1" applyFill="1" applyBorder="1" applyAlignment="1">
      <alignment horizontal="center" vertical="center"/>
    </xf>
    <xf numFmtId="164" fontId="6" fillId="0" borderId="96" xfId="43" applyNumberFormat="1" applyFont="1" applyBorder="1" applyAlignment="1">
      <alignment vertical="center"/>
    </xf>
    <xf numFmtId="164" fontId="6" fillId="0" borderId="94" xfId="43" applyNumberFormat="1" applyFont="1" applyBorder="1" applyAlignment="1">
      <alignment vertical="center"/>
    </xf>
    <xf numFmtId="164" fontId="6" fillId="0" borderId="95" xfId="43" applyNumberFormat="1" applyFont="1" applyBorder="1" applyAlignment="1">
      <alignment vertical="center"/>
    </xf>
    <xf numFmtId="165" fontId="6" fillId="0" borderId="40" xfId="43" applyNumberFormat="1" applyFont="1" applyBorder="1" applyAlignment="1">
      <alignment vertical="center"/>
    </xf>
    <xf numFmtId="10" fontId="7" fillId="33" borderId="12" xfId="43" applyNumberFormat="1" applyFont="1" applyFill="1" applyBorder="1" applyAlignment="1">
      <alignment horizontal="center" vertical="center"/>
    </xf>
    <xf numFmtId="0" fontId="3" fillId="33" borderId="11" xfId="43" applyFont="1" applyFill="1" applyBorder="1" applyAlignment="1">
      <alignment horizontal="center" vertical="center"/>
    </xf>
    <xf numFmtId="0" fontId="3" fillId="33" borderId="12" xfId="43" applyFont="1" applyFill="1" applyBorder="1" applyAlignment="1">
      <alignment horizontal="center" vertical="center"/>
    </xf>
    <xf numFmtId="37" fontId="5" fillId="0" borderId="72" xfId="43" applyNumberFormat="1" applyFont="1" applyFill="1" applyBorder="1" applyAlignment="1">
      <alignment horizontal="left" vertical="center" indent="2"/>
    </xf>
    <xf numFmtId="37" fontId="5" fillId="0" borderId="73" xfId="43" applyNumberFormat="1" applyFont="1" applyFill="1" applyBorder="1" applyAlignment="1">
      <alignment horizontal="left" vertical="center" indent="2"/>
    </xf>
    <xf numFmtId="37" fontId="9" fillId="33" borderId="294" xfId="43" applyNumberFormat="1" applyFont="1" applyFill="1" applyBorder="1" applyAlignment="1">
      <alignment horizontal="left" vertical="center" wrapText="1" indent="2"/>
    </xf>
    <xf numFmtId="0" fontId="62" fillId="33" borderId="254" xfId="43" applyFont="1" applyFill="1" applyBorder="1" applyAlignment="1">
      <alignment horizontal="left" wrapText="1" indent="1"/>
    </xf>
    <xf numFmtId="164" fontId="3" fillId="33" borderId="28" xfId="43" applyNumberFormat="1" applyFont="1" applyFill="1" applyBorder="1" applyAlignment="1">
      <alignment vertical="center"/>
    </xf>
    <xf numFmtId="0" fontId="62" fillId="33" borderId="29" xfId="43" applyFont="1" applyFill="1" applyBorder="1" applyAlignment="1">
      <alignment vertical="center"/>
    </xf>
    <xf numFmtId="0" fontId="3" fillId="33" borderId="13" xfId="43" applyFont="1" applyFill="1" applyBorder="1" applyAlignment="1">
      <alignment horizontal="center" vertical="center"/>
    </xf>
    <xf numFmtId="0" fontId="3" fillId="33" borderId="14" xfId="43" applyFont="1" applyFill="1" applyBorder="1" applyAlignment="1">
      <alignment horizontal="center" vertical="center"/>
    </xf>
    <xf numFmtId="176" fontId="7" fillId="33" borderId="336" xfId="43" applyNumberFormat="1" applyFont="1" applyFill="1" applyBorder="1" applyAlignment="1">
      <alignment horizontal="left" vertical="center"/>
    </xf>
    <xf numFmtId="176" fontId="7" fillId="33" borderId="337" xfId="43" applyNumberFormat="1" applyFont="1" applyFill="1" applyBorder="1" applyAlignment="1">
      <alignment horizontal="left" vertical="center"/>
    </xf>
    <xf numFmtId="0" fontId="7" fillId="33" borderId="172" xfId="43" applyFont="1" applyFill="1" applyBorder="1" applyAlignment="1">
      <alignment horizontal="center" vertical="center"/>
    </xf>
    <xf numFmtId="0" fontId="7" fillId="33" borderId="79" xfId="43" applyFont="1" applyFill="1" applyBorder="1" applyAlignment="1">
      <alignment horizontal="center" vertical="center"/>
    </xf>
    <xf numFmtId="0" fontId="7" fillId="33" borderId="80" xfId="43" applyFont="1" applyFill="1" applyBorder="1" applyAlignment="1">
      <alignment horizontal="center" vertical="center"/>
    </xf>
    <xf numFmtId="0" fontId="7" fillId="33" borderId="174" xfId="43" applyFont="1" applyFill="1" applyBorder="1" applyAlignment="1">
      <alignment horizontal="center" vertical="center"/>
    </xf>
    <xf numFmtId="0" fontId="7" fillId="33" borderId="63" xfId="43" applyFont="1" applyFill="1" applyBorder="1" applyAlignment="1">
      <alignment horizontal="center" vertical="center" wrapText="1"/>
    </xf>
    <xf numFmtId="0" fontId="7" fillId="33" borderId="321" xfId="43" applyFont="1" applyFill="1" applyBorder="1" applyAlignment="1">
      <alignment horizontal="center" vertical="center"/>
    </xf>
    <xf numFmtId="176" fontId="7" fillId="33" borderId="14" xfId="43" applyNumberFormat="1" applyFont="1" applyFill="1" applyBorder="1" applyAlignment="1">
      <alignment horizontal="left" vertical="center" wrapText="1"/>
    </xf>
    <xf numFmtId="176" fontId="7" fillId="33" borderId="335" xfId="43" applyNumberFormat="1" applyFont="1" applyFill="1" applyBorder="1" applyAlignment="1">
      <alignment horizontal="center" vertical="center" wrapText="1"/>
    </xf>
    <xf numFmtId="176" fontId="7" fillId="33" borderId="32" xfId="43" applyNumberFormat="1" applyFont="1" applyFill="1" applyBorder="1" applyAlignment="1">
      <alignment horizontal="center" vertical="center" wrapText="1"/>
    </xf>
    <xf numFmtId="176" fontId="7" fillId="33" borderId="73" xfId="43" applyNumberFormat="1" applyFont="1" applyFill="1" applyBorder="1" applyAlignment="1">
      <alignment horizontal="left" vertical="center"/>
    </xf>
    <xf numFmtId="0" fontId="7" fillId="33" borderId="63" xfId="43" applyFont="1" applyFill="1" applyBorder="1" applyAlignment="1">
      <alignment horizontal="center" vertical="center"/>
    </xf>
    <xf numFmtId="176" fontId="7" fillId="33" borderId="321" xfId="43" applyNumberFormat="1" applyFont="1" applyFill="1" applyBorder="1" applyAlignment="1">
      <alignment horizontal="center" vertical="center" wrapText="1"/>
    </xf>
    <xf numFmtId="176" fontId="7" fillId="33" borderId="80" xfId="43" applyNumberFormat="1" applyFont="1" applyFill="1" applyBorder="1" applyAlignment="1">
      <alignment horizontal="center" vertical="center" wrapText="1"/>
    </xf>
    <xf numFmtId="164" fontId="3" fillId="33" borderId="96" xfId="43" applyNumberFormat="1" applyFont="1" applyFill="1" applyBorder="1" applyAlignment="1">
      <alignment horizontal="center" vertical="center"/>
    </xf>
    <xf numFmtId="164" fontId="3" fillId="33" borderId="95" xfId="43" applyNumberFormat="1" applyFont="1" applyFill="1" applyBorder="1" applyAlignment="1">
      <alignment horizontal="center" vertical="center"/>
    </xf>
    <xf numFmtId="0" fontId="3" fillId="33" borderId="109" xfId="43" applyFont="1" applyFill="1" applyBorder="1" applyAlignment="1">
      <alignment horizontal="center" vertical="center"/>
    </xf>
    <xf numFmtId="0" fontId="3" fillId="33" borderId="257" xfId="43" applyFont="1" applyFill="1" applyBorder="1" applyAlignment="1">
      <alignment horizontal="center" vertical="center"/>
    </xf>
    <xf numFmtId="0" fontId="3" fillId="33" borderId="275" xfId="43" applyFont="1" applyFill="1" applyBorder="1" applyAlignment="1">
      <alignment horizontal="center" vertical="center"/>
    </xf>
    <xf numFmtId="176" fontId="7" fillId="33" borderId="112" xfId="43" applyNumberFormat="1" applyFont="1" applyFill="1" applyBorder="1" applyAlignment="1">
      <alignment horizontal="center" vertical="center"/>
    </xf>
    <xf numFmtId="176" fontId="7" fillId="33" borderId="160" xfId="43" applyNumberFormat="1" applyFont="1" applyFill="1" applyBorder="1" applyAlignment="1">
      <alignment horizontal="center" vertical="center"/>
    </xf>
    <xf numFmtId="176" fontId="7" fillId="33" borderId="161" xfId="43" applyNumberFormat="1" applyFont="1" applyFill="1" applyBorder="1" applyAlignment="1">
      <alignment horizontal="center" vertical="center"/>
    </xf>
    <xf numFmtId="176" fontId="7" fillId="33" borderId="159" xfId="43" applyNumberFormat="1" applyFont="1" applyFill="1" applyBorder="1" applyAlignment="1">
      <alignment horizontal="center" vertical="center"/>
    </xf>
    <xf numFmtId="176" fontId="7" fillId="33" borderId="0" xfId="43" applyNumberFormat="1" applyFont="1" applyFill="1" applyBorder="1" applyAlignment="1">
      <alignment horizontal="center" vertical="center"/>
    </xf>
    <xf numFmtId="176" fontId="7" fillId="33" borderId="158" xfId="43" applyNumberFormat="1" applyFont="1" applyFill="1" applyBorder="1" applyAlignment="1">
      <alignment horizontal="center" vertical="center"/>
    </xf>
    <xf numFmtId="176" fontId="7" fillId="33" borderId="164" xfId="43" applyNumberFormat="1" applyFont="1" applyFill="1" applyBorder="1" applyAlignment="1">
      <alignment horizontal="center" vertical="center"/>
    </xf>
    <xf numFmtId="176" fontId="7" fillId="33" borderId="163" xfId="43" applyNumberFormat="1" applyFont="1" applyFill="1" applyBorder="1" applyAlignment="1">
      <alignment horizontal="center" vertical="center"/>
    </xf>
    <xf numFmtId="176" fontId="7" fillId="33" borderId="188" xfId="43" applyNumberFormat="1" applyFont="1" applyFill="1" applyBorder="1" applyAlignment="1">
      <alignment horizontal="center" vertical="center"/>
    </xf>
    <xf numFmtId="0" fontId="7" fillId="33" borderId="12" xfId="43" applyFont="1" applyFill="1" applyBorder="1" applyAlignment="1">
      <alignment horizontal="left" vertical="center" wrapText="1"/>
    </xf>
    <xf numFmtId="0" fontId="7" fillId="33" borderId="12" xfId="43" applyFont="1" applyFill="1" applyBorder="1" applyAlignment="1">
      <alignment horizontal="left" vertical="center"/>
    </xf>
    <xf numFmtId="0" fontId="7" fillId="33" borderId="170" xfId="43" applyFont="1" applyFill="1" applyBorder="1" applyAlignment="1">
      <alignment horizontal="center" vertical="center" wrapText="1"/>
    </xf>
    <xf numFmtId="0" fontId="7" fillId="33" borderId="169" xfId="43" applyFont="1" applyFill="1" applyBorder="1" applyAlignment="1">
      <alignment horizontal="center" vertical="center" wrapText="1"/>
    </xf>
    <xf numFmtId="0" fontId="7" fillId="33" borderId="173" xfId="43" applyFont="1" applyFill="1" applyBorder="1" applyAlignment="1">
      <alignment horizontal="center" vertical="center" wrapText="1"/>
    </xf>
    <xf numFmtId="0" fontId="3" fillId="33" borderId="274" xfId="43" applyFont="1" applyFill="1" applyBorder="1" applyAlignment="1">
      <alignment horizontal="center" vertical="center"/>
    </xf>
    <xf numFmtId="0" fontId="7" fillId="33" borderId="108" xfId="43" applyFont="1" applyFill="1" applyBorder="1" applyAlignment="1">
      <alignment horizontal="center" vertical="center"/>
    </xf>
    <xf numFmtId="0" fontId="7" fillId="33" borderId="169" xfId="43" applyFont="1" applyFill="1" applyBorder="1" applyAlignment="1">
      <alignment horizontal="center" vertical="center"/>
    </xf>
    <xf numFmtId="0" fontId="7" fillId="33" borderId="173" xfId="43" applyFont="1" applyFill="1" applyBorder="1" applyAlignment="1">
      <alignment horizontal="center" vertical="center"/>
    </xf>
    <xf numFmtId="176" fontId="7" fillId="33" borderId="109" xfId="43" applyNumberFormat="1" applyFont="1" applyFill="1" applyBorder="1" applyAlignment="1">
      <alignment horizontal="left" vertical="center" wrapText="1"/>
    </xf>
    <xf numFmtId="176" fontId="7" fillId="33" borderId="257" xfId="43" applyNumberFormat="1" applyFont="1" applyFill="1" applyBorder="1" applyAlignment="1">
      <alignment horizontal="left" vertical="center" wrapText="1"/>
    </xf>
    <xf numFmtId="176" fontId="7" fillId="33" borderId="275" xfId="43" applyNumberFormat="1" applyFont="1" applyFill="1" applyBorder="1" applyAlignment="1">
      <alignment horizontal="left" vertical="center" wrapText="1"/>
    </xf>
    <xf numFmtId="37" fontId="28" fillId="32" borderId="64" xfId="43" applyNumberFormat="1" applyFont="1" applyFill="1" applyBorder="1" applyAlignment="1">
      <alignment horizontal="center" vertical="center"/>
    </xf>
    <xf numFmtId="37" fontId="28" fillId="32" borderId="65" xfId="43" applyNumberFormat="1" applyFont="1" applyFill="1" applyBorder="1" applyAlignment="1">
      <alignment horizontal="center" vertical="center"/>
    </xf>
    <xf numFmtId="164" fontId="6" fillId="32" borderId="28" xfId="43" applyNumberFormat="1" applyFont="1" applyFill="1" applyBorder="1" applyAlignment="1">
      <alignment horizontal="center" vertical="center"/>
    </xf>
    <xf numFmtId="0" fontId="60" fillId="32" borderId="28" xfId="43" applyFont="1" applyFill="1" applyBorder="1" applyAlignment="1">
      <alignment horizontal="center" vertical="center"/>
    </xf>
    <xf numFmtId="164" fontId="6" fillId="32" borderId="193" xfId="43" applyNumberFormat="1" applyFont="1" applyFill="1" applyBorder="1" applyAlignment="1">
      <alignment horizontal="center" vertical="center"/>
    </xf>
    <xf numFmtId="164" fontId="6" fillId="32" borderId="139" xfId="43" applyNumberFormat="1" applyFont="1" applyFill="1" applyBorder="1" applyAlignment="1">
      <alignment horizontal="center" vertical="center"/>
    </xf>
    <xf numFmtId="0" fontId="60" fillId="32" borderId="29" xfId="43" applyFont="1" applyFill="1" applyBorder="1" applyAlignment="1">
      <alignment horizontal="center" vertical="center"/>
    </xf>
    <xf numFmtId="37" fontId="28" fillId="32" borderId="320" xfId="43" applyNumberFormat="1" applyFont="1" applyFill="1" applyBorder="1" applyAlignment="1">
      <alignment horizontal="center" vertical="center"/>
    </xf>
    <xf numFmtId="37" fontId="19" fillId="26" borderId="81" xfId="43" quotePrefix="1" applyNumberFormat="1" applyFont="1" applyFill="1" applyBorder="1" applyAlignment="1">
      <alignment horizontal="center" vertical="center" wrapText="1"/>
    </xf>
    <xf numFmtId="37" fontId="19" fillId="26" borderId="73" xfId="43" quotePrefix="1" applyNumberFormat="1" applyFont="1" applyFill="1" applyBorder="1" applyAlignment="1">
      <alignment horizontal="center" vertical="center" wrapText="1"/>
    </xf>
    <xf numFmtId="177" fontId="69" fillId="33" borderId="96" xfId="43" applyNumberFormat="1" applyFont="1" applyFill="1" applyBorder="1" applyAlignment="1">
      <alignment vertical="center"/>
    </xf>
    <xf numFmtId="177" fontId="69" fillId="33" borderId="95" xfId="43" applyNumberFormat="1" applyFont="1" applyFill="1" applyBorder="1" applyAlignment="1">
      <alignment vertical="center"/>
    </xf>
    <xf numFmtId="164" fontId="3" fillId="33" borderId="108" xfId="43" applyNumberFormat="1" applyFont="1" applyFill="1" applyBorder="1" applyAlignment="1">
      <alignment horizontal="center" vertical="center"/>
    </xf>
    <xf numFmtId="164" fontId="3" fillId="33" borderId="173" xfId="43" applyNumberFormat="1" applyFont="1" applyFill="1" applyBorder="1" applyAlignment="1">
      <alignment horizontal="center" vertical="center"/>
    </xf>
    <xf numFmtId="177" fontId="69" fillId="33" borderId="97" xfId="43" applyNumberFormat="1" applyFont="1" applyFill="1" applyBorder="1" applyAlignment="1">
      <alignment vertical="center"/>
    </xf>
    <xf numFmtId="177" fontId="69" fillId="33" borderId="241" xfId="43" applyNumberFormat="1" applyFont="1" applyFill="1" applyBorder="1" applyAlignment="1">
      <alignment vertical="center"/>
    </xf>
    <xf numFmtId="177" fontId="69" fillId="33" borderId="241" xfId="43" applyNumberFormat="1" applyFont="1" applyFill="1" applyBorder="1" applyAlignment="1">
      <alignment horizontal="right" vertical="center"/>
    </xf>
    <xf numFmtId="177" fontId="69" fillId="33" borderId="288" xfId="43" applyNumberFormat="1" applyFont="1" applyFill="1" applyBorder="1" applyAlignment="1">
      <alignment vertical="center"/>
    </xf>
    <xf numFmtId="177" fontId="69" fillId="33" borderId="96" xfId="43" applyNumberFormat="1" applyFont="1" applyFill="1" applyBorder="1" applyAlignment="1">
      <alignment horizontal="right" vertical="center"/>
    </xf>
    <xf numFmtId="177" fontId="69" fillId="33" borderId="95" xfId="43" applyNumberFormat="1" applyFont="1" applyFill="1" applyBorder="1" applyAlignment="1">
      <alignment horizontal="right" vertical="center"/>
    </xf>
    <xf numFmtId="177" fontId="69" fillId="33" borderId="12" xfId="43" applyNumberFormat="1" applyFont="1" applyFill="1" applyBorder="1" applyAlignment="1">
      <alignment horizontal="center" vertical="center"/>
    </xf>
    <xf numFmtId="177" fontId="69" fillId="33" borderId="73" xfId="43" applyNumberFormat="1" applyFont="1" applyFill="1" applyBorder="1" applyAlignment="1">
      <alignment horizontal="center" vertical="center"/>
    </xf>
    <xf numFmtId="177" fontId="69" fillId="33" borderId="338" xfId="43" applyNumberFormat="1" applyFont="1" applyFill="1" applyBorder="1" applyAlignment="1">
      <alignment horizontal="right" vertical="center"/>
    </xf>
    <xf numFmtId="177" fontId="69" fillId="33" borderId="191" xfId="43" applyNumberFormat="1" applyFont="1" applyFill="1" applyBorder="1" applyAlignment="1">
      <alignment horizontal="right" vertical="center"/>
    </xf>
    <xf numFmtId="177" fontId="3" fillId="0" borderId="0" xfId="43" applyNumberFormat="1" applyFont="1" applyAlignment="1">
      <alignment horizontal="center"/>
    </xf>
    <xf numFmtId="37" fontId="3" fillId="33" borderId="340" xfId="43" applyNumberFormat="1" applyFont="1" applyFill="1" applyBorder="1" applyAlignment="1">
      <alignment horizontal="left" vertical="center" wrapText="1" indent="1"/>
    </xf>
    <xf numFmtId="37" fontId="3" fillId="33" borderId="272" xfId="43" applyNumberFormat="1" applyFont="1" applyFill="1" applyBorder="1" applyAlignment="1">
      <alignment horizontal="left" vertical="center" wrapText="1" indent="1"/>
    </xf>
    <xf numFmtId="164" fontId="5" fillId="33" borderId="212" xfId="43" applyNumberFormat="1" applyFont="1" applyFill="1" applyBorder="1" applyAlignment="1">
      <alignment vertical="center"/>
    </xf>
    <xf numFmtId="0" fontId="5" fillId="33" borderId="135" xfId="43" applyFont="1" applyFill="1" applyBorder="1" applyAlignment="1">
      <alignment vertical="center"/>
    </xf>
    <xf numFmtId="0" fontId="5" fillId="33" borderId="341" xfId="43" applyFont="1" applyFill="1" applyBorder="1" applyAlignment="1">
      <alignment vertical="center"/>
    </xf>
    <xf numFmtId="0" fontId="62" fillId="33" borderId="272" xfId="43" applyFont="1" applyFill="1" applyBorder="1" applyAlignment="1">
      <alignment vertical="center"/>
    </xf>
    <xf numFmtId="0" fontId="60" fillId="33" borderId="342" xfId="43" applyFont="1" applyFill="1" applyBorder="1" applyAlignment="1">
      <alignment vertical="center"/>
    </xf>
    <xf numFmtId="164" fontId="5" fillId="33" borderId="343" xfId="43" applyNumberFormat="1" applyFont="1" applyFill="1" applyBorder="1" applyAlignment="1">
      <alignment vertical="center"/>
    </xf>
    <xf numFmtId="0" fontId="63" fillId="33" borderId="343" xfId="43" applyFont="1" applyFill="1" applyBorder="1" applyAlignment="1">
      <alignment vertical="center"/>
    </xf>
    <xf numFmtId="164" fontId="5" fillId="33" borderId="129" xfId="43" applyNumberFormat="1" applyFont="1" applyFill="1" applyBorder="1" applyAlignment="1">
      <alignment vertical="center"/>
    </xf>
    <xf numFmtId="164" fontId="5" fillId="33" borderId="116" xfId="43" applyNumberFormat="1" applyFont="1" applyFill="1" applyBorder="1" applyAlignment="1">
      <alignment vertical="center"/>
    </xf>
    <xf numFmtId="164" fontId="5" fillId="33" borderId="344" xfId="43" applyNumberFormat="1" applyFont="1" applyFill="1" applyBorder="1" applyAlignment="1">
      <alignment vertical="center"/>
    </xf>
    <xf numFmtId="0" fontId="94" fillId="33" borderId="100" xfId="0" applyFont="1" applyFill="1" applyBorder="1" applyAlignment="1">
      <alignment horizontal="center"/>
    </xf>
    <xf numFmtId="0" fontId="94" fillId="33" borderId="75" xfId="0" applyFont="1" applyFill="1" applyBorder="1" applyAlignment="1">
      <alignment horizontal="center"/>
    </xf>
    <xf numFmtId="0" fontId="94" fillId="33" borderId="138" xfId="0" applyFont="1" applyFill="1" applyBorder="1" applyAlignment="1">
      <alignment horizontal="center"/>
    </xf>
    <xf numFmtId="37" fontId="6" fillId="33" borderId="101" xfId="43" applyNumberFormat="1" applyFont="1" applyFill="1" applyBorder="1" applyAlignment="1">
      <alignment horizontal="center" vertical="center" wrapText="1"/>
    </xf>
    <xf numFmtId="37" fontId="6" fillId="33" borderId="80" xfId="43" applyNumberFormat="1" applyFont="1" applyFill="1" applyBorder="1" applyAlignment="1">
      <alignment horizontal="center" vertical="center" wrapText="1"/>
    </xf>
    <xf numFmtId="37" fontId="6" fillId="33" borderId="327" xfId="43" applyNumberFormat="1" applyFont="1" applyFill="1" applyBorder="1" applyAlignment="1">
      <alignment horizontal="center" vertical="center" wrapText="1"/>
    </xf>
    <xf numFmtId="1" fontId="3" fillId="32" borderId="345" xfId="0" applyNumberFormat="1" applyFont="1" applyFill="1" applyBorder="1" applyAlignment="1" applyProtection="1">
      <alignment horizontal="center" vertical="top" wrapText="1"/>
    </xf>
    <xf numFmtId="1" fontId="3" fillId="32" borderId="138" xfId="0" applyNumberFormat="1" applyFont="1" applyFill="1" applyBorder="1" applyAlignment="1" applyProtection="1">
      <alignment horizontal="center" vertical="top" wrapText="1"/>
    </xf>
    <xf numFmtId="4" fontId="3" fillId="32" borderId="346" xfId="0" applyNumberFormat="1" applyFont="1" applyFill="1" applyBorder="1" applyAlignment="1">
      <alignment horizontal="center" vertical="center"/>
    </xf>
    <xf numFmtId="4" fontId="3" fillId="32" borderId="277" xfId="0" applyNumberFormat="1" applyFont="1" applyFill="1" applyBorder="1" applyAlignment="1">
      <alignment horizontal="center" vertical="center"/>
    </xf>
    <xf numFmtId="4" fontId="3" fillId="32" borderId="278" xfId="0" applyNumberFormat="1" applyFont="1" applyFill="1" applyBorder="1" applyAlignment="1">
      <alignment horizontal="center" vertical="center"/>
    </xf>
    <xf numFmtId="0" fontId="0" fillId="33" borderId="73" xfId="0" applyFill="1" applyBorder="1" applyAlignment="1">
      <alignment horizontal="center"/>
    </xf>
    <xf numFmtId="0" fontId="0" fillId="33" borderId="81" xfId="0" applyFill="1" applyBorder="1" applyAlignment="1">
      <alignment horizontal="center"/>
    </xf>
    <xf numFmtId="14" fontId="22" fillId="33" borderId="35" xfId="43" applyNumberFormat="1" applyFont="1" applyFill="1" applyBorder="1" applyAlignment="1">
      <alignment horizontal="center" vertical="center"/>
    </xf>
    <xf numFmtId="0" fontId="15" fillId="33" borderId="137" xfId="43" applyFont="1" applyFill="1" applyBorder="1" applyAlignment="1">
      <alignment horizontal="center"/>
    </xf>
    <xf numFmtId="0" fontId="5" fillId="33" borderId="72" xfId="43" applyFont="1" applyFill="1" applyBorder="1" applyAlignment="1">
      <alignment horizontal="left" vertical="center" indent="1"/>
    </xf>
    <xf numFmtId="0" fontId="5" fillId="33" borderId="73" xfId="43" applyFont="1" applyFill="1" applyBorder="1" applyAlignment="1">
      <alignment horizontal="left" vertical="center" indent="1"/>
    </xf>
    <xf numFmtId="0" fontId="5" fillId="33" borderId="81" xfId="43" applyFont="1" applyFill="1" applyBorder="1" applyAlignment="1">
      <alignment horizontal="left" vertical="center" indent="1"/>
    </xf>
    <xf numFmtId="0" fontId="63" fillId="32" borderId="348" xfId="43" applyFont="1" applyFill="1" applyBorder="1" applyAlignment="1">
      <alignment vertical="center"/>
    </xf>
    <xf numFmtId="164" fontId="6" fillId="32" borderId="22" xfId="43" applyNumberFormat="1" applyFont="1" applyFill="1" applyBorder="1" applyAlignment="1">
      <alignment vertical="center"/>
    </xf>
    <xf numFmtId="0" fontId="60" fillId="32" borderId="22" xfId="43" applyFont="1" applyFill="1" applyBorder="1" applyAlignment="1">
      <alignment vertical="center"/>
    </xf>
    <xf numFmtId="164" fontId="5" fillId="32" borderId="349" xfId="43" applyNumberFormat="1" applyFont="1" applyFill="1" applyBorder="1" applyAlignment="1">
      <alignment vertical="center"/>
    </xf>
    <xf numFmtId="0" fontId="63" fillId="32" borderId="349" xfId="43" applyFont="1" applyFill="1" applyBorder="1" applyAlignment="1">
      <alignment vertical="center"/>
    </xf>
    <xf numFmtId="164" fontId="6" fillId="0" borderId="243" xfId="43" applyNumberFormat="1" applyFont="1" applyBorder="1" applyAlignment="1">
      <alignment vertical="center"/>
    </xf>
    <xf numFmtId="0" fontId="60" fillId="0" borderId="16" xfId="43" applyFont="1" applyBorder="1" applyAlignment="1">
      <alignment vertical="center"/>
    </xf>
    <xf numFmtId="0" fontId="60" fillId="0" borderId="244" xfId="43" applyFont="1" applyBorder="1" applyAlignment="1">
      <alignment vertical="center"/>
    </xf>
    <xf numFmtId="164" fontId="3" fillId="33" borderId="102" xfId="43" applyNumberFormat="1" applyFont="1" applyFill="1" applyBorder="1" applyAlignment="1">
      <alignment vertical="center"/>
    </xf>
    <xf numFmtId="0" fontId="62" fillId="33" borderId="76" xfId="43" applyFont="1" applyFill="1" applyBorder="1" applyAlignment="1">
      <alignment vertical="center"/>
    </xf>
    <xf numFmtId="0" fontId="62" fillId="33" borderId="197" xfId="43" applyFont="1" applyFill="1" applyBorder="1" applyAlignment="1">
      <alignment vertical="center"/>
    </xf>
    <xf numFmtId="37" fontId="8" fillId="26" borderId="23" xfId="43" applyNumberFormat="1" applyFont="1" applyFill="1" applyBorder="1" applyAlignment="1">
      <alignment horizontal="center" vertical="center"/>
    </xf>
    <xf numFmtId="164" fontId="6" fillId="33" borderId="347" xfId="43" applyNumberFormat="1" applyFont="1" applyFill="1" applyBorder="1" applyAlignment="1">
      <alignment vertical="center"/>
    </xf>
    <xf numFmtId="0" fontId="60" fillId="33" borderId="347" xfId="43" applyFont="1" applyFill="1" applyBorder="1" applyAlignment="1">
      <alignment vertical="center"/>
    </xf>
    <xf numFmtId="0" fontId="60" fillId="33" borderId="348" xfId="43" applyFont="1" applyFill="1" applyBorder="1" applyAlignment="1">
      <alignment vertical="center"/>
    </xf>
    <xf numFmtId="0" fontId="63" fillId="33" borderId="350" xfId="43" applyFont="1" applyFill="1" applyBorder="1" applyAlignment="1">
      <alignment vertical="center"/>
    </xf>
    <xf numFmtId="164" fontId="6" fillId="33" borderId="203" xfId="43" applyNumberFormat="1" applyFont="1" applyFill="1" applyBorder="1" applyAlignment="1">
      <alignment vertical="center"/>
    </xf>
    <xf numFmtId="164" fontId="6" fillId="32" borderId="243" xfId="43" applyNumberFormat="1" applyFont="1" applyFill="1" applyBorder="1" applyAlignment="1">
      <alignment vertical="center"/>
    </xf>
    <xf numFmtId="164" fontId="6" fillId="32" borderId="16" xfId="43" applyNumberFormat="1" applyFont="1" applyFill="1" applyBorder="1" applyAlignment="1">
      <alignment vertical="center"/>
    </xf>
    <xf numFmtId="164" fontId="6" fillId="32" borderId="211" xfId="43" applyNumberFormat="1" applyFont="1" applyFill="1" applyBorder="1" applyAlignment="1">
      <alignment vertical="center"/>
    </xf>
    <xf numFmtId="172" fontId="6" fillId="32" borderId="243" xfId="43" applyNumberFormat="1" applyFont="1" applyFill="1" applyBorder="1" applyAlignment="1">
      <alignment horizontal="center" vertical="center"/>
    </xf>
    <xf numFmtId="172" fontId="6" fillId="32" borderId="16" xfId="43" applyNumberFormat="1" applyFont="1" applyFill="1" applyBorder="1" applyAlignment="1">
      <alignment horizontal="center" vertical="center"/>
    </xf>
    <xf numFmtId="172" fontId="6" fillId="32" borderId="211" xfId="43" applyNumberFormat="1" applyFont="1" applyFill="1" applyBorder="1" applyAlignment="1">
      <alignment horizontal="center" vertical="center"/>
    </xf>
    <xf numFmtId="164" fontId="3" fillId="38" borderId="243" xfId="43" applyNumberFormat="1" applyFont="1" applyFill="1" applyBorder="1" applyAlignment="1">
      <alignment vertical="center"/>
    </xf>
    <xf numFmtId="164" fontId="3" fillId="38" borderId="16" xfId="43" applyNumberFormat="1" applyFont="1" applyFill="1" applyBorder="1" applyAlignment="1">
      <alignment vertical="center"/>
    </xf>
    <xf numFmtId="164" fontId="3" fillId="38" borderId="211" xfId="43" applyNumberFormat="1" applyFont="1" applyFill="1" applyBorder="1" applyAlignment="1">
      <alignment vertical="center"/>
    </xf>
    <xf numFmtId="164" fontId="5" fillId="32" borderId="19" xfId="43" applyNumberFormat="1" applyFont="1" applyFill="1" applyBorder="1" applyAlignment="1">
      <alignment vertical="center"/>
    </xf>
    <xf numFmtId="0" fontId="63" fillId="32" borderId="73" xfId="43" applyFont="1" applyFill="1" applyBorder="1" applyAlignment="1">
      <alignment vertical="center"/>
    </xf>
    <xf numFmtId="0" fontId="63" fillId="32" borderId="81" xfId="43" applyFont="1" applyFill="1" applyBorder="1" applyAlignment="1">
      <alignment vertical="center"/>
    </xf>
    <xf numFmtId="164" fontId="6" fillId="0" borderId="243" xfId="43" applyNumberFormat="1" applyFont="1" applyBorder="1" applyAlignment="1">
      <alignment horizontal="center" vertical="center"/>
    </xf>
    <xf numFmtId="164" fontId="6" fillId="0" borderId="16" xfId="43" applyNumberFormat="1" applyFont="1" applyBorder="1" applyAlignment="1">
      <alignment horizontal="center" vertical="center"/>
    </xf>
    <xf numFmtId="164" fontId="6" fillId="0" borderId="244" xfId="43" applyNumberFormat="1" applyFont="1" applyBorder="1" applyAlignment="1">
      <alignment horizontal="center" vertical="center"/>
    </xf>
    <xf numFmtId="3" fontId="3" fillId="32" borderId="352" xfId="0" applyNumberFormat="1" applyFont="1" applyFill="1" applyBorder="1" applyAlignment="1" applyProtection="1">
      <alignment horizontal="center" vertical="top" wrapText="1"/>
    </xf>
    <xf numFmtId="3" fontId="3" fillId="32" borderId="353" xfId="0" applyNumberFormat="1" applyFont="1" applyFill="1" applyBorder="1" applyAlignment="1" applyProtection="1">
      <alignment horizontal="center" vertical="top" wrapText="1"/>
    </xf>
    <xf numFmtId="164" fontId="3" fillId="32" borderId="238" xfId="43" applyNumberFormat="1" applyFont="1" applyFill="1" applyBorder="1" applyAlignment="1">
      <alignment horizontal="center" vertical="center"/>
    </xf>
    <xf numFmtId="164" fontId="3" fillId="32" borderId="354" xfId="43" applyNumberFormat="1" applyFont="1" applyFill="1" applyBorder="1" applyAlignment="1">
      <alignment horizontal="center" vertical="center"/>
    </xf>
    <xf numFmtId="164" fontId="22" fillId="33" borderId="26" xfId="43" applyNumberFormat="1" applyFont="1" applyFill="1" applyBorder="1" applyAlignment="1">
      <alignment vertical="center"/>
    </xf>
    <xf numFmtId="0" fontId="20" fillId="26" borderId="33" xfId="43" applyFont="1" applyFill="1" applyBorder="1" applyAlignment="1">
      <alignment horizontal="center" vertical="center" wrapText="1"/>
    </xf>
    <xf numFmtId="3" fontId="3" fillId="32" borderId="355" xfId="0" applyNumberFormat="1" applyFont="1" applyFill="1" applyBorder="1" applyAlignment="1" applyProtection="1">
      <alignment horizontal="center" vertical="top" wrapText="1"/>
    </xf>
    <xf numFmtId="3" fontId="3" fillId="32" borderId="192" xfId="0" applyNumberFormat="1" applyFont="1" applyFill="1" applyBorder="1" applyAlignment="1" applyProtection="1">
      <alignment horizontal="center" vertical="top" wrapText="1"/>
    </xf>
    <xf numFmtId="164" fontId="3" fillId="0" borderId="243" xfId="43" applyNumberFormat="1" applyFont="1" applyBorder="1" applyAlignment="1">
      <alignment vertical="center"/>
    </xf>
    <xf numFmtId="0" fontId="62" fillId="0" borderId="16" xfId="43" applyFont="1" applyBorder="1" applyAlignment="1">
      <alignment vertical="center"/>
    </xf>
    <xf numFmtId="0" fontId="62" fillId="0" borderId="244" xfId="43" applyFont="1" applyBorder="1" applyAlignment="1">
      <alignment vertical="center"/>
    </xf>
    <xf numFmtId="164" fontId="3" fillId="33" borderId="103" xfId="43" applyNumberFormat="1" applyFont="1" applyFill="1" applyBorder="1" applyAlignment="1">
      <alignment vertical="center"/>
    </xf>
    <xf numFmtId="0" fontId="62" fillId="33" borderId="162" xfId="43" applyFont="1" applyFill="1" applyBorder="1" applyAlignment="1">
      <alignment vertical="center"/>
    </xf>
    <xf numFmtId="0" fontId="62" fillId="33" borderId="255" xfId="43" applyFont="1" applyFill="1" applyBorder="1" applyAlignment="1">
      <alignment vertical="center"/>
    </xf>
    <xf numFmtId="37" fontId="8" fillId="26" borderId="18" xfId="43" quotePrefix="1" applyNumberFormat="1" applyFont="1" applyFill="1" applyBorder="1" applyAlignment="1">
      <alignment horizontal="center" vertical="center" wrapText="1"/>
    </xf>
    <xf numFmtId="37" fontId="8" fillId="26" borderId="18" xfId="43" applyNumberFormat="1" applyFont="1" applyFill="1" applyBorder="1" applyAlignment="1">
      <alignment horizontal="center" vertical="center" wrapText="1"/>
    </xf>
    <xf numFmtId="164" fontId="3" fillId="33" borderId="338" xfId="43" applyNumberFormat="1" applyFont="1" applyFill="1" applyBorder="1" applyAlignment="1">
      <alignment vertical="center"/>
    </xf>
    <xf numFmtId="0" fontId="62" fillId="33" borderId="137" xfId="43" applyFont="1" applyFill="1" applyBorder="1" applyAlignment="1">
      <alignment vertical="center"/>
    </xf>
    <xf numFmtId="0" fontId="62" fillId="33" borderId="279" xfId="43" applyFont="1" applyFill="1" applyBorder="1" applyAlignment="1">
      <alignment vertical="center"/>
    </xf>
    <xf numFmtId="164" fontId="3" fillId="33" borderId="100" xfId="43" applyNumberFormat="1" applyFont="1" applyFill="1" applyBorder="1" applyAlignment="1">
      <alignment horizontal="right" vertical="center"/>
    </xf>
    <xf numFmtId="164" fontId="3" fillId="33" borderId="75" xfId="43" applyNumberFormat="1" applyFont="1" applyFill="1" applyBorder="1" applyAlignment="1">
      <alignment horizontal="right" vertical="center"/>
    </xf>
    <xf numFmtId="164" fontId="3" fillId="33" borderId="192" xfId="43" applyNumberFormat="1" applyFont="1" applyFill="1" applyBorder="1" applyAlignment="1">
      <alignment horizontal="right" vertical="center"/>
    </xf>
    <xf numFmtId="37" fontId="3" fillId="0" borderId="19" xfId="43" quotePrefix="1" applyNumberFormat="1" applyFont="1" applyBorder="1" applyAlignment="1">
      <alignment horizontal="center" vertical="center"/>
    </xf>
    <xf numFmtId="37" fontId="3" fillId="0" borderId="73" xfId="43" applyNumberFormat="1" applyFont="1" applyBorder="1" applyAlignment="1">
      <alignment horizontal="center" vertical="center"/>
    </xf>
    <xf numFmtId="37" fontId="3" fillId="0" borderId="81" xfId="43" applyNumberFormat="1" applyFont="1" applyBorder="1" applyAlignment="1">
      <alignment horizontal="center" vertical="center"/>
    </xf>
    <xf numFmtId="3" fontId="3" fillId="32" borderId="25" xfId="43" applyNumberFormat="1" applyFont="1" applyFill="1" applyBorder="1" applyAlignment="1">
      <alignment vertical="center"/>
    </xf>
    <xf numFmtId="164" fontId="3" fillId="32" borderId="338" xfId="43" applyNumberFormat="1" applyFont="1" applyFill="1" applyBorder="1" applyAlignment="1">
      <alignment vertical="center"/>
    </xf>
    <xf numFmtId="164" fontId="3" fillId="32" borderId="137" xfId="43" applyNumberFormat="1" applyFont="1" applyFill="1" applyBorder="1" applyAlignment="1">
      <alignment vertical="center"/>
    </xf>
    <xf numFmtId="164" fontId="3" fillId="32" borderId="279" xfId="43" applyNumberFormat="1" applyFont="1" applyFill="1" applyBorder="1" applyAlignment="1">
      <alignment vertical="center"/>
    </xf>
    <xf numFmtId="164" fontId="3" fillId="32" borderId="100" xfId="43" applyNumberFormat="1" applyFont="1" applyFill="1" applyBorder="1" applyAlignment="1">
      <alignment vertical="center"/>
    </xf>
    <xf numFmtId="164" fontId="3" fillId="32" borderId="75" xfId="43" applyNumberFormat="1" applyFont="1" applyFill="1" applyBorder="1" applyAlignment="1">
      <alignment vertical="center"/>
    </xf>
    <xf numFmtId="164" fontId="3" fillId="32" borderId="192" xfId="43" applyNumberFormat="1" applyFont="1" applyFill="1" applyBorder="1" applyAlignment="1">
      <alignment vertical="center"/>
    </xf>
    <xf numFmtId="164" fontId="3" fillId="32" borderId="102" xfId="43" applyNumberFormat="1" applyFont="1" applyFill="1" applyBorder="1" applyAlignment="1">
      <alignment vertical="center"/>
    </xf>
    <xf numFmtId="164" fontId="3" fillId="32" borderId="76" xfId="43" applyNumberFormat="1" applyFont="1" applyFill="1" applyBorder="1" applyAlignment="1">
      <alignment vertical="center"/>
    </xf>
    <xf numFmtId="164" fontId="3" fillId="32" borderId="197" xfId="43" applyNumberFormat="1" applyFont="1" applyFill="1" applyBorder="1" applyAlignment="1">
      <alignment vertical="center"/>
    </xf>
    <xf numFmtId="164" fontId="7" fillId="32" borderId="243" xfId="43" applyNumberFormat="1" applyFont="1" applyFill="1" applyBorder="1" applyAlignment="1">
      <alignment vertical="center"/>
    </xf>
    <xf numFmtId="164" fontId="7" fillId="32" borderId="16" xfId="43" applyNumberFormat="1" applyFont="1" applyFill="1" applyBorder="1" applyAlignment="1">
      <alignment vertical="center"/>
    </xf>
    <xf numFmtId="164" fontId="7" fillId="32" borderId="244" xfId="43" applyNumberFormat="1" applyFont="1" applyFill="1" applyBorder="1" applyAlignment="1">
      <alignment vertical="center"/>
    </xf>
    <xf numFmtId="173" fontId="6" fillId="33" borderId="32" xfId="43" applyNumberFormat="1" applyFont="1" applyFill="1" applyBorder="1" applyAlignment="1">
      <alignment horizontal="center" vertical="center"/>
    </xf>
    <xf numFmtId="37" fontId="101" fillId="33" borderId="293" xfId="43" applyNumberFormat="1" applyFont="1" applyFill="1" applyBorder="1" applyAlignment="1">
      <alignment vertical="center"/>
    </xf>
    <xf numFmtId="173" fontId="6" fillId="33" borderId="28" xfId="43" applyNumberFormat="1" applyFont="1" applyFill="1" applyBorder="1" applyAlignment="1">
      <alignment horizontal="center" vertical="center"/>
    </xf>
    <xf numFmtId="37" fontId="5" fillId="33" borderId="81" xfId="43" applyNumberFormat="1" applyFont="1" applyFill="1" applyBorder="1" applyAlignment="1">
      <alignment vertical="center"/>
    </xf>
    <xf numFmtId="173" fontId="6" fillId="33" borderId="35" xfId="43" applyNumberFormat="1" applyFont="1" applyFill="1" applyBorder="1" applyAlignment="1">
      <alignment horizontal="center" vertical="center"/>
    </xf>
    <xf numFmtId="37" fontId="101" fillId="33" borderId="251" xfId="43" applyNumberFormat="1" applyFont="1" applyFill="1" applyBorder="1" applyAlignment="1">
      <alignment vertical="center"/>
    </xf>
    <xf numFmtId="3" fontId="7" fillId="32" borderId="25" xfId="43" applyNumberFormat="1" applyFont="1" applyFill="1" applyBorder="1" applyAlignment="1">
      <alignment vertical="center"/>
    </xf>
    <xf numFmtId="37" fontId="3" fillId="33" borderId="109" xfId="43" applyNumberFormat="1" applyFont="1" applyFill="1" applyBorder="1" applyAlignment="1">
      <alignment horizontal="center" vertical="center"/>
    </xf>
    <xf numFmtId="37" fontId="3" fillId="33" borderId="257" xfId="43" applyNumberFormat="1" applyFont="1" applyFill="1" applyBorder="1" applyAlignment="1">
      <alignment horizontal="center" vertical="center"/>
    </xf>
    <xf numFmtId="37" fontId="3" fillId="33" borderId="186" xfId="43" applyNumberFormat="1" applyFont="1" applyFill="1" applyBorder="1" applyAlignment="1">
      <alignment horizontal="center" vertical="center"/>
    </xf>
    <xf numFmtId="173" fontId="6" fillId="33" borderId="37" xfId="43" applyNumberFormat="1" applyFont="1" applyFill="1" applyBorder="1" applyAlignment="1">
      <alignment horizontal="center" vertical="center"/>
    </xf>
    <xf numFmtId="173" fontId="6" fillId="33" borderId="22" xfId="43" applyNumberFormat="1" applyFont="1" applyFill="1" applyBorder="1" applyAlignment="1">
      <alignment horizontal="center" vertical="center"/>
    </xf>
    <xf numFmtId="164" fontId="5" fillId="32" borderId="73" xfId="43" applyNumberFormat="1" applyFont="1" applyFill="1" applyBorder="1" applyAlignment="1">
      <alignment vertical="center"/>
    </xf>
    <xf numFmtId="164" fontId="5" fillId="32" borderId="242" xfId="43" applyNumberFormat="1" applyFont="1" applyFill="1" applyBorder="1" applyAlignment="1">
      <alignment vertical="center"/>
    </xf>
    <xf numFmtId="37" fontId="3" fillId="33" borderId="171" xfId="43" applyNumberFormat="1" applyFont="1" applyFill="1" applyBorder="1" applyAlignment="1">
      <alignment horizontal="center" vertical="center"/>
    </xf>
    <xf numFmtId="37" fontId="19" fillId="26" borderId="30" xfId="43" applyNumberFormat="1" applyFont="1" applyFill="1" applyBorder="1" applyAlignment="1">
      <alignment horizontal="center" vertical="center" wrapText="1"/>
    </xf>
    <xf numFmtId="173" fontId="6" fillId="33" borderId="25" xfId="43" applyNumberFormat="1" applyFont="1" applyFill="1" applyBorder="1" applyAlignment="1">
      <alignment horizontal="center" vertical="center"/>
    </xf>
    <xf numFmtId="173" fontId="6" fillId="33" borderId="36" xfId="43" applyNumberFormat="1" applyFont="1" applyFill="1" applyBorder="1" applyAlignment="1">
      <alignment horizontal="center" vertical="center"/>
    </xf>
    <xf numFmtId="37" fontId="3" fillId="33" borderId="170" xfId="43" applyNumberFormat="1" applyFont="1" applyFill="1" applyBorder="1" applyAlignment="1">
      <alignment horizontal="center" vertical="center"/>
    </xf>
    <xf numFmtId="37" fontId="3" fillId="33" borderId="274" xfId="43" applyNumberFormat="1" applyFont="1" applyFill="1" applyBorder="1" applyAlignment="1">
      <alignment horizontal="center" vertical="center"/>
    </xf>
    <xf numFmtId="37" fontId="3" fillId="33" borderId="275" xfId="43" applyNumberFormat="1" applyFont="1" applyFill="1" applyBorder="1" applyAlignment="1">
      <alignment horizontal="center" vertical="center"/>
    </xf>
    <xf numFmtId="172" fontId="6" fillId="0" borderId="22" xfId="43" applyNumberFormat="1" applyFont="1" applyFill="1" applyBorder="1" applyAlignment="1">
      <alignment horizontal="center" vertical="center"/>
    </xf>
    <xf numFmtId="164" fontId="3" fillId="0" borderId="25" xfId="43" applyNumberFormat="1" applyFont="1" applyFill="1" applyBorder="1" applyAlignment="1">
      <alignment vertical="center"/>
    </xf>
    <xf numFmtId="0" fontId="8" fillId="26" borderId="18" xfId="43" quotePrefix="1" applyFont="1" applyFill="1" applyBorder="1" applyAlignment="1">
      <alignment horizontal="center" vertical="center"/>
    </xf>
    <xf numFmtId="0" fontId="8" fillId="26" borderId="20" xfId="43" applyFont="1" applyFill="1" applyBorder="1" applyAlignment="1">
      <alignment horizontal="center" vertical="center"/>
    </xf>
    <xf numFmtId="3" fontId="5" fillId="32" borderId="18" xfId="43" applyNumberFormat="1" applyFont="1" applyFill="1" applyBorder="1" applyAlignment="1">
      <alignment vertical="center"/>
    </xf>
    <xf numFmtId="3" fontId="5" fillId="32" borderId="20" xfId="43" applyNumberFormat="1" applyFont="1" applyFill="1" applyBorder="1" applyAlignment="1">
      <alignment vertical="center"/>
    </xf>
    <xf numFmtId="3" fontId="7" fillId="32" borderId="35" xfId="43" applyNumberFormat="1" applyFont="1" applyFill="1" applyBorder="1" applyAlignment="1">
      <alignment vertical="center"/>
    </xf>
    <xf numFmtId="37" fontId="101" fillId="33" borderId="356" xfId="43" applyNumberFormat="1" applyFont="1" applyFill="1" applyBorder="1" applyAlignment="1">
      <alignment vertical="center"/>
    </xf>
    <xf numFmtId="3" fontId="3" fillId="32" borderId="32" xfId="43" applyNumberFormat="1" applyFont="1" applyFill="1" applyBorder="1" applyAlignment="1">
      <alignment vertical="center"/>
    </xf>
    <xf numFmtId="168" fontId="6" fillId="0" borderId="25" xfId="43" applyNumberFormat="1" applyFont="1" applyFill="1" applyBorder="1" applyAlignment="1">
      <alignment vertical="center"/>
    </xf>
    <xf numFmtId="39" fontId="6" fillId="0" borderId="25" xfId="43" applyNumberFormat="1" applyFont="1" applyFill="1" applyBorder="1" applyAlignment="1">
      <alignment horizontal="center" vertical="center"/>
    </xf>
    <xf numFmtId="164" fontId="6" fillId="0" borderId="25" xfId="43" applyNumberFormat="1" applyFont="1" applyFill="1" applyBorder="1" applyAlignment="1">
      <alignment vertical="center"/>
    </xf>
    <xf numFmtId="0" fontId="22" fillId="0" borderId="75" xfId="43" applyFont="1" applyFill="1" applyBorder="1" applyAlignment="1">
      <alignment horizontal="center" vertical="center"/>
    </xf>
    <xf numFmtId="0" fontId="22" fillId="0" borderId="138" xfId="43" applyFont="1" applyFill="1" applyBorder="1" applyAlignment="1">
      <alignment horizontal="center" vertical="center"/>
    </xf>
    <xf numFmtId="0" fontId="6" fillId="0" borderId="25" xfId="43" applyFont="1" applyFill="1" applyBorder="1" applyAlignment="1">
      <alignment horizontal="center" vertical="center"/>
    </xf>
    <xf numFmtId="0" fontId="3" fillId="0" borderId="25" xfId="43" applyFont="1" applyFill="1" applyBorder="1" applyAlignment="1">
      <alignment horizontal="center" vertical="center"/>
    </xf>
    <xf numFmtId="37" fontId="8" fillId="26" borderId="358" xfId="43" applyNumberFormat="1" applyFont="1" applyFill="1" applyBorder="1" applyAlignment="1">
      <alignment horizontal="center" vertical="center"/>
    </xf>
    <xf numFmtId="37" fontId="8" fillId="26" borderId="322" xfId="43" applyNumberFormat="1" applyFont="1" applyFill="1" applyBorder="1" applyAlignment="1">
      <alignment horizontal="center" vertical="center"/>
    </xf>
    <xf numFmtId="172" fontId="6" fillId="0" borderId="23" xfId="43" applyNumberFormat="1" applyFont="1" applyFill="1" applyBorder="1" applyAlignment="1">
      <alignment horizontal="center" vertical="center"/>
    </xf>
    <xf numFmtId="164" fontId="3" fillId="0" borderId="26" xfId="43" applyNumberFormat="1" applyFont="1" applyFill="1" applyBorder="1" applyAlignment="1">
      <alignment vertical="center"/>
    </xf>
    <xf numFmtId="168" fontId="6" fillId="0" borderId="26" xfId="43" applyNumberFormat="1" applyFont="1" applyFill="1" applyBorder="1" applyAlignment="1">
      <alignment vertical="center"/>
    </xf>
    <xf numFmtId="39" fontId="6" fillId="0" borderId="26" xfId="43" applyNumberFormat="1" applyFont="1" applyFill="1" applyBorder="1" applyAlignment="1">
      <alignment horizontal="center" vertical="center"/>
    </xf>
    <xf numFmtId="3" fontId="3" fillId="32" borderId="28" xfId="43" applyNumberFormat="1" applyFont="1" applyFill="1" applyBorder="1" applyAlignment="1">
      <alignment vertical="center"/>
    </xf>
    <xf numFmtId="3" fontId="7" fillId="32" borderId="100" xfId="43" applyNumberFormat="1" applyFont="1" applyFill="1" applyBorder="1" applyAlignment="1">
      <alignment horizontal="center" vertical="center"/>
    </xf>
    <xf numFmtId="3" fontId="7" fillId="32" borderId="75" xfId="43" applyNumberFormat="1" applyFont="1" applyFill="1" applyBorder="1" applyAlignment="1">
      <alignment horizontal="center" vertical="center"/>
    </xf>
    <xf numFmtId="3" fontId="7" fillId="32" borderId="138" xfId="43" applyNumberFormat="1" applyFont="1" applyFill="1" applyBorder="1" applyAlignment="1">
      <alignment horizontal="center" vertical="center"/>
    </xf>
    <xf numFmtId="0" fontId="6" fillId="0" borderId="26" xfId="43" applyFont="1" applyFill="1" applyBorder="1" applyAlignment="1">
      <alignment horizontal="center" vertical="center"/>
    </xf>
    <xf numFmtId="0" fontId="14" fillId="0" borderId="25" xfId="43" applyFont="1" applyFill="1" applyBorder="1" applyAlignment="1">
      <alignment horizontal="center" vertical="center"/>
    </xf>
    <xf numFmtId="0" fontId="14" fillId="0" borderId="26" xfId="43" applyFont="1" applyFill="1" applyBorder="1" applyAlignment="1">
      <alignment horizontal="center" vertical="center"/>
    </xf>
    <xf numFmtId="0" fontId="6" fillId="0" borderId="32" xfId="43" applyFont="1" applyFill="1" applyBorder="1" applyAlignment="1">
      <alignment horizontal="center" vertical="center"/>
    </xf>
    <xf numFmtId="0" fontId="22" fillId="0" borderId="76" xfId="43" applyFont="1" applyFill="1" applyBorder="1" applyAlignment="1">
      <alignment horizontal="center" vertical="center"/>
    </xf>
    <xf numFmtId="0" fontId="22" fillId="0" borderId="196" xfId="43" applyFont="1" applyFill="1" applyBorder="1" applyAlignment="1">
      <alignment horizontal="center" vertical="center"/>
    </xf>
    <xf numFmtId="9" fontId="6" fillId="0" borderId="25" xfId="46" applyFont="1" applyFill="1" applyBorder="1" applyAlignment="1">
      <alignment horizontal="center" vertical="center"/>
    </xf>
    <xf numFmtId="37" fontId="23" fillId="26" borderId="113" xfId="43" applyNumberFormat="1" applyFont="1" applyFill="1" applyBorder="1" applyAlignment="1">
      <alignment horizontal="center"/>
    </xf>
    <xf numFmtId="37" fontId="23" fillId="26" borderId="16" xfId="43" applyNumberFormat="1" applyFont="1" applyFill="1" applyBorder="1" applyAlignment="1">
      <alignment horizontal="center"/>
    </xf>
    <xf numFmtId="37" fontId="8" fillId="26" borderId="80" xfId="43" applyNumberFormat="1" applyFont="1" applyFill="1" applyBorder="1" applyAlignment="1">
      <alignment horizontal="center" vertical="center"/>
    </xf>
    <xf numFmtId="37" fontId="8" fillId="26" borderId="16" xfId="43" applyNumberFormat="1" applyFont="1" applyFill="1" applyBorder="1" applyAlignment="1">
      <alignment horizontal="center" vertical="center"/>
    </xf>
    <xf numFmtId="164" fontId="3" fillId="32" borderId="252" xfId="43" applyNumberFormat="1" applyFont="1" applyFill="1" applyBorder="1" applyAlignment="1">
      <alignment vertical="center"/>
    </xf>
    <xf numFmtId="164" fontId="3" fillId="32" borderId="357" xfId="43" applyNumberFormat="1" applyFont="1" applyFill="1" applyBorder="1" applyAlignment="1">
      <alignment vertical="center"/>
    </xf>
    <xf numFmtId="37" fontId="8" fillId="26" borderId="79" xfId="43" applyNumberFormat="1" applyFont="1" applyFill="1" applyBorder="1" applyAlignment="1">
      <alignment horizontal="center" vertical="center"/>
    </xf>
    <xf numFmtId="37" fontId="8" fillId="26" borderId="113" xfId="43" applyNumberFormat="1" applyFont="1" applyFill="1" applyBorder="1" applyAlignment="1">
      <alignment horizontal="center" vertical="center"/>
    </xf>
    <xf numFmtId="164" fontId="3" fillId="32" borderId="138" xfId="43" applyNumberFormat="1" applyFont="1" applyFill="1" applyBorder="1" applyAlignment="1">
      <alignment vertical="center"/>
    </xf>
    <xf numFmtId="164" fontId="3" fillId="32" borderId="26" xfId="43" applyNumberFormat="1" applyFont="1" applyFill="1" applyBorder="1" applyAlignment="1">
      <alignment vertical="center"/>
    </xf>
    <xf numFmtId="164" fontId="7" fillId="32" borderId="343" xfId="43" applyNumberFormat="1" applyFont="1" applyFill="1" applyBorder="1" applyAlignment="1">
      <alignment vertical="center"/>
    </xf>
    <xf numFmtId="37" fontId="8" fillId="26" borderId="36" xfId="43" applyNumberFormat="1" applyFont="1" applyFill="1" applyBorder="1" applyAlignment="1">
      <alignment horizontal="center"/>
    </xf>
    <xf numFmtId="37" fontId="8" fillId="26" borderId="358" xfId="43" applyNumberFormat="1" applyFont="1" applyFill="1" applyBorder="1" applyAlignment="1">
      <alignment horizontal="center"/>
    </xf>
    <xf numFmtId="164" fontId="7" fillId="32" borderId="349" xfId="43" applyNumberFormat="1" applyFont="1" applyFill="1" applyBorder="1" applyAlignment="1">
      <alignment vertical="center"/>
    </xf>
    <xf numFmtId="164" fontId="3" fillId="32" borderId="129" xfId="43" applyNumberFormat="1" applyFont="1" applyFill="1" applyBorder="1" applyAlignment="1">
      <alignment vertical="center"/>
    </xf>
    <xf numFmtId="164" fontId="3" fillId="32" borderId="116" xfId="43" applyNumberFormat="1" applyFont="1" applyFill="1" applyBorder="1" applyAlignment="1">
      <alignment vertical="center"/>
    </xf>
    <xf numFmtId="164" fontId="3" fillId="32" borderId="344" xfId="43" applyNumberFormat="1" applyFont="1" applyFill="1" applyBorder="1" applyAlignment="1">
      <alignment vertical="center"/>
    </xf>
    <xf numFmtId="164" fontId="7" fillId="32" borderId="129" xfId="43" applyNumberFormat="1" applyFont="1" applyFill="1" applyBorder="1" applyAlignment="1">
      <alignment vertical="center"/>
    </xf>
    <xf numFmtId="164" fontId="7" fillId="32" borderId="116" xfId="43" applyNumberFormat="1" applyFont="1" applyFill="1" applyBorder="1" applyAlignment="1">
      <alignment vertical="center"/>
    </xf>
    <xf numFmtId="164" fontId="7" fillId="32" borderId="344" xfId="43" applyNumberFormat="1" applyFont="1" applyFill="1" applyBorder="1" applyAlignment="1">
      <alignment vertical="center"/>
    </xf>
    <xf numFmtId="164" fontId="7" fillId="32" borderId="19" xfId="43" applyNumberFormat="1" applyFont="1" applyFill="1" applyBorder="1" applyAlignment="1">
      <alignment vertical="center"/>
    </xf>
    <xf numFmtId="164" fontId="7" fillId="32" borderId="73" xfId="43" applyNumberFormat="1" applyFont="1" applyFill="1" applyBorder="1" applyAlignment="1">
      <alignment vertical="center"/>
    </xf>
    <xf numFmtId="164" fontId="7" fillId="32" borderId="242" xfId="43" applyNumberFormat="1" applyFont="1" applyFill="1" applyBorder="1" applyAlignment="1">
      <alignment vertical="center"/>
    </xf>
    <xf numFmtId="37" fontId="5" fillId="33" borderId="134" xfId="43" applyNumberFormat="1" applyFont="1" applyFill="1" applyBorder="1" applyAlignment="1">
      <alignment horizontal="left" vertical="center" wrapText="1" indent="1"/>
    </xf>
    <xf numFmtId="0" fontId="57" fillId="33" borderId="135" xfId="43" applyFont="1" applyFill="1" applyBorder="1" applyAlignment="1">
      <alignment horizontal="left" wrapText="1" indent="1"/>
    </xf>
    <xf numFmtId="0" fontId="57" fillId="33" borderId="213" xfId="43" applyFont="1" applyFill="1" applyBorder="1" applyAlignment="1">
      <alignment horizontal="left" wrapText="1" indent="1"/>
    </xf>
    <xf numFmtId="37" fontId="23" fillId="26" borderId="19" xfId="43" applyNumberFormat="1" applyFont="1" applyFill="1" applyBorder="1" applyAlignment="1">
      <alignment horizontal="center" vertical="center"/>
    </xf>
    <xf numFmtId="37" fontId="23" fillId="26" borderId="73" xfId="43" applyNumberFormat="1" applyFont="1" applyFill="1" applyBorder="1" applyAlignment="1">
      <alignment horizontal="center" vertical="center"/>
    </xf>
    <xf numFmtId="37" fontId="23" fillId="26" borderId="242" xfId="43" applyNumberFormat="1" applyFont="1" applyFill="1" applyBorder="1" applyAlignment="1">
      <alignment horizontal="center" vertical="center"/>
    </xf>
    <xf numFmtId="164" fontId="3" fillId="32" borderId="32" xfId="43" applyNumberFormat="1" applyFont="1" applyFill="1" applyBorder="1" applyAlignment="1">
      <alignment vertical="center"/>
    </xf>
    <xf numFmtId="37" fontId="19" fillId="26" borderId="30" xfId="43" quotePrefix="1" applyNumberFormat="1" applyFont="1" applyFill="1" applyBorder="1" applyAlignment="1">
      <alignment horizontal="center" vertical="center" wrapText="1"/>
    </xf>
    <xf numFmtId="37" fontId="3" fillId="32" borderId="24" xfId="43" quotePrefix="1" applyNumberFormat="1" applyFont="1" applyFill="1" applyBorder="1" applyAlignment="1">
      <alignment horizontal="left" vertical="center" wrapText="1" indent="1"/>
    </xf>
    <xf numFmtId="37" fontId="3" fillId="32" borderId="25" xfId="43" quotePrefix="1" applyNumberFormat="1" applyFont="1" applyFill="1" applyBorder="1" applyAlignment="1">
      <alignment horizontal="left" vertical="center" wrapText="1" indent="1"/>
    </xf>
    <xf numFmtId="37" fontId="3" fillId="32" borderId="24" xfId="43" applyNumberFormat="1" applyFont="1" applyFill="1" applyBorder="1" applyAlignment="1">
      <alignment horizontal="left" vertical="center" wrapText="1" indent="1"/>
    </xf>
    <xf numFmtId="37" fontId="3" fillId="32" borderId="21" xfId="43" quotePrefix="1" applyNumberFormat="1" applyFont="1" applyFill="1" applyBorder="1" applyAlignment="1">
      <alignment horizontal="left" vertical="center" wrapText="1" indent="1"/>
    </xf>
    <xf numFmtId="37" fontId="3" fillId="32" borderId="22" xfId="43" quotePrefix="1" applyNumberFormat="1" applyFont="1" applyFill="1" applyBorder="1" applyAlignment="1">
      <alignment horizontal="left" vertical="center" wrapText="1" indent="1"/>
    </xf>
    <xf numFmtId="37" fontId="3" fillId="32" borderId="75" xfId="43" quotePrefix="1" applyNumberFormat="1" applyFont="1" applyFill="1" applyBorder="1" applyAlignment="1">
      <alignment horizontal="left" vertical="center" wrapText="1" indent="1"/>
    </xf>
    <xf numFmtId="37" fontId="3" fillId="32" borderId="138" xfId="43" quotePrefix="1" applyNumberFormat="1" applyFont="1" applyFill="1" applyBorder="1" applyAlignment="1">
      <alignment horizontal="left" vertical="center" wrapText="1" indent="1"/>
    </xf>
    <xf numFmtId="164" fontId="3" fillId="32" borderId="272" xfId="43" applyNumberFormat="1" applyFont="1" applyFill="1" applyBorder="1" applyAlignment="1">
      <alignment vertical="center"/>
    </xf>
    <xf numFmtId="164" fontId="3" fillId="32" borderId="338" xfId="43" applyNumberFormat="1" applyFont="1" applyFill="1" applyBorder="1" applyAlignment="1" applyProtection="1">
      <alignment vertical="center"/>
      <protection locked="0"/>
    </xf>
    <xf numFmtId="164" fontId="3" fillId="32" borderId="137" xfId="43" applyNumberFormat="1" applyFont="1" applyFill="1" applyBorder="1" applyAlignment="1" applyProtection="1">
      <alignment vertical="center"/>
      <protection locked="0"/>
    </xf>
    <xf numFmtId="164" fontId="3" fillId="32" borderId="279" xfId="43" applyNumberFormat="1" applyFont="1" applyFill="1" applyBorder="1" applyAlignment="1" applyProtection="1">
      <alignment vertical="center"/>
      <protection locked="0"/>
    </xf>
    <xf numFmtId="164" fontId="3" fillId="32" borderId="25" xfId="43" applyNumberFormat="1" applyFont="1" applyFill="1" applyBorder="1" applyAlignment="1">
      <alignment horizontal="right" vertical="center"/>
    </xf>
    <xf numFmtId="164" fontId="3" fillId="33" borderId="194" xfId="43" applyNumberFormat="1" applyFont="1" applyFill="1" applyBorder="1" applyAlignment="1">
      <alignment vertical="center"/>
    </xf>
    <xf numFmtId="164" fontId="3" fillId="33" borderId="139" xfId="43" applyNumberFormat="1" applyFont="1" applyFill="1" applyBorder="1" applyAlignment="1">
      <alignment vertical="center"/>
    </xf>
    <xf numFmtId="164" fontId="3" fillId="33" borderId="195" xfId="43" applyNumberFormat="1" applyFont="1" applyFill="1" applyBorder="1" applyAlignment="1">
      <alignment vertical="center"/>
    </xf>
    <xf numFmtId="164" fontId="7" fillId="32" borderId="350" xfId="43" applyNumberFormat="1" applyFont="1" applyFill="1" applyBorder="1" applyAlignment="1">
      <alignment vertical="center"/>
    </xf>
    <xf numFmtId="164" fontId="5" fillId="32" borderId="37" xfId="43" applyNumberFormat="1" applyFont="1" applyFill="1" applyBorder="1" applyAlignment="1">
      <alignment vertical="center"/>
    </xf>
    <xf numFmtId="164" fontId="5" fillId="32" borderId="322" xfId="43" applyNumberFormat="1" applyFont="1" applyFill="1" applyBorder="1" applyAlignment="1">
      <alignment vertical="center"/>
    </xf>
    <xf numFmtId="164" fontId="3" fillId="32" borderId="22" xfId="43" applyNumberFormat="1" applyFont="1" applyFill="1" applyBorder="1" applyAlignment="1">
      <alignment horizontal="right" vertical="center"/>
    </xf>
    <xf numFmtId="164" fontId="5" fillId="33" borderId="135" xfId="43" applyNumberFormat="1" applyFont="1" applyFill="1" applyBorder="1" applyAlignment="1">
      <alignment vertical="center"/>
    </xf>
    <xf numFmtId="164" fontId="5" fillId="33" borderId="341" xfId="43" applyNumberFormat="1" applyFont="1" applyFill="1" applyBorder="1" applyAlignment="1">
      <alignment vertical="center"/>
    </xf>
    <xf numFmtId="164" fontId="3" fillId="32" borderId="243" xfId="43" applyNumberFormat="1" applyFont="1" applyFill="1" applyBorder="1" applyAlignment="1">
      <alignment vertical="center"/>
    </xf>
    <xf numFmtId="164" fontId="3" fillId="32" borderId="16" xfId="43" applyNumberFormat="1" applyFont="1" applyFill="1" applyBorder="1" applyAlignment="1">
      <alignment vertical="center"/>
    </xf>
    <xf numFmtId="164" fontId="3" fillId="32" borderId="244" xfId="43" applyNumberFormat="1" applyFont="1" applyFill="1" applyBorder="1" applyAlignment="1">
      <alignment vertical="center"/>
    </xf>
    <xf numFmtId="164" fontId="7" fillId="32" borderId="100" xfId="43" applyNumberFormat="1" applyFont="1" applyFill="1" applyBorder="1" applyAlignment="1">
      <alignment vertical="center"/>
    </xf>
    <xf numFmtId="164" fontId="7" fillId="32" borderId="75" xfId="43" applyNumberFormat="1" applyFont="1" applyFill="1" applyBorder="1" applyAlignment="1">
      <alignment vertical="center"/>
    </xf>
    <xf numFmtId="164" fontId="7" fillId="32" borderId="192" xfId="43" applyNumberFormat="1" applyFont="1" applyFill="1" applyBorder="1" applyAlignment="1">
      <alignment vertical="center"/>
    </xf>
    <xf numFmtId="164" fontId="3" fillId="32" borderId="100" xfId="43" applyNumberFormat="1" applyFont="1" applyFill="1" applyBorder="1" applyAlignment="1">
      <alignment horizontal="right" vertical="center"/>
    </xf>
    <xf numFmtId="164" fontId="3" fillId="32" borderId="75" xfId="43" applyNumberFormat="1" applyFont="1" applyFill="1" applyBorder="1" applyAlignment="1">
      <alignment horizontal="right" vertical="center"/>
    </xf>
    <xf numFmtId="164" fontId="3" fillId="32" borderId="138" xfId="43" applyNumberFormat="1" applyFont="1" applyFill="1" applyBorder="1" applyAlignment="1">
      <alignment horizontal="right" vertical="center"/>
    </xf>
    <xf numFmtId="39" fontId="7" fillId="33" borderId="100" xfId="43" applyNumberFormat="1" applyFont="1" applyFill="1" applyBorder="1" applyAlignment="1">
      <alignment horizontal="center" vertical="center"/>
    </xf>
    <xf numFmtId="39" fontId="7" fillId="33" borderId="75" xfId="43" applyNumberFormat="1" applyFont="1" applyFill="1" applyBorder="1" applyAlignment="1">
      <alignment horizontal="center" vertical="center"/>
    </xf>
    <xf numFmtId="39" fontId="7" fillId="33" borderId="192" xfId="43" applyNumberFormat="1" applyFont="1" applyFill="1" applyBorder="1" applyAlignment="1">
      <alignment horizontal="center" vertical="center"/>
    </xf>
    <xf numFmtId="39" fontId="7" fillId="33" borderId="102" xfId="43" applyNumberFormat="1" applyFont="1" applyFill="1" applyBorder="1" applyAlignment="1">
      <alignment horizontal="center" vertical="center"/>
    </xf>
    <xf numFmtId="39" fontId="7" fillId="33" borderId="76" xfId="43" applyNumberFormat="1" applyFont="1" applyFill="1" applyBorder="1" applyAlignment="1">
      <alignment horizontal="center" vertical="center"/>
    </xf>
    <xf numFmtId="39" fontId="7" fillId="33" borderId="197" xfId="43" applyNumberFormat="1" applyFont="1" applyFill="1" applyBorder="1" applyAlignment="1">
      <alignment horizontal="center" vertical="center"/>
    </xf>
    <xf numFmtId="164" fontId="5" fillId="32" borderId="20" xfId="43" applyNumberFormat="1" applyFont="1" applyFill="1" applyBorder="1" applyAlignment="1">
      <alignment vertical="center"/>
    </xf>
    <xf numFmtId="164" fontId="7" fillId="32" borderId="25" xfId="43" applyNumberFormat="1" applyFont="1" applyFill="1" applyBorder="1" applyAlignment="1">
      <alignment horizontal="right" vertical="center"/>
    </xf>
    <xf numFmtId="164" fontId="7" fillId="32" borderId="26" xfId="43" applyNumberFormat="1" applyFont="1" applyFill="1" applyBorder="1" applyAlignment="1">
      <alignment horizontal="right" vertical="center"/>
    </xf>
    <xf numFmtId="164" fontId="7" fillId="32" borderId="25" xfId="43" applyNumberFormat="1" applyFont="1" applyFill="1" applyBorder="1" applyAlignment="1">
      <alignment vertical="center"/>
    </xf>
    <xf numFmtId="164" fontId="7" fillId="32" borderId="26" xfId="43" applyNumberFormat="1" applyFont="1" applyFill="1" applyBorder="1" applyAlignment="1">
      <alignment vertical="center"/>
    </xf>
    <xf numFmtId="164" fontId="5" fillId="32" borderId="18" xfId="43" applyNumberFormat="1" applyFont="1" applyFill="1" applyBorder="1" applyAlignment="1">
      <alignment horizontal="right" vertical="center"/>
    </xf>
    <xf numFmtId="164" fontId="7" fillId="32" borderId="32" xfId="43" applyNumberFormat="1" applyFont="1" applyFill="1" applyBorder="1" applyAlignment="1">
      <alignment horizontal="right" vertical="center"/>
    </xf>
    <xf numFmtId="164" fontId="7" fillId="32" borderId="33" xfId="43" applyNumberFormat="1" applyFont="1" applyFill="1" applyBorder="1" applyAlignment="1">
      <alignment horizontal="right" vertical="center"/>
    </xf>
    <xf numFmtId="164" fontId="7" fillId="32" borderId="22" xfId="43" applyNumberFormat="1" applyFont="1" applyFill="1" applyBorder="1" applyAlignment="1">
      <alignment vertical="center"/>
    </xf>
    <xf numFmtId="164" fontId="7" fillId="32" borderId="23" xfId="43" applyNumberFormat="1" applyFont="1" applyFill="1" applyBorder="1" applyAlignment="1">
      <alignment vertical="center"/>
    </xf>
    <xf numFmtId="164" fontId="6" fillId="32" borderId="25" xfId="43" applyNumberFormat="1" applyFont="1" applyFill="1" applyBorder="1" applyAlignment="1">
      <alignment horizontal="right" vertical="center"/>
    </xf>
    <xf numFmtId="164" fontId="3" fillId="32" borderId="32" xfId="43" applyNumberFormat="1" applyFont="1" applyFill="1" applyBorder="1" applyAlignment="1">
      <alignment horizontal="right" vertical="center"/>
    </xf>
    <xf numFmtId="37" fontId="19" fillId="26" borderId="81" xfId="43" applyNumberFormat="1" applyFont="1" applyFill="1" applyBorder="1" applyAlignment="1">
      <alignment horizontal="center" vertical="center"/>
    </xf>
    <xf numFmtId="37" fontId="3" fillId="32" borderId="31" xfId="43" quotePrefix="1" applyNumberFormat="1" applyFont="1" applyFill="1" applyBorder="1" applyAlignment="1">
      <alignment horizontal="left" vertical="center" wrapText="1" indent="1"/>
    </xf>
    <xf numFmtId="37" fontId="3" fillId="32" borderId="32" xfId="43" quotePrefix="1" applyNumberFormat="1" applyFont="1" applyFill="1" applyBorder="1" applyAlignment="1">
      <alignment horizontal="left" vertical="center" wrapText="1" indent="1"/>
    </xf>
    <xf numFmtId="37" fontId="19" fillId="26" borderId="18" xfId="43" applyNumberFormat="1" applyFont="1" applyFill="1" applyBorder="1" applyAlignment="1">
      <alignment horizontal="center" vertical="center"/>
    </xf>
    <xf numFmtId="164" fontId="5" fillId="0" borderId="0" xfId="43" applyNumberFormat="1" applyFont="1" applyFill="1" applyBorder="1" applyAlignment="1">
      <alignment vertical="center"/>
    </xf>
    <xf numFmtId="164" fontId="7" fillId="33" borderId="343" xfId="43" applyNumberFormat="1" applyFont="1" applyFill="1" applyBorder="1" applyAlignment="1">
      <alignment vertical="center"/>
    </xf>
    <xf numFmtId="164" fontId="7" fillId="33" borderId="212" xfId="43" applyNumberFormat="1" applyFont="1" applyFill="1" applyBorder="1" applyAlignment="1">
      <alignment vertical="center"/>
    </xf>
    <xf numFmtId="164" fontId="7" fillId="33" borderId="135" xfId="43" applyNumberFormat="1" applyFont="1" applyFill="1" applyBorder="1" applyAlignment="1">
      <alignment vertical="center"/>
    </xf>
    <xf numFmtId="164" fontId="7" fillId="33" borderId="213" xfId="43" applyNumberFormat="1" applyFont="1" applyFill="1" applyBorder="1" applyAlignment="1">
      <alignment vertical="center"/>
    </xf>
    <xf numFmtId="164" fontId="3" fillId="33" borderId="359" xfId="43" applyNumberFormat="1" applyFont="1" applyFill="1" applyBorder="1" applyAlignment="1">
      <alignment horizontal="right" vertical="center"/>
    </xf>
    <xf numFmtId="164" fontId="3" fillId="33" borderId="132" xfId="43" applyNumberFormat="1" applyFont="1" applyFill="1" applyBorder="1" applyAlignment="1">
      <alignment horizontal="right" vertical="center"/>
    </xf>
    <xf numFmtId="164" fontId="3" fillId="33" borderId="361" xfId="43" applyNumberFormat="1" applyFont="1" applyFill="1" applyBorder="1" applyAlignment="1">
      <alignment horizontal="right" vertical="center"/>
    </xf>
    <xf numFmtId="164" fontId="3" fillId="33" borderId="212" xfId="43" applyNumberFormat="1" applyFont="1" applyFill="1" applyBorder="1" applyAlignment="1">
      <alignment vertical="center"/>
    </xf>
    <xf numFmtId="164" fontId="3" fillId="33" borderId="135" xfId="43" applyNumberFormat="1" applyFont="1" applyFill="1" applyBorder="1" applyAlignment="1">
      <alignment vertical="center"/>
    </xf>
    <xf numFmtId="164" fontId="3" fillId="33" borderId="213" xfId="43" applyNumberFormat="1" applyFont="1" applyFill="1" applyBorder="1" applyAlignment="1">
      <alignment vertical="center"/>
    </xf>
    <xf numFmtId="37" fontId="3" fillId="33" borderId="194" xfId="44" applyNumberFormat="1" applyFont="1" applyFill="1" applyBorder="1" applyAlignment="1">
      <alignment horizontal="center" vertical="center"/>
    </xf>
    <xf numFmtId="37" fontId="3" fillId="33" borderId="193" xfId="44" applyNumberFormat="1" applyFont="1" applyFill="1" applyBorder="1" applyAlignment="1">
      <alignment horizontal="center" vertical="center"/>
    </xf>
    <xf numFmtId="37" fontId="3" fillId="33" borderId="362" xfId="44" applyNumberFormat="1" applyFont="1" applyFill="1" applyBorder="1" applyAlignment="1">
      <alignment horizontal="center" vertical="center"/>
    </xf>
    <xf numFmtId="37" fontId="3" fillId="33" borderId="363" xfId="44" applyNumberFormat="1" applyFont="1" applyFill="1" applyBorder="1" applyAlignment="1">
      <alignment horizontal="center" vertical="center"/>
    </xf>
    <xf numFmtId="37" fontId="3" fillId="33" borderId="359" xfId="44" applyNumberFormat="1" applyFont="1" applyFill="1" applyBorder="1" applyAlignment="1">
      <alignment horizontal="center" vertical="center"/>
    </xf>
    <xf numFmtId="37" fontId="3" fillId="33" borderId="132" xfId="44" applyNumberFormat="1" applyFont="1" applyFill="1" applyBorder="1" applyAlignment="1">
      <alignment horizontal="center" vertical="center"/>
    </xf>
    <xf numFmtId="37" fontId="3" fillId="33" borderId="361" xfId="44" applyNumberFormat="1" applyFont="1" applyFill="1" applyBorder="1" applyAlignment="1">
      <alignment horizontal="center" vertical="center"/>
    </xf>
    <xf numFmtId="37" fontId="3" fillId="33" borderId="139" xfId="44" applyNumberFormat="1" applyFont="1" applyFill="1" applyBorder="1" applyAlignment="1">
      <alignment horizontal="center" vertical="center"/>
    </xf>
    <xf numFmtId="37" fontId="3" fillId="33" borderId="140" xfId="44" applyNumberFormat="1" applyFont="1" applyFill="1" applyBorder="1" applyAlignment="1">
      <alignment horizontal="center" vertical="center"/>
    </xf>
    <xf numFmtId="164" fontId="3" fillId="33" borderId="362" xfId="43" applyNumberFormat="1" applyFont="1" applyFill="1" applyBorder="1" applyAlignment="1">
      <alignment vertical="center"/>
    </xf>
    <xf numFmtId="164" fontId="3" fillId="33" borderId="140" xfId="43" applyNumberFormat="1" applyFont="1" applyFill="1" applyBorder="1" applyAlignment="1">
      <alignment vertical="center"/>
    </xf>
    <xf numFmtId="164" fontId="3" fillId="33" borderId="363" xfId="43" applyNumberFormat="1" applyFont="1" applyFill="1" applyBorder="1" applyAlignment="1">
      <alignment vertical="center"/>
    </xf>
    <xf numFmtId="164" fontId="3" fillId="33" borderId="193" xfId="43" applyNumberFormat="1" applyFont="1" applyFill="1" applyBorder="1" applyAlignment="1">
      <alignment vertical="center"/>
    </xf>
    <xf numFmtId="37" fontId="5" fillId="32" borderId="113" xfId="43" applyNumberFormat="1" applyFont="1" applyFill="1" applyBorder="1" applyAlignment="1">
      <alignment horizontal="left" vertical="center" indent="1"/>
    </xf>
    <xf numFmtId="37" fontId="5" fillId="32" borderId="16" xfId="43" applyNumberFormat="1" applyFont="1" applyFill="1" applyBorder="1" applyAlignment="1">
      <alignment horizontal="left" vertical="center" indent="1"/>
    </xf>
    <xf numFmtId="37" fontId="28" fillId="32" borderId="16" xfId="43" applyNumberFormat="1" applyFont="1" applyFill="1" applyBorder="1" applyAlignment="1">
      <alignment horizontal="center" vertical="center"/>
    </xf>
    <xf numFmtId="1" fontId="6" fillId="32" borderId="100" xfId="43" applyNumberFormat="1" applyFont="1" applyFill="1" applyBorder="1" applyAlignment="1">
      <alignment horizontal="center" vertical="center"/>
    </xf>
    <xf numFmtId="1" fontId="6" fillId="32" borderId="75" xfId="43" applyNumberFormat="1" applyFont="1" applyFill="1" applyBorder="1" applyAlignment="1">
      <alignment horizontal="center" vertical="center"/>
    </xf>
    <xf numFmtId="1" fontId="6" fillId="32" borderId="138" xfId="43" applyNumberFormat="1" applyFont="1" applyFill="1" applyBorder="1" applyAlignment="1">
      <alignment horizontal="center" vertical="center"/>
    </xf>
    <xf numFmtId="37" fontId="6" fillId="33" borderId="228" xfId="43" applyNumberFormat="1" applyFont="1" applyFill="1" applyBorder="1" applyAlignment="1">
      <alignment horizontal="left" vertical="center" wrapText="1" indent="1"/>
    </xf>
    <xf numFmtId="37" fontId="6" fillId="33" borderId="36" xfId="43" applyNumberFormat="1" applyFont="1" applyFill="1" applyBorder="1" applyAlignment="1">
      <alignment horizontal="left" vertical="center" wrapText="1" indent="1"/>
    </xf>
    <xf numFmtId="37" fontId="8" fillId="26" borderId="30" xfId="43" quotePrefix="1" applyNumberFormat="1" applyFont="1" applyFill="1" applyBorder="1" applyAlignment="1">
      <alignment horizontal="center" vertical="center" wrapText="1"/>
    </xf>
    <xf numFmtId="37" fontId="8" fillId="26" borderId="30" xfId="43" applyNumberFormat="1" applyFont="1" applyFill="1" applyBorder="1" applyAlignment="1">
      <alignment horizontal="center" vertical="center"/>
    </xf>
    <xf numFmtId="172" fontId="6" fillId="32" borderId="22" xfId="43" applyNumberFormat="1" applyFont="1" applyFill="1" applyBorder="1" applyAlignment="1">
      <alignment horizontal="center" vertical="center"/>
    </xf>
    <xf numFmtId="172" fontId="6" fillId="32" borderId="25" xfId="43" applyNumberFormat="1" applyFont="1" applyFill="1" applyBorder="1" applyAlignment="1">
      <alignment horizontal="center" vertical="center"/>
    </xf>
    <xf numFmtId="172" fontId="6" fillId="32" borderId="100" xfId="43" applyNumberFormat="1" applyFont="1" applyFill="1" applyBorder="1" applyAlignment="1">
      <alignment horizontal="center" vertical="center"/>
    </xf>
    <xf numFmtId="172" fontId="6" fillId="32" borderId="75" xfId="43" applyNumberFormat="1" applyFont="1" applyFill="1" applyBorder="1" applyAlignment="1">
      <alignment horizontal="center" vertical="center"/>
    </xf>
    <xf numFmtId="172" fontId="6" fillId="32" borderId="138" xfId="43" applyNumberFormat="1" applyFont="1" applyFill="1" applyBorder="1" applyAlignment="1">
      <alignment horizontal="center" vertical="center"/>
    </xf>
    <xf numFmtId="164" fontId="6" fillId="32" borderId="25" xfId="43" applyNumberFormat="1" applyFont="1" applyFill="1" applyBorder="1" applyAlignment="1">
      <alignment vertical="center"/>
    </xf>
    <xf numFmtId="0" fontId="60" fillId="32" borderId="25" xfId="43" applyFont="1" applyFill="1" applyBorder="1" applyAlignment="1">
      <alignment vertical="center"/>
    </xf>
    <xf numFmtId="164" fontId="7" fillId="32" borderId="364" xfId="43" applyNumberFormat="1" applyFont="1" applyFill="1" applyBorder="1" applyAlignment="1">
      <alignment vertical="center"/>
    </xf>
    <xf numFmtId="164" fontId="3" fillId="0" borderId="73" xfId="43" quotePrefix="1" applyNumberFormat="1" applyFont="1" applyBorder="1" applyAlignment="1">
      <alignment vertical="center"/>
    </xf>
    <xf numFmtId="164" fontId="3" fillId="0" borderId="242" xfId="43" quotePrefix="1" applyNumberFormat="1" applyFont="1" applyBorder="1" applyAlignment="1">
      <alignment vertical="center"/>
    </xf>
    <xf numFmtId="164" fontId="6" fillId="0" borderId="19" xfId="43" applyNumberFormat="1" applyFont="1" applyBorder="1" applyAlignment="1">
      <alignment vertical="center"/>
    </xf>
    <xf numFmtId="164" fontId="6" fillId="0" borderId="73" xfId="43" applyNumberFormat="1" applyFont="1" applyBorder="1" applyAlignment="1">
      <alignment vertical="center"/>
    </xf>
    <xf numFmtId="164" fontId="6" fillId="0" borderId="81" xfId="43" applyNumberFormat="1" applyFont="1" applyBorder="1" applyAlignment="1">
      <alignment vertical="center"/>
    </xf>
    <xf numFmtId="0" fontId="6" fillId="0" borderId="33" xfId="43" applyFont="1" applyFill="1" applyBorder="1" applyAlignment="1">
      <alignment horizontal="center" vertical="center"/>
    </xf>
    <xf numFmtId="164" fontId="7" fillId="33" borderId="338" xfId="43" applyNumberFormat="1" applyFont="1" applyFill="1" applyBorder="1" applyAlignment="1">
      <alignment vertical="center"/>
    </xf>
    <xf numFmtId="164" fontId="7" fillId="33" borderId="137" xfId="43" applyNumberFormat="1" applyFont="1" applyFill="1" applyBorder="1" applyAlignment="1">
      <alignment vertical="center"/>
    </xf>
    <xf numFmtId="164" fontId="7" fillId="33" borderId="279" xfId="43" applyNumberFormat="1" applyFont="1" applyFill="1" applyBorder="1" applyAlignment="1">
      <alignment vertical="center"/>
    </xf>
    <xf numFmtId="164" fontId="6" fillId="33" borderId="338" xfId="43" applyNumberFormat="1" applyFont="1" applyFill="1" applyBorder="1" applyAlignment="1">
      <alignment vertical="center"/>
    </xf>
    <xf numFmtId="164" fontId="6" fillId="33" borderId="137" xfId="43" applyNumberFormat="1" applyFont="1" applyFill="1" applyBorder="1" applyAlignment="1">
      <alignment vertical="center"/>
    </xf>
    <xf numFmtId="164" fontId="6" fillId="33" borderId="279" xfId="43" applyNumberFormat="1" applyFont="1" applyFill="1" applyBorder="1" applyAlignment="1">
      <alignment vertical="center"/>
    </xf>
    <xf numFmtId="37" fontId="8" fillId="26" borderId="22" xfId="43" quotePrefix="1" applyNumberFormat="1" applyFont="1" applyFill="1" applyBorder="1" applyAlignment="1">
      <alignment horizontal="center" vertical="center"/>
    </xf>
    <xf numFmtId="37" fontId="8" fillId="26" borderId="23" xfId="43" quotePrefix="1" applyNumberFormat="1" applyFont="1" applyFill="1" applyBorder="1" applyAlignment="1">
      <alignment horizontal="center" vertical="center"/>
    </xf>
    <xf numFmtId="164" fontId="3" fillId="33" borderId="359" xfId="43" applyNumberFormat="1" applyFont="1" applyFill="1" applyBorder="1" applyAlignment="1">
      <alignment vertical="center"/>
    </xf>
    <xf numFmtId="164" fontId="3" fillId="33" borderId="132" xfId="43" applyNumberFormat="1" applyFont="1" applyFill="1" applyBorder="1" applyAlignment="1">
      <alignment vertical="center"/>
    </xf>
    <xf numFmtId="164" fontId="3" fillId="33" borderId="360" xfId="43" applyNumberFormat="1" applyFont="1" applyFill="1" applyBorder="1" applyAlignment="1">
      <alignment vertical="center"/>
    </xf>
    <xf numFmtId="164" fontId="3" fillId="32" borderId="359" xfId="43" applyNumberFormat="1" applyFont="1" applyFill="1" applyBorder="1" applyAlignment="1">
      <alignment vertical="center"/>
    </xf>
    <xf numFmtId="164" fontId="3" fillId="32" borderId="132" xfId="43" applyNumberFormat="1" applyFont="1" applyFill="1" applyBorder="1" applyAlignment="1">
      <alignment vertical="center"/>
    </xf>
    <xf numFmtId="164" fontId="3" fillId="32" borderId="360" xfId="43" applyNumberFormat="1" applyFont="1" applyFill="1" applyBorder="1" applyAlignment="1">
      <alignment vertical="center"/>
    </xf>
    <xf numFmtId="164" fontId="3" fillId="32" borderId="33" xfId="43" applyNumberFormat="1" applyFont="1" applyFill="1" applyBorder="1" applyAlignment="1">
      <alignment vertical="center"/>
    </xf>
    <xf numFmtId="164" fontId="7" fillId="33" borderId="349" xfId="43" applyNumberFormat="1" applyFont="1" applyFill="1" applyBorder="1" applyAlignment="1">
      <alignment vertical="center"/>
    </xf>
    <xf numFmtId="164" fontId="7" fillId="33" borderId="347" xfId="43" applyNumberFormat="1" applyFont="1" applyFill="1" applyBorder="1" applyAlignment="1">
      <alignment vertical="center"/>
    </xf>
    <xf numFmtId="164" fontId="3" fillId="33" borderId="129" xfId="43" applyNumberFormat="1" applyFont="1" applyFill="1" applyBorder="1" applyAlignment="1">
      <alignment vertical="center"/>
    </xf>
    <xf numFmtId="164" fontId="3" fillId="33" borderId="116" xfId="43" applyNumberFormat="1" applyFont="1" applyFill="1" applyBorder="1" applyAlignment="1">
      <alignment vertical="center"/>
    </xf>
    <xf numFmtId="164" fontId="3" fillId="33" borderId="130" xfId="43" applyNumberFormat="1" applyFont="1" applyFill="1" applyBorder="1" applyAlignment="1">
      <alignment vertical="center"/>
    </xf>
    <xf numFmtId="164" fontId="3" fillId="33" borderId="344" xfId="43" applyNumberFormat="1" applyFont="1" applyFill="1" applyBorder="1" applyAlignment="1">
      <alignment vertical="center"/>
    </xf>
    <xf numFmtId="164" fontId="3" fillId="33" borderId="341" xfId="43" applyNumberFormat="1" applyFont="1" applyFill="1" applyBorder="1" applyAlignment="1">
      <alignment vertical="center"/>
    </xf>
    <xf numFmtId="164" fontId="7" fillId="33" borderId="364" xfId="43" applyNumberFormat="1" applyFont="1" applyFill="1" applyBorder="1" applyAlignment="1">
      <alignment vertical="center"/>
    </xf>
    <xf numFmtId="164" fontId="7" fillId="33" borderId="350" xfId="43" applyNumberFormat="1" applyFont="1" applyFill="1" applyBorder="1" applyAlignment="1">
      <alignment vertical="center"/>
    </xf>
    <xf numFmtId="164" fontId="3" fillId="33" borderId="365" xfId="43" applyNumberFormat="1" applyFont="1" applyFill="1" applyBorder="1" applyAlignment="1">
      <alignment vertical="center"/>
    </xf>
    <xf numFmtId="164" fontId="7" fillId="33" borderId="341" xfId="43" applyNumberFormat="1" applyFont="1" applyFill="1" applyBorder="1" applyAlignment="1">
      <alignment vertical="center"/>
    </xf>
    <xf numFmtId="164" fontId="7" fillId="33" borderId="348" xfId="43" applyNumberFormat="1" applyFont="1" applyFill="1" applyBorder="1" applyAlignment="1">
      <alignment vertical="center"/>
    </xf>
    <xf numFmtId="0" fontId="63" fillId="32" borderId="20" xfId="43" applyFont="1" applyFill="1" applyBorder="1" applyAlignment="1">
      <alignment vertical="center"/>
    </xf>
    <xf numFmtId="164" fontId="3" fillId="33" borderId="75" xfId="43" applyNumberFormat="1" applyFont="1" applyFill="1" applyBorder="1" applyAlignment="1">
      <alignment horizontal="center" vertical="center"/>
    </xf>
    <xf numFmtId="164" fontId="3" fillId="33" borderId="32" xfId="43" applyNumberFormat="1" applyFont="1" applyFill="1" applyBorder="1" applyAlignment="1">
      <alignment horizontal="center" vertical="center"/>
    </xf>
    <xf numFmtId="177" fontId="69" fillId="33" borderId="14" xfId="43" applyNumberFormat="1" applyFont="1" applyFill="1" applyBorder="1" applyAlignment="1">
      <alignment horizontal="center" vertical="center"/>
    </xf>
    <xf numFmtId="37" fontId="3" fillId="32" borderId="228" xfId="43" applyNumberFormat="1" applyFont="1" applyFill="1" applyBorder="1" applyAlignment="1">
      <alignment horizontal="left" vertical="center" wrapText="1" indent="2"/>
    </xf>
    <xf numFmtId="0" fontId="62" fillId="32" borderId="36" xfId="43" applyFont="1" applyFill="1" applyBorder="1" applyAlignment="1">
      <alignment horizontal="left" wrapText="1" indent="1"/>
    </xf>
    <xf numFmtId="37" fontId="3" fillId="32" borderId="366" xfId="43" applyNumberFormat="1" applyFont="1" applyFill="1" applyBorder="1" applyAlignment="1">
      <alignment horizontal="left" vertical="center" wrapText="1" indent="2"/>
    </xf>
    <xf numFmtId="0" fontId="62" fillId="32" borderId="367" xfId="43" applyFont="1" applyFill="1" applyBorder="1" applyAlignment="1">
      <alignment horizontal="left" wrapText="1" indent="1"/>
    </xf>
    <xf numFmtId="1" fontId="6" fillId="32" borderId="25" xfId="43" applyNumberFormat="1" applyFont="1" applyFill="1" applyBorder="1" applyAlignment="1">
      <alignment horizontal="center" vertical="center"/>
    </xf>
    <xf numFmtId="9" fontId="7" fillId="33" borderId="12" xfId="43" applyNumberFormat="1" applyFont="1" applyFill="1" applyBorder="1" applyAlignment="1">
      <alignment horizontal="center" vertical="center"/>
    </xf>
    <xf numFmtId="37" fontId="3" fillId="0" borderId="42" xfId="43" applyNumberFormat="1" applyFont="1" applyFill="1" applyBorder="1" applyAlignment="1">
      <alignment horizontal="left" vertical="center" indent="1"/>
    </xf>
    <xf numFmtId="37" fontId="3" fillId="0" borderId="40" xfId="43" applyNumberFormat="1" applyFont="1" applyFill="1" applyBorder="1" applyAlignment="1">
      <alignment horizontal="left" vertical="center" indent="1"/>
    </xf>
    <xf numFmtId="37" fontId="3" fillId="0" borderId="170" xfId="43" applyNumberFormat="1" applyFont="1" applyBorder="1" applyAlignment="1">
      <alignment horizontal="left" vertical="center" indent="1"/>
    </xf>
    <xf numFmtId="37" fontId="3" fillId="0" borderId="169" xfId="43" applyNumberFormat="1" applyFont="1" applyBorder="1" applyAlignment="1">
      <alignment horizontal="left" vertical="center" indent="1"/>
    </xf>
    <xf numFmtId="37" fontId="3" fillId="0" borderId="173" xfId="43" applyNumberFormat="1" applyFont="1" applyBorder="1" applyAlignment="1">
      <alignment horizontal="left" vertical="center" indent="1"/>
    </xf>
    <xf numFmtId="37" fontId="28" fillId="0" borderId="16" xfId="43" applyNumberFormat="1" applyFont="1" applyFill="1" applyBorder="1" applyAlignment="1">
      <alignment horizontal="center" vertical="center"/>
    </xf>
    <xf numFmtId="37" fontId="28" fillId="0" borderId="244" xfId="43" applyNumberFormat="1" applyFont="1" applyFill="1" applyBorder="1" applyAlignment="1">
      <alignment horizontal="center" vertical="center"/>
    </xf>
    <xf numFmtId="0" fontId="63" fillId="32" borderId="364" xfId="43" applyFont="1" applyFill="1" applyBorder="1" applyAlignment="1">
      <alignment vertical="center"/>
    </xf>
    <xf numFmtId="0" fontId="63" fillId="0" borderId="18" xfId="43" applyFont="1" applyFill="1" applyBorder="1" applyAlignment="1">
      <alignment vertical="center"/>
    </xf>
    <xf numFmtId="0" fontId="60" fillId="33" borderId="368" xfId="43" applyFont="1" applyFill="1" applyBorder="1" applyAlignment="1">
      <alignment vertical="center"/>
    </xf>
    <xf numFmtId="177" fontId="3" fillId="33" borderId="96" xfId="43" applyNumberFormat="1" applyFont="1" applyFill="1" applyBorder="1" applyAlignment="1">
      <alignment horizontal="right" vertical="center"/>
    </xf>
    <xf numFmtId="177" fontId="3" fillId="33" borderId="95" xfId="43" applyNumberFormat="1" applyFont="1" applyFill="1" applyBorder="1" applyAlignment="1">
      <alignment horizontal="right" vertical="center"/>
    </xf>
    <xf numFmtId="37" fontId="8" fillId="26" borderId="20" xfId="43" applyNumberFormat="1" applyFont="1" applyFill="1" applyBorder="1" applyAlignment="1">
      <alignment horizontal="center" vertical="center" wrapText="1"/>
    </xf>
    <xf numFmtId="164" fontId="3" fillId="33" borderId="36" xfId="43" applyNumberFormat="1" applyFont="1" applyFill="1" applyBorder="1" applyAlignment="1">
      <alignment vertical="center"/>
    </xf>
    <xf numFmtId="0" fontId="10" fillId="33" borderId="36" xfId="43" applyFill="1" applyBorder="1" applyAlignment="1">
      <alignment vertical="center"/>
    </xf>
    <xf numFmtId="0" fontId="10" fillId="33" borderId="358" xfId="43" applyFill="1" applyBorder="1" applyAlignment="1">
      <alignment vertical="center"/>
    </xf>
    <xf numFmtId="164" fontId="3" fillId="32" borderId="35" xfId="43" applyNumberFormat="1" applyFont="1" applyFill="1" applyBorder="1" applyAlignment="1">
      <alignment vertical="center"/>
    </xf>
    <xf numFmtId="0" fontId="62" fillId="32" borderId="35" xfId="43" applyFont="1" applyFill="1" applyBorder="1" applyAlignment="1">
      <alignment vertical="center"/>
    </xf>
    <xf numFmtId="0" fontId="62" fillId="32" borderId="119" xfId="43" applyFont="1" applyFill="1" applyBorder="1" applyAlignment="1">
      <alignment vertical="center"/>
    </xf>
    <xf numFmtId="164" fontId="6" fillId="0" borderId="100" xfId="43" applyNumberFormat="1" applyFont="1" applyBorder="1" applyAlignment="1">
      <alignment horizontal="center" vertical="center"/>
    </xf>
    <xf numFmtId="164" fontId="6" fillId="0" borderId="75" xfId="43" applyNumberFormat="1" applyFont="1" applyBorder="1" applyAlignment="1">
      <alignment horizontal="center" vertical="center"/>
    </xf>
    <xf numFmtId="164" fontId="6" fillId="0" borderId="192" xfId="43" applyNumberFormat="1" applyFont="1" applyBorder="1" applyAlignment="1">
      <alignment horizontal="center" vertical="center"/>
    </xf>
    <xf numFmtId="164" fontId="6" fillId="0" borderId="22" xfId="43" applyNumberFormat="1" applyFont="1" applyBorder="1" applyAlignment="1">
      <alignment horizontal="center" vertical="center"/>
    </xf>
    <xf numFmtId="0" fontId="60" fillId="0" borderId="22" xfId="43" applyFont="1" applyBorder="1" applyAlignment="1">
      <alignment horizontal="center" vertical="center"/>
    </xf>
    <xf numFmtId="0" fontId="60" fillId="0" borderId="23" xfId="43" applyFont="1" applyBorder="1" applyAlignment="1">
      <alignment horizontal="center" vertical="center"/>
    </xf>
    <xf numFmtId="164" fontId="100" fillId="33" borderId="243" xfId="43" applyNumberFormat="1" applyFont="1" applyFill="1" applyBorder="1" applyAlignment="1">
      <alignment vertical="center"/>
    </xf>
    <xf numFmtId="164" fontId="100" fillId="33" borderId="16" xfId="43" applyNumberFormat="1" applyFont="1" applyFill="1" applyBorder="1" applyAlignment="1">
      <alignment vertical="center"/>
    </xf>
    <xf numFmtId="164" fontId="100" fillId="33" borderId="211" xfId="43" applyNumberFormat="1" applyFont="1" applyFill="1" applyBorder="1" applyAlignment="1">
      <alignment vertical="center"/>
    </xf>
    <xf numFmtId="164" fontId="6" fillId="0" borderId="25" xfId="43" applyNumberFormat="1" applyFont="1" applyBorder="1" applyAlignment="1">
      <alignment horizontal="center" vertical="center"/>
    </xf>
    <xf numFmtId="0" fontId="60" fillId="0" borderId="25" xfId="43" applyFont="1" applyBorder="1" applyAlignment="1">
      <alignment horizontal="center" vertical="center"/>
    </xf>
    <xf numFmtId="0" fontId="60" fillId="0" borderId="26" xfId="43" applyFont="1" applyBorder="1" applyAlignment="1">
      <alignment horizontal="center" vertical="center"/>
    </xf>
    <xf numFmtId="177" fontId="69" fillId="32" borderId="12" xfId="43" applyNumberFormat="1" applyFont="1" applyFill="1" applyBorder="1" applyAlignment="1">
      <alignment horizontal="right" vertical="center"/>
    </xf>
    <xf numFmtId="177" fontId="69" fillId="33" borderId="109" xfId="43" applyNumberFormat="1" applyFont="1" applyFill="1" applyBorder="1" applyAlignment="1">
      <alignment horizontal="center" vertical="center"/>
    </xf>
    <xf numFmtId="177" fontId="69" fillId="33" borderId="275" xfId="43" applyNumberFormat="1" applyFont="1" applyFill="1" applyBorder="1" applyAlignment="1">
      <alignment horizontal="center" vertical="center"/>
    </xf>
    <xf numFmtId="164" fontId="100" fillId="33" borderId="100" xfId="43" applyNumberFormat="1" applyFont="1" applyFill="1" applyBorder="1" applyAlignment="1">
      <alignment vertical="center"/>
    </xf>
    <xf numFmtId="164" fontId="100" fillId="33" borderId="75" xfId="43" applyNumberFormat="1" applyFont="1" applyFill="1" applyBorder="1" applyAlignment="1">
      <alignment vertical="center"/>
    </xf>
    <xf numFmtId="164" fontId="100" fillId="33" borderId="138" xfId="43" applyNumberFormat="1" applyFont="1" applyFill="1" applyBorder="1" applyAlignment="1">
      <alignment vertical="center"/>
    </xf>
    <xf numFmtId="164" fontId="3" fillId="38" borderId="25" xfId="43" applyNumberFormat="1" applyFont="1" applyFill="1" applyBorder="1" applyAlignment="1">
      <alignment vertical="center"/>
    </xf>
    <xf numFmtId="0" fontId="62" fillId="38" borderId="25" xfId="43" applyFont="1" applyFill="1" applyBorder="1" applyAlignment="1">
      <alignment vertical="center"/>
    </xf>
    <xf numFmtId="164" fontId="3" fillId="32" borderId="22" xfId="43" applyNumberFormat="1" applyFont="1" applyFill="1" applyBorder="1" applyAlignment="1">
      <alignment vertical="center"/>
    </xf>
    <xf numFmtId="0" fontId="62" fillId="32" borderId="22" xfId="43" applyFont="1" applyFill="1" applyBorder="1" applyAlignment="1">
      <alignment vertical="center"/>
    </xf>
    <xf numFmtId="164" fontId="3" fillId="38" borderId="100" xfId="43" applyNumberFormat="1" applyFont="1" applyFill="1" applyBorder="1" applyAlignment="1">
      <alignment vertical="center"/>
    </xf>
    <xf numFmtId="164" fontId="3" fillId="38" borderId="75" xfId="43" applyNumberFormat="1" applyFont="1" applyFill="1" applyBorder="1" applyAlignment="1">
      <alignment vertical="center"/>
    </xf>
    <xf numFmtId="164" fontId="3" fillId="38" borderId="138" xfId="43" applyNumberFormat="1" applyFont="1" applyFill="1" applyBorder="1" applyAlignment="1">
      <alignment vertical="center"/>
    </xf>
    <xf numFmtId="164" fontId="6" fillId="32" borderId="100" xfId="43" applyNumberFormat="1" applyFont="1" applyFill="1" applyBorder="1" applyAlignment="1">
      <alignment vertical="center"/>
    </xf>
    <xf numFmtId="164" fontId="6" fillId="32" borderId="75" xfId="43" applyNumberFormat="1" applyFont="1" applyFill="1" applyBorder="1" applyAlignment="1">
      <alignment vertical="center"/>
    </xf>
    <xf numFmtId="164" fontId="6" fillId="32" borderId="138" xfId="43" applyNumberFormat="1" applyFont="1" applyFill="1" applyBorder="1" applyAlignment="1">
      <alignment vertical="center"/>
    </xf>
    <xf numFmtId="178" fontId="6" fillId="32" borderId="28" xfId="43" applyNumberFormat="1" applyFont="1" applyFill="1" applyBorder="1" applyAlignment="1">
      <alignment horizontal="center" vertical="center"/>
    </xf>
    <xf numFmtId="165" fontId="6" fillId="0" borderId="14" xfId="43" applyNumberFormat="1" applyFont="1" applyBorder="1" applyAlignment="1">
      <alignment vertical="center"/>
    </xf>
    <xf numFmtId="164" fontId="6" fillId="0" borderId="12" xfId="43" applyNumberFormat="1" applyFont="1" applyBorder="1" applyAlignment="1">
      <alignment vertical="center"/>
    </xf>
    <xf numFmtId="37" fontId="3" fillId="33" borderId="164" xfId="43" applyNumberFormat="1" applyFont="1" applyFill="1" applyBorder="1" applyAlignment="1">
      <alignment horizontal="center" vertical="center"/>
    </xf>
    <xf numFmtId="37" fontId="3" fillId="33" borderId="163" xfId="43" applyNumberFormat="1" applyFont="1" applyFill="1" applyBorder="1" applyAlignment="1">
      <alignment horizontal="center" vertical="center"/>
    </xf>
    <xf numFmtId="37" fontId="3" fillId="33" borderId="188" xfId="43" applyNumberFormat="1" applyFont="1" applyFill="1" applyBorder="1" applyAlignment="1">
      <alignment horizontal="center" vertical="center"/>
    </xf>
    <xf numFmtId="164" fontId="6" fillId="0" borderId="184" xfId="43" quotePrefix="1" applyNumberFormat="1" applyFont="1" applyFill="1" applyBorder="1" applyAlignment="1">
      <alignment horizontal="center" vertical="center"/>
    </xf>
    <xf numFmtId="164" fontId="6" fillId="0" borderId="76" xfId="43" quotePrefix="1" applyNumberFormat="1" applyFont="1" applyFill="1" applyBorder="1" applyAlignment="1">
      <alignment horizontal="center" vertical="center"/>
    </xf>
    <xf numFmtId="164" fontId="6" fillId="0" borderId="197" xfId="43" quotePrefix="1" applyNumberFormat="1" applyFont="1" applyFill="1" applyBorder="1" applyAlignment="1">
      <alignment horizontal="center" vertical="center"/>
    </xf>
    <xf numFmtId="164" fontId="64" fillId="33" borderId="101" xfId="43" applyNumberFormat="1" applyFont="1" applyFill="1" applyBorder="1" applyAlignment="1">
      <alignment vertical="center"/>
    </xf>
    <xf numFmtId="164" fontId="64" fillId="33" borderId="327" xfId="43" applyNumberFormat="1" applyFont="1" applyFill="1" applyBorder="1" applyAlignment="1">
      <alignment vertical="center"/>
    </xf>
    <xf numFmtId="164" fontId="6" fillId="0" borderId="108" xfId="43" applyNumberFormat="1" applyFont="1" applyFill="1" applyBorder="1" applyAlignment="1">
      <alignment horizontal="center" vertical="center"/>
    </xf>
    <xf numFmtId="164" fontId="6" fillId="0" borderId="169" xfId="43" applyNumberFormat="1" applyFont="1" applyFill="1" applyBorder="1" applyAlignment="1">
      <alignment horizontal="center" vertical="center"/>
    </xf>
    <xf numFmtId="164" fontId="6" fillId="0" borderId="241" xfId="43" applyNumberFormat="1" applyFont="1" applyFill="1" applyBorder="1" applyAlignment="1">
      <alignment horizontal="center" vertical="center"/>
    </xf>
    <xf numFmtId="37" fontId="3" fillId="33" borderId="94" xfId="43" applyNumberFormat="1" applyFont="1" applyFill="1" applyBorder="1" applyAlignment="1">
      <alignment horizontal="left" vertical="center" indent="1"/>
    </xf>
    <xf numFmtId="37" fontId="3" fillId="33" borderId="95" xfId="43" applyNumberFormat="1" applyFont="1" applyFill="1" applyBorder="1" applyAlignment="1">
      <alignment horizontal="left" vertical="center" indent="1"/>
    </xf>
    <xf numFmtId="164" fontId="22" fillId="33" borderId="332" xfId="43" applyNumberFormat="1" applyFont="1" applyFill="1" applyBorder="1" applyAlignment="1">
      <alignment horizontal="center" vertical="center"/>
    </xf>
    <xf numFmtId="37" fontId="3" fillId="33" borderId="179" xfId="43" quotePrefix="1" applyNumberFormat="1" applyFont="1" applyFill="1" applyBorder="1" applyAlignment="1">
      <alignment horizontal="center" vertical="center"/>
    </xf>
    <xf numFmtId="37" fontId="3" fillId="33" borderId="208" xfId="43" quotePrefix="1" applyNumberFormat="1" applyFont="1" applyFill="1" applyBorder="1" applyAlignment="1">
      <alignment horizontal="center" vertical="center"/>
    </xf>
    <xf numFmtId="3" fontId="6" fillId="0" borderId="321" xfId="0" applyNumberFormat="1" applyFont="1" applyFill="1" applyBorder="1" applyAlignment="1">
      <alignment horizontal="center"/>
    </xf>
    <xf numFmtId="3" fontId="6" fillId="0" borderId="80" xfId="0" applyNumberFormat="1" applyFont="1" applyFill="1" applyBorder="1" applyAlignment="1">
      <alignment horizontal="center"/>
    </xf>
    <xf numFmtId="3" fontId="6" fillId="0" borderId="287" xfId="0" applyNumberFormat="1" applyFont="1" applyFill="1" applyBorder="1" applyAlignment="1">
      <alignment horizontal="center"/>
    </xf>
    <xf numFmtId="39" fontId="6" fillId="33" borderId="96" xfId="43" applyNumberFormat="1" applyFont="1" applyFill="1" applyBorder="1" applyAlignment="1">
      <alignment horizontal="center" vertical="center"/>
    </xf>
    <xf numFmtId="39" fontId="6" fillId="33" borderId="94" xfId="43" applyNumberFormat="1" applyFont="1" applyFill="1" applyBorder="1" applyAlignment="1">
      <alignment horizontal="center" vertical="center"/>
    </xf>
    <xf numFmtId="39" fontId="6" fillId="33" borderId="95" xfId="43" applyNumberFormat="1" applyFont="1" applyFill="1" applyBorder="1" applyAlignment="1">
      <alignment horizontal="center" vertical="center"/>
    </xf>
    <xf numFmtId="164" fontId="6" fillId="0" borderId="12" xfId="43" quotePrefix="1" applyNumberFormat="1" applyFont="1" applyBorder="1" applyAlignment="1">
      <alignment vertical="center"/>
    </xf>
    <xf numFmtId="164" fontId="6" fillId="0" borderId="41" xfId="43" quotePrefix="1" applyNumberFormat="1" applyFont="1" applyBorder="1" applyAlignment="1">
      <alignment vertical="center"/>
    </xf>
    <xf numFmtId="164" fontId="3" fillId="0" borderId="100" xfId="43" applyNumberFormat="1" applyFont="1" applyBorder="1" applyAlignment="1">
      <alignment vertical="center"/>
    </xf>
    <xf numFmtId="0" fontId="62" fillId="0" borderId="75" xfId="43" applyFont="1" applyBorder="1" applyAlignment="1">
      <alignment vertical="center"/>
    </xf>
    <xf numFmtId="0" fontId="62" fillId="0" borderId="192" xfId="43" applyFont="1" applyBorder="1" applyAlignment="1">
      <alignment vertical="center"/>
    </xf>
    <xf numFmtId="0" fontId="60" fillId="33" borderId="75" xfId="43" applyFont="1" applyFill="1" applyBorder="1" applyAlignment="1">
      <alignment vertical="center"/>
    </xf>
    <xf numFmtId="0" fontId="60" fillId="33" borderId="192" xfId="43" applyFont="1" applyFill="1" applyBorder="1" applyAlignment="1">
      <alignment vertical="center"/>
    </xf>
    <xf numFmtId="164" fontId="3" fillId="33" borderId="102" xfId="43" applyNumberFormat="1" applyFont="1" applyFill="1" applyBorder="1" applyAlignment="1">
      <alignment horizontal="right" vertical="center"/>
    </xf>
    <xf numFmtId="164" fontId="3" fillId="33" borderId="76" xfId="43" applyNumberFormat="1" applyFont="1" applyFill="1" applyBorder="1" applyAlignment="1">
      <alignment horizontal="right" vertical="center"/>
    </xf>
    <xf numFmtId="164" fontId="3" fillId="33" borderId="197" xfId="43" applyNumberFormat="1" applyFont="1" applyFill="1" applyBorder="1" applyAlignment="1">
      <alignment horizontal="right" vertical="center"/>
    </xf>
    <xf numFmtId="37" fontId="19" fillId="26" borderId="63" xfId="43" applyNumberFormat="1" applyFont="1" applyFill="1" applyBorder="1" applyAlignment="1">
      <alignment horizontal="center" vertical="center" wrapText="1"/>
    </xf>
    <xf numFmtId="37" fontId="6" fillId="33" borderId="102" xfId="43" applyNumberFormat="1" applyFont="1" applyFill="1" applyBorder="1" applyAlignment="1">
      <alignment horizontal="center" vertical="center" wrapText="1"/>
    </xf>
    <xf numFmtId="37" fontId="6" fillId="33" borderId="76" xfId="43" applyNumberFormat="1" applyFont="1" applyFill="1" applyBorder="1" applyAlignment="1">
      <alignment horizontal="center" vertical="center" wrapText="1"/>
    </xf>
    <xf numFmtId="37" fontId="6" fillId="33" borderId="196" xfId="43" applyNumberFormat="1" applyFont="1" applyFill="1" applyBorder="1" applyAlignment="1">
      <alignment horizontal="center" vertical="center" wrapText="1"/>
    </xf>
    <xf numFmtId="164" fontId="3" fillId="0" borderId="243" xfId="43" applyNumberFormat="1" applyFont="1" applyFill="1" applyBorder="1" applyAlignment="1">
      <alignment vertical="center"/>
    </xf>
    <xf numFmtId="0" fontId="62" fillId="0" borderId="16" xfId="43" applyFont="1" applyFill="1" applyBorder="1" applyAlignment="1">
      <alignment vertical="center"/>
    </xf>
    <xf numFmtId="0" fontId="62" fillId="0" borderId="244" xfId="43" applyFont="1" applyFill="1" applyBorder="1" applyAlignment="1">
      <alignment vertical="center"/>
    </xf>
    <xf numFmtId="0" fontId="7" fillId="33" borderId="96" xfId="43" applyFont="1" applyFill="1" applyBorder="1" applyAlignment="1">
      <alignment horizontal="left" vertical="center" wrapText="1"/>
    </xf>
    <xf numFmtId="0" fontId="7" fillId="33" borderId="94" xfId="43" applyFont="1" applyFill="1" applyBorder="1" applyAlignment="1">
      <alignment horizontal="left" vertical="center" wrapText="1"/>
    </xf>
    <xf numFmtId="0" fontId="7" fillId="33" borderId="95" xfId="43" applyFont="1" applyFill="1" applyBorder="1" applyAlignment="1">
      <alignment horizontal="left" vertical="center" wrapText="1"/>
    </xf>
    <xf numFmtId="37" fontId="3" fillId="33" borderId="21" xfId="43" applyNumberFormat="1" applyFont="1" applyFill="1" applyBorder="1" applyAlignment="1">
      <alignment horizontal="left" vertical="center" wrapText="1" indent="1"/>
    </xf>
    <xf numFmtId="37" fontId="3" fillId="33" borderId="22" xfId="43" applyNumberFormat="1" applyFont="1" applyFill="1" applyBorder="1" applyAlignment="1">
      <alignment horizontal="left" vertical="center" wrapText="1" indent="1"/>
    </xf>
    <xf numFmtId="164" fontId="3" fillId="33" borderId="22" xfId="43" applyNumberFormat="1" applyFont="1" applyFill="1" applyBorder="1" applyAlignment="1">
      <alignment horizontal="center" vertical="center"/>
    </xf>
    <xf numFmtId="177" fontId="69" fillId="33" borderId="108" xfId="43" applyNumberFormat="1" applyFont="1" applyFill="1" applyBorder="1" applyAlignment="1">
      <alignment horizontal="center" vertical="center"/>
    </xf>
    <xf numFmtId="177" fontId="69" fillId="33" borderId="173" xfId="43" applyNumberFormat="1" applyFont="1" applyFill="1" applyBorder="1" applyAlignment="1">
      <alignment horizontal="center" vertical="center"/>
    </xf>
    <xf numFmtId="37" fontId="3" fillId="33" borderId="229" xfId="43" applyNumberFormat="1" applyFont="1" applyFill="1" applyBorder="1" applyAlignment="1">
      <alignment horizontal="left" vertical="center" wrapText="1" indent="2"/>
    </xf>
    <xf numFmtId="37" fontId="3" fillId="33" borderId="37" xfId="43" applyNumberFormat="1" applyFont="1" applyFill="1" applyBorder="1" applyAlignment="1">
      <alignment horizontal="left" vertical="center" wrapText="1" indent="2"/>
    </xf>
    <xf numFmtId="164" fontId="3" fillId="33" borderId="37" xfId="43" applyNumberFormat="1" applyFont="1" applyFill="1" applyBorder="1" applyAlignment="1">
      <alignment vertical="center"/>
    </xf>
    <xf numFmtId="0" fontId="62" fillId="33" borderId="322" xfId="43" applyFont="1" applyFill="1" applyBorder="1" applyAlignment="1">
      <alignment vertical="center"/>
    </xf>
    <xf numFmtId="1" fontId="6" fillId="32" borderId="243" xfId="43" applyNumberFormat="1" applyFont="1" applyFill="1" applyBorder="1" applyAlignment="1">
      <alignment horizontal="center" vertical="center"/>
    </xf>
    <xf numFmtId="1" fontId="6" fillId="32" borderId="16" xfId="43" applyNumberFormat="1" applyFont="1" applyFill="1" applyBorder="1" applyAlignment="1">
      <alignment horizontal="center" vertical="center"/>
    </xf>
    <xf numFmtId="1" fontId="6" fillId="32" borderId="211" xfId="43" applyNumberFormat="1" applyFont="1" applyFill="1" applyBorder="1" applyAlignment="1">
      <alignment horizontal="center" vertical="center"/>
    </xf>
    <xf numFmtId="164" fontId="47" fillId="26" borderId="19" xfId="43" applyNumberFormat="1" applyFont="1" applyFill="1" applyBorder="1" applyAlignment="1">
      <alignment vertical="center"/>
    </xf>
    <xf numFmtId="0" fontId="107" fillId="26" borderId="73" xfId="43" applyFont="1" applyFill="1" applyBorder="1" applyAlignment="1">
      <alignment vertical="center"/>
    </xf>
    <xf numFmtId="0" fontId="107" fillId="26" borderId="242" xfId="43" applyFont="1" applyFill="1" applyBorder="1" applyAlignment="1">
      <alignment vertical="center"/>
    </xf>
    <xf numFmtId="164" fontId="3" fillId="0" borderId="100" xfId="43" applyNumberFormat="1" applyFont="1" applyFill="1" applyBorder="1" applyAlignment="1">
      <alignment vertical="center"/>
    </xf>
    <xf numFmtId="0" fontId="62" fillId="0" borderId="75" xfId="43" applyFont="1" applyFill="1" applyBorder="1" applyAlignment="1">
      <alignment vertical="center"/>
    </xf>
    <xf numFmtId="0" fontId="62" fillId="0" borderId="192" xfId="43" applyFont="1" applyFill="1" applyBorder="1" applyAlignment="1">
      <alignment vertical="center"/>
    </xf>
    <xf numFmtId="164" fontId="3" fillId="0" borderId="102" xfId="43" applyNumberFormat="1" applyFont="1" applyFill="1" applyBorder="1" applyAlignment="1">
      <alignment vertical="center"/>
    </xf>
    <xf numFmtId="0" fontId="62" fillId="0" borderId="76" xfId="43" applyFont="1" applyFill="1" applyBorder="1" applyAlignment="1">
      <alignment vertical="center"/>
    </xf>
    <xf numFmtId="0" fontId="62" fillId="0" borderId="197" xfId="43" applyFont="1" applyFill="1" applyBorder="1" applyAlignment="1">
      <alignment vertical="center"/>
    </xf>
    <xf numFmtId="37" fontId="8" fillId="26" borderId="72" xfId="43" applyNumberFormat="1" applyFont="1" applyFill="1" applyBorder="1" applyAlignment="1">
      <alignment horizontal="left" vertical="center"/>
    </xf>
    <xf numFmtId="37" fontId="8" fillId="26" borderId="73" xfId="43" applyNumberFormat="1" applyFont="1" applyFill="1" applyBorder="1" applyAlignment="1">
      <alignment horizontal="left" vertical="center"/>
    </xf>
    <xf numFmtId="37" fontId="8" fillId="26" borderId="81" xfId="43" applyNumberFormat="1" applyFont="1" applyFill="1" applyBorder="1" applyAlignment="1">
      <alignment horizontal="left" vertical="center"/>
    </xf>
    <xf numFmtId="1" fontId="6" fillId="0" borderId="25" xfId="43" applyNumberFormat="1" applyFont="1" applyBorder="1" applyAlignment="1">
      <alignment horizontal="center" vertical="center"/>
    </xf>
    <xf numFmtId="164" fontId="6" fillId="0" borderId="25" xfId="43" applyNumberFormat="1" applyFont="1" applyBorder="1" applyAlignment="1">
      <alignment vertical="center"/>
    </xf>
    <xf numFmtId="0" fontId="60" fillId="0" borderId="25" xfId="43" applyFont="1" applyBorder="1" applyAlignment="1">
      <alignment vertical="center"/>
    </xf>
    <xf numFmtId="172" fontId="6" fillId="29" borderId="25" xfId="43" applyNumberFormat="1" applyFont="1" applyFill="1" applyBorder="1" applyAlignment="1">
      <alignment horizontal="center" vertical="center"/>
    </xf>
    <xf numFmtId="37" fontId="108" fillId="43" borderId="113" xfId="43" applyNumberFormat="1" applyFont="1" applyFill="1" applyBorder="1" applyAlignment="1">
      <alignment horizontal="left" vertical="center" indent="1"/>
    </xf>
    <xf numFmtId="37" fontId="108" fillId="43" borderId="16" xfId="43" applyNumberFormat="1" applyFont="1" applyFill="1" applyBorder="1" applyAlignment="1">
      <alignment horizontal="left" vertical="center" indent="1"/>
    </xf>
    <xf numFmtId="37" fontId="109" fillId="43" borderId="16" xfId="43" applyNumberFormat="1" applyFont="1" applyFill="1" applyBorder="1" applyAlignment="1">
      <alignment horizontal="center" vertical="center"/>
    </xf>
    <xf numFmtId="164" fontId="108" fillId="43" borderId="19" xfId="43" applyNumberFormat="1" applyFont="1" applyFill="1" applyBorder="1" applyAlignment="1">
      <alignment vertical="center"/>
    </xf>
    <xf numFmtId="0" fontId="110" fillId="43" borderId="73" xfId="43" applyFont="1" applyFill="1" applyBorder="1" applyAlignment="1">
      <alignment vertical="center"/>
    </xf>
    <xf numFmtId="0" fontId="110" fillId="43" borderId="81" xfId="43" applyFont="1" applyFill="1" applyBorder="1" applyAlignment="1">
      <alignment vertical="center"/>
    </xf>
    <xf numFmtId="164" fontId="108" fillId="43" borderId="18" xfId="43" applyNumberFormat="1" applyFont="1" applyFill="1" applyBorder="1" applyAlignment="1">
      <alignment vertical="center"/>
    </xf>
    <xf numFmtId="0" fontId="110" fillId="43" borderId="18" xfId="43" applyFont="1" applyFill="1" applyBorder="1" applyAlignment="1">
      <alignment vertical="center"/>
    </xf>
    <xf numFmtId="164" fontId="5" fillId="33" borderId="349" xfId="43" applyNumberFormat="1" applyFont="1" applyFill="1" applyBorder="1" applyAlignment="1">
      <alignment vertical="center"/>
    </xf>
    <xf numFmtId="0" fontId="63" fillId="33" borderId="349" xfId="43" applyFont="1" applyFill="1" applyBorder="1" applyAlignment="1">
      <alignment vertical="center"/>
    </xf>
    <xf numFmtId="164" fontId="3" fillId="0" borderId="359" xfId="43" applyNumberFormat="1" applyFont="1" applyFill="1" applyBorder="1" applyAlignment="1">
      <alignment vertical="center"/>
    </xf>
    <xf numFmtId="0" fontId="62" fillId="0" borderId="132" xfId="43" applyFont="1" applyFill="1" applyBorder="1" applyAlignment="1">
      <alignment vertical="center"/>
    </xf>
    <xf numFmtId="0" fontId="62" fillId="0" borderId="361" xfId="43" applyFont="1" applyFill="1" applyBorder="1" applyAlignment="1">
      <alignment vertical="center"/>
    </xf>
    <xf numFmtId="0" fontId="62" fillId="0" borderId="138" xfId="43" applyFont="1" applyFill="1" applyBorder="1" applyAlignment="1">
      <alignment vertical="center"/>
    </xf>
    <xf numFmtId="37" fontId="109" fillId="43" borderId="244" xfId="43" applyNumberFormat="1" applyFont="1" applyFill="1" applyBorder="1" applyAlignment="1">
      <alignment horizontal="center" vertical="center"/>
    </xf>
    <xf numFmtId="0" fontId="62" fillId="0" borderId="196" xfId="43" applyFont="1" applyFill="1" applyBorder="1" applyAlignment="1">
      <alignment vertical="center"/>
    </xf>
    <xf numFmtId="0" fontId="8" fillId="25" borderId="228" xfId="43" applyFont="1" applyFill="1" applyBorder="1" applyAlignment="1">
      <alignment horizontal="center" vertical="center"/>
    </xf>
    <xf numFmtId="0" fontId="8" fillId="25" borderId="229" xfId="43" applyFont="1" applyFill="1" applyBorder="1" applyAlignment="1">
      <alignment horizontal="center" vertical="center"/>
    </xf>
    <xf numFmtId="0" fontId="8" fillId="25" borderId="36" xfId="43" quotePrefix="1" applyFont="1" applyFill="1" applyBorder="1" applyAlignment="1">
      <alignment horizontal="center" vertical="center" wrapText="1"/>
    </xf>
    <xf numFmtId="0" fontId="8" fillId="25" borderId="37" xfId="43" quotePrefix="1" applyFont="1" applyFill="1" applyBorder="1" applyAlignment="1">
      <alignment horizontal="center" vertical="center" wrapText="1"/>
    </xf>
    <xf numFmtId="0" fontId="8" fillId="25" borderId="230" xfId="43" applyFont="1" applyFill="1" applyBorder="1" applyAlignment="1">
      <alignment horizontal="center" vertical="center"/>
    </xf>
    <xf numFmtId="0" fontId="8" fillId="25" borderId="36" xfId="43" applyFont="1" applyFill="1" applyBorder="1" applyAlignment="1">
      <alignment horizontal="center" vertical="center" wrapText="1"/>
    </xf>
    <xf numFmtId="0" fontId="8" fillId="25" borderId="45" xfId="43" quotePrefix="1" applyFont="1" applyFill="1" applyBorder="1" applyAlignment="1">
      <alignment horizontal="center" vertical="center" wrapText="1"/>
    </xf>
    <xf numFmtId="0" fontId="19" fillId="25" borderId="38" xfId="43" applyFont="1" applyFill="1" applyBorder="1" applyAlignment="1">
      <alignment horizontal="center"/>
    </xf>
    <xf numFmtId="0" fontId="19" fillId="25" borderId="55" xfId="43" applyFont="1" applyFill="1" applyBorder="1" applyAlignment="1">
      <alignment horizontal="center"/>
    </xf>
    <xf numFmtId="0" fontId="48" fillId="25" borderId="12" xfId="43" applyFont="1" applyFill="1" applyBorder="1" applyAlignment="1">
      <alignment horizontal="center"/>
    </xf>
    <xf numFmtId="0" fontId="48" fillId="25" borderId="409" xfId="43" applyFont="1" applyFill="1" applyBorder="1" applyAlignment="1">
      <alignment horizontal="center"/>
    </xf>
    <xf numFmtId="0" fontId="48" fillId="25" borderId="61" xfId="43" applyFont="1" applyFill="1" applyBorder="1" applyAlignment="1">
      <alignment horizontal="left"/>
    </xf>
    <xf numFmtId="0" fontId="48" fillId="25" borderId="62" xfId="43" applyFont="1" applyFill="1" applyBorder="1" applyAlignment="1">
      <alignment horizontal="left"/>
    </xf>
    <xf numFmtId="0" fontId="48" fillId="25" borderId="164" xfId="43" applyFont="1" applyFill="1" applyBorder="1" applyAlignment="1">
      <alignment horizontal="center" vertical="center" wrapText="1"/>
    </xf>
    <xf numFmtId="0" fontId="48" fillId="25" borderId="188" xfId="43" applyFont="1" applyFill="1" applyBorder="1" applyAlignment="1">
      <alignment horizontal="center" vertical="center" wrapText="1"/>
    </xf>
    <xf numFmtId="0" fontId="48" fillId="25" borderId="112" xfId="43" applyFont="1" applyFill="1" applyBorder="1" applyAlignment="1">
      <alignment horizontal="center"/>
    </xf>
    <xf numFmtId="0" fontId="48" fillId="25" borderId="160" xfId="43" applyFont="1" applyFill="1" applyBorder="1" applyAlignment="1">
      <alignment horizontal="center"/>
    </xf>
    <xf numFmtId="0" fontId="48" fillId="25" borderId="161" xfId="43" applyFont="1" applyFill="1" applyBorder="1" applyAlignment="1">
      <alignment horizontal="center"/>
    </xf>
    <xf numFmtId="1" fontId="8" fillId="24" borderId="10" xfId="43" applyNumberFormat="1" applyFont="1" applyFill="1" applyBorder="1" applyAlignment="1">
      <alignment horizontal="center" vertical="center" wrapText="1"/>
    </xf>
  </cellXfs>
  <cellStyles count="60">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akcent 1" xfId="55"/>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uena" xfId="19" builtinId="26" customBuiltin="1"/>
    <cellStyle name="Cálculo" xfId="20" builtinId="22" customBuiltin="1"/>
    <cellStyle name="Celda de comprobación" xfId="21" builtinId="23" customBuiltin="1"/>
    <cellStyle name="Celda vinculada" xfId="22" builtinId="24" customBuiltin="1"/>
    <cellStyle name="Encabezado 4" xfId="23" builtinId="19" customBuiltin="1"/>
    <cellStyle name="Énfasis1" xfId="24" builtinId="29" customBuiltin="1"/>
    <cellStyle name="Énfasis2" xfId="25" builtinId="33" customBuiltin="1"/>
    <cellStyle name="Énfasis3" xfId="26" builtinId="37" customBuiltin="1"/>
    <cellStyle name="Énfasis4" xfId="27" builtinId="41" customBuiltin="1"/>
    <cellStyle name="Énfasis5" xfId="28" builtinId="45" customBuiltin="1"/>
    <cellStyle name="Énfasis6" xfId="29" builtinId="49" customBuiltin="1"/>
    <cellStyle name="Entrada" xfId="30" builtinId="20" customBuiltin="1"/>
    <cellStyle name="Euro" xfId="31"/>
    <cellStyle name="Incorrecto" xfId="32" builtinId="27" customBuiltin="1"/>
    <cellStyle name="Millares" xfId="33" builtinId="3"/>
    <cellStyle name="Millares 2" xfId="34"/>
    <cellStyle name="Millares 3" xfId="35"/>
    <cellStyle name="Millares 4" xfId="56"/>
    <cellStyle name="Millares_Fecu" xfId="36"/>
    <cellStyle name="Neutral" xfId="37" builtinId="28" customBuiltin="1"/>
    <cellStyle name="Normal" xfId="0" builtinId="0"/>
    <cellStyle name="Normal 2" xfId="38"/>
    <cellStyle name="Normal 3" xfId="39"/>
    <cellStyle name="Normal 3 2" xfId="59"/>
    <cellStyle name="Normal 4" xfId="40"/>
    <cellStyle name="Normal 5" xfId="57"/>
    <cellStyle name="Normal 7" xfId="41"/>
    <cellStyle name="Normal_Anexo Inversiones CUI y APV 200509" xfId="42"/>
    <cellStyle name="Normal_Fecu" xfId="43"/>
    <cellStyle name="Normal_linkpresentacion" xfId="58"/>
    <cellStyle name="Normal_REASEGOS_VIGENTES" xfId="44"/>
    <cellStyle name="Notas" xfId="45" builtinId="10" customBuiltin="1"/>
    <cellStyle name="Porcentaje" xfId="46" builtinId="5"/>
    <cellStyle name="Salida" xfId="47" builtinId="21" customBuiltin="1"/>
    <cellStyle name="Texto de advertencia" xfId="48" builtinId="11" customBuiltin="1"/>
    <cellStyle name="Texto explicativo" xfId="49" builtinId="53" customBuiltin="1"/>
    <cellStyle name="Título" xfId="50" builtinId="15" customBuiltin="1"/>
    <cellStyle name="Título 1" xfId="51" builtinId="16" customBuiltin="1"/>
    <cellStyle name="Título 2" xfId="52" builtinId="17" customBuiltin="1"/>
    <cellStyle name="Título 3" xfId="53" builtinId="18" customBuiltin="1"/>
    <cellStyle name="Total" xfId="54"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externalLink" Target="externalLinks/externalLink6.xml"/><Relationship Id="rId35"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20</xdr:col>
      <xdr:colOff>171450</xdr:colOff>
      <xdr:row>1</xdr:row>
      <xdr:rowOff>66675</xdr:rowOff>
    </xdr:from>
    <xdr:to>
      <xdr:col>25</xdr:col>
      <xdr:colOff>314325</xdr:colOff>
      <xdr:row>3</xdr:row>
      <xdr:rowOff>76200</xdr:rowOff>
    </xdr:to>
    <xdr:pic>
      <xdr:nvPicPr>
        <xdr:cNvPr id="126267" name="Picture 1" descr="Nuevo Logo Bice Vida 50"/>
        <xdr:cNvPicPr>
          <a:picLocks noChangeAspect="1" noChangeArrowheads="1"/>
        </xdr:cNvPicPr>
      </xdr:nvPicPr>
      <xdr:blipFill>
        <a:blip xmlns:r="http://schemas.openxmlformats.org/officeDocument/2006/relationships" r:embed="rId1" cstate="print"/>
        <a:srcRect/>
        <a:stretch>
          <a:fillRect/>
        </a:stretch>
      </xdr:blipFill>
      <xdr:spPr bwMode="auto">
        <a:xfrm>
          <a:off x="6038850" y="219075"/>
          <a:ext cx="1638300" cy="3143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266700</xdr:colOff>
      <xdr:row>75</xdr:row>
      <xdr:rowOff>47625</xdr:rowOff>
    </xdr:from>
    <xdr:to>
      <xdr:col>8</xdr:col>
      <xdr:colOff>200025</xdr:colOff>
      <xdr:row>76</xdr:row>
      <xdr:rowOff>85725</xdr:rowOff>
    </xdr:to>
    <xdr:sp macro="" textlink="">
      <xdr:nvSpPr>
        <xdr:cNvPr id="127285" name="AutoShape 1"/>
        <xdr:cNvSpPr>
          <a:spLocks noChangeArrowheads="1"/>
        </xdr:cNvSpPr>
      </xdr:nvSpPr>
      <xdr:spPr bwMode="auto">
        <a:xfrm>
          <a:off x="3162300" y="12744450"/>
          <a:ext cx="485775" cy="228600"/>
        </a:xfrm>
        <a:prstGeom prst="rightArrow">
          <a:avLst>
            <a:gd name="adj1" fmla="val 50000"/>
            <a:gd name="adj2" fmla="val 53125"/>
          </a:avLst>
        </a:prstGeom>
        <a:solidFill>
          <a:srgbClr val="FFFFFF"/>
        </a:solidFill>
        <a:ln w="9525">
          <a:solidFill>
            <a:srgbClr val="000000"/>
          </a:solid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22</xdr:col>
      <xdr:colOff>142875</xdr:colOff>
      <xdr:row>16</xdr:row>
      <xdr:rowOff>219075</xdr:rowOff>
    </xdr:from>
    <xdr:to>
      <xdr:col>23</xdr:col>
      <xdr:colOff>571500</xdr:colOff>
      <xdr:row>21</xdr:row>
      <xdr:rowOff>66675</xdr:rowOff>
    </xdr:to>
    <xdr:sp macro="" textlink="">
      <xdr:nvSpPr>
        <xdr:cNvPr id="30729" name="Text Box 9" hidden="1"/>
        <xdr:cNvSpPr txBox="1">
          <a:spLocks noChangeArrowheads="1"/>
        </xdr:cNvSpPr>
      </xdr:nvSpPr>
      <xdr:spPr bwMode="auto">
        <a:xfrm>
          <a:off x="18697575" y="3924300"/>
          <a:ext cx="1219200" cy="904875"/>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23</xdr:col>
      <xdr:colOff>142875</xdr:colOff>
      <xdr:row>16</xdr:row>
      <xdr:rowOff>219075</xdr:rowOff>
    </xdr:from>
    <xdr:to>
      <xdr:col>24</xdr:col>
      <xdr:colOff>571500</xdr:colOff>
      <xdr:row>21</xdr:row>
      <xdr:rowOff>66675</xdr:rowOff>
    </xdr:to>
    <xdr:sp macro="" textlink="">
      <xdr:nvSpPr>
        <xdr:cNvPr id="30730" name="Text Box 10" hidden="1"/>
        <xdr:cNvSpPr txBox="1">
          <a:spLocks noChangeArrowheads="1"/>
        </xdr:cNvSpPr>
      </xdr:nvSpPr>
      <xdr:spPr bwMode="auto">
        <a:xfrm>
          <a:off x="19488150" y="3924300"/>
          <a:ext cx="1219200" cy="904875"/>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Cobranza%20y%20Cuentas%20Corrientes\Reportes\0720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Documents%20and%20Settings\diturra\Configuraci&#243;n%20local\Archivos%20temporales%20de%20Internet\OLK12A\Reservas%20de%20Descalce%20Flexibles%20y%20APV-Diciembre%20200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ECU/PLANIL.LAS/FECU%202006/Notas%20Fecu%202006%20BICE%20VID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ECU/PLANIL.LAS/FECU%202007/Notas%20Fecu%202007%20BICE%20VIDA%20II.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Balance%20BV%2007201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EEFF%20Corporativos/EEFF%20corporativos/FECU/PLANIL.LAS/FECU%202011/BALANCES%202011/Balance%20Final%20BV201101%20(14-02-201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Informes%20Gestion/BiceVida/FECU/FSVS2008/AN081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DO"/>
      <sheetName val="Reportes"/>
      <sheetName val="Operaciones por Cia"/>
      <sheetName val="Deuda Mora por Cia"/>
      <sheetName val="Deuda Vig por Cia"/>
      <sheetName val="Tablas"/>
      <sheetName val="Estadistica"/>
    </sheetNames>
    <sheetDataSet>
      <sheetData sheetId="0" refreshError="1"/>
      <sheetData sheetId="1"/>
      <sheetData sheetId="2" refreshError="1"/>
      <sheetData sheetId="3" refreshError="1"/>
      <sheetData sheetId="4" refreshError="1"/>
      <sheetData sheetId="5">
        <row r="2">
          <cell r="P2" t="str">
            <v>Codigo
Compañía</v>
          </cell>
          <cell r="Q2" t="str">
            <v>Nombre Compañía</v>
          </cell>
        </row>
        <row r="3">
          <cell r="P3">
            <v>9300</v>
          </cell>
          <cell r="Q3" t="str">
            <v>BICE Mutuos</v>
          </cell>
        </row>
        <row r="4">
          <cell r="P4">
            <v>9301</v>
          </cell>
          <cell r="Q4" t="str">
            <v>BICE Mutuos "Mochila"</v>
          </cell>
        </row>
        <row r="5">
          <cell r="P5">
            <v>9400</v>
          </cell>
          <cell r="Q5" t="str">
            <v>Principal</v>
          </cell>
        </row>
        <row r="6">
          <cell r="P6">
            <v>9401</v>
          </cell>
          <cell r="Q6" t="str">
            <v>BICE Vida</v>
          </cell>
        </row>
        <row r="7">
          <cell r="P7">
            <v>9403</v>
          </cell>
          <cell r="Q7" t="str">
            <v>El Roble</v>
          </cell>
        </row>
        <row r="8">
          <cell r="P8">
            <v>9405</v>
          </cell>
          <cell r="Q8" t="str">
            <v>Cruz del Sur</v>
          </cell>
        </row>
        <row r="9">
          <cell r="P9">
            <v>9406</v>
          </cell>
          <cell r="Q9" t="str">
            <v>Metlife Chile</v>
          </cell>
        </row>
        <row r="10">
          <cell r="P10">
            <v>9407</v>
          </cell>
          <cell r="Q10" t="str">
            <v>La Interamericana</v>
          </cell>
        </row>
        <row r="11">
          <cell r="P11">
            <v>9408</v>
          </cell>
          <cell r="Q11" t="str">
            <v>Inter Rentas</v>
          </cell>
        </row>
        <row r="12">
          <cell r="P12">
            <v>9409</v>
          </cell>
          <cell r="Q12" t="str">
            <v>Ohio</v>
          </cell>
        </row>
        <row r="14">
          <cell r="P14" t="str">
            <v>????</v>
          </cell>
          <cell r="Q14" t="str">
            <v>Todos</v>
          </cell>
        </row>
      </sheetData>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Reservas"/>
      <sheetName val="Descalce-Flexible"/>
      <sheetName val="Descalce-APV"/>
      <sheetName val="Inversiones"/>
      <sheetName val="Rescates"/>
      <sheetName val="Tasas"/>
      <sheetName val="Salida"/>
    </sheetNames>
    <sheetDataSet>
      <sheetData sheetId="0"/>
      <sheetData sheetId="1"/>
      <sheetData sheetId="2"/>
      <sheetData sheetId="3"/>
      <sheetData sheetId="4"/>
      <sheetData sheetId="5">
        <row r="25">
          <cell r="B25">
            <v>37925</v>
          </cell>
          <cell r="C25">
            <v>1.3816510341835286E-2</v>
          </cell>
          <cell r="D25">
            <v>4.6287177868405971E-2</v>
          </cell>
          <cell r="E25">
            <v>1.0878402984580982E-2</v>
          </cell>
          <cell r="F25">
            <v>4.7883953416469227E-2</v>
          </cell>
        </row>
        <row r="26">
          <cell r="B26">
            <v>37955</v>
          </cell>
          <cell r="C26">
            <v>-3.4803112275613168E-3</v>
          </cell>
          <cell r="D26">
            <v>-3.9311319019869506E-2</v>
          </cell>
          <cell r="E26">
            <v>-2.5155914378960365E-3</v>
          </cell>
          <cell r="F26">
            <v>-4.9019288814126427E-2</v>
          </cell>
        </row>
        <row r="27">
          <cell r="B27">
            <v>37986</v>
          </cell>
          <cell r="C27">
            <v>-1.134886363877341E-2</v>
          </cell>
          <cell r="D27">
            <v>2.0385168794326392E-2</v>
          </cell>
          <cell r="E27">
            <v>-1.2249949109493841E-2</v>
          </cell>
          <cell r="F27">
            <v>4.0841003546099319E-2</v>
          </cell>
        </row>
        <row r="28">
          <cell r="B28">
            <v>38017</v>
          </cell>
          <cell r="C28">
            <v>1.3640922768304753E-2</v>
          </cell>
          <cell r="D28">
            <v>-4.0320962888666156E-2</v>
          </cell>
          <cell r="E28">
            <v>2.5275827482447166E-2</v>
          </cell>
          <cell r="F28">
            <v>-4.8445336008024142E-2</v>
          </cell>
        </row>
        <row r="29">
          <cell r="B29">
            <v>38045</v>
          </cell>
          <cell r="C29">
            <v>1.4983967232438777E-2</v>
          </cell>
          <cell r="D29">
            <v>9.1255597435251801E-2</v>
          </cell>
          <cell r="E29">
            <v>1.0373592739233217E-2</v>
          </cell>
          <cell r="F29">
            <v>8.5242065487592278E-2</v>
          </cell>
        </row>
        <row r="30">
          <cell r="B30">
            <v>38077</v>
          </cell>
          <cell r="C30">
            <v>1.2329124026058125E-2</v>
          </cell>
          <cell r="D30">
            <v>-8.7833122998760005E-2</v>
          </cell>
          <cell r="E30">
            <v>1.893322822549659E-2</v>
          </cell>
          <cell r="F30">
            <v>-8.1128956614481385E-2</v>
          </cell>
        </row>
        <row r="31">
          <cell r="B31">
            <v>38107</v>
          </cell>
          <cell r="C31">
            <v>7.779911536060391E-3</v>
          </cell>
          <cell r="D31">
            <v>-3.0413211966641929E-2</v>
          </cell>
          <cell r="E31">
            <v>3.091517172568703E-2</v>
          </cell>
          <cell r="F31">
            <v>-2.8219351086591127E-2</v>
          </cell>
        </row>
        <row r="32">
          <cell r="B32">
            <v>38138</v>
          </cell>
          <cell r="C32">
            <v>1.3407412666856189E-2</v>
          </cell>
          <cell r="D32">
            <v>8.2283281008928011E-3</v>
          </cell>
          <cell r="E32">
            <v>-1.4977954665827298E-2</v>
          </cell>
          <cell r="F32">
            <v>7.0331547395168226E-3</v>
          </cell>
        </row>
        <row r="33">
          <cell r="B33">
            <v>38168</v>
          </cell>
          <cell r="C33">
            <v>-1.6185631812024259E-2</v>
          </cell>
          <cell r="D33">
            <v>3.1093994340271269E-2</v>
          </cell>
          <cell r="E33">
            <v>2.2334821495214374E-2</v>
          </cell>
          <cell r="F33">
            <v>2.5519975257053185E-2</v>
          </cell>
        </row>
        <row r="34">
          <cell r="B34">
            <v>38199</v>
          </cell>
          <cell r="C34">
            <v>1.1113247179288077E-2</v>
          </cell>
          <cell r="D34">
            <v>5.2387339755874951E-3</v>
          </cell>
          <cell r="E34">
            <v>-1.0094741166274623E-2</v>
          </cell>
          <cell r="F34">
            <v>1.6542852411263187E-3</v>
          </cell>
        </row>
        <row r="35">
          <cell r="B35">
            <v>38230</v>
          </cell>
          <cell r="C35">
            <v>3.4105564333355431E-3</v>
          </cell>
          <cell r="D35">
            <v>7.0936296662497345E-2</v>
          </cell>
          <cell r="E35">
            <v>8.29794383544602E-3</v>
          </cell>
          <cell r="F35">
            <v>7.2133207863014137E-2</v>
          </cell>
        </row>
        <row r="36">
          <cell r="B36">
            <v>38260</v>
          </cell>
          <cell r="C36">
            <v>-6.0595708280836158E-3</v>
          </cell>
          <cell r="D36">
            <v>2.6330947519542347E-2</v>
          </cell>
          <cell r="E36">
            <v>2.7726231386824507E-2</v>
          </cell>
          <cell r="F36">
            <v>3.8390186658197045E-2</v>
          </cell>
        </row>
        <row r="37">
          <cell r="B37">
            <v>38291</v>
          </cell>
          <cell r="C37">
            <v>9.0741001150165257E-3</v>
          </cell>
          <cell r="D37">
            <v>2.5442859009068286E-2</v>
          </cell>
          <cell r="E37">
            <v>-1.8074085367800863E-2</v>
          </cell>
          <cell r="F37">
            <v>4.2310665430377759E-2</v>
          </cell>
        </row>
        <row r="38">
          <cell r="B38">
            <v>38321</v>
          </cell>
          <cell r="C38">
            <v>-1.5053771007399463E-2</v>
          </cell>
          <cell r="D38">
            <v>2.6347290983072424E-2</v>
          </cell>
          <cell r="E38">
            <v>-3.7899176298527237E-2</v>
          </cell>
          <cell r="F38">
            <v>1.0999145658052711E-4</v>
          </cell>
        </row>
        <row r="39">
          <cell r="B39">
            <v>38352</v>
          </cell>
          <cell r="C39">
            <v>-3.2829927730182451E-4</v>
          </cell>
          <cell r="D39">
            <v>8.544821433212002E-3</v>
          </cell>
          <cell r="E39">
            <v>-7.9053461761673383E-3</v>
          </cell>
          <cell r="F39">
            <v>1.691945221616864E-2</v>
          </cell>
        </row>
        <row r="40">
          <cell r="B40">
            <v>38383</v>
          </cell>
          <cell r="C40">
            <v>3.075023834887336E-3</v>
          </cell>
          <cell r="D40">
            <v>-4.0933044208137925E-3</v>
          </cell>
          <cell r="E40">
            <v>-9.7349638582433506E-4</v>
          </cell>
          <cell r="F40">
            <v>-2.6789887457609685E-2</v>
          </cell>
        </row>
        <row r="41">
          <cell r="B41">
            <v>38411</v>
          </cell>
          <cell r="C41">
            <v>1.7906224300998863E-2</v>
          </cell>
          <cell r="D41">
            <v>5.5201266606712096E-2</v>
          </cell>
          <cell r="E41">
            <v>4.3092194631961345E-2</v>
          </cell>
          <cell r="F41">
            <v>6.8644310582052004E-2</v>
          </cell>
        </row>
        <row r="42">
          <cell r="B42">
            <v>38442</v>
          </cell>
          <cell r="C42">
            <v>2.1123285057615515E-2</v>
          </cell>
          <cell r="D42">
            <v>4.2824227523876157E-2</v>
          </cell>
          <cell r="E42">
            <v>4.6804398449667106E-2</v>
          </cell>
          <cell r="F42">
            <v>9.2393061566504953E-2</v>
          </cell>
        </row>
        <row r="43">
          <cell r="B43">
            <v>38472</v>
          </cell>
          <cell r="C43">
            <v>-7.1374577390570515E-3</v>
          </cell>
          <cell r="D43">
            <v>-1.3798952809837894E-2</v>
          </cell>
          <cell r="E43">
            <v>5.3522925586028114E-2</v>
          </cell>
          <cell r="F43">
            <v>1.5094722398633298E-2</v>
          </cell>
        </row>
        <row r="44">
          <cell r="B44">
            <v>38503</v>
          </cell>
          <cell r="C44">
            <v>-2.7869883534952233E-3</v>
          </cell>
          <cell r="D44">
            <v>1.6973923585892559E-2</v>
          </cell>
          <cell r="E44">
            <v>6.5275511041069656E-3</v>
          </cell>
          <cell r="F44">
            <v>-8.1195913433920186E-3</v>
          </cell>
        </row>
        <row r="45">
          <cell r="B45">
            <v>38533</v>
          </cell>
          <cell r="C45">
            <v>-9.9548546419433448E-3</v>
          </cell>
          <cell r="D45">
            <v>5.5305667236031031E-2</v>
          </cell>
          <cell r="E45">
            <v>-9.2520229161749956E-3</v>
          </cell>
          <cell r="F45">
            <v>-4.6868790828652473E-3</v>
          </cell>
        </row>
        <row r="46">
          <cell r="B46">
            <v>38564</v>
          </cell>
          <cell r="C46">
            <v>3.5564048448648578E-3</v>
          </cell>
          <cell r="D46">
            <v>7.5746732029202679E-3</v>
          </cell>
          <cell r="E46">
            <v>-3.2817346171216677E-3</v>
          </cell>
          <cell r="F46">
            <v>-3.7249410981939901E-3</v>
          </cell>
        </row>
        <row r="47">
          <cell r="B47">
            <v>38595</v>
          </cell>
          <cell r="C47">
            <v>-2.1549416554187406E-3</v>
          </cell>
          <cell r="D47">
            <v>-2.4271333682662988E-2</v>
          </cell>
          <cell r="E47">
            <v>8.0382721547209712E-3</v>
          </cell>
          <cell r="F47">
            <v>-5.3898719360082614E-3</v>
          </cell>
        </row>
        <row r="48">
          <cell r="B48">
            <v>38625</v>
          </cell>
          <cell r="C48">
            <v>-7.4311139768719059E-3</v>
          </cell>
          <cell r="D48">
            <v>1.4650567885822419E-2</v>
          </cell>
          <cell r="E48">
            <v>-5.366822836444296E-3</v>
          </cell>
          <cell r="F48">
            <v>5.3898719360082597E-3</v>
          </cell>
        </row>
        <row r="49">
          <cell r="B49">
            <v>38656</v>
          </cell>
          <cell r="C49">
            <v>-6.7483295828211221E-3</v>
          </cell>
          <cell r="D49">
            <v>-2.2830715254503309E-2</v>
          </cell>
          <cell r="E49">
            <v>-1.8970027201314466E-2</v>
          </cell>
          <cell r="F49">
            <v>0</v>
          </cell>
        </row>
        <row r="50">
          <cell r="B50">
            <v>38686</v>
          </cell>
          <cell r="C50">
            <v>9.0454301400912929E-3</v>
          </cell>
          <cell r="D50">
            <v>-2.7466259678920024E-2</v>
          </cell>
          <cell r="E50">
            <v>-5.1301834878357599E-2</v>
          </cell>
          <cell r="F50">
            <v>0</v>
          </cell>
        </row>
        <row r="51">
          <cell r="B51">
            <v>38717</v>
          </cell>
          <cell r="C51">
            <v>8.0455133363543929E-4</v>
          </cell>
          <cell r="D51">
            <v>-5.266742997743723E-2</v>
          </cell>
          <cell r="E51">
            <v>-2.6735611570504192E-3</v>
          </cell>
          <cell r="F51">
            <v>0</v>
          </cell>
        </row>
      </sheetData>
      <sheetData sheetId="6">
        <row r="2">
          <cell r="C2">
            <v>38717</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RIZCTAS"/>
      <sheetName val="EEFF"/>
      <sheetName val="FECU"/>
      <sheetName val="C_6.01"/>
      <sheetName val="C_6.02"/>
      <sheetName val="C_6.03"/>
      <sheetName val="C_6.04"/>
      <sheetName val="C_6.05"/>
      <sheetName val="C_6.06"/>
      <sheetName val="C_6.07"/>
      <sheetName val="C_6.08"/>
      <sheetName val="Cuadros Notas"/>
      <sheetName val="Parametros Cuadros de Notas"/>
      <sheetName val="Parámetros"/>
      <sheetName val="Estado de Flujo de Efectivo"/>
      <sheetName val="Conciliacion Resultado Flujo"/>
      <sheetName val="COMENTARIO FLUJO"/>
      <sheetName val="Cuadro A-1"/>
      <sheetName val="CUI"/>
      <sheetName val="Cuadro B-1"/>
      <sheetName val="Cuadro B-1CUI"/>
      <sheetName val="Cuadro B-2 y B-3 RV85"/>
      <sheetName val="Cuadro B-2 RV2004"/>
      <sheetName val="Prima y Comisiones RV"/>
      <sheetName val="Cuadro 7 Circular 967"/>
      <sheetName val="Cuadro 8 y 9 Circular 967"/>
      <sheetName val="US$ Balance"/>
      <sheetName val="US$ Divisas"/>
      <sheetName val="US$ Resultados"/>
      <sheetName val="Accionistas"/>
      <sheetName val="Grupo Empresarial"/>
      <sheetName val="Reaseguros"/>
      <sheetName val="ANEXO 11 SINIESTROS "/>
      <sheetName val="Provision Incobrables"/>
      <sheetName val="Otras Operaciones"/>
      <sheetName val="Contratos Swaps Activo"/>
      <sheetName val="Contratos Swaps Pasivo"/>
      <sheetName val="Contratos Opciones"/>
      <sheetName val="Contratos Futuros"/>
      <sheetName val="Contratos Forwards"/>
      <sheetName val="Margen de Solvencia 1"/>
      <sheetName val="Margen de Solvencia 2"/>
      <sheetName val="Margen de Solvencia 3"/>
      <sheetName val="Agentes Directos"/>
      <sheetName val="PRIMA NO GANADA"/>
      <sheetName val="ANALISIS SUFICIENCIA RESERVA "/>
      <sheetName val="NCG 159 custodia"/>
      <sheetName val="suficiencia de activos"/>
      <sheetName val="CIRCULAR 1368"/>
      <sheetName val="Resrv Descalce Flexible"/>
      <sheetName val="Reserv Descalce APV"/>
      <sheetName val="Anexo Seg Flexible"/>
      <sheetName val="Anexo APV"/>
      <sheetName val="bienes raices"/>
      <sheetName val="leas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3">
          <cell r="B3">
            <v>39082</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RIZCTAS"/>
      <sheetName val="EEFF"/>
      <sheetName val="FECU"/>
      <sheetName val="C_6.01"/>
      <sheetName val="C_6.02"/>
      <sheetName val="C_6.03"/>
      <sheetName val="C_6.04"/>
      <sheetName val="C_6.05"/>
      <sheetName val="C_6.06"/>
      <sheetName val="C_6.07"/>
      <sheetName val="C_6.08"/>
      <sheetName val="Cuadros Notas"/>
      <sheetName val="Parametros Cuadros de Notas"/>
      <sheetName val="Parámetr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3">
          <cell r="D3">
            <v>19622.66</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 val="Hoja3"/>
    </sheetNames>
    <sheetDataSet>
      <sheetData sheetId="0">
        <row r="10">
          <cell r="A10">
            <v>110001</v>
          </cell>
          <cell r="B10" t="str">
            <v>CAJA</v>
          </cell>
          <cell r="C10">
            <v>181373953403</v>
          </cell>
          <cell r="D10">
            <v>181373292606</v>
          </cell>
          <cell r="E10">
            <v>660797</v>
          </cell>
          <cell r="F10">
            <v>0</v>
          </cell>
          <cell r="G10">
            <v>660797</v>
          </cell>
          <cell r="H10">
            <v>0</v>
          </cell>
          <cell r="I10">
            <v>0</v>
          </cell>
          <cell r="J10">
            <v>0</v>
          </cell>
          <cell r="K10">
            <v>660797</v>
          </cell>
        </row>
        <row r="11">
          <cell r="A11">
            <v>110002</v>
          </cell>
          <cell r="B11" t="str">
            <v>CAJA SUCURSALES</v>
          </cell>
          <cell r="C11">
            <v>0</v>
          </cell>
          <cell r="D11">
            <v>0</v>
          </cell>
          <cell r="E11">
            <v>0</v>
          </cell>
          <cell r="F11">
            <v>0</v>
          </cell>
          <cell r="G11">
            <v>0</v>
          </cell>
          <cell r="H11">
            <v>0</v>
          </cell>
          <cell r="I11">
            <v>0</v>
          </cell>
          <cell r="J11">
            <v>0</v>
          </cell>
          <cell r="K11">
            <v>0</v>
          </cell>
        </row>
        <row r="12">
          <cell r="A12">
            <v>110003</v>
          </cell>
          <cell r="B12" t="str">
            <v>VALORES POR DEPOSITAR</v>
          </cell>
          <cell r="C12">
            <v>811251044</v>
          </cell>
          <cell r="D12">
            <v>233252494</v>
          </cell>
          <cell r="E12">
            <v>577998550</v>
          </cell>
          <cell r="F12">
            <v>0</v>
          </cell>
          <cell r="G12">
            <v>577998550</v>
          </cell>
          <cell r="H12">
            <v>0</v>
          </cell>
          <cell r="I12">
            <v>0</v>
          </cell>
          <cell r="J12">
            <v>0</v>
          </cell>
          <cell r="K12">
            <v>577998550</v>
          </cell>
        </row>
        <row r="13">
          <cell r="A13">
            <v>110004</v>
          </cell>
          <cell r="B13" t="str">
            <v>CANJE</v>
          </cell>
          <cell r="C13">
            <v>16111145848</v>
          </cell>
          <cell r="D13">
            <v>15820761673</v>
          </cell>
          <cell r="E13">
            <v>290384175</v>
          </cell>
          <cell r="F13">
            <v>0</v>
          </cell>
          <cell r="G13">
            <v>290384175</v>
          </cell>
          <cell r="H13">
            <v>0</v>
          </cell>
          <cell r="I13">
            <v>0</v>
          </cell>
          <cell r="J13">
            <v>0</v>
          </cell>
          <cell r="K13">
            <v>290384175</v>
          </cell>
        </row>
        <row r="14">
          <cell r="A14">
            <v>110005</v>
          </cell>
          <cell r="B14" t="str">
            <v>CAJA MONEDA EXTRANJERA</v>
          </cell>
          <cell r="C14">
            <v>3000</v>
          </cell>
          <cell r="D14">
            <v>3000</v>
          </cell>
          <cell r="E14">
            <v>0</v>
          </cell>
          <cell r="F14">
            <v>0</v>
          </cell>
          <cell r="G14">
            <v>0</v>
          </cell>
          <cell r="H14">
            <v>0</v>
          </cell>
          <cell r="I14">
            <v>0</v>
          </cell>
          <cell r="J14">
            <v>0</v>
          </cell>
          <cell r="K14">
            <v>0</v>
          </cell>
        </row>
        <row r="15">
          <cell r="A15">
            <v>110101</v>
          </cell>
          <cell r="B15" t="str">
            <v>BICE CTA. N 01-26970-4</v>
          </cell>
          <cell r="C15">
            <v>0</v>
          </cell>
          <cell r="D15">
            <v>0</v>
          </cell>
          <cell r="E15">
            <v>0</v>
          </cell>
          <cell r="F15">
            <v>0</v>
          </cell>
          <cell r="G15">
            <v>0</v>
          </cell>
          <cell r="H15">
            <v>0</v>
          </cell>
          <cell r="I15">
            <v>0</v>
          </cell>
          <cell r="J15">
            <v>0</v>
          </cell>
          <cell r="K15">
            <v>0</v>
          </cell>
        </row>
        <row r="16">
          <cell r="A16">
            <v>110102</v>
          </cell>
          <cell r="B16" t="str">
            <v>BICE CTA. N 01-26123-1</v>
          </cell>
          <cell r="C16">
            <v>342256775383</v>
          </cell>
          <cell r="D16">
            <v>341468119163</v>
          </cell>
          <cell r="E16">
            <v>788656220</v>
          </cell>
          <cell r="F16">
            <v>0</v>
          </cell>
          <cell r="G16">
            <v>788656220</v>
          </cell>
          <cell r="H16">
            <v>0</v>
          </cell>
          <cell r="I16">
            <v>0</v>
          </cell>
          <cell r="J16">
            <v>0</v>
          </cell>
          <cell r="K16">
            <v>788656220</v>
          </cell>
        </row>
        <row r="17">
          <cell r="A17">
            <v>110103</v>
          </cell>
          <cell r="B17" t="str">
            <v>BICE CTA. N 01-26332-3</v>
          </cell>
          <cell r="C17">
            <v>1837904616</v>
          </cell>
          <cell r="D17">
            <v>1837523228</v>
          </cell>
          <cell r="E17">
            <v>381388</v>
          </cell>
          <cell r="F17">
            <v>0</v>
          </cell>
          <cell r="G17">
            <v>381388</v>
          </cell>
          <cell r="H17">
            <v>0</v>
          </cell>
          <cell r="I17">
            <v>0</v>
          </cell>
          <cell r="J17">
            <v>0</v>
          </cell>
          <cell r="K17">
            <v>381388</v>
          </cell>
        </row>
        <row r="18">
          <cell r="A18">
            <v>110104</v>
          </cell>
          <cell r="B18" t="str">
            <v>CHILE CTA. N 14346-04</v>
          </cell>
          <cell r="C18">
            <v>0</v>
          </cell>
          <cell r="D18">
            <v>0</v>
          </cell>
          <cell r="E18">
            <v>0</v>
          </cell>
          <cell r="F18">
            <v>0</v>
          </cell>
          <cell r="G18">
            <v>0</v>
          </cell>
          <cell r="H18">
            <v>0</v>
          </cell>
          <cell r="I18">
            <v>0</v>
          </cell>
          <cell r="J18">
            <v>0</v>
          </cell>
          <cell r="K18">
            <v>0</v>
          </cell>
        </row>
        <row r="19">
          <cell r="A19">
            <v>110105</v>
          </cell>
          <cell r="B19" t="str">
            <v>CHILE CTA. N 50017-08</v>
          </cell>
          <cell r="C19">
            <v>0</v>
          </cell>
          <cell r="D19">
            <v>0</v>
          </cell>
          <cell r="E19">
            <v>0</v>
          </cell>
          <cell r="F19">
            <v>0</v>
          </cell>
          <cell r="G19">
            <v>0</v>
          </cell>
          <cell r="H19">
            <v>0</v>
          </cell>
          <cell r="I19">
            <v>0</v>
          </cell>
          <cell r="J19">
            <v>0</v>
          </cell>
          <cell r="K19">
            <v>0</v>
          </cell>
        </row>
        <row r="20">
          <cell r="A20">
            <v>110106</v>
          </cell>
          <cell r="B20" t="str">
            <v>CHILE CTA. N 11639-04</v>
          </cell>
          <cell r="C20">
            <v>10844870390</v>
          </cell>
          <cell r="D20">
            <v>10921086155</v>
          </cell>
          <cell r="E20">
            <v>0</v>
          </cell>
          <cell r="F20">
            <v>76215765</v>
          </cell>
          <cell r="G20">
            <v>0</v>
          </cell>
          <cell r="H20">
            <v>76215765</v>
          </cell>
          <cell r="I20">
            <v>0</v>
          </cell>
          <cell r="J20">
            <v>0</v>
          </cell>
          <cell r="K20">
            <v>-76215765</v>
          </cell>
        </row>
        <row r="21">
          <cell r="A21">
            <v>110107</v>
          </cell>
          <cell r="B21" t="str">
            <v>CHILE CTA. N 11743-09</v>
          </cell>
          <cell r="C21">
            <v>151601337</v>
          </cell>
          <cell r="D21">
            <v>149924711</v>
          </cell>
          <cell r="E21">
            <v>1676626</v>
          </cell>
          <cell r="F21">
            <v>0</v>
          </cell>
          <cell r="G21">
            <v>1676626</v>
          </cell>
          <cell r="H21">
            <v>0</v>
          </cell>
          <cell r="I21">
            <v>0</v>
          </cell>
          <cell r="J21">
            <v>0</v>
          </cell>
          <cell r="K21">
            <v>1676626</v>
          </cell>
        </row>
        <row r="22">
          <cell r="A22">
            <v>110108</v>
          </cell>
          <cell r="B22" t="str">
            <v>A. EDWARDS CTA. N 01-61-8</v>
          </cell>
          <cell r="C22">
            <v>2302461380</v>
          </cell>
          <cell r="D22">
            <v>2156027598</v>
          </cell>
          <cell r="E22">
            <v>146433782</v>
          </cell>
          <cell r="F22">
            <v>0</v>
          </cell>
          <cell r="G22">
            <v>146433782</v>
          </cell>
          <cell r="H22">
            <v>0</v>
          </cell>
          <cell r="I22">
            <v>0</v>
          </cell>
          <cell r="J22">
            <v>0</v>
          </cell>
          <cell r="K22">
            <v>146433782</v>
          </cell>
        </row>
        <row r="23">
          <cell r="A23">
            <v>110109</v>
          </cell>
          <cell r="B23" t="str">
            <v>SANTANDER CTA. N 74-00317</v>
          </cell>
          <cell r="C23">
            <v>0</v>
          </cell>
          <cell r="D23">
            <v>0</v>
          </cell>
          <cell r="E23">
            <v>0</v>
          </cell>
          <cell r="F23">
            <v>0</v>
          </cell>
          <cell r="G23">
            <v>0</v>
          </cell>
          <cell r="H23">
            <v>0</v>
          </cell>
          <cell r="I23">
            <v>0</v>
          </cell>
          <cell r="J23">
            <v>0</v>
          </cell>
          <cell r="K23">
            <v>0</v>
          </cell>
        </row>
        <row r="24">
          <cell r="A24">
            <v>110110</v>
          </cell>
          <cell r="B24" t="str">
            <v>SANTANDER CTA. N 4405-9</v>
          </cell>
          <cell r="C24">
            <v>348476810</v>
          </cell>
          <cell r="D24">
            <v>349727446</v>
          </cell>
          <cell r="E24">
            <v>0</v>
          </cell>
          <cell r="F24">
            <v>1250636</v>
          </cell>
          <cell r="G24">
            <v>0</v>
          </cell>
          <cell r="H24">
            <v>1250636</v>
          </cell>
          <cell r="I24">
            <v>0</v>
          </cell>
          <cell r="J24">
            <v>0</v>
          </cell>
          <cell r="K24">
            <v>-1250636</v>
          </cell>
        </row>
        <row r="25">
          <cell r="A25">
            <v>110111</v>
          </cell>
          <cell r="B25" t="str">
            <v>SANTANDER BIENESTAR 25828</v>
          </cell>
          <cell r="C25">
            <v>109396</v>
          </cell>
          <cell r="D25">
            <v>0</v>
          </cell>
          <cell r="E25">
            <v>109396</v>
          </cell>
          <cell r="F25">
            <v>0</v>
          </cell>
          <cell r="G25">
            <v>109396</v>
          </cell>
          <cell r="H25">
            <v>0</v>
          </cell>
          <cell r="I25">
            <v>0</v>
          </cell>
          <cell r="J25">
            <v>0</v>
          </cell>
          <cell r="K25">
            <v>109396</v>
          </cell>
        </row>
        <row r="26">
          <cell r="A26">
            <v>110112</v>
          </cell>
          <cell r="B26" t="str">
            <v>BANCO SANTANDER STGO CTA</v>
          </cell>
          <cell r="C26">
            <v>14129772916</v>
          </cell>
          <cell r="D26">
            <v>14184857990</v>
          </cell>
          <cell r="E26">
            <v>0</v>
          </cell>
          <cell r="F26">
            <v>55085074</v>
          </cell>
          <cell r="G26">
            <v>0</v>
          </cell>
          <cell r="H26">
            <v>55085074</v>
          </cell>
          <cell r="I26">
            <v>0</v>
          </cell>
          <cell r="J26">
            <v>0</v>
          </cell>
          <cell r="K26">
            <v>-55085074</v>
          </cell>
        </row>
        <row r="27">
          <cell r="A27">
            <v>110113</v>
          </cell>
          <cell r="B27" t="str">
            <v>CREDITO CTA. N 82021929</v>
          </cell>
          <cell r="C27">
            <v>61164419</v>
          </cell>
          <cell r="D27">
            <v>56448846</v>
          </cell>
          <cell r="E27">
            <v>4715573</v>
          </cell>
          <cell r="F27">
            <v>0</v>
          </cell>
          <cell r="G27">
            <v>4715573</v>
          </cell>
          <cell r="H27">
            <v>0</v>
          </cell>
          <cell r="I27">
            <v>0</v>
          </cell>
          <cell r="J27">
            <v>0</v>
          </cell>
          <cell r="K27">
            <v>4715573</v>
          </cell>
        </row>
        <row r="28">
          <cell r="A28">
            <v>110114</v>
          </cell>
          <cell r="B28" t="str">
            <v>CITIBANK N 0-105170-00-9</v>
          </cell>
          <cell r="C28">
            <v>6042048</v>
          </cell>
          <cell r="D28">
            <v>0</v>
          </cell>
          <cell r="E28">
            <v>6042048</v>
          </cell>
          <cell r="F28">
            <v>0</v>
          </cell>
          <cell r="G28">
            <v>6042048</v>
          </cell>
          <cell r="H28">
            <v>0</v>
          </cell>
          <cell r="I28">
            <v>0</v>
          </cell>
          <cell r="J28">
            <v>0</v>
          </cell>
          <cell r="K28">
            <v>6042048</v>
          </cell>
        </row>
        <row r="29">
          <cell r="A29">
            <v>110116</v>
          </cell>
          <cell r="B29" t="str">
            <v>BBVA CTA. N° 0504-0089-01</v>
          </cell>
          <cell r="C29">
            <v>1442568</v>
          </cell>
          <cell r="D29">
            <v>0</v>
          </cell>
          <cell r="E29">
            <v>1442568</v>
          </cell>
          <cell r="F29">
            <v>0</v>
          </cell>
          <cell r="G29">
            <v>1442568</v>
          </cell>
          <cell r="H29">
            <v>0</v>
          </cell>
          <cell r="I29">
            <v>0</v>
          </cell>
          <cell r="J29">
            <v>0</v>
          </cell>
          <cell r="K29">
            <v>1442568</v>
          </cell>
        </row>
        <row r="30">
          <cell r="A30">
            <v>110117</v>
          </cell>
          <cell r="B30" t="str">
            <v>ESTADO CTA. N 291391</v>
          </cell>
          <cell r="C30">
            <v>47170718</v>
          </cell>
          <cell r="D30">
            <v>47812117</v>
          </cell>
          <cell r="E30">
            <v>0</v>
          </cell>
          <cell r="F30">
            <v>641399</v>
          </cell>
          <cell r="G30">
            <v>0</v>
          </cell>
          <cell r="H30">
            <v>641399</v>
          </cell>
          <cell r="I30">
            <v>0</v>
          </cell>
          <cell r="J30">
            <v>0</v>
          </cell>
          <cell r="K30">
            <v>-641399</v>
          </cell>
        </row>
        <row r="31">
          <cell r="A31">
            <v>110118</v>
          </cell>
          <cell r="B31" t="str">
            <v>BANCO BICE CTA 01-30497-6</v>
          </cell>
          <cell r="C31">
            <v>1553040</v>
          </cell>
          <cell r="D31">
            <v>0</v>
          </cell>
          <cell r="E31">
            <v>1553040</v>
          </cell>
          <cell r="F31">
            <v>0</v>
          </cell>
          <cell r="G31">
            <v>1553040</v>
          </cell>
          <cell r="H31">
            <v>0</v>
          </cell>
          <cell r="I31">
            <v>0</v>
          </cell>
          <cell r="J31">
            <v>0</v>
          </cell>
          <cell r="K31">
            <v>1553040</v>
          </cell>
        </row>
        <row r="32">
          <cell r="A32">
            <v>110120</v>
          </cell>
          <cell r="B32" t="str">
            <v>BICE CTA.N° 02-00369-4</v>
          </cell>
          <cell r="C32">
            <v>15090820744</v>
          </cell>
          <cell r="D32">
            <v>15090323146</v>
          </cell>
          <cell r="E32">
            <v>497598</v>
          </cell>
          <cell r="F32">
            <v>0</v>
          </cell>
          <cell r="G32">
            <v>497598</v>
          </cell>
          <cell r="H32">
            <v>0</v>
          </cell>
          <cell r="I32">
            <v>0</v>
          </cell>
          <cell r="J32">
            <v>0</v>
          </cell>
          <cell r="K32">
            <v>497598</v>
          </cell>
        </row>
        <row r="33">
          <cell r="A33">
            <v>110121</v>
          </cell>
          <cell r="B33" t="str">
            <v>CHILE CTA. N° 66298-04</v>
          </cell>
          <cell r="C33">
            <v>199619398</v>
          </cell>
          <cell r="D33">
            <v>197000000</v>
          </cell>
          <cell r="E33">
            <v>2619398</v>
          </cell>
          <cell r="F33">
            <v>0</v>
          </cell>
          <cell r="G33">
            <v>2619398</v>
          </cell>
          <cell r="H33">
            <v>0</v>
          </cell>
          <cell r="I33">
            <v>0</v>
          </cell>
          <cell r="J33">
            <v>0</v>
          </cell>
          <cell r="K33">
            <v>2619398</v>
          </cell>
        </row>
        <row r="34">
          <cell r="A34">
            <v>110122</v>
          </cell>
          <cell r="B34" t="str">
            <v>CHILE CTA. N° 159-14461-0</v>
          </cell>
          <cell r="C34">
            <v>680053333</v>
          </cell>
          <cell r="D34">
            <v>678709947</v>
          </cell>
          <cell r="E34">
            <v>1343386</v>
          </cell>
          <cell r="F34">
            <v>0</v>
          </cell>
          <cell r="G34">
            <v>1343386</v>
          </cell>
          <cell r="H34">
            <v>0</v>
          </cell>
          <cell r="I34">
            <v>0</v>
          </cell>
          <cell r="J34">
            <v>0</v>
          </cell>
          <cell r="K34">
            <v>1343386</v>
          </cell>
        </row>
        <row r="35">
          <cell r="A35">
            <v>110123</v>
          </cell>
          <cell r="B35" t="str">
            <v>CHILE CTA. N° 000-11580-0</v>
          </cell>
          <cell r="C35">
            <v>20561003</v>
          </cell>
          <cell r="D35">
            <v>17762075</v>
          </cell>
          <cell r="E35">
            <v>2798928</v>
          </cell>
          <cell r="F35">
            <v>0</v>
          </cell>
          <cell r="G35">
            <v>2798928</v>
          </cell>
          <cell r="H35">
            <v>0</v>
          </cell>
          <cell r="I35">
            <v>0</v>
          </cell>
          <cell r="J35">
            <v>0</v>
          </cell>
          <cell r="K35">
            <v>2798928</v>
          </cell>
        </row>
        <row r="36">
          <cell r="A36">
            <v>110124</v>
          </cell>
          <cell r="B36" t="str">
            <v>SANTANDER SANTIAGO CTA N°</v>
          </cell>
          <cell r="C36">
            <v>117695027496</v>
          </cell>
          <cell r="D36">
            <v>117694241120</v>
          </cell>
          <cell r="E36">
            <v>786376</v>
          </cell>
          <cell r="F36">
            <v>0</v>
          </cell>
          <cell r="G36">
            <v>786376</v>
          </cell>
          <cell r="H36">
            <v>0</v>
          </cell>
          <cell r="I36">
            <v>0</v>
          </cell>
          <cell r="J36">
            <v>0</v>
          </cell>
          <cell r="K36">
            <v>786376</v>
          </cell>
        </row>
        <row r="37">
          <cell r="A37">
            <v>110125</v>
          </cell>
          <cell r="B37" t="str">
            <v>CREDITO CTA N° 10256687</v>
          </cell>
          <cell r="C37">
            <v>25038832</v>
          </cell>
          <cell r="D37">
            <v>24591560</v>
          </cell>
          <cell r="E37">
            <v>447272</v>
          </cell>
          <cell r="F37">
            <v>0</v>
          </cell>
          <cell r="G37">
            <v>447272</v>
          </cell>
          <cell r="H37">
            <v>0</v>
          </cell>
          <cell r="I37">
            <v>0</v>
          </cell>
          <cell r="J37">
            <v>0</v>
          </cell>
          <cell r="K37">
            <v>447272</v>
          </cell>
        </row>
        <row r="38">
          <cell r="A38">
            <v>110127</v>
          </cell>
          <cell r="B38" t="str">
            <v>BANCO SECURITY CTA N° E-0</v>
          </cell>
          <cell r="C38">
            <v>0</v>
          </cell>
          <cell r="D38">
            <v>0</v>
          </cell>
          <cell r="E38">
            <v>0</v>
          </cell>
          <cell r="F38">
            <v>0</v>
          </cell>
          <cell r="G38">
            <v>0</v>
          </cell>
          <cell r="H38">
            <v>0</v>
          </cell>
          <cell r="I38">
            <v>0</v>
          </cell>
          <cell r="J38">
            <v>0</v>
          </cell>
          <cell r="K38">
            <v>0</v>
          </cell>
        </row>
        <row r="39">
          <cell r="A39">
            <v>110128</v>
          </cell>
          <cell r="B39" t="str">
            <v>BBVA CTA. N° 0504-0089-01</v>
          </cell>
          <cell r="C39">
            <v>10109611</v>
          </cell>
          <cell r="D39">
            <v>0</v>
          </cell>
          <cell r="E39">
            <v>10109611</v>
          </cell>
          <cell r="F39">
            <v>0</v>
          </cell>
          <cell r="G39">
            <v>10109611</v>
          </cell>
          <cell r="H39">
            <v>0</v>
          </cell>
          <cell r="I39">
            <v>0</v>
          </cell>
          <cell r="J39">
            <v>0</v>
          </cell>
          <cell r="K39">
            <v>10109611</v>
          </cell>
        </row>
        <row r="40">
          <cell r="A40">
            <v>110129</v>
          </cell>
          <cell r="B40" t="str">
            <v>ESTADO CTA N° 221180</v>
          </cell>
          <cell r="C40">
            <v>193710658</v>
          </cell>
          <cell r="D40">
            <v>191592630</v>
          </cell>
          <cell r="E40">
            <v>2118028</v>
          </cell>
          <cell r="F40">
            <v>0</v>
          </cell>
          <cell r="G40">
            <v>2118028</v>
          </cell>
          <cell r="H40">
            <v>0</v>
          </cell>
          <cell r="I40">
            <v>0</v>
          </cell>
          <cell r="J40">
            <v>0</v>
          </cell>
          <cell r="K40">
            <v>2118028</v>
          </cell>
        </row>
        <row r="41">
          <cell r="A41">
            <v>110131</v>
          </cell>
          <cell r="B41" t="str">
            <v>BANCO BOSTON CTA N° 52268</v>
          </cell>
          <cell r="C41">
            <v>0</v>
          </cell>
          <cell r="D41">
            <v>0</v>
          </cell>
          <cell r="E41">
            <v>0</v>
          </cell>
          <cell r="F41">
            <v>0</v>
          </cell>
          <cell r="G41">
            <v>0</v>
          </cell>
          <cell r="H41">
            <v>0</v>
          </cell>
          <cell r="I41">
            <v>0</v>
          </cell>
          <cell r="J41">
            <v>0</v>
          </cell>
          <cell r="K41">
            <v>0</v>
          </cell>
        </row>
        <row r="42">
          <cell r="A42">
            <v>110132</v>
          </cell>
          <cell r="B42" t="str">
            <v>BANCO CORPBANCA CTA N° 11</v>
          </cell>
          <cell r="C42">
            <v>0</v>
          </cell>
          <cell r="D42">
            <v>0</v>
          </cell>
          <cell r="E42">
            <v>0</v>
          </cell>
          <cell r="F42">
            <v>0</v>
          </cell>
          <cell r="G42">
            <v>0</v>
          </cell>
          <cell r="H42">
            <v>0</v>
          </cell>
          <cell r="I42">
            <v>0</v>
          </cell>
          <cell r="J42">
            <v>0</v>
          </cell>
          <cell r="K42">
            <v>0</v>
          </cell>
        </row>
        <row r="43">
          <cell r="A43">
            <v>110133</v>
          </cell>
          <cell r="B43" t="str">
            <v>SANTANDER CTA. N 37-59045</v>
          </cell>
          <cell r="C43">
            <v>100000</v>
          </cell>
          <cell r="D43">
            <v>0</v>
          </cell>
          <cell r="E43">
            <v>100000</v>
          </cell>
          <cell r="F43">
            <v>0</v>
          </cell>
          <cell r="G43">
            <v>100000</v>
          </cell>
          <cell r="H43">
            <v>0</v>
          </cell>
          <cell r="I43">
            <v>0</v>
          </cell>
          <cell r="J43">
            <v>0</v>
          </cell>
          <cell r="K43">
            <v>100000</v>
          </cell>
        </row>
        <row r="44">
          <cell r="A44">
            <v>110134</v>
          </cell>
          <cell r="B44" t="str">
            <v>SANTIAGO CTA. N 01-07886-</v>
          </cell>
          <cell r="C44">
            <v>491954414</v>
          </cell>
          <cell r="D44">
            <v>439795459</v>
          </cell>
          <cell r="E44">
            <v>52158955</v>
          </cell>
          <cell r="F44">
            <v>0</v>
          </cell>
          <cell r="G44">
            <v>52158955</v>
          </cell>
          <cell r="H44">
            <v>0</v>
          </cell>
          <cell r="I44">
            <v>0</v>
          </cell>
          <cell r="J44">
            <v>0</v>
          </cell>
          <cell r="K44">
            <v>52158955</v>
          </cell>
        </row>
        <row r="45">
          <cell r="A45">
            <v>110135</v>
          </cell>
          <cell r="B45" t="str">
            <v>SANTANDER CTA. N 0-020-00</v>
          </cell>
          <cell r="C45">
            <v>0</v>
          </cell>
          <cell r="D45">
            <v>1</v>
          </cell>
          <cell r="E45">
            <v>0</v>
          </cell>
          <cell r="F45">
            <v>1</v>
          </cell>
          <cell r="G45">
            <v>0</v>
          </cell>
          <cell r="H45">
            <v>1</v>
          </cell>
          <cell r="I45">
            <v>0</v>
          </cell>
          <cell r="J45">
            <v>0</v>
          </cell>
          <cell r="K45">
            <v>-1</v>
          </cell>
        </row>
        <row r="46">
          <cell r="A46">
            <v>110136</v>
          </cell>
          <cell r="B46" t="str">
            <v>CHILE CTA 11639-05</v>
          </cell>
          <cell r="C46">
            <v>0</v>
          </cell>
          <cell r="D46">
            <v>300</v>
          </cell>
          <cell r="E46">
            <v>0</v>
          </cell>
          <cell r="F46">
            <v>300</v>
          </cell>
          <cell r="G46">
            <v>0</v>
          </cell>
          <cell r="H46">
            <v>300</v>
          </cell>
          <cell r="I46">
            <v>0</v>
          </cell>
          <cell r="J46">
            <v>0</v>
          </cell>
          <cell r="K46">
            <v>-300</v>
          </cell>
        </row>
        <row r="47">
          <cell r="A47">
            <v>110137</v>
          </cell>
          <cell r="B47" t="str">
            <v>BBVA CTA 0504009936060000</v>
          </cell>
          <cell r="C47">
            <v>0</v>
          </cell>
          <cell r="D47">
            <v>0</v>
          </cell>
          <cell r="E47">
            <v>0</v>
          </cell>
          <cell r="F47">
            <v>0</v>
          </cell>
          <cell r="G47">
            <v>0</v>
          </cell>
          <cell r="H47">
            <v>0</v>
          </cell>
          <cell r="I47">
            <v>0</v>
          </cell>
          <cell r="J47">
            <v>0</v>
          </cell>
          <cell r="K47">
            <v>0</v>
          </cell>
        </row>
        <row r="48">
          <cell r="A48">
            <v>110139</v>
          </cell>
          <cell r="B48" t="str">
            <v>BICE CTA 01-26123-2</v>
          </cell>
          <cell r="C48">
            <v>0</v>
          </cell>
          <cell r="D48">
            <v>0</v>
          </cell>
          <cell r="E48">
            <v>0</v>
          </cell>
          <cell r="F48">
            <v>0</v>
          </cell>
          <cell r="G48">
            <v>0</v>
          </cell>
          <cell r="H48">
            <v>0</v>
          </cell>
          <cell r="I48">
            <v>0</v>
          </cell>
          <cell r="J48">
            <v>0</v>
          </cell>
          <cell r="K48">
            <v>0</v>
          </cell>
        </row>
        <row r="49">
          <cell r="A49">
            <v>110140</v>
          </cell>
          <cell r="B49" t="str">
            <v>BCI CTA 10256687-1</v>
          </cell>
          <cell r="C49">
            <v>0</v>
          </cell>
          <cell r="D49">
            <v>1</v>
          </cell>
          <cell r="E49">
            <v>0</v>
          </cell>
          <cell r="F49">
            <v>1</v>
          </cell>
          <cell r="G49">
            <v>0</v>
          </cell>
          <cell r="H49">
            <v>1</v>
          </cell>
          <cell r="I49">
            <v>0</v>
          </cell>
          <cell r="J49">
            <v>0</v>
          </cell>
          <cell r="K49">
            <v>-1</v>
          </cell>
        </row>
        <row r="50">
          <cell r="A50">
            <v>110142</v>
          </cell>
          <cell r="B50" t="str">
            <v>CHILE CTA. N° 15-02724-01</v>
          </cell>
          <cell r="C50">
            <v>0</v>
          </cell>
          <cell r="D50">
            <v>0</v>
          </cell>
          <cell r="E50">
            <v>0</v>
          </cell>
          <cell r="F50">
            <v>0</v>
          </cell>
          <cell r="G50">
            <v>0</v>
          </cell>
          <cell r="H50">
            <v>0</v>
          </cell>
          <cell r="I50">
            <v>0</v>
          </cell>
          <cell r="J50">
            <v>0</v>
          </cell>
          <cell r="K50">
            <v>0</v>
          </cell>
        </row>
        <row r="51">
          <cell r="A51">
            <v>110143</v>
          </cell>
          <cell r="B51" t="str">
            <v>BANCO ITAU CTA N° 2020163</v>
          </cell>
          <cell r="C51">
            <v>5105515</v>
          </cell>
          <cell r="D51">
            <v>0</v>
          </cell>
          <cell r="E51">
            <v>5105515</v>
          </cell>
          <cell r="F51">
            <v>0</v>
          </cell>
          <cell r="G51">
            <v>5105515</v>
          </cell>
          <cell r="H51">
            <v>0</v>
          </cell>
          <cell r="I51">
            <v>0</v>
          </cell>
          <cell r="J51">
            <v>0</v>
          </cell>
          <cell r="K51">
            <v>5105515</v>
          </cell>
        </row>
        <row r="52">
          <cell r="A52">
            <v>110151</v>
          </cell>
          <cell r="B52" t="str">
            <v>BBVA CTA N° 0504-0099-010</v>
          </cell>
          <cell r="C52">
            <v>0</v>
          </cell>
          <cell r="D52">
            <v>0</v>
          </cell>
          <cell r="E52">
            <v>0</v>
          </cell>
          <cell r="F52">
            <v>0</v>
          </cell>
          <cell r="G52">
            <v>0</v>
          </cell>
          <cell r="H52">
            <v>0</v>
          </cell>
          <cell r="I52">
            <v>0</v>
          </cell>
          <cell r="J52">
            <v>0</v>
          </cell>
          <cell r="K52">
            <v>0</v>
          </cell>
        </row>
        <row r="53">
          <cell r="A53">
            <v>110154</v>
          </cell>
          <cell r="B53" t="str">
            <v>BICE CTA N° 01-28527-0</v>
          </cell>
          <cell r="C53">
            <v>91860242</v>
          </cell>
          <cell r="D53">
            <v>86450073</v>
          </cell>
          <cell r="E53">
            <v>5410169</v>
          </cell>
          <cell r="F53">
            <v>0</v>
          </cell>
          <cell r="G53">
            <v>5410169</v>
          </cell>
          <cell r="H53">
            <v>0</v>
          </cell>
          <cell r="I53">
            <v>0</v>
          </cell>
          <cell r="J53">
            <v>0</v>
          </cell>
          <cell r="K53">
            <v>5410169</v>
          </cell>
        </row>
        <row r="54">
          <cell r="A54">
            <v>110155</v>
          </cell>
          <cell r="B54" t="str">
            <v>BICE CTA N° 01-29979-4</v>
          </cell>
          <cell r="C54">
            <v>319051126</v>
          </cell>
          <cell r="D54">
            <v>301960542</v>
          </cell>
          <cell r="E54">
            <v>17090584</v>
          </cell>
          <cell r="F54">
            <v>0</v>
          </cell>
          <cell r="G54">
            <v>17090584</v>
          </cell>
          <cell r="H54">
            <v>0</v>
          </cell>
          <cell r="I54">
            <v>0</v>
          </cell>
          <cell r="J54">
            <v>0</v>
          </cell>
          <cell r="K54">
            <v>17090584</v>
          </cell>
        </row>
        <row r="55">
          <cell r="A55">
            <v>110157</v>
          </cell>
          <cell r="B55" t="str">
            <v>CORBANCA CTA. N° 30151926</v>
          </cell>
          <cell r="C55">
            <v>3738435</v>
          </cell>
          <cell r="D55">
            <v>145034</v>
          </cell>
          <cell r="E55">
            <v>3593401</v>
          </cell>
          <cell r="F55">
            <v>0</v>
          </cell>
          <cell r="G55">
            <v>3593401</v>
          </cell>
          <cell r="H55">
            <v>0</v>
          </cell>
          <cell r="I55">
            <v>0</v>
          </cell>
          <cell r="J55">
            <v>0</v>
          </cell>
          <cell r="K55">
            <v>3593401</v>
          </cell>
        </row>
        <row r="56">
          <cell r="A56">
            <v>110158</v>
          </cell>
          <cell r="B56" t="str">
            <v>SECURITY CTA. N° E-048240</v>
          </cell>
          <cell r="C56">
            <v>2999940</v>
          </cell>
          <cell r="D56">
            <v>0</v>
          </cell>
          <cell r="E56">
            <v>2999940</v>
          </cell>
          <cell r="F56">
            <v>0</v>
          </cell>
          <cell r="G56">
            <v>2999940</v>
          </cell>
          <cell r="H56">
            <v>0</v>
          </cell>
          <cell r="I56">
            <v>0</v>
          </cell>
          <cell r="J56">
            <v>0</v>
          </cell>
          <cell r="K56">
            <v>2999940</v>
          </cell>
        </row>
        <row r="57">
          <cell r="A57">
            <v>110159</v>
          </cell>
          <cell r="B57" t="str">
            <v>BICE CTA. N° 01-30216-7</v>
          </cell>
          <cell r="C57">
            <v>780978264</v>
          </cell>
          <cell r="D57">
            <v>759484831</v>
          </cell>
          <cell r="E57">
            <v>21493433</v>
          </cell>
          <cell r="F57">
            <v>0</v>
          </cell>
          <cell r="G57">
            <v>21493433</v>
          </cell>
          <cell r="H57">
            <v>0</v>
          </cell>
          <cell r="I57">
            <v>0</v>
          </cell>
          <cell r="J57">
            <v>0</v>
          </cell>
          <cell r="K57">
            <v>21493433</v>
          </cell>
        </row>
        <row r="58">
          <cell r="A58">
            <v>110160</v>
          </cell>
          <cell r="B58" t="str">
            <v>SCOTIABANK CTA. N° 970670</v>
          </cell>
          <cell r="C58">
            <v>47877370</v>
          </cell>
          <cell r="D58">
            <v>0</v>
          </cell>
          <cell r="E58">
            <v>47877370</v>
          </cell>
          <cell r="F58">
            <v>0</v>
          </cell>
          <cell r="G58">
            <v>47877370</v>
          </cell>
          <cell r="H58">
            <v>0</v>
          </cell>
          <cell r="I58">
            <v>0</v>
          </cell>
          <cell r="J58">
            <v>0</v>
          </cell>
          <cell r="K58">
            <v>47877370</v>
          </cell>
        </row>
        <row r="59">
          <cell r="A59">
            <v>110161</v>
          </cell>
          <cell r="B59" t="str">
            <v>BICE CTA. N° 01-30263-9</v>
          </cell>
          <cell r="C59">
            <v>853977535</v>
          </cell>
          <cell r="D59">
            <v>853025619</v>
          </cell>
          <cell r="E59">
            <v>951916</v>
          </cell>
          <cell r="F59">
            <v>0</v>
          </cell>
          <cell r="G59">
            <v>951916</v>
          </cell>
          <cell r="H59">
            <v>0</v>
          </cell>
          <cell r="I59">
            <v>0</v>
          </cell>
          <cell r="J59">
            <v>0</v>
          </cell>
          <cell r="K59">
            <v>951916</v>
          </cell>
        </row>
        <row r="60">
          <cell r="A60">
            <v>110162</v>
          </cell>
          <cell r="B60" t="str">
            <v>BANCO SANTANDER Nº 200131</v>
          </cell>
          <cell r="C60">
            <v>27162930</v>
          </cell>
          <cell r="D60">
            <v>27162931</v>
          </cell>
          <cell r="E60">
            <v>0</v>
          </cell>
          <cell r="F60">
            <v>1</v>
          </cell>
          <cell r="G60">
            <v>0</v>
          </cell>
          <cell r="H60">
            <v>1</v>
          </cell>
          <cell r="I60">
            <v>0</v>
          </cell>
          <cell r="J60">
            <v>0</v>
          </cell>
          <cell r="K60">
            <v>-1</v>
          </cell>
        </row>
        <row r="61">
          <cell r="A61">
            <v>110163</v>
          </cell>
          <cell r="B61" t="str">
            <v>BANCO BICE CTA. Nº 01-311</v>
          </cell>
          <cell r="C61">
            <v>1446469511</v>
          </cell>
          <cell r="D61">
            <v>1438036520</v>
          </cell>
          <cell r="E61">
            <v>8432991</v>
          </cell>
          <cell r="F61">
            <v>0</v>
          </cell>
          <cell r="G61">
            <v>8432991</v>
          </cell>
          <cell r="H61">
            <v>0</v>
          </cell>
          <cell r="I61">
            <v>0</v>
          </cell>
          <cell r="J61">
            <v>0</v>
          </cell>
          <cell r="K61">
            <v>8432991</v>
          </cell>
        </row>
        <row r="62">
          <cell r="A62">
            <v>110201</v>
          </cell>
          <cell r="B62" t="str">
            <v>BICE CTA. N 13-000259-5 U</v>
          </cell>
          <cell r="C62">
            <v>25481</v>
          </cell>
          <cell r="D62">
            <v>482847</v>
          </cell>
          <cell r="E62">
            <v>0</v>
          </cell>
          <cell r="F62">
            <v>457366</v>
          </cell>
          <cell r="G62">
            <v>0</v>
          </cell>
          <cell r="H62">
            <v>457366</v>
          </cell>
          <cell r="I62">
            <v>0</v>
          </cell>
          <cell r="J62">
            <v>0</v>
          </cell>
          <cell r="K62">
            <v>-457366</v>
          </cell>
        </row>
        <row r="63">
          <cell r="A63">
            <v>110203</v>
          </cell>
          <cell r="B63" t="str">
            <v>BANK OF AMERICA NA Nº6550</v>
          </cell>
          <cell r="C63">
            <v>0</v>
          </cell>
          <cell r="D63">
            <v>0</v>
          </cell>
          <cell r="E63">
            <v>0</v>
          </cell>
          <cell r="F63">
            <v>0</v>
          </cell>
          <cell r="G63">
            <v>0</v>
          </cell>
          <cell r="H63">
            <v>0</v>
          </cell>
          <cell r="I63">
            <v>0</v>
          </cell>
          <cell r="J63">
            <v>0</v>
          </cell>
          <cell r="K63">
            <v>0</v>
          </cell>
        </row>
        <row r="64">
          <cell r="A64">
            <v>110204</v>
          </cell>
          <cell r="B64" t="str">
            <v>WACHOVIA BANK N.A.</v>
          </cell>
          <cell r="C64">
            <v>0</v>
          </cell>
          <cell r="D64">
            <v>0</v>
          </cell>
          <cell r="E64">
            <v>0</v>
          </cell>
          <cell r="F64">
            <v>0</v>
          </cell>
          <cell r="G64">
            <v>0</v>
          </cell>
          <cell r="H64">
            <v>0</v>
          </cell>
          <cell r="I64">
            <v>0</v>
          </cell>
          <cell r="J64">
            <v>0</v>
          </cell>
          <cell r="K64">
            <v>0</v>
          </cell>
        </row>
        <row r="65">
          <cell r="A65">
            <v>110205</v>
          </cell>
          <cell r="B65" t="str">
            <v>JP MORGAN USD CTA N° 7901</v>
          </cell>
          <cell r="C65">
            <v>0</v>
          </cell>
          <cell r="D65">
            <v>0</v>
          </cell>
          <cell r="E65">
            <v>0</v>
          </cell>
          <cell r="F65">
            <v>0</v>
          </cell>
          <cell r="G65">
            <v>0</v>
          </cell>
          <cell r="H65">
            <v>0</v>
          </cell>
          <cell r="I65">
            <v>0</v>
          </cell>
          <cell r="J65">
            <v>0</v>
          </cell>
          <cell r="K65">
            <v>0</v>
          </cell>
        </row>
        <row r="66">
          <cell r="A66">
            <v>110206</v>
          </cell>
          <cell r="B66" t="str">
            <v>WACHOVIA BANK N° 07975032</v>
          </cell>
          <cell r="C66">
            <v>109055</v>
          </cell>
          <cell r="D66">
            <v>27138</v>
          </cell>
          <cell r="E66">
            <v>81917</v>
          </cell>
          <cell r="F66">
            <v>0</v>
          </cell>
          <cell r="G66">
            <v>81917</v>
          </cell>
          <cell r="H66">
            <v>0</v>
          </cell>
          <cell r="I66">
            <v>0</v>
          </cell>
          <cell r="J66">
            <v>0</v>
          </cell>
          <cell r="K66">
            <v>81917</v>
          </cell>
        </row>
        <row r="67">
          <cell r="A67">
            <v>110207</v>
          </cell>
          <cell r="B67" t="str">
            <v>WACHOVIA BANK N° 07975162</v>
          </cell>
          <cell r="C67">
            <v>73859</v>
          </cell>
          <cell r="D67">
            <v>4875</v>
          </cell>
          <cell r="E67">
            <v>68984</v>
          </cell>
          <cell r="F67">
            <v>0</v>
          </cell>
          <cell r="G67">
            <v>68984</v>
          </cell>
          <cell r="H67">
            <v>0</v>
          </cell>
          <cell r="I67">
            <v>0</v>
          </cell>
          <cell r="J67">
            <v>0</v>
          </cell>
          <cell r="K67">
            <v>68984</v>
          </cell>
        </row>
        <row r="68">
          <cell r="A68">
            <v>110208</v>
          </cell>
          <cell r="B68" t="str">
            <v>WELLS FARGO N° 2000192007</v>
          </cell>
          <cell r="C68">
            <v>547529617</v>
          </cell>
          <cell r="D68">
            <v>545824491</v>
          </cell>
          <cell r="E68">
            <v>1705126</v>
          </cell>
          <cell r="F68">
            <v>0</v>
          </cell>
          <cell r="G68">
            <v>1705126</v>
          </cell>
          <cell r="H68">
            <v>0</v>
          </cell>
          <cell r="I68">
            <v>0</v>
          </cell>
          <cell r="J68">
            <v>0</v>
          </cell>
          <cell r="K68">
            <v>1705126</v>
          </cell>
        </row>
        <row r="69">
          <cell r="A69">
            <v>110209</v>
          </cell>
          <cell r="B69" t="str">
            <v>BROWN BROTHERS HARRIMAN N</v>
          </cell>
          <cell r="C69">
            <v>111592306662</v>
          </cell>
          <cell r="D69">
            <v>111592290825</v>
          </cell>
          <cell r="E69">
            <v>15837</v>
          </cell>
          <cell r="F69">
            <v>0</v>
          </cell>
          <cell r="G69">
            <v>15837</v>
          </cell>
          <cell r="H69">
            <v>0</v>
          </cell>
          <cell r="I69">
            <v>0</v>
          </cell>
          <cell r="J69">
            <v>0</v>
          </cell>
          <cell r="K69">
            <v>15837</v>
          </cell>
        </row>
        <row r="70">
          <cell r="A70">
            <v>110218</v>
          </cell>
          <cell r="B70" t="str">
            <v>BROWN BROTHERS HARRIMAN (</v>
          </cell>
          <cell r="C70">
            <v>35572</v>
          </cell>
          <cell r="D70">
            <v>35572</v>
          </cell>
          <cell r="E70">
            <v>0</v>
          </cell>
          <cell r="F70">
            <v>0</v>
          </cell>
          <cell r="G70">
            <v>0</v>
          </cell>
          <cell r="H70">
            <v>0</v>
          </cell>
          <cell r="I70">
            <v>0</v>
          </cell>
          <cell r="J70">
            <v>0</v>
          </cell>
          <cell r="K70">
            <v>0</v>
          </cell>
        </row>
        <row r="71">
          <cell r="A71">
            <v>110219</v>
          </cell>
          <cell r="B71" t="str">
            <v>BROWN BROTHERS HARRIMAN (</v>
          </cell>
          <cell r="C71">
            <v>85256</v>
          </cell>
          <cell r="D71">
            <v>85256</v>
          </cell>
          <cell r="E71">
            <v>0</v>
          </cell>
          <cell r="F71">
            <v>0</v>
          </cell>
          <cell r="G71">
            <v>0</v>
          </cell>
          <cell r="H71">
            <v>0</v>
          </cell>
          <cell r="I71">
            <v>0</v>
          </cell>
          <cell r="J71">
            <v>0</v>
          </cell>
          <cell r="K71">
            <v>0</v>
          </cell>
        </row>
        <row r="72">
          <cell r="A72">
            <v>110401</v>
          </cell>
          <cell r="B72" t="str">
            <v>DEPOSITOS A PLAZO REAJUST</v>
          </cell>
          <cell r="C72">
            <v>10424456022</v>
          </cell>
          <cell r="D72">
            <v>5846613969</v>
          </cell>
          <cell r="E72">
            <v>4577842053</v>
          </cell>
          <cell r="F72">
            <v>0</v>
          </cell>
          <cell r="G72">
            <v>4577842053</v>
          </cell>
          <cell r="H72">
            <v>0</v>
          </cell>
          <cell r="I72">
            <v>0</v>
          </cell>
          <cell r="J72">
            <v>0</v>
          </cell>
          <cell r="K72">
            <v>4577842053</v>
          </cell>
        </row>
        <row r="73">
          <cell r="A73">
            <v>110402</v>
          </cell>
          <cell r="B73" t="str">
            <v>DEPOSITO A PLAZO FIJO (DP</v>
          </cell>
          <cell r="C73">
            <v>4367584587</v>
          </cell>
          <cell r="D73">
            <v>38038880</v>
          </cell>
          <cell r="E73">
            <v>4329545707</v>
          </cell>
          <cell r="F73">
            <v>0</v>
          </cell>
          <cell r="G73">
            <v>4329545707</v>
          </cell>
          <cell r="H73">
            <v>0</v>
          </cell>
          <cell r="I73">
            <v>0</v>
          </cell>
          <cell r="J73">
            <v>0</v>
          </cell>
          <cell r="K73">
            <v>4329545707</v>
          </cell>
        </row>
        <row r="74">
          <cell r="A74">
            <v>110501</v>
          </cell>
          <cell r="B74" t="str">
            <v>LETRAS HIPOTECARIAS U.F.</v>
          </cell>
          <cell r="C74">
            <v>34331484967</v>
          </cell>
          <cell r="D74">
            <v>5213803856</v>
          </cell>
          <cell r="E74">
            <v>29117681111</v>
          </cell>
          <cell r="F74">
            <v>0</v>
          </cell>
          <cell r="G74">
            <v>29117681111</v>
          </cell>
          <cell r="H74">
            <v>0</v>
          </cell>
          <cell r="I74">
            <v>0</v>
          </cell>
          <cell r="J74">
            <v>0</v>
          </cell>
          <cell r="K74">
            <v>29117681111</v>
          </cell>
        </row>
        <row r="75">
          <cell r="A75">
            <v>110502</v>
          </cell>
          <cell r="B75" t="str">
            <v>LETRAS HIPOTECARIAS IVP</v>
          </cell>
          <cell r="C75">
            <v>442882429</v>
          </cell>
          <cell r="D75">
            <v>127056196</v>
          </cell>
          <cell r="E75">
            <v>315826233</v>
          </cell>
          <cell r="F75">
            <v>0</v>
          </cell>
          <cell r="G75">
            <v>315826233</v>
          </cell>
          <cell r="H75">
            <v>0</v>
          </cell>
          <cell r="I75">
            <v>0</v>
          </cell>
          <cell r="J75">
            <v>0</v>
          </cell>
          <cell r="K75">
            <v>315826233</v>
          </cell>
        </row>
        <row r="76">
          <cell r="A76">
            <v>110503</v>
          </cell>
          <cell r="B76" t="str">
            <v>BONOS BANCARIOS</v>
          </cell>
          <cell r="C76">
            <v>88650049669</v>
          </cell>
          <cell r="D76">
            <v>6221219401</v>
          </cell>
          <cell r="E76">
            <v>82428830268</v>
          </cell>
          <cell r="F76">
            <v>0</v>
          </cell>
          <cell r="G76">
            <v>82428830268</v>
          </cell>
          <cell r="H76">
            <v>0</v>
          </cell>
          <cell r="I76">
            <v>0</v>
          </cell>
          <cell r="J76">
            <v>0</v>
          </cell>
          <cell r="K76">
            <v>82428830268</v>
          </cell>
        </row>
        <row r="77">
          <cell r="A77">
            <v>110504</v>
          </cell>
          <cell r="B77" t="str">
            <v>BONOS SUBORDINADOS</v>
          </cell>
          <cell r="C77">
            <v>79266173547</v>
          </cell>
          <cell r="D77">
            <v>4971026841</v>
          </cell>
          <cell r="E77">
            <v>74295146706</v>
          </cell>
          <cell r="F77">
            <v>0</v>
          </cell>
          <cell r="G77">
            <v>74295146706</v>
          </cell>
          <cell r="H77">
            <v>0</v>
          </cell>
          <cell r="I77">
            <v>0</v>
          </cell>
          <cell r="J77">
            <v>0</v>
          </cell>
          <cell r="K77">
            <v>74295146706</v>
          </cell>
        </row>
        <row r="78">
          <cell r="A78">
            <v>110505</v>
          </cell>
          <cell r="B78" t="str">
            <v>BONOS EMPRESAS</v>
          </cell>
          <cell r="C78">
            <v>610916295791</v>
          </cell>
          <cell r="D78">
            <v>15592423361</v>
          </cell>
          <cell r="E78">
            <v>595323872430</v>
          </cell>
          <cell r="F78">
            <v>0</v>
          </cell>
          <cell r="G78">
            <v>595323872430</v>
          </cell>
          <cell r="H78">
            <v>0</v>
          </cell>
          <cell r="I78">
            <v>0</v>
          </cell>
          <cell r="J78">
            <v>0</v>
          </cell>
          <cell r="K78">
            <v>595323872430</v>
          </cell>
        </row>
        <row r="79">
          <cell r="A79">
            <v>110506</v>
          </cell>
          <cell r="B79" t="str">
            <v>BONOS LEASING</v>
          </cell>
          <cell r="C79">
            <v>2680093278</v>
          </cell>
          <cell r="D79">
            <v>237190384</v>
          </cell>
          <cell r="E79">
            <v>2442902894</v>
          </cell>
          <cell r="F79">
            <v>0</v>
          </cell>
          <cell r="G79">
            <v>2442902894</v>
          </cell>
          <cell r="H79">
            <v>0</v>
          </cell>
          <cell r="I79">
            <v>0</v>
          </cell>
          <cell r="J79">
            <v>0</v>
          </cell>
          <cell r="K79">
            <v>2442902894</v>
          </cell>
        </row>
        <row r="80">
          <cell r="A80">
            <v>110507</v>
          </cell>
          <cell r="B80" t="str">
            <v>MUTUOS HIPOTECARIOS</v>
          </cell>
          <cell r="C80">
            <v>310348694316</v>
          </cell>
          <cell r="D80">
            <v>7551352789</v>
          </cell>
          <cell r="E80">
            <v>302797341527</v>
          </cell>
          <cell r="F80">
            <v>0</v>
          </cell>
          <cell r="G80">
            <v>302797341527</v>
          </cell>
          <cell r="H80">
            <v>0</v>
          </cell>
          <cell r="I80">
            <v>0</v>
          </cell>
          <cell r="J80">
            <v>0</v>
          </cell>
          <cell r="K80">
            <v>302797341527</v>
          </cell>
        </row>
        <row r="81">
          <cell r="A81">
            <v>110508</v>
          </cell>
          <cell r="B81" t="str">
            <v>P.R.C.</v>
          </cell>
          <cell r="C81">
            <v>119351522</v>
          </cell>
          <cell r="D81">
            <v>17737715</v>
          </cell>
          <cell r="E81">
            <v>101613807</v>
          </cell>
          <cell r="F81">
            <v>0</v>
          </cell>
          <cell r="G81">
            <v>101613807</v>
          </cell>
          <cell r="H81">
            <v>0</v>
          </cell>
          <cell r="I81">
            <v>0</v>
          </cell>
          <cell r="J81">
            <v>0</v>
          </cell>
          <cell r="K81">
            <v>101613807</v>
          </cell>
        </row>
        <row r="82">
          <cell r="A82">
            <v>110509</v>
          </cell>
          <cell r="B82" t="str">
            <v>B.C.U.</v>
          </cell>
          <cell r="C82">
            <v>3219719855</v>
          </cell>
          <cell r="D82">
            <v>2743733850</v>
          </cell>
          <cell r="E82">
            <v>475986005</v>
          </cell>
          <cell r="F82">
            <v>0</v>
          </cell>
          <cell r="G82">
            <v>475986005</v>
          </cell>
          <cell r="H82">
            <v>0</v>
          </cell>
          <cell r="I82">
            <v>0</v>
          </cell>
          <cell r="J82">
            <v>0</v>
          </cell>
          <cell r="K82">
            <v>475986005</v>
          </cell>
        </row>
        <row r="83">
          <cell r="A83">
            <v>110510</v>
          </cell>
          <cell r="B83" t="str">
            <v>C.E.R.O BCCH</v>
          </cell>
          <cell r="C83">
            <v>577206879</v>
          </cell>
          <cell r="D83">
            <v>130688917</v>
          </cell>
          <cell r="E83">
            <v>446517962</v>
          </cell>
          <cell r="F83">
            <v>0</v>
          </cell>
          <cell r="G83">
            <v>446517962</v>
          </cell>
          <cell r="H83">
            <v>0</v>
          </cell>
          <cell r="I83">
            <v>0</v>
          </cell>
          <cell r="J83">
            <v>0</v>
          </cell>
          <cell r="K83">
            <v>446517962</v>
          </cell>
        </row>
        <row r="84">
          <cell r="A84">
            <v>110511</v>
          </cell>
          <cell r="B84" t="str">
            <v>BONOS DE RECONOCIMIENTO</v>
          </cell>
          <cell r="C84">
            <v>49667416204</v>
          </cell>
          <cell r="D84">
            <v>3240836172</v>
          </cell>
          <cell r="E84">
            <v>46426580032</v>
          </cell>
          <cell r="F84">
            <v>0</v>
          </cell>
          <cell r="G84">
            <v>46426580032</v>
          </cell>
          <cell r="H84">
            <v>0</v>
          </cell>
          <cell r="I84">
            <v>0</v>
          </cell>
          <cell r="J84">
            <v>0</v>
          </cell>
          <cell r="K84">
            <v>46426580032</v>
          </cell>
        </row>
        <row r="85">
          <cell r="A85">
            <v>110512</v>
          </cell>
          <cell r="B85" t="str">
            <v>DEUDORES LEASING</v>
          </cell>
          <cell r="C85">
            <v>122300903036</v>
          </cell>
          <cell r="D85">
            <v>6996796501</v>
          </cell>
          <cell r="E85">
            <v>115304106535</v>
          </cell>
          <cell r="F85">
            <v>0</v>
          </cell>
          <cell r="G85">
            <v>115304106535</v>
          </cell>
          <cell r="H85">
            <v>0</v>
          </cell>
          <cell r="I85">
            <v>0</v>
          </cell>
          <cell r="J85">
            <v>0</v>
          </cell>
          <cell r="K85">
            <v>115304106535</v>
          </cell>
        </row>
        <row r="86">
          <cell r="A86">
            <v>110513</v>
          </cell>
          <cell r="B86" t="str">
            <v>INTERESES DIFERIDOS POR L</v>
          </cell>
          <cell r="C86">
            <v>0</v>
          </cell>
          <cell r="D86">
            <v>0</v>
          </cell>
          <cell r="E86">
            <v>0</v>
          </cell>
          <cell r="F86">
            <v>0</v>
          </cell>
          <cell r="G86">
            <v>0</v>
          </cell>
          <cell r="H86">
            <v>0</v>
          </cell>
          <cell r="I86">
            <v>0</v>
          </cell>
          <cell r="J86">
            <v>0</v>
          </cell>
          <cell r="K86">
            <v>0</v>
          </cell>
        </row>
        <row r="87">
          <cell r="A87">
            <v>110514</v>
          </cell>
          <cell r="B87" t="str">
            <v>BONOS EXTRANJEROS</v>
          </cell>
          <cell r="C87">
            <v>141242401640</v>
          </cell>
          <cell r="D87">
            <v>12835625521</v>
          </cell>
          <cell r="E87">
            <v>128406776119</v>
          </cell>
          <cell r="F87">
            <v>0</v>
          </cell>
          <cell r="G87">
            <v>128406776119</v>
          </cell>
          <cell r="H87">
            <v>0</v>
          </cell>
          <cell r="I87">
            <v>0</v>
          </cell>
          <cell r="J87">
            <v>0</v>
          </cell>
          <cell r="K87">
            <v>128406776119</v>
          </cell>
        </row>
        <row r="88">
          <cell r="A88">
            <v>110515</v>
          </cell>
          <cell r="B88" t="str">
            <v>PAGARE EMPRESAS</v>
          </cell>
          <cell r="C88">
            <v>11520380112</v>
          </cell>
          <cell r="D88">
            <v>0</v>
          </cell>
          <cell r="E88">
            <v>11520380112</v>
          </cell>
          <cell r="F88">
            <v>0</v>
          </cell>
          <cell r="G88">
            <v>11520380112</v>
          </cell>
          <cell r="H88">
            <v>0</v>
          </cell>
          <cell r="I88">
            <v>0</v>
          </cell>
          <cell r="J88">
            <v>0</v>
          </cell>
          <cell r="K88">
            <v>11520380112</v>
          </cell>
        </row>
        <row r="89">
          <cell r="A89">
            <v>110516</v>
          </cell>
          <cell r="B89" t="str">
            <v>SVI AVANCE TENEDORES DE P</v>
          </cell>
          <cell r="C89">
            <v>3505732545</v>
          </cell>
          <cell r="D89">
            <v>173016032</v>
          </cell>
          <cell r="E89">
            <v>3332716513</v>
          </cell>
          <cell r="F89">
            <v>0</v>
          </cell>
          <cell r="G89">
            <v>3332716513</v>
          </cell>
          <cell r="H89">
            <v>0</v>
          </cell>
          <cell r="I89">
            <v>0</v>
          </cell>
          <cell r="J89">
            <v>0</v>
          </cell>
          <cell r="K89">
            <v>3332716513</v>
          </cell>
        </row>
        <row r="90">
          <cell r="A90">
            <v>110517</v>
          </cell>
          <cell r="B90" t="str">
            <v>BONOS SECURITIZADOS</v>
          </cell>
          <cell r="C90">
            <v>60430886415</v>
          </cell>
          <cell r="D90">
            <v>3317702002</v>
          </cell>
          <cell r="E90">
            <v>57113184413</v>
          </cell>
          <cell r="F90">
            <v>0</v>
          </cell>
          <cell r="G90">
            <v>57113184413</v>
          </cell>
          <cell r="H90">
            <v>0</v>
          </cell>
          <cell r="I90">
            <v>0</v>
          </cell>
          <cell r="J90">
            <v>0</v>
          </cell>
          <cell r="K90">
            <v>57113184413</v>
          </cell>
        </row>
        <row r="91">
          <cell r="A91">
            <v>110518</v>
          </cell>
          <cell r="B91" t="str">
            <v>BONOS GARANTIZADOS</v>
          </cell>
          <cell r="C91">
            <v>44254882783</v>
          </cell>
          <cell r="D91">
            <v>33010465933</v>
          </cell>
          <cell r="E91">
            <v>11244416850</v>
          </cell>
          <cell r="F91">
            <v>0</v>
          </cell>
          <cell r="G91">
            <v>11244416850</v>
          </cell>
          <cell r="H91">
            <v>0</v>
          </cell>
          <cell r="I91">
            <v>0</v>
          </cell>
          <cell r="J91">
            <v>0</v>
          </cell>
          <cell r="K91">
            <v>11244416850</v>
          </cell>
        </row>
        <row r="92">
          <cell r="A92">
            <v>110519</v>
          </cell>
          <cell r="B92" t="str">
            <v>CROSS CURRENCY SWAP</v>
          </cell>
          <cell r="C92">
            <v>49072268644</v>
          </cell>
          <cell r="D92">
            <v>5924650</v>
          </cell>
          <cell r="E92">
            <v>49066343994</v>
          </cell>
          <cell r="F92">
            <v>0</v>
          </cell>
          <cell r="G92">
            <v>49066343994</v>
          </cell>
          <cell r="H92">
            <v>0</v>
          </cell>
          <cell r="I92">
            <v>0</v>
          </cell>
          <cell r="J92">
            <v>0</v>
          </cell>
          <cell r="K92">
            <v>49066343994</v>
          </cell>
        </row>
        <row r="93">
          <cell r="A93">
            <v>110520</v>
          </cell>
          <cell r="B93" t="str">
            <v>DEUDORES ARRENDATARIOS</v>
          </cell>
          <cell r="C93">
            <v>0</v>
          </cell>
          <cell r="D93">
            <v>0</v>
          </cell>
          <cell r="E93">
            <v>0</v>
          </cell>
          <cell r="F93">
            <v>0</v>
          </cell>
          <cell r="G93">
            <v>0</v>
          </cell>
          <cell r="H93">
            <v>0</v>
          </cell>
          <cell r="I93">
            <v>0</v>
          </cell>
          <cell r="J93">
            <v>0</v>
          </cell>
          <cell r="K93">
            <v>0</v>
          </cell>
        </row>
        <row r="94">
          <cell r="A94">
            <v>110522</v>
          </cell>
          <cell r="B94" t="str">
            <v>PROVISION DEUDORES RUB</v>
          </cell>
          <cell r="C94">
            <v>0</v>
          </cell>
          <cell r="D94">
            <v>0</v>
          </cell>
          <cell r="E94">
            <v>0</v>
          </cell>
          <cell r="F94">
            <v>0</v>
          </cell>
          <cell r="G94">
            <v>0</v>
          </cell>
          <cell r="H94">
            <v>0</v>
          </cell>
          <cell r="I94">
            <v>0</v>
          </cell>
          <cell r="J94">
            <v>0</v>
          </cell>
          <cell r="K94">
            <v>0</v>
          </cell>
        </row>
        <row r="95">
          <cell r="A95">
            <v>110524</v>
          </cell>
          <cell r="B95" t="str">
            <v>CROSS CURRENCY SWAP FLEXI</v>
          </cell>
          <cell r="C95">
            <v>0</v>
          </cell>
          <cell r="D95">
            <v>0</v>
          </cell>
          <cell r="E95">
            <v>0</v>
          </cell>
          <cell r="F95">
            <v>0</v>
          </cell>
          <cell r="G95">
            <v>0</v>
          </cell>
          <cell r="H95">
            <v>0</v>
          </cell>
          <cell r="I95">
            <v>0</v>
          </cell>
          <cell r="J95">
            <v>0</v>
          </cell>
          <cell r="K95">
            <v>0</v>
          </cell>
        </row>
        <row r="96">
          <cell r="A96">
            <v>110525</v>
          </cell>
          <cell r="B96" t="str">
            <v>NOTAS ESTRUCTURADAS SERIE</v>
          </cell>
          <cell r="C96">
            <v>0</v>
          </cell>
          <cell r="D96">
            <v>0</v>
          </cell>
          <cell r="E96">
            <v>0</v>
          </cell>
          <cell r="F96">
            <v>0</v>
          </cell>
          <cell r="G96">
            <v>0</v>
          </cell>
          <cell r="H96">
            <v>0</v>
          </cell>
          <cell r="I96">
            <v>0</v>
          </cell>
          <cell r="J96">
            <v>0</v>
          </cell>
          <cell r="K96">
            <v>0</v>
          </cell>
        </row>
        <row r="97">
          <cell r="A97">
            <v>110526</v>
          </cell>
          <cell r="B97" t="str">
            <v>INVERSION EN MONEDA EXTRA</v>
          </cell>
          <cell r="C97">
            <v>390564104</v>
          </cell>
          <cell r="D97">
            <v>20831538</v>
          </cell>
          <cell r="E97">
            <v>369732566</v>
          </cell>
          <cell r="F97">
            <v>0</v>
          </cell>
          <cell r="G97">
            <v>369732566</v>
          </cell>
          <cell r="H97">
            <v>0</v>
          </cell>
          <cell r="I97">
            <v>0</v>
          </cell>
          <cell r="J97">
            <v>0</v>
          </cell>
          <cell r="K97">
            <v>369732566</v>
          </cell>
        </row>
        <row r="98">
          <cell r="A98">
            <v>110527</v>
          </cell>
          <cell r="B98" t="str">
            <v>DEUDORES ARRENDATARIOS BR</v>
          </cell>
          <cell r="C98">
            <v>0</v>
          </cell>
          <cell r="D98">
            <v>0</v>
          </cell>
          <cell r="E98">
            <v>0</v>
          </cell>
          <cell r="F98">
            <v>0</v>
          </cell>
          <cell r="G98">
            <v>0</v>
          </cell>
          <cell r="H98">
            <v>0</v>
          </cell>
          <cell r="I98">
            <v>0</v>
          </cell>
          <cell r="J98">
            <v>0</v>
          </cell>
          <cell r="K98">
            <v>0</v>
          </cell>
        </row>
        <row r="99">
          <cell r="A99">
            <v>110528</v>
          </cell>
          <cell r="B99" t="str">
            <v>NOTAS ESTRUCTURADAS</v>
          </cell>
          <cell r="C99">
            <v>6712241136</v>
          </cell>
          <cell r="D99">
            <v>153069555</v>
          </cell>
          <cell r="E99">
            <v>6559171581</v>
          </cell>
          <cell r="F99">
            <v>0</v>
          </cell>
          <cell r="G99">
            <v>6559171581</v>
          </cell>
          <cell r="H99">
            <v>0</v>
          </cell>
          <cell r="I99">
            <v>0</v>
          </cell>
          <cell r="J99">
            <v>0</v>
          </cell>
          <cell r="K99">
            <v>6559171581</v>
          </cell>
        </row>
        <row r="100">
          <cell r="A100">
            <v>110550</v>
          </cell>
          <cell r="B100" t="str">
            <v>PROV. MUTUOS HIPOTECARIOS</v>
          </cell>
          <cell r="C100">
            <v>7401792971</v>
          </cell>
          <cell r="D100">
            <v>13937180149</v>
          </cell>
          <cell r="E100">
            <v>0</v>
          </cell>
          <cell r="F100">
            <v>6535387178</v>
          </cell>
          <cell r="G100">
            <v>0</v>
          </cell>
          <cell r="H100">
            <v>6535387178</v>
          </cell>
          <cell r="I100">
            <v>0</v>
          </cell>
          <cell r="J100">
            <v>0</v>
          </cell>
          <cell r="K100">
            <v>-6535387178</v>
          </cell>
        </row>
        <row r="101">
          <cell r="A101">
            <v>110551</v>
          </cell>
          <cell r="B101" t="str">
            <v>PROV. ADICIONAL MUTUOS HI</v>
          </cell>
          <cell r="C101">
            <v>0</v>
          </cell>
          <cell r="D101">
            <v>595455873</v>
          </cell>
          <cell r="E101">
            <v>0</v>
          </cell>
          <cell r="F101">
            <v>595455873</v>
          </cell>
          <cell r="G101">
            <v>0</v>
          </cell>
          <cell r="H101">
            <v>595455873</v>
          </cell>
          <cell r="I101">
            <v>0</v>
          </cell>
          <cell r="J101">
            <v>0</v>
          </cell>
          <cell r="K101">
            <v>-595455873</v>
          </cell>
        </row>
        <row r="102">
          <cell r="A102">
            <v>110559</v>
          </cell>
          <cell r="B102" t="str">
            <v>MENOR VALOR LEASING</v>
          </cell>
          <cell r="C102">
            <v>0</v>
          </cell>
          <cell r="D102">
            <v>0</v>
          </cell>
          <cell r="E102">
            <v>0</v>
          </cell>
          <cell r="F102">
            <v>0</v>
          </cell>
          <cell r="G102">
            <v>0</v>
          </cell>
          <cell r="H102">
            <v>0</v>
          </cell>
          <cell r="I102">
            <v>0</v>
          </cell>
          <cell r="J102">
            <v>0</v>
          </cell>
          <cell r="K102">
            <v>0</v>
          </cell>
        </row>
        <row r="103">
          <cell r="A103">
            <v>110560</v>
          </cell>
          <cell r="B103" t="str">
            <v>PROV. MENOR VALOR TASACIO</v>
          </cell>
          <cell r="C103">
            <v>0</v>
          </cell>
          <cell r="D103">
            <v>612651483</v>
          </cell>
          <cell r="E103">
            <v>0</v>
          </cell>
          <cell r="F103">
            <v>612651483</v>
          </cell>
          <cell r="G103">
            <v>0</v>
          </cell>
          <cell r="H103">
            <v>612651483</v>
          </cell>
          <cell r="I103">
            <v>0</v>
          </cell>
          <cell r="J103">
            <v>0</v>
          </cell>
          <cell r="K103">
            <v>-612651483</v>
          </cell>
        </row>
        <row r="104">
          <cell r="A104">
            <v>110561</v>
          </cell>
          <cell r="B104" t="str">
            <v>BTU TESORERIA GRAL DE LA</v>
          </cell>
          <cell r="C104">
            <v>2847801271</v>
          </cell>
          <cell r="D104">
            <v>1361869621</v>
          </cell>
          <cell r="E104">
            <v>1485931650</v>
          </cell>
          <cell r="F104">
            <v>0</v>
          </cell>
          <cell r="G104">
            <v>1485931650</v>
          </cell>
          <cell r="H104">
            <v>0</v>
          </cell>
          <cell r="I104">
            <v>0</v>
          </cell>
          <cell r="J104">
            <v>0</v>
          </cell>
          <cell r="K104">
            <v>1485931650</v>
          </cell>
        </row>
        <row r="105">
          <cell r="A105">
            <v>110562</v>
          </cell>
          <cell r="B105" t="str">
            <v>ACCIONES EXTRANJERAS (ACE</v>
          </cell>
          <cell r="C105">
            <v>42654437</v>
          </cell>
          <cell r="D105">
            <v>42654443</v>
          </cell>
          <cell r="E105">
            <v>0</v>
          </cell>
          <cell r="F105">
            <v>6</v>
          </cell>
          <cell r="G105">
            <v>0</v>
          </cell>
          <cell r="H105">
            <v>6</v>
          </cell>
          <cell r="I105">
            <v>0</v>
          </cell>
          <cell r="J105">
            <v>0</v>
          </cell>
          <cell r="K105">
            <v>-6</v>
          </cell>
        </row>
        <row r="106">
          <cell r="A106">
            <v>110563</v>
          </cell>
          <cell r="B106" t="str">
            <v>PROV. FLUCT. ACCIONES EXT</v>
          </cell>
          <cell r="C106">
            <v>0</v>
          </cell>
          <cell r="D106">
            <v>0</v>
          </cell>
          <cell r="E106">
            <v>0</v>
          </cell>
          <cell r="F106">
            <v>0</v>
          </cell>
          <cell r="G106">
            <v>0</v>
          </cell>
          <cell r="H106">
            <v>0</v>
          </cell>
          <cell r="I106">
            <v>0</v>
          </cell>
          <cell r="J106">
            <v>0</v>
          </cell>
          <cell r="K106">
            <v>0</v>
          </cell>
        </row>
        <row r="107">
          <cell r="A107">
            <v>110564</v>
          </cell>
          <cell r="B107" t="str">
            <v>CREDITOS SINDICADOS</v>
          </cell>
          <cell r="C107">
            <v>0</v>
          </cell>
          <cell r="D107">
            <v>0</v>
          </cell>
          <cell r="E107">
            <v>0</v>
          </cell>
          <cell r="F107">
            <v>0</v>
          </cell>
          <cell r="G107">
            <v>0</v>
          </cell>
          <cell r="H107">
            <v>0</v>
          </cell>
          <cell r="I107">
            <v>0</v>
          </cell>
          <cell r="J107">
            <v>0</v>
          </cell>
          <cell r="K107">
            <v>0</v>
          </cell>
        </row>
        <row r="108">
          <cell r="A108">
            <v>110565</v>
          </cell>
          <cell r="B108" t="str">
            <v>INSTRUMENTOS US TREASSURY</v>
          </cell>
          <cell r="C108">
            <v>26510439</v>
          </cell>
          <cell r="D108">
            <v>26510439</v>
          </cell>
          <cell r="E108">
            <v>0</v>
          </cell>
          <cell r="F108">
            <v>0</v>
          </cell>
          <cell r="G108">
            <v>0</v>
          </cell>
          <cell r="H108">
            <v>0</v>
          </cell>
          <cell r="I108">
            <v>0</v>
          </cell>
          <cell r="J108">
            <v>0</v>
          </cell>
          <cell r="K108">
            <v>0</v>
          </cell>
        </row>
        <row r="109">
          <cell r="A109">
            <v>110566</v>
          </cell>
          <cell r="B109" t="str">
            <v>BONOS VIVIENDA LEASING</v>
          </cell>
          <cell r="C109">
            <v>4865273244</v>
          </cell>
          <cell r="D109">
            <v>0</v>
          </cell>
          <cell r="E109">
            <v>4865273244</v>
          </cell>
          <cell r="F109">
            <v>0</v>
          </cell>
          <cell r="G109">
            <v>4865273244</v>
          </cell>
          <cell r="H109">
            <v>0</v>
          </cell>
          <cell r="I109">
            <v>0</v>
          </cell>
          <cell r="J109">
            <v>0</v>
          </cell>
          <cell r="K109">
            <v>4865273244</v>
          </cell>
        </row>
        <row r="110">
          <cell r="A110">
            <v>110567</v>
          </cell>
          <cell r="B110" t="str">
            <v>BONOS EXTRANJEROS TRIBUTA</v>
          </cell>
          <cell r="C110">
            <v>17198153818</v>
          </cell>
          <cell r="D110">
            <v>799520864</v>
          </cell>
          <cell r="E110">
            <v>16398632954</v>
          </cell>
          <cell r="F110">
            <v>0</v>
          </cell>
          <cell r="G110">
            <v>16398632954</v>
          </cell>
          <cell r="H110">
            <v>0</v>
          </cell>
          <cell r="I110">
            <v>0</v>
          </cell>
          <cell r="J110">
            <v>0</v>
          </cell>
          <cell r="K110">
            <v>16398632954</v>
          </cell>
        </row>
        <row r="111">
          <cell r="A111">
            <v>110568</v>
          </cell>
          <cell r="B111" t="str">
            <v>B.C.P.</v>
          </cell>
          <cell r="C111">
            <v>34086781</v>
          </cell>
          <cell r="D111">
            <v>34086781</v>
          </cell>
          <cell r="E111">
            <v>0</v>
          </cell>
          <cell r="F111">
            <v>0</v>
          </cell>
          <cell r="G111">
            <v>0</v>
          </cell>
          <cell r="H111">
            <v>0</v>
          </cell>
          <cell r="I111">
            <v>0</v>
          </cell>
          <cell r="J111">
            <v>0</v>
          </cell>
          <cell r="K111">
            <v>0</v>
          </cell>
        </row>
        <row r="112">
          <cell r="A112">
            <v>110569</v>
          </cell>
          <cell r="B112" t="str">
            <v>BONOS EMPRESA TASA FLOTAN</v>
          </cell>
          <cell r="C112">
            <v>9506956282</v>
          </cell>
          <cell r="D112">
            <v>491460095</v>
          </cell>
          <cell r="E112">
            <v>9015496187</v>
          </cell>
          <cell r="F112">
            <v>0</v>
          </cell>
          <cell r="G112">
            <v>9015496187</v>
          </cell>
          <cell r="H112">
            <v>0</v>
          </cell>
          <cell r="I112">
            <v>0</v>
          </cell>
          <cell r="J112">
            <v>0</v>
          </cell>
          <cell r="K112">
            <v>9015496187</v>
          </cell>
        </row>
        <row r="113">
          <cell r="A113">
            <v>110570</v>
          </cell>
          <cell r="B113" t="str">
            <v>BTP BONOS TESORERIA GRAL</v>
          </cell>
          <cell r="C113">
            <v>80116803</v>
          </cell>
          <cell r="D113">
            <v>80116803</v>
          </cell>
          <cell r="E113">
            <v>0</v>
          </cell>
          <cell r="F113">
            <v>0</v>
          </cell>
          <cell r="G113">
            <v>0</v>
          </cell>
          <cell r="H113">
            <v>0</v>
          </cell>
          <cell r="I113">
            <v>0</v>
          </cell>
          <cell r="J113">
            <v>0</v>
          </cell>
          <cell r="K113">
            <v>0</v>
          </cell>
        </row>
        <row r="114">
          <cell r="A114">
            <v>110573</v>
          </cell>
          <cell r="B114" t="str">
            <v>BONO EMPRESA AFP</v>
          </cell>
          <cell r="C114">
            <v>224795917</v>
          </cell>
          <cell r="D114">
            <v>820299</v>
          </cell>
          <cell r="E114">
            <v>223975618</v>
          </cell>
          <cell r="F114">
            <v>0</v>
          </cell>
          <cell r="G114">
            <v>223975618</v>
          </cell>
          <cell r="H114">
            <v>0</v>
          </cell>
          <cell r="I114">
            <v>0</v>
          </cell>
          <cell r="J114">
            <v>0</v>
          </cell>
          <cell r="K114">
            <v>223975618</v>
          </cell>
        </row>
        <row r="115">
          <cell r="A115">
            <v>110574</v>
          </cell>
          <cell r="B115" t="str">
            <v>BONOS BANCARIOS AFP</v>
          </cell>
          <cell r="C115">
            <v>587417817</v>
          </cell>
          <cell r="D115">
            <v>364202787</v>
          </cell>
          <cell r="E115">
            <v>223215030</v>
          </cell>
          <cell r="F115">
            <v>0</v>
          </cell>
          <cell r="G115">
            <v>223215030</v>
          </cell>
          <cell r="H115">
            <v>0</v>
          </cell>
          <cell r="I115">
            <v>0</v>
          </cell>
          <cell r="J115">
            <v>0</v>
          </cell>
          <cell r="K115">
            <v>223215030</v>
          </cell>
        </row>
        <row r="116">
          <cell r="A116">
            <v>110575</v>
          </cell>
          <cell r="B116" t="str">
            <v>BONOS DE RECONOCIMIENTO A</v>
          </cell>
          <cell r="C116">
            <v>671087236</v>
          </cell>
          <cell r="D116">
            <v>101767290</v>
          </cell>
          <cell r="E116">
            <v>569319946</v>
          </cell>
          <cell r="F116">
            <v>0</v>
          </cell>
          <cell r="G116">
            <v>569319946</v>
          </cell>
          <cell r="H116">
            <v>0</v>
          </cell>
          <cell r="I116">
            <v>0</v>
          </cell>
          <cell r="J116">
            <v>0</v>
          </cell>
          <cell r="K116">
            <v>569319946</v>
          </cell>
        </row>
        <row r="117">
          <cell r="A117">
            <v>110576</v>
          </cell>
          <cell r="B117" t="str">
            <v>CUOTAS DE FONDOS MUTUOS A</v>
          </cell>
          <cell r="C117">
            <v>2820749323</v>
          </cell>
          <cell r="D117">
            <v>2758110615</v>
          </cell>
          <cell r="E117">
            <v>62638708</v>
          </cell>
          <cell r="F117">
            <v>0</v>
          </cell>
          <cell r="G117">
            <v>62638708</v>
          </cell>
          <cell r="H117">
            <v>0</v>
          </cell>
          <cell r="I117">
            <v>0</v>
          </cell>
          <cell r="J117">
            <v>0</v>
          </cell>
          <cell r="K117">
            <v>62638708</v>
          </cell>
        </row>
        <row r="118">
          <cell r="A118">
            <v>110577</v>
          </cell>
          <cell r="B118" t="str">
            <v>DEPOSITOS A PLAZO REAJUST</v>
          </cell>
          <cell r="C118">
            <v>6825227243</v>
          </cell>
          <cell r="D118">
            <v>326625049</v>
          </cell>
          <cell r="E118">
            <v>6498602194</v>
          </cell>
          <cell r="F118">
            <v>0</v>
          </cell>
          <cell r="G118">
            <v>6498602194</v>
          </cell>
          <cell r="H118">
            <v>0</v>
          </cell>
          <cell r="I118">
            <v>0</v>
          </cell>
          <cell r="J118">
            <v>0</v>
          </cell>
          <cell r="K118">
            <v>6498602194</v>
          </cell>
        </row>
        <row r="119">
          <cell r="A119">
            <v>110578</v>
          </cell>
          <cell r="B119" t="str">
            <v>LETRAS HIPOTECARIAS UF AF</v>
          </cell>
          <cell r="C119">
            <v>359986611</v>
          </cell>
          <cell r="D119">
            <v>27237740</v>
          </cell>
          <cell r="E119">
            <v>332748871</v>
          </cell>
          <cell r="F119">
            <v>0</v>
          </cell>
          <cell r="G119">
            <v>332748871</v>
          </cell>
          <cell r="H119">
            <v>0</v>
          </cell>
          <cell r="I119">
            <v>0</v>
          </cell>
          <cell r="J119">
            <v>0</v>
          </cell>
          <cell r="K119">
            <v>332748871</v>
          </cell>
        </row>
        <row r="120">
          <cell r="A120">
            <v>110579</v>
          </cell>
          <cell r="B120" t="str">
            <v>UBS AFP</v>
          </cell>
          <cell r="C120">
            <v>80936739</v>
          </cell>
          <cell r="D120">
            <v>76251208</v>
          </cell>
          <cell r="E120">
            <v>4685531</v>
          </cell>
          <cell r="F120">
            <v>0</v>
          </cell>
          <cell r="G120">
            <v>4685531</v>
          </cell>
          <cell r="H120">
            <v>0</v>
          </cell>
          <cell r="I120">
            <v>0</v>
          </cell>
          <cell r="J120">
            <v>0</v>
          </cell>
          <cell r="K120">
            <v>4685531</v>
          </cell>
        </row>
        <row r="121">
          <cell r="A121">
            <v>110580</v>
          </cell>
          <cell r="B121" t="str">
            <v>BCU AFP</v>
          </cell>
          <cell r="C121">
            <v>1150795687</v>
          </cell>
          <cell r="D121">
            <v>399311105</v>
          </cell>
          <cell r="E121">
            <v>751484582</v>
          </cell>
          <cell r="F121">
            <v>0</v>
          </cell>
          <cell r="G121">
            <v>751484582</v>
          </cell>
          <cell r="H121">
            <v>0</v>
          </cell>
          <cell r="I121">
            <v>0</v>
          </cell>
          <cell r="J121">
            <v>0</v>
          </cell>
          <cell r="K121">
            <v>751484582</v>
          </cell>
        </row>
        <row r="122">
          <cell r="A122">
            <v>110581</v>
          </cell>
          <cell r="B122" t="str">
            <v>BTU AFP</v>
          </cell>
          <cell r="C122">
            <v>687177174</v>
          </cell>
          <cell r="D122">
            <v>4725073</v>
          </cell>
          <cell r="E122">
            <v>682452101</v>
          </cell>
          <cell r="F122">
            <v>0</v>
          </cell>
          <cell r="G122">
            <v>682452101</v>
          </cell>
          <cell r="H122">
            <v>0</v>
          </cell>
          <cell r="I122">
            <v>0</v>
          </cell>
          <cell r="J122">
            <v>0</v>
          </cell>
          <cell r="K122">
            <v>682452101</v>
          </cell>
        </row>
        <row r="123">
          <cell r="A123">
            <v>110582</v>
          </cell>
          <cell r="B123" t="str">
            <v>CERO AFP</v>
          </cell>
          <cell r="C123">
            <v>40440</v>
          </cell>
          <cell r="D123">
            <v>40440</v>
          </cell>
          <cell r="E123">
            <v>0</v>
          </cell>
          <cell r="F123">
            <v>0</v>
          </cell>
          <cell r="G123">
            <v>0</v>
          </cell>
          <cell r="H123">
            <v>0</v>
          </cell>
          <cell r="I123">
            <v>0</v>
          </cell>
          <cell r="J123">
            <v>0</v>
          </cell>
          <cell r="K123">
            <v>0</v>
          </cell>
        </row>
        <row r="124">
          <cell r="A124">
            <v>110587</v>
          </cell>
          <cell r="B124" t="str">
            <v>AJUSTE ADOPCION CARTERA A</v>
          </cell>
          <cell r="C124">
            <v>0</v>
          </cell>
          <cell r="D124">
            <v>0</v>
          </cell>
          <cell r="E124">
            <v>0</v>
          </cell>
          <cell r="F124">
            <v>0</v>
          </cell>
          <cell r="G124">
            <v>0</v>
          </cell>
          <cell r="H124">
            <v>0</v>
          </cell>
          <cell r="I124">
            <v>0</v>
          </cell>
          <cell r="J124">
            <v>0</v>
          </cell>
          <cell r="K124">
            <v>0</v>
          </cell>
        </row>
        <row r="125">
          <cell r="A125">
            <v>110601</v>
          </cell>
          <cell r="B125" t="str">
            <v>ACCIONES NACIONALES (ACC)</v>
          </cell>
          <cell r="C125">
            <v>52983373480</v>
          </cell>
          <cell r="D125">
            <v>6562367693</v>
          </cell>
          <cell r="E125">
            <v>46421005787</v>
          </cell>
          <cell r="F125">
            <v>0</v>
          </cell>
          <cell r="G125">
            <v>46421005787</v>
          </cell>
          <cell r="H125">
            <v>0</v>
          </cell>
          <cell r="I125">
            <v>0</v>
          </cell>
          <cell r="J125">
            <v>0</v>
          </cell>
          <cell r="K125">
            <v>46421005787</v>
          </cell>
        </row>
        <row r="126">
          <cell r="A126">
            <v>110602</v>
          </cell>
          <cell r="B126" t="str">
            <v>PROVISION ACCIONES PRESEN</v>
          </cell>
          <cell r="C126">
            <v>3253941464</v>
          </cell>
          <cell r="D126">
            <v>0</v>
          </cell>
          <cell r="E126">
            <v>3253941464</v>
          </cell>
          <cell r="F126">
            <v>0</v>
          </cell>
          <cell r="G126">
            <v>3253941464</v>
          </cell>
          <cell r="H126">
            <v>0</v>
          </cell>
          <cell r="I126">
            <v>0</v>
          </cell>
          <cell r="J126">
            <v>0</v>
          </cell>
          <cell r="K126">
            <v>3253941464</v>
          </cell>
        </row>
        <row r="127">
          <cell r="A127">
            <v>110603</v>
          </cell>
          <cell r="B127" t="str">
            <v>CUOTAS DE FONDOS DE INVER</v>
          </cell>
          <cell r="C127">
            <v>34258042967</v>
          </cell>
          <cell r="D127">
            <v>697083810</v>
          </cell>
          <cell r="E127">
            <v>33560959157</v>
          </cell>
          <cell r="F127">
            <v>0</v>
          </cell>
          <cell r="G127">
            <v>33560959157</v>
          </cell>
          <cell r="H127">
            <v>0</v>
          </cell>
          <cell r="I127">
            <v>0</v>
          </cell>
          <cell r="J127">
            <v>0</v>
          </cell>
          <cell r="K127">
            <v>33560959157</v>
          </cell>
        </row>
        <row r="128">
          <cell r="A128">
            <v>110604</v>
          </cell>
          <cell r="B128" t="str">
            <v>PROV. CUOTAS DE FONDOS DE</v>
          </cell>
          <cell r="C128">
            <v>9712424179</v>
          </cell>
          <cell r="D128">
            <v>800010425</v>
          </cell>
          <cell r="E128">
            <v>8912413754</v>
          </cell>
          <cell r="F128">
            <v>0</v>
          </cell>
          <cell r="G128">
            <v>8912413754</v>
          </cell>
          <cell r="H128">
            <v>0</v>
          </cell>
          <cell r="I128">
            <v>0</v>
          </cell>
          <cell r="J128">
            <v>0</v>
          </cell>
          <cell r="K128">
            <v>8912413754</v>
          </cell>
        </row>
        <row r="129">
          <cell r="A129">
            <v>110605</v>
          </cell>
          <cell r="B129" t="str">
            <v>INVERSION FONDOS MUTUOS N</v>
          </cell>
          <cell r="C129">
            <v>8776792800</v>
          </cell>
          <cell r="D129">
            <v>8692375686</v>
          </cell>
          <cell r="E129">
            <v>84417114</v>
          </cell>
          <cell r="F129">
            <v>0</v>
          </cell>
          <cell r="G129">
            <v>84417114</v>
          </cell>
          <cell r="H129">
            <v>0</v>
          </cell>
          <cell r="I129">
            <v>0</v>
          </cell>
          <cell r="J129">
            <v>0</v>
          </cell>
          <cell r="K129">
            <v>84417114</v>
          </cell>
        </row>
        <row r="130">
          <cell r="A130">
            <v>110606</v>
          </cell>
          <cell r="B130" t="str">
            <v>FONDO MUTUOS POR COBRAR</v>
          </cell>
          <cell r="C130">
            <v>0</v>
          </cell>
          <cell r="D130">
            <v>0</v>
          </cell>
          <cell r="E130">
            <v>0</v>
          </cell>
          <cell r="F130">
            <v>0</v>
          </cell>
          <cell r="G130">
            <v>0</v>
          </cell>
          <cell r="H130">
            <v>0</v>
          </cell>
          <cell r="I130">
            <v>0</v>
          </cell>
          <cell r="J130">
            <v>0</v>
          </cell>
          <cell r="K130">
            <v>0</v>
          </cell>
        </row>
        <row r="131">
          <cell r="A131">
            <v>110607</v>
          </cell>
          <cell r="B131" t="str">
            <v>CUOTAS DE FONDOS DE INVER</v>
          </cell>
          <cell r="C131">
            <v>12185972604</v>
          </cell>
          <cell r="D131">
            <v>357946781</v>
          </cell>
          <cell r="E131">
            <v>11828025823</v>
          </cell>
          <cell r="F131">
            <v>0</v>
          </cell>
          <cell r="G131">
            <v>11828025823</v>
          </cell>
          <cell r="H131">
            <v>0</v>
          </cell>
          <cell r="I131">
            <v>0</v>
          </cell>
          <cell r="J131">
            <v>0</v>
          </cell>
          <cell r="K131">
            <v>11828025823</v>
          </cell>
        </row>
        <row r="132">
          <cell r="A132">
            <v>110609</v>
          </cell>
          <cell r="B132" t="str">
            <v>PROV. CUOTAS FONDOS DE IN</v>
          </cell>
          <cell r="C132">
            <v>409854867</v>
          </cell>
          <cell r="D132">
            <v>329207067</v>
          </cell>
          <cell r="E132">
            <v>80647800</v>
          </cell>
          <cell r="F132">
            <v>0</v>
          </cell>
          <cell r="G132">
            <v>80647800</v>
          </cell>
          <cell r="H132">
            <v>0</v>
          </cell>
          <cell r="I132">
            <v>0</v>
          </cell>
          <cell r="J132">
            <v>0</v>
          </cell>
          <cell r="K132">
            <v>80647800</v>
          </cell>
        </row>
        <row r="133">
          <cell r="A133">
            <v>110615</v>
          </cell>
          <cell r="B133" t="str">
            <v>CUENTA CORRIENTE POR COBR</v>
          </cell>
          <cell r="C133">
            <v>0</v>
          </cell>
          <cell r="D133">
            <v>0</v>
          </cell>
          <cell r="E133">
            <v>0</v>
          </cell>
          <cell r="F133">
            <v>0</v>
          </cell>
          <cell r="G133">
            <v>0</v>
          </cell>
          <cell r="H133">
            <v>0</v>
          </cell>
          <cell r="I133">
            <v>0</v>
          </cell>
          <cell r="J133">
            <v>0</v>
          </cell>
          <cell r="K133">
            <v>0</v>
          </cell>
        </row>
        <row r="134">
          <cell r="A134">
            <v>110616</v>
          </cell>
          <cell r="B134" t="str">
            <v>ADRS</v>
          </cell>
          <cell r="C134">
            <v>114384208133</v>
          </cell>
          <cell r="D134">
            <v>114384208133</v>
          </cell>
          <cell r="E134">
            <v>0</v>
          </cell>
          <cell r="F134">
            <v>0</v>
          </cell>
          <cell r="G134">
            <v>0</v>
          </cell>
          <cell r="H134">
            <v>0</v>
          </cell>
          <cell r="I134">
            <v>0</v>
          </cell>
          <cell r="J134">
            <v>0</v>
          </cell>
          <cell r="K134">
            <v>0</v>
          </cell>
        </row>
        <row r="135">
          <cell r="A135">
            <v>110617</v>
          </cell>
          <cell r="B135" t="str">
            <v>PROVISION FLUCTUACION ADR</v>
          </cell>
          <cell r="C135">
            <v>33338074</v>
          </cell>
          <cell r="D135">
            <v>33338075</v>
          </cell>
          <cell r="E135">
            <v>0</v>
          </cell>
          <cell r="F135">
            <v>1</v>
          </cell>
          <cell r="G135">
            <v>0</v>
          </cell>
          <cell r="H135">
            <v>1</v>
          </cell>
          <cell r="I135">
            <v>0</v>
          </cell>
          <cell r="J135">
            <v>0</v>
          </cell>
          <cell r="K135">
            <v>-1</v>
          </cell>
        </row>
        <row r="136">
          <cell r="A136">
            <v>110618</v>
          </cell>
          <cell r="B136" t="str">
            <v>CUOTAS DE FDOS. NACIONALE</v>
          </cell>
          <cell r="C136">
            <v>6889143572</v>
          </cell>
          <cell r="D136">
            <v>363561025</v>
          </cell>
          <cell r="E136">
            <v>6525582547</v>
          </cell>
          <cell r="F136">
            <v>0</v>
          </cell>
          <cell r="G136">
            <v>6525582547</v>
          </cell>
          <cell r="H136">
            <v>0</v>
          </cell>
          <cell r="I136">
            <v>0</v>
          </cell>
          <cell r="J136">
            <v>0</v>
          </cell>
          <cell r="K136">
            <v>6525582547</v>
          </cell>
        </row>
        <row r="137">
          <cell r="A137">
            <v>110619</v>
          </cell>
          <cell r="B137" t="str">
            <v>PROVISION CUOTAS DE FDOS.</v>
          </cell>
          <cell r="C137">
            <v>189156188</v>
          </cell>
          <cell r="D137">
            <v>168723089</v>
          </cell>
          <cell r="E137">
            <v>20433099</v>
          </cell>
          <cell r="F137">
            <v>0</v>
          </cell>
          <cell r="G137">
            <v>20433099</v>
          </cell>
          <cell r="H137">
            <v>0</v>
          </cell>
          <cell r="I137">
            <v>0</v>
          </cell>
          <cell r="J137">
            <v>0</v>
          </cell>
          <cell r="K137">
            <v>20433099</v>
          </cell>
        </row>
        <row r="138">
          <cell r="A138">
            <v>110621</v>
          </cell>
          <cell r="B138" t="str">
            <v>EXCHANGE TRADED FUNDS (ET</v>
          </cell>
          <cell r="C138">
            <v>59079144576</v>
          </cell>
          <cell r="D138">
            <v>18442122743</v>
          </cell>
          <cell r="E138">
            <v>40637021833</v>
          </cell>
          <cell r="F138">
            <v>0</v>
          </cell>
          <cell r="G138">
            <v>40637021833</v>
          </cell>
          <cell r="H138">
            <v>0</v>
          </cell>
          <cell r="I138">
            <v>0</v>
          </cell>
          <cell r="J138">
            <v>0</v>
          </cell>
          <cell r="K138">
            <v>40637021833</v>
          </cell>
        </row>
        <row r="139">
          <cell r="A139">
            <v>110622</v>
          </cell>
          <cell r="B139" t="str">
            <v>PROVISION EXCHANGE TRADED</v>
          </cell>
          <cell r="C139">
            <v>835475453</v>
          </cell>
          <cell r="D139">
            <v>376414626</v>
          </cell>
          <cell r="E139">
            <v>459060827</v>
          </cell>
          <cell r="F139">
            <v>0</v>
          </cell>
          <cell r="G139">
            <v>459060827</v>
          </cell>
          <cell r="H139">
            <v>0</v>
          </cell>
          <cell r="I139">
            <v>0</v>
          </cell>
          <cell r="J139">
            <v>0</v>
          </cell>
          <cell r="K139">
            <v>459060827</v>
          </cell>
        </row>
        <row r="140">
          <cell r="A140">
            <v>110625</v>
          </cell>
          <cell r="B140" t="str">
            <v>INSTRUMENTOS US TREASURY</v>
          </cell>
          <cell r="C140">
            <v>0</v>
          </cell>
          <cell r="D140">
            <v>0</v>
          </cell>
          <cell r="E140">
            <v>0</v>
          </cell>
          <cell r="F140">
            <v>0</v>
          </cell>
          <cell r="G140">
            <v>0</v>
          </cell>
          <cell r="H140">
            <v>0</v>
          </cell>
          <cell r="I140">
            <v>0</v>
          </cell>
          <cell r="J140">
            <v>0</v>
          </cell>
          <cell r="K140">
            <v>0</v>
          </cell>
        </row>
        <row r="141">
          <cell r="A141">
            <v>110629</v>
          </cell>
          <cell r="B141" t="str">
            <v>B.C.P. APV</v>
          </cell>
          <cell r="C141">
            <v>0</v>
          </cell>
          <cell r="D141">
            <v>0</v>
          </cell>
          <cell r="E141">
            <v>0</v>
          </cell>
          <cell r="F141">
            <v>0</v>
          </cell>
          <cell r="G141">
            <v>0</v>
          </cell>
          <cell r="H141">
            <v>0</v>
          </cell>
          <cell r="I141">
            <v>0</v>
          </cell>
          <cell r="J141">
            <v>0</v>
          </cell>
          <cell r="K141">
            <v>0</v>
          </cell>
        </row>
        <row r="142">
          <cell r="A142">
            <v>110630</v>
          </cell>
          <cell r="B142" t="str">
            <v>LETRAS HIPOTECARIAS U.F.</v>
          </cell>
          <cell r="C142">
            <v>12837</v>
          </cell>
          <cell r="D142">
            <v>12837</v>
          </cell>
          <cell r="E142">
            <v>0</v>
          </cell>
          <cell r="F142">
            <v>0</v>
          </cell>
          <cell r="G142">
            <v>0</v>
          </cell>
          <cell r="H142">
            <v>0</v>
          </cell>
          <cell r="I142">
            <v>0</v>
          </cell>
          <cell r="J142">
            <v>0</v>
          </cell>
          <cell r="K142">
            <v>0</v>
          </cell>
        </row>
        <row r="143">
          <cell r="A143">
            <v>110641</v>
          </cell>
          <cell r="B143" t="str">
            <v>BONOS RECONOCIMIENTO APV</v>
          </cell>
          <cell r="C143">
            <v>0</v>
          </cell>
          <cell r="D143">
            <v>0</v>
          </cell>
          <cell r="E143">
            <v>0</v>
          </cell>
          <cell r="F143">
            <v>0</v>
          </cell>
          <cell r="G143">
            <v>0</v>
          </cell>
          <cell r="H143">
            <v>0</v>
          </cell>
          <cell r="I143">
            <v>0</v>
          </cell>
          <cell r="J143">
            <v>0</v>
          </cell>
          <cell r="K143">
            <v>0</v>
          </cell>
        </row>
        <row r="144">
          <cell r="A144">
            <v>110645</v>
          </cell>
          <cell r="B144" t="str">
            <v>BONOS EXTRANJEROS APV</v>
          </cell>
          <cell r="C144">
            <v>0</v>
          </cell>
          <cell r="D144">
            <v>0</v>
          </cell>
          <cell r="E144">
            <v>0</v>
          </cell>
          <cell r="F144">
            <v>0</v>
          </cell>
          <cell r="G144">
            <v>0</v>
          </cell>
          <cell r="H144">
            <v>0</v>
          </cell>
          <cell r="I144">
            <v>0</v>
          </cell>
          <cell r="J144">
            <v>0</v>
          </cell>
          <cell r="K144">
            <v>0</v>
          </cell>
        </row>
        <row r="145">
          <cell r="A145">
            <v>110665</v>
          </cell>
          <cell r="B145" t="str">
            <v>DEPOSITOS A PLAZO REAJUST</v>
          </cell>
          <cell r="C145">
            <v>14026880474</v>
          </cell>
          <cell r="D145">
            <v>1226284576</v>
          </cell>
          <cell r="E145">
            <v>12800595898</v>
          </cell>
          <cell r="F145">
            <v>0</v>
          </cell>
          <cell r="G145">
            <v>12800595898</v>
          </cell>
          <cell r="H145">
            <v>0</v>
          </cell>
          <cell r="I145">
            <v>0</v>
          </cell>
          <cell r="J145">
            <v>0</v>
          </cell>
          <cell r="K145">
            <v>12800595898</v>
          </cell>
        </row>
        <row r="146">
          <cell r="A146">
            <v>110666</v>
          </cell>
          <cell r="B146" t="str">
            <v>BONOS VIVIENDA LEASING CU</v>
          </cell>
          <cell r="C146">
            <v>0</v>
          </cell>
          <cell r="D146">
            <v>0</v>
          </cell>
          <cell r="E146">
            <v>0</v>
          </cell>
          <cell r="F146">
            <v>0</v>
          </cell>
          <cell r="G146">
            <v>0</v>
          </cell>
          <cell r="H146">
            <v>0</v>
          </cell>
          <cell r="I146">
            <v>0</v>
          </cell>
          <cell r="J146">
            <v>0</v>
          </cell>
          <cell r="K146">
            <v>0</v>
          </cell>
        </row>
        <row r="147">
          <cell r="A147">
            <v>110667</v>
          </cell>
          <cell r="B147" t="str">
            <v>DEPOSITO A PLAZO FIJO D.P</v>
          </cell>
          <cell r="C147">
            <v>1742986293</v>
          </cell>
          <cell r="D147">
            <v>0</v>
          </cell>
          <cell r="E147">
            <v>1742986293</v>
          </cell>
          <cell r="F147">
            <v>0</v>
          </cell>
          <cell r="G147">
            <v>1742986293</v>
          </cell>
          <cell r="H147">
            <v>0</v>
          </cell>
          <cell r="I147">
            <v>0</v>
          </cell>
          <cell r="J147">
            <v>0</v>
          </cell>
          <cell r="K147">
            <v>1742986293</v>
          </cell>
        </row>
        <row r="148">
          <cell r="A148">
            <v>110670</v>
          </cell>
          <cell r="B148" t="str">
            <v>LETRAS HIPOTECARIAS U.F.</v>
          </cell>
          <cell r="C148">
            <v>311672354</v>
          </cell>
          <cell r="D148">
            <v>18173139</v>
          </cell>
          <cell r="E148">
            <v>293499215</v>
          </cell>
          <cell r="F148">
            <v>0</v>
          </cell>
          <cell r="G148">
            <v>293499215</v>
          </cell>
          <cell r="H148">
            <v>0</v>
          </cell>
          <cell r="I148">
            <v>0</v>
          </cell>
          <cell r="J148">
            <v>0</v>
          </cell>
          <cell r="K148">
            <v>293499215</v>
          </cell>
        </row>
        <row r="149">
          <cell r="A149">
            <v>110671</v>
          </cell>
          <cell r="B149" t="str">
            <v>LETRAS HIPOTECARIAS IVP C</v>
          </cell>
          <cell r="C149">
            <v>13822883</v>
          </cell>
          <cell r="D149">
            <v>13822883</v>
          </cell>
          <cell r="E149">
            <v>0</v>
          </cell>
          <cell r="F149">
            <v>0</v>
          </cell>
          <cell r="G149">
            <v>0</v>
          </cell>
          <cell r="H149">
            <v>0</v>
          </cell>
          <cell r="I149">
            <v>0</v>
          </cell>
          <cell r="J149">
            <v>0</v>
          </cell>
          <cell r="K149">
            <v>0</v>
          </cell>
        </row>
        <row r="150">
          <cell r="A150">
            <v>110672</v>
          </cell>
          <cell r="B150" t="str">
            <v>BONOS BANCARIOS CUI</v>
          </cell>
          <cell r="C150">
            <v>4128775514</v>
          </cell>
          <cell r="D150">
            <v>39893274</v>
          </cell>
          <cell r="E150">
            <v>4088882240</v>
          </cell>
          <cell r="F150">
            <v>0</v>
          </cell>
          <cell r="G150">
            <v>4088882240</v>
          </cell>
          <cell r="H150">
            <v>0</v>
          </cell>
          <cell r="I150">
            <v>0</v>
          </cell>
          <cell r="J150">
            <v>0</v>
          </cell>
          <cell r="K150">
            <v>4088882240</v>
          </cell>
        </row>
        <row r="151">
          <cell r="A151">
            <v>110674</v>
          </cell>
          <cell r="B151" t="str">
            <v>BONOS EMPRESA CUI</v>
          </cell>
          <cell r="C151">
            <v>3859044059</v>
          </cell>
          <cell r="D151">
            <v>36333372</v>
          </cell>
          <cell r="E151">
            <v>3822710687</v>
          </cell>
          <cell r="F151">
            <v>0</v>
          </cell>
          <cell r="G151">
            <v>3822710687</v>
          </cell>
          <cell r="H151">
            <v>0</v>
          </cell>
          <cell r="I151">
            <v>0</v>
          </cell>
          <cell r="J151">
            <v>0</v>
          </cell>
          <cell r="K151">
            <v>3822710687</v>
          </cell>
        </row>
        <row r="152">
          <cell r="A152">
            <v>110676</v>
          </cell>
          <cell r="B152" t="str">
            <v>MUTUOS HIPOTECARIOS CUI</v>
          </cell>
          <cell r="C152">
            <v>0</v>
          </cell>
          <cell r="D152">
            <v>0</v>
          </cell>
          <cell r="E152">
            <v>0</v>
          </cell>
          <cell r="F152">
            <v>0</v>
          </cell>
          <cell r="G152">
            <v>0</v>
          </cell>
          <cell r="H152">
            <v>0</v>
          </cell>
          <cell r="I152">
            <v>0</v>
          </cell>
          <cell r="J152">
            <v>0</v>
          </cell>
          <cell r="K152">
            <v>0</v>
          </cell>
        </row>
        <row r="153">
          <cell r="A153">
            <v>110678</v>
          </cell>
          <cell r="B153" t="str">
            <v>P.R.C. CUI</v>
          </cell>
          <cell r="C153">
            <v>256305348</v>
          </cell>
          <cell r="D153">
            <v>45474204</v>
          </cell>
          <cell r="E153">
            <v>210831144</v>
          </cell>
          <cell r="F153">
            <v>0</v>
          </cell>
          <cell r="G153">
            <v>210831144</v>
          </cell>
          <cell r="H153">
            <v>0</v>
          </cell>
          <cell r="I153">
            <v>0</v>
          </cell>
          <cell r="J153">
            <v>0</v>
          </cell>
          <cell r="K153">
            <v>210831144</v>
          </cell>
        </row>
        <row r="154">
          <cell r="A154">
            <v>110679</v>
          </cell>
          <cell r="B154" t="str">
            <v>B.C.U. CUI</v>
          </cell>
          <cell r="C154">
            <v>3681787725</v>
          </cell>
          <cell r="D154">
            <v>31342084</v>
          </cell>
          <cell r="E154">
            <v>3650445641</v>
          </cell>
          <cell r="F154">
            <v>0</v>
          </cell>
          <cell r="G154">
            <v>3650445641</v>
          </cell>
          <cell r="H154">
            <v>0</v>
          </cell>
          <cell r="I154">
            <v>0</v>
          </cell>
          <cell r="J154">
            <v>0</v>
          </cell>
          <cell r="K154">
            <v>3650445641</v>
          </cell>
        </row>
        <row r="155">
          <cell r="A155">
            <v>110681</v>
          </cell>
          <cell r="B155" t="str">
            <v>BONOS RECONOCIMIENTO CUI</v>
          </cell>
          <cell r="C155">
            <v>543424494</v>
          </cell>
          <cell r="D155">
            <v>181406698</v>
          </cell>
          <cell r="E155">
            <v>362017796</v>
          </cell>
          <cell r="F155">
            <v>0</v>
          </cell>
          <cell r="G155">
            <v>362017796</v>
          </cell>
          <cell r="H155">
            <v>0</v>
          </cell>
          <cell r="I155">
            <v>0</v>
          </cell>
          <cell r="J155">
            <v>0</v>
          </cell>
          <cell r="K155">
            <v>362017796</v>
          </cell>
        </row>
        <row r="156">
          <cell r="A156">
            <v>110683</v>
          </cell>
          <cell r="B156" t="str">
            <v>B.C.P. FLEXIBLE</v>
          </cell>
          <cell r="C156">
            <v>0</v>
          </cell>
          <cell r="D156">
            <v>0</v>
          </cell>
          <cell r="E156">
            <v>0</v>
          </cell>
          <cell r="F156">
            <v>0</v>
          </cell>
          <cell r="G156">
            <v>0</v>
          </cell>
          <cell r="H156">
            <v>0</v>
          </cell>
          <cell r="I156">
            <v>0</v>
          </cell>
          <cell r="J156">
            <v>0</v>
          </cell>
          <cell r="K156">
            <v>0</v>
          </cell>
        </row>
        <row r="157">
          <cell r="A157">
            <v>110685</v>
          </cell>
          <cell r="B157" t="str">
            <v>BONOS EXTRANJEROS CUI</v>
          </cell>
          <cell r="C157">
            <v>0</v>
          </cell>
          <cell r="D157">
            <v>0</v>
          </cell>
          <cell r="E157">
            <v>0</v>
          </cell>
          <cell r="F157">
            <v>0</v>
          </cell>
          <cell r="G157">
            <v>0</v>
          </cell>
          <cell r="H157">
            <v>0</v>
          </cell>
          <cell r="I157">
            <v>0</v>
          </cell>
          <cell r="J157">
            <v>0</v>
          </cell>
          <cell r="K157">
            <v>0</v>
          </cell>
        </row>
        <row r="158">
          <cell r="A158">
            <v>110688</v>
          </cell>
          <cell r="B158" t="str">
            <v>BONOS SECURITIZADOS CUI</v>
          </cell>
          <cell r="C158">
            <v>0</v>
          </cell>
          <cell r="D158">
            <v>0</v>
          </cell>
          <cell r="E158">
            <v>0</v>
          </cell>
          <cell r="F158">
            <v>0</v>
          </cell>
          <cell r="G158">
            <v>0</v>
          </cell>
          <cell r="H158">
            <v>0</v>
          </cell>
          <cell r="I158">
            <v>0</v>
          </cell>
          <cell r="J158">
            <v>0</v>
          </cell>
          <cell r="K158">
            <v>0</v>
          </cell>
        </row>
        <row r="159">
          <cell r="A159">
            <v>110689</v>
          </cell>
          <cell r="B159" t="str">
            <v>BTU TESORERIA GRAL DE LA</v>
          </cell>
          <cell r="C159">
            <v>0</v>
          </cell>
          <cell r="D159">
            <v>0</v>
          </cell>
          <cell r="E159">
            <v>0</v>
          </cell>
          <cell r="F159">
            <v>0</v>
          </cell>
          <cell r="G159">
            <v>0</v>
          </cell>
          <cell r="H159">
            <v>0</v>
          </cell>
          <cell r="I159">
            <v>0</v>
          </cell>
          <cell r="J159">
            <v>0</v>
          </cell>
          <cell r="K159">
            <v>0</v>
          </cell>
        </row>
        <row r="160">
          <cell r="A160">
            <v>110690</v>
          </cell>
          <cell r="B160" t="str">
            <v>ACCIONES NACIONALES CUI (</v>
          </cell>
          <cell r="C160">
            <v>7200180957</v>
          </cell>
          <cell r="D160">
            <v>1840725783</v>
          </cell>
          <cell r="E160">
            <v>5359455174</v>
          </cell>
          <cell r="F160">
            <v>0</v>
          </cell>
          <cell r="G160">
            <v>5359455174</v>
          </cell>
          <cell r="H160">
            <v>0</v>
          </cell>
          <cell r="I160">
            <v>0</v>
          </cell>
          <cell r="J160">
            <v>0</v>
          </cell>
          <cell r="K160">
            <v>5359455174</v>
          </cell>
        </row>
        <row r="161">
          <cell r="A161">
            <v>110691</v>
          </cell>
          <cell r="B161" t="str">
            <v>PROVISION ACCIONES NACION</v>
          </cell>
          <cell r="C161">
            <v>0</v>
          </cell>
          <cell r="D161">
            <v>94584627</v>
          </cell>
          <cell r="E161">
            <v>0</v>
          </cell>
          <cell r="F161">
            <v>94584627</v>
          </cell>
          <cell r="G161">
            <v>0</v>
          </cell>
          <cell r="H161">
            <v>94584627</v>
          </cell>
          <cell r="I161">
            <v>0</v>
          </cell>
          <cell r="J161">
            <v>0</v>
          </cell>
          <cell r="K161">
            <v>-94584627</v>
          </cell>
        </row>
        <row r="162">
          <cell r="A162">
            <v>110694</v>
          </cell>
          <cell r="B162" t="str">
            <v>INVERSION FONDOS MUTUOS C</v>
          </cell>
          <cell r="C162">
            <v>3034835302</v>
          </cell>
          <cell r="D162">
            <v>2494786924</v>
          </cell>
          <cell r="E162">
            <v>540048378</v>
          </cell>
          <cell r="F162">
            <v>0</v>
          </cell>
          <cell r="G162">
            <v>540048378</v>
          </cell>
          <cell r="H162">
            <v>0</v>
          </cell>
          <cell r="I162">
            <v>0</v>
          </cell>
          <cell r="J162">
            <v>0</v>
          </cell>
          <cell r="K162">
            <v>540048378</v>
          </cell>
        </row>
        <row r="163">
          <cell r="A163">
            <v>110699</v>
          </cell>
          <cell r="B163" t="str">
            <v>INVERSIONES FONDOS MUTUOS</v>
          </cell>
          <cell r="C163">
            <v>1495000000</v>
          </cell>
          <cell r="D163">
            <v>12170000</v>
          </cell>
          <cell r="E163">
            <v>1482830000</v>
          </cell>
          <cell r="F163">
            <v>0</v>
          </cell>
          <cell r="G163">
            <v>1482830000</v>
          </cell>
          <cell r="H163">
            <v>0</v>
          </cell>
          <cell r="I163">
            <v>0</v>
          </cell>
          <cell r="J163">
            <v>0</v>
          </cell>
          <cell r="K163">
            <v>1482830000</v>
          </cell>
        </row>
        <row r="164">
          <cell r="A164">
            <v>110710</v>
          </cell>
          <cell r="B164" t="str">
            <v>DIVIDENDOS CHILENA CONSOL</v>
          </cell>
          <cell r="C164">
            <v>0</v>
          </cell>
          <cell r="D164">
            <v>0</v>
          </cell>
          <cell r="E164">
            <v>0</v>
          </cell>
          <cell r="F164">
            <v>0</v>
          </cell>
          <cell r="G164">
            <v>0</v>
          </cell>
          <cell r="H164">
            <v>0</v>
          </cell>
          <cell r="I164">
            <v>0</v>
          </cell>
          <cell r="J164">
            <v>0</v>
          </cell>
          <cell r="K164">
            <v>0</v>
          </cell>
        </row>
        <row r="165">
          <cell r="A165">
            <v>110751</v>
          </cell>
          <cell r="B165" t="str">
            <v>EXCHANGE TRADED FUNDS FLE</v>
          </cell>
          <cell r="C165">
            <v>0</v>
          </cell>
          <cell r="D165">
            <v>0</v>
          </cell>
          <cell r="E165">
            <v>0</v>
          </cell>
          <cell r="F165">
            <v>0</v>
          </cell>
          <cell r="G165">
            <v>0</v>
          </cell>
          <cell r="H165">
            <v>0</v>
          </cell>
          <cell r="I165">
            <v>0</v>
          </cell>
          <cell r="J165">
            <v>0</v>
          </cell>
          <cell r="K165">
            <v>0</v>
          </cell>
        </row>
        <row r="166">
          <cell r="A166">
            <v>110752</v>
          </cell>
          <cell r="B166" t="str">
            <v>PROVISION FLUCTUACION EXC</v>
          </cell>
          <cell r="C166">
            <v>0</v>
          </cell>
          <cell r="D166">
            <v>0</v>
          </cell>
          <cell r="E166">
            <v>0</v>
          </cell>
          <cell r="F166">
            <v>0</v>
          </cell>
          <cell r="G166">
            <v>0</v>
          </cell>
          <cell r="H166">
            <v>0</v>
          </cell>
          <cell r="I166">
            <v>0</v>
          </cell>
          <cell r="J166">
            <v>0</v>
          </cell>
          <cell r="K166">
            <v>0</v>
          </cell>
        </row>
        <row r="167">
          <cell r="A167">
            <v>110753</v>
          </cell>
          <cell r="B167" t="str">
            <v>PROVISION FLUCTUACION EXC</v>
          </cell>
          <cell r="C167">
            <v>0</v>
          </cell>
          <cell r="D167">
            <v>0</v>
          </cell>
          <cell r="E167">
            <v>0</v>
          </cell>
          <cell r="F167">
            <v>0</v>
          </cell>
          <cell r="G167">
            <v>0</v>
          </cell>
          <cell r="H167">
            <v>0</v>
          </cell>
          <cell r="I167">
            <v>0</v>
          </cell>
          <cell r="J167">
            <v>0</v>
          </cell>
          <cell r="K167">
            <v>0</v>
          </cell>
        </row>
        <row r="168">
          <cell r="A168">
            <v>110754</v>
          </cell>
          <cell r="B168" t="str">
            <v>PROVISION CUOTAS FONDOS M</v>
          </cell>
          <cell r="C168">
            <v>30675737</v>
          </cell>
          <cell r="D168">
            <v>55868489</v>
          </cell>
          <cell r="E168">
            <v>0</v>
          </cell>
          <cell r="F168">
            <v>25192752</v>
          </cell>
          <cell r="G168">
            <v>0</v>
          </cell>
          <cell r="H168">
            <v>25192752</v>
          </cell>
          <cell r="I168">
            <v>0</v>
          </cell>
          <cell r="J168">
            <v>0</v>
          </cell>
          <cell r="K168">
            <v>-25192752</v>
          </cell>
        </row>
        <row r="169">
          <cell r="A169">
            <v>110755</v>
          </cell>
          <cell r="B169" t="str">
            <v>CUOTAS DE FONDOS MUTUOS A</v>
          </cell>
          <cell r="C169">
            <v>112895800</v>
          </cell>
          <cell r="D169">
            <v>0</v>
          </cell>
          <cell r="E169">
            <v>112895800</v>
          </cell>
          <cell r="F169">
            <v>0</v>
          </cell>
          <cell r="G169">
            <v>112895800</v>
          </cell>
          <cell r="H169">
            <v>0</v>
          </cell>
          <cell r="I169">
            <v>0</v>
          </cell>
          <cell r="J169">
            <v>0</v>
          </cell>
          <cell r="K169">
            <v>112895800</v>
          </cell>
        </row>
        <row r="170">
          <cell r="A170">
            <v>110801</v>
          </cell>
          <cell r="B170" t="str">
            <v>CLIENTES</v>
          </cell>
          <cell r="C170">
            <v>0</v>
          </cell>
          <cell r="D170">
            <v>0</v>
          </cell>
          <cell r="E170">
            <v>0</v>
          </cell>
          <cell r="F170">
            <v>0</v>
          </cell>
          <cell r="G170">
            <v>0</v>
          </cell>
          <cell r="H170">
            <v>0</v>
          </cell>
          <cell r="I170">
            <v>0</v>
          </cell>
          <cell r="J170">
            <v>0</v>
          </cell>
          <cell r="K170">
            <v>0</v>
          </cell>
        </row>
        <row r="171">
          <cell r="A171">
            <v>110802</v>
          </cell>
          <cell r="B171" t="str">
            <v>FACTURAS POR COBRAR TELEM</v>
          </cell>
          <cell r="C171">
            <v>495339080</v>
          </cell>
          <cell r="D171">
            <v>473838848</v>
          </cell>
          <cell r="E171">
            <v>21500232</v>
          </cell>
          <cell r="F171">
            <v>0</v>
          </cell>
          <cell r="G171">
            <v>21500232</v>
          </cell>
          <cell r="H171">
            <v>0</v>
          </cell>
          <cell r="I171">
            <v>0</v>
          </cell>
          <cell r="J171">
            <v>0</v>
          </cell>
          <cell r="K171">
            <v>21500232</v>
          </cell>
        </row>
        <row r="172">
          <cell r="A172">
            <v>110803</v>
          </cell>
          <cell r="B172" t="str">
            <v>NOTAS DE COBRANZA COLECTI</v>
          </cell>
          <cell r="C172">
            <v>0</v>
          </cell>
          <cell r="D172">
            <v>0</v>
          </cell>
          <cell r="E172">
            <v>0</v>
          </cell>
          <cell r="F172">
            <v>0</v>
          </cell>
          <cell r="G172">
            <v>0</v>
          </cell>
          <cell r="H172">
            <v>0</v>
          </cell>
          <cell r="I172">
            <v>0</v>
          </cell>
          <cell r="J172">
            <v>0</v>
          </cell>
          <cell r="K172">
            <v>0</v>
          </cell>
        </row>
        <row r="173">
          <cell r="A173">
            <v>110804</v>
          </cell>
          <cell r="B173" t="str">
            <v>SVI FACTURAS POR COBRAR</v>
          </cell>
          <cell r="C173">
            <v>41610118</v>
          </cell>
          <cell r="D173">
            <v>41610118</v>
          </cell>
          <cell r="E173">
            <v>0</v>
          </cell>
          <cell r="F173">
            <v>0</v>
          </cell>
          <cell r="G173">
            <v>0</v>
          </cell>
          <cell r="H173">
            <v>0</v>
          </cell>
          <cell r="I173">
            <v>0</v>
          </cell>
          <cell r="J173">
            <v>0</v>
          </cell>
          <cell r="K173">
            <v>0</v>
          </cell>
        </row>
        <row r="174">
          <cell r="A174">
            <v>110805</v>
          </cell>
          <cell r="B174" t="str">
            <v>SVI CTAS X COBRAR PRIMAS</v>
          </cell>
          <cell r="C174">
            <v>3483934085</v>
          </cell>
          <cell r="D174">
            <v>3308749540</v>
          </cell>
          <cell r="E174">
            <v>175184545</v>
          </cell>
          <cell r="F174">
            <v>0</v>
          </cell>
          <cell r="G174">
            <v>175184545</v>
          </cell>
          <cell r="H174">
            <v>0</v>
          </cell>
          <cell r="I174">
            <v>0</v>
          </cell>
          <cell r="J174">
            <v>0</v>
          </cell>
          <cell r="K174">
            <v>175184545</v>
          </cell>
        </row>
        <row r="175">
          <cell r="A175">
            <v>110806</v>
          </cell>
          <cell r="B175" t="str">
            <v>PRIMAS POR COBRAR DESGRAV</v>
          </cell>
          <cell r="C175">
            <v>1193147918</v>
          </cell>
          <cell r="D175">
            <v>608515662</v>
          </cell>
          <cell r="E175">
            <v>584632256</v>
          </cell>
          <cell r="F175">
            <v>0</v>
          </cell>
          <cell r="G175">
            <v>584632256</v>
          </cell>
          <cell r="H175">
            <v>0</v>
          </cell>
          <cell r="I175">
            <v>0</v>
          </cell>
          <cell r="J175">
            <v>0</v>
          </cell>
          <cell r="K175">
            <v>584632256</v>
          </cell>
        </row>
        <row r="176">
          <cell r="A176">
            <v>110807</v>
          </cell>
          <cell r="B176" t="str">
            <v>ANTICIPO DE CLIENTES</v>
          </cell>
          <cell r="C176">
            <v>0</v>
          </cell>
          <cell r="D176">
            <v>0</v>
          </cell>
          <cell r="E176">
            <v>0</v>
          </cell>
          <cell r="F176">
            <v>0</v>
          </cell>
          <cell r="G176">
            <v>0</v>
          </cell>
          <cell r="H176">
            <v>0</v>
          </cell>
          <cell r="I176">
            <v>0</v>
          </cell>
          <cell r="J176">
            <v>0</v>
          </cell>
          <cell r="K176">
            <v>0</v>
          </cell>
        </row>
        <row r="177">
          <cell r="A177">
            <v>110808</v>
          </cell>
          <cell r="B177" t="str">
            <v>SVI PROVISION PRIMAS INCO</v>
          </cell>
          <cell r="C177">
            <v>161565785</v>
          </cell>
          <cell r="D177">
            <v>303774831</v>
          </cell>
          <cell r="E177">
            <v>0</v>
          </cell>
          <cell r="F177">
            <v>142209046</v>
          </cell>
          <cell r="G177">
            <v>0</v>
          </cell>
          <cell r="H177">
            <v>142209046</v>
          </cell>
          <cell r="I177">
            <v>0</v>
          </cell>
          <cell r="J177">
            <v>0</v>
          </cell>
          <cell r="K177">
            <v>-142209046</v>
          </cell>
        </row>
        <row r="178">
          <cell r="A178">
            <v>110809</v>
          </cell>
          <cell r="B178" t="str">
            <v>PRIMAS POR COBRAR R.V.</v>
          </cell>
          <cell r="C178">
            <v>222162326771</v>
          </cell>
          <cell r="D178">
            <v>222162326771</v>
          </cell>
          <cell r="E178">
            <v>0</v>
          </cell>
          <cell r="F178">
            <v>0</v>
          </cell>
          <cell r="G178">
            <v>0</v>
          </cell>
          <cell r="H178">
            <v>0</v>
          </cell>
          <cell r="I178">
            <v>0</v>
          </cell>
          <cell r="J178">
            <v>0</v>
          </cell>
          <cell r="K178">
            <v>0</v>
          </cell>
        </row>
        <row r="179">
          <cell r="A179">
            <v>110810</v>
          </cell>
          <cell r="B179" t="str">
            <v>PRESTAMOS AUTOMATICOS EN</v>
          </cell>
          <cell r="C179">
            <v>0</v>
          </cell>
          <cell r="D179">
            <v>0</v>
          </cell>
          <cell r="E179">
            <v>0</v>
          </cell>
          <cell r="F179">
            <v>0</v>
          </cell>
          <cell r="G179">
            <v>0</v>
          </cell>
          <cell r="H179">
            <v>0</v>
          </cell>
          <cell r="I179">
            <v>0</v>
          </cell>
          <cell r="J179">
            <v>0</v>
          </cell>
          <cell r="K179">
            <v>0</v>
          </cell>
        </row>
        <row r="180">
          <cell r="A180">
            <v>110812</v>
          </cell>
          <cell r="B180" t="str">
            <v>PRIMAS POR COBRAR MASIVOS</v>
          </cell>
          <cell r="C180">
            <v>2623248891</v>
          </cell>
          <cell r="D180">
            <v>1192894553</v>
          </cell>
          <cell r="E180">
            <v>1430354338</v>
          </cell>
          <cell r="F180">
            <v>0</v>
          </cell>
          <cell r="G180">
            <v>1430354338</v>
          </cell>
          <cell r="H180">
            <v>0</v>
          </cell>
          <cell r="I180">
            <v>0</v>
          </cell>
          <cell r="J180">
            <v>0</v>
          </cell>
          <cell r="K180">
            <v>1430354338</v>
          </cell>
        </row>
        <row r="181">
          <cell r="A181">
            <v>110813</v>
          </cell>
          <cell r="B181" t="str">
            <v>SVI RECAUDACION FACTURAS</v>
          </cell>
          <cell r="C181">
            <v>18141162</v>
          </cell>
          <cell r="D181">
            <v>18141162</v>
          </cell>
          <cell r="E181">
            <v>0</v>
          </cell>
          <cell r="F181">
            <v>0</v>
          </cell>
          <cell r="G181">
            <v>0</v>
          </cell>
          <cell r="H181">
            <v>0</v>
          </cell>
          <cell r="I181">
            <v>0</v>
          </cell>
          <cell r="J181">
            <v>0</v>
          </cell>
          <cell r="K181">
            <v>0</v>
          </cell>
        </row>
        <row r="182">
          <cell r="A182">
            <v>110814</v>
          </cell>
          <cell r="B182" t="str">
            <v>PRIMAS AFP</v>
          </cell>
          <cell r="C182">
            <v>21250831</v>
          </cell>
          <cell r="D182">
            <v>9961251</v>
          </cell>
          <cell r="E182">
            <v>11289580</v>
          </cell>
          <cell r="F182">
            <v>0</v>
          </cell>
          <cell r="G182">
            <v>11289580</v>
          </cell>
          <cell r="H182">
            <v>0</v>
          </cell>
          <cell r="I182">
            <v>0</v>
          </cell>
          <cell r="J182">
            <v>0</v>
          </cell>
          <cell r="K182">
            <v>11289580</v>
          </cell>
        </row>
        <row r="183">
          <cell r="A183">
            <v>110815</v>
          </cell>
          <cell r="B183" t="str">
            <v>SVI RECAUDACION PRIMAS</v>
          </cell>
          <cell r="C183">
            <v>2755148979</v>
          </cell>
          <cell r="D183">
            <v>2755173272</v>
          </cell>
          <cell r="E183">
            <v>0</v>
          </cell>
          <cell r="F183">
            <v>24293</v>
          </cell>
          <cell r="G183">
            <v>0</v>
          </cell>
          <cell r="H183">
            <v>24293</v>
          </cell>
          <cell r="I183">
            <v>0</v>
          </cell>
          <cell r="J183">
            <v>0</v>
          </cell>
          <cell r="K183">
            <v>-24293</v>
          </cell>
        </row>
        <row r="184">
          <cell r="A184">
            <v>110816</v>
          </cell>
          <cell r="B184" t="str">
            <v>PRIMAS POR COBRAR COL. DE</v>
          </cell>
          <cell r="C184">
            <v>0</v>
          </cell>
          <cell r="D184">
            <v>0</v>
          </cell>
          <cell r="E184">
            <v>0</v>
          </cell>
          <cell r="F184">
            <v>0</v>
          </cell>
          <cell r="G184">
            <v>0</v>
          </cell>
          <cell r="H184">
            <v>0</v>
          </cell>
          <cell r="I184">
            <v>0</v>
          </cell>
          <cell r="J184">
            <v>0</v>
          </cell>
          <cell r="K184">
            <v>0</v>
          </cell>
        </row>
        <row r="185">
          <cell r="A185">
            <v>110817</v>
          </cell>
          <cell r="B185" t="str">
            <v>PRIMAS POR COBRAR CORPORA</v>
          </cell>
          <cell r="C185">
            <v>0</v>
          </cell>
          <cell r="D185">
            <v>0</v>
          </cell>
          <cell r="E185">
            <v>0</v>
          </cell>
          <cell r="F185">
            <v>0</v>
          </cell>
          <cell r="G185">
            <v>0</v>
          </cell>
          <cell r="H185">
            <v>0</v>
          </cell>
          <cell r="I185">
            <v>0</v>
          </cell>
          <cell r="J185">
            <v>0</v>
          </cell>
          <cell r="K185">
            <v>0</v>
          </cell>
        </row>
        <row r="186">
          <cell r="A186">
            <v>110818</v>
          </cell>
          <cell r="B186" t="str">
            <v>PRIMAS POR COBRAR R.V. PR</v>
          </cell>
          <cell r="C186">
            <v>1155280921</v>
          </cell>
          <cell r="D186">
            <v>1155280921</v>
          </cell>
          <cell r="E186">
            <v>0</v>
          </cell>
          <cell r="F186">
            <v>0</v>
          </cell>
          <cell r="G186">
            <v>0</v>
          </cell>
          <cell r="H186">
            <v>0</v>
          </cell>
          <cell r="I186">
            <v>0</v>
          </cell>
          <cell r="J186">
            <v>0</v>
          </cell>
          <cell r="K186">
            <v>0</v>
          </cell>
        </row>
        <row r="187">
          <cell r="A187">
            <v>110819</v>
          </cell>
          <cell r="B187" t="str">
            <v>PRIMAS COLECTIVAS POR APL</v>
          </cell>
          <cell r="C187">
            <v>0</v>
          </cell>
          <cell r="D187">
            <v>0</v>
          </cell>
          <cell r="E187">
            <v>0</v>
          </cell>
          <cell r="F187">
            <v>0</v>
          </cell>
          <cell r="G187">
            <v>0</v>
          </cell>
          <cell r="H187">
            <v>0</v>
          </cell>
          <cell r="I187">
            <v>0</v>
          </cell>
          <cell r="J187">
            <v>0</v>
          </cell>
          <cell r="K187">
            <v>0</v>
          </cell>
        </row>
        <row r="188">
          <cell r="A188">
            <v>110820</v>
          </cell>
          <cell r="B188" t="str">
            <v>NOTAS DE PRODUCCIÓN COLEC</v>
          </cell>
          <cell r="C188">
            <v>4380940594</v>
          </cell>
          <cell r="D188">
            <v>3849291902</v>
          </cell>
          <cell r="E188">
            <v>531648692</v>
          </cell>
          <cell r="F188">
            <v>0</v>
          </cell>
          <cell r="G188">
            <v>531648692</v>
          </cell>
          <cell r="H188">
            <v>0</v>
          </cell>
          <cell r="I188">
            <v>0</v>
          </cell>
          <cell r="J188">
            <v>0</v>
          </cell>
          <cell r="K188">
            <v>531648692</v>
          </cell>
        </row>
        <row r="189">
          <cell r="A189">
            <v>110821</v>
          </cell>
          <cell r="B189" t="str">
            <v>NUEVA FACTURAS POR COBRAR</v>
          </cell>
          <cell r="C189">
            <v>13000595775</v>
          </cell>
          <cell r="D189">
            <v>6354614030</v>
          </cell>
          <cell r="E189">
            <v>6645981745</v>
          </cell>
          <cell r="F189">
            <v>0</v>
          </cell>
          <cell r="G189">
            <v>6645981745</v>
          </cell>
          <cell r="H189">
            <v>0</v>
          </cell>
          <cell r="I189">
            <v>0</v>
          </cell>
          <cell r="J189">
            <v>0</v>
          </cell>
          <cell r="K189">
            <v>6645981745</v>
          </cell>
        </row>
        <row r="190">
          <cell r="A190">
            <v>110822</v>
          </cell>
          <cell r="B190" t="str">
            <v>NUEVAS NOTAS DE COBRANZA</v>
          </cell>
          <cell r="C190">
            <v>68263109</v>
          </cell>
          <cell r="D190">
            <v>68263109</v>
          </cell>
          <cell r="E190">
            <v>0</v>
          </cell>
          <cell r="F190">
            <v>0</v>
          </cell>
          <cell r="G190">
            <v>0</v>
          </cell>
          <cell r="H190">
            <v>0</v>
          </cell>
          <cell r="I190">
            <v>0</v>
          </cell>
          <cell r="J190">
            <v>0</v>
          </cell>
          <cell r="K190">
            <v>0</v>
          </cell>
        </row>
        <row r="191">
          <cell r="A191">
            <v>110825</v>
          </cell>
          <cell r="B191" t="str">
            <v>SVI RECAUDACION TARJETA C</v>
          </cell>
          <cell r="C191">
            <v>16889179</v>
          </cell>
          <cell r="D191">
            <v>20873119</v>
          </cell>
          <cell r="E191">
            <v>0</v>
          </cell>
          <cell r="F191">
            <v>3983940</v>
          </cell>
          <cell r="G191">
            <v>0</v>
          </cell>
          <cell r="H191">
            <v>3983940</v>
          </cell>
          <cell r="I191">
            <v>0</v>
          </cell>
          <cell r="J191">
            <v>0</v>
          </cell>
          <cell r="K191">
            <v>-3983940</v>
          </cell>
        </row>
        <row r="192">
          <cell r="A192">
            <v>110827</v>
          </cell>
          <cell r="B192" t="str">
            <v>SVI FACTURAS POR COBRAR A</v>
          </cell>
          <cell r="C192">
            <v>132287076</v>
          </cell>
          <cell r="D192">
            <v>132287076</v>
          </cell>
          <cell r="E192">
            <v>0</v>
          </cell>
          <cell r="F192">
            <v>0</v>
          </cell>
          <cell r="G192">
            <v>0</v>
          </cell>
          <cell r="H192">
            <v>0</v>
          </cell>
          <cell r="I192">
            <v>0</v>
          </cell>
          <cell r="J192">
            <v>0</v>
          </cell>
          <cell r="K192">
            <v>0</v>
          </cell>
        </row>
        <row r="193">
          <cell r="A193">
            <v>110829</v>
          </cell>
          <cell r="B193" t="str">
            <v>SVI PROVISION DEUDORES IN</v>
          </cell>
          <cell r="C193">
            <v>84422458</v>
          </cell>
          <cell r="D193">
            <v>177557051</v>
          </cell>
          <cell r="E193">
            <v>0</v>
          </cell>
          <cell r="F193">
            <v>93134593</v>
          </cell>
          <cell r="G193">
            <v>0</v>
          </cell>
          <cell r="H193">
            <v>93134593</v>
          </cell>
          <cell r="I193">
            <v>0</v>
          </cell>
          <cell r="J193">
            <v>0</v>
          </cell>
          <cell r="K193">
            <v>-93134593</v>
          </cell>
        </row>
        <row r="194">
          <cell r="A194">
            <v>110832</v>
          </cell>
          <cell r="B194" t="str">
            <v>SVI RECAUDACION FACTURAS</v>
          </cell>
          <cell r="C194">
            <v>17389772</v>
          </cell>
          <cell r="D194">
            <v>17389772</v>
          </cell>
          <cell r="E194">
            <v>0</v>
          </cell>
          <cell r="F194">
            <v>0</v>
          </cell>
          <cell r="G194">
            <v>0</v>
          </cell>
          <cell r="H194">
            <v>0</v>
          </cell>
          <cell r="I194">
            <v>0</v>
          </cell>
          <cell r="J194">
            <v>0</v>
          </cell>
          <cell r="K194">
            <v>0</v>
          </cell>
        </row>
        <row r="195">
          <cell r="A195">
            <v>110834</v>
          </cell>
          <cell r="B195" t="str">
            <v>PRIMA POR COBRAR SIS</v>
          </cell>
          <cell r="C195">
            <v>1323974205</v>
          </cell>
          <cell r="D195">
            <v>0</v>
          </cell>
          <cell r="E195">
            <v>1323974205</v>
          </cell>
          <cell r="F195">
            <v>0</v>
          </cell>
          <cell r="G195">
            <v>1323974205</v>
          </cell>
          <cell r="H195">
            <v>0</v>
          </cell>
          <cell r="I195">
            <v>0</v>
          </cell>
          <cell r="J195">
            <v>0</v>
          </cell>
          <cell r="K195">
            <v>1323974205</v>
          </cell>
        </row>
        <row r="196">
          <cell r="A196">
            <v>110840</v>
          </cell>
          <cell r="B196" t="str">
            <v>RECIBOS NO APLICADOS</v>
          </cell>
          <cell r="C196">
            <v>5087101487386</v>
          </cell>
          <cell r="D196">
            <v>5087117790199</v>
          </cell>
          <cell r="E196">
            <v>0</v>
          </cell>
          <cell r="F196">
            <v>16302813</v>
          </cell>
          <cell r="G196">
            <v>0</v>
          </cell>
          <cell r="H196">
            <v>16302813</v>
          </cell>
          <cell r="I196">
            <v>0</v>
          </cell>
          <cell r="J196">
            <v>0</v>
          </cell>
          <cell r="K196">
            <v>-16302813</v>
          </cell>
        </row>
        <row r="197">
          <cell r="A197">
            <v>110841</v>
          </cell>
          <cell r="B197" t="str">
            <v>RECIBOS NO IDENTIFICADOS</v>
          </cell>
          <cell r="C197">
            <v>353382309</v>
          </cell>
          <cell r="D197">
            <v>364482425</v>
          </cell>
          <cell r="E197">
            <v>0</v>
          </cell>
          <cell r="F197">
            <v>11100116</v>
          </cell>
          <cell r="G197">
            <v>0</v>
          </cell>
          <cell r="H197">
            <v>11100116</v>
          </cell>
          <cell r="I197">
            <v>0</v>
          </cell>
          <cell r="J197">
            <v>0</v>
          </cell>
          <cell r="K197">
            <v>-11100116</v>
          </cell>
        </row>
        <row r="198">
          <cell r="A198">
            <v>110842</v>
          </cell>
          <cell r="B198" t="str">
            <v>DIF. TIPO DE CAMBIO</v>
          </cell>
          <cell r="C198">
            <v>1662939726</v>
          </cell>
          <cell r="D198">
            <v>1662939726</v>
          </cell>
          <cell r="E198">
            <v>0</v>
          </cell>
          <cell r="F198">
            <v>0</v>
          </cell>
          <cell r="G198">
            <v>0</v>
          </cell>
          <cell r="H198">
            <v>0</v>
          </cell>
          <cell r="I198">
            <v>0</v>
          </cell>
          <cell r="J198">
            <v>0</v>
          </cell>
          <cell r="K198">
            <v>0</v>
          </cell>
        </row>
        <row r="199">
          <cell r="A199">
            <v>110843</v>
          </cell>
          <cell r="B199" t="str">
            <v>FACTURAS DESCONTADAS</v>
          </cell>
          <cell r="C199">
            <v>930230679</v>
          </cell>
          <cell r="D199">
            <v>937083101</v>
          </cell>
          <cell r="E199">
            <v>0</v>
          </cell>
          <cell r="F199">
            <v>6852422</v>
          </cell>
          <cell r="G199">
            <v>0</v>
          </cell>
          <cell r="H199">
            <v>6852422</v>
          </cell>
          <cell r="I199">
            <v>0</v>
          </cell>
          <cell r="J199">
            <v>0</v>
          </cell>
          <cell r="K199">
            <v>-6852422</v>
          </cell>
        </row>
        <row r="200">
          <cell r="A200">
            <v>110845</v>
          </cell>
          <cell r="B200" t="str">
            <v>SVI RECAUDACION VENTA CUO</v>
          </cell>
          <cell r="C200">
            <v>793300159</v>
          </cell>
          <cell r="D200">
            <v>793300159</v>
          </cell>
          <cell r="E200">
            <v>0</v>
          </cell>
          <cell r="F200">
            <v>0</v>
          </cell>
          <cell r="G200">
            <v>0</v>
          </cell>
          <cell r="H200">
            <v>0</v>
          </cell>
          <cell r="I200">
            <v>0</v>
          </cell>
          <cell r="J200">
            <v>0</v>
          </cell>
          <cell r="K200">
            <v>0</v>
          </cell>
        </row>
        <row r="201">
          <cell r="A201">
            <v>110846</v>
          </cell>
          <cell r="B201" t="str">
            <v>RECIBOS NO IDENTIFICADOS</v>
          </cell>
          <cell r="C201">
            <v>0</v>
          </cell>
          <cell r="D201">
            <v>94458</v>
          </cell>
          <cell r="E201">
            <v>0</v>
          </cell>
          <cell r="F201">
            <v>94458</v>
          </cell>
          <cell r="G201">
            <v>0</v>
          </cell>
          <cell r="H201">
            <v>94458</v>
          </cell>
          <cell r="I201">
            <v>0</v>
          </cell>
          <cell r="J201">
            <v>0</v>
          </cell>
          <cell r="K201">
            <v>-94458</v>
          </cell>
        </row>
        <row r="202">
          <cell r="A202">
            <v>110849</v>
          </cell>
          <cell r="B202" t="str">
            <v>SVI CONTROL PRIMERAS PRIM</v>
          </cell>
          <cell r="C202">
            <v>0</v>
          </cell>
          <cell r="D202">
            <v>0</v>
          </cell>
          <cell r="E202">
            <v>0</v>
          </cell>
          <cell r="F202">
            <v>0</v>
          </cell>
          <cell r="G202">
            <v>0</v>
          </cell>
          <cell r="H202">
            <v>0</v>
          </cell>
          <cell r="I202">
            <v>0</v>
          </cell>
          <cell r="J202">
            <v>0</v>
          </cell>
          <cell r="K202">
            <v>0</v>
          </cell>
        </row>
        <row r="203">
          <cell r="A203">
            <v>110851</v>
          </cell>
          <cell r="B203" t="str">
            <v>RECIBOS NO APLICADOS RV</v>
          </cell>
          <cell r="C203">
            <v>201776773</v>
          </cell>
          <cell r="D203">
            <v>201776773</v>
          </cell>
          <cell r="E203">
            <v>0</v>
          </cell>
          <cell r="F203">
            <v>0</v>
          </cell>
          <cell r="G203">
            <v>0</v>
          </cell>
          <cell r="H203">
            <v>0</v>
          </cell>
          <cell r="I203">
            <v>0</v>
          </cell>
          <cell r="J203">
            <v>0</v>
          </cell>
          <cell r="K203">
            <v>0</v>
          </cell>
        </row>
        <row r="204">
          <cell r="A204">
            <v>110852</v>
          </cell>
          <cell r="B204" t="str">
            <v>RENTA VITALICIA POR DISTR</v>
          </cell>
          <cell r="C204">
            <v>9885498262</v>
          </cell>
          <cell r="D204">
            <v>9885498262</v>
          </cell>
          <cell r="E204">
            <v>0</v>
          </cell>
          <cell r="F204">
            <v>0</v>
          </cell>
          <cell r="G204">
            <v>0</v>
          </cell>
          <cell r="H204">
            <v>0</v>
          </cell>
          <cell r="I204">
            <v>0</v>
          </cell>
          <cell r="J204">
            <v>0</v>
          </cell>
          <cell r="K204">
            <v>0</v>
          </cell>
        </row>
        <row r="205">
          <cell r="A205">
            <v>110853</v>
          </cell>
          <cell r="B205" t="str">
            <v>RENTA VITALICIA POR DISTR</v>
          </cell>
          <cell r="C205">
            <v>201776773</v>
          </cell>
          <cell r="D205">
            <v>201776773</v>
          </cell>
          <cell r="E205">
            <v>0</v>
          </cell>
          <cell r="F205">
            <v>0</v>
          </cell>
          <cell r="G205">
            <v>0</v>
          </cell>
          <cell r="H205">
            <v>0</v>
          </cell>
          <cell r="I205">
            <v>0</v>
          </cell>
          <cell r="J205">
            <v>0</v>
          </cell>
          <cell r="K205">
            <v>0</v>
          </cell>
        </row>
        <row r="206">
          <cell r="A206">
            <v>110869</v>
          </cell>
          <cell r="B206" t="str">
            <v>RECIBOS NO APLICADOS INMO</v>
          </cell>
          <cell r="C206">
            <v>2783767143</v>
          </cell>
          <cell r="D206">
            <v>2783767143</v>
          </cell>
          <cell r="E206">
            <v>0</v>
          </cell>
          <cell r="F206">
            <v>0</v>
          </cell>
          <cell r="G206">
            <v>0</v>
          </cell>
          <cell r="H206">
            <v>0</v>
          </cell>
          <cell r="I206">
            <v>0</v>
          </cell>
          <cell r="J206">
            <v>0</v>
          </cell>
          <cell r="K206">
            <v>0</v>
          </cell>
        </row>
        <row r="207">
          <cell r="A207">
            <v>110870</v>
          </cell>
          <cell r="B207" t="str">
            <v>RECIBOS NO IDENTIFICADOS</v>
          </cell>
          <cell r="C207">
            <v>0</v>
          </cell>
          <cell r="D207">
            <v>0</v>
          </cell>
          <cell r="E207">
            <v>0</v>
          </cell>
          <cell r="F207">
            <v>0</v>
          </cell>
          <cell r="G207">
            <v>0</v>
          </cell>
          <cell r="H207">
            <v>0</v>
          </cell>
          <cell r="I207">
            <v>0</v>
          </cell>
          <cell r="J207">
            <v>0</v>
          </cell>
          <cell r="K207">
            <v>0</v>
          </cell>
        </row>
        <row r="208">
          <cell r="A208">
            <v>110901</v>
          </cell>
          <cell r="B208" t="str">
            <v>DEUDORES SINIESTROS</v>
          </cell>
          <cell r="C208">
            <v>833086568</v>
          </cell>
          <cell r="D208">
            <v>1495202</v>
          </cell>
          <cell r="E208">
            <v>831591366</v>
          </cell>
          <cell r="F208">
            <v>0</v>
          </cell>
          <cell r="G208">
            <v>831591366</v>
          </cell>
          <cell r="H208">
            <v>0</v>
          </cell>
          <cell r="I208">
            <v>0</v>
          </cell>
          <cell r="J208">
            <v>0</v>
          </cell>
          <cell r="K208">
            <v>831591366</v>
          </cell>
        </row>
        <row r="209">
          <cell r="A209">
            <v>111001</v>
          </cell>
          <cell r="B209" t="str">
            <v>SINIESTROS POR COBRAR</v>
          </cell>
          <cell r="C209">
            <v>1640524233</v>
          </cell>
          <cell r="D209">
            <v>347593580</v>
          </cell>
          <cell r="E209">
            <v>1292930653</v>
          </cell>
          <cell r="F209">
            <v>0</v>
          </cell>
          <cell r="G209">
            <v>1292930653</v>
          </cell>
          <cell r="H209">
            <v>0</v>
          </cell>
          <cell r="I209">
            <v>0</v>
          </cell>
          <cell r="J209">
            <v>0</v>
          </cell>
          <cell r="K209">
            <v>1292930653</v>
          </cell>
        </row>
        <row r="210">
          <cell r="A210">
            <v>111002</v>
          </cell>
          <cell r="B210" t="str">
            <v>REASEGUROS POR COBRAR</v>
          </cell>
          <cell r="C210">
            <v>453514293</v>
          </cell>
          <cell r="D210">
            <v>966060</v>
          </cell>
          <cell r="E210">
            <v>452548233</v>
          </cell>
          <cell r="F210">
            <v>0</v>
          </cell>
          <cell r="G210">
            <v>452548233</v>
          </cell>
          <cell r="H210">
            <v>0</v>
          </cell>
          <cell r="I210">
            <v>0</v>
          </cell>
          <cell r="J210">
            <v>0</v>
          </cell>
          <cell r="K210">
            <v>452548233</v>
          </cell>
        </row>
        <row r="211">
          <cell r="A211">
            <v>111003</v>
          </cell>
          <cell r="B211" t="str">
            <v>PROVISION SINIESTROS CEDI</v>
          </cell>
          <cell r="C211">
            <v>0</v>
          </cell>
          <cell r="D211">
            <v>0</v>
          </cell>
          <cell r="E211">
            <v>0</v>
          </cell>
          <cell r="F211">
            <v>0</v>
          </cell>
          <cell r="G211">
            <v>0</v>
          </cell>
          <cell r="H211">
            <v>0</v>
          </cell>
          <cell r="I211">
            <v>0</v>
          </cell>
          <cell r="J211">
            <v>0</v>
          </cell>
          <cell r="K211">
            <v>0</v>
          </cell>
        </row>
        <row r="212">
          <cell r="A212">
            <v>111101</v>
          </cell>
          <cell r="B212" t="str">
            <v>PROV. PART. REASEGUROS</v>
          </cell>
          <cell r="C212">
            <v>814353031</v>
          </cell>
          <cell r="D212">
            <v>477492737</v>
          </cell>
          <cell r="E212">
            <v>336860294</v>
          </cell>
          <cell r="F212">
            <v>0</v>
          </cell>
          <cell r="G212">
            <v>336860294</v>
          </cell>
          <cell r="H212">
            <v>0</v>
          </cell>
          <cell r="I212">
            <v>0</v>
          </cell>
          <cell r="J212">
            <v>0</v>
          </cell>
          <cell r="K212">
            <v>336860294</v>
          </cell>
        </row>
        <row r="213">
          <cell r="A213">
            <v>111102</v>
          </cell>
          <cell r="B213" t="str">
            <v>PROVISION PARTICIPACION I</v>
          </cell>
          <cell r="C213">
            <v>200844</v>
          </cell>
          <cell r="D213">
            <v>94285494</v>
          </cell>
          <cell r="E213">
            <v>0</v>
          </cell>
          <cell r="F213">
            <v>94084650</v>
          </cell>
          <cell r="G213">
            <v>0</v>
          </cell>
          <cell r="H213">
            <v>94084650</v>
          </cell>
          <cell r="I213">
            <v>0</v>
          </cell>
          <cell r="J213">
            <v>0</v>
          </cell>
          <cell r="K213">
            <v>-94084650</v>
          </cell>
        </row>
        <row r="214">
          <cell r="A214">
            <v>111103</v>
          </cell>
          <cell r="B214" t="str">
            <v>PARTICIPACIÓN REASEG. RES</v>
          </cell>
          <cell r="C214">
            <v>177090334</v>
          </cell>
          <cell r="D214">
            <v>1363068</v>
          </cell>
          <cell r="E214">
            <v>175727266</v>
          </cell>
          <cell r="F214">
            <v>0</v>
          </cell>
          <cell r="G214">
            <v>175727266</v>
          </cell>
          <cell r="H214">
            <v>0</v>
          </cell>
          <cell r="I214">
            <v>0</v>
          </cell>
          <cell r="J214">
            <v>0</v>
          </cell>
          <cell r="K214">
            <v>175727266</v>
          </cell>
        </row>
        <row r="215">
          <cell r="A215">
            <v>111104</v>
          </cell>
          <cell r="B215" t="str">
            <v>PARTICIPACIÓN REASEG. RES</v>
          </cell>
          <cell r="C215">
            <v>6649758752</v>
          </cell>
          <cell r="D215">
            <v>14098577</v>
          </cell>
          <cell r="E215">
            <v>6635660175</v>
          </cell>
          <cell r="F215">
            <v>0</v>
          </cell>
          <cell r="G215">
            <v>6635660175</v>
          </cell>
          <cell r="H215">
            <v>0</v>
          </cell>
          <cell r="I215">
            <v>0</v>
          </cell>
          <cell r="J215">
            <v>0</v>
          </cell>
          <cell r="K215">
            <v>6635660175</v>
          </cell>
        </row>
        <row r="216">
          <cell r="A216">
            <v>111106</v>
          </cell>
          <cell r="B216" t="str">
            <v>PARTICIPACIÓN REASEG. RES</v>
          </cell>
          <cell r="C216">
            <v>537410326</v>
          </cell>
          <cell r="D216">
            <v>3046571</v>
          </cell>
          <cell r="E216">
            <v>534363755</v>
          </cell>
          <cell r="F216">
            <v>0</v>
          </cell>
          <cell r="G216">
            <v>534363755</v>
          </cell>
          <cell r="H216">
            <v>0</v>
          </cell>
          <cell r="I216">
            <v>0</v>
          </cell>
          <cell r="J216">
            <v>0</v>
          </cell>
          <cell r="K216">
            <v>534363755</v>
          </cell>
        </row>
        <row r="217">
          <cell r="A217">
            <v>111108</v>
          </cell>
          <cell r="B217" t="str">
            <v>PARTICIPACIÓN REASEG. RES</v>
          </cell>
          <cell r="C217">
            <v>113461493</v>
          </cell>
          <cell r="D217">
            <v>5362532</v>
          </cell>
          <cell r="E217">
            <v>108098961</v>
          </cell>
          <cell r="F217">
            <v>0</v>
          </cell>
          <cell r="G217">
            <v>108098961</v>
          </cell>
          <cell r="H217">
            <v>0</v>
          </cell>
          <cell r="I217">
            <v>0</v>
          </cell>
          <cell r="J217">
            <v>0</v>
          </cell>
          <cell r="K217">
            <v>108098961</v>
          </cell>
        </row>
        <row r="218">
          <cell r="A218">
            <v>111201</v>
          </cell>
          <cell r="B218" t="str">
            <v>DOCUMENTOS POR COBRAR</v>
          </cell>
          <cell r="C218">
            <v>0</v>
          </cell>
          <cell r="D218">
            <v>0</v>
          </cell>
          <cell r="E218">
            <v>0</v>
          </cell>
          <cell r="F218">
            <v>0</v>
          </cell>
          <cell r="G218">
            <v>0</v>
          </cell>
          <cell r="H218">
            <v>0</v>
          </cell>
          <cell r="I218">
            <v>0</v>
          </cell>
          <cell r="J218">
            <v>0</v>
          </cell>
          <cell r="K218">
            <v>0</v>
          </cell>
        </row>
        <row r="219">
          <cell r="A219">
            <v>111202</v>
          </cell>
          <cell r="B219" t="str">
            <v>CHEQUES GARANTIA REFINANC</v>
          </cell>
          <cell r="C219">
            <v>0</v>
          </cell>
          <cell r="D219">
            <v>0</v>
          </cell>
          <cell r="E219">
            <v>0</v>
          </cell>
          <cell r="F219">
            <v>0</v>
          </cell>
          <cell r="G219">
            <v>0</v>
          </cell>
          <cell r="H219">
            <v>0</v>
          </cell>
          <cell r="I219">
            <v>0</v>
          </cell>
          <cell r="J219">
            <v>0</v>
          </cell>
          <cell r="K219">
            <v>0</v>
          </cell>
        </row>
        <row r="220">
          <cell r="A220">
            <v>111203</v>
          </cell>
          <cell r="B220" t="str">
            <v>SEGUROS POR COBRAR</v>
          </cell>
          <cell r="C220">
            <v>167541993</v>
          </cell>
          <cell r="D220">
            <v>78722455</v>
          </cell>
          <cell r="E220">
            <v>88819538</v>
          </cell>
          <cell r="F220">
            <v>0</v>
          </cell>
          <cell r="G220">
            <v>88819538</v>
          </cell>
          <cell r="H220">
            <v>0</v>
          </cell>
          <cell r="I220">
            <v>0</v>
          </cell>
          <cell r="J220">
            <v>0</v>
          </cell>
          <cell r="K220">
            <v>88819538</v>
          </cell>
        </row>
        <row r="221">
          <cell r="A221">
            <v>111205</v>
          </cell>
          <cell r="B221" t="str">
            <v>DOCUMENTOS INCOBRABLES</v>
          </cell>
          <cell r="C221">
            <v>129725440</v>
          </cell>
          <cell r="D221">
            <v>39139855</v>
          </cell>
          <cell r="E221">
            <v>90585585</v>
          </cell>
          <cell r="F221">
            <v>0</v>
          </cell>
          <cell r="G221">
            <v>90585585</v>
          </cell>
          <cell r="H221">
            <v>0</v>
          </cell>
          <cell r="I221">
            <v>0</v>
          </cell>
          <cell r="J221">
            <v>0</v>
          </cell>
          <cell r="K221">
            <v>90585585</v>
          </cell>
        </row>
        <row r="222">
          <cell r="A222">
            <v>111206</v>
          </cell>
          <cell r="B222" t="str">
            <v>CHEQUE EN CARTERA RUB</v>
          </cell>
          <cell r="C222">
            <v>1251841</v>
          </cell>
          <cell r="D222">
            <v>1251841</v>
          </cell>
          <cell r="E222">
            <v>0</v>
          </cell>
          <cell r="F222">
            <v>0</v>
          </cell>
          <cell r="G222">
            <v>0</v>
          </cell>
          <cell r="H222">
            <v>0</v>
          </cell>
          <cell r="I222">
            <v>0</v>
          </cell>
          <cell r="J222">
            <v>0</v>
          </cell>
          <cell r="K222">
            <v>0</v>
          </cell>
        </row>
        <row r="223">
          <cell r="A223">
            <v>111207</v>
          </cell>
          <cell r="B223" t="str">
            <v>CHEQUE PROTESTADOS EN CAR</v>
          </cell>
          <cell r="C223">
            <v>7740428</v>
          </cell>
          <cell r="D223">
            <v>1894231</v>
          </cell>
          <cell r="E223">
            <v>5846197</v>
          </cell>
          <cell r="F223">
            <v>0</v>
          </cell>
          <cell r="G223">
            <v>5846197</v>
          </cell>
          <cell r="H223">
            <v>0</v>
          </cell>
          <cell r="I223">
            <v>0</v>
          </cell>
          <cell r="J223">
            <v>0</v>
          </cell>
          <cell r="K223">
            <v>5846197</v>
          </cell>
        </row>
        <row r="224">
          <cell r="A224">
            <v>111208</v>
          </cell>
          <cell r="B224" t="str">
            <v>DOCUMENTOS EN COBRANZA JU</v>
          </cell>
          <cell r="C224">
            <v>49003585</v>
          </cell>
          <cell r="D224">
            <v>0</v>
          </cell>
          <cell r="E224">
            <v>49003585</v>
          </cell>
          <cell r="F224">
            <v>0</v>
          </cell>
          <cell r="G224">
            <v>49003585</v>
          </cell>
          <cell r="H224">
            <v>0</v>
          </cell>
          <cell r="I224">
            <v>0</v>
          </cell>
          <cell r="J224">
            <v>0</v>
          </cell>
          <cell r="K224">
            <v>49003585</v>
          </cell>
        </row>
        <row r="225">
          <cell r="A225">
            <v>111209</v>
          </cell>
          <cell r="B225" t="str">
            <v>DOCUMENTOS INCOB. BRUSSA</v>
          </cell>
          <cell r="C225">
            <v>17717670</v>
          </cell>
          <cell r="D225">
            <v>0</v>
          </cell>
          <cell r="E225">
            <v>17717670</v>
          </cell>
          <cell r="F225">
            <v>0</v>
          </cell>
          <cell r="G225">
            <v>17717670</v>
          </cell>
          <cell r="H225">
            <v>0</v>
          </cell>
          <cell r="I225">
            <v>0</v>
          </cell>
          <cell r="J225">
            <v>0</v>
          </cell>
          <cell r="K225">
            <v>17717670</v>
          </cell>
        </row>
        <row r="226">
          <cell r="A226">
            <v>111213</v>
          </cell>
          <cell r="B226" t="str">
            <v>PROVISION ARRIENDOS INCOB</v>
          </cell>
          <cell r="C226">
            <v>0</v>
          </cell>
          <cell r="D226">
            <v>0</v>
          </cell>
          <cell r="E226">
            <v>0</v>
          </cell>
          <cell r="F226">
            <v>0</v>
          </cell>
          <cell r="G226">
            <v>0</v>
          </cell>
          <cell r="H226">
            <v>0</v>
          </cell>
          <cell r="I226">
            <v>0</v>
          </cell>
          <cell r="J226">
            <v>0</v>
          </cell>
          <cell r="K226">
            <v>0</v>
          </cell>
        </row>
        <row r="227">
          <cell r="A227">
            <v>111214</v>
          </cell>
          <cell r="B227" t="str">
            <v>DETERIORO SEGUROS POR COB</v>
          </cell>
          <cell r="C227">
            <v>0</v>
          </cell>
          <cell r="D227">
            <v>50147106</v>
          </cell>
          <cell r="E227">
            <v>0</v>
          </cell>
          <cell r="F227">
            <v>50147106</v>
          </cell>
          <cell r="G227">
            <v>0</v>
          </cell>
          <cell r="H227">
            <v>50147106</v>
          </cell>
          <cell r="I227">
            <v>0</v>
          </cell>
          <cell r="J227">
            <v>0</v>
          </cell>
          <cell r="K227">
            <v>-50147106</v>
          </cell>
        </row>
        <row r="228">
          <cell r="A228">
            <v>111301</v>
          </cell>
          <cell r="B228" t="str">
            <v>ASIGNACION FAMILIAR</v>
          </cell>
          <cell r="C228">
            <v>230659087</v>
          </cell>
          <cell r="D228">
            <v>49121666</v>
          </cell>
          <cell r="E228">
            <v>181537421</v>
          </cell>
          <cell r="F228">
            <v>0</v>
          </cell>
          <cell r="G228">
            <v>181537421</v>
          </cell>
          <cell r="H228">
            <v>0</v>
          </cell>
          <cell r="I228">
            <v>0</v>
          </cell>
          <cell r="J228">
            <v>0</v>
          </cell>
          <cell r="K228">
            <v>181537421</v>
          </cell>
        </row>
        <row r="229">
          <cell r="A229">
            <v>111302</v>
          </cell>
          <cell r="B229" t="str">
            <v>CTA CTE ASIGNACION FAMILI</v>
          </cell>
          <cell r="C229">
            <v>228350837</v>
          </cell>
          <cell r="D229">
            <v>0</v>
          </cell>
          <cell r="E229">
            <v>228350837</v>
          </cell>
          <cell r="F229">
            <v>0</v>
          </cell>
          <cell r="G229">
            <v>228350837</v>
          </cell>
          <cell r="H229">
            <v>0</v>
          </cell>
          <cell r="I229">
            <v>0</v>
          </cell>
          <cell r="J229">
            <v>0</v>
          </cell>
          <cell r="K229">
            <v>228350837</v>
          </cell>
        </row>
        <row r="230">
          <cell r="A230">
            <v>111303</v>
          </cell>
          <cell r="B230" t="str">
            <v>GARANTIA ESTATAL POR COBR</v>
          </cell>
          <cell r="C230">
            <v>126286395</v>
          </cell>
          <cell r="D230">
            <v>140529336</v>
          </cell>
          <cell r="E230">
            <v>0</v>
          </cell>
          <cell r="F230">
            <v>14242941</v>
          </cell>
          <cell r="G230">
            <v>0</v>
          </cell>
          <cell r="H230">
            <v>14242941</v>
          </cell>
          <cell r="I230">
            <v>0</v>
          </cell>
          <cell r="J230">
            <v>0</v>
          </cell>
          <cell r="K230">
            <v>-14242941</v>
          </cell>
        </row>
        <row r="231">
          <cell r="A231">
            <v>111305</v>
          </cell>
          <cell r="B231" t="str">
            <v>DONACIONES</v>
          </cell>
          <cell r="C231">
            <v>0</v>
          </cell>
          <cell r="D231">
            <v>0</v>
          </cell>
          <cell r="E231">
            <v>0</v>
          </cell>
          <cell r="F231">
            <v>0</v>
          </cell>
          <cell r="G231">
            <v>0</v>
          </cell>
          <cell r="H231">
            <v>0</v>
          </cell>
          <cell r="I231">
            <v>0</v>
          </cell>
          <cell r="J231">
            <v>0</v>
          </cell>
          <cell r="K231">
            <v>0</v>
          </cell>
        </row>
        <row r="232">
          <cell r="A232">
            <v>111307</v>
          </cell>
          <cell r="B232" t="str">
            <v>BONOS DE GARANTIA ESTATAL</v>
          </cell>
          <cell r="C232">
            <v>3112618</v>
          </cell>
          <cell r="D232">
            <v>230368</v>
          </cell>
          <cell r="E232">
            <v>2882250</v>
          </cell>
          <cell r="F232">
            <v>0</v>
          </cell>
          <cell r="G232">
            <v>2882250</v>
          </cell>
          <cell r="H232">
            <v>0</v>
          </cell>
          <cell r="I232">
            <v>0</v>
          </cell>
          <cell r="J232">
            <v>0</v>
          </cell>
          <cell r="K232">
            <v>2882250</v>
          </cell>
        </row>
        <row r="233">
          <cell r="A233">
            <v>111308</v>
          </cell>
          <cell r="B233" t="str">
            <v>AJUSTE PENSION MINIMA</v>
          </cell>
          <cell r="C233">
            <v>0</v>
          </cell>
          <cell r="D233">
            <v>0</v>
          </cell>
          <cell r="E233">
            <v>0</v>
          </cell>
          <cell r="F233">
            <v>0</v>
          </cell>
          <cell r="G233">
            <v>0</v>
          </cell>
          <cell r="H233">
            <v>0</v>
          </cell>
          <cell r="I233">
            <v>0</v>
          </cell>
          <cell r="J233">
            <v>0</v>
          </cell>
          <cell r="K233">
            <v>0</v>
          </cell>
        </row>
        <row r="234">
          <cell r="A234">
            <v>111309</v>
          </cell>
          <cell r="B234" t="str">
            <v>CTA. CTE. TESORERIA GENER</v>
          </cell>
          <cell r="C234">
            <v>39355</v>
          </cell>
          <cell r="D234">
            <v>39355</v>
          </cell>
          <cell r="E234">
            <v>0</v>
          </cell>
          <cell r="F234">
            <v>0</v>
          </cell>
          <cell r="G234">
            <v>0</v>
          </cell>
          <cell r="H234">
            <v>0</v>
          </cell>
          <cell r="I234">
            <v>0</v>
          </cell>
          <cell r="J234">
            <v>0</v>
          </cell>
          <cell r="K234">
            <v>0</v>
          </cell>
        </row>
        <row r="235">
          <cell r="A235">
            <v>111311</v>
          </cell>
          <cell r="B235" t="str">
            <v>PPM BRU ART. 33 BIS</v>
          </cell>
          <cell r="C235">
            <v>0</v>
          </cell>
          <cell r="D235">
            <v>0</v>
          </cell>
          <cell r="E235">
            <v>0</v>
          </cell>
          <cell r="F235">
            <v>0</v>
          </cell>
          <cell r="G235">
            <v>0</v>
          </cell>
          <cell r="H235">
            <v>0</v>
          </cell>
          <cell r="I235">
            <v>0</v>
          </cell>
          <cell r="J235">
            <v>0</v>
          </cell>
          <cell r="K235">
            <v>0</v>
          </cell>
        </row>
        <row r="236">
          <cell r="A236">
            <v>111312</v>
          </cell>
          <cell r="B236" t="str">
            <v>CTA. CTE. GARANTIA ESTATA</v>
          </cell>
          <cell r="C236">
            <v>29820401</v>
          </cell>
          <cell r="D236">
            <v>446782</v>
          </cell>
          <cell r="E236">
            <v>29373619</v>
          </cell>
          <cell r="F236">
            <v>0</v>
          </cell>
          <cell r="G236">
            <v>29373619</v>
          </cell>
          <cell r="H236">
            <v>0</v>
          </cell>
          <cell r="I236">
            <v>0</v>
          </cell>
          <cell r="J236">
            <v>0</v>
          </cell>
          <cell r="K236">
            <v>29373619</v>
          </cell>
        </row>
        <row r="237">
          <cell r="A237">
            <v>111313</v>
          </cell>
          <cell r="B237" t="str">
            <v>APORTE PREVISIONAL SOLIDA</v>
          </cell>
          <cell r="C237">
            <v>496734469</v>
          </cell>
          <cell r="D237">
            <v>502152451</v>
          </cell>
          <cell r="E237">
            <v>0</v>
          </cell>
          <cell r="F237">
            <v>5417982</v>
          </cell>
          <cell r="G237">
            <v>0</v>
          </cell>
          <cell r="H237">
            <v>5417982</v>
          </cell>
          <cell r="I237">
            <v>0</v>
          </cell>
          <cell r="J237">
            <v>0</v>
          </cell>
          <cell r="K237">
            <v>-5417982</v>
          </cell>
        </row>
        <row r="238">
          <cell r="A238">
            <v>111314</v>
          </cell>
          <cell r="B238" t="str">
            <v>APORTE PREVISIONAL SOLIDA</v>
          </cell>
          <cell r="C238">
            <v>139483</v>
          </cell>
          <cell r="D238">
            <v>44064</v>
          </cell>
          <cell r="E238">
            <v>95419</v>
          </cell>
          <cell r="F238">
            <v>0</v>
          </cell>
          <cell r="G238">
            <v>95419</v>
          </cell>
          <cell r="H238">
            <v>0</v>
          </cell>
          <cell r="I238">
            <v>0</v>
          </cell>
          <cell r="J238">
            <v>0</v>
          </cell>
          <cell r="K238">
            <v>95419</v>
          </cell>
        </row>
        <row r="239">
          <cell r="A239">
            <v>111315</v>
          </cell>
          <cell r="B239" t="str">
            <v>APORTE FISCAL APV POR COB</v>
          </cell>
          <cell r="C239">
            <v>0</v>
          </cell>
          <cell r="D239">
            <v>0</v>
          </cell>
          <cell r="E239">
            <v>0</v>
          </cell>
          <cell r="F239">
            <v>0</v>
          </cell>
          <cell r="G239">
            <v>0</v>
          </cell>
          <cell r="H239">
            <v>0</v>
          </cell>
          <cell r="I239">
            <v>0</v>
          </cell>
          <cell r="J239">
            <v>0</v>
          </cell>
          <cell r="K239">
            <v>0</v>
          </cell>
        </row>
        <row r="240">
          <cell r="A240">
            <v>111316</v>
          </cell>
          <cell r="B240" t="str">
            <v>BONOS APORTE PREVISIONAL</v>
          </cell>
          <cell r="C240">
            <v>9831249</v>
          </cell>
          <cell r="D240">
            <v>0</v>
          </cell>
          <cell r="E240">
            <v>9831249</v>
          </cell>
          <cell r="F240">
            <v>0</v>
          </cell>
          <cell r="G240">
            <v>9831249</v>
          </cell>
          <cell r="H240">
            <v>0</v>
          </cell>
          <cell r="I240">
            <v>0</v>
          </cell>
          <cell r="J240">
            <v>0</v>
          </cell>
          <cell r="K240">
            <v>9831249</v>
          </cell>
        </row>
        <row r="241">
          <cell r="A241">
            <v>111317</v>
          </cell>
          <cell r="B241" t="str">
            <v>BONOS POST LABORAL</v>
          </cell>
          <cell r="C241">
            <v>61636140</v>
          </cell>
          <cell r="D241">
            <v>61636140</v>
          </cell>
          <cell r="E241">
            <v>0</v>
          </cell>
          <cell r="F241">
            <v>0</v>
          </cell>
          <cell r="G241">
            <v>0</v>
          </cell>
          <cell r="H241">
            <v>0</v>
          </cell>
          <cell r="I241">
            <v>0</v>
          </cell>
          <cell r="J241">
            <v>0</v>
          </cell>
          <cell r="K241">
            <v>0</v>
          </cell>
        </row>
        <row r="242">
          <cell r="A242">
            <v>111318</v>
          </cell>
          <cell r="B242" t="str">
            <v>BONOS HIJO NACIDO VIVO</v>
          </cell>
          <cell r="C242">
            <v>645474</v>
          </cell>
          <cell r="D242">
            <v>671011</v>
          </cell>
          <cell r="E242">
            <v>0</v>
          </cell>
          <cell r="F242">
            <v>25537</v>
          </cell>
          <cell r="G242">
            <v>0</v>
          </cell>
          <cell r="H242">
            <v>25537</v>
          </cell>
          <cell r="I242">
            <v>0</v>
          </cell>
          <cell r="J242">
            <v>0</v>
          </cell>
          <cell r="K242">
            <v>-25537</v>
          </cell>
        </row>
        <row r="243">
          <cell r="A243">
            <v>111319</v>
          </cell>
          <cell r="B243" t="str">
            <v>BONIFICACION FISCAL SALUD</v>
          </cell>
          <cell r="C243">
            <v>284822089</v>
          </cell>
          <cell r="D243">
            <v>135688215</v>
          </cell>
          <cell r="E243">
            <v>149133874</v>
          </cell>
          <cell r="F243">
            <v>0</v>
          </cell>
          <cell r="G243">
            <v>149133874</v>
          </cell>
          <cell r="H243">
            <v>0</v>
          </cell>
          <cell r="I243">
            <v>0</v>
          </cell>
          <cell r="J243">
            <v>0</v>
          </cell>
          <cell r="K243">
            <v>149133874</v>
          </cell>
        </row>
        <row r="244">
          <cell r="A244">
            <v>111401</v>
          </cell>
          <cell r="B244" t="str">
            <v>PRESTAMOS POR COBRAR PENS</v>
          </cell>
          <cell r="C244">
            <v>2360699263</v>
          </cell>
          <cell r="D244">
            <v>1578772299</v>
          </cell>
          <cell r="E244">
            <v>781926964</v>
          </cell>
          <cell r="F244">
            <v>0</v>
          </cell>
          <cell r="G244">
            <v>781926964</v>
          </cell>
          <cell r="H244">
            <v>0</v>
          </cell>
          <cell r="I244">
            <v>0</v>
          </cell>
          <cell r="J244">
            <v>0</v>
          </cell>
          <cell r="K244">
            <v>781926964</v>
          </cell>
        </row>
        <row r="245">
          <cell r="A245">
            <v>111402</v>
          </cell>
          <cell r="B245" t="str">
            <v>CUOTAS POR COBRAR PENSION</v>
          </cell>
          <cell r="C245">
            <v>115817663</v>
          </cell>
          <cell r="D245">
            <v>157029</v>
          </cell>
          <cell r="E245">
            <v>115660634</v>
          </cell>
          <cell r="F245">
            <v>0</v>
          </cell>
          <cell r="G245">
            <v>115660634</v>
          </cell>
          <cell r="H245">
            <v>0</v>
          </cell>
          <cell r="I245">
            <v>0</v>
          </cell>
          <cell r="J245">
            <v>0</v>
          </cell>
          <cell r="K245">
            <v>115660634</v>
          </cell>
        </row>
        <row r="246">
          <cell r="A246">
            <v>111403</v>
          </cell>
          <cell r="B246" t="str">
            <v>ANTICIPOS PENSIONADOS</v>
          </cell>
          <cell r="C246">
            <v>3625809</v>
          </cell>
          <cell r="D246">
            <v>95818</v>
          </cell>
          <cell r="E246">
            <v>3529991</v>
          </cell>
          <cell r="F246">
            <v>0</v>
          </cell>
          <cell r="G246">
            <v>3529991</v>
          </cell>
          <cell r="H246">
            <v>0</v>
          </cell>
          <cell r="I246">
            <v>0</v>
          </cell>
          <cell r="J246">
            <v>0</v>
          </cell>
          <cell r="K246">
            <v>3529991</v>
          </cell>
        </row>
        <row r="247">
          <cell r="A247">
            <v>111404</v>
          </cell>
          <cell r="B247" t="str">
            <v>CREDITOS DE CONSUMO</v>
          </cell>
          <cell r="C247">
            <v>26199346121</v>
          </cell>
          <cell r="D247">
            <v>2778871317</v>
          </cell>
          <cell r="E247">
            <v>23420474804</v>
          </cell>
          <cell r="F247">
            <v>0</v>
          </cell>
          <cell r="G247">
            <v>23420474804</v>
          </cell>
          <cell r="H247">
            <v>0</v>
          </cell>
          <cell r="I247">
            <v>0</v>
          </cell>
          <cell r="J247">
            <v>0</v>
          </cell>
          <cell r="K247">
            <v>23420474804</v>
          </cell>
        </row>
        <row r="248">
          <cell r="A248">
            <v>111405</v>
          </cell>
          <cell r="B248" t="str">
            <v>CREDITOS TERMINADOS POR I</v>
          </cell>
          <cell r="C248">
            <v>7379062</v>
          </cell>
          <cell r="D248">
            <v>0</v>
          </cell>
          <cell r="E248">
            <v>7379062</v>
          </cell>
          <cell r="F248">
            <v>0</v>
          </cell>
          <cell r="G248">
            <v>7379062</v>
          </cell>
          <cell r="H248">
            <v>0</v>
          </cell>
          <cell r="I248">
            <v>0</v>
          </cell>
          <cell r="J248">
            <v>0</v>
          </cell>
          <cell r="K248">
            <v>7379062</v>
          </cell>
        </row>
        <row r="249">
          <cell r="A249">
            <v>111406</v>
          </cell>
          <cell r="B249" t="str">
            <v>CREDITOS DE CONSUMO EN TR</v>
          </cell>
          <cell r="C249">
            <v>877789764</v>
          </cell>
          <cell r="D249">
            <v>826237604</v>
          </cell>
          <cell r="E249">
            <v>51552160</v>
          </cell>
          <cell r="F249">
            <v>0</v>
          </cell>
          <cell r="G249">
            <v>51552160</v>
          </cell>
          <cell r="H249">
            <v>0</v>
          </cell>
          <cell r="I249">
            <v>0</v>
          </cell>
          <cell r="J249">
            <v>0</v>
          </cell>
          <cell r="K249">
            <v>51552160</v>
          </cell>
        </row>
        <row r="250">
          <cell r="A250">
            <v>111407</v>
          </cell>
          <cell r="B250" t="str">
            <v>PROVISION INCOB. CREDITO</v>
          </cell>
          <cell r="C250">
            <v>5001414470</v>
          </cell>
          <cell r="D250">
            <v>6665912537</v>
          </cell>
          <cell r="E250">
            <v>0</v>
          </cell>
          <cell r="F250">
            <v>1664498067</v>
          </cell>
          <cell r="G250">
            <v>0</v>
          </cell>
          <cell r="H250">
            <v>1664498067</v>
          </cell>
          <cell r="I250">
            <v>0</v>
          </cell>
          <cell r="J250">
            <v>0</v>
          </cell>
          <cell r="K250">
            <v>-1664498067</v>
          </cell>
        </row>
        <row r="251">
          <cell r="A251">
            <v>111408</v>
          </cell>
          <cell r="B251" t="str">
            <v>CUOTAS CRED. CONSUMO POR</v>
          </cell>
          <cell r="C251">
            <v>9884760</v>
          </cell>
          <cell r="D251">
            <v>528104</v>
          </cell>
          <cell r="E251">
            <v>9356656</v>
          </cell>
          <cell r="F251">
            <v>0</v>
          </cell>
          <cell r="G251">
            <v>9356656</v>
          </cell>
          <cell r="H251">
            <v>0</v>
          </cell>
          <cell r="I251">
            <v>0</v>
          </cell>
          <cell r="J251">
            <v>0</v>
          </cell>
          <cell r="K251">
            <v>9356656</v>
          </cell>
        </row>
        <row r="252">
          <cell r="A252">
            <v>111409</v>
          </cell>
          <cell r="B252" t="str">
            <v>CTA CTE POR COBRAR R.V.</v>
          </cell>
          <cell r="C252">
            <v>727898</v>
          </cell>
          <cell r="D252">
            <v>641130</v>
          </cell>
          <cell r="E252">
            <v>86768</v>
          </cell>
          <cell r="F252">
            <v>0</v>
          </cell>
          <cell r="G252">
            <v>86768</v>
          </cell>
          <cell r="H252">
            <v>0</v>
          </cell>
          <cell r="I252">
            <v>0</v>
          </cell>
          <cell r="J252">
            <v>0</v>
          </cell>
          <cell r="K252">
            <v>86768</v>
          </cell>
        </row>
        <row r="253">
          <cell r="A253">
            <v>111410</v>
          </cell>
          <cell r="B253" t="str">
            <v>CREDITO CONSUMO HIPOTECAR</v>
          </cell>
          <cell r="C253">
            <v>11523219363</v>
          </cell>
          <cell r="D253">
            <v>534015814</v>
          </cell>
          <cell r="E253">
            <v>10989203549</v>
          </cell>
          <cell r="F253">
            <v>0</v>
          </cell>
          <cell r="G253">
            <v>10989203549</v>
          </cell>
          <cell r="H253">
            <v>0</v>
          </cell>
          <cell r="I253">
            <v>0</v>
          </cell>
          <cell r="J253">
            <v>0</v>
          </cell>
          <cell r="K253">
            <v>10989203549</v>
          </cell>
        </row>
        <row r="254">
          <cell r="A254">
            <v>111411</v>
          </cell>
          <cell r="B254" t="str">
            <v>CUOTAS CRED CONDUMO HIPOT</v>
          </cell>
          <cell r="C254">
            <v>358913655</v>
          </cell>
          <cell r="D254">
            <v>271512006</v>
          </cell>
          <cell r="E254">
            <v>87401649</v>
          </cell>
          <cell r="F254">
            <v>0</v>
          </cell>
          <cell r="G254">
            <v>87401649</v>
          </cell>
          <cell r="H254">
            <v>0</v>
          </cell>
          <cell r="I254">
            <v>0</v>
          </cell>
          <cell r="J254">
            <v>0</v>
          </cell>
          <cell r="K254">
            <v>87401649</v>
          </cell>
        </row>
        <row r="255">
          <cell r="A255">
            <v>111412</v>
          </cell>
          <cell r="B255" t="str">
            <v>PROVISION INCOB. CREDITO</v>
          </cell>
          <cell r="C255">
            <v>902965432</v>
          </cell>
          <cell r="D255">
            <v>1756946145</v>
          </cell>
          <cell r="E255">
            <v>0</v>
          </cell>
          <cell r="F255">
            <v>853980713</v>
          </cell>
          <cell r="G255">
            <v>0</v>
          </cell>
          <cell r="H255">
            <v>853980713</v>
          </cell>
          <cell r="I255">
            <v>0</v>
          </cell>
          <cell r="J255">
            <v>0</v>
          </cell>
          <cell r="K255">
            <v>-853980713</v>
          </cell>
        </row>
        <row r="256">
          <cell r="A256">
            <v>111413</v>
          </cell>
          <cell r="B256" t="str">
            <v>PREPAGOS POR COBRAR CREDI</v>
          </cell>
          <cell r="C256">
            <v>94886190</v>
          </cell>
          <cell r="D256">
            <v>94886190</v>
          </cell>
          <cell r="E256">
            <v>0</v>
          </cell>
          <cell r="F256">
            <v>0</v>
          </cell>
          <cell r="G256">
            <v>0</v>
          </cell>
          <cell r="H256">
            <v>0</v>
          </cell>
          <cell r="I256">
            <v>0</v>
          </cell>
          <cell r="J256">
            <v>0</v>
          </cell>
          <cell r="K256">
            <v>0</v>
          </cell>
        </row>
        <row r="257">
          <cell r="A257">
            <v>111414</v>
          </cell>
          <cell r="B257" t="str">
            <v>LINEA DE CREDITO CREDIVID</v>
          </cell>
          <cell r="C257">
            <v>247933468</v>
          </cell>
          <cell r="D257">
            <v>129450697</v>
          </cell>
          <cell r="E257">
            <v>118482771</v>
          </cell>
          <cell r="F257">
            <v>0</v>
          </cell>
          <cell r="G257">
            <v>118482771</v>
          </cell>
          <cell r="H257">
            <v>0</v>
          </cell>
          <cell r="I257">
            <v>0</v>
          </cell>
          <cell r="J257">
            <v>0</v>
          </cell>
          <cell r="K257">
            <v>118482771</v>
          </cell>
        </row>
        <row r="258">
          <cell r="A258">
            <v>111415</v>
          </cell>
          <cell r="B258" t="str">
            <v>CUOTAS POR COBRAR LINEA D</v>
          </cell>
          <cell r="C258">
            <v>12661592</v>
          </cell>
          <cell r="D258">
            <v>6275534</v>
          </cell>
          <cell r="E258">
            <v>6386058</v>
          </cell>
          <cell r="F258">
            <v>0</v>
          </cell>
          <cell r="G258">
            <v>6386058</v>
          </cell>
          <cell r="H258">
            <v>0</v>
          </cell>
          <cell r="I258">
            <v>0</v>
          </cell>
          <cell r="J258">
            <v>0</v>
          </cell>
          <cell r="K258">
            <v>6386058</v>
          </cell>
        </row>
        <row r="259">
          <cell r="A259">
            <v>111416</v>
          </cell>
          <cell r="B259" t="str">
            <v>PROVISION INCOB. LINEA DE</v>
          </cell>
          <cell r="C259">
            <v>13559090</v>
          </cell>
          <cell r="D259">
            <v>20367626</v>
          </cell>
          <cell r="E259">
            <v>0</v>
          </cell>
          <cell r="F259">
            <v>6808536</v>
          </cell>
          <cell r="G259">
            <v>0</v>
          </cell>
          <cell r="H259">
            <v>6808536</v>
          </cell>
          <cell r="I259">
            <v>0</v>
          </cell>
          <cell r="J259">
            <v>0</v>
          </cell>
          <cell r="K259">
            <v>-6808536</v>
          </cell>
        </row>
        <row r="260">
          <cell r="A260">
            <v>111417</v>
          </cell>
          <cell r="B260" t="str">
            <v>CUENTAS X COBRAR CREDITOS</v>
          </cell>
          <cell r="C260">
            <v>6108104</v>
          </cell>
          <cell r="D260">
            <v>2025537</v>
          </cell>
          <cell r="E260">
            <v>4082567</v>
          </cell>
          <cell r="F260">
            <v>0</v>
          </cell>
          <cell r="G260">
            <v>4082567</v>
          </cell>
          <cell r="H260">
            <v>0</v>
          </cell>
          <cell r="I260">
            <v>0</v>
          </cell>
          <cell r="J260">
            <v>0</v>
          </cell>
          <cell r="K260">
            <v>4082567</v>
          </cell>
        </row>
        <row r="261">
          <cell r="A261">
            <v>111418</v>
          </cell>
          <cell r="B261" t="str">
            <v>CTA X COBRAR DESGRAVAMEN</v>
          </cell>
          <cell r="C261">
            <v>176363149</v>
          </cell>
          <cell r="D261">
            <v>149274061</v>
          </cell>
          <cell r="E261">
            <v>27089088</v>
          </cell>
          <cell r="F261">
            <v>0</v>
          </cell>
          <cell r="G261">
            <v>27089088</v>
          </cell>
          <cell r="H261">
            <v>0</v>
          </cell>
          <cell r="I261">
            <v>0</v>
          </cell>
          <cell r="J261">
            <v>0</v>
          </cell>
          <cell r="K261">
            <v>27089088</v>
          </cell>
        </row>
        <row r="262">
          <cell r="A262">
            <v>111419</v>
          </cell>
          <cell r="B262" t="str">
            <v>PROV. INCOB. CREDITO COMP</v>
          </cell>
          <cell r="C262">
            <v>18360</v>
          </cell>
          <cell r="D262">
            <v>8619421</v>
          </cell>
          <cell r="E262">
            <v>0</v>
          </cell>
          <cell r="F262">
            <v>8601061</v>
          </cell>
          <cell r="G262">
            <v>0</v>
          </cell>
          <cell r="H262">
            <v>8601061</v>
          </cell>
          <cell r="I262">
            <v>0</v>
          </cell>
          <cell r="J262">
            <v>0</v>
          </cell>
          <cell r="K262">
            <v>-8601061</v>
          </cell>
        </row>
        <row r="263">
          <cell r="A263">
            <v>111421</v>
          </cell>
          <cell r="B263" t="str">
            <v>SVI BOLETAS POR COBRAR</v>
          </cell>
          <cell r="C263">
            <v>891847</v>
          </cell>
          <cell r="D263">
            <v>891847</v>
          </cell>
          <cell r="E263">
            <v>0</v>
          </cell>
          <cell r="F263">
            <v>0</v>
          </cell>
          <cell r="G263">
            <v>0</v>
          </cell>
          <cell r="H263">
            <v>0</v>
          </cell>
          <cell r="I263">
            <v>0</v>
          </cell>
          <cell r="J263">
            <v>0</v>
          </cell>
          <cell r="K263">
            <v>0</v>
          </cell>
        </row>
        <row r="264">
          <cell r="A264">
            <v>111422</v>
          </cell>
          <cell r="B264" t="str">
            <v>DETERIORO CUOTAS X COBRAR</v>
          </cell>
          <cell r="C264">
            <v>0</v>
          </cell>
          <cell r="D264">
            <v>194724</v>
          </cell>
          <cell r="E264">
            <v>0</v>
          </cell>
          <cell r="F264">
            <v>194724</v>
          </cell>
          <cell r="G264">
            <v>0</v>
          </cell>
          <cell r="H264">
            <v>194724</v>
          </cell>
          <cell r="I264">
            <v>0</v>
          </cell>
          <cell r="J264">
            <v>0</v>
          </cell>
          <cell r="K264">
            <v>-194724</v>
          </cell>
        </row>
        <row r="265">
          <cell r="A265">
            <v>111423</v>
          </cell>
          <cell r="B265" t="str">
            <v>DETERIORO CREDITOS TERM.</v>
          </cell>
          <cell r="C265">
            <v>0</v>
          </cell>
          <cell r="D265">
            <v>7379062</v>
          </cell>
          <cell r="E265">
            <v>0</v>
          </cell>
          <cell r="F265">
            <v>7379062</v>
          </cell>
          <cell r="G265">
            <v>0</v>
          </cell>
          <cell r="H265">
            <v>7379062</v>
          </cell>
          <cell r="I265">
            <v>0</v>
          </cell>
          <cell r="J265">
            <v>0</v>
          </cell>
          <cell r="K265">
            <v>-7379062</v>
          </cell>
        </row>
        <row r="266">
          <cell r="A266">
            <v>111424</v>
          </cell>
          <cell r="B266" t="str">
            <v>DETERIORO CUOTAS CREDITOS</v>
          </cell>
          <cell r="C266">
            <v>0</v>
          </cell>
          <cell r="D266">
            <v>8551024</v>
          </cell>
          <cell r="E266">
            <v>0</v>
          </cell>
          <cell r="F266">
            <v>8551024</v>
          </cell>
          <cell r="G266">
            <v>0</v>
          </cell>
          <cell r="H266">
            <v>8551024</v>
          </cell>
          <cell r="I266">
            <v>0</v>
          </cell>
          <cell r="J266">
            <v>0</v>
          </cell>
          <cell r="K266">
            <v>-8551024</v>
          </cell>
        </row>
        <row r="267">
          <cell r="A267">
            <v>111501</v>
          </cell>
          <cell r="B267" t="str">
            <v>CUENTA CORRIENTE PERSONAL</v>
          </cell>
          <cell r="C267">
            <v>2180684014</v>
          </cell>
          <cell r="D267">
            <v>1801489279</v>
          </cell>
          <cell r="E267">
            <v>379194735</v>
          </cell>
          <cell r="F267">
            <v>0</v>
          </cell>
          <cell r="G267">
            <v>379194735</v>
          </cell>
          <cell r="H267">
            <v>0</v>
          </cell>
          <cell r="I267">
            <v>0</v>
          </cell>
          <cell r="J267">
            <v>0</v>
          </cell>
          <cell r="K267">
            <v>379194735</v>
          </cell>
        </row>
        <row r="268">
          <cell r="A268">
            <v>111503</v>
          </cell>
          <cell r="B268" t="str">
            <v>FONDOS A RENDIR</v>
          </cell>
          <cell r="C268">
            <v>3703900</v>
          </cell>
          <cell r="D268">
            <v>3017679</v>
          </cell>
          <cell r="E268">
            <v>686221</v>
          </cell>
          <cell r="F268">
            <v>0</v>
          </cell>
          <cell r="G268">
            <v>686221</v>
          </cell>
          <cell r="H268">
            <v>0</v>
          </cell>
          <cell r="I268">
            <v>0</v>
          </cell>
          <cell r="J268">
            <v>0</v>
          </cell>
          <cell r="K268">
            <v>686221</v>
          </cell>
        </row>
        <row r="269">
          <cell r="A269">
            <v>111504</v>
          </cell>
          <cell r="B269" t="str">
            <v>SOBREGIRO POR COBRAR REMU</v>
          </cell>
          <cell r="C269">
            <v>57035972</v>
          </cell>
          <cell r="D269">
            <v>24818211</v>
          </cell>
          <cell r="E269">
            <v>32217761</v>
          </cell>
          <cell r="F269">
            <v>0</v>
          </cell>
          <cell r="G269">
            <v>32217761</v>
          </cell>
          <cell r="H269">
            <v>0</v>
          </cell>
          <cell r="I269">
            <v>0</v>
          </cell>
          <cell r="J269">
            <v>0</v>
          </cell>
          <cell r="K269">
            <v>32217761</v>
          </cell>
        </row>
        <row r="270">
          <cell r="A270">
            <v>111505</v>
          </cell>
          <cell r="B270" t="str">
            <v>PRESTAMOS PERSONAL</v>
          </cell>
          <cell r="C270">
            <v>0</v>
          </cell>
          <cell r="D270">
            <v>0</v>
          </cell>
          <cell r="E270">
            <v>0</v>
          </cell>
          <cell r="F270">
            <v>0</v>
          </cell>
          <cell r="G270">
            <v>0</v>
          </cell>
          <cell r="H270">
            <v>0</v>
          </cell>
          <cell r="I270">
            <v>0</v>
          </cell>
          <cell r="J270">
            <v>0</v>
          </cell>
          <cell r="K270">
            <v>0</v>
          </cell>
        </row>
        <row r="271">
          <cell r="A271">
            <v>111506</v>
          </cell>
          <cell r="B271" t="str">
            <v>FONDO FIJO</v>
          </cell>
          <cell r="C271">
            <v>750000</v>
          </cell>
          <cell r="D271">
            <v>0</v>
          </cell>
          <cell r="E271">
            <v>750000</v>
          </cell>
          <cell r="F271">
            <v>0</v>
          </cell>
          <cell r="G271">
            <v>750000</v>
          </cell>
          <cell r="H271">
            <v>0</v>
          </cell>
          <cell r="I271">
            <v>0</v>
          </cell>
          <cell r="J271">
            <v>0</v>
          </cell>
          <cell r="K271">
            <v>750000</v>
          </cell>
        </row>
        <row r="272">
          <cell r="A272">
            <v>111510</v>
          </cell>
          <cell r="B272" t="str">
            <v>FONDO FIJO SUCURSALES</v>
          </cell>
          <cell r="C272">
            <v>2590000</v>
          </cell>
          <cell r="D272">
            <v>0</v>
          </cell>
          <cell r="E272">
            <v>2590000</v>
          </cell>
          <cell r="F272">
            <v>0</v>
          </cell>
          <cell r="G272">
            <v>2590000</v>
          </cell>
          <cell r="H272">
            <v>0</v>
          </cell>
          <cell r="I272">
            <v>0</v>
          </cell>
          <cell r="J272">
            <v>0</v>
          </cell>
          <cell r="K272">
            <v>2590000</v>
          </cell>
        </row>
        <row r="273">
          <cell r="A273">
            <v>111511</v>
          </cell>
          <cell r="B273" t="str">
            <v>FONDO FIJO SUC. PAGO SINI</v>
          </cell>
          <cell r="C273">
            <v>59151645</v>
          </cell>
          <cell r="D273">
            <v>57136811</v>
          </cell>
          <cell r="E273">
            <v>2014834</v>
          </cell>
          <cell r="F273">
            <v>0</v>
          </cell>
          <cell r="G273">
            <v>2014834</v>
          </cell>
          <cell r="H273">
            <v>0</v>
          </cell>
          <cell r="I273">
            <v>0</v>
          </cell>
          <cell r="J273">
            <v>0</v>
          </cell>
          <cell r="K273">
            <v>2014834</v>
          </cell>
        </row>
        <row r="274">
          <cell r="A274">
            <v>111512</v>
          </cell>
          <cell r="B274" t="str">
            <v>FONDOS A RENDIR INMOBILIA</v>
          </cell>
          <cell r="C274">
            <v>27172101</v>
          </cell>
          <cell r="D274">
            <v>0</v>
          </cell>
          <cell r="E274">
            <v>27172101</v>
          </cell>
          <cell r="F274">
            <v>0</v>
          </cell>
          <cell r="G274">
            <v>27172101</v>
          </cell>
          <cell r="H274">
            <v>0</v>
          </cell>
          <cell r="I274">
            <v>0</v>
          </cell>
          <cell r="J274">
            <v>0</v>
          </cell>
          <cell r="K274">
            <v>27172101</v>
          </cell>
        </row>
        <row r="275">
          <cell r="A275">
            <v>111513</v>
          </cell>
          <cell r="B275" t="str">
            <v>FONDOS A RENDIR EN EFECTI</v>
          </cell>
          <cell r="C275">
            <v>18990993</v>
          </cell>
          <cell r="D275">
            <v>15758384</v>
          </cell>
          <cell r="E275">
            <v>3232609</v>
          </cell>
          <cell r="F275">
            <v>0</v>
          </cell>
          <cell r="G275">
            <v>3232609</v>
          </cell>
          <cell r="H275">
            <v>0</v>
          </cell>
          <cell r="I275">
            <v>0</v>
          </cell>
          <cell r="J275">
            <v>0</v>
          </cell>
          <cell r="K275">
            <v>3232609</v>
          </cell>
        </row>
        <row r="276">
          <cell r="A276">
            <v>111514</v>
          </cell>
          <cell r="B276" t="str">
            <v>DETERIORO FONDOS POR REND</v>
          </cell>
          <cell r="C276">
            <v>0</v>
          </cell>
          <cell r="D276">
            <v>499384</v>
          </cell>
          <cell r="E276">
            <v>0</v>
          </cell>
          <cell r="F276">
            <v>499384</v>
          </cell>
          <cell r="G276">
            <v>0</v>
          </cell>
          <cell r="H276">
            <v>499384</v>
          </cell>
          <cell r="I276">
            <v>0</v>
          </cell>
          <cell r="J276">
            <v>0</v>
          </cell>
          <cell r="K276">
            <v>-499384</v>
          </cell>
        </row>
        <row r="277">
          <cell r="A277">
            <v>111515</v>
          </cell>
          <cell r="B277" t="str">
            <v>DETERIORO SOBREGIRO POR P</v>
          </cell>
          <cell r="C277">
            <v>0</v>
          </cell>
          <cell r="D277">
            <v>23688622</v>
          </cell>
          <cell r="E277">
            <v>0</v>
          </cell>
          <cell r="F277">
            <v>23688622</v>
          </cell>
          <cell r="G277">
            <v>0</v>
          </cell>
          <cell r="H277">
            <v>23688622</v>
          </cell>
          <cell r="I277">
            <v>0</v>
          </cell>
          <cell r="J277">
            <v>0</v>
          </cell>
          <cell r="K277">
            <v>-23688622</v>
          </cell>
        </row>
        <row r="278">
          <cell r="A278">
            <v>111601</v>
          </cell>
          <cell r="B278" t="str">
            <v>GASTOS ANTICIPADOS</v>
          </cell>
          <cell r="C278">
            <v>1723843</v>
          </cell>
          <cell r="D278">
            <v>287308</v>
          </cell>
          <cell r="E278">
            <v>1436535</v>
          </cell>
          <cell r="F278">
            <v>0</v>
          </cell>
          <cell r="G278">
            <v>1436535</v>
          </cell>
          <cell r="H278">
            <v>0</v>
          </cell>
          <cell r="I278">
            <v>0</v>
          </cell>
          <cell r="J278">
            <v>0</v>
          </cell>
          <cell r="K278">
            <v>1436535</v>
          </cell>
        </row>
        <row r="279">
          <cell r="A279">
            <v>111603</v>
          </cell>
          <cell r="B279" t="str">
            <v>ANTICIPO PROVEEDORES</v>
          </cell>
          <cell r="C279">
            <v>746755290</v>
          </cell>
          <cell r="D279">
            <v>703189933</v>
          </cell>
          <cell r="E279">
            <v>43565357</v>
          </cell>
          <cell r="F279">
            <v>0</v>
          </cell>
          <cell r="G279">
            <v>43565357</v>
          </cell>
          <cell r="H279">
            <v>0</v>
          </cell>
          <cell r="I279">
            <v>0</v>
          </cell>
          <cell r="J279">
            <v>0</v>
          </cell>
          <cell r="K279">
            <v>43565357</v>
          </cell>
        </row>
        <row r="280">
          <cell r="A280">
            <v>111604</v>
          </cell>
          <cell r="B280" t="str">
            <v>FONDO DE GESTION</v>
          </cell>
          <cell r="C280">
            <v>12121133</v>
          </cell>
          <cell r="D280">
            <v>11621133</v>
          </cell>
          <cell r="E280">
            <v>500000</v>
          </cell>
          <cell r="F280">
            <v>0</v>
          </cell>
          <cell r="G280">
            <v>500000</v>
          </cell>
          <cell r="H280">
            <v>0</v>
          </cell>
          <cell r="I280">
            <v>0</v>
          </cell>
          <cell r="J280">
            <v>0</v>
          </cell>
          <cell r="K280">
            <v>500000</v>
          </cell>
        </row>
        <row r="281">
          <cell r="A281">
            <v>111605</v>
          </cell>
          <cell r="B281" t="str">
            <v>GARANTIAS X COBRAR</v>
          </cell>
          <cell r="C281">
            <v>1299836974</v>
          </cell>
          <cell r="D281">
            <v>679299281</v>
          </cell>
          <cell r="E281">
            <v>620537693</v>
          </cell>
          <cell r="F281">
            <v>0</v>
          </cell>
          <cell r="G281">
            <v>620537693</v>
          </cell>
          <cell r="H281">
            <v>0</v>
          </cell>
          <cell r="I281">
            <v>0</v>
          </cell>
          <cell r="J281">
            <v>0</v>
          </cell>
          <cell r="K281">
            <v>620537693</v>
          </cell>
        </row>
        <row r="282">
          <cell r="A282">
            <v>111606</v>
          </cell>
          <cell r="B282" t="str">
            <v>ANTICIPO COMISIONES</v>
          </cell>
          <cell r="C282">
            <v>712562</v>
          </cell>
          <cell r="D282">
            <v>0</v>
          </cell>
          <cell r="E282">
            <v>712562</v>
          </cell>
          <cell r="F282">
            <v>0</v>
          </cell>
          <cell r="G282">
            <v>712562</v>
          </cell>
          <cell r="H282">
            <v>0</v>
          </cell>
          <cell r="I282">
            <v>0</v>
          </cell>
          <cell r="J282">
            <v>0</v>
          </cell>
          <cell r="K282">
            <v>712562</v>
          </cell>
        </row>
        <row r="283">
          <cell r="A283">
            <v>111607</v>
          </cell>
          <cell r="B283" t="str">
            <v>CUENTAS CORRIENTES COMISI</v>
          </cell>
          <cell r="C283">
            <v>50839633</v>
          </cell>
          <cell r="D283">
            <v>1857884</v>
          </cell>
          <cell r="E283">
            <v>48981749</v>
          </cell>
          <cell r="F283">
            <v>0</v>
          </cell>
          <cell r="G283">
            <v>48981749</v>
          </cell>
          <cell r="H283">
            <v>0</v>
          </cell>
          <cell r="I283">
            <v>0</v>
          </cell>
          <cell r="J283">
            <v>0</v>
          </cell>
          <cell r="K283">
            <v>48981749</v>
          </cell>
        </row>
        <row r="284">
          <cell r="A284">
            <v>111608</v>
          </cell>
          <cell r="B284" t="str">
            <v>ANTICIPOS SVI</v>
          </cell>
          <cell r="C284">
            <v>0</v>
          </cell>
          <cell r="D284">
            <v>0</v>
          </cell>
          <cell r="E284">
            <v>0</v>
          </cell>
          <cell r="F284">
            <v>0</v>
          </cell>
          <cell r="G284">
            <v>0</v>
          </cell>
          <cell r="H284">
            <v>0</v>
          </cell>
          <cell r="I284">
            <v>0</v>
          </cell>
          <cell r="J284">
            <v>0</v>
          </cell>
          <cell r="K284">
            <v>0</v>
          </cell>
        </row>
        <row r="285">
          <cell r="A285">
            <v>111610</v>
          </cell>
          <cell r="B285" t="str">
            <v>ARRIENDOS POR COBRAR</v>
          </cell>
          <cell r="C285">
            <v>1556455329</v>
          </cell>
          <cell r="D285">
            <v>1132337021</v>
          </cell>
          <cell r="E285">
            <v>424118308</v>
          </cell>
          <cell r="F285">
            <v>0</v>
          </cell>
          <cell r="G285">
            <v>424118308</v>
          </cell>
          <cell r="H285">
            <v>0</v>
          </cell>
          <cell r="I285">
            <v>0</v>
          </cell>
          <cell r="J285">
            <v>0</v>
          </cell>
          <cell r="K285">
            <v>424118308</v>
          </cell>
        </row>
        <row r="286">
          <cell r="A286">
            <v>111611</v>
          </cell>
          <cell r="B286" t="str">
            <v>DIVIDENDOS POR COBRAR LEA</v>
          </cell>
          <cell r="C286">
            <v>860294751</v>
          </cell>
          <cell r="D286">
            <v>725634189</v>
          </cell>
          <cell r="E286">
            <v>134660562</v>
          </cell>
          <cell r="F286">
            <v>0</v>
          </cell>
          <cell r="G286">
            <v>134660562</v>
          </cell>
          <cell r="H286">
            <v>0</v>
          </cell>
          <cell r="I286">
            <v>0</v>
          </cell>
          <cell r="J286">
            <v>0</v>
          </cell>
          <cell r="K286">
            <v>134660562</v>
          </cell>
        </row>
        <row r="287">
          <cell r="A287">
            <v>111612</v>
          </cell>
          <cell r="B287" t="str">
            <v>DEUDORES POR INVERSION</v>
          </cell>
          <cell r="C287">
            <v>1370856161</v>
          </cell>
          <cell r="D287">
            <v>1370856161</v>
          </cell>
          <cell r="E287">
            <v>0</v>
          </cell>
          <cell r="F287">
            <v>0</v>
          </cell>
          <cell r="G287">
            <v>0</v>
          </cell>
          <cell r="H287">
            <v>0</v>
          </cell>
          <cell r="I287">
            <v>0</v>
          </cell>
          <cell r="J287">
            <v>0</v>
          </cell>
          <cell r="K287">
            <v>0</v>
          </cell>
        </row>
        <row r="288">
          <cell r="A288">
            <v>111613</v>
          </cell>
          <cell r="B288" t="str">
            <v>FONDOS POR RENDIR TRASSA</v>
          </cell>
          <cell r="C288">
            <v>0</v>
          </cell>
          <cell r="D288">
            <v>0</v>
          </cell>
          <cell r="E288">
            <v>0</v>
          </cell>
          <cell r="F288">
            <v>0</v>
          </cell>
          <cell r="G288">
            <v>0</v>
          </cell>
          <cell r="H288">
            <v>0</v>
          </cell>
          <cell r="I288">
            <v>0</v>
          </cell>
          <cell r="J288">
            <v>0</v>
          </cell>
          <cell r="K288">
            <v>0</v>
          </cell>
        </row>
        <row r="289">
          <cell r="A289">
            <v>111614</v>
          </cell>
          <cell r="B289" t="str">
            <v>CUENTA CORRIENTE POR COB</v>
          </cell>
          <cell r="C289">
            <v>0</v>
          </cell>
          <cell r="D289">
            <v>0</v>
          </cell>
          <cell r="E289">
            <v>0</v>
          </cell>
          <cell r="F289">
            <v>0</v>
          </cell>
          <cell r="G289">
            <v>0</v>
          </cell>
          <cell r="H289">
            <v>0</v>
          </cell>
          <cell r="I289">
            <v>0</v>
          </cell>
          <cell r="J289">
            <v>0</v>
          </cell>
          <cell r="K289">
            <v>0</v>
          </cell>
        </row>
        <row r="290">
          <cell r="A290">
            <v>111615</v>
          </cell>
          <cell r="B290" t="str">
            <v>CUENTA POR COBRAR</v>
          </cell>
          <cell r="C290">
            <v>3416252</v>
          </cell>
          <cell r="D290">
            <v>2601612</v>
          </cell>
          <cell r="E290">
            <v>814640</v>
          </cell>
          <cell r="F290">
            <v>0</v>
          </cell>
          <cell r="G290">
            <v>814640</v>
          </cell>
          <cell r="H290">
            <v>0</v>
          </cell>
          <cell r="I290">
            <v>0</v>
          </cell>
          <cell r="J290">
            <v>0</v>
          </cell>
          <cell r="K290">
            <v>814640</v>
          </cell>
        </row>
        <row r="291">
          <cell r="A291">
            <v>111617</v>
          </cell>
          <cell r="B291" t="str">
            <v>TRASPASO DE SALDOS</v>
          </cell>
          <cell r="C291">
            <v>0</v>
          </cell>
          <cell r="D291">
            <v>0</v>
          </cell>
          <cell r="E291">
            <v>0</v>
          </cell>
          <cell r="F291">
            <v>0</v>
          </cell>
          <cell r="G291">
            <v>0</v>
          </cell>
          <cell r="H291">
            <v>0</v>
          </cell>
          <cell r="I291">
            <v>0</v>
          </cell>
          <cell r="J291">
            <v>0</v>
          </cell>
          <cell r="K291">
            <v>0</v>
          </cell>
        </row>
        <row r="292">
          <cell r="A292">
            <v>111619</v>
          </cell>
          <cell r="B292" t="str">
            <v>SEGUROS ANTICIPADOS</v>
          </cell>
          <cell r="C292">
            <v>17666175</v>
          </cell>
          <cell r="D292">
            <v>2944362</v>
          </cell>
          <cell r="E292">
            <v>14721813</v>
          </cell>
          <cell r="F292">
            <v>0</v>
          </cell>
          <cell r="G292">
            <v>14721813</v>
          </cell>
          <cell r="H292">
            <v>0</v>
          </cell>
          <cell r="I292">
            <v>0</v>
          </cell>
          <cell r="J292">
            <v>0</v>
          </cell>
          <cell r="K292">
            <v>14721813</v>
          </cell>
        </row>
        <row r="293">
          <cell r="A293">
            <v>111621</v>
          </cell>
          <cell r="B293" t="str">
            <v>ARRIENDOS POR COBRAR EX-L</v>
          </cell>
          <cell r="C293">
            <v>0</v>
          </cell>
          <cell r="D293">
            <v>0</v>
          </cell>
          <cell r="E293">
            <v>0</v>
          </cell>
          <cell r="F293">
            <v>0</v>
          </cell>
          <cell r="G293">
            <v>0</v>
          </cell>
          <cell r="H293">
            <v>0</v>
          </cell>
          <cell r="I293">
            <v>0</v>
          </cell>
          <cell r="J293">
            <v>0</v>
          </cell>
          <cell r="K293">
            <v>0</v>
          </cell>
        </row>
        <row r="294">
          <cell r="A294">
            <v>111622</v>
          </cell>
          <cell r="B294" t="str">
            <v>CUOTAS PACTOS POR COBRAR</v>
          </cell>
          <cell r="C294">
            <v>188708861</v>
          </cell>
          <cell r="D294">
            <v>99655810</v>
          </cell>
          <cell r="E294">
            <v>89053051</v>
          </cell>
          <cell r="F294">
            <v>0</v>
          </cell>
          <cell r="G294">
            <v>89053051</v>
          </cell>
          <cell r="H294">
            <v>0</v>
          </cell>
          <cell r="I294">
            <v>0</v>
          </cell>
          <cell r="J294">
            <v>0</v>
          </cell>
          <cell r="K294">
            <v>89053051</v>
          </cell>
        </row>
        <row r="295">
          <cell r="A295">
            <v>111623</v>
          </cell>
          <cell r="B295" t="str">
            <v>RECAUDACIONES INMOBILIARI</v>
          </cell>
          <cell r="C295">
            <v>2748544730</v>
          </cell>
          <cell r="D295">
            <v>2748544730</v>
          </cell>
          <cell r="E295">
            <v>0</v>
          </cell>
          <cell r="F295">
            <v>0</v>
          </cell>
          <cell r="G295">
            <v>0</v>
          </cell>
          <cell r="H295">
            <v>0</v>
          </cell>
          <cell r="I295">
            <v>0</v>
          </cell>
          <cell r="J295">
            <v>0</v>
          </cell>
          <cell r="K295">
            <v>0</v>
          </cell>
        </row>
        <row r="296">
          <cell r="A296">
            <v>111625</v>
          </cell>
          <cell r="B296" t="str">
            <v>CTA X COBRAR PROPIEDADES</v>
          </cell>
          <cell r="C296">
            <v>0</v>
          </cell>
          <cell r="D296">
            <v>0</v>
          </cell>
          <cell r="E296">
            <v>0</v>
          </cell>
          <cell r="F296">
            <v>0</v>
          </cell>
          <cell r="G296">
            <v>0</v>
          </cell>
          <cell r="H296">
            <v>0</v>
          </cell>
          <cell r="I296">
            <v>0</v>
          </cell>
          <cell r="J296">
            <v>0</v>
          </cell>
          <cell r="K296">
            <v>0</v>
          </cell>
        </row>
        <row r="297">
          <cell r="A297">
            <v>111626</v>
          </cell>
          <cell r="B297" t="str">
            <v>CONTRIBUC. Y SEGUROS X CO</v>
          </cell>
          <cell r="C297">
            <v>46229688</v>
          </cell>
          <cell r="D297">
            <v>33117408</v>
          </cell>
          <cell r="E297">
            <v>13112280</v>
          </cell>
          <cell r="F297">
            <v>0</v>
          </cell>
          <cell r="G297">
            <v>13112280</v>
          </cell>
          <cell r="H297">
            <v>0</v>
          </cell>
          <cell r="I297">
            <v>0</v>
          </cell>
          <cell r="J297">
            <v>0</v>
          </cell>
          <cell r="K297">
            <v>13112280</v>
          </cell>
        </row>
        <row r="298">
          <cell r="A298">
            <v>111628</v>
          </cell>
          <cell r="B298" t="str">
            <v>ANTICIPOS INMOBILIARIAS</v>
          </cell>
          <cell r="C298">
            <v>122549400</v>
          </cell>
          <cell r="D298">
            <v>0</v>
          </cell>
          <cell r="E298">
            <v>122549400</v>
          </cell>
          <cell r="F298">
            <v>0</v>
          </cell>
          <cell r="G298">
            <v>122549400</v>
          </cell>
          <cell r="H298">
            <v>0</v>
          </cell>
          <cell r="I298">
            <v>0</v>
          </cell>
          <cell r="J298">
            <v>0</v>
          </cell>
          <cell r="K298">
            <v>122549400</v>
          </cell>
        </row>
        <row r="299">
          <cell r="A299">
            <v>111629</v>
          </cell>
          <cell r="B299" t="str">
            <v>CTA CTE ISAPRE NORMEDICA</v>
          </cell>
          <cell r="C299">
            <v>3097463</v>
          </cell>
          <cell r="D299">
            <v>0</v>
          </cell>
          <cell r="E299">
            <v>3097463</v>
          </cell>
          <cell r="F299">
            <v>0</v>
          </cell>
          <cell r="G299">
            <v>3097463</v>
          </cell>
          <cell r="H299">
            <v>0</v>
          </cell>
          <cell r="I299">
            <v>0</v>
          </cell>
          <cell r="J299">
            <v>0</v>
          </cell>
          <cell r="K299">
            <v>3097463</v>
          </cell>
        </row>
        <row r="300">
          <cell r="A300">
            <v>111630</v>
          </cell>
          <cell r="B300" t="str">
            <v>ANTICIPO DE COMISIONES RE</v>
          </cell>
          <cell r="C300">
            <v>139734283</v>
          </cell>
          <cell r="D300">
            <v>67106390</v>
          </cell>
          <cell r="E300">
            <v>72627893</v>
          </cell>
          <cell r="F300">
            <v>0</v>
          </cell>
          <cell r="G300">
            <v>72627893</v>
          </cell>
          <cell r="H300">
            <v>0</v>
          </cell>
          <cell r="I300">
            <v>0</v>
          </cell>
          <cell r="J300">
            <v>0</v>
          </cell>
          <cell r="K300">
            <v>72627893</v>
          </cell>
        </row>
        <row r="301">
          <cell r="A301">
            <v>111632</v>
          </cell>
          <cell r="B301" t="str">
            <v>CTAS POR COBRAR INMOBILIA</v>
          </cell>
          <cell r="C301">
            <v>6340578</v>
          </cell>
          <cell r="D301">
            <v>3962547</v>
          </cell>
          <cell r="E301">
            <v>2378031</v>
          </cell>
          <cell r="F301">
            <v>0</v>
          </cell>
          <cell r="G301">
            <v>2378031</v>
          </cell>
          <cell r="H301">
            <v>0</v>
          </cell>
          <cell r="I301">
            <v>0</v>
          </cell>
          <cell r="J301">
            <v>0</v>
          </cell>
          <cell r="K301">
            <v>2378031</v>
          </cell>
        </row>
        <row r="302">
          <cell r="A302">
            <v>111633</v>
          </cell>
          <cell r="B302" t="str">
            <v>GARANTIA ARRIENDO POR APL</v>
          </cell>
          <cell r="C302">
            <v>7512621954</v>
          </cell>
          <cell r="D302">
            <v>6824409158</v>
          </cell>
          <cell r="E302">
            <v>688212796</v>
          </cell>
          <cell r="F302">
            <v>0</v>
          </cell>
          <cell r="G302">
            <v>688212796</v>
          </cell>
          <cell r="H302">
            <v>0</v>
          </cell>
          <cell r="I302">
            <v>0</v>
          </cell>
          <cell r="J302">
            <v>0</v>
          </cell>
          <cell r="K302">
            <v>688212796</v>
          </cell>
        </row>
        <row r="303">
          <cell r="A303">
            <v>111634</v>
          </cell>
          <cell r="B303" t="str">
            <v>ADJUDICACIONES POR TERCER</v>
          </cell>
          <cell r="C303">
            <v>674302224</v>
          </cell>
          <cell r="D303">
            <v>235920306</v>
          </cell>
          <cell r="E303">
            <v>438381918</v>
          </cell>
          <cell r="F303">
            <v>0</v>
          </cell>
          <cell r="G303">
            <v>438381918</v>
          </cell>
          <cell r="H303">
            <v>0</v>
          </cell>
          <cell r="I303">
            <v>0</v>
          </cell>
          <cell r="J303">
            <v>0</v>
          </cell>
          <cell r="K303">
            <v>438381918</v>
          </cell>
        </row>
        <row r="304">
          <cell r="A304">
            <v>111636</v>
          </cell>
          <cell r="B304" t="str">
            <v>DEUDORES ARRENDATARIOS</v>
          </cell>
          <cell r="C304">
            <v>43985956</v>
          </cell>
          <cell r="D304">
            <v>23330812</v>
          </cell>
          <cell r="E304">
            <v>20655144</v>
          </cell>
          <cell r="F304">
            <v>0</v>
          </cell>
          <cell r="G304">
            <v>20655144</v>
          </cell>
          <cell r="H304">
            <v>0</v>
          </cell>
          <cell r="I304">
            <v>0</v>
          </cell>
          <cell r="J304">
            <v>0</v>
          </cell>
          <cell r="K304">
            <v>20655144</v>
          </cell>
        </row>
        <row r="305">
          <cell r="A305">
            <v>111637</v>
          </cell>
          <cell r="B305" t="str">
            <v>PROVISION DEUDORES ARREND</v>
          </cell>
          <cell r="C305">
            <v>134538363</v>
          </cell>
          <cell r="D305">
            <v>214457910</v>
          </cell>
          <cell r="E305">
            <v>0</v>
          </cell>
          <cell r="F305">
            <v>79919547</v>
          </cell>
          <cell r="G305">
            <v>0</v>
          </cell>
          <cell r="H305">
            <v>79919547</v>
          </cell>
          <cell r="I305">
            <v>0</v>
          </cell>
          <cell r="J305">
            <v>0</v>
          </cell>
          <cell r="K305">
            <v>-79919547</v>
          </cell>
        </row>
        <row r="306">
          <cell r="A306">
            <v>111638</v>
          </cell>
          <cell r="B306" t="str">
            <v>COMISIONES POR COBRAR RV</v>
          </cell>
          <cell r="C306">
            <v>5626612</v>
          </cell>
          <cell r="D306">
            <v>1874384</v>
          </cell>
          <cell r="E306">
            <v>3752228</v>
          </cell>
          <cell r="F306">
            <v>0</v>
          </cell>
          <cell r="G306">
            <v>3752228</v>
          </cell>
          <cell r="H306">
            <v>0</v>
          </cell>
          <cell r="I306">
            <v>0</v>
          </cell>
          <cell r="J306">
            <v>0</v>
          </cell>
          <cell r="K306">
            <v>3752228</v>
          </cell>
        </row>
        <row r="307">
          <cell r="A307">
            <v>111640</v>
          </cell>
          <cell r="B307" t="str">
            <v>DIVIDENDO POR COBRAR CIME</v>
          </cell>
          <cell r="C307">
            <v>25865992</v>
          </cell>
          <cell r="D307">
            <v>17562610</v>
          </cell>
          <cell r="E307">
            <v>8303382</v>
          </cell>
          <cell r="F307">
            <v>0</v>
          </cell>
          <cell r="G307">
            <v>8303382</v>
          </cell>
          <cell r="H307">
            <v>0</v>
          </cell>
          <cell r="I307">
            <v>0</v>
          </cell>
          <cell r="J307">
            <v>0</v>
          </cell>
          <cell r="K307">
            <v>8303382</v>
          </cell>
        </row>
        <row r="308">
          <cell r="A308">
            <v>111641</v>
          </cell>
          <cell r="B308" t="str">
            <v>DIVIDENDO POR COBRAR CONC</v>
          </cell>
          <cell r="C308">
            <v>184620697</v>
          </cell>
          <cell r="D308">
            <v>123373059</v>
          </cell>
          <cell r="E308">
            <v>61247638</v>
          </cell>
          <cell r="F308">
            <v>0</v>
          </cell>
          <cell r="G308">
            <v>61247638</v>
          </cell>
          <cell r="H308">
            <v>0</v>
          </cell>
          <cell r="I308">
            <v>0</v>
          </cell>
          <cell r="J308">
            <v>0</v>
          </cell>
          <cell r="K308">
            <v>61247638</v>
          </cell>
        </row>
        <row r="309">
          <cell r="A309">
            <v>111642</v>
          </cell>
          <cell r="B309" t="str">
            <v>DIVIDENDO POR COBRAR HLC</v>
          </cell>
          <cell r="C309">
            <v>4551900373</v>
          </cell>
          <cell r="D309">
            <v>3046712536</v>
          </cell>
          <cell r="E309">
            <v>1505187837</v>
          </cell>
          <cell r="F309">
            <v>0</v>
          </cell>
          <cell r="G309">
            <v>1505187837</v>
          </cell>
          <cell r="H309">
            <v>0</v>
          </cell>
          <cell r="I309">
            <v>0</v>
          </cell>
          <cell r="J309">
            <v>0</v>
          </cell>
          <cell r="K309">
            <v>1505187837</v>
          </cell>
        </row>
        <row r="310">
          <cell r="A310">
            <v>111643</v>
          </cell>
          <cell r="B310" t="str">
            <v>DIVIDENDO POR COBRAR MUTU</v>
          </cell>
          <cell r="C310">
            <v>26029863</v>
          </cell>
          <cell r="D310">
            <v>14992542</v>
          </cell>
          <cell r="E310">
            <v>11037321</v>
          </cell>
          <cell r="F310">
            <v>0</v>
          </cell>
          <cell r="G310">
            <v>11037321</v>
          </cell>
          <cell r="H310">
            <v>0</v>
          </cell>
          <cell r="I310">
            <v>0</v>
          </cell>
          <cell r="J310">
            <v>0</v>
          </cell>
          <cell r="K310">
            <v>11037321</v>
          </cell>
        </row>
        <row r="311">
          <cell r="A311">
            <v>111644</v>
          </cell>
          <cell r="B311" t="str">
            <v>DIVIDENDO POR COBRAR MUTU</v>
          </cell>
          <cell r="C311">
            <v>14857482089</v>
          </cell>
          <cell r="D311">
            <v>14021157422</v>
          </cell>
          <cell r="E311">
            <v>836324667</v>
          </cell>
          <cell r="F311">
            <v>0</v>
          </cell>
          <cell r="G311">
            <v>836324667</v>
          </cell>
          <cell r="H311">
            <v>0</v>
          </cell>
          <cell r="I311">
            <v>0</v>
          </cell>
          <cell r="J311">
            <v>0</v>
          </cell>
          <cell r="K311">
            <v>836324667</v>
          </cell>
        </row>
        <row r="312">
          <cell r="A312">
            <v>111645</v>
          </cell>
          <cell r="B312" t="str">
            <v>ANTICIPO COMISIONES/PREMI</v>
          </cell>
          <cell r="C312">
            <v>23160004</v>
          </cell>
          <cell r="D312">
            <v>18650000</v>
          </cell>
          <cell r="E312">
            <v>4510004</v>
          </cell>
          <cell r="F312">
            <v>0</v>
          </cell>
          <cell r="G312">
            <v>4510004</v>
          </cell>
          <cell r="H312">
            <v>0</v>
          </cell>
          <cell r="I312">
            <v>0</v>
          </cell>
          <cell r="J312">
            <v>0</v>
          </cell>
          <cell r="K312">
            <v>4510004</v>
          </cell>
        </row>
        <row r="313">
          <cell r="A313">
            <v>111648</v>
          </cell>
          <cell r="B313" t="str">
            <v>GARANTIA FINANCIAMIENTO P</v>
          </cell>
          <cell r="C313">
            <v>8020854716</v>
          </cell>
          <cell r="D313">
            <v>1211309040</v>
          </cell>
          <cell r="E313">
            <v>6809545676</v>
          </cell>
          <cell r="F313">
            <v>0</v>
          </cell>
          <cell r="G313">
            <v>6809545676</v>
          </cell>
          <cell r="H313">
            <v>0</v>
          </cell>
          <cell r="I313">
            <v>0</v>
          </cell>
          <cell r="J313">
            <v>0</v>
          </cell>
          <cell r="K313">
            <v>6809545676</v>
          </cell>
        </row>
        <row r="314">
          <cell r="A314">
            <v>111649</v>
          </cell>
          <cell r="B314" t="str">
            <v>FINANCIAMIENTO POR APLICA</v>
          </cell>
          <cell r="C314">
            <v>11654767087</v>
          </cell>
          <cell r="D314">
            <v>24826571</v>
          </cell>
          <cell r="E314">
            <v>11629940516</v>
          </cell>
          <cell r="F314">
            <v>0</v>
          </cell>
          <cell r="G314">
            <v>11629940516</v>
          </cell>
          <cell r="H314">
            <v>0</v>
          </cell>
          <cell r="I314">
            <v>0</v>
          </cell>
          <cell r="J314">
            <v>0</v>
          </cell>
          <cell r="K314">
            <v>11629940516</v>
          </cell>
        </row>
        <row r="315">
          <cell r="A315">
            <v>111650</v>
          </cell>
          <cell r="B315" t="str">
            <v>TASACIONES NUEVAS X COBRA</v>
          </cell>
          <cell r="C315">
            <v>1221029</v>
          </cell>
          <cell r="D315">
            <v>542602</v>
          </cell>
          <cell r="E315">
            <v>678427</v>
          </cell>
          <cell r="F315">
            <v>0</v>
          </cell>
          <cell r="G315">
            <v>678427</v>
          </cell>
          <cell r="H315">
            <v>0</v>
          </cell>
          <cell r="I315">
            <v>0</v>
          </cell>
          <cell r="J315">
            <v>0</v>
          </cell>
          <cell r="K315">
            <v>678427</v>
          </cell>
        </row>
        <row r="316">
          <cell r="A316">
            <v>111651</v>
          </cell>
          <cell r="B316" t="str">
            <v>TASACIONES USADOS X COBRA</v>
          </cell>
          <cell r="C316">
            <v>0</v>
          </cell>
          <cell r="D316">
            <v>0</v>
          </cell>
          <cell r="E316">
            <v>0</v>
          </cell>
          <cell r="F316">
            <v>0</v>
          </cell>
          <cell r="G316">
            <v>0</v>
          </cell>
          <cell r="H316">
            <v>0</v>
          </cell>
          <cell r="I316">
            <v>0</v>
          </cell>
          <cell r="J316">
            <v>0</v>
          </cell>
          <cell r="K316">
            <v>0</v>
          </cell>
        </row>
        <row r="317">
          <cell r="A317">
            <v>111652</v>
          </cell>
          <cell r="B317" t="str">
            <v>INTERESES EN MORA ARRIEND</v>
          </cell>
          <cell r="C317">
            <v>8595037</v>
          </cell>
          <cell r="D317">
            <v>4430089</v>
          </cell>
          <cell r="E317">
            <v>4164948</v>
          </cell>
          <cell r="F317">
            <v>0</v>
          </cell>
          <cell r="G317">
            <v>4164948</v>
          </cell>
          <cell r="H317">
            <v>0</v>
          </cell>
          <cell r="I317">
            <v>0</v>
          </cell>
          <cell r="J317">
            <v>0</v>
          </cell>
          <cell r="K317">
            <v>4164948</v>
          </cell>
        </row>
        <row r="318">
          <cell r="A318">
            <v>111653</v>
          </cell>
          <cell r="B318" t="str">
            <v>INTERESES EN MORA FINANCI</v>
          </cell>
          <cell r="C318">
            <v>6860832</v>
          </cell>
          <cell r="D318">
            <v>2708840</v>
          </cell>
          <cell r="E318">
            <v>4151992</v>
          </cell>
          <cell r="F318">
            <v>0</v>
          </cell>
          <cell r="G318">
            <v>4151992</v>
          </cell>
          <cell r="H318">
            <v>0</v>
          </cell>
          <cell r="I318">
            <v>0</v>
          </cell>
          <cell r="J318">
            <v>0</v>
          </cell>
          <cell r="K318">
            <v>4151992</v>
          </cell>
        </row>
        <row r="319">
          <cell r="A319">
            <v>111655</v>
          </cell>
          <cell r="B319" t="str">
            <v>GARANTIAS POR COBRAR PROY</v>
          </cell>
          <cell r="C319">
            <v>5634780163</v>
          </cell>
          <cell r="D319">
            <v>699365950</v>
          </cell>
          <cell r="E319">
            <v>4935414213</v>
          </cell>
          <cell r="F319">
            <v>0</v>
          </cell>
          <cell r="G319">
            <v>4935414213</v>
          </cell>
          <cell r="H319">
            <v>0</v>
          </cell>
          <cell r="I319">
            <v>0</v>
          </cell>
          <cell r="J319">
            <v>0</v>
          </cell>
          <cell r="K319">
            <v>4935414213</v>
          </cell>
        </row>
        <row r="320">
          <cell r="A320">
            <v>111660</v>
          </cell>
          <cell r="B320" t="str">
            <v>DETERIORO FONDOS DE GESTI</v>
          </cell>
          <cell r="C320">
            <v>0</v>
          </cell>
          <cell r="D320">
            <v>500000</v>
          </cell>
          <cell r="E320">
            <v>0</v>
          </cell>
          <cell r="F320">
            <v>500000</v>
          </cell>
          <cell r="G320">
            <v>0</v>
          </cell>
          <cell r="H320">
            <v>500000</v>
          </cell>
          <cell r="I320">
            <v>0</v>
          </cell>
          <cell r="J320">
            <v>0</v>
          </cell>
          <cell r="K320">
            <v>-500000</v>
          </cell>
        </row>
        <row r="321">
          <cell r="A321">
            <v>111661</v>
          </cell>
          <cell r="B321" t="str">
            <v>DETERIORO CTA CTE X COBRA</v>
          </cell>
          <cell r="C321">
            <v>0</v>
          </cell>
          <cell r="D321">
            <v>56560</v>
          </cell>
          <cell r="E321">
            <v>0</v>
          </cell>
          <cell r="F321">
            <v>56560</v>
          </cell>
          <cell r="G321">
            <v>0</v>
          </cell>
          <cell r="H321">
            <v>56560</v>
          </cell>
          <cell r="I321">
            <v>0</v>
          </cell>
          <cell r="J321">
            <v>0</v>
          </cell>
          <cell r="K321">
            <v>-56560</v>
          </cell>
        </row>
        <row r="322">
          <cell r="A322">
            <v>111662</v>
          </cell>
          <cell r="B322" t="str">
            <v>DETERIORO GARANTIAS X COB</v>
          </cell>
          <cell r="C322">
            <v>0</v>
          </cell>
          <cell r="D322">
            <v>0</v>
          </cell>
          <cell r="E322">
            <v>0</v>
          </cell>
          <cell r="F322">
            <v>0</v>
          </cell>
          <cell r="G322">
            <v>0</v>
          </cell>
          <cell r="H322">
            <v>0</v>
          </cell>
          <cell r="I322">
            <v>0</v>
          </cell>
          <cell r="J322">
            <v>0</v>
          </cell>
          <cell r="K322">
            <v>0</v>
          </cell>
        </row>
        <row r="323">
          <cell r="A323">
            <v>111663</v>
          </cell>
          <cell r="B323" t="str">
            <v>DETERIORO CTAS X COBRAR I</v>
          </cell>
          <cell r="C323">
            <v>0</v>
          </cell>
          <cell r="D323">
            <v>719576</v>
          </cell>
          <cell r="E323">
            <v>0</v>
          </cell>
          <cell r="F323">
            <v>719576</v>
          </cell>
          <cell r="G323">
            <v>0</v>
          </cell>
          <cell r="H323">
            <v>719576</v>
          </cell>
          <cell r="I323">
            <v>0</v>
          </cell>
          <cell r="J323">
            <v>0</v>
          </cell>
          <cell r="K323">
            <v>-719576</v>
          </cell>
        </row>
        <row r="324">
          <cell r="A324">
            <v>111664</v>
          </cell>
          <cell r="B324" t="str">
            <v>FONDO A RENDIR DIS</v>
          </cell>
          <cell r="C324">
            <v>10306383</v>
          </cell>
          <cell r="D324">
            <v>0</v>
          </cell>
          <cell r="E324">
            <v>10306383</v>
          </cell>
          <cell r="F324">
            <v>0</v>
          </cell>
          <cell r="G324">
            <v>10306383</v>
          </cell>
          <cell r="H324">
            <v>0</v>
          </cell>
          <cell r="I324">
            <v>0</v>
          </cell>
          <cell r="J324">
            <v>0</v>
          </cell>
          <cell r="K324">
            <v>10306383</v>
          </cell>
        </row>
        <row r="325">
          <cell r="A325">
            <v>111666</v>
          </cell>
          <cell r="B325" t="str">
            <v>IVA ARRIENDO POR COBRAR</v>
          </cell>
          <cell r="C325">
            <v>35964127</v>
          </cell>
          <cell r="D325">
            <v>0</v>
          </cell>
          <cell r="E325">
            <v>35964127</v>
          </cell>
          <cell r="F325">
            <v>0</v>
          </cell>
          <cell r="G325">
            <v>35964127</v>
          </cell>
          <cell r="H325">
            <v>0</v>
          </cell>
          <cell r="I325">
            <v>0</v>
          </cell>
          <cell r="J325">
            <v>0</v>
          </cell>
          <cell r="K325">
            <v>35964127</v>
          </cell>
        </row>
        <row r="326">
          <cell r="A326">
            <v>111668</v>
          </cell>
          <cell r="B326" t="str">
            <v>DESARROLLOS INMOBILIARIOS</v>
          </cell>
          <cell r="C326">
            <v>584363949</v>
          </cell>
          <cell r="D326">
            <v>584363949</v>
          </cell>
          <cell r="E326">
            <v>0</v>
          </cell>
          <cell r="F326">
            <v>0</v>
          </cell>
          <cell r="G326">
            <v>0</v>
          </cell>
          <cell r="H326">
            <v>0</v>
          </cell>
          <cell r="I326">
            <v>0</v>
          </cell>
          <cell r="J326">
            <v>0</v>
          </cell>
          <cell r="K326">
            <v>0</v>
          </cell>
        </row>
        <row r="327">
          <cell r="A327">
            <v>111703</v>
          </cell>
          <cell r="B327" t="str">
            <v>PAGOS PROVISIONALES MENSU</v>
          </cell>
          <cell r="C327">
            <v>1252634576</v>
          </cell>
          <cell r="D327">
            <v>938044</v>
          </cell>
          <cell r="E327">
            <v>1251696532</v>
          </cell>
          <cell r="F327">
            <v>0</v>
          </cell>
          <cell r="G327">
            <v>1251696532</v>
          </cell>
          <cell r="H327">
            <v>0</v>
          </cell>
          <cell r="I327">
            <v>0</v>
          </cell>
          <cell r="J327">
            <v>0</v>
          </cell>
          <cell r="K327">
            <v>1251696532</v>
          </cell>
        </row>
        <row r="328">
          <cell r="A328">
            <v>111705</v>
          </cell>
          <cell r="B328" t="str">
            <v>IVA CREDITO FISCAL</v>
          </cell>
          <cell r="C328">
            <v>592541753</v>
          </cell>
          <cell r="D328">
            <v>148764728</v>
          </cell>
          <cell r="E328">
            <v>443777025</v>
          </cell>
          <cell r="F328">
            <v>0</v>
          </cell>
          <cell r="G328">
            <v>443777025</v>
          </cell>
          <cell r="H328">
            <v>0</v>
          </cell>
          <cell r="I328">
            <v>0</v>
          </cell>
          <cell r="J328">
            <v>0</v>
          </cell>
          <cell r="K328">
            <v>443777025</v>
          </cell>
        </row>
        <row r="329">
          <cell r="A329">
            <v>111706</v>
          </cell>
          <cell r="B329" t="str">
            <v>IMPUESTOS POR COBRAR</v>
          </cell>
          <cell r="C329">
            <v>177320874</v>
          </cell>
          <cell r="D329">
            <v>0</v>
          </cell>
          <cell r="E329">
            <v>177320874</v>
          </cell>
          <cell r="F329">
            <v>0</v>
          </cell>
          <cell r="G329">
            <v>177320874</v>
          </cell>
          <cell r="H329">
            <v>0</v>
          </cell>
          <cell r="I329">
            <v>0</v>
          </cell>
          <cell r="J329">
            <v>0</v>
          </cell>
          <cell r="K329">
            <v>177320874</v>
          </cell>
        </row>
        <row r="330">
          <cell r="A330">
            <v>111707</v>
          </cell>
          <cell r="B330" t="str">
            <v>CAPACITACION DEL PERSONAL</v>
          </cell>
          <cell r="C330">
            <v>43831937</v>
          </cell>
          <cell r="D330">
            <v>50985</v>
          </cell>
          <cell r="E330">
            <v>43780952</v>
          </cell>
          <cell r="F330">
            <v>0</v>
          </cell>
          <cell r="G330">
            <v>43780952</v>
          </cell>
          <cell r="H330">
            <v>0</v>
          </cell>
          <cell r="I330">
            <v>0</v>
          </cell>
          <cell r="J330">
            <v>0</v>
          </cell>
          <cell r="K330">
            <v>43780952</v>
          </cell>
        </row>
        <row r="331">
          <cell r="A331">
            <v>111708</v>
          </cell>
          <cell r="B331" t="str">
            <v>CREDITO ACT. FIJO ART. 33</v>
          </cell>
          <cell r="C331">
            <v>0</v>
          </cell>
          <cell r="D331">
            <v>0</v>
          </cell>
          <cell r="E331">
            <v>0</v>
          </cell>
          <cell r="F331">
            <v>0</v>
          </cell>
          <cell r="G331">
            <v>0</v>
          </cell>
          <cell r="H331">
            <v>0</v>
          </cell>
          <cell r="I331">
            <v>0</v>
          </cell>
          <cell r="J331">
            <v>0</v>
          </cell>
          <cell r="K331">
            <v>0</v>
          </cell>
        </row>
        <row r="332">
          <cell r="A332">
            <v>111709</v>
          </cell>
          <cell r="B332" t="str">
            <v>REMANENTE CREDITO FISCAL</v>
          </cell>
          <cell r="C332">
            <v>0</v>
          </cell>
          <cell r="D332">
            <v>0</v>
          </cell>
          <cell r="E332">
            <v>0</v>
          </cell>
          <cell r="F332">
            <v>0</v>
          </cell>
          <cell r="G332">
            <v>0</v>
          </cell>
          <cell r="H332">
            <v>0</v>
          </cell>
          <cell r="I332">
            <v>0</v>
          </cell>
          <cell r="J332">
            <v>0</v>
          </cell>
          <cell r="K332">
            <v>0</v>
          </cell>
        </row>
        <row r="333">
          <cell r="A333">
            <v>111710</v>
          </cell>
          <cell r="B333" t="str">
            <v>OTRAS CTAS POR COBRAR INM</v>
          </cell>
          <cell r="C333">
            <v>207748218</v>
          </cell>
          <cell r="D333">
            <v>192821947</v>
          </cell>
          <cell r="E333">
            <v>14926271</v>
          </cell>
          <cell r="F333">
            <v>0</v>
          </cell>
          <cell r="G333">
            <v>14926271</v>
          </cell>
          <cell r="H333">
            <v>0</v>
          </cell>
          <cell r="I333">
            <v>0</v>
          </cell>
          <cell r="J333">
            <v>0</v>
          </cell>
          <cell r="K333">
            <v>14926271</v>
          </cell>
        </row>
        <row r="334">
          <cell r="A334">
            <v>111711</v>
          </cell>
          <cell r="B334" t="str">
            <v>PAGO PROVISIONALES MENSUA</v>
          </cell>
          <cell r="C334">
            <v>0</v>
          </cell>
          <cell r="D334">
            <v>0</v>
          </cell>
          <cell r="E334">
            <v>0</v>
          </cell>
          <cell r="F334">
            <v>0</v>
          </cell>
          <cell r="G334">
            <v>0</v>
          </cell>
          <cell r="H334">
            <v>0</v>
          </cell>
          <cell r="I334">
            <v>0</v>
          </cell>
          <cell r="J334">
            <v>0</v>
          </cell>
          <cell r="K334">
            <v>0</v>
          </cell>
        </row>
        <row r="335">
          <cell r="A335">
            <v>111712</v>
          </cell>
          <cell r="B335" t="str">
            <v>CREDITO 4% ART. 104 LIR (</v>
          </cell>
          <cell r="C335">
            <v>20279134</v>
          </cell>
          <cell r="D335">
            <v>0</v>
          </cell>
          <cell r="E335">
            <v>20279134</v>
          </cell>
          <cell r="F335">
            <v>0</v>
          </cell>
          <cell r="G335">
            <v>20279134</v>
          </cell>
          <cell r="H335">
            <v>0</v>
          </cell>
          <cell r="I335">
            <v>0</v>
          </cell>
          <cell r="J335">
            <v>0</v>
          </cell>
          <cell r="K335">
            <v>20279134</v>
          </cell>
        </row>
        <row r="336">
          <cell r="A336">
            <v>111713</v>
          </cell>
          <cell r="B336" t="str">
            <v>DETERIORO CTAS X COBRAR I</v>
          </cell>
          <cell r="C336">
            <v>0</v>
          </cell>
          <cell r="D336">
            <v>1746752</v>
          </cell>
          <cell r="E336">
            <v>0</v>
          </cell>
          <cell r="F336">
            <v>1746752</v>
          </cell>
          <cell r="G336">
            <v>0</v>
          </cell>
          <cell r="H336">
            <v>1746752</v>
          </cell>
          <cell r="I336">
            <v>0</v>
          </cell>
          <cell r="J336">
            <v>0</v>
          </cell>
          <cell r="K336">
            <v>-1746752</v>
          </cell>
        </row>
        <row r="337">
          <cell r="A337">
            <v>111714</v>
          </cell>
          <cell r="B337" t="str">
            <v>DETERIORO CREDITO 4% ART</v>
          </cell>
          <cell r="C337">
            <v>0</v>
          </cell>
          <cell r="D337">
            <v>18856831</v>
          </cell>
          <cell r="E337">
            <v>0</v>
          </cell>
          <cell r="F337">
            <v>18856831</v>
          </cell>
          <cell r="G337">
            <v>0</v>
          </cell>
          <cell r="H337">
            <v>18856831</v>
          </cell>
          <cell r="I337">
            <v>0</v>
          </cell>
          <cell r="J337">
            <v>0</v>
          </cell>
          <cell r="K337">
            <v>-18856831</v>
          </cell>
        </row>
        <row r="338">
          <cell r="A338">
            <v>111801</v>
          </cell>
          <cell r="B338" t="str">
            <v>CUENTA CORRIENTE SOCIEDAD</v>
          </cell>
          <cell r="C338">
            <v>0</v>
          </cell>
          <cell r="D338">
            <v>0</v>
          </cell>
          <cell r="E338">
            <v>0</v>
          </cell>
          <cell r="F338">
            <v>0</v>
          </cell>
          <cell r="G338">
            <v>0</v>
          </cell>
          <cell r="H338">
            <v>0</v>
          </cell>
          <cell r="I338">
            <v>0</v>
          </cell>
          <cell r="J338">
            <v>0</v>
          </cell>
          <cell r="K338">
            <v>0</v>
          </cell>
        </row>
        <row r="339">
          <cell r="A339">
            <v>111802</v>
          </cell>
          <cell r="B339" t="str">
            <v>CUENTA CORRIENTE BRUSA</v>
          </cell>
          <cell r="C339">
            <v>191802060</v>
          </cell>
          <cell r="D339">
            <v>4822717</v>
          </cell>
          <cell r="E339">
            <v>186979343</v>
          </cell>
          <cell r="F339">
            <v>0</v>
          </cell>
          <cell r="G339">
            <v>186979343</v>
          </cell>
          <cell r="H339">
            <v>0</v>
          </cell>
          <cell r="I339">
            <v>0</v>
          </cell>
          <cell r="J339">
            <v>0</v>
          </cell>
          <cell r="K339">
            <v>186979343</v>
          </cell>
        </row>
        <row r="340">
          <cell r="A340">
            <v>111805</v>
          </cell>
          <cell r="B340" t="str">
            <v>INVERSIONES DCV - VIDA</v>
          </cell>
          <cell r="C340">
            <v>62491733</v>
          </cell>
          <cell r="D340">
            <v>846632</v>
          </cell>
          <cell r="E340">
            <v>61645101</v>
          </cell>
          <cell r="F340">
            <v>0</v>
          </cell>
          <cell r="G340">
            <v>61645101</v>
          </cell>
          <cell r="H340">
            <v>0</v>
          </cell>
          <cell r="I340">
            <v>0</v>
          </cell>
          <cell r="J340">
            <v>0</v>
          </cell>
          <cell r="K340">
            <v>61645101</v>
          </cell>
        </row>
        <row r="341">
          <cell r="A341">
            <v>111806</v>
          </cell>
          <cell r="B341" t="str">
            <v>CUENTA CORRIENTE ADM EDIF</v>
          </cell>
          <cell r="C341">
            <v>86772244</v>
          </cell>
          <cell r="D341">
            <v>53772244</v>
          </cell>
          <cell r="E341">
            <v>33000000</v>
          </cell>
          <cell r="F341">
            <v>0</v>
          </cell>
          <cell r="G341">
            <v>33000000</v>
          </cell>
          <cell r="H341">
            <v>0</v>
          </cell>
          <cell r="I341">
            <v>0</v>
          </cell>
          <cell r="J341">
            <v>0</v>
          </cell>
          <cell r="K341">
            <v>33000000</v>
          </cell>
        </row>
        <row r="342">
          <cell r="A342">
            <v>111807</v>
          </cell>
          <cell r="B342" t="str">
            <v>CUENTA CORRIENTE COMUNIDA</v>
          </cell>
          <cell r="C342">
            <v>0</v>
          </cell>
          <cell r="D342">
            <v>0</v>
          </cell>
          <cell r="E342">
            <v>0</v>
          </cell>
          <cell r="F342">
            <v>0</v>
          </cell>
          <cell r="G342">
            <v>0</v>
          </cell>
          <cell r="H342">
            <v>0</v>
          </cell>
          <cell r="I342">
            <v>0</v>
          </cell>
          <cell r="J342">
            <v>0</v>
          </cell>
          <cell r="K342">
            <v>0</v>
          </cell>
        </row>
        <row r="343">
          <cell r="A343">
            <v>111809</v>
          </cell>
          <cell r="B343" t="str">
            <v>CUENTA CORRIENTE POR COBR</v>
          </cell>
          <cell r="C343">
            <v>0</v>
          </cell>
          <cell r="D343">
            <v>0</v>
          </cell>
          <cell r="E343">
            <v>0</v>
          </cell>
          <cell r="F343">
            <v>0</v>
          </cell>
          <cell r="G343">
            <v>0</v>
          </cell>
          <cell r="H343">
            <v>0</v>
          </cell>
          <cell r="I343">
            <v>0</v>
          </cell>
          <cell r="J343">
            <v>0</v>
          </cell>
          <cell r="K343">
            <v>0</v>
          </cell>
        </row>
        <row r="344">
          <cell r="A344">
            <v>111810</v>
          </cell>
          <cell r="B344" t="str">
            <v>INMOBILARIA APOQUINDO 200</v>
          </cell>
          <cell r="C344">
            <v>0</v>
          </cell>
          <cell r="D344">
            <v>0</v>
          </cell>
          <cell r="E344">
            <v>0</v>
          </cell>
          <cell r="F344">
            <v>0</v>
          </cell>
          <cell r="G344">
            <v>0</v>
          </cell>
          <cell r="H344">
            <v>0</v>
          </cell>
          <cell r="I344">
            <v>0</v>
          </cell>
          <cell r="J344">
            <v>0</v>
          </cell>
          <cell r="K344">
            <v>0</v>
          </cell>
        </row>
        <row r="345">
          <cell r="A345">
            <v>111811</v>
          </cell>
          <cell r="B345" t="str">
            <v>EDIFICIO BURGOS/APOQUINDO</v>
          </cell>
          <cell r="C345">
            <v>0</v>
          </cell>
          <cell r="D345">
            <v>0</v>
          </cell>
          <cell r="E345">
            <v>0</v>
          </cell>
          <cell r="F345">
            <v>0</v>
          </cell>
          <cell r="G345">
            <v>0</v>
          </cell>
          <cell r="H345">
            <v>0</v>
          </cell>
          <cell r="I345">
            <v>0</v>
          </cell>
          <cell r="J345">
            <v>0</v>
          </cell>
          <cell r="K345">
            <v>0</v>
          </cell>
        </row>
        <row r="346">
          <cell r="A346">
            <v>111813</v>
          </cell>
          <cell r="B346" t="str">
            <v>DETERIORO CTA. CTE. EL CO</v>
          </cell>
          <cell r="C346">
            <v>0</v>
          </cell>
          <cell r="D346">
            <v>446817006</v>
          </cell>
          <cell r="E346">
            <v>0</v>
          </cell>
          <cell r="F346">
            <v>446817006</v>
          </cell>
          <cell r="G346">
            <v>0</v>
          </cell>
          <cell r="H346">
            <v>446817006</v>
          </cell>
          <cell r="I346">
            <v>0</v>
          </cell>
          <cell r="J346">
            <v>0</v>
          </cell>
          <cell r="K346">
            <v>-446817006</v>
          </cell>
        </row>
        <row r="347">
          <cell r="A347">
            <v>111820</v>
          </cell>
          <cell r="B347" t="str">
            <v>INMOB. DES Y CONST SANTO</v>
          </cell>
          <cell r="C347">
            <v>5207353</v>
          </cell>
          <cell r="D347">
            <v>5207353</v>
          </cell>
          <cell r="E347">
            <v>0</v>
          </cell>
          <cell r="F347">
            <v>0</v>
          </cell>
          <cell r="G347">
            <v>0</v>
          </cell>
          <cell r="H347">
            <v>0</v>
          </cell>
          <cell r="I347">
            <v>0</v>
          </cell>
          <cell r="J347">
            <v>0</v>
          </cell>
          <cell r="K347">
            <v>0</v>
          </cell>
        </row>
        <row r="348">
          <cell r="A348">
            <v>111821</v>
          </cell>
          <cell r="B348" t="str">
            <v>SANITARIA BCC. S.A.</v>
          </cell>
          <cell r="C348">
            <v>119649131</v>
          </cell>
          <cell r="D348">
            <v>119649131</v>
          </cell>
          <cell r="E348">
            <v>0</v>
          </cell>
          <cell r="F348">
            <v>0</v>
          </cell>
          <cell r="G348">
            <v>0</v>
          </cell>
          <cell r="H348">
            <v>0</v>
          </cell>
          <cell r="I348">
            <v>0</v>
          </cell>
          <cell r="J348">
            <v>0</v>
          </cell>
          <cell r="K348">
            <v>0</v>
          </cell>
        </row>
        <row r="349">
          <cell r="A349">
            <v>111822</v>
          </cell>
          <cell r="B349" t="str">
            <v>FLUCT. INV. INMOBILIARIA</v>
          </cell>
          <cell r="C349">
            <v>5169413</v>
          </cell>
          <cell r="D349">
            <v>5169413</v>
          </cell>
          <cell r="E349">
            <v>0</v>
          </cell>
          <cell r="F349">
            <v>0</v>
          </cell>
          <cell r="G349">
            <v>0</v>
          </cell>
          <cell r="H349">
            <v>0</v>
          </cell>
          <cell r="I349">
            <v>0</v>
          </cell>
          <cell r="J349">
            <v>0</v>
          </cell>
          <cell r="K349">
            <v>0</v>
          </cell>
        </row>
        <row r="350">
          <cell r="A350">
            <v>111823</v>
          </cell>
          <cell r="B350" t="str">
            <v>FLUCTUACION SOCIEDAD BCC</v>
          </cell>
          <cell r="C350">
            <v>108870220</v>
          </cell>
          <cell r="D350">
            <v>108870220</v>
          </cell>
          <cell r="E350">
            <v>0</v>
          </cell>
          <cell r="F350">
            <v>0</v>
          </cell>
          <cell r="G350">
            <v>0</v>
          </cell>
          <cell r="H350">
            <v>0</v>
          </cell>
          <cell r="I350">
            <v>0</v>
          </cell>
          <cell r="J350">
            <v>0</v>
          </cell>
          <cell r="K350">
            <v>0</v>
          </cell>
        </row>
        <row r="351">
          <cell r="A351">
            <v>111824</v>
          </cell>
          <cell r="B351" t="str">
            <v>FLUCTUACION INMOBILIARIA</v>
          </cell>
          <cell r="C351">
            <v>0</v>
          </cell>
          <cell r="D351">
            <v>0</v>
          </cell>
          <cell r="E351">
            <v>0</v>
          </cell>
          <cell r="F351">
            <v>0</v>
          </cell>
          <cell r="G351">
            <v>0</v>
          </cell>
          <cell r="H351">
            <v>0</v>
          </cell>
          <cell r="I351">
            <v>0</v>
          </cell>
          <cell r="J351">
            <v>0</v>
          </cell>
          <cell r="K351">
            <v>0</v>
          </cell>
        </row>
        <row r="352">
          <cell r="A352">
            <v>111825</v>
          </cell>
          <cell r="B352" t="str">
            <v>COASA LIMITADA</v>
          </cell>
          <cell r="C352">
            <v>0</v>
          </cell>
          <cell r="D352">
            <v>0</v>
          </cell>
          <cell r="E352">
            <v>0</v>
          </cell>
          <cell r="F352">
            <v>0</v>
          </cell>
          <cell r="G352">
            <v>0</v>
          </cell>
          <cell r="H352">
            <v>0</v>
          </cell>
          <cell r="I352">
            <v>0</v>
          </cell>
          <cell r="J352">
            <v>0</v>
          </cell>
          <cell r="K352">
            <v>0</v>
          </cell>
        </row>
        <row r="353">
          <cell r="A353">
            <v>111826</v>
          </cell>
          <cell r="B353" t="str">
            <v>PROYECTO VALLE GRANDE</v>
          </cell>
          <cell r="C353">
            <v>0</v>
          </cell>
          <cell r="D353">
            <v>0</v>
          </cell>
          <cell r="E353">
            <v>0</v>
          </cell>
          <cell r="F353">
            <v>0</v>
          </cell>
          <cell r="G353">
            <v>0</v>
          </cell>
          <cell r="H353">
            <v>0</v>
          </cell>
          <cell r="I353">
            <v>0</v>
          </cell>
          <cell r="J353">
            <v>0</v>
          </cell>
          <cell r="K353">
            <v>0</v>
          </cell>
        </row>
        <row r="354">
          <cell r="A354">
            <v>111827</v>
          </cell>
          <cell r="B354" t="str">
            <v>SOC. INMOB. DON TOMAS S.A</v>
          </cell>
          <cell r="C354">
            <v>57985455</v>
          </cell>
          <cell r="D354">
            <v>57985455</v>
          </cell>
          <cell r="E354">
            <v>0</v>
          </cell>
          <cell r="F354">
            <v>0</v>
          </cell>
          <cell r="G354">
            <v>0</v>
          </cell>
          <cell r="H354">
            <v>0</v>
          </cell>
          <cell r="I354">
            <v>0</v>
          </cell>
          <cell r="J354">
            <v>0</v>
          </cell>
          <cell r="K354">
            <v>0</v>
          </cell>
        </row>
        <row r="355">
          <cell r="A355">
            <v>111828</v>
          </cell>
          <cell r="B355" t="str">
            <v>CTA. CTE. EL COIGUE DOS S</v>
          </cell>
          <cell r="C355">
            <v>695301992</v>
          </cell>
          <cell r="D355">
            <v>248484986</v>
          </cell>
          <cell r="E355">
            <v>446817006</v>
          </cell>
          <cell r="F355">
            <v>0</v>
          </cell>
          <cell r="G355">
            <v>446817006</v>
          </cell>
          <cell r="H355">
            <v>0</v>
          </cell>
          <cell r="I355">
            <v>0</v>
          </cell>
          <cell r="J355">
            <v>0</v>
          </cell>
          <cell r="K355">
            <v>446817006</v>
          </cell>
        </row>
        <row r="356">
          <cell r="A356">
            <v>111829</v>
          </cell>
          <cell r="B356" t="str">
            <v>SOC. INMOB. PARQUE LOS NO</v>
          </cell>
          <cell r="C356">
            <v>118864892</v>
          </cell>
          <cell r="D356">
            <v>118864892</v>
          </cell>
          <cell r="E356">
            <v>0</v>
          </cell>
          <cell r="F356">
            <v>0</v>
          </cell>
          <cell r="G356">
            <v>0</v>
          </cell>
          <cell r="H356">
            <v>0</v>
          </cell>
          <cell r="I356">
            <v>0</v>
          </cell>
          <cell r="J356">
            <v>0</v>
          </cell>
          <cell r="K356">
            <v>0</v>
          </cell>
        </row>
        <row r="357">
          <cell r="A357">
            <v>111831</v>
          </cell>
          <cell r="B357" t="str">
            <v>CTA CTE PROY. PARQUE LOS</v>
          </cell>
          <cell r="C357">
            <v>0</v>
          </cell>
          <cell r="D357">
            <v>0</v>
          </cell>
          <cell r="E357">
            <v>0</v>
          </cell>
          <cell r="F357">
            <v>0</v>
          </cell>
          <cell r="G357">
            <v>0</v>
          </cell>
          <cell r="H357">
            <v>0</v>
          </cell>
          <cell r="I357">
            <v>0</v>
          </cell>
          <cell r="J357">
            <v>0</v>
          </cell>
          <cell r="K357">
            <v>0</v>
          </cell>
        </row>
        <row r="358">
          <cell r="A358">
            <v>111832</v>
          </cell>
          <cell r="B358" t="str">
            <v>NOVAGUAS S.A.</v>
          </cell>
          <cell r="C358">
            <v>30855679</v>
          </cell>
          <cell r="D358">
            <v>30855679</v>
          </cell>
          <cell r="E358">
            <v>0</v>
          </cell>
          <cell r="F358">
            <v>0</v>
          </cell>
          <cell r="G358">
            <v>0</v>
          </cell>
          <cell r="H358">
            <v>0</v>
          </cell>
          <cell r="I358">
            <v>0</v>
          </cell>
          <cell r="J358">
            <v>0</v>
          </cell>
          <cell r="K358">
            <v>0</v>
          </cell>
        </row>
        <row r="359">
          <cell r="A359">
            <v>111833</v>
          </cell>
          <cell r="B359" t="str">
            <v>CTA CTE NOVATERRA S.A.</v>
          </cell>
          <cell r="C359">
            <v>0</v>
          </cell>
          <cell r="D359">
            <v>0</v>
          </cell>
          <cell r="E359">
            <v>0</v>
          </cell>
          <cell r="F359">
            <v>0</v>
          </cell>
          <cell r="G359">
            <v>0</v>
          </cell>
          <cell r="H359">
            <v>0</v>
          </cell>
          <cell r="I359">
            <v>0</v>
          </cell>
          <cell r="J359">
            <v>0</v>
          </cell>
          <cell r="K359">
            <v>0</v>
          </cell>
        </row>
        <row r="360">
          <cell r="A360">
            <v>111834</v>
          </cell>
          <cell r="B360" t="str">
            <v>CTA CTE PARQUE LOS NOGALE</v>
          </cell>
          <cell r="C360">
            <v>1022380360</v>
          </cell>
          <cell r="D360">
            <v>1022380360</v>
          </cell>
          <cell r="E360">
            <v>0</v>
          </cell>
          <cell r="F360">
            <v>0</v>
          </cell>
          <cell r="G360">
            <v>0</v>
          </cell>
          <cell r="H360">
            <v>0</v>
          </cell>
          <cell r="I360">
            <v>0</v>
          </cell>
          <cell r="J360">
            <v>0</v>
          </cell>
          <cell r="K360">
            <v>0</v>
          </cell>
        </row>
        <row r="361">
          <cell r="A361">
            <v>111835</v>
          </cell>
          <cell r="B361" t="str">
            <v>CTA CTE AGUAS NOVA S.A.</v>
          </cell>
          <cell r="C361">
            <v>1097752037</v>
          </cell>
          <cell r="D361">
            <v>1097752037</v>
          </cell>
          <cell r="E361">
            <v>0</v>
          </cell>
          <cell r="F361">
            <v>0</v>
          </cell>
          <cell r="G361">
            <v>0</v>
          </cell>
          <cell r="H361">
            <v>0</v>
          </cell>
          <cell r="I361">
            <v>0</v>
          </cell>
          <cell r="J361">
            <v>0</v>
          </cell>
          <cell r="K361">
            <v>0</v>
          </cell>
        </row>
        <row r="362">
          <cell r="A362">
            <v>111836</v>
          </cell>
          <cell r="B362" t="str">
            <v>AJUSTE ADOPCION FONDO DE</v>
          </cell>
          <cell r="C362">
            <v>40075757</v>
          </cell>
          <cell r="D362">
            <v>40075757</v>
          </cell>
          <cell r="E362">
            <v>0</v>
          </cell>
          <cell r="F362">
            <v>0</v>
          </cell>
          <cell r="G362">
            <v>0</v>
          </cell>
          <cell r="H362">
            <v>0</v>
          </cell>
          <cell r="I362">
            <v>0</v>
          </cell>
          <cell r="J362">
            <v>0</v>
          </cell>
          <cell r="K362">
            <v>0</v>
          </cell>
        </row>
        <row r="363">
          <cell r="A363">
            <v>111837</v>
          </cell>
          <cell r="B363" t="str">
            <v>AJUSTE ADOPCION FONDO DE</v>
          </cell>
          <cell r="C363">
            <v>76938038</v>
          </cell>
          <cell r="D363">
            <v>0</v>
          </cell>
          <cell r="E363">
            <v>76938038</v>
          </cell>
          <cell r="F363">
            <v>0</v>
          </cell>
          <cell r="G363">
            <v>76938038</v>
          </cell>
          <cell r="H363">
            <v>0</v>
          </cell>
          <cell r="I363">
            <v>0</v>
          </cell>
          <cell r="J363">
            <v>0</v>
          </cell>
          <cell r="K363">
            <v>76938038</v>
          </cell>
        </row>
        <row r="364">
          <cell r="A364">
            <v>111838</v>
          </cell>
          <cell r="B364" t="str">
            <v>CTA CTE INMOB SANTO TOMAS</v>
          </cell>
          <cell r="C364">
            <v>367227077</v>
          </cell>
          <cell r="D364">
            <v>367227077</v>
          </cell>
          <cell r="E364">
            <v>0</v>
          </cell>
          <cell r="F364">
            <v>0</v>
          </cell>
          <cell r="G364">
            <v>0</v>
          </cell>
          <cell r="H364">
            <v>0</v>
          </cell>
          <cell r="I364">
            <v>0</v>
          </cell>
          <cell r="J364">
            <v>0</v>
          </cell>
          <cell r="K364">
            <v>0</v>
          </cell>
        </row>
        <row r="365">
          <cell r="A365">
            <v>111839</v>
          </cell>
          <cell r="B365" t="str">
            <v>CTA CTE SANITARIA BCC S.A</v>
          </cell>
          <cell r="C365">
            <v>607585778</v>
          </cell>
          <cell r="D365">
            <v>607585778</v>
          </cell>
          <cell r="E365">
            <v>0</v>
          </cell>
          <cell r="F365">
            <v>0</v>
          </cell>
          <cell r="G365">
            <v>0</v>
          </cell>
          <cell r="H365">
            <v>0</v>
          </cell>
          <cell r="I365">
            <v>0</v>
          </cell>
          <cell r="J365">
            <v>0</v>
          </cell>
          <cell r="K365">
            <v>0</v>
          </cell>
        </row>
        <row r="366">
          <cell r="A366">
            <v>111840</v>
          </cell>
          <cell r="B366" t="str">
            <v>SOC. INMOB. PARQUE QUINTA</v>
          </cell>
          <cell r="C366">
            <v>0</v>
          </cell>
          <cell r="D366">
            <v>0</v>
          </cell>
          <cell r="E366">
            <v>0</v>
          </cell>
          <cell r="F366">
            <v>0</v>
          </cell>
          <cell r="G366">
            <v>0</v>
          </cell>
          <cell r="H366">
            <v>0</v>
          </cell>
          <cell r="I366">
            <v>0</v>
          </cell>
          <cell r="J366">
            <v>0</v>
          </cell>
          <cell r="K366">
            <v>0</v>
          </cell>
        </row>
        <row r="367">
          <cell r="A367">
            <v>111841</v>
          </cell>
          <cell r="B367" t="str">
            <v>INMOBILIARIA PARQUE QUINT</v>
          </cell>
          <cell r="C367">
            <v>461359313</v>
          </cell>
          <cell r="D367">
            <v>461359313</v>
          </cell>
          <cell r="E367">
            <v>0</v>
          </cell>
          <cell r="F367">
            <v>0</v>
          </cell>
          <cell r="G367">
            <v>0</v>
          </cell>
          <cell r="H367">
            <v>0</v>
          </cell>
          <cell r="I367">
            <v>0</v>
          </cell>
          <cell r="J367">
            <v>0</v>
          </cell>
          <cell r="K367">
            <v>0</v>
          </cell>
        </row>
        <row r="368">
          <cell r="A368">
            <v>111842</v>
          </cell>
          <cell r="B368" t="str">
            <v>PIEDRA ROJA DESARROLLOS I</v>
          </cell>
          <cell r="C368">
            <v>5881168199</v>
          </cell>
          <cell r="D368">
            <v>717650240</v>
          </cell>
          <cell r="E368">
            <v>5163517959</v>
          </cell>
          <cell r="F368">
            <v>0</v>
          </cell>
          <cell r="G368">
            <v>5163517959</v>
          </cell>
          <cell r="H368">
            <v>0</v>
          </cell>
          <cell r="I368">
            <v>0</v>
          </cell>
          <cell r="J368">
            <v>0</v>
          </cell>
          <cell r="K368">
            <v>5163517959</v>
          </cell>
        </row>
        <row r="369">
          <cell r="A369">
            <v>111843</v>
          </cell>
          <cell r="B369" t="str">
            <v>FLUCTUACION SANITARIA AGU</v>
          </cell>
          <cell r="C369">
            <v>30855678</v>
          </cell>
          <cell r="D369">
            <v>30855678</v>
          </cell>
          <cell r="E369">
            <v>0</v>
          </cell>
          <cell r="F369">
            <v>0</v>
          </cell>
          <cell r="G369">
            <v>0</v>
          </cell>
          <cell r="H369">
            <v>0</v>
          </cell>
          <cell r="I369">
            <v>0</v>
          </cell>
          <cell r="J369">
            <v>0</v>
          </cell>
          <cell r="K369">
            <v>0</v>
          </cell>
        </row>
        <row r="370">
          <cell r="A370">
            <v>111844</v>
          </cell>
          <cell r="B370" t="str">
            <v>INMOBILIARIA EL COIHUE DO</v>
          </cell>
          <cell r="C370">
            <v>134992864</v>
          </cell>
          <cell r="D370">
            <v>134992864</v>
          </cell>
          <cell r="E370">
            <v>0</v>
          </cell>
          <cell r="F370">
            <v>0</v>
          </cell>
          <cell r="G370">
            <v>0</v>
          </cell>
          <cell r="H370">
            <v>0</v>
          </cell>
          <cell r="I370">
            <v>0</v>
          </cell>
          <cell r="J370">
            <v>0</v>
          </cell>
          <cell r="K370">
            <v>0</v>
          </cell>
        </row>
        <row r="371">
          <cell r="A371">
            <v>111845</v>
          </cell>
          <cell r="B371" t="str">
            <v>FLUCTUACION EL COIHUE DOS</v>
          </cell>
          <cell r="C371">
            <v>32289430</v>
          </cell>
          <cell r="D371">
            <v>32289430</v>
          </cell>
          <cell r="E371">
            <v>0</v>
          </cell>
          <cell r="F371">
            <v>0</v>
          </cell>
          <cell r="G371">
            <v>0</v>
          </cell>
          <cell r="H371">
            <v>0</v>
          </cell>
          <cell r="I371">
            <v>0</v>
          </cell>
          <cell r="J371">
            <v>0</v>
          </cell>
          <cell r="K371">
            <v>0</v>
          </cell>
        </row>
        <row r="372">
          <cell r="A372">
            <v>111846</v>
          </cell>
          <cell r="B372" t="str">
            <v>OTROS ACTIVOS VALLE GRAND</v>
          </cell>
          <cell r="C372">
            <v>284870292</v>
          </cell>
          <cell r="D372">
            <v>279854416</v>
          </cell>
          <cell r="E372">
            <v>5015876</v>
          </cell>
          <cell r="F372">
            <v>0</v>
          </cell>
          <cell r="G372">
            <v>5015876</v>
          </cell>
          <cell r="H372">
            <v>0</v>
          </cell>
          <cell r="I372">
            <v>0</v>
          </cell>
          <cell r="J372">
            <v>0</v>
          </cell>
          <cell r="K372">
            <v>5015876</v>
          </cell>
        </row>
        <row r="373">
          <cell r="A373">
            <v>111847</v>
          </cell>
          <cell r="B373" t="str">
            <v>CTA CTE DESARR. CONST VAL</v>
          </cell>
          <cell r="C373">
            <v>22293823</v>
          </cell>
          <cell r="D373">
            <v>22293823</v>
          </cell>
          <cell r="E373">
            <v>0</v>
          </cell>
          <cell r="F373">
            <v>0</v>
          </cell>
          <cell r="G373">
            <v>0</v>
          </cell>
          <cell r="H373">
            <v>0</v>
          </cell>
          <cell r="I373">
            <v>0</v>
          </cell>
          <cell r="J373">
            <v>0</v>
          </cell>
          <cell r="K373">
            <v>0</v>
          </cell>
        </row>
        <row r="374">
          <cell r="A374">
            <v>111848</v>
          </cell>
          <cell r="B374" t="str">
            <v>CTA CTE DESARR. CONST STO</v>
          </cell>
          <cell r="C374">
            <v>147605455</v>
          </cell>
          <cell r="D374">
            <v>147605455</v>
          </cell>
          <cell r="E374">
            <v>0</v>
          </cell>
          <cell r="F374">
            <v>0</v>
          </cell>
          <cell r="G374">
            <v>0</v>
          </cell>
          <cell r="H374">
            <v>0</v>
          </cell>
          <cell r="I374">
            <v>0</v>
          </cell>
          <cell r="J374">
            <v>0</v>
          </cell>
          <cell r="K374">
            <v>0</v>
          </cell>
        </row>
        <row r="375">
          <cell r="A375">
            <v>111850</v>
          </cell>
          <cell r="B375" t="str">
            <v>DES. INMOB. Y CONST. VALL</v>
          </cell>
          <cell r="C375">
            <v>1816817</v>
          </cell>
          <cell r="D375">
            <v>1816817</v>
          </cell>
          <cell r="E375">
            <v>0</v>
          </cell>
          <cell r="F375">
            <v>0</v>
          </cell>
          <cell r="G375">
            <v>0</v>
          </cell>
          <cell r="H375">
            <v>0</v>
          </cell>
          <cell r="I375">
            <v>0</v>
          </cell>
          <cell r="J375">
            <v>0</v>
          </cell>
          <cell r="K375">
            <v>0</v>
          </cell>
        </row>
        <row r="376">
          <cell r="A376">
            <v>111851</v>
          </cell>
          <cell r="B376" t="str">
            <v>DES. INMOB. Y CONST. SANT</v>
          </cell>
          <cell r="C376">
            <v>1845757</v>
          </cell>
          <cell r="D376">
            <v>1845757</v>
          </cell>
          <cell r="E376">
            <v>0</v>
          </cell>
          <cell r="F376">
            <v>0</v>
          </cell>
          <cell r="G376">
            <v>0</v>
          </cell>
          <cell r="H376">
            <v>0</v>
          </cell>
          <cell r="I376">
            <v>0</v>
          </cell>
          <cell r="J376">
            <v>0</v>
          </cell>
          <cell r="K376">
            <v>0</v>
          </cell>
        </row>
        <row r="377">
          <cell r="A377">
            <v>111852</v>
          </cell>
          <cell r="B377" t="str">
            <v>FLUCT. DES. INMOB. Y CONS</v>
          </cell>
          <cell r="C377">
            <v>1838853</v>
          </cell>
          <cell r="D377">
            <v>1838853</v>
          </cell>
          <cell r="E377">
            <v>0</v>
          </cell>
          <cell r="F377">
            <v>0</v>
          </cell>
          <cell r="G377">
            <v>0</v>
          </cell>
          <cell r="H377">
            <v>0</v>
          </cell>
          <cell r="I377">
            <v>0</v>
          </cell>
          <cell r="J377">
            <v>0</v>
          </cell>
          <cell r="K377">
            <v>0</v>
          </cell>
        </row>
        <row r="378">
          <cell r="A378">
            <v>111853</v>
          </cell>
          <cell r="B378" t="str">
            <v>FLUCT. DES. INMOB. Y CONS</v>
          </cell>
          <cell r="C378">
            <v>1838853</v>
          </cell>
          <cell r="D378">
            <v>1838853</v>
          </cell>
          <cell r="E378">
            <v>0</v>
          </cell>
          <cell r="F378">
            <v>0</v>
          </cell>
          <cell r="G378">
            <v>0</v>
          </cell>
          <cell r="H378">
            <v>0</v>
          </cell>
          <cell r="I378">
            <v>0</v>
          </cell>
          <cell r="J378">
            <v>0</v>
          </cell>
          <cell r="K378">
            <v>0</v>
          </cell>
        </row>
        <row r="379">
          <cell r="A379">
            <v>111854</v>
          </cell>
          <cell r="B379" t="str">
            <v>INMOB. PARQUE Q. NORMAL S</v>
          </cell>
          <cell r="C379">
            <v>474976784</v>
          </cell>
          <cell r="D379">
            <v>0</v>
          </cell>
          <cell r="E379">
            <v>474976784</v>
          </cell>
          <cell r="F379">
            <v>0</v>
          </cell>
          <cell r="G379">
            <v>474976784</v>
          </cell>
          <cell r="H379">
            <v>0</v>
          </cell>
          <cell r="I379">
            <v>0</v>
          </cell>
          <cell r="J379">
            <v>0</v>
          </cell>
          <cell r="K379">
            <v>474976784</v>
          </cell>
        </row>
        <row r="380">
          <cell r="A380">
            <v>111855</v>
          </cell>
          <cell r="B380" t="str">
            <v>FLUCT. PARQUE Q. NORMAL S</v>
          </cell>
          <cell r="C380">
            <v>22945</v>
          </cell>
          <cell r="D380">
            <v>294615351</v>
          </cell>
          <cell r="E380">
            <v>0</v>
          </cell>
          <cell r="F380">
            <v>294592406</v>
          </cell>
          <cell r="G380">
            <v>0</v>
          </cell>
          <cell r="H380">
            <v>294592406</v>
          </cell>
          <cell r="I380">
            <v>0</v>
          </cell>
          <cell r="J380">
            <v>0</v>
          </cell>
          <cell r="K380">
            <v>-294592406</v>
          </cell>
        </row>
        <row r="381">
          <cell r="A381">
            <v>111856</v>
          </cell>
          <cell r="B381" t="str">
            <v>INMOBILIARIA BBI S.A.</v>
          </cell>
          <cell r="C381">
            <v>4901964</v>
          </cell>
          <cell r="D381">
            <v>21296</v>
          </cell>
          <cell r="E381">
            <v>4880668</v>
          </cell>
          <cell r="F381">
            <v>0</v>
          </cell>
          <cell r="G381">
            <v>4880668</v>
          </cell>
          <cell r="H381">
            <v>0</v>
          </cell>
          <cell r="I381">
            <v>0</v>
          </cell>
          <cell r="J381">
            <v>0</v>
          </cell>
          <cell r="K381">
            <v>4880668</v>
          </cell>
        </row>
        <row r="382">
          <cell r="A382">
            <v>111857</v>
          </cell>
          <cell r="B382" t="str">
            <v>FLUCT. INMOBILIARIA BBI S</v>
          </cell>
          <cell r="C382">
            <v>33598966</v>
          </cell>
          <cell r="D382">
            <v>15742951</v>
          </cell>
          <cell r="E382">
            <v>17856015</v>
          </cell>
          <cell r="F382">
            <v>0</v>
          </cell>
          <cell r="G382">
            <v>17856015</v>
          </cell>
          <cell r="H382">
            <v>0</v>
          </cell>
          <cell r="I382">
            <v>0</v>
          </cell>
          <cell r="J382">
            <v>0</v>
          </cell>
          <cell r="K382">
            <v>17856015</v>
          </cell>
        </row>
        <row r="383">
          <cell r="A383">
            <v>111858</v>
          </cell>
          <cell r="B383" t="str">
            <v>CTA CTE NOVATERRA 2 S.A.</v>
          </cell>
          <cell r="C383">
            <v>0</v>
          </cell>
          <cell r="D383">
            <v>0</v>
          </cell>
          <cell r="E383">
            <v>0</v>
          </cell>
          <cell r="F383">
            <v>0</v>
          </cell>
          <cell r="G383">
            <v>0</v>
          </cell>
          <cell r="H383">
            <v>0</v>
          </cell>
          <cell r="I383">
            <v>0</v>
          </cell>
          <cell r="J383">
            <v>0</v>
          </cell>
          <cell r="K383">
            <v>0</v>
          </cell>
        </row>
        <row r="384">
          <cell r="A384">
            <v>111859</v>
          </cell>
          <cell r="B384" t="str">
            <v>INMOBILIARIA VICENTE VALD</v>
          </cell>
          <cell r="C384">
            <v>3969772</v>
          </cell>
          <cell r="D384">
            <v>0</v>
          </cell>
          <cell r="E384">
            <v>3969772</v>
          </cell>
          <cell r="F384">
            <v>0</v>
          </cell>
          <cell r="G384">
            <v>3969772</v>
          </cell>
          <cell r="H384">
            <v>0</v>
          </cell>
          <cell r="I384">
            <v>0</v>
          </cell>
          <cell r="J384">
            <v>0</v>
          </cell>
          <cell r="K384">
            <v>3969772</v>
          </cell>
        </row>
        <row r="385">
          <cell r="A385">
            <v>111860</v>
          </cell>
          <cell r="B385" t="str">
            <v>FLUCTUACION INMOB. VICENT</v>
          </cell>
          <cell r="C385">
            <v>34118350</v>
          </cell>
          <cell r="D385">
            <v>30372721</v>
          </cell>
          <cell r="E385">
            <v>3745629</v>
          </cell>
          <cell r="F385">
            <v>0</v>
          </cell>
          <cell r="G385">
            <v>3745629</v>
          </cell>
          <cell r="H385">
            <v>0</v>
          </cell>
          <cell r="I385">
            <v>0</v>
          </cell>
          <cell r="J385">
            <v>0</v>
          </cell>
          <cell r="K385">
            <v>3745629</v>
          </cell>
        </row>
        <row r="386">
          <cell r="A386">
            <v>111861</v>
          </cell>
          <cell r="B386" t="str">
            <v>CTA. CTE. INMOB. VICENTE</v>
          </cell>
          <cell r="C386">
            <v>1464336214</v>
          </cell>
          <cell r="D386">
            <v>3116617</v>
          </cell>
          <cell r="E386">
            <v>1461219597</v>
          </cell>
          <cell r="F386">
            <v>0</v>
          </cell>
          <cell r="G386">
            <v>1461219597</v>
          </cell>
          <cell r="H386">
            <v>0</v>
          </cell>
          <cell r="I386">
            <v>0</v>
          </cell>
          <cell r="J386">
            <v>0</v>
          </cell>
          <cell r="K386">
            <v>1461219597</v>
          </cell>
        </row>
        <row r="387">
          <cell r="A387">
            <v>111862</v>
          </cell>
          <cell r="B387" t="str">
            <v>INMOBILIARIA LOS MORROS S</v>
          </cell>
          <cell r="C387">
            <v>1813382</v>
          </cell>
          <cell r="D387">
            <v>1813382</v>
          </cell>
          <cell r="E387">
            <v>0</v>
          </cell>
          <cell r="F387">
            <v>0</v>
          </cell>
          <cell r="G387">
            <v>0</v>
          </cell>
          <cell r="H387">
            <v>0</v>
          </cell>
          <cell r="I387">
            <v>0</v>
          </cell>
          <cell r="J387">
            <v>0</v>
          </cell>
          <cell r="K387">
            <v>0</v>
          </cell>
        </row>
        <row r="388">
          <cell r="A388">
            <v>111863</v>
          </cell>
          <cell r="B388" t="str">
            <v>CTA. CTE. INMOB. LOS MORR</v>
          </cell>
          <cell r="C388">
            <v>812201131</v>
          </cell>
          <cell r="D388">
            <v>812201131</v>
          </cell>
          <cell r="E388">
            <v>0</v>
          </cell>
          <cell r="F388">
            <v>0</v>
          </cell>
          <cell r="G388">
            <v>0</v>
          </cell>
          <cell r="H388">
            <v>0</v>
          </cell>
          <cell r="I388">
            <v>0</v>
          </cell>
          <cell r="J388">
            <v>0</v>
          </cell>
          <cell r="K388">
            <v>0</v>
          </cell>
        </row>
        <row r="389">
          <cell r="A389">
            <v>111864</v>
          </cell>
          <cell r="B389" t="str">
            <v>CTA. CTE. PIEDRA ROJA DES</v>
          </cell>
          <cell r="C389">
            <v>309292223</v>
          </cell>
          <cell r="D389">
            <v>275718637</v>
          </cell>
          <cell r="E389">
            <v>33573586</v>
          </cell>
          <cell r="F389">
            <v>0</v>
          </cell>
          <cell r="G389">
            <v>33573586</v>
          </cell>
          <cell r="H389">
            <v>0</v>
          </cell>
          <cell r="I389">
            <v>0</v>
          </cell>
          <cell r="J389">
            <v>0</v>
          </cell>
          <cell r="K389">
            <v>33573586</v>
          </cell>
        </row>
        <row r="390">
          <cell r="A390">
            <v>111865</v>
          </cell>
          <cell r="B390" t="str">
            <v>CTA. CTE INMOBILIARIA BBI</v>
          </cell>
          <cell r="C390">
            <v>2202544055</v>
          </cell>
          <cell r="D390">
            <v>4691782</v>
          </cell>
          <cell r="E390">
            <v>2197852273</v>
          </cell>
          <cell r="F390">
            <v>0</v>
          </cell>
          <cell r="G390">
            <v>2197852273</v>
          </cell>
          <cell r="H390">
            <v>0</v>
          </cell>
          <cell r="I390">
            <v>0</v>
          </cell>
          <cell r="J390">
            <v>0</v>
          </cell>
          <cell r="K390">
            <v>2197852273</v>
          </cell>
        </row>
        <row r="391">
          <cell r="A391">
            <v>111867</v>
          </cell>
          <cell r="B391" t="str">
            <v>CTA CTE INMOB. COSTALMAHU</v>
          </cell>
          <cell r="C391">
            <v>157649622</v>
          </cell>
          <cell r="D391">
            <v>157649622</v>
          </cell>
          <cell r="E391">
            <v>0</v>
          </cell>
          <cell r="F391">
            <v>0</v>
          </cell>
          <cell r="G391">
            <v>0</v>
          </cell>
          <cell r="H391">
            <v>0</v>
          </cell>
          <cell r="I391">
            <v>0</v>
          </cell>
          <cell r="J391">
            <v>0</v>
          </cell>
          <cell r="K391">
            <v>0</v>
          </cell>
        </row>
        <row r="392">
          <cell r="A392">
            <v>111868</v>
          </cell>
          <cell r="B392" t="str">
            <v>AJUSTE ADOPCION PARQUE QU</v>
          </cell>
          <cell r="C392">
            <v>0</v>
          </cell>
          <cell r="D392">
            <v>67280677</v>
          </cell>
          <cell r="E392">
            <v>0</v>
          </cell>
          <cell r="F392">
            <v>67280677</v>
          </cell>
          <cell r="G392">
            <v>0</v>
          </cell>
          <cell r="H392">
            <v>67280677</v>
          </cell>
          <cell r="I392">
            <v>0</v>
          </cell>
          <cell r="J392">
            <v>0</v>
          </cell>
          <cell r="K392">
            <v>-67280677</v>
          </cell>
        </row>
        <row r="393">
          <cell r="A393">
            <v>111869</v>
          </cell>
          <cell r="B393" t="str">
            <v>AJUSTE ADOPCION FONDO DE</v>
          </cell>
          <cell r="C393">
            <v>0</v>
          </cell>
          <cell r="D393">
            <v>9327077</v>
          </cell>
          <cell r="E393">
            <v>0</v>
          </cell>
          <cell r="F393">
            <v>9327077</v>
          </cell>
          <cell r="G393">
            <v>0</v>
          </cell>
          <cell r="H393">
            <v>9327077</v>
          </cell>
          <cell r="I393">
            <v>0</v>
          </cell>
          <cell r="J393">
            <v>0</v>
          </cell>
          <cell r="K393">
            <v>-9327077</v>
          </cell>
        </row>
        <row r="394">
          <cell r="A394">
            <v>111870</v>
          </cell>
          <cell r="B394" t="str">
            <v>INV. FIP BADAJOZ</v>
          </cell>
          <cell r="C394">
            <v>2648716843</v>
          </cell>
          <cell r="D394">
            <v>2417792649</v>
          </cell>
          <cell r="E394">
            <v>230924194</v>
          </cell>
          <cell r="F394">
            <v>0</v>
          </cell>
          <cell r="G394">
            <v>230924194</v>
          </cell>
          <cell r="H394">
            <v>0</v>
          </cell>
          <cell r="I394">
            <v>0</v>
          </cell>
          <cell r="J394">
            <v>0</v>
          </cell>
          <cell r="K394">
            <v>230924194</v>
          </cell>
        </row>
        <row r="395">
          <cell r="A395">
            <v>111871</v>
          </cell>
          <cell r="B395" t="str">
            <v>COSTALMAHUE S.A.</v>
          </cell>
          <cell r="C395">
            <v>201559</v>
          </cell>
          <cell r="D395">
            <v>201559</v>
          </cell>
          <cell r="E395">
            <v>0</v>
          </cell>
          <cell r="F395">
            <v>0</v>
          </cell>
          <cell r="G395">
            <v>0</v>
          </cell>
          <cell r="H395">
            <v>0</v>
          </cell>
          <cell r="I395">
            <v>0</v>
          </cell>
          <cell r="J395">
            <v>0</v>
          </cell>
          <cell r="K395">
            <v>0</v>
          </cell>
        </row>
        <row r="396">
          <cell r="A396">
            <v>111872</v>
          </cell>
          <cell r="B396" t="str">
            <v>FLUCTUAC. INMOB. LOS MORR</v>
          </cell>
          <cell r="C396">
            <v>1647431</v>
          </cell>
          <cell r="D396">
            <v>1647431</v>
          </cell>
          <cell r="E396">
            <v>0</v>
          </cell>
          <cell r="F396">
            <v>0</v>
          </cell>
          <cell r="G396">
            <v>0</v>
          </cell>
          <cell r="H396">
            <v>0</v>
          </cell>
          <cell r="I396">
            <v>0</v>
          </cell>
          <cell r="J396">
            <v>0</v>
          </cell>
          <cell r="K396">
            <v>0</v>
          </cell>
        </row>
        <row r="397">
          <cell r="A397">
            <v>111873</v>
          </cell>
          <cell r="B397" t="str">
            <v>FLUCTUAC. INMOB. COSTALMA</v>
          </cell>
          <cell r="C397">
            <v>198269</v>
          </cell>
          <cell r="D397">
            <v>198269</v>
          </cell>
          <cell r="E397">
            <v>0</v>
          </cell>
          <cell r="F397">
            <v>0</v>
          </cell>
          <cell r="G397">
            <v>0</v>
          </cell>
          <cell r="H397">
            <v>0</v>
          </cell>
          <cell r="I397">
            <v>0</v>
          </cell>
          <cell r="J397">
            <v>0</v>
          </cell>
          <cell r="K397">
            <v>0</v>
          </cell>
        </row>
        <row r="398">
          <cell r="A398">
            <v>111874</v>
          </cell>
          <cell r="B398" t="str">
            <v>FIP REPUBLICA DE CUBA</v>
          </cell>
          <cell r="C398">
            <v>54520316</v>
          </cell>
          <cell r="D398">
            <v>46197675</v>
          </cell>
          <cell r="E398">
            <v>8322641</v>
          </cell>
          <cell r="F398">
            <v>0</v>
          </cell>
          <cell r="G398">
            <v>8322641</v>
          </cell>
          <cell r="H398">
            <v>0</v>
          </cell>
          <cell r="I398">
            <v>0</v>
          </cell>
          <cell r="J398">
            <v>0</v>
          </cell>
          <cell r="K398">
            <v>8322641</v>
          </cell>
        </row>
        <row r="399">
          <cell r="A399">
            <v>111875</v>
          </cell>
          <cell r="B399" t="str">
            <v>OTROS ACTIVOS SANTO TOMAS</v>
          </cell>
          <cell r="C399">
            <v>8395943</v>
          </cell>
          <cell r="D399">
            <v>0</v>
          </cell>
          <cell r="E399">
            <v>8395943</v>
          </cell>
          <cell r="F399">
            <v>0</v>
          </cell>
          <cell r="G399">
            <v>8395943</v>
          </cell>
          <cell r="H399">
            <v>0</v>
          </cell>
          <cell r="I399">
            <v>0</v>
          </cell>
          <cell r="J399">
            <v>0</v>
          </cell>
          <cell r="K399">
            <v>8395943</v>
          </cell>
        </row>
        <row r="400">
          <cell r="A400">
            <v>111876</v>
          </cell>
          <cell r="B400" t="str">
            <v>INV. INMOBILIARIAS SEGURA</v>
          </cell>
          <cell r="C400">
            <v>1727384764</v>
          </cell>
          <cell r="D400">
            <v>552973</v>
          </cell>
          <cell r="E400">
            <v>1726831791</v>
          </cell>
          <cell r="F400">
            <v>0</v>
          </cell>
          <cell r="G400">
            <v>1726831791</v>
          </cell>
          <cell r="H400">
            <v>0</v>
          </cell>
          <cell r="I400">
            <v>0</v>
          </cell>
          <cell r="J400">
            <v>0</v>
          </cell>
          <cell r="K400">
            <v>1726831791</v>
          </cell>
        </row>
        <row r="401">
          <cell r="A401">
            <v>111877</v>
          </cell>
          <cell r="B401" t="str">
            <v>FLUCT. VALORES INV. INMOB</v>
          </cell>
          <cell r="C401">
            <v>552973</v>
          </cell>
          <cell r="D401">
            <v>1988463009</v>
          </cell>
          <cell r="E401">
            <v>0</v>
          </cell>
          <cell r="F401">
            <v>1987910036</v>
          </cell>
          <cell r="G401">
            <v>0</v>
          </cell>
          <cell r="H401">
            <v>1987910036</v>
          </cell>
          <cell r="I401">
            <v>0</v>
          </cell>
          <cell r="J401">
            <v>0</v>
          </cell>
          <cell r="K401">
            <v>-1987910036</v>
          </cell>
        </row>
        <row r="402">
          <cell r="A402">
            <v>111878</v>
          </cell>
          <cell r="B402" t="str">
            <v>CTA. CTE INV. INMOBILIARI</v>
          </cell>
          <cell r="C402">
            <v>5500450059</v>
          </cell>
          <cell r="D402">
            <v>30559194</v>
          </cell>
          <cell r="E402">
            <v>5469890865</v>
          </cell>
          <cell r="F402">
            <v>0</v>
          </cell>
          <cell r="G402">
            <v>5469890865</v>
          </cell>
          <cell r="H402">
            <v>0</v>
          </cell>
          <cell r="I402">
            <v>0</v>
          </cell>
          <cell r="J402">
            <v>0</v>
          </cell>
          <cell r="K402">
            <v>5469890865</v>
          </cell>
        </row>
        <row r="403">
          <cell r="A403">
            <v>111879</v>
          </cell>
          <cell r="B403" t="str">
            <v>FIP VIÑA DEL MAR</v>
          </cell>
          <cell r="C403">
            <v>382324393</v>
          </cell>
          <cell r="D403">
            <v>3487540</v>
          </cell>
          <cell r="E403">
            <v>378836853</v>
          </cell>
          <cell r="F403">
            <v>0</v>
          </cell>
          <cell r="G403">
            <v>378836853</v>
          </cell>
          <cell r="H403">
            <v>0</v>
          </cell>
          <cell r="I403">
            <v>0</v>
          </cell>
          <cell r="J403">
            <v>0</v>
          </cell>
          <cell r="K403">
            <v>378836853</v>
          </cell>
        </row>
        <row r="404">
          <cell r="A404">
            <v>111880</v>
          </cell>
          <cell r="B404" t="str">
            <v>FIP SAN FRANCISCO</v>
          </cell>
          <cell r="C404">
            <v>508627694</v>
          </cell>
          <cell r="D404">
            <v>508627694</v>
          </cell>
          <cell r="E404">
            <v>0</v>
          </cell>
          <cell r="F404">
            <v>0</v>
          </cell>
          <cell r="G404">
            <v>0</v>
          </cell>
          <cell r="H404">
            <v>0</v>
          </cell>
          <cell r="I404">
            <v>0</v>
          </cell>
          <cell r="J404">
            <v>0</v>
          </cell>
          <cell r="K404">
            <v>0</v>
          </cell>
        </row>
        <row r="405">
          <cell r="A405">
            <v>111881</v>
          </cell>
          <cell r="B405" t="str">
            <v>FLUCT. FIP VIÑA DEL MAR</v>
          </cell>
          <cell r="C405">
            <v>116024707</v>
          </cell>
          <cell r="D405">
            <v>70210157</v>
          </cell>
          <cell r="E405">
            <v>45814550</v>
          </cell>
          <cell r="F405">
            <v>0</v>
          </cell>
          <cell r="G405">
            <v>45814550</v>
          </cell>
          <cell r="H405">
            <v>0</v>
          </cell>
          <cell r="I405">
            <v>0</v>
          </cell>
          <cell r="J405">
            <v>0</v>
          </cell>
          <cell r="K405">
            <v>45814550</v>
          </cell>
        </row>
        <row r="406">
          <cell r="A406">
            <v>111882</v>
          </cell>
          <cell r="B406" t="str">
            <v>FLUCT. FIP SAN FRANCISCO</v>
          </cell>
          <cell r="C406">
            <v>26594802</v>
          </cell>
          <cell r="D406">
            <v>26594802</v>
          </cell>
          <cell r="E406">
            <v>0</v>
          </cell>
          <cell r="F406">
            <v>0</v>
          </cell>
          <cell r="G406">
            <v>0</v>
          </cell>
          <cell r="H406">
            <v>0</v>
          </cell>
          <cell r="I406">
            <v>0</v>
          </cell>
          <cell r="J406">
            <v>0</v>
          </cell>
          <cell r="K406">
            <v>0</v>
          </cell>
        </row>
        <row r="407">
          <cell r="A407">
            <v>111883</v>
          </cell>
          <cell r="B407" t="str">
            <v>FLUCT. FIP BADAJOZ</v>
          </cell>
          <cell r="C407">
            <v>66455899</v>
          </cell>
          <cell r="D407">
            <v>4040501</v>
          </cell>
          <cell r="E407">
            <v>62415398</v>
          </cell>
          <cell r="F407">
            <v>0</v>
          </cell>
          <cell r="G407">
            <v>62415398</v>
          </cell>
          <cell r="H407">
            <v>0</v>
          </cell>
          <cell r="I407">
            <v>0</v>
          </cell>
          <cell r="J407">
            <v>0</v>
          </cell>
          <cell r="K407">
            <v>62415398</v>
          </cell>
        </row>
        <row r="408">
          <cell r="A408">
            <v>111884</v>
          </cell>
          <cell r="B408" t="str">
            <v>FLUCT. FIP REPUBLICA DE C</v>
          </cell>
          <cell r="C408">
            <v>1455838</v>
          </cell>
          <cell r="D408">
            <v>9778479</v>
          </cell>
          <cell r="E408">
            <v>0</v>
          </cell>
          <cell r="F408">
            <v>8322641</v>
          </cell>
          <cell r="G408">
            <v>0</v>
          </cell>
          <cell r="H408">
            <v>8322641</v>
          </cell>
          <cell r="I408">
            <v>0</v>
          </cell>
          <cell r="J408">
            <v>0</v>
          </cell>
          <cell r="K408">
            <v>-8322641</v>
          </cell>
        </row>
        <row r="409">
          <cell r="A409">
            <v>111885</v>
          </cell>
          <cell r="B409" t="str">
            <v>SVI CTAS X COBRAR VENTA C</v>
          </cell>
          <cell r="C409">
            <v>652884280</v>
          </cell>
          <cell r="D409">
            <v>612459620</v>
          </cell>
          <cell r="E409">
            <v>40424660</v>
          </cell>
          <cell r="F409">
            <v>0</v>
          </cell>
          <cell r="G409">
            <v>40424660</v>
          </cell>
          <cell r="H409">
            <v>0</v>
          </cell>
          <cell r="I409">
            <v>0</v>
          </cell>
          <cell r="J409">
            <v>0</v>
          </cell>
          <cell r="K409">
            <v>40424660</v>
          </cell>
        </row>
        <row r="410">
          <cell r="A410">
            <v>111886</v>
          </cell>
          <cell r="B410" t="str">
            <v>CTA. CTE FIP REPUBLICA DE</v>
          </cell>
          <cell r="C410">
            <v>13200139</v>
          </cell>
          <cell r="D410">
            <v>13200139</v>
          </cell>
          <cell r="E410">
            <v>0</v>
          </cell>
          <cell r="F410">
            <v>0</v>
          </cell>
          <cell r="G410">
            <v>0</v>
          </cell>
          <cell r="H410">
            <v>0</v>
          </cell>
          <cell r="I410">
            <v>0</v>
          </cell>
          <cell r="J410">
            <v>0</v>
          </cell>
          <cell r="K410">
            <v>0</v>
          </cell>
        </row>
        <row r="411">
          <cell r="A411">
            <v>111887</v>
          </cell>
          <cell r="B411" t="str">
            <v>DERECHOS SUSCRIPCION FIP</v>
          </cell>
          <cell r="C411">
            <v>5846054640</v>
          </cell>
          <cell r="D411">
            <v>5846054640</v>
          </cell>
          <cell r="E411">
            <v>0</v>
          </cell>
          <cell r="F411">
            <v>0</v>
          </cell>
          <cell r="G411">
            <v>0</v>
          </cell>
          <cell r="H411">
            <v>0</v>
          </cell>
          <cell r="I411">
            <v>0</v>
          </cell>
          <cell r="J411">
            <v>0</v>
          </cell>
          <cell r="K411">
            <v>0</v>
          </cell>
        </row>
        <row r="412">
          <cell r="A412">
            <v>111891</v>
          </cell>
          <cell r="B412" t="str">
            <v>INV. INMOB Y CONST. NUEVA</v>
          </cell>
          <cell r="C412">
            <v>27687095</v>
          </cell>
          <cell r="D412">
            <v>0</v>
          </cell>
          <cell r="E412">
            <v>27687095</v>
          </cell>
          <cell r="F412">
            <v>0</v>
          </cell>
          <cell r="G412">
            <v>27687095</v>
          </cell>
          <cell r="H412">
            <v>0</v>
          </cell>
          <cell r="I412">
            <v>0</v>
          </cell>
          <cell r="J412">
            <v>0</v>
          </cell>
          <cell r="K412">
            <v>27687095</v>
          </cell>
        </row>
        <row r="413">
          <cell r="A413">
            <v>111892</v>
          </cell>
          <cell r="B413" t="str">
            <v>FLUCT. INV. INMOB Y CONST</v>
          </cell>
          <cell r="C413">
            <v>0</v>
          </cell>
          <cell r="D413">
            <v>19202886</v>
          </cell>
          <cell r="E413">
            <v>0</v>
          </cell>
          <cell r="F413">
            <v>19202886</v>
          </cell>
          <cell r="G413">
            <v>0</v>
          </cell>
          <cell r="H413">
            <v>19202886</v>
          </cell>
          <cell r="I413">
            <v>0</v>
          </cell>
          <cell r="J413">
            <v>0</v>
          </cell>
          <cell r="K413">
            <v>-19202886</v>
          </cell>
        </row>
        <row r="414">
          <cell r="A414">
            <v>111893</v>
          </cell>
          <cell r="B414" t="str">
            <v>CTA. CTE. INV. INMOB Y CO</v>
          </cell>
          <cell r="C414">
            <v>1984004483</v>
          </cell>
          <cell r="D414">
            <v>4226256</v>
          </cell>
          <cell r="E414">
            <v>1979778227</v>
          </cell>
          <cell r="F414">
            <v>0</v>
          </cell>
          <cell r="G414">
            <v>1979778227</v>
          </cell>
          <cell r="H414">
            <v>0</v>
          </cell>
          <cell r="I414">
            <v>0</v>
          </cell>
          <cell r="J414">
            <v>0</v>
          </cell>
          <cell r="K414">
            <v>1979778227</v>
          </cell>
        </row>
        <row r="415">
          <cell r="A415">
            <v>111894</v>
          </cell>
          <cell r="B415" t="str">
            <v>PROV. CTA CTE INMOB PARQU</v>
          </cell>
          <cell r="C415">
            <v>0</v>
          </cell>
          <cell r="D415">
            <v>0</v>
          </cell>
          <cell r="E415">
            <v>0</v>
          </cell>
          <cell r="F415">
            <v>0</v>
          </cell>
          <cell r="G415">
            <v>0</v>
          </cell>
          <cell r="H415">
            <v>0</v>
          </cell>
          <cell r="I415">
            <v>0</v>
          </cell>
          <cell r="J415">
            <v>0</v>
          </cell>
          <cell r="K415">
            <v>0</v>
          </cell>
        </row>
        <row r="416">
          <cell r="A416">
            <v>111895</v>
          </cell>
          <cell r="B416" t="str">
            <v>AJUSTE ADOPCION PIEDRA RO</v>
          </cell>
          <cell r="C416">
            <v>10091841164</v>
          </cell>
          <cell r="D416">
            <v>58795604</v>
          </cell>
          <cell r="E416">
            <v>10033045560</v>
          </cell>
          <cell r="F416">
            <v>0</v>
          </cell>
          <cell r="G416">
            <v>10033045560</v>
          </cell>
          <cell r="H416">
            <v>0</v>
          </cell>
          <cell r="I416">
            <v>0</v>
          </cell>
          <cell r="J416">
            <v>0</v>
          </cell>
          <cell r="K416">
            <v>10033045560</v>
          </cell>
        </row>
        <row r="417">
          <cell r="A417">
            <v>111896</v>
          </cell>
          <cell r="B417" t="str">
            <v>AJUSTE ADOPCION INMOBILIA</v>
          </cell>
          <cell r="C417">
            <v>0</v>
          </cell>
          <cell r="D417">
            <v>19206155</v>
          </cell>
          <cell r="E417">
            <v>0</v>
          </cell>
          <cell r="F417">
            <v>19206155</v>
          </cell>
          <cell r="G417">
            <v>0</v>
          </cell>
          <cell r="H417">
            <v>19206155</v>
          </cell>
          <cell r="I417">
            <v>0</v>
          </cell>
          <cell r="J417">
            <v>0</v>
          </cell>
          <cell r="K417">
            <v>-19206155</v>
          </cell>
        </row>
        <row r="418">
          <cell r="A418">
            <v>111897</v>
          </cell>
          <cell r="B418" t="str">
            <v>AJUSTE ADOPCION VICENTE V</v>
          </cell>
          <cell r="C418">
            <v>0</v>
          </cell>
          <cell r="D418">
            <v>88645551</v>
          </cell>
          <cell r="E418">
            <v>0</v>
          </cell>
          <cell r="F418">
            <v>88645551</v>
          </cell>
          <cell r="G418">
            <v>0</v>
          </cell>
          <cell r="H418">
            <v>88645551</v>
          </cell>
          <cell r="I418">
            <v>0</v>
          </cell>
          <cell r="J418">
            <v>0</v>
          </cell>
          <cell r="K418">
            <v>-88645551</v>
          </cell>
        </row>
        <row r="419">
          <cell r="A419">
            <v>111898</v>
          </cell>
          <cell r="B419" t="str">
            <v>AJUSTE ADOPCION INVERSION</v>
          </cell>
          <cell r="C419">
            <v>0</v>
          </cell>
          <cell r="D419">
            <v>961205610</v>
          </cell>
          <cell r="E419">
            <v>0</v>
          </cell>
          <cell r="F419">
            <v>961205610</v>
          </cell>
          <cell r="G419">
            <v>0</v>
          </cell>
          <cell r="H419">
            <v>961205610</v>
          </cell>
          <cell r="I419">
            <v>0</v>
          </cell>
          <cell r="J419">
            <v>0</v>
          </cell>
          <cell r="K419">
            <v>-961205610</v>
          </cell>
        </row>
        <row r="420">
          <cell r="A420">
            <v>111899</v>
          </cell>
          <cell r="B420" t="str">
            <v>AJUSTE ADOPCION INMOB Y C</v>
          </cell>
          <cell r="C420">
            <v>0</v>
          </cell>
          <cell r="D420">
            <v>30564004</v>
          </cell>
          <cell r="E420">
            <v>0</v>
          </cell>
          <cell r="F420">
            <v>30564004</v>
          </cell>
          <cell r="G420">
            <v>0</v>
          </cell>
          <cell r="H420">
            <v>30564004</v>
          </cell>
          <cell r="I420">
            <v>0</v>
          </cell>
          <cell r="J420">
            <v>0</v>
          </cell>
          <cell r="K420">
            <v>-30564004</v>
          </cell>
        </row>
        <row r="421">
          <cell r="A421">
            <v>111901</v>
          </cell>
          <cell r="B421" t="str">
            <v>IMPUESTO DIFERIDO POR COB</v>
          </cell>
          <cell r="C421">
            <v>5129226041</v>
          </cell>
          <cell r="D421">
            <v>40658113</v>
          </cell>
          <cell r="E421">
            <v>5088567928</v>
          </cell>
          <cell r="F421">
            <v>0</v>
          </cell>
          <cell r="G421">
            <v>5088567928</v>
          </cell>
          <cell r="H421">
            <v>0</v>
          </cell>
          <cell r="I421">
            <v>0</v>
          </cell>
          <cell r="J421">
            <v>0</v>
          </cell>
          <cell r="K421">
            <v>5088567928</v>
          </cell>
        </row>
        <row r="422">
          <cell r="A422">
            <v>112001</v>
          </cell>
          <cell r="B422" t="str">
            <v>DIVIDENDOS POR COBRAR REN</v>
          </cell>
          <cell r="C422">
            <v>0</v>
          </cell>
          <cell r="D422">
            <v>0</v>
          </cell>
          <cell r="E422">
            <v>0</v>
          </cell>
          <cell r="F422">
            <v>0</v>
          </cell>
          <cell r="G422">
            <v>0</v>
          </cell>
          <cell r="H422">
            <v>0</v>
          </cell>
          <cell r="I422">
            <v>0</v>
          </cell>
          <cell r="J422">
            <v>0</v>
          </cell>
          <cell r="K422">
            <v>0</v>
          </cell>
        </row>
        <row r="423">
          <cell r="A423">
            <v>112002</v>
          </cell>
          <cell r="B423" t="str">
            <v>ACCIONES NACIONALES POR C</v>
          </cell>
          <cell r="C423">
            <v>0</v>
          </cell>
          <cell r="D423">
            <v>0</v>
          </cell>
          <cell r="E423">
            <v>0</v>
          </cell>
          <cell r="F423">
            <v>0</v>
          </cell>
          <cell r="G423">
            <v>0</v>
          </cell>
          <cell r="H423">
            <v>0</v>
          </cell>
          <cell r="I423">
            <v>0</v>
          </cell>
          <cell r="J423">
            <v>0</v>
          </cell>
          <cell r="K423">
            <v>0</v>
          </cell>
        </row>
        <row r="424">
          <cell r="A424">
            <v>112003</v>
          </cell>
          <cell r="B424" t="str">
            <v>BONOS RECONOCIMIENTO POR</v>
          </cell>
          <cell r="C424">
            <v>20920812964</v>
          </cell>
          <cell r="D424">
            <v>19325668824</v>
          </cell>
          <cell r="E424">
            <v>1595144140</v>
          </cell>
          <cell r="F424">
            <v>0</v>
          </cell>
          <cell r="G424">
            <v>1595144140</v>
          </cell>
          <cell r="H424">
            <v>0</v>
          </cell>
          <cell r="I424">
            <v>0</v>
          </cell>
          <cell r="J424">
            <v>0</v>
          </cell>
          <cell r="K424">
            <v>1595144140</v>
          </cell>
        </row>
        <row r="425">
          <cell r="A425">
            <v>112004</v>
          </cell>
          <cell r="B425" t="str">
            <v>VENCIMIENTO BONOS RECONOC</v>
          </cell>
          <cell r="C425">
            <v>0</v>
          </cell>
          <cell r="D425">
            <v>0</v>
          </cell>
          <cell r="E425">
            <v>0</v>
          </cell>
          <cell r="F425">
            <v>0</v>
          </cell>
          <cell r="G425">
            <v>0</v>
          </cell>
          <cell r="H425">
            <v>0</v>
          </cell>
          <cell r="I425">
            <v>0</v>
          </cell>
          <cell r="J425">
            <v>0</v>
          </cell>
          <cell r="K425">
            <v>0</v>
          </cell>
        </row>
        <row r="426">
          <cell r="A426">
            <v>112005</v>
          </cell>
          <cell r="B426" t="str">
            <v>INVERSIONES POR COBRAR</v>
          </cell>
          <cell r="C426">
            <v>13759973811</v>
          </cell>
          <cell r="D426">
            <v>6015966172</v>
          </cell>
          <cell r="E426">
            <v>7744007639</v>
          </cell>
          <cell r="F426">
            <v>0</v>
          </cell>
          <cell r="G426">
            <v>7744007639</v>
          </cell>
          <cell r="H426">
            <v>0</v>
          </cell>
          <cell r="I426">
            <v>0</v>
          </cell>
          <cell r="J426">
            <v>0</v>
          </cell>
          <cell r="K426">
            <v>7744007639</v>
          </cell>
        </row>
        <row r="427">
          <cell r="A427">
            <v>112006</v>
          </cell>
          <cell r="B427" t="str">
            <v>FORWARD POR COBRAR</v>
          </cell>
          <cell r="C427">
            <v>91374342</v>
          </cell>
          <cell r="D427">
            <v>0</v>
          </cell>
          <cell r="E427">
            <v>91374342</v>
          </cell>
          <cell r="F427">
            <v>0</v>
          </cell>
          <cell r="G427">
            <v>91374342</v>
          </cell>
          <cell r="H427">
            <v>0</v>
          </cell>
          <cell r="I427">
            <v>0</v>
          </cell>
          <cell r="J427">
            <v>0</v>
          </cell>
          <cell r="K427">
            <v>91374342</v>
          </cell>
        </row>
        <row r="428">
          <cell r="A428">
            <v>112007</v>
          </cell>
          <cell r="B428" t="str">
            <v>DIVIDENDOS POR COBRAR MUT</v>
          </cell>
          <cell r="C428">
            <v>462516879</v>
          </cell>
          <cell r="D428">
            <v>18995077</v>
          </cell>
          <cell r="E428">
            <v>443521802</v>
          </cell>
          <cell r="F428">
            <v>0</v>
          </cell>
          <cell r="G428">
            <v>443521802</v>
          </cell>
          <cell r="H428">
            <v>0</v>
          </cell>
          <cell r="I428">
            <v>0</v>
          </cell>
          <cell r="J428">
            <v>0</v>
          </cell>
          <cell r="K428">
            <v>443521802</v>
          </cell>
        </row>
        <row r="429">
          <cell r="A429">
            <v>112010</v>
          </cell>
          <cell r="B429" t="str">
            <v>FINANCIAMIENTO US$</v>
          </cell>
          <cell r="C429">
            <v>0</v>
          </cell>
          <cell r="D429">
            <v>0</v>
          </cell>
          <cell r="E429">
            <v>0</v>
          </cell>
          <cell r="F429">
            <v>0</v>
          </cell>
          <cell r="G429">
            <v>0</v>
          </cell>
          <cell r="H429">
            <v>0</v>
          </cell>
          <cell r="I429">
            <v>0</v>
          </cell>
          <cell r="J429">
            <v>0</v>
          </cell>
          <cell r="K429">
            <v>0</v>
          </cell>
        </row>
        <row r="430">
          <cell r="A430">
            <v>112011</v>
          </cell>
          <cell r="B430" t="str">
            <v>FINANCIAMIENTO DE INVERSI</v>
          </cell>
          <cell r="C430">
            <v>99599279635</v>
          </cell>
          <cell r="D430">
            <v>99599279635</v>
          </cell>
          <cell r="E430">
            <v>0</v>
          </cell>
          <cell r="F430">
            <v>0</v>
          </cell>
          <cell r="G430">
            <v>0</v>
          </cell>
          <cell r="H430">
            <v>0</v>
          </cell>
          <cell r="I430">
            <v>0</v>
          </cell>
          <cell r="J430">
            <v>0</v>
          </cell>
          <cell r="K430">
            <v>0</v>
          </cell>
        </row>
        <row r="431">
          <cell r="A431">
            <v>112012</v>
          </cell>
          <cell r="B431" t="str">
            <v>SWAP POR COBRAR</v>
          </cell>
          <cell r="C431">
            <v>22623110</v>
          </cell>
          <cell r="D431">
            <v>22623110</v>
          </cell>
          <cell r="E431">
            <v>0</v>
          </cell>
          <cell r="F431">
            <v>0</v>
          </cell>
          <cell r="G431">
            <v>0</v>
          </cell>
          <cell r="H431">
            <v>0</v>
          </cell>
          <cell r="I431">
            <v>0</v>
          </cell>
          <cell r="J431">
            <v>0</v>
          </cell>
          <cell r="K431">
            <v>0</v>
          </cell>
        </row>
        <row r="432">
          <cell r="A432">
            <v>112013</v>
          </cell>
          <cell r="B432" t="str">
            <v>INVERSIONES POR DISTRIBUI</v>
          </cell>
          <cell r="C432">
            <v>56613403407</v>
          </cell>
          <cell r="D432">
            <v>56613403407</v>
          </cell>
          <cell r="E432">
            <v>0</v>
          </cell>
          <cell r="F432">
            <v>0</v>
          </cell>
          <cell r="G432">
            <v>0</v>
          </cell>
          <cell r="H432">
            <v>0</v>
          </cell>
          <cell r="I432">
            <v>0</v>
          </cell>
          <cell r="J432">
            <v>0</v>
          </cell>
          <cell r="K432">
            <v>0</v>
          </cell>
        </row>
        <row r="433">
          <cell r="A433">
            <v>112015</v>
          </cell>
          <cell r="B433" t="str">
            <v>INVERSIONES POR DISTRIBUI</v>
          </cell>
          <cell r="C433">
            <v>27305783322</v>
          </cell>
          <cell r="D433">
            <v>27305783322</v>
          </cell>
          <cell r="E433">
            <v>0</v>
          </cell>
          <cell r="F433">
            <v>0</v>
          </cell>
          <cell r="G433">
            <v>0</v>
          </cell>
          <cell r="H433">
            <v>0</v>
          </cell>
          <cell r="I433">
            <v>0</v>
          </cell>
          <cell r="J433">
            <v>0</v>
          </cell>
          <cell r="K433">
            <v>0</v>
          </cell>
        </row>
        <row r="434">
          <cell r="A434">
            <v>112016</v>
          </cell>
          <cell r="B434" t="str">
            <v>INVERSIONES POR DISTRIBUI</v>
          </cell>
          <cell r="C434">
            <v>25872348080</v>
          </cell>
          <cell r="D434">
            <v>25872348080</v>
          </cell>
          <cell r="E434">
            <v>0</v>
          </cell>
          <cell r="F434">
            <v>0</v>
          </cell>
          <cell r="G434">
            <v>0</v>
          </cell>
          <cell r="H434">
            <v>0</v>
          </cell>
          <cell r="I434">
            <v>0</v>
          </cell>
          <cell r="J434">
            <v>0</v>
          </cell>
          <cell r="K434">
            <v>0</v>
          </cell>
        </row>
        <row r="435">
          <cell r="A435">
            <v>112017</v>
          </cell>
          <cell r="B435" t="str">
            <v>INVERSIONES POR DISTRIBUI</v>
          </cell>
          <cell r="C435">
            <v>234593325212</v>
          </cell>
          <cell r="D435">
            <v>234593325212</v>
          </cell>
          <cell r="E435">
            <v>0</v>
          </cell>
          <cell r="F435">
            <v>0</v>
          </cell>
          <cell r="G435">
            <v>0</v>
          </cell>
          <cell r="H435">
            <v>0</v>
          </cell>
          <cell r="I435">
            <v>0</v>
          </cell>
          <cell r="J435">
            <v>0</v>
          </cell>
          <cell r="K435">
            <v>0</v>
          </cell>
        </row>
        <row r="436">
          <cell r="A436">
            <v>112018</v>
          </cell>
          <cell r="B436" t="str">
            <v>INVERSIONES POR DISTRIBUI</v>
          </cell>
          <cell r="C436">
            <v>7340567646</v>
          </cell>
          <cell r="D436">
            <v>7340567646</v>
          </cell>
          <cell r="E436">
            <v>0</v>
          </cell>
          <cell r="F436">
            <v>0</v>
          </cell>
          <cell r="G436">
            <v>0</v>
          </cell>
          <cell r="H436">
            <v>0</v>
          </cell>
          <cell r="I436">
            <v>0</v>
          </cell>
          <cell r="J436">
            <v>0</v>
          </cell>
          <cell r="K436">
            <v>0</v>
          </cell>
        </row>
        <row r="437">
          <cell r="A437">
            <v>112019</v>
          </cell>
          <cell r="B437" t="str">
            <v>LEASING POR DISTRIBUIR</v>
          </cell>
          <cell r="C437">
            <v>0</v>
          </cell>
          <cell r="D437">
            <v>0</v>
          </cell>
          <cell r="E437">
            <v>0</v>
          </cell>
          <cell r="F437">
            <v>0</v>
          </cell>
          <cell r="G437">
            <v>0</v>
          </cell>
          <cell r="H437">
            <v>0</v>
          </cell>
          <cell r="I437">
            <v>0</v>
          </cell>
          <cell r="J437">
            <v>0</v>
          </cell>
          <cell r="K437">
            <v>0</v>
          </cell>
        </row>
        <row r="438">
          <cell r="A438">
            <v>112020</v>
          </cell>
          <cell r="B438" t="str">
            <v>BANCOS POR DISTRIBUIR</v>
          </cell>
          <cell r="C438">
            <v>143844707653</v>
          </cell>
          <cell r="D438">
            <v>143842774263</v>
          </cell>
          <cell r="E438">
            <v>1933390</v>
          </cell>
          <cell r="F438">
            <v>0</v>
          </cell>
          <cell r="G438">
            <v>1933390</v>
          </cell>
          <cell r="H438">
            <v>0</v>
          </cell>
          <cell r="I438">
            <v>0</v>
          </cell>
          <cell r="J438">
            <v>0</v>
          </cell>
          <cell r="K438">
            <v>1933390</v>
          </cell>
        </row>
        <row r="439">
          <cell r="A439">
            <v>112021</v>
          </cell>
          <cell r="B439" t="str">
            <v>ANTICIPO DE SUELDO POR DI</v>
          </cell>
          <cell r="C439">
            <v>50000</v>
          </cell>
          <cell r="D439">
            <v>50000</v>
          </cell>
          <cell r="E439">
            <v>0</v>
          </cell>
          <cell r="F439">
            <v>0</v>
          </cell>
          <cell r="G439">
            <v>0</v>
          </cell>
          <cell r="H439">
            <v>0</v>
          </cell>
          <cell r="I439">
            <v>0</v>
          </cell>
          <cell r="J439">
            <v>0</v>
          </cell>
          <cell r="K439">
            <v>0</v>
          </cell>
        </row>
        <row r="440">
          <cell r="A440">
            <v>112022</v>
          </cell>
          <cell r="B440" t="str">
            <v>DIVIDENDOS POR COBRAR MH</v>
          </cell>
          <cell r="C440">
            <v>642659856</v>
          </cell>
          <cell r="D440">
            <v>47793192</v>
          </cell>
          <cell r="E440">
            <v>594866664</v>
          </cell>
          <cell r="F440">
            <v>0</v>
          </cell>
          <cell r="G440">
            <v>594866664</v>
          </cell>
          <cell r="H440">
            <v>0</v>
          </cell>
          <cell r="I440">
            <v>0</v>
          </cell>
          <cell r="J440">
            <v>0</v>
          </cell>
          <cell r="K440">
            <v>594866664</v>
          </cell>
        </row>
        <row r="441">
          <cell r="A441">
            <v>112029</v>
          </cell>
          <cell r="B441" t="str">
            <v>CTA CTE PERSONAL POR DIST</v>
          </cell>
          <cell r="C441">
            <v>5337452</v>
          </cell>
          <cell r="D441">
            <v>2666410</v>
          </cell>
          <cell r="E441">
            <v>2671042</v>
          </cell>
          <cell r="F441">
            <v>0</v>
          </cell>
          <cell r="G441">
            <v>2671042</v>
          </cell>
          <cell r="H441">
            <v>0</v>
          </cell>
          <cell r="I441">
            <v>0</v>
          </cell>
          <cell r="J441">
            <v>0</v>
          </cell>
          <cell r="K441">
            <v>2671042</v>
          </cell>
        </row>
        <row r="442">
          <cell r="A442">
            <v>112030</v>
          </cell>
          <cell r="B442" t="str">
            <v>FORWARD DE TASA POR COBRA</v>
          </cell>
          <cell r="C442">
            <v>0</v>
          </cell>
          <cell r="D442">
            <v>0</v>
          </cell>
          <cell r="E442">
            <v>0</v>
          </cell>
          <cell r="F442">
            <v>0</v>
          </cell>
          <cell r="G442">
            <v>0</v>
          </cell>
          <cell r="H442">
            <v>0</v>
          </cell>
          <cell r="I442">
            <v>0</v>
          </cell>
          <cell r="J442">
            <v>0</v>
          </cell>
          <cell r="K442">
            <v>0</v>
          </cell>
        </row>
        <row r="443">
          <cell r="A443">
            <v>112031</v>
          </cell>
          <cell r="B443" t="str">
            <v>CREDIVIDA POR DISTRIBUIR</v>
          </cell>
          <cell r="C443">
            <v>11855966</v>
          </cell>
          <cell r="D443">
            <v>14344221</v>
          </cell>
          <cell r="E443">
            <v>0</v>
          </cell>
          <cell r="F443">
            <v>2488255</v>
          </cell>
          <cell r="G443">
            <v>0</v>
          </cell>
          <cell r="H443">
            <v>2488255</v>
          </cell>
          <cell r="I443">
            <v>0</v>
          </cell>
          <cell r="J443">
            <v>0</v>
          </cell>
          <cell r="K443">
            <v>-2488255</v>
          </cell>
        </row>
        <row r="444">
          <cell r="A444">
            <v>112032</v>
          </cell>
          <cell r="B444" t="str">
            <v>BONO DE RECONOCIMIENTO AC</v>
          </cell>
          <cell r="C444">
            <v>201776773</v>
          </cell>
          <cell r="D444">
            <v>201776773</v>
          </cell>
          <cell r="E444">
            <v>0</v>
          </cell>
          <cell r="F444">
            <v>0</v>
          </cell>
          <cell r="G444">
            <v>0</v>
          </cell>
          <cell r="H444">
            <v>0</v>
          </cell>
          <cell r="I444">
            <v>0</v>
          </cell>
          <cell r="J444">
            <v>0</v>
          </cell>
          <cell r="K444">
            <v>0</v>
          </cell>
        </row>
        <row r="445">
          <cell r="A445">
            <v>112033</v>
          </cell>
          <cell r="B445" t="str">
            <v>SVI INVERSIONES 57 BICE</v>
          </cell>
          <cell r="C445">
            <v>625946908</v>
          </cell>
          <cell r="D445">
            <v>46014171</v>
          </cell>
          <cell r="E445">
            <v>579932737</v>
          </cell>
          <cell r="F445">
            <v>0</v>
          </cell>
          <cell r="G445">
            <v>579932737</v>
          </cell>
          <cell r="H445">
            <v>0</v>
          </cell>
          <cell r="I445">
            <v>0</v>
          </cell>
          <cell r="J445">
            <v>0</v>
          </cell>
          <cell r="K445">
            <v>579932737</v>
          </cell>
        </row>
        <row r="446">
          <cell r="A446">
            <v>112034</v>
          </cell>
          <cell r="B446" t="str">
            <v>SVI VENTA DE CUOTAS FFMM</v>
          </cell>
          <cell r="C446">
            <v>49301012</v>
          </cell>
          <cell r="D446">
            <v>48553277</v>
          </cell>
          <cell r="E446">
            <v>747735</v>
          </cell>
          <cell r="F446">
            <v>0</v>
          </cell>
          <cell r="G446">
            <v>747735</v>
          </cell>
          <cell r="H446">
            <v>0</v>
          </cell>
          <cell r="I446">
            <v>0</v>
          </cell>
          <cell r="J446">
            <v>0</v>
          </cell>
          <cell r="K446">
            <v>747735</v>
          </cell>
        </row>
        <row r="447">
          <cell r="A447">
            <v>112036</v>
          </cell>
          <cell r="B447" t="str">
            <v>SVI INVERSIONES VIDA FFMM</v>
          </cell>
          <cell r="C447">
            <v>230418279</v>
          </cell>
          <cell r="D447">
            <v>5338468</v>
          </cell>
          <cell r="E447">
            <v>225079811</v>
          </cell>
          <cell r="F447">
            <v>0</v>
          </cell>
          <cell r="G447">
            <v>225079811</v>
          </cell>
          <cell r="H447">
            <v>0</v>
          </cell>
          <cell r="I447">
            <v>0</v>
          </cell>
          <cell r="J447">
            <v>0</v>
          </cell>
          <cell r="K447">
            <v>225079811</v>
          </cell>
        </row>
        <row r="448">
          <cell r="A448">
            <v>113001</v>
          </cell>
          <cell r="B448" t="str">
            <v>EDIFICIO</v>
          </cell>
          <cell r="C448">
            <v>47087213221</v>
          </cell>
          <cell r="D448">
            <v>123548633</v>
          </cell>
          <cell r="E448">
            <v>46963664588</v>
          </cell>
          <cell r="F448">
            <v>0</v>
          </cell>
          <cell r="G448">
            <v>46963664588</v>
          </cell>
          <cell r="H448">
            <v>0</v>
          </cell>
          <cell r="I448">
            <v>0</v>
          </cell>
          <cell r="J448">
            <v>0</v>
          </cell>
          <cell r="K448">
            <v>46963664588</v>
          </cell>
        </row>
        <row r="449">
          <cell r="A449">
            <v>113002</v>
          </cell>
          <cell r="B449" t="str">
            <v>DEP ACUMULADA EDIFICIO</v>
          </cell>
          <cell r="C449">
            <v>16101460</v>
          </cell>
          <cell r="D449">
            <v>5554773883</v>
          </cell>
          <cell r="E449">
            <v>0</v>
          </cell>
          <cell r="F449">
            <v>5538672423</v>
          </cell>
          <cell r="G449">
            <v>0</v>
          </cell>
          <cell r="H449">
            <v>5538672423</v>
          </cell>
          <cell r="I449">
            <v>0</v>
          </cell>
          <cell r="J449">
            <v>0</v>
          </cell>
          <cell r="K449">
            <v>-5538672423</v>
          </cell>
        </row>
        <row r="450">
          <cell r="A450">
            <v>113003</v>
          </cell>
          <cell r="B450" t="str">
            <v>TERRENOS</v>
          </cell>
          <cell r="C450">
            <v>46752861727</v>
          </cell>
          <cell r="D450">
            <v>136635887</v>
          </cell>
          <cell r="E450">
            <v>46616225840</v>
          </cell>
          <cell r="F450">
            <v>0</v>
          </cell>
          <cell r="G450">
            <v>46616225840</v>
          </cell>
          <cell r="H450">
            <v>0</v>
          </cell>
          <cell r="I450">
            <v>0</v>
          </cell>
          <cell r="J450">
            <v>0</v>
          </cell>
          <cell r="K450">
            <v>46616225840</v>
          </cell>
        </row>
        <row r="451">
          <cell r="A451">
            <v>113004</v>
          </cell>
          <cell r="B451" t="str">
            <v>MUEBLES Y UTILES</v>
          </cell>
          <cell r="C451">
            <v>180856494</v>
          </cell>
          <cell r="D451">
            <v>0</v>
          </cell>
          <cell r="E451">
            <v>180856494</v>
          </cell>
          <cell r="F451">
            <v>0</v>
          </cell>
          <cell r="G451">
            <v>180856494</v>
          </cell>
          <cell r="H451">
            <v>0</v>
          </cell>
          <cell r="I451">
            <v>0</v>
          </cell>
          <cell r="J451">
            <v>0</v>
          </cell>
          <cell r="K451">
            <v>180856494</v>
          </cell>
        </row>
        <row r="452">
          <cell r="A452">
            <v>113005</v>
          </cell>
          <cell r="B452" t="str">
            <v>DEP. ACUMULADA MUEBLES Y</v>
          </cell>
          <cell r="C452">
            <v>0</v>
          </cell>
          <cell r="D452">
            <v>22910411</v>
          </cell>
          <cell r="E452">
            <v>0</v>
          </cell>
          <cell r="F452">
            <v>22910411</v>
          </cell>
          <cell r="G452">
            <v>0</v>
          </cell>
          <cell r="H452">
            <v>22910411</v>
          </cell>
          <cell r="I452">
            <v>0</v>
          </cell>
          <cell r="J452">
            <v>0</v>
          </cell>
          <cell r="K452">
            <v>-22910411</v>
          </cell>
        </row>
        <row r="453">
          <cell r="A453">
            <v>113006</v>
          </cell>
          <cell r="B453" t="str">
            <v>MAQUINARIA Y EQUIPOS</v>
          </cell>
          <cell r="C453">
            <v>496335239</v>
          </cell>
          <cell r="D453">
            <v>0</v>
          </cell>
          <cell r="E453">
            <v>496335239</v>
          </cell>
          <cell r="F453">
            <v>0</v>
          </cell>
          <cell r="G453">
            <v>496335239</v>
          </cell>
          <cell r="H453">
            <v>0</v>
          </cell>
          <cell r="I453">
            <v>0</v>
          </cell>
          <cell r="J453">
            <v>0</v>
          </cell>
          <cell r="K453">
            <v>496335239</v>
          </cell>
        </row>
        <row r="454">
          <cell r="A454">
            <v>113007</v>
          </cell>
          <cell r="B454" t="str">
            <v>DEP. ACUMULADA MAQ Y EQUI</v>
          </cell>
          <cell r="C454">
            <v>0</v>
          </cell>
          <cell r="D454">
            <v>156578552</v>
          </cell>
          <cell r="E454">
            <v>0</v>
          </cell>
          <cell r="F454">
            <v>156578552</v>
          </cell>
          <cell r="G454">
            <v>0</v>
          </cell>
          <cell r="H454">
            <v>156578552</v>
          </cell>
          <cell r="I454">
            <v>0</v>
          </cell>
          <cell r="J454">
            <v>0</v>
          </cell>
          <cell r="K454">
            <v>-156578552</v>
          </cell>
        </row>
        <row r="455">
          <cell r="A455">
            <v>113008</v>
          </cell>
          <cell r="B455" t="str">
            <v>SOFTWARE COMPUTACIONALES</v>
          </cell>
          <cell r="C455">
            <v>133977162</v>
          </cell>
          <cell r="D455">
            <v>0</v>
          </cell>
          <cell r="E455">
            <v>133977162</v>
          </cell>
          <cell r="F455">
            <v>0</v>
          </cell>
          <cell r="G455">
            <v>133977162</v>
          </cell>
          <cell r="H455">
            <v>0</v>
          </cell>
          <cell r="I455">
            <v>0</v>
          </cell>
          <cell r="J455">
            <v>0</v>
          </cell>
          <cell r="K455">
            <v>133977162</v>
          </cell>
        </row>
        <row r="456">
          <cell r="A456">
            <v>113009</v>
          </cell>
          <cell r="B456" t="str">
            <v>AMORTIZACION  ACUMULADA S</v>
          </cell>
          <cell r="C456">
            <v>0</v>
          </cell>
          <cell r="D456">
            <v>83581246</v>
          </cell>
          <cell r="E456">
            <v>0</v>
          </cell>
          <cell r="F456">
            <v>83581246</v>
          </cell>
          <cell r="G456">
            <v>0</v>
          </cell>
          <cell r="H456">
            <v>83581246</v>
          </cell>
          <cell r="I456">
            <v>0</v>
          </cell>
          <cell r="J456">
            <v>0</v>
          </cell>
          <cell r="K456">
            <v>-83581246</v>
          </cell>
        </row>
        <row r="457">
          <cell r="A457">
            <v>113010</v>
          </cell>
          <cell r="B457" t="str">
            <v>VEHICULOS</v>
          </cell>
          <cell r="C457">
            <v>14597808</v>
          </cell>
          <cell r="D457">
            <v>0</v>
          </cell>
          <cell r="E457">
            <v>14597808</v>
          </cell>
          <cell r="F457">
            <v>0</v>
          </cell>
          <cell r="G457">
            <v>14597808</v>
          </cell>
          <cell r="H457">
            <v>0</v>
          </cell>
          <cell r="I457">
            <v>0</v>
          </cell>
          <cell r="J457">
            <v>0</v>
          </cell>
          <cell r="K457">
            <v>14597808</v>
          </cell>
        </row>
        <row r="458">
          <cell r="A458">
            <v>113011</v>
          </cell>
          <cell r="B458" t="str">
            <v>DEP. ACUMULADA VEHICULO</v>
          </cell>
          <cell r="C458">
            <v>0</v>
          </cell>
          <cell r="D458">
            <v>1818467</v>
          </cell>
          <cell r="E458">
            <v>0</v>
          </cell>
          <cell r="F458">
            <v>1818467</v>
          </cell>
          <cell r="G458">
            <v>0</v>
          </cell>
          <cell r="H458">
            <v>1818467</v>
          </cell>
          <cell r="I458">
            <v>0</v>
          </cell>
          <cell r="J458">
            <v>0</v>
          </cell>
          <cell r="K458">
            <v>-1818467</v>
          </cell>
        </row>
        <row r="459">
          <cell r="A459">
            <v>113012</v>
          </cell>
          <cell r="B459" t="str">
            <v>EQUIPOS COMPUTACIONALES</v>
          </cell>
          <cell r="C459">
            <v>0</v>
          </cell>
          <cell r="D459">
            <v>0</v>
          </cell>
          <cell r="E459">
            <v>0</v>
          </cell>
          <cell r="F459">
            <v>0</v>
          </cell>
          <cell r="G459">
            <v>0</v>
          </cell>
          <cell r="H459">
            <v>0</v>
          </cell>
          <cell r="I459">
            <v>0</v>
          </cell>
          <cell r="J459">
            <v>0</v>
          </cell>
          <cell r="K459">
            <v>0</v>
          </cell>
        </row>
        <row r="460">
          <cell r="A460">
            <v>113013</v>
          </cell>
          <cell r="B460" t="str">
            <v>DEP. ACUMULADA EQUIPOS CO</v>
          </cell>
          <cell r="C460">
            <v>0</v>
          </cell>
          <cell r="D460">
            <v>0</v>
          </cell>
          <cell r="E460">
            <v>0</v>
          </cell>
          <cell r="F460">
            <v>0</v>
          </cell>
          <cell r="G460">
            <v>0</v>
          </cell>
          <cell r="H460">
            <v>0</v>
          </cell>
          <cell r="I460">
            <v>0</v>
          </cell>
          <cell r="J460">
            <v>0</v>
          </cell>
          <cell r="K460">
            <v>0</v>
          </cell>
        </row>
        <row r="461">
          <cell r="A461">
            <v>113014</v>
          </cell>
          <cell r="B461" t="str">
            <v>REMODELACIONES</v>
          </cell>
          <cell r="C461">
            <v>0</v>
          </cell>
          <cell r="D461">
            <v>0</v>
          </cell>
          <cell r="E461">
            <v>0</v>
          </cell>
          <cell r="F461">
            <v>0</v>
          </cell>
          <cell r="G461">
            <v>0</v>
          </cell>
          <cell r="H461">
            <v>0</v>
          </cell>
          <cell r="I461">
            <v>0</v>
          </cell>
          <cell r="J461">
            <v>0</v>
          </cell>
          <cell r="K461">
            <v>0</v>
          </cell>
        </row>
        <row r="462">
          <cell r="A462">
            <v>113015</v>
          </cell>
          <cell r="B462" t="str">
            <v>DEP ACUM REMODELACIONES</v>
          </cell>
          <cell r="C462">
            <v>0</v>
          </cell>
          <cell r="D462">
            <v>0</v>
          </cell>
          <cell r="E462">
            <v>0</v>
          </cell>
          <cell r="F462">
            <v>0</v>
          </cell>
          <cell r="G462">
            <v>0</v>
          </cell>
          <cell r="H462">
            <v>0</v>
          </cell>
          <cell r="I462">
            <v>0</v>
          </cell>
          <cell r="J462">
            <v>0</v>
          </cell>
          <cell r="K462">
            <v>0</v>
          </cell>
        </row>
        <row r="463">
          <cell r="A463">
            <v>113016</v>
          </cell>
          <cell r="B463" t="str">
            <v>ACTIVO FIJO EN TRANSITO</v>
          </cell>
          <cell r="C463">
            <v>12248141007</v>
          </cell>
          <cell r="D463">
            <v>12199171379</v>
          </cell>
          <cell r="E463">
            <v>48969628</v>
          </cell>
          <cell r="F463">
            <v>0</v>
          </cell>
          <cell r="G463">
            <v>48969628</v>
          </cell>
          <cell r="H463">
            <v>0</v>
          </cell>
          <cell r="I463">
            <v>0</v>
          </cell>
          <cell r="J463">
            <v>0</v>
          </cell>
          <cell r="K463">
            <v>48969628</v>
          </cell>
        </row>
        <row r="464">
          <cell r="A464">
            <v>113017</v>
          </cell>
          <cell r="B464" t="str">
            <v>PROYECTOS</v>
          </cell>
          <cell r="C464">
            <v>50435990</v>
          </cell>
          <cell r="D464">
            <v>50435990</v>
          </cell>
          <cell r="E464">
            <v>0</v>
          </cell>
          <cell r="F464">
            <v>0</v>
          </cell>
          <cell r="G464">
            <v>0</v>
          </cell>
          <cell r="H464">
            <v>0</v>
          </cell>
          <cell r="I464">
            <v>0</v>
          </cell>
          <cell r="J464">
            <v>0</v>
          </cell>
          <cell r="K464">
            <v>0</v>
          </cell>
        </row>
        <row r="465">
          <cell r="A465">
            <v>113018</v>
          </cell>
          <cell r="B465" t="str">
            <v>ACTIVO FIJO INMOBILIARIO</v>
          </cell>
          <cell r="C465">
            <v>81720439000</v>
          </cell>
          <cell r="D465">
            <v>81720439000</v>
          </cell>
          <cell r="E465">
            <v>0</v>
          </cell>
          <cell r="F465">
            <v>0</v>
          </cell>
          <cell r="G465">
            <v>0</v>
          </cell>
          <cell r="H465">
            <v>0</v>
          </cell>
          <cell r="I465">
            <v>0</v>
          </cell>
          <cell r="J465">
            <v>0</v>
          </cell>
          <cell r="K465">
            <v>0</v>
          </cell>
        </row>
        <row r="466">
          <cell r="A466">
            <v>113019</v>
          </cell>
          <cell r="B466" t="str">
            <v>MENOR VALOR BIENES RAICES</v>
          </cell>
          <cell r="C466">
            <v>219859</v>
          </cell>
          <cell r="D466">
            <v>4715700</v>
          </cell>
          <cell r="E466">
            <v>0</v>
          </cell>
          <cell r="F466">
            <v>4495841</v>
          </cell>
          <cell r="G466">
            <v>0</v>
          </cell>
          <cell r="H466">
            <v>4495841</v>
          </cell>
          <cell r="I466">
            <v>0</v>
          </cell>
          <cell r="J466">
            <v>0</v>
          </cell>
          <cell r="K466">
            <v>-4495841</v>
          </cell>
        </row>
        <row r="467">
          <cell r="A467">
            <v>113020</v>
          </cell>
          <cell r="B467" t="str">
            <v>EDIFICIOS BRUSA DOS</v>
          </cell>
          <cell r="C467">
            <v>0</v>
          </cell>
          <cell r="D467">
            <v>0</v>
          </cell>
          <cell r="E467">
            <v>0</v>
          </cell>
          <cell r="F467">
            <v>0</v>
          </cell>
          <cell r="G467">
            <v>0</v>
          </cell>
          <cell r="H467">
            <v>0</v>
          </cell>
          <cell r="I467">
            <v>0</v>
          </cell>
          <cell r="J467">
            <v>0</v>
          </cell>
          <cell r="K467">
            <v>0</v>
          </cell>
        </row>
        <row r="468">
          <cell r="A468">
            <v>113021</v>
          </cell>
          <cell r="B468" t="str">
            <v>DEPRECIACION ACUMULADA BR</v>
          </cell>
          <cell r="C468">
            <v>0</v>
          </cell>
          <cell r="D468">
            <v>0</v>
          </cell>
          <cell r="E468">
            <v>0</v>
          </cell>
          <cell r="F468">
            <v>0</v>
          </cell>
          <cell r="G468">
            <v>0</v>
          </cell>
          <cell r="H468">
            <v>0</v>
          </cell>
          <cell r="I468">
            <v>0</v>
          </cell>
          <cell r="J468">
            <v>0</v>
          </cell>
          <cell r="K468">
            <v>0</v>
          </cell>
        </row>
        <row r="469">
          <cell r="A469">
            <v>113022</v>
          </cell>
          <cell r="B469" t="str">
            <v>TERRENOS BRUSA DOS</v>
          </cell>
          <cell r="C469">
            <v>0</v>
          </cell>
          <cell r="D469">
            <v>0</v>
          </cell>
          <cell r="E469">
            <v>0</v>
          </cell>
          <cell r="F469">
            <v>0</v>
          </cell>
          <cell r="G469">
            <v>0</v>
          </cell>
          <cell r="H469">
            <v>0</v>
          </cell>
          <cell r="I469">
            <v>0</v>
          </cell>
          <cell r="J469">
            <v>0</v>
          </cell>
          <cell r="K469">
            <v>0</v>
          </cell>
        </row>
        <row r="470">
          <cell r="A470">
            <v>113023</v>
          </cell>
          <cell r="B470" t="str">
            <v>AJUSTE ADOPCION MAQUINAS</v>
          </cell>
          <cell r="C470">
            <v>0</v>
          </cell>
          <cell r="D470">
            <v>0</v>
          </cell>
          <cell r="E470">
            <v>0</v>
          </cell>
          <cell r="F470">
            <v>0</v>
          </cell>
          <cell r="G470">
            <v>0</v>
          </cell>
          <cell r="H470">
            <v>0</v>
          </cell>
          <cell r="I470">
            <v>0</v>
          </cell>
          <cell r="J470">
            <v>0</v>
          </cell>
          <cell r="K470">
            <v>0</v>
          </cell>
        </row>
        <row r="471">
          <cell r="A471">
            <v>113024</v>
          </cell>
          <cell r="B471" t="str">
            <v>AJUSTE ADOPCION MUEBLES Y</v>
          </cell>
          <cell r="C471">
            <v>0</v>
          </cell>
          <cell r="D471">
            <v>0</v>
          </cell>
          <cell r="E471">
            <v>0</v>
          </cell>
          <cell r="F471">
            <v>0</v>
          </cell>
          <cell r="G471">
            <v>0</v>
          </cell>
          <cell r="H471">
            <v>0</v>
          </cell>
          <cell r="I471">
            <v>0</v>
          </cell>
          <cell r="J471">
            <v>0</v>
          </cell>
          <cell r="K471">
            <v>0</v>
          </cell>
        </row>
        <row r="472">
          <cell r="A472">
            <v>113025</v>
          </cell>
          <cell r="B472" t="str">
            <v>AJUSTE ADOPCION OBRAS DE</v>
          </cell>
          <cell r="C472">
            <v>0</v>
          </cell>
          <cell r="D472">
            <v>0</v>
          </cell>
          <cell r="E472">
            <v>0</v>
          </cell>
          <cell r="F472">
            <v>0</v>
          </cell>
          <cell r="G472">
            <v>0</v>
          </cell>
          <cell r="H472">
            <v>0</v>
          </cell>
          <cell r="I472">
            <v>0</v>
          </cell>
          <cell r="J472">
            <v>0</v>
          </cell>
          <cell r="K472">
            <v>0</v>
          </cell>
        </row>
        <row r="473">
          <cell r="A473">
            <v>113026</v>
          </cell>
          <cell r="B473" t="str">
            <v>AJUSTE 1RA ADOPCION C.HIS</v>
          </cell>
          <cell r="C473">
            <v>0</v>
          </cell>
          <cell r="D473">
            <v>0</v>
          </cell>
          <cell r="E473">
            <v>0</v>
          </cell>
          <cell r="F473">
            <v>0</v>
          </cell>
          <cell r="G473">
            <v>0</v>
          </cell>
          <cell r="H473">
            <v>0</v>
          </cell>
          <cell r="I473">
            <v>0</v>
          </cell>
          <cell r="J473">
            <v>0</v>
          </cell>
          <cell r="K473">
            <v>0</v>
          </cell>
        </row>
        <row r="474">
          <cell r="A474">
            <v>113027</v>
          </cell>
          <cell r="B474" t="str">
            <v>AJUSTE 1RA ADOPCION C.HIS</v>
          </cell>
          <cell r="C474">
            <v>0</v>
          </cell>
          <cell r="D474">
            <v>0</v>
          </cell>
          <cell r="E474">
            <v>0</v>
          </cell>
          <cell r="F474">
            <v>0</v>
          </cell>
          <cell r="G474">
            <v>0</v>
          </cell>
          <cell r="H474">
            <v>0</v>
          </cell>
          <cell r="I474">
            <v>0</v>
          </cell>
          <cell r="J474">
            <v>0</v>
          </cell>
          <cell r="K474">
            <v>0</v>
          </cell>
        </row>
        <row r="475">
          <cell r="A475">
            <v>113028</v>
          </cell>
          <cell r="B475" t="str">
            <v>DETERIORO TIENDA COMERCIA</v>
          </cell>
          <cell r="C475">
            <v>0</v>
          </cell>
          <cell r="D475">
            <v>445250</v>
          </cell>
          <cell r="E475">
            <v>0</v>
          </cell>
          <cell r="F475">
            <v>445250</v>
          </cell>
          <cell r="G475">
            <v>0</v>
          </cell>
          <cell r="H475">
            <v>445250</v>
          </cell>
          <cell r="I475">
            <v>0</v>
          </cell>
          <cell r="J475">
            <v>0</v>
          </cell>
          <cell r="K475">
            <v>-445250</v>
          </cell>
        </row>
        <row r="476">
          <cell r="A476">
            <v>113050</v>
          </cell>
          <cell r="B476" t="str">
            <v>ARTICULOS TIENDA COMERCIA</v>
          </cell>
          <cell r="C476">
            <v>537500</v>
          </cell>
          <cell r="D476">
            <v>0</v>
          </cell>
          <cell r="E476">
            <v>537500</v>
          </cell>
          <cell r="F476">
            <v>0</v>
          </cell>
          <cell r="G476">
            <v>537500</v>
          </cell>
          <cell r="H476">
            <v>0</v>
          </cell>
          <cell r="I476">
            <v>0</v>
          </cell>
          <cell r="J476">
            <v>0</v>
          </cell>
          <cell r="K476">
            <v>537500</v>
          </cell>
        </row>
        <row r="477">
          <cell r="A477">
            <v>113051</v>
          </cell>
          <cell r="B477" t="str">
            <v>EXISTENCIA BODEGA CIA.</v>
          </cell>
          <cell r="C477">
            <v>74367971</v>
          </cell>
          <cell r="D477">
            <v>0</v>
          </cell>
          <cell r="E477">
            <v>74367971</v>
          </cell>
          <cell r="F477">
            <v>0</v>
          </cell>
          <cell r="G477">
            <v>74367971</v>
          </cell>
          <cell r="H477">
            <v>0</v>
          </cell>
          <cell r="I477">
            <v>0</v>
          </cell>
          <cell r="J477">
            <v>0</v>
          </cell>
          <cell r="K477">
            <v>74367971</v>
          </cell>
        </row>
        <row r="478">
          <cell r="A478">
            <v>113052</v>
          </cell>
          <cell r="B478" t="str">
            <v>EXISTENCIA BODEGA TIENDA</v>
          </cell>
          <cell r="C478">
            <v>6401081</v>
          </cell>
          <cell r="D478">
            <v>0</v>
          </cell>
          <cell r="E478">
            <v>6401081</v>
          </cell>
          <cell r="F478">
            <v>0</v>
          </cell>
          <cell r="G478">
            <v>6401081</v>
          </cell>
          <cell r="H478">
            <v>0</v>
          </cell>
          <cell r="I478">
            <v>0</v>
          </cell>
          <cell r="J478">
            <v>0</v>
          </cell>
          <cell r="K478">
            <v>6401081</v>
          </cell>
        </row>
        <row r="479">
          <cell r="A479">
            <v>113053</v>
          </cell>
          <cell r="B479" t="str">
            <v>TRASPASO DE EXISTENCIA</v>
          </cell>
          <cell r="C479">
            <v>403171598</v>
          </cell>
          <cell r="D479">
            <v>400399309</v>
          </cell>
          <cell r="E479">
            <v>2772289</v>
          </cell>
          <cell r="F479">
            <v>0</v>
          </cell>
          <cell r="G479">
            <v>2772289</v>
          </cell>
          <cell r="H479">
            <v>0</v>
          </cell>
          <cell r="I479">
            <v>0</v>
          </cell>
          <cell r="J479">
            <v>0</v>
          </cell>
          <cell r="K479">
            <v>2772289</v>
          </cell>
        </row>
        <row r="480">
          <cell r="A480">
            <v>113054</v>
          </cell>
          <cell r="B480" t="str">
            <v>MERCADERIA EN TRANSITO</v>
          </cell>
          <cell r="C480">
            <v>0</v>
          </cell>
          <cell r="D480">
            <v>0</v>
          </cell>
          <cell r="E480">
            <v>0</v>
          </cell>
          <cell r="F480">
            <v>0</v>
          </cell>
          <cell r="G480">
            <v>0</v>
          </cell>
          <cell r="H480">
            <v>0</v>
          </cell>
          <cell r="I480">
            <v>0</v>
          </cell>
          <cell r="J480">
            <v>0</v>
          </cell>
          <cell r="K480">
            <v>0</v>
          </cell>
        </row>
        <row r="481">
          <cell r="A481">
            <v>113060</v>
          </cell>
          <cell r="B481" t="str">
            <v>OBRAS EN EJECUCION</v>
          </cell>
          <cell r="C481">
            <v>22571029403</v>
          </cell>
          <cell r="D481">
            <v>61914968</v>
          </cell>
          <cell r="E481">
            <v>22509114435</v>
          </cell>
          <cell r="F481">
            <v>0</v>
          </cell>
          <cell r="G481">
            <v>22509114435</v>
          </cell>
          <cell r="H481">
            <v>0</v>
          </cell>
          <cell r="I481">
            <v>0</v>
          </cell>
          <cell r="J481">
            <v>0</v>
          </cell>
          <cell r="K481">
            <v>22509114435</v>
          </cell>
        </row>
        <row r="482">
          <cell r="A482">
            <v>113061</v>
          </cell>
          <cell r="B482" t="str">
            <v>OBRAS EN EJECUCION EN TRA</v>
          </cell>
          <cell r="C482">
            <v>0</v>
          </cell>
          <cell r="D482">
            <v>0</v>
          </cell>
          <cell r="E482">
            <v>0</v>
          </cell>
          <cell r="F482">
            <v>0</v>
          </cell>
          <cell r="G482">
            <v>0</v>
          </cell>
          <cell r="H482">
            <v>0</v>
          </cell>
          <cell r="I482">
            <v>0</v>
          </cell>
          <cell r="J482">
            <v>0</v>
          </cell>
          <cell r="K482">
            <v>0</v>
          </cell>
        </row>
        <row r="483">
          <cell r="A483">
            <v>113101</v>
          </cell>
          <cell r="B483" t="str">
            <v>OTROS ACTIVOS</v>
          </cell>
          <cell r="C483">
            <v>42157736</v>
          </cell>
          <cell r="D483">
            <v>3500000</v>
          </cell>
          <cell r="E483">
            <v>38657736</v>
          </cell>
          <cell r="F483">
            <v>0</v>
          </cell>
          <cell r="G483">
            <v>38657736</v>
          </cell>
          <cell r="H483">
            <v>0</v>
          </cell>
          <cell r="I483">
            <v>0</v>
          </cell>
          <cell r="J483">
            <v>0</v>
          </cell>
          <cell r="K483">
            <v>38657736</v>
          </cell>
        </row>
        <row r="484">
          <cell r="A484">
            <v>114001</v>
          </cell>
          <cell r="B484" t="str">
            <v>BIENES RAICES EN ADJUDICA</v>
          </cell>
          <cell r="C484">
            <v>3677852491</v>
          </cell>
          <cell r="D484">
            <v>384191506</v>
          </cell>
          <cell r="E484">
            <v>3293660985</v>
          </cell>
          <cell r="F484">
            <v>0</v>
          </cell>
          <cell r="G484">
            <v>3293660985</v>
          </cell>
          <cell r="H484">
            <v>0</v>
          </cell>
          <cell r="I484">
            <v>0</v>
          </cell>
          <cell r="J484">
            <v>0</v>
          </cell>
          <cell r="K484">
            <v>3293660985</v>
          </cell>
        </row>
        <row r="485">
          <cell r="A485">
            <v>114002</v>
          </cell>
          <cell r="B485" t="str">
            <v>DERECHOS PACTOS VENTAS</v>
          </cell>
          <cell r="C485">
            <v>38917735525</v>
          </cell>
          <cell r="D485">
            <v>8133865084</v>
          </cell>
          <cell r="E485">
            <v>30783870441</v>
          </cell>
          <cell r="F485">
            <v>0</v>
          </cell>
          <cell r="G485">
            <v>30783870441</v>
          </cell>
          <cell r="H485">
            <v>0</v>
          </cell>
          <cell r="I485">
            <v>0</v>
          </cell>
          <cell r="J485">
            <v>0</v>
          </cell>
          <cell r="K485">
            <v>30783870441</v>
          </cell>
        </row>
        <row r="486">
          <cell r="A486">
            <v>114003</v>
          </cell>
          <cell r="B486" t="str">
            <v>MENOR VALOR INVERSION NUE</v>
          </cell>
          <cell r="C486">
            <v>1338591598</v>
          </cell>
          <cell r="D486">
            <v>0</v>
          </cell>
          <cell r="E486">
            <v>1338591598</v>
          </cell>
          <cell r="F486">
            <v>0</v>
          </cell>
          <cell r="G486">
            <v>1338591598</v>
          </cell>
          <cell r="H486">
            <v>0</v>
          </cell>
          <cell r="I486">
            <v>0</v>
          </cell>
          <cell r="J486">
            <v>0</v>
          </cell>
          <cell r="K486">
            <v>1338591598</v>
          </cell>
        </row>
        <row r="487">
          <cell r="A487">
            <v>114004</v>
          </cell>
          <cell r="B487" t="str">
            <v>DERECHOS OPCION DE VENTA</v>
          </cell>
          <cell r="C487">
            <v>327831</v>
          </cell>
          <cell r="D487">
            <v>674</v>
          </cell>
          <cell r="E487">
            <v>327157</v>
          </cell>
          <cell r="F487">
            <v>0</v>
          </cell>
          <cell r="G487">
            <v>327157</v>
          </cell>
          <cell r="H487">
            <v>0</v>
          </cell>
          <cell r="I487">
            <v>0</v>
          </cell>
          <cell r="J487">
            <v>0</v>
          </cell>
          <cell r="K487">
            <v>327157</v>
          </cell>
        </row>
        <row r="488">
          <cell r="A488">
            <v>114006</v>
          </cell>
          <cell r="B488" t="str">
            <v>D° COMUNIDAD PLAZA DE ARM</v>
          </cell>
          <cell r="C488">
            <v>3448998669</v>
          </cell>
          <cell r="D488">
            <v>0</v>
          </cell>
          <cell r="E488">
            <v>3448998669</v>
          </cell>
          <cell r="F488">
            <v>0</v>
          </cell>
          <cell r="G488">
            <v>3448998669</v>
          </cell>
          <cell r="H488">
            <v>0</v>
          </cell>
          <cell r="I488">
            <v>0</v>
          </cell>
          <cell r="J488">
            <v>0</v>
          </cell>
          <cell r="K488">
            <v>3448998669</v>
          </cell>
        </row>
        <row r="489">
          <cell r="A489">
            <v>114007</v>
          </cell>
          <cell r="B489" t="str">
            <v>CUENTA X COBRAR ACTIVOS E</v>
          </cell>
          <cell r="C489">
            <v>0</v>
          </cell>
          <cell r="D489">
            <v>0</v>
          </cell>
          <cell r="E489">
            <v>0</v>
          </cell>
          <cell r="F489">
            <v>0</v>
          </cell>
          <cell r="G489">
            <v>0</v>
          </cell>
          <cell r="H489">
            <v>0</v>
          </cell>
          <cell r="I489">
            <v>0</v>
          </cell>
          <cell r="J489">
            <v>0</v>
          </cell>
          <cell r="K489">
            <v>0</v>
          </cell>
        </row>
        <row r="490">
          <cell r="A490">
            <v>114008</v>
          </cell>
          <cell r="B490" t="str">
            <v>ACTIVOS EN LEASING</v>
          </cell>
          <cell r="C490">
            <v>451644280</v>
          </cell>
          <cell r="D490">
            <v>0</v>
          </cell>
          <cell r="E490">
            <v>451644280</v>
          </cell>
          <cell r="F490">
            <v>0</v>
          </cell>
          <cell r="G490">
            <v>451644280</v>
          </cell>
          <cell r="H490">
            <v>0</v>
          </cell>
          <cell r="I490">
            <v>0</v>
          </cell>
          <cell r="J490">
            <v>0</v>
          </cell>
          <cell r="K490">
            <v>451644280</v>
          </cell>
        </row>
        <row r="491">
          <cell r="A491">
            <v>114009</v>
          </cell>
          <cell r="B491" t="str">
            <v>INTERESES DIFERIDOS POR L</v>
          </cell>
          <cell r="C491">
            <v>0</v>
          </cell>
          <cell r="D491">
            <v>0</v>
          </cell>
          <cell r="E491">
            <v>0</v>
          </cell>
          <cell r="F491">
            <v>0</v>
          </cell>
          <cell r="G491">
            <v>0</v>
          </cell>
          <cell r="H491">
            <v>0</v>
          </cell>
          <cell r="I491">
            <v>0</v>
          </cell>
          <cell r="J491">
            <v>0</v>
          </cell>
          <cell r="K491">
            <v>0</v>
          </cell>
        </row>
        <row r="492">
          <cell r="A492">
            <v>114010</v>
          </cell>
          <cell r="B492" t="str">
            <v>DEPREC. ACUMULADA ACTIVOS</v>
          </cell>
          <cell r="C492">
            <v>0</v>
          </cell>
          <cell r="D492">
            <v>451644279</v>
          </cell>
          <cell r="E492">
            <v>0</v>
          </cell>
          <cell r="F492">
            <v>451644279</v>
          </cell>
          <cell r="G492">
            <v>0</v>
          </cell>
          <cell r="H492">
            <v>451644279</v>
          </cell>
          <cell r="I492">
            <v>0</v>
          </cell>
          <cell r="J492">
            <v>0</v>
          </cell>
          <cell r="K492">
            <v>-451644279</v>
          </cell>
        </row>
        <row r="493">
          <cell r="A493">
            <v>114011</v>
          </cell>
          <cell r="B493" t="str">
            <v>CUENTA X COBRAR DEUDORES</v>
          </cell>
          <cell r="C493">
            <v>183245394</v>
          </cell>
          <cell r="D493">
            <v>719060</v>
          </cell>
          <cell r="E493">
            <v>182526334</v>
          </cell>
          <cell r="F493">
            <v>0</v>
          </cell>
          <cell r="G493">
            <v>182526334</v>
          </cell>
          <cell r="H493">
            <v>0</v>
          </cell>
          <cell r="I493">
            <v>0</v>
          </cell>
          <cell r="J493">
            <v>0</v>
          </cell>
          <cell r="K493">
            <v>182526334</v>
          </cell>
        </row>
        <row r="494">
          <cell r="A494">
            <v>114012</v>
          </cell>
          <cell r="B494" t="str">
            <v>CUENTAS X COBRAR B.R.A. V</v>
          </cell>
          <cell r="C494">
            <v>255712070</v>
          </cell>
          <cell r="D494">
            <v>78793607</v>
          </cell>
          <cell r="E494">
            <v>176918463</v>
          </cell>
          <cell r="F494">
            <v>0</v>
          </cell>
          <cell r="G494">
            <v>176918463</v>
          </cell>
          <cell r="H494">
            <v>0</v>
          </cell>
          <cell r="I494">
            <v>0</v>
          </cell>
          <cell r="J494">
            <v>0</v>
          </cell>
          <cell r="K494">
            <v>176918463</v>
          </cell>
        </row>
        <row r="495">
          <cell r="A495">
            <v>114013</v>
          </cell>
          <cell r="B495" t="str">
            <v>DERECHOS POR INVERSIONES</v>
          </cell>
          <cell r="C495">
            <v>0</v>
          </cell>
          <cell r="D495">
            <v>0</v>
          </cell>
          <cell r="E495">
            <v>0</v>
          </cell>
          <cell r="F495">
            <v>0</v>
          </cell>
          <cell r="G495">
            <v>0</v>
          </cell>
          <cell r="H495">
            <v>0</v>
          </cell>
          <cell r="I495">
            <v>0</v>
          </cell>
          <cell r="J495">
            <v>0</v>
          </cell>
          <cell r="K495">
            <v>0</v>
          </cell>
        </row>
        <row r="496">
          <cell r="A496">
            <v>114014</v>
          </cell>
          <cell r="B496" t="str">
            <v>DEPRECIACION ACUMULADA BS</v>
          </cell>
          <cell r="C496">
            <v>2352891</v>
          </cell>
          <cell r="D496">
            <v>83725220</v>
          </cell>
          <cell r="E496">
            <v>0</v>
          </cell>
          <cell r="F496">
            <v>81372329</v>
          </cell>
          <cell r="G496">
            <v>0</v>
          </cell>
          <cell r="H496">
            <v>81372329</v>
          </cell>
          <cell r="I496">
            <v>0</v>
          </cell>
          <cell r="J496">
            <v>0</v>
          </cell>
          <cell r="K496">
            <v>-81372329</v>
          </cell>
        </row>
        <row r="497">
          <cell r="A497">
            <v>114015</v>
          </cell>
          <cell r="B497" t="str">
            <v>OTRAS  CUENTAS POR COBRAR</v>
          </cell>
          <cell r="C497">
            <v>80318964</v>
          </cell>
          <cell r="D497">
            <v>80318964</v>
          </cell>
          <cell r="E497">
            <v>0</v>
          </cell>
          <cell r="F497">
            <v>0</v>
          </cell>
          <cell r="G497">
            <v>0</v>
          </cell>
          <cell r="H497">
            <v>0</v>
          </cell>
          <cell r="I497">
            <v>0</v>
          </cell>
          <cell r="J497">
            <v>0</v>
          </cell>
          <cell r="K497">
            <v>0</v>
          </cell>
        </row>
        <row r="498">
          <cell r="A498">
            <v>114017</v>
          </cell>
          <cell r="B498" t="str">
            <v>DERECHOS NEGOCIO RV BONO</v>
          </cell>
          <cell r="C498">
            <v>504536133</v>
          </cell>
          <cell r="D498">
            <v>368954953</v>
          </cell>
          <cell r="E498">
            <v>135581180</v>
          </cell>
          <cell r="F498">
            <v>0</v>
          </cell>
          <cell r="G498">
            <v>135581180</v>
          </cell>
          <cell r="H498">
            <v>0</v>
          </cell>
          <cell r="I498">
            <v>0</v>
          </cell>
          <cell r="J498">
            <v>0</v>
          </cell>
          <cell r="K498">
            <v>135581180</v>
          </cell>
        </row>
        <row r="499">
          <cell r="A499">
            <v>114018</v>
          </cell>
          <cell r="B499" t="str">
            <v>DERECHOS NEGOCIO RV CTA I</v>
          </cell>
          <cell r="C499">
            <v>19480192247</v>
          </cell>
          <cell r="D499">
            <v>9824696080</v>
          </cell>
          <cell r="E499">
            <v>9655496167</v>
          </cell>
          <cell r="F499">
            <v>0</v>
          </cell>
          <cell r="G499">
            <v>9655496167</v>
          </cell>
          <cell r="H499">
            <v>0</v>
          </cell>
          <cell r="I499">
            <v>0</v>
          </cell>
          <cell r="J499">
            <v>0</v>
          </cell>
          <cell r="K499">
            <v>9655496167</v>
          </cell>
        </row>
        <row r="500">
          <cell r="A500">
            <v>114019</v>
          </cell>
          <cell r="B500" t="str">
            <v>RECIBOS NO APLICADOS CTA</v>
          </cell>
          <cell r="C500">
            <v>10026787389</v>
          </cell>
          <cell r="D500">
            <v>10026787389</v>
          </cell>
          <cell r="E500">
            <v>0</v>
          </cell>
          <cell r="F500">
            <v>0</v>
          </cell>
          <cell r="G500">
            <v>0</v>
          </cell>
          <cell r="H500">
            <v>0</v>
          </cell>
          <cell r="I500">
            <v>0</v>
          </cell>
          <cell r="J500">
            <v>0</v>
          </cell>
          <cell r="K500">
            <v>0</v>
          </cell>
        </row>
        <row r="501">
          <cell r="A501">
            <v>114027</v>
          </cell>
          <cell r="B501" t="str">
            <v>DETERIORO BIENES RAICES A</v>
          </cell>
          <cell r="C501">
            <v>0</v>
          </cell>
          <cell r="D501">
            <v>0</v>
          </cell>
          <cell r="E501">
            <v>0</v>
          </cell>
          <cell r="F501">
            <v>0</v>
          </cell>
          <cell r="G501">
            <v>0</v>
          </cell>
          <cell r="H501">
            <v>0</v>
          </cell>
          <cell r="I501">
            <v>0</v>
          </cell>
          <cell r="J501">
            <v>0</v>
          </cell>
          <cell r="K501">
            <v>0</v>
          </cell>
        </row>
        <row r="502">
          <cell r="A502">
            <v>114028</v>
          </cell>
          <cell r="B502" t="str">
            <v>DETERIORO CTAS X COBRAR D</v>
          </cell>
          <cell r="C502">
            <v>0</v>
          </cell>
          <cell r="D502">
            <v>186837262</v>
          </cell>
          <cell r="E502">
            <v>0</v>
          </cell>
          <cell r="F502">
            <v>186837262</v>
          </cell>
          <cell r="G502">
            <v>0</v>
          </cell>
          <cell r="H502">
            <v>186837262</v>
          </cell>
          <cell r="I502">
            <v>0</v>
          </cell>
          <cell r="J502">
            <v>0</v>
          </cell>
          <cell r="K502">
            <v>-186837262</v>
          </cell>
        </row>
        <row r="503">
          <cell r="A503">
            <v>114029</v>
          </cell>
          <cell r="B503" t="str">
            <v>DETERIORO CTAS X COBRAR B</v>
          </cell>
          <cell r="C503">
            <v>0</v>
          </cell>
          <cell r="D503">
            <v>100834438</v>
          </cell>
          <cell r="E503">
            <v>0</v>
          </cell>
          <cell r="F503">
            <v>100834438</v>
          </cell>
          <cell r="G503">
            <v>0</v>
          </cell>
          <cell r="H503">
            <v>100834438</v>
          </cell>
          <cell r="I503">
            <v>0</v>
          </cell>
          <cell r="J503">
            <v>0</v>
          </cell>
          <cell r="K503">
            <v>-100834438</v>
          </cell>
        </row>
        <row r="504">
          <cell r="A504">
            <v>114030</v>
          </cell>
          <cell r="B504" t="str">
            <v>DETERIORO B.R.A.</v>
          </cell>
          <cell r="C504">
            <v>0</v>
          </cell>
          <cell r="D504">
            <v>0</v>
          </cell>
          <cell r="E504">
            <v>0</v>
          </cell>
          <cell r="F504">
            <v>0</v>
          </cell>
          <cell r="G504">
            <v>0</v>
          </cell>
          <cell r="H504">
            <v>0</v>
          </cell>
          <cell r="I504">
            <v>0</v>
          </cell>
          <cell r="J504">
            <v>0</v>
          </cell>
          <cell r="K504">
            <v>0</v>
          </cell>
        </row>
        <row r="505">
          <cell r="A505">
            <v>114032</v>
          </cell>
          <cell r="B505" t="str">
            <v>MENOR VALOR B.R.A.</v>
          </cell>
          <cell r="C505">
            <v>2321019</v>
          </cell>
          <cell r="D505">
            <v>127389751</v>
          </cell>
          <cell r="E505">
            <v>0</v>
          </cell>
          <cell r="F505">
            <v>125068732</v>
          </cell>
          <cell r="G505">
            <v>0</v>
          </cell>
          <cell r="H505">
            <v>125068732</v>
          </cell>
          <cell r="I505">
            <v>0</v>
          </cell>
          <cell r="J505">
            <v>0</v>
          </cell>
          <cell r="K505">
            <v>-125068732</v>
          </cell>
        </row>
        <row r="506">
          <cell r="A506">
            <v>114101</v>
          </cell>
          <cell r="B506" t="str">
            <v>IMPUESTO DIFERIDO POR COB</v>
          </cell>
          <cell r="C506">
            <v>2203917689</v>
          </cell>
          <cell r="D506">
            <v>25896007</v>
          </cell>
          <cell r="E506">
            <v>2178021682</v>
          </cell>
          <cell r="F506">
            <v>0</v>
          </cell>
          <cell r="G506">
            <v>2178021682</v>
          </cell>
          <cell r="H506">
            <v>0</v>
          </cell>
          <cell r="I506">
            <v>0</v>
          </cell>
          <cell r="J506">
            <v>0</v>
          </cell>
          <cell r="K506">
            <v>2178021682</v>
          </cell>
        </row>
        <row r="507">
          <cell r="A507">
            <v>115001</v>
          </cell>
          <cell r="B507" t="str">
            <v>PAGOS SINIESTROS SALUD</v>
          </cell>
          <cell r="C507">
            <v>1433725446</v>
          </cell>
          <cell r="D507">
            <v>1433577285</v>
          </cell>
          <cell r="E507">
            <v>148161</v>
          </cell>
          <cell r="F507">
            <v>0</v>
          </cell>
          <cell r="G507">
            <v>148161</v>
          </cell>
          <cell r="H507">
            <v>0</v>
          </cell>
          <cell r="I507">
            <v>0</v>
          </cell>
          <cell r="J507">
            <v>0</v>
          </cell>
          <cell r="K507">
            <v>148161</v>
          </cell>
        </row>
        <row r="508">
          <cell r="A508">
            <v>115003</v>
          </cell>
          <cell r="B508" t="str">
            <v>PAGOS SEGUROS INDIVIDUALE</v>
          </cell>
          <cell r="C508">
            <v>0</v>
          </cell>
          <cell r="D508">
            <v>0</v>
          </cell>
          <cell r="E508">
            <v>0</v>
          </cell>
          <cell r="F508">
            <v>0</v>
          </cell>
          <cell r="G508">
            <v>0</v>
          </cell>
          <cell r="H508">
            <v>0</v>
          </cell>
          <cell r="I508">
            <v>0</v>
          </cell>
          <cell r="J508">
            <v>0</v>
          </cell>
          <cell r="K508">
            <v>0</v>
          </cell>
        </row>
        <row r="509">
          <cell r="A509">
            <v>115013</v>
          </cell>
          <cell r="B509" t="str">
            <v>CONTROL LINEA DE CREDITOS</v>
          </cell>
          <cell r="C509">
            <v>136689618</v>
          </cell>
          <cell r="D509">
            <v>138927768</v>
          </cell>
          <cell r="E509">
            <v>0</v>
          </cell>
          <cell r="F509">
            <v>2238150</v>
          </cell>
          <cell r="G509">
            <v>0</v>
          </cell>
          <cell r="H509">
            <v>2238150</v>
          </cell>
          <cell r="I509">
            <v>0</v>
          </cell>
          <cell r="J509">
            <v>0</v>
          </cell>
          <cell r="K509">
            <v>-2238150</v>
          </cell>
        </row>
        <row r="510">
          <cell r="A510">
            <v>115014</v>
          </cell>
          <cell r="B510" t="str">
            <v>CONTROL CAMBIO BENEFICIAR</v>
          </cell>
          <cell r="C510">
            <v>0</v>
          </cell>
          <cell r="D510">
            <v>0</v>
          </cell>
          <cell r="E510">
            <v>0</v>
          </cell>
          <cell r="F510">
            <v>0</v>
          </cell>
          <cell r="G510">
            <v>0</v>
          </cell>
          <cell r="H510">
            <v>0</v>
          </cell>
          <cell r="I510">
            <v>0</v>
          </cell>
          <cell r="J510">
            <v>0</v>
          </cell>
          <cell r="K510">
            <v>0</v>
          </cell>
        </row>
        <row r="511">
          <cell r="A511">
            <v>115016</v>
          </cell>
          <cell r="B511" t="str">
            <v>CONTROL CREDITOS DE CONSU</v>
          </cell>
          <cell r="C511">
            <v>0</v>
          </cell>
          <cell r="D511">
            <v>0</v>
          </cell>
          <cell r="E511">
            <v>0</v>
          </cell>
          <cell r="F511">
            <v>0</v>
          </cell>
          <cell r="G511">
            <v>0</v>
          </cell>
          <cell r="H511">
            <v>0</v>
          </cell>
          <cell r="I511">
            <v>0</v>
          </cell>
          <cell r="J511">
            <v>0</v>
          </cell>
          <cell r="K511">
            <v>0</v>
          </cell>
        </row>
        <row r="512">
          <cell r="A512">
            <v>210101</v>
          </cell>
          <cell r="B512" t="str">
            <v>RES.RIESGO CURSO DESGRAVA</v>
          </cell>
          <cell r="C512">
            <v>147011896</v>
          </cell>
          <cell r="D512">
            <v>1688243456</v>
          </cell>
          <cell r="E512">
            <v>0</v>
          </cell>
          <cell r="F512">
            <v>1541231560</v>
          </cell>
          <cell r="G512">
            <v>0</v>
          </cell>
          <cell r="H512">
            <v>1541231560</v>
          </cell>
          <cell r="I512">
            <v>0</v>
          </cell>
          <cell r="J512">
            <v>0</v>
          </cell>
          <cell r="K512">
            <v>-1541231560</v>
          </cell>
        </row>
        <row r="513">
          <cell r="A513">
            <v>210102</v>
          </cell>
          <cell r="B513" t="str">
            <v>RES.RIESGO DESGRAVAMEN IN</v>
          </cell>
          <cell r="C513">
            <v>9115</v>
          </cell>
          <cell r="D513">
            <v>4320471</v>
          </cell>
          <cell r="E513">
            <v>0</v>
          </cell>
          <cell r="F513">
            <v>4311356</v>
          </cell>
          <cell r="G513">
            <v>0</v>
          </cell>
          <cell r="H513">
            <v>4311356</v>
          </cell>
          <cell r="I513">
            <v>0</v>
          </cell>
          <cell r="J513">
            <v>0</v>
          </cell>
          <cell r="K513">
            <v>-4311356</v>
          </cell>
        </row>
        <row r="514">
          <cell r="A514">
            <v>210103</v>
          </cell>
          <cell r="B514" t="str">
            <v>RES.RIESGO CURSO ACCID. P</v>
          </cell>
          <cell r="C514">
            <v>27909776</v>
          </cell>
          <cell r="D514">
            <v>591210823</v>
          </cell>
          <cell r="E514">
            <v>0</v>
          </cell>
          <cell r="F514">
            <v>563301047</v>
          </cell>
          <cell r="G514">
            <v>0</v>
          </cell>
          <cell r="H514">
            <v>563301047</v>
          </cell>
          <cell r="I514">
            <v>0</v>
          </cell>
          <cell r="J514">
            <v>0</v>
          </cell>
          <cell r="K514">
            <v>-563301047</v>
          </cell>
        </row>
        <row r="515">
          <cell r="A515">
            <v>210104</v>
          </cell>
          <cell r="B515" t="str">
            <v>RES.RIESGO CURSO TEMPORAL</v>
          </cell>
          <cell r="C515">
            <v>73708309</v>
          </cell>
          <cell r="D515">
            <v>2231982474</v>
          </cell>
          <cell r="E515">
            <v>0</v>
          </cell>
          <cell r="F515">
            <v>2158274165</v>
          </cell>
          <cell r="G515">
            <v>0</v>
          </cell>
          <cell r="H515">
            <v>2158274165</v>
          </cell>
          <cell r="I515">
            <v>0</v>
          </cell>
          <cell r="J515">
            <v>0</v>
          </cell>
          <cell r="K515">
            <v>-2158274165</v>
          </cell>
        </row>
        <row r="516">
          <cell r="A516">
            <v>210105</v>
          </cell>
          <cell r="B516" t="str">
            <v>RES.RIESGO CURSO TEMPORAL</v>
          </cell>
          <cell r="C516">
            <v>28192</v>
          </cell>
          <cell r="D516">
            <v>14160521</v>
          </cell>
          <cell r="E516">
            <v>0</v>
          </cell>
          <cell r="F516">
            <v>14132329</v>
          </cell>
          <cell r="G516">
            <v>0</v>
          </cell>
          <cell r="H516">
            <v>14132329</v>
          </cell>
          <cell r="I516">
            <v>0</v>
          </cell>
          <cell r="J516">
            <v>0</v>
          </cell>
          <cell r="K516">
            <v>-14132329</v>
          </cell>
        </row>
        <row r="517">
          <cell r="A517">
            <v>210106</v>
          </cell>
          <cell r="B517" t="str">
            <v>RES.RIESGO CURSO SALUD CO</v>
          </cell>
          <cell r="C517">
            <v>4373976</v>
          </cell>
          <cell r="D517">
            <v>2208756144</v>
          </cell>
          <cell r="E517">
            <v>0</v>
          </cell>
          <cell r="F517">
            <v>2204382168</v>
          </cell>
          <cell r="G517">
            <v>0</v>
          </cell>
          <cell r="H517">
            <v>2204382168</v>
          </cell>
          <cell r="I517">
            <v>0</v>
          </cell>
          <cell r="J517">
            <v>0</v>
          </cell>
          <cell r="K517">
            <v>-2204382168</v>
          </cell>
        </row>
        <row r="518">
          <cell r="A518">
            <v>210107</v>
          </cell>
          <cell r="B518" t="str">
            <v>RES.RIESGO CURSO SALUD IN</v>
          </cell>
          <cell r="C518">
            <v>252321</v>
          </cell>
          <cell r="D518">
            <v>119019547</v>
          </cell>
          <cell r="E518">
            <v>0</v>
          </cell>
          <cell r="F518">
            <v>118767226</v>
          </cell>
          <cell r="G518">
            <v>0</v>
          </cell>
          <cell r="H518">
            <v>118767226</v>
          </cell>
          <cell r="I518">
            <v>0</v>
          </cell>
          <cell r="J518">
            <v>0</v>
          </cell>
          <cell r="K518">
            <v>-118767226</v>
          </cell>
        </row>
        <row r="519">
          <cell r="A519">
            <v>210108</v>
          </cell>
          <cell r="B519" t="str">
            <v>RES.RIESGO CURSO VIDA ENT</v>
          </cell>
          <cell r="C519">
            <v>1199583</v>
          </cell>
          <cell r="D519">
            <v>43470720</v>
          </cell>
          <cell r="E519">
            <v>0</v>
          </cell>
          <cell r="F519">
            <v>42271137</v>
          </cell>
          <cell r="G519">
            <v>0</v>
          </cell>
          <cell r="H519">
            <v>42271137</v>
          </cell>
          <cell r="I519">
            <v>0</v>
          </cell>
          <cell r="J519">
            <v>0</v>
          </cell>
          <cell r="K519">
            <v>-42271137</v>
          </cell>
        </row>
        <row r="520">
          <cell r="A520">
            <v>210109</v>
          </cell>
          <cell r="B520" t="str">
            <v>RES.RIESGO CURSO FLEXIBLE</v>
          </cell>
          <cell r="C520">
            <v>568847</v>
          </cell>
          <cell r="D520">
            <v>270377529</v>
          </cell>
          <cell r="E520">
            <v>0</v>
          </cell>
          <cell r="F520">
            <v>269808682</v>
          </cell>
          <cell r="G520">
            <v>0</v>
          </cell>
          <cell r="H520">
            <v>269808682</v>
          </cell>
          <cell r="I520">
            <v>0</v>
          </cell>
          <cell r="J520">
            <v>0</v>
          </cell>
          <cell r="K520">
            <v>-269808682</v>
          </cell>
        </row>
        <row r="521">
          <cell r="A521">
            <v>210110</v>
          </cell>
          <cell r="B521" t="str">
            <v>RES.RIESGO CURSO DOTAL IN</v>
          </cell>
          <cell r="C521">
            <v>18409</v>
          </cell>
          <cell r="D521">
            <v>4564916</v>
          </cell>
          <cell r="E521">
            <v>0</v>
          </cell>
          <cell r="F521">
            <v>4546507</v>
          </cell>
          <cell r="G521">
            <v>0</v>
          </cell>
          <cell r="H521">
            <v>4546507</v>
          </cell>
          <cell r="I521">
            <v>0</v>
          </cell>
          <cell r="J521">
            <v>0</v>
          </cell>
          <cell r="K521">
            <v>-4546507</v>
          </cell>
        </row>
        <row r="522">
          <cell r="A522">
            <v>210111</v>
          </cell>
          <cell r="B522" t="str">
            <v>RES.RIESGO CURSO INCAPACI</v>
          </cell>
          <cell r="C522">
            <v>2076</v>
          </cell>
          <cell r="D522">
            <v>974873</v>
          </cell>
          <cell r="E522">
            <v>0</v>
          </cell>
          <cell r="F522">
            <v>972797</v>
          </cell>
          <cell r="G522">
            <v>0</v>
          </cell>
          <cell r="H522">
            <v>972797</v>
          </cell>
          <cell r="I522">
            <v>0</v>
          </cell>
          <cell r="J522">
            <v>0</v>
          </cell>
          <cell r="K522">
            <v>-972797</v>
          </cell>
        </row>
        <row r="523">
          <cell r="A523">
            <v>210112</v>
          </cell>
          <cell r="B523" t="str">
            <v>RES.RIESGO CURSO INCAPACI</v>
          </cell>
          <cell r="C523">
            <v>0</v>
          </cell>
          <cell r="D523">
            <v>0</v>
          </cell>
          <cell r="E523">
            <v>0</v>
          </cell>
          <cell r="F523">
            <v>0</v>
          </cell>
          <cell r="G523">
            <v>0</v>
          </cell>
          <cell r="H523">
            <v>0</v>
          </cell>
          <cell r="I523">
            <v>0</v>
          </cell>
          <cell r="J523">
            <v>0</v>
          </cell>
          <cell r="K523">
            <v>0</v>
          </cell>
        </row>
        <row r="524">
          <cell r="A524">
            <v>210113</v>
          </cell>
          <cell r="B524" t="str">
            <v>RES.RIESGO CURSO APV INDI</v>
          </cell>
          <cell r="C524">
            <v>0</v>
          </cell>
          <cell r="D524">
            <v>0</v>
          </cell>
          <cell r="E524">
            <v>0</v>
          </cell>
          <cell r="F524">
            <v>0</v>
          </cell>
          <cell r="G524">
            <v>0</v>
          </cell>
          <cell r="H524">
            <v>0</v>
          </cell>
          <cell r="I524">
            <v>0</v>
          </cell>
          <cell r="J524">
            <v>0</v>
          </cell>
          <cell r="K524">
            <v>0</v>
          </cell>
        </row>
        <row r="525">
          <cell r="A525">
            <v>210115</v>
          </cell>
          <cell r="B525" t="str">
            <v>RES.RIESGO CURSO PROTECCI</v>
          </cell>
          <cell r="C525">
            <v>96567</v>
          </cell>
          <cell r="D525">
            <v>45479324</v>
          </cell>
          <cell r="E525">
            <v>0</v>
          </cell>
          <cell r="F525">
            <v>45382757</v>
          </cell>
          <cell r="G525">
            <v>0</v>
          </cell>
          <cell r="H525">
            <v>45382757</v>
          </cell>
          <cell r="I525">
            <v>0</v>
          </cell>
          <cell r="J525">
            <v>0</v>
          </cell>
          <cell r="K525">
            <v>-45382757</v>
          </cell>
        </row>
        <row r="526">
          <cell r="A526">
            <v>210116</v>
          </cell>
          <cell r="B526" t="str">
            <v>RES.RIESGO CURSO INDIVIDU</v>
          </cell>
          <cell r="C526">
            <v>240850</v>
          </cell>
          <cell r="D526">
            <v>119171351</v>
          </cell>
          <cell r="E526">
            <v>0</v>
          </cell>
          <cell r="F526">
            <v>118930501</v>
          </cell>
          <cell r="G526">
            <v>0</v>
          </cell>
          <cell r="H526">
            <v>118930501</v>
          </cell>
          <cell r="I526">
            <v>0</v>
          </cell>
          <cell r="J526">
            <v>0</v>
          </cell>
          <cell r="K526">
            <v>-118930501</v>
          </cell>
        </row>
        <row r="527">
          <cell r="A527">
            <v>210118</v>
          </cell>
          <cell r="B527" t="str">
            <v>RES.RIESGO CURSO VIDA ENT</v>
          </cell>
          <cell r="C527">
            <v>27081</v>
          </cell>
          <cell r="D527">
            <v>3712998</v>
          </cell>
          <cell r="E527">
            <v>0</v>
          </cell>
          <cell r="F527">
            <v>3685917</v>
          </cell>
          <cell r="G527">
            <v>0</v>
          </cell>
          <cell r="H527">
            <v>3685917</v>
          </cell>
          <cell r="I527">
            <v>0</v>
          </cell>
          <cell r="J527">
            <v>0</v>
          </cell>
          <cell r="K527">
            <v>-3685917</v>
          </cell>
        </row>
        <row r="528">
          <cell r="A528">
            <v>210301</v>
          </cell>
          <cell r="B528" t="str">
            <v>RES.SINIESTROS TEMPORAL V</v>
          </cell>
          <cell r="C528">
            <v>33921539</v>
          </cell>
          <cell r="D528">
            <v>532156330</v>
          </cell>
          <cell r="E528">
            <v>0</v>
          </cell>
          <cell r="F528">
            <v>498234791</v>
          </cell>
          <cell r="G528">
            <v>0</v>
          </cell>
          <cell r="H528">
            <v>498234791</v>
          </cell>
          <cell r="I528">
            <v>0</v>
          </cell>
          <cell r="J528">
            <v>0</v>
          </cell>
          <cell r="K528">
            <v>-498234791</v>
          </cell>
        </row>
        <row r="529">
          <cell r="A529">
            <v>210302</v>
          </cell>
          <cell r="B529" t="str">
            <v>RES.SINIESTROS CONTROVERT</v>
          </cell>
          <cell r="C529">
            <v>0</v>
          </cell>
          <cell r="D529">
            <v>0</v>
          </cell>
          <cell r="E529">
            <v>0</v>
          </cell>
          <cell r="F529">
            <v>0</v>
          </cell>
          <cell r="G529">
            <v>0</v>
          </cell>
          <cell r="H529">
            <v>0</v>
          </cell>
          <cell r="I529">
            <v>0</v>
          </cell>
          <cell r="J529">
            <v>0</v>
          </cell>
          <cell r="K529">
            <v>0</v>
          </cell>
        </row>
        <row r="530">
          <cell r="A530">
            <v>210303</v>
          </cell>
          <cell r="B530" t="str">
            <v>RESERVA OC. Y NO REPORTAD</v>
          </cell>
          <cell r="C530">
            <v>103847722</v>
          </cell>
          <cell r="D530">
            <v>3574485118</v>
          </cell>
          <cell r="E530">
            <v>0</v>
          </cell>
          <cell r="F530">
            <v>3470637396</v>
          </cell>
          <cell r="G530">
            <v>0</v>
          </cell>
          <cell r="H530">
            <v>3470637396</v>
          </cell>
          <cell r="I530">
            <v>0</v>
          </cell>
          <cell r="J530">
            <v>0</v>
          </cell>
          <cell r="K530">
            <v>-3470637396</v>
          </cell>
        </row>
        <row r="531">
          <cell r="A531">
            <v>210304</v>
          </cell>
          <cell r="B531" t="str">
            <v>RES.SINIESTROS DESGRAVAME</v>
          </cell>
          <cell r="C531">
            <v>2514515</v>
          </cell>
          <cell r="D531">
            <v>69687290</v>
          </cell>
          <cell r="E531">
            <v>0</v>
          </cell>
          <cell r="F531">
            <v>67172775</v>
          </cell>
          <cell r="G531">
            <v>0</v>
          </cell>
          <cell r="H531">
            <v>67172775</v>
          </cell>
          <cell r="I531">
            <v>0</v>
          </cell>
          <cell r="J531">
            <v>0</v>
          </cell>
          <cell r="K531">
            <v>-67172775</v>
          </cell>
        </row>
        <row r="532">
          <cell r="A532">
            <v>210305</v>
          </cell>
          <cell r="B532" t="str">
            <v>RESERVA OC. Y NO REP DESG</v>
          </cell>
          <cell r="C532">
            <v>44582</v>
          </cell>
          <cell r="D532">
            <v>583015</v>
          </cell>
          <cell r="E532">
            <v>0</v>
          </cell>
          <cell r="F532">
            <v>538433</v>
          </cell>
          <cell r="G532">
            <v>0</v>
          </cell>
          <cell r="H532">
            <v>538433</v>
          </cell>
          <cell r="I532">
            <v>0</v>
          </cell>
          <cell r="J532">
            <v>0</v>
          </cell>
          <cell r="K532">
            <v>-538433</v>
          </cell>
        </row>
        <row r="533">
          <cell r="A533">
            <v>210306</v>
          </cell>
          <cell r="B533" t="str">
            <v>RES.SINIESTROS ACCID. PER</v>
          </cell>
          <cell r="C533">
            <v>442</v>
          </cell>
          <cell r="D533">
            <v>207405</v>
          </cell>
          <cell r="E533">
            <v>0</v>
          </cell>
          <cell r="F533">
            <v>206963</v>
          </cell>
          <cell r="G533">
            <v>0</v>
          </cell>
          <cell r="H533">
            <v>206963</v>
          </cell>
          <cell r="I533">
            <v>0</v>
          </cell>
          <cell r="J533">
            <v>0</v>
          </cell>
          <cell r="K533">
            <v>-206963</v>
          </cell>
        </row>
        <row r="534">
          <cell r="A534">
            <v>210307</v>
          </cell>
          <cell r="B534" t="str">
            <v>RES.SINIESTROS TEMPORAL V</v>
          </cell>
          <cell r="C534">
            <v>0</v>
          </cell>
          <cell r="D534">
            <v>0</v>
          </cell>
          <cell r="E534">
            <v>0</v>
          </cell>
          <cell r="F534">
            <v>0</v>
          </cell>
          <cell r="G534">
            <v>0</v>
          </cell>
          <cell r="H534">
            <v>0</v>
          </cell>
          <cell r="I534">
            <v>0</v>
          </cell>
          <cell r="J534">
            <v>0</v>
          </cell>
          <cell r="K534">
            <v>0</v>
          </cell>
        </row>
        <row r="535">
          <cell r="A535">
            <v>210308</v>
          </cell>
          <cell r="B535" t="str">
            <v>RES.SINIESTROS SALUD INDI</v>
          </cell>
          <cell r="C535">
            <v>352328</v>
          </cell>
          <cell r="D535">
            <v>679822</v>
          </cell>
          <cell r="E535">
            <v>0</v>
          </cell>
          <cell r="F535">
            <v>327494</v>
          </cell>
          <cell r="G535">
            <v>0</v>
          </cell>
          <cell r="H535">
            <v>327494</v>
          </cell>
          <cell r="I535">
            <v>0</v>
          </cell>
          <cell r="J535">
            <v>0</v>
          </cell>
          <cell r="K535">
            <v>-327494</v>
          </cell>
        </row>
        <row r="536">
          <cell r="A536">
            <v>210309</v>
          </cell>
          <cell r="B536" t="str">
            <v>RES. SINIESTROS CONTROVER</v>
          </cell>
          <cell r="C536">
            <v>0</v>
          </cell>
          <cell r="D536">
            <v>0</v>
          </cell>
          <cell r="E536">
            <v>0</v>
          </cell>
          <cell r="F536">
            <v>0</v>
          </cell>
          <cell r="G536">
            <v>0</v>
          </cell>
          <cell r="H536">
            <v>0</v>
          </cell>
          <cell r="I536">
            <v>0</v>
          </cell>
          <cell r="J536">
            <v>0</v>
          </cell>
          <cell r="K536">
            <v>0</v>
          </cell>
        </row>
        <row r="537">
          <cell r="A537">
            <v>210310</v>
          </cell>
          <cell r="B537" t="str">
            <v>RESERVA OC. Y NO REP TEMP</v>
          </cell>
          <cell r="C537">
            <v>46217521</v>
          </cell>
          <cell r="D537">
            <v>638483643</v>
          </cell>
          <cell r="E537">
            <v>0</v>
          </cell>
          <cell r="F537">
            <v>592266122</v>
          </cell>
          <cell r="G537">
            <v>0</v>
          </cell>
          <cell r="H537">
            <v>592266122</v>
          </cell>
          <cell r="I537">
            <v>0</v>
          </cell>
          <cell r="J537">
            <v>0</v>
          </cell>
          <cell r="K537">
            <v>-592266122</v>
          </cell>
        </row>
        <row r="538">
          <cell r="A538">
            <v>210311</v>
          </cell>
          <cell r="B538" t="str">
            <v>RES.SINIESTROS CONTROVERT</v>
          </cell>
          <cell r="C538">
            <v>0</v>
          </cell>
          <cell r="D538">
            <v>0</v>
          </cell>
          <cell r="E538">
            <v>0</v>
          </cell>
          <cell r="F538">
            <v>0</v>
          </cell>
          <cell r="G538">
            <v>0</v>
          </cell>
          <cell r="H538">
            <v>0</v>
          </cell>
          <cell r="I538">
            <v>0</v>
          </cell>
          <cell r="J538">
            <v>0</v>
          </cell>
          <cell r="K538">
            <v>0</v>
          </cell>
        </row>
        <row r="539">
          <cell r="A539">
            <v>210312</v>
          </cell>
          <cell r="B539" t="str">
            <v>RES.SINIESTROS CONTROVERT</v>
          </cell>
          <cell r="C539">
            <v>0</v>
          </cell>
          <cell r="D539">
            <v>0</v>
          </cell>
          <cell r="E539">
            <v>0</v>
          </cell>
          <cell r="F539">
            <v>0</v>
          </cell>
          <cell r="G539">
            <v>0</v>
          </cell>
          <cell r="H539">
            <v>0</v>
          </cell>
          <cell r="I539">
            <v>0</v>
          </cell>
          <cell r="J539">
            <v>0</v>
          </cell>
          <cell r="K539">
            <v>0</v>
          </cell>
        </row>
        <row r="540">
          <cell r="A540">
            <v>210313</v>
          </cell>
          <cell r="B540" t="str">
            <v>RESERVA OC. Y NO REP PROT</v>
          </cell>
          <cell r="C540">
            <v>10941175</v>
          </cell>
          <cell r="D540">
            <v>151149622</v>
          </cell>
          <cell r="E540">
            <v>0</v>
          </cell>
          <cell r="F540">
            <v>140208447</v>
          </cell>
          <cell r="G540">
            <v>0</v>
          </cell>
          <cell r="H540">
            <v>140208447</v>
          </cell>
          <cell r="I540">
            <v>0</v>
          </cell>
          <cell r="J540">
            <v>0</v>
          </cell>
          <cell r="K540">
            <v>-140208447</v>
          </cell>
        </row>
        <row r="541">
          <cell r="A541">
            <v>210314</v>
          </cell>
          <cell r="B541" t="str">
            <v>RESERVA OC. Y NO REP INCA</v>
          </cell>
          <cell r="C541">
            <v>0</v>
          </cell>
          <cell r="D541">
            <v>0</v>
          </cell>
          <cell r="E541">
            <v>0</v>
          </cell>
          <cell r="F541">
            <v>0</v>
          </cell>
          <cell r="G541">
            <v>0</v>
          </cell>
          <cell r="H541">
            <v>0</v>
          </cell>
          <cell r="I541">
            <v>0</v>
          </cell>
          <cell r="J541">
            <v>0</v>
          </cell>
          <cell r="K541">
            <v>0</v>
          </cell>
        </row>
        <row r="542">
          <cell r="A542">
            <v>210315</v>
          </cell>
          <cell r="B542" t="str">
            <v>RESERVA OC. Y NO REP ACCI</v>
          </cell>
          <cell r="C542">
            <v>539038</v>
          </cell>
          <cell r="D542">
            <v>7446668</v>
          </cell>
          <cell r="E542">
            <v>0</v>
          </cell>
          <cell r="F542">
            <v>6907630</v>
          </cell>
          <cell r="G542">
            <v>0</v>
          </cell>
          <cell r="H542">
            <v>6907630</v>
          </cell>
          <cell r="I542">
            <v>0</v>
          </cell>
          <cell r="J542">
            <v>0</v>
          </cell>
          <cell r="K542">
            <v>-6907630</v>
          </cell>
        </row>
        <row r="543">
          <cell r="A543">
            <v>210316</v>
          </cell>
          <cell r="B543" t="str">
            <v>RES.SINIESTROS PROTECCION</v>
          </cell>
          <cell r="C543">
            <v>11258169</v>
          </cell>
          <cell r="D543">
            <v>34966964</v>
          </cell>
          <cell r="E543">
            <v>0</v>
          </cell>
          <cell r="F543">
            <v>23708795</v>
          </cell>
          <cell r="G543">
            <v>0</v>
          </cell>
          <cell r="H543">
            <v>23708795</v>
          </cell>
          <cell r="I543">
            <v>0</v>
          </cell>
          <cell r="J543">
            <v>0</v>
          </cell>
          <cell r="K543">
            <v>-23708795</v>
          </cell>
        </row>
        <row r="544">
          <cell r="A544">
            <v>210317</v>
          </cell>
          <cell r="B544" t="str">
            <v>RES. SINIESTROS CONTROVER</v>
          </cell>
          <cell r="C544">
            <v>42886614</v>
          </cell>
          <cell r="D544">
            <v>592468975</v>
          </cell>
          <cell r="E544">
            <v>0</v>
          </cell>
          <cell r="F544">
            <v>549582361</v>
          </cell>
          <cell r="G544">
            <v>0</v>
          </cell>
          <cell r="H544">
            <v>549582361</v>
          </cell>
          <cell r="I544">
            <v>0</v>
          </cell>
          <cell r="J544">
            <v>0</v>
          </cell>
          <cell r="K544">
            <v>-549582361</v>
          </cell>
        </row>
        <row r="545">
          <cell r="A545">
            <v>210319</v>
          </cell>
          <cell r="B545" t="str">
            <v>RES. SINIESTROS POR PAGAR</v>
          </cell>
          <cell r="C545">
            <v>9432785</v>
          </cell>
          <cell r="D545">
            <v>9536423</v>
          </cell>
          <cell r="E545">
            <v>0</v>
          </cell>
          <cell r="F545">
            <v>103638</v>
          </cell>
          <cell r="G545">
            <v>0</v>
          </cell>
          <cell r="H545">
            <v>103638</v>
          </cell>
          <cell r="I545">
            <v>0</v>
          </cell>
          <cell r="J545">
            <v>0</v>
          </cell>
          <cell r="K545">
            <v>-103638</v>
          </cell>
        </row>
        <row r="546">
          <cell r="A546">
            <v>210320</v>
          </cell>
          <cell r="B546" t="str">
            <v>RES. SINIESTROS POR PAGAR</v>
          </cell>
          <cell r="C546">
            <v>0</v>
          </cell>
          <cell r="D546">
            <v>0</v>
          </cell>
          <cell r="E546">
            <v>0</v>
          </cell>
          <cell r="F546">
            <v>0</v>
          </cell>
          <cell r="G546">
            <v>0</v>
          </cell>
          <cell r="H546">
            <v>0</v>
          </cell>
          <cell r="I546">
            <v>0</v>
          </cell>
          <cell r="J546">
            <v>0</v>
          </cell>
          <cell r="K546">
            <v>0</v>
          </cell>
        </row>
        <row r="547">
          <cell r="A547">
            <v>210321</v>
          </cell>
          <cell r="B547" t="str">
            <v>RES. OTROS SEG. VIDA CON</v>
          </cell>
          <cell r="C547">
            <v>68899212</v>
          </cell>
          <cell r="D547">
            <v>32610615579</v>
          </cell>
          <cell r="E547">
            <v>0</v>
          </cell>
          <cell r="F547">
            <v>32541716367</v>
          </cell>
          <cell r="G547">
            <v>0</v>
          </cell>
          <cell r="H547">
            <v>32541716367</v>
          </cell>
          <cell r="I547">
            <v>0</v>
          </cell>
          <cell r="J547">
            <v>0</v>
          </cell>
          <cell r="K547">
            <v>-32541716367</v>
          </cell>
        </row>
        <row r="548">
          <cell r="A548">
            <v>210322</v>
          </cell>
          <cell r="B548" t="str">
            <v>RES SEG. VIDA AHORRO PREV</v>
          </cell>
          <cell r="C548">
            <v>0</v>
          </cell>
          <cell r="D548">
            <v>0</v>
          </cell>
          <cell r="E548">
            <v>0</v>
          </cell>
          <cell r="F548">
            <v>0</v>
          </cell>
          <cell r="G548">
            <v>0</v>
          </cell>
          <cell r="H548">
            <v>0</v>
          </cell>
          <cell r="I548">
            <v>0</v>
          </cell>
          <cell r="J548">
            <v>0</v>
          </cell>
          <cell r="K548">
            <v>0</v>
          </cell>
        </row>
        <row r="549">
          <cell r="A549">
            <v>210323</v>
          </cell>
          <cell r="B549" t="str">
            <v>RESERVA OC. Y NO REP VIDA</v>
          </cell>
          <cell r="C549">
            <v>299568</v>
          </cell>
          <cell r="D549">
            <v>3917576</v>
          </cell>
          <cell r="E549">
            <v>0</v>
          </cell>
          <cell r="F549">
            <v>3618008</v>
          </cell>
          <cell r="G549">
            <v>0</v>
          </cell>
          <cell r="H549">
            <v>3618008</v>
          </cell>
          <cell r="I549">
            <v>0</v>
          </cell>
          <cell r="J549">
            <v>0</v>
          </cell>
          <cell r="K549">
            <v>-3618008</v>
          </cell>
        </row>
        <row r="550">
          <cell r="A550">
            <v>210324</v>
          </cell>
          <cell r="B550" t="str">
            <v>RESERVA OC. Y NO REP TEMP</v>
          </cell>
          <cell r="C550">
            <v>251386</v>
          </cell>
          <cell r="D550">
            <v>3287467</v>
          </cell>
          <cell r="E550">
            <v>0</v>
          </cell>
          <cell r="F550">
            <v>3036081</v>
          </cell>
          <cell r="G550">
            <v>0</v>
          </cell>
          <cell r="H550">
            <v>3036081</v>
          </cell>
          <cell r="I550">
            <v>0</v>
          </cell>
          <cell r="J550">
            <v>0</v>
          </cell>
          <cell r="K550">
            <v>-3036081</v>
          </cell>
        </row>
        <row r="551">
          <cell r="A551">
            <v>210325</v>
          </cell>
          <cell r="B551" t="str">
            <v>RESERVA OC. Y NO REP OTRO</v>
          </cell>
          <cell r="C551">
            <v>1506785</v>
          </cell>
          <cell r="D551">
            <v>19704822</v>
          </cell>
          <cell r="E551">
            <v>0</v>
          </cell>
          <cell r="F551">
            <v>18198037</v>
          </cell>
          <cell r="G551">
            <v>0</v>
          </cell>
          <cell r="H551">
            <v>18198037</v>
          </cell>
          <cell r="I551">
            <v>0</v>
          </cell>
          <cell r="J551">
            <v>0</v>
          </cell>
          <cell r="K551">
            <v>-18198037</v>
          </cell>
        </row>
        <row r="552">
          <cell r="A552">
            <v>210326</v>
          </cell>
          <cell r="B552" t="str">
            <v>RESERVA OC. Y NO REP MIXT</v>
          </cell>
          <cell r="C552">
            <v>233102</v>
          </cell>
          <cell r="D552">
            <v>3048363</v>
          </cell>
          <cell r="E552">
            <v>0</v>
          </cell>
          <cell r="F552">
            <v>2815261</v>
          </cell>
          <cell r="G552">
            <v>0</v>
          </cell>
          <cell r="H552">
            <v>2815261</v>
          </cell>
          <cell r="I552">
            <v>0</v>
          </cell>
          <cell r="J552">
            <v>0</v>
          </cell>
          <cell r="K552">
            <v>-2815261</v>
          </cell>
        </row>
        <row r="553">
          <cell r="A553">
            <v>210327</v>
          </cell>
          <cell r="B553" t="str">
            <v>RESERVA OC. Y NO REP INCA</v>
          </cell>
          <cell r="C553">
            <v>23079</v>
          </cell>
          <cell r="D553">
            <v>301817</v>
          </cell>
          <cell r="E553">
            <v>0</v>
          </cell>
          <cell r="F553">
            <v>278738</v>
          </cell>
          <cell r="G553">
            <v>0</v>
          </cell>
          <cell r="H553">
            <v>278738</v>
          </cell>
          <cell r="I553">
            <v>0</v>
          </cell>
          <cell r="J553">
            <v>0</v>
          </cell>
          <cell r="K553">
            <v>-278738</v>
          </cell>
        </row>
        <row r="554">
          <cell r="A554">
            <v>210328</v>
          </cell>
          <cell r="B554" t="str">
            <v>RESERVA OC. Y NO REP SALU</v>
          </cell>
          <cell r="C554">
            <v>2556727</v>
          </cell>
          <cell r="D554">
            <v>33435353</v>
          </cell>
          <cell r="E554">
            <v>0</v>
          </cell>
          <cell r="F554">
            <v>30878626</v>
          </cell>
          <cell r="G554">
            <v>0</v>
          </cell>
          <cell r="H554">
            <v>30878626</v>
          </cell>
          <cell r="I554">
            <v>0</v>
          </cell>
          <cell r="J554">
            <v>0</v>
          </cell>
          <cell r="K554">
            <v>-30878626</v>
          </cell>
        </row>
        <row r="555">
          <cell r="A555">
            <v>210329</v>
          </cell>
          <cell r="B555" t="str">
            <v>RESERVA OC. Y NO REP ACCI</v>
          </cell>
          <cell r="C555">
            <v>258392</v>
          </cell>
          <cell r="D555">
            <v>3379092</v>
          </cell>
          <cell r="E555">
            <v>0</v>
          </cell>
          <cell r="F555">
            <v>3120700</v>
          </cell>
          <cell r="G555">
            <v>0</v>
          </cell>
          <cell r="H555">
            <v>3120700</v>
          </cell>
          <cell r="I555">
            <v>0</v>
          </cell>
          <cell r="J555">
            <v>0</v>
          </cell>
          <cell r="K555">
            <v>-3120700</v>
          </cell>
        </row>
        <row r="556">
          <cell r="A556">
            <v>210331</v>
          </cell>
          <cell r="B556" t="str">
            <v>RES. AFP MAGISTER</v>
          </cell>
          <cell r="C556">
            <v>0</v>
          </cell>
          <cell r="D556">
            <v>0</v>
          </cell>
          <cell r="E556">
            <v>0</v>
          </cell>
          <cell r="F556">
            <v>0</v>
          </cell>
          <cell r="G556">
            <v>0</v>
          </cell>
          <cell r="H556">
            <v>0</v>
          </cell>
          <cell r="I556">
            <v>0</v>
          </cell>
          <cell r="J556">
            <v>0</v>
          </cell>
          <cell r="K556">
            <v>0</v>
          </cell>
        </row>
        <row r="557">
          <cell r="A557">
            <v>210332</v>
          </cell>
          <cell r="B557" t="str">
            <v>RES. AFP HABITAT 2003</v>
          </cell>
          <cell r="C557">
            <v>1102386325</v>
          </cell>
          <cell r="D557">
            <v>7169728821</v>
          </cell>
          <cell r="E557">
            <v>0</v>
          </cell>
          <cell r="F557">
            <v>6067342496</v>
          </cell>
          <cell r="G557">
            <v>0</v>
          </cell>
          <cell r="H557">
            <v>6067342496</v>
          </cell>
          <cell r="I557">
            <v>0</v>
          </cell>
          <cell r="J557">
            <v>0</v>
          </cell>
          <cell r="K557">
            <v>-6067342496</v>
          </cell>
        </row>
        <row r="558">
          <cell r="A558">
            <v>210333</v>
          </cell>
          <cell r="B558" t="str">
            <v>RES. AFP HABITAT</v>
          </cell>
          <cell r="C558">
            <v>0</v>
          </cell>
          <cell r="D558">
            <v>0</v>
          </cell>
          <cell r="E558">
            <v>0</v>
          </cell>
          <cell r="F558">
            <v>0</v>
          </cell>
          <cell r="G558">
            <v>0</v>
          </cell>
          <cell r="H558">
            <v>0</v>
          </cell>
          <cell r="I558">
            <v>0</v>
          </cell>
          <cell r="J558">
            <v>0</v>
          </cell>
          <cell r="K558">
            <v>0</v>
          </cell>
        </row>
        <row r="559">
          <cell r="A559">
            <v>210334</v>
          </cell>
          <cell r="B559" t="str">
            <v>RESERVAS DE SINIESTROS</v>
          </cell>
          <cell r="C559">
            <v>3270951701</v>
          </cell>
          <cell r="D559">
            <v>8049074952</v>
          </cell>
          <cell r="E559">
            <v>0</v>
          </cell>
          <cell r="F559">
            <v>4778123251</v>
          </cell>
          <cell r="G559">
            <v>0</v>
          </cell>
          <cell r="H559">
            <v>4778123251</v>
          </cell>
          <cell r="I559">
            <v>0</v>
          </cell>
          <cell r="J559">
            <v>0</v>
          </cell>
          <cell r="K559">
            <v>-4778123251</v>
          </cell>
        </row>
        <row r="560">
          <cell r="A560">
            <v>210341</v>
          </cell>
          <cell r="B560" t="str">
            <v>RES.EN PROC.LIQ. SINIESTR</v>
          </cell>
          <cell r="C560">
            <v>41448798</v>
          </cell>
          <cell r="D560">
            <v>41448798</v>
          </cell>
          <cell r="E560">
            <v>0</v>
          </cell>
          <cell r="F560">
            <v>0</v>
          </cell>
          <cell r="G560">
            <v>0</v>
          </cell>
          <cell r="H560">
            <v>0</v>
          </cell>
          <cell r="I560">
            <v>0</v>
          </cell>
          <cell r="J560">
            <v>0</v>
          </cell>
          <cell r="K560">
            <v>0</v>
          </cell>
        </row>
        <row r="561">
          <cell r="A561">
            <v>210342</v>
          </cell>
          <cell r="B561" t="str">
            <v>RES. EN PROC.LIQ. SINIEST</v>
          </cell>
          <cell r="C561">
            <v>331259645</v>
          </cell>
          <cell r="D561">
            <v>331259645</v>
          </cell>
          <cell r="E561">
            <v>0</v>
          </cell>
          <cell r="F561">
            <v>0</v>
          </cell>
          <cell r="G561">
            <v>0</v>
          </cell>
          <cell r="H561">
            <v>0</v>
          </cell>
          <cell r="I561">
            <v>0</v>
          </cell>
          <cell r="J561">
            <v>0</v>
          </cell>
          <cell r="K561">
            <v>0</v>
          </cell>
        </row>
        <row r="562">
          <cell r="A562">
            <v>210343</v>
          </cell>
          <cell r="B562" t="str">
            <v>RES.EN PROC.LIQ. SINIESTR</v>
          </cell>
          <cell r="C562">
            <v>76439295</v>
          </cell>
          <cell r="D562">
            <v>76439295</v>
          </cell>
          <cell r="E562">
            <v>0</v>
          </cell>
          <cell r="F562">
            <v>0</v>
          </cell>
          <cell r="G562">
            <v>0</v>
          </cell>
          <cell r="H562">
            <v>0</v>
          </cell>
          <cell r="I562">
            <v>0</v>
          </cell>
          <cell r="J562">
            <v>0</v>
          </cell>
          <cell r="K562">
            <v>0</v>
          </cell>
        </row>
        <row r="563">
          <cell r="A563">
            <v>210344</v>
          </cell>
          <cell r="B563" t="str">
            <v>RES.EN PROC.LIQ. SINIESTR</v>
          </cell>
          <cell r="C563">
            <v>28884730</v>
          </cell>
          <cell r="D563">
            <v>28884730</v>
          </cell>
          <cell r="E563">
            <v>0</v>
          </cell>
          <cell r="F563">
            <v>0</v>
          </cell>
          <cell r="G563">
            <v>0</v>
          </cell>
          <cell r="H563">
            <v>0</v>
          </cell>
          <cell r="I563">
            <v>0</v>
          </cell>
          <cell r="J563">
            <v>0</v>
          </cell>
          <cell r="K563">
            <v>0</v>
          </cell>
        </row>
        <row r="564">
          <cell r="A564">
            <v>210345</v>
          </cell>
          <cell r="B564" t="str">
            <v>RES.EN PROC.LIQ. SINIESTR</v>
          </cell>
          <cell r="C564">
            <v>7875771</v>
          </cell>
          <cell r="D564">
            <v>7875771</v>
          </cell>
          <cell r="E564">
            <v>0</v>
          </cell>
          <cell r="F564">
            <v>0</v>
          </cell>
          <cell r="G564">
            <v>0</v>
          </cell>
          <cell r="H564">
            <v>0</v>
          </cell>
          <cell r="I564">
            <v>0</v>
          </cell>
          <cell r="J564">
            <v>0</v>
          </cell>
          <cell r="K564">
            <v>0</v>
          </cell>
        </row>
        <row r="565">
          <cell r="A565">
            <v>210346</v>
          </cell>
          <cell r="B565" t="str">
            <v>RES.EN PROC.LIQ. SINIESTR</v>
          </cell>
          <cell r="C565">
            <v>20378707</v>
          </cell>
          <cell r="D565">
            <v>20378707</v>
          </cell>
          <cell r="E565">
            <v>0</v>
          </cell>
          <cell r="F565">
            <v>0</v>
          </cell>
          <cell r="G565">
            <v>0</v>
          </cell>
          <cell r="H565">
            <v>0</v>
          </cell>
          <cell r="I565">
            <v>0</v>
          </cell>
          <cell r="J565">
            <v>0</v>
          </cell>
          <cell r="K565">
            <v>0</v>
          </cell>
        </row>
        <row r="566">
          <cell r="A566">
            <v>210347</v>
          </cell>
          <cell r="B566" t="str">
            <v>RES.EN PROC.LIQ. SINIESTR</v>
          </cell>
          <cell r="C566">
            <v>22640710</v>
          </cell>
          <cell r="D566">
            <v>22640710</v>
          </cell>
          <cell r="E566">
            <v>0</v>
          </cell>
          <cell r="F566">
            <v>0</v>
          </cell>
          <cell r="G566">
            <v>0</v>
          </cell>
          <cell r="H566">
            <v>0</v>
          </cell>
          <cell r="I566">
            <v>0</v>
          </cell>
          <cell r="J566">
            <v>0</v>
          </cell>
          <cell r="K566">
            <v>0</v>
          </cell>
        </row>
        <row r="567">
          <cell r="A567">
            <v>210348</v>
          </cell>
          <cell r="B567" t="str">
            <v>RES.EN PROC.LIQ. SINIESTR</v>
          </cell>
          <cell r="C567">
            <v>1409528722</v>
          </cell>
          <cell r="D567">
            <v>1409528722</v>
          </cell>
          <cell r="E567">
            <v>0</v>
          </cell>
          <cell r="F567">
            <v>0</v>
          </cell>
          <cell r="G567">
            <v>0</v>
          </cell>
          <cell r="H567">
            <v>0</v>
          </cell>
          <cell r="I567">
            <v>0</v>
          </cell>
          <cell r="J567">
            <v>0</v>
          </cell>
          <cell r="K567">
            <v>0</v>
          </cell>
        </row>
        <row r="568">
          <cell r="A568">
            <v>210349</v>
          </cell>
          <cell r="B568" t="str">
            <v>RES.EN PROC.LIQ. SINIESTR</v>
          </cell>
          <cell r="C568">
            <v>24923693</v>
          </cell>
          <cell r="D568">
            <v>24923693</v>
          </cell>
          <cell r="E568">
            <v>0</v>
          </cell>
          <cell r="F568">
            <v>0</v>
          </cell>
          <cell r="G568">
            <v>0</v>
          </cell>
          <cell r="H568">
            <v>0</v>
          </cell>
          <cell r="I568">
            <v>0</v>
          </cell>
          <cell r="J568">
            <v>0</v>
          </cell>
          <cell r="K568">
            <v>0</v>
          </cell>
        </row>
        <row r="569">
          <cell r="A569">
            <v>210351</v>
          </cell>
          <cell r="B569" t="str">
            <v>RESERVA PARA DESCALCE CUI</v>
          </cell>
          <cell r="C569">
            <v>274175269</v>
          </cell>
          <cell r="D569">
            <v>592724994</v>
          </cell>
          <cell r="E569">
            <v>0</v>
          </cell>
          <cell r="F569">
            <v>318549725</v>
          </cell>
          <cell r="G569">
            <v>0</v>
          </cell>
          <cell r="H569">
            <v>318549725</v>
          </cell>
          <cell r="I569">
            <v>0</v>
          </cell>
          <cell r="J569">
            <v>0</v>
          </cell>
          <cell r="K569">
            <v>-318549725</v>
          </cell>
        </row>
        <row r="570">
          <cell r="A570">
            <v>210352</v>
          </cell>
          <cell r="B570" t="str">
            <v>RESERVA PARA DESCALCE APV</v>
          </cell>
          <cell r="C570">
            <v>0</v>
          </cell>
          <cell r="D570">
            <v>0</v>
          </cell>
          <cell r="E570">
            <v>0</v>
          </cell>
          <cell r="F570">
            <v>0</v>
          </cell>
          <cell r="G570">
            <v>0</v>
          </cell>
          <cell r="H570">
            <v>0</v>
          </cell>
          <cell r="I570">
            <v>0</v>
          </cell>
          <cell r="J570">
            <v>0</v>
          </cell>
          <cell r="K570">
            <v>0</v>
          </cell>
        </row>
        <row r="571">
          <cell r="A571">
            <v>210354</v>
          </cell>
          <cell r="B571" t="str">
            <v>RESERVA OC. Y NO REP AFP</v>
          </cell>
          <cell r="C571">
            <v>0</v>
          </cell>
          <cell r="D571">
            <v>1094225099</v>
          </cell>
          <cell r="E571">
            <v>0</v>
          </cell>
          <cell r="F571">
            <v>1094225099</v>
          </cell>
          <cell r="G571">
            <v>0</v>
          </cell>
          <cell r="H571">
            <v>1094225099</v>
          </cell>
          <cell r="I571">
            <v>0</v>
          </cell>
          <cell r="J571">
            <v>0</v>
          </cell>
          <cell r="K571">
            <v>-1094225099</v>
          </cell>
        </row>
        <row r="572">
          <cell r="A572">
            <v>210355</v>
          </cell>
          <cell r="B572" t="str">
            <v>RESERVA SINIESTROS PENDIE</v>
          </cell>
          <cell r="C572">
            <v>0</v>
          </cell>
          <cell r="D572">
            <v>960856</v>
          </cell>
          <cell r="E572">
            <v>0</v>
          </cell>
          <cell r="F572">
            <v>960856</v>
          </cell>
          <cell r="G572">
            <v>0</v>
          </cell>
          <cell r="H572">
            <v>960856</v>
          </cell>
          <cell r="I572">
            <v>0</v>
          </cell>
          <cell r="J572">
            <v>0</v>
          </cell>
          <cell r="K572">
            <v>-960856</v>
          </cell>
        </row>
        <row r="573">
          <cell r="A573">
            <v>210401</v>
          </cell>
          <cell r="B573" t="str">
            <v>PRIMAS CEDIDAS</v>
          </cell>
          <cell r="C573">
            <v>348499828</v>
          </cell>
          <cell r="D573">
            <v>3321482919</v>
          </cell>
          <cell r="E573">
            <v>0</v>
          </cell>
          <cell r="F573">
            <v>2972983091</v>
          </cell>
          <cell r="G573">
            <v>0</v>
          </cell>
          <cell r="H573">
            <v>2972983091</v>
          </cell>
          <cell r="I573">
            <v>0</v>
          </cell>
          <cell r="J573">
            <v>0</v>
          </cell>
          <cell r="K573">
            <v>-2972983091</v>
          </cell>
        </row>
        <row r="574">
          <cell r="A574">
            <v>210403</v>
          </cell>
          <cell r="B574" t="str">
            <v>REASEGUROS POR PAGAR (POR</v>
          </cell>
          <cell r="C574">
            <v>557594</v>
          </cell>
          <cell r="D574">
            <v>13830969</v>
          </cell>
          <cell r="E574">
            <v>0</v>
          </cell>
          <cell r="F574">
            <v>13273375</v>
          </cell>
          <cell r="G574">
            <v>0</v>
          </cell>
          <cell r="H574">
            <v>13273375</v>
          </cell>
          <cell r="I574">
            <v>0</v>
          </cell>
          <cell r="J574">
            <v>0</v>
          </cell>
          <cell r="K574">
            <v>-13273375</v>
          </cell>
        </row>
        <row r="575">
          <cell r="A575">
            <v>210404</v>
          </cell>
          <cell r="B575" t="str">
            <v>INGRESO ANTICIPADO POR RE</v>
          </cell>
          <cell r="C575">
            <v>0</v>
          </cell>
          <cell r="D575">
            <v>0</v>
          </cell>
          <cell r="E575">
            <v>0</v>
          </cell>
          <cell r="F575">
            <v>0</v>
          </cell>
          <cell r="G575">
            <v>0</v>
          </cell>
          <cell r="H575">
            <v>0</v>
          </cell>
          <cell r="I575">
            <v>0</v>
          </cell>
          <cell r="J575">
            <v>0</v>
          </cell>
          <cell r="K575">
            <v>0</v>
          </cell>
        </row>
        <row r="576">
          <cell r="A576">
            <v>210502</v>
          </cell>
          <cell r="B576" t="str">
            <v>SEGUROS POR PAGAR</v>
          </cell>
          <cell r="C576">
            <v>0</v>
          </cell>
          <cell r="D576">
            <v>0</v>
          </cell>
          <cell r="E576">
            <v>0</v>
          </cell>
          <cell r="F576">
            <v>0</v>
          </cell>
          <cell r="G576">
            <v>0</v>
          </cell>
          <cell r="H576">
            <v>0</v>
          </cell>
          <cell r="I576">
            <v>0</v>
          </cell>
          <cell r="J576">
            <v>0</v>
          </cell>
          <cell r="K576">
            <v>0</v>
          </cell>
        </row>
        <row r="577">
          <cell r="A577">
            <v>210503</v>
          </cell>
          <cell r="B577" t="str">
            <v>CREDITOS 10% POR PAGAR</v>
          </cell>
          <cell r="C577">
            <v>265215147</v>
          </cell>
          <cell r="D577">
            <v>385442852</v>
          </cell>
          <cell r="E577">
            <v>0</v>
          </cell>
          <cell r="F577">
            <v>120227705</v>
          </cell>
          <cell r="G577">
            <v>0</v>
          </cell>
          <cell r="H577">
            <v>120227705</v>
          </cell>
          <cell r="I577">
            <v>0</v>
          </cell>
          <cell r="J577">
            <v>0</v>
          </cell>
          <cell r="K577">
            <v>-120227705</v>
          </cell>
        </row>
        <row r="578">
          <cell r="A578">
            <v>210513</v>
          </cell>
          <cell r="B578" t="str">
            <v>ABONO ANTICIPOS MUTUOS PO</v>
          </cell>
          <cell r="C578">
            <v>0</v>
          </cell>
          <cell r="D578">
            <v>8919573</v>
          </cell>
          <cell r="E578">
            <v>0</v>
          </cell>
          <cell r="F578">
            <v>8919573</v>
          </cell>
          <cell r="G578">
            <v>0</v>
          </cell>
          <cell r="H578">
            <v>8919573</v>
          </cell>
          <cell r="I578">
            <v>0</v>
          </cell>
          <cell r="J578">
            <v>0</v>
          </cell>
          <cell r="K578">
            <v>-8919573</v>
          </cell>
        </row>
        <row r="579">
          <cell r="A579">
            <v>210532</v>
          </cell>
          <cell r="B579" t="str">
            <v>SEGURO DESGRAVAMEN POR PA</v>
          </cell>
          <cell r="C579">
            <v>0</v>
          </cell>
          <cell r="D579">
            <v>0</v>
          </cell>
          <cell r="E579">
            <v>0</v>
          </cell>
          <cell r="F579">
            <v>0</v>
          </cell>
          <cell r="G579">
            <v>0</v>
          </cell>
          <cell r="H579">
            <v>0</v>
          </cell>
          <cell r="I579">
            <v>0</v>
          </cell>
          <cell r="J579">
            <v>0</v>
          </cell>
          <cell r="K579">
            <v>0</v>
          </cell>
        </row>
        <row r="580">
          <cell r="A580">
            <v>210708</v>
          </cell>
          <cell r="B580" t="str">
            <v>RECAUDACION DIVIDENDOS</v>
          </cell>
          <cell r="C580">
            <v>0</v>
          </cell>
          <cell r="D580">
            <v>0</v>
          </cell>
          <cell r="E580">
            <v>0</v>
          </cell>
          <cell r="F580">
            <v>0</v>
          </cell>
          <cell r="G580">
            <v>0</v>
          </cell>
          <cell r="H580">
            <v>0</v>
          </cell>
          <cell r="I580">
            <v>0</v>
          </cell>
          <cell r="J580">
            <v>0</v>
          </cell>
          <cell r="K580">
            <v>0</v>
          </cell>
        </row>
        <row r="581">
          <cell r="A581">
            <v>210711</v>
          </cell>
          <cell r="B581" t="str">
            <v>RECAUDACION DIVIDENDOS BA</v>
          </cell>
          <cell r="C581">
            <v>0</v>
          </cell>
          <cell r="D581">
            <v>0</v>
          </cell>
          <cell r="E581">
            <v>0</v>
          </cell>
          <cell r="F581">
            <v>0</v>
          </cell>
          <cell r="G581">
            <v>0</v>
          </cell>
          <cell r="H581">
            <v>0</v>
          </cell>
          <cell r="I581">
            <v>0</v>
          </cell>
          <cell r="J581">
            <v>0</v>
          </cell>
          <cell r="K581">
            <v>0</v>
          </cell>
        </row>
        <row r="582">
          <cell r="A582">
            <v>210720</v>
          </cell>
          <cell r="B582" t="str">
            <v>DIVIDENDOS POR PAGAR</v>
          </cell>
          <cell r="C582">
            <v>0</v>
          </cell>
          <cell r="D582">
            <v>0</v>
          </cell>
          <cell r="E582">
            <v>0</v>
          </cell>
          <cell r="F582">
            <v>0</v>
          </cell>
          <cell r="G582">
            <v>0</v>
          </cell>
          <cell r="H582">
            <v>0</v>
          </cell>
          <cell r="I582">
            <v>0</v>
          </cell>
          <cell r="J582">
            <v>0</v>
          </cell>
          <cell r="K582">
            <v>0</v>
          </cell>
        </row>
        <row r="583">
          <cell r="A583">
            <v>210901</v>
          </cell>
          <cell r="B583" t="str">
            <v>COTIZACION PREVISIONAL AF</v>
          </cell>
          <cell r="C583">
            <v>131126013</v>
          </cell>
          <cell r="D583">
            <v>262216387</v>
          </cell>
          <cell r="E583">
            <v>0</v>
          </cell>
          <cell r="F583">
            <v>131090374</v>
          </cell>
          <cell r="G583">
            <v>0</v>
          </cell>
          <cell r="H583">
            <v>131090374</v>
          </cell>
          <cell r="I583">
            <v>0</v>
          </cell>
          <cell r="J583">
            <v>0</v>
          </cell>
          <cell r="K583">
            <v>-131090374</v>
          </cell>
        </row>
        <row r="584">
          <cell r="A584">
            <v>210902</v>
          </cell>
          <cell r="B584" t="str">
            <v>COTIZACION SALUD ISAPRE E</v>
          </cell>
          <cell r="C584">
            <v>63989595</v>
          </cell>
          <cell r="D584">
            <v>128782631</v>
          </cell>
          <cell r="E584">
            <v>0</v>
          </cell>
          <cell r="F584">
            <v>64793036</v>
          </cell>
          <cell r="G584">
            <v>0</v>
          </cell>
          <cell r="H584">
            <v>64793036</v>
          </cell>
          <cell r="I584">
            <v>0</v>
          </cell>
          <cell r="J584">
            <v>0</v>
          </cell>
          <cell r="K584">
            <v>-64793036</v>
          </cell>
        </row>
        <row r="585">
          <cell r="A585">
            <v>210903</v>
          </cell>
          <cell r="B585" t="str">
            <v>COTIZACION SALUD PENSIONA</v>
          </cell>
          <cell r="C585">
            <v>985921506</v>
          </cell>
          <cell r="D585">
            <v>1973704269</v>
          </cell>
          <cell r="E585">
            <v>0</v>
          </cell>
          <cell r="F585">
            <v>987782763</v>
          </cell>
          <cell r="G585">
            <v>0</v>
          </cell>
          <cell r="H585">
            <v>987782763</v>
          </cell>
          <cell r="I585">
            <v>0</v>
          </cell>
          <cell r="J585">
            <v>0</v>
          </cell>
          <cell r="K585">
            <v>-987782763</v>
          </cell>
        </row>
        <row r="586">
          <cell r="A586">
            <v>210904</v>
          </cell>
          <cell r="B586" t="str">
            <v>PRESTAMOS FONASA</v>
          </cell>
          <cell r="C586">
            <v>7124725</v>
          </cell>
          <cell r="D586">
            <v>14108873</v>
          </cell>
          <cell r="E586">
            <v>0</v>
          </cell>
          <cell r="F586">
            <v>6984148</v>
          </cell>
          <cell r="G586">
            <v>0</v>
          </cell>
          <cell r="H586">
            <v>6984148</v>
          </cell>
          <cell r="I586">
            <v>0</v>
          </cell>
          <cell r="J586">
            <v>0</v>
          </cell>
          <cell r="K586">
            <v>-6984148</v>
          </cell>
        </row>
        <row r="587">
          <cell r="A587">
            <v>210905</v>
          </cell>
          <cell r="B587" t="str">
            <v>CAJA DE COMPENSACION</v>
          </cell>
          <cell r="C587">
            <v>3911846</v>
          </cell>
          <cell r="D587">
            <v>5623122</v>
          </cell>
          <cell r="E587">
            <v>0</v>
          </cell>
          <cell r="F587">
            <v>1711276</v>
          </cell>
          <cell r="G587">
            <v>0</v>
          </cell>
          <cell r="H587">
            <v>1711276</v>
          </cell>
          <cell r="I587">
            <v>0</v>
          </cell>
          <cell r="J587">
            <v>0</v>
          </cell>
          <cell r="K587">
            <v>-1711276</v>
          </cell>
        </row>
        <row r="588">
          <cell r="A588">
            <v>210906</v>
          </cell>
          <cell r="B588" t="str">
            <v>CAJA COMPENSACION PENSION</v>
          </cell>
          <cell r="C588">
            <v>66364244</v>
          </cell>
          <cell r="D588">
            <v>132701419</v>
          </cell>
          <cell r="E588">
            <v>0</v>
          </cell>
          <cell r="F588">
            <v>66337175</v>
          </cell>
          <cell r="G588">
            <v>0</v>
          </cell>
          <cell r="H588">
            <v>66337175</v>
          </cell>
          <cell r="I588">
            <v>0</v>
          </cell>
          <cell r="J588">
            <v>0</v>
          </cell>
          <cell r="K588">
            <v>-66337175</v>
          </cell>
        </row>
        <row r="589">
          <cell r="A589">
            <v>210907</v>
          </cell>
          <cell r="B589" t="str">
            <v>ASOCIACION CHILENA DE SEG</v>
          </cell>
          <cell r="C589">
            <v>9461007</v>
          </cell>
          <cell r="D589">
            <v>19059261</v>
          </cell>
          <cell r="E589">
            <v>0</v>
          </cell>
          <cell r="F589">
            <v>9598254</v>
          </cell>
          <cell r="G589">
            <v>0</v>
          </cell>
          <cell r="H589">
            <v>9598254</v>
          </cell>
          <cell r="I589">
            <v>0</v>
          </cell>
          <cell r="J589">
            <v>0</v>
          </cell>
          <cell r="K589">
            <v>-9598254</v>
          </cell>
        </row>
        <row r="590">
          <cell r="A590">
            <v>210908</v>
          </cell>
          <cell r="B590" t="str">
            <v>PRESTAMOS CAJA COMPENSACI</v>
          </cell>
          <cell r="C590">
            <v>20339082</v>
          </cell>
          <cell r="D590">
            <v>39855464</v>
          </cell>
          <cell r="E590">
            <v>0</v>
          </cell>
          <cell r="F590">
            <v>19516382</v>
          </cell>
          <cell r="G590">
            <v>0</v>
          </cell>
          <cell r="H590">
            <v>19516382</v>
          </cell>
          <cell r="I590">
            <v>0</v>
          </cell>
          <cell r="J590">
            <v>0</v>
          </cell>
          <cell r="K590">
            <v>-19516382</v>
          </cell>
        </row>
        <row r="591">
          <cell r="A591">
            <v>210909</v>
          </cell>
          <cell r="B591" t="str">
            <v>PTMOS CAJA COMPENSACION P</v>
          </cell>
          <cell r="C591">
            <v>643776805</v>
          </cell>
          <cell r="D591">
            <v>1284938808</v>
          </cell>
          <cell r="E591">
            <v>0</v>
          </cell>
          <cell r="F591">
            <v>641162003</v>
          </cell>
          <cell r="G591">
            <v>0</v>
          </cell>
          <cell r="H591">
            <v>641162003</v>
          </cell>
          <cell r="I591">
            <v>0</v>
          </cell>
          <cell r="J591">
            <v>0</v>
          </cell>
          <cell r="K591">
            <v>-641162003</v>
          </cell>
        </row>
        <row r="592">
          <cell r="A592">
            <v>210910</v>
          </cell>
          <cell r="B592" t="str">
            <v>CCAF LEASING HABITACIONAL</v>
          </cell>
          <cell r="C592">
            <v>0</v>
          </cell>
          <cell r="D592">
            <v>0</v>
          </cell>
          <cell r="E592">
            <v>0</v>
          </cell>
          <cell r="F592">
            <v>0</v>
          </cell>
          <cell r="G592">
            <v>0</v>
          </cell>
          <cell r="H592">
            <v>0</v>
          </cell>
          <cell r="I592">
            <v>0</v>
          </cell>
          <cell r="J592">
            <v>0</v>
          </cell>
          <cell r="K592">
            <v>0</v>
          </cell>
        </row>
        <row r="593">
          <cell r="A593">
            <v>210911</v>
          </cell>
          <cell r="B593" t="str">
            <v>CCAF FULL AHORRO</v>
          </cell>
          <cell r="C593">
            <v>1709269</v>
          </cell>
          <cell r="D593">
            <v>3623888</v>
          </cell>
          <cell r="E593">
            <v>0</v>
          </cell>
          <cell r="F593">
            <v>1914619</v>
          </cell>
          <cell r="G593">
            <v>0</v>
          </cell>
          <cell r="H593">
            <v>1914619</v>
          </cell>
          <cell r="I593">
            <v>0</v>
          </cell>
          <cell r="J593">
            <v>0</v>
          </cell>
          <cell r="K593">
            <v>-1914619</v>
          </cell>
        </row>
        <row r="594">
          <cell r="A594">
            <v>210912</v>
          </cell>
          <cell r="B594" t="str">
            <v>CCAF ASESORIA LEGAL</v>
          </cell>
          <cell r="C594">
            <v>99000</v>
          </cell>
          <cell r="D594">
            <v>99000</v>
          </cell>
          <cell r="E594">
            <v>0</v>
          </cell>
          <cell r="F594">
            <v>0</v>
          </cell>
          <cell r="G594">
            <v>0</v>
          </cell>
          <cell r="H594">
            <v>0</v>
          </cell>
          <cell r="I594">
            <v>0</v>
          </cell>
          <cell r="J594">
            <v>0</v>
          </cell>
          <cell r="K594">
            <v>0</v>
          </cell>
        </row>
        <row r="595">
          <cell r="A595">
            <v>210913</v>
          </cell>
          <cell r="B595" t="str">
            <v>RETENCION JUDICIAL EMPLEA</v>
          </cell>
          <cell r="C595">
            <v>426366</v>
          </cell>
          <cell r="D595">
            <v>760729</v>
          </cell>
          <cell r="E595">
            <v>0</v>
          </cell>
          <cell r="F595">
            <v>334363</v>
          </cell>
          <cell r="G595">
            <v>0</v>
          </cell>
          <cell r="H595">
            <v>334363</v>
          </cell>
          <cell r="I595">
            <v>0</v>
          </cell>
          <cell r="J595">
            <v>0</v>
          </cell>
          <cell r="K595">
            <v>-334363</v>
          </cell>
        </row>
        <row r="596">
          <cell r="A596">
            <v>210914</v>
          </cell>
          <cell r="B596" t="str">
            <v>RETENCION JUDICIAL PENSIO</v>
          </cell>
          <cell r="C596">
            <v>20800249</v>
          </cell>
          <cell r="D596">
            <v>20800249</v>
          </cell>
          <cell r="E596">
            <v>0</v>
          </cell>
          <cell r="F596">
            <v>0</v>
          </cell>
          <cell r="G596">
            <v>0</v>
          </cell>
          <cell r="H596">
            <v>0</v>
          </cell>
          <cell r="I596">
            <v>0</v>
          </cell>
          <cell r="J596">
            <v>0</v>
          </cell>
          <cell r="K596">
            <v>0</v>
          </cell>
        </row>
        <row r="597">
          <cell r="A597">
            <v>210915</v>
          </cell>
          <cell r="B597" t="str">
            <v>ASIGNACION FAMILIAR EEPP</v>
          </cell>
          <cell r="C597">
            <v>0</v>
          </cell>
          <cell r="D597">
            <v>0</v>
          </cell>
          <cell r="E597">
            <v>0</v>
          </cell>
          <cell r="F597">
            <v>0</v>
          </cell>
          <cell r="G597">
            <v>0</v>
          </cell>
          <cell r="H597">
            <v>0</v>
          </cell>
          <cell r="I597">
            <v>0</v>
          </cell>
          <cell r="J597">
            <v>0</v>
          </cell>
          <cell r="K597">
            <v>0</v>
          </cell>
        </row>
        <row r="598">
          <cell r="A598">
            <v>210916</v>
          </cell>
          <cell r="B598" t="str">
            <v>OTROS DESCUENTOS PENSIONA</v>
          </cell>
          <cell r="C598">
            <v>52380771</v>
          </cell>
          <cell r="D598">
            <v>52380771</v>
          </cell>
          <cell r="E598">
            <v>0</v>
          </cell>
          <cell r="F598">
            <v>0</v>
          </cell>
          <cell r="G598">
            <v>0</v>
          </cell>
          <cell r="H598">
            <v>0</v>
          </cell>
          <cell r="I598">
            <v>0</v>
          </cell>
          <cell r="J598">
            <v>0</v>
          </cell>
          <cell r="K598">
            <v>0</v>
          </cell>
        </row>
        <row r="599">
          <cell r="A599">
            <v>210917</v>
          </cell>
          <cell r="B599" t="str">
            <v>OTROS DESCUENTOS PERSONAL</v>
          </cell>
          <cell r="C599">
            <v>3877429</v>
          </cell>
          <cell r="D599">
            <v>4182254</v>
          </cell>
          <cell r="E599">
            <v>0</v>
          </cell>
          <cell r="F599">
            <v>304825</v>
          </cell>
          <cell r="G599">
            <v>0</v>
          </cell>
          <cell r="H599">
            <v>304825</v>
          </cell>
          <cell r="I599">
            <v>0</v>
          </cell>
          <cell r="J599">
            <v>0</v>
          </cell>
          <cell r="K599">
            <v>-304825</v>
          </cell>
        </row>
        <row r="600">
          <cell r="A600">
            <v>210918</v>
          </cell>
          <cell r="B600" t="str">
            <v>SERVICIO MEDICO</v>
          </cell>
          <cell r="C600">
            <v>0</v>
          </cell>
          <cell r="D600">
            <v>0</v>
          </cell>
          <cell r="E600">
            <v>0</v>
          </cell>
          <cell r="F600">
            <v>0</v>
          </cell>
          <cell r="G600">
            <v>0</v>
          </cell>
          <cell r="H600">
            <v>0</v>
          </cell>
          <cell r="I600">
            <v>0</v>
          </cell>
          <cell r="J600">
            <v>0</v>
          </cell>
          <cell r="K600">
            <v>0</v>
          </cell>
        </row>
        <row r="601">
          <cell r="A601">
            <v>210919</v>
          </cell>
          <cell r="B601" t="str">
            <v>SERVIU METROPOLITANO</v>
          </cell>
          <cell r="C601">
            <v>0</v>
          </cell>
          <cell r="D601">
            <v>0</v>
          </cell>
          <cell r="E601">
            <v>0</v>
          </cell>
          <cell r="F601">
            <v>0</v>
          </cell>
          <cell r="G601">
            <v>0</v>
          </cell>
          <cell r="H601">
            <v>0</v>
          </cell>
          <cell r="I601">
            <v>0</v>
          </cell>
          <cell r="J601">
            <v>0</v>
          </cell>
          <cell r="K601">
            <v>0</v>
          </cell>
        </row>
        <row r="602">
          <cell r="A602">
            <v>210920</v>
          </cell>
          <cell r="B602" t="str">
            <v>BICE SEGUROS DE VIDA</v>
          </cell>
          <cell r="C602">
            <v>7235690</v>
          </cell>
          <cell r="D602">
            <v>11966144</v>
          </cell>
          <cell r="E602">
            <v>0</v>
          </cell>
          <cell r="F602">
            <v>4730454</v>
          </cell>
          <cell r="G602">
            <v>0</v>
          </cell>
          <cell r="H602">
            <v>4730454</v>
          </cell>
          <cell r="I602">
            <v>0</v>
          </cell>
          <cell r="J602">
            <v>0</v>
          </cell>
          <cell r="K602">
            <v>-4730454</v>
          </cell>
        </row>
        <row r="603">
          <cell r="A603">
            <v>210921</v>
          </cell>
          <cell r="B603" t="str">
            <v>SEGUROS ROYAL SUNALLIANCE</v>
          </cell>
          <cell r="C603">
            <v>0</v>
          </cell>
          <cell r="D603">
            <v>0</v>
          </cell>
          <cell r="E603">
            <v>0</v>
          </cell>
          <cell r="F603">
            <v>0</v>
          </cell>
          <cell r="G603">
            <v>0</v>
          </cell>
          <cell r="H603">
            <v>0</v>
          </cell>
          <cell r="I603">
            <v>0</v>
          </cell>
          <cell r="J603">
            <v>0</v>
          </cell>
          <cell r="K603">
            <v>0</v>
          </cell>
        </row>
        <row r="604">
          <cell r="A604">
            <v>210922</v>
          </cell>
          <cell r="B604" t="str">
            <v>METLIFE CHILE SEGUROS</v>
          </cell>
          <cell r="C604">
            <v>0</v>
          </cell>
          <cell r="D604">
            <v>0</v>
          </cell>
          <cell r="E604">
            <v>0</v>
          </cell>
          <cell r="F604">
            <v>0</v>
          </cell>
          <cell r="G604">
            <v>0</v>
          </cell>
          <cell r="H604">
            <v>0</v>
          </cell>
          <cell r="I604">
            <v>0</v>
          </cell>
          <cell r="J604">
            <v>0</v>
          </cell>
          <cell r="K604">
            <v>0</v>
          </cell>
        </row>
        <row r="605">
          <cell r="A605">
            <v>210923</v>
          </cell>
          <cell r="B605" t="str">
            <v>OTRAS INSTITUCIONES NO PR</v>
          </cell>
          <cell r="C605">
            <v>0</v>
          </cell>
          <cell r="D605">
            <v>0</v>
          </cell>
          <cell r="E605">
            <v>0</v>
          </cell>
          <cell r="F605">
            <v>0</v>
          </cell>
          <cell r="G605">
            <v>0</v>
          </cell>
          <cell r="H605">
            <v>0</v>
          </cell>
          <cell r="I605">
            <v>0</v>
          </cell>
          <cell r="J605">
            <v>0</v>
          </cell>
          <cell r="K605">
            <v>0</v>
          </cell>
        </row>
        <row r="606">
          <cell r="A606">
            <v>210924</v>
          </cell>
          <cell r="B606" t="str">
            <v>HOME MEDICAL CLINIC</v>
          </cell>
          <cell r="C606">
            <v>0</v>
          </cell>
          <cell r="D606">
            <v>0</v>
          </cell>
          <cell r="E606">
            <v>0</v>
          </cell>
          <cell r="F606">
            <v>0</v>
          </cell>
          <cell r="G606">
            <v>0</v>
          </cell>
          <cell r="H606">
            <v>0</v>
          </cell>
          <cell r="I606">
            <v>0</v>
          </cell>
          <cell r="J606">
            <v>0</v>
          </cell>
          <cell r="K606">
            <v>0</v>
          </cell>
        </row>
        <row r="607">
          <cell r="A607">
            <v>210925</v>
          </cell>
          <cell r="B607" t="str">
            <v>PENTA SECURITY</v>
          </cell>
          <cell r="C607">
            <v>0</v>
          </cell>
          <cell r="D607">
            <v>0</v>
          </cell>
          <cell r="E607">
            <v>0</v>
          </cell>
          <cell r="F607">
            <v>0</v>
          </cell>
          <cell r="G607">
            <v>0</v>
          </cell>
          <cell r="H607">
            <v>0</v>
          </cell>
          <cell r="I607">
            <v>0</v>
          </cell>
          <cell r="J607">
            <v>0</v>
          </cell>
          <cell r="K607">
            <v>0</v>
          </cell>
        </row>
        <row r="608">
          <cell r="A608">
            <v>210926</v>
          </cell>
          <cell r="B608" t="str">
            <v>UNIDAD CORONARIA</v>
          </cell>
          <cell r="C608">
            <v>0</v>
          </cell>
          <cell r="D608">
            <v>0</v>
          </cell>
          <cell r="E608">
            <v>0</v>
          </cell>
          <cell r="F608">
            <v>0</v>
          </cell>
          <cell r="G608">
            <v>0</v>
          </cell>
          <cell r="H608">
            <v>0</v>
          </cell>
          <cell r="I608">
            <v>0</v>
          </cell>
          <cell r="J608">
            <v>0</v>
          </cell>
          <cell r="K608">
            <v>0</v>
          </cell>
        </row>
        <row r="609">
          <cell r="A609">
            <v>211001</v>
          </cell>
          <cell r="B609" t="str">
            <v>IMPUESTO UNICO A LOS TRAB</v>
          </cell>
          <cell r="C609">
            <v>100666123</v>
          </cell>
          <cell r="D609">
            <v>170762935</v>
          </cell>
          <cell r="E609">
            <v>0</v>
          </cell>
          <cell r="F609">
            <v>70096812</v>
          </cell>
          <cell r="G609">
            <v>0</v>
          </cell>
          <cell r="H609">
            <v>70096812</v>
          </cell>
          <cell r="I609">
            <v>0</v>
          </cell>
          <cell r="J609">
            <v>0</v>
          </cell>
          <cell r="K609">
            <v>-70096812</v>
          </cell>
        </row>
        <row r="610">
          <cell r="A610">
            <v>211002</v>
          </cell>
          <cell r="B610" t="str">
            <v>RET IMPTO UNICO PENSIONAD</v>
          </cell>
          <cell r="C610">
            <v>29301525</v>
          </cell>
          <cell r="D610">
            <v>46998945</v>
          </cell>
          <cell r="E610">
            <v>0</v>
          </cell>
          <cell r="F610">
            <v>17697420</v>
          </cell>
          <cell r="G610">
            <v>0</v>
          </cell>
          <cell r="H610">
            <v>17697420</v>
          </cell>
          <cell r="I610">
            <v>0</v>
          </cell>
          <cell r="J610">
            <v>0</v>
          </cell>
          <cell r="K610">
            <v>-17697420</v>
          </cell>
        </row>
        <row r="611">
          <cell r="A611">
            <v>211003</v>
          </cell>
          <cell r="B611" t="str">
            <v>PAGOS PROVISIONALES MENSU</v>
          </cell>
          <cell r="C611">
            <v>240368977</v>
          </cell>
          <cell r="D611">
            <v>474710609</v>
          </cell>
          <cell r="E611">
            <v>0</v>
          </cell>
          <cell r="F611">
            <v>234341632</v>
          </cell>
          <cell r="G611">
            <v>0</v>
          </cell>
          <cell r="H611">
            <v>234341632</v>
          </cell>
          <cell r="I611">
            <v>0</v>
          </cell>
          <cell r="J611">
            <v>0</v>
          </cell>
          <cell r="K611">
            <v>-234341632</v>
          </cell>
        </row>
        <row r="612">
          <cell r="A612">
            <v>211004</v>
          </cell>
          <cell r="B612" t="str">
            <v>RETENCION HONORARIOS TASA</v>
          </cell>
          <cell r="C612">
            <v>17805263</v>
          </cell>
          <cell r="D612">
            <v>34873924</v>
          </cell>
          <cell r="E612">
            <v>0</v>
          </cell>
          <cell r="F612">
            <v>17068661</v>
          </cell>
          <cell r="G612">
            <v>0</v>
          </cell>
          <cell r="H612">
            <v>17068661</v>
          </cell>
          <cell r="I612">
            <v>0</v>
          </cell>
          <cell r="J612">
            <v>0</v>
          </cell>
          <cell r="K612">
            <v>-17068661</v>
          </cell>
        </row>
        <row r="613">
          <cell r="A613">
            <v>211005</v>
          </cell>
          <cell r="B613" t="str">
            <v>IVA DEBITO FISCAL</v>
          </cell>
          <cell r="C613">
            <v>742374096</v>
          </cell>
          <cell r="D613">
            <v>1379469453</v>
          </cell>
          <cell r="E613">
            <v>0</v>
          </cell>
          <cell r="F613">
            <v>637095357</v>
          </cell>
          <cell r="G613">
            <v>0</v>
          </cell>
          <cell r="H613">
            <v>637095357</v>
          </cell>
          <cell r="I613">
            <v>0</v>
          </cell>
          <cell r="J613">
            <v>0</v>
          </cell>
          <cell r="K613">
            <v>-637095357</v>
          </cell>
        </row>
        <row r="614">
          <cell r="A614">
            <v>211006</v>
          </cell>
          <cell r="B614" t="str">
            <v>PROVISION IMPUESTO  A LA</v>
          </cell>
          <cell r="C614">
            <v>0</v>
          </cell>
          <cell r="D614">
            <v>1376735420</v>
          </cell>
          <cell r="E614">
            <v>0</v>
          </cell>
          <cell r="F614">
            <v>1376735420</v>
          </cell>
          <cell r="G614">
            <v>0</v>
          </cell>
          <cell r="H614">
            <v>1376735420</v>
          </cell>
          <cell r="I614">
            <v>0</v>
          </cell>
          <cell r="J614">
            <v>0</v>
          </cell>
          <cell r="K614">
            <v>-1376735420</v>
          </cell>
        </row>
        <row r="615">
          <cell r="A615">
            <v>211007</v>
          </cell>
          <cell r="B615" t="str">
            <v>IMPUESTO UNICO ART.21 TAS</v>
          </cell>
          <cell r="C615">
            <v>0</v>
          </cell>
          <cell r="D615">
            <v>157696138</v>
          </cell>
          <cell r="E615">
            <v>0</v>
          </cell>
          <cell r="F615">
            <v>157696138</v>
          </cell>
          <cell r="G615">
            <v>0</v>
          </cell>
          <cell r="H615">
            <v>157696138</v>
          </cell>
          <cell r="I615">
            <v>0</v>
          </cell>
          <cell r="J615">
            <v>0</v>
          </cell>
          <cell r="K615">
            <v>-157696138</v>
          </cell>
        </row>
        <row r="616">
          <cell r="A616">
            <v>211008</v>
          </cell>
          <cell r="B616" t="str">
            <v>SVI IVA DEVENGADO</v>
          </cell>
          <cell r="C616">
            <v>49550635</v>
          </cell>
          <cell r="D616">
            <v>50558246</v>
          </cell>
          <cell r="E616">
            <v>0</v>
          </cell>
          <cell r="F616">
            <v>1007611</v>
          </cell>
          <cell r="G616">
            <v>0</v>
          </cell>
          <cell r="H616">
            <v>1007611</v>
          </cell>
          <cell r="I616">
            <v>0</v>
          </cell>
          <cell r="J616">
            <v>0</v>
          </cell>
          <cell r="K616">
            <v>-1007611</v>
          </cell>
        </row>
        <row r="617">
          <cell r="A617">
            <v>211009</v>
          </cell>
          <cell r="B617" t="str">
            <v>IMPUESTO REMESA 2%</v>
          </cell>
          <cell r="C617">
            <v>0</v>
          </cell>
          <cell r="D617">
            <v>6846724</v>
          </cell>
          <cell r="E617">
            <v>0</v>
          </cell>
          <cell r="F617">
            <v>6846724</v>
          </cell>
          <cell r="G617">
            <v>0</v>
          </cell>
          <cell r="H617">
            <v>6846724</v>
          </cell>
          <cell r="I617">
            <v>0</v>
          </cell>
          <cell r="J617">
            <v>0</v>
          </cell>
          <cell r="K617">
            <v>-6846724</v>
          </cell>
        </row>
        <row r="618">
          <cell r="A618">
            <v>211010</v>
          </cell>
          <cell r="B618" t="str">
            <v>IMPUESTO TIMBRE Y ESTAMPI</v>
          </cell>
          <cell r="C618">
            <v>2500722</v>
          </cell>
          <cell r="D618">
            <v>4644159</v>
          </cell>
          <cell r="E618">
            <v>0</v>
          </cell>
          <cell r="F618">
            <v>2143437</v>
          </cell>
          <cell r="G618">
            <v>0</v>
          </cell>
          <cell r="H618">
            <v>2143437</v>
          </cell>
          <cell r="I618">
            <v>0</v>
          </cell>
          <cell r="J618">
            <v>0</v>
          </cell>
          <cell r="K618">
            <v>-2143437</v>
          </cell>
        </row>
        <row r="619">
          <cell r="A619">
            <v>211011</v>
          </cell>
          <cell r="B619" t="str">
            <v>IMPUESTOS POR PAGAR</v>
          </cell>
          <cell r="C619">
            <v>903131206</v>
          </cell>
          <cell r="D619">
            <v>903131207</v>
          </cell>
          <cell r="E619">
            <v>0</v>
          </cell>
          <cell r="F619">
            <v>1</v>
          </cell>
          <cell r="G619">
            <v>0</v>
          </cell>
          <cell r="H619">
            <v>1</v>
          </cell>
          <cell r="I619">
            <v>0</v>
          </cell>
          <cell r="J619">
            <v>0</v>
          </cell>
          <cell r="K619">
            <v>-1</v>
          </cell>
        </row>
        <row r="620">
          <cell r="A620">
            <v>211012</v>
          </cell>
          <cell r="B620" t="str">
            <v>RETENCION IMPUESTO ADICIO</v>
          </cell>
          <cell r="C620">
            <v>344111</v>
          </cell>
          <cell r="D620">
            <v>6174474</v>
          </cell>
          <cell r="E620">
            <v>0</v>
          </cell>
          <cell r="F620">
            <v>5830363</v>
          </cell>
          <cell r="G620">
            <v>0</v>
          </cell>
          <cell r="H620">
            <v>5830363</v>
          </cell>
          <cell r="I620">
            <v>0</v>
          </cell>
          <cell r="J620">
            <v>0</v>
          </cell>
          <cell r="K620">
            <v>-5830363</v>
          </cell>
        </row>
        <row r="621">
          <cell r="A621">
            <v>211013</v>
          </cell>
          <cell r="B621" t="str">
            <v>IMPUESTO RETENCION DOTALE</v>
          </cell>
          <cell r="C621">
            <v>14997</v>
          </cell>
          <cell r="D621">
            <v>14997</v>
          </cell>
          <cell r="E621">
            <v>0</v>
          </cell>
          <cell r="F621">
            <v>0</v>
          </cell>
          <cell r="G621">
            <v>0</v>
          </cell>
          <cell r="H621">
            <v>0</v>
          </cell>
          <cell r="I621">
            <v>0</v>
          </cell>
          <cell r="J621">
            <v>0</v>
          </cell>
          <cell r="K621">
            <v>0</v>
          </cell>
        </row>
        <row r="622">
          <cell r="A622">
            <v>211014</v>
          </cell>
          <cell r="B622" t="str">
            <v>IVA RETENIDO A TERCEROS</v>
          </cell>
          <cell r="C622">
            <v>0</v>
          </cell>
          <cell r="D622">
            <v>0</v>
          </cell>
          <cell r="E622">
            <v>0</v>
          </cell>
          <cell r="F622">
            <v>0</v>
          </cell>
          <cell r="G622">
            <v>0</v>
          </cell>
          <cell r="H622">
            <v>0</v>
          </cell>
          <cell r="I622">
            <v>0</v>
          </cell>
          <cell r="J622">
            <v>0</v>
          </cell>
          <cell r="K622">
            <v>0</v>
          </cell>
        </row>
        <row r="623">
          <cell r="A623">
            <v>211017</v>
          </cell>
          <cell r="B623" t="str">
            <v>IVA DEBITO FISCAL BOLETAS</v>
          </cell>
          <cell r="C623">
            <v>177869</v>
          </cell>
          <cell r="D623">
            <v>579952</v>
          </cell>
          <cell r="E623">
            <v>0</v>
          </cell>
          <cell r="F623">
            <v>402083</v>
          </cell>
          <cell r="G623">
            <v>0</v>
          </cell>
          <cell r="H623">
            <v>402083</v>
          </cell>
          <cell r="I623">
            <v>0</v>
          </cell>
          <cell r="J623">
            <v>0</v>
          </cell>
          <cell r="K623">
            <v>-402083</v>
          </cell>
        </row>
        <row r="624">
          <cell r="A624">
            <v>211018</v>
          </cell>
          <cell r="B624" t="str">
            <v>SVI RETENCION IMPUESTOS A</v>
          </cell>
          <cell r="C624">
            <v>9790178</v>
          </cell>
          <cell r="D624">
            <v>14892677</v>
          </cell>
          <cell r="E624">
            <v>0</v>
          </cell>
          <cell r="F624">
            <v>5102499</v>
          </cell>
          <cell r="G624">
            <v>0</v>
          </cell>
          <cell r="H624">
            <v>5102499</v>
          </cell>
          <cell r="I624">
            <v>0</v>
          </cell>
          <cell r="J624">
            <v>0</v>
          </cell>
          <cell r="K624">
            <v>-5102499</v>
          </cell>
        </row>
        <row r="625">
          <cell r="A625">
            <v>211019</v>
          </cell>
          <cell r="B625" t="str">
            <v>SVI RETENCION APORTE FISC</v>
          </cell>
          <cell r="C625">
            <v>1348254</v>
          </cell>
          <cell r="D625">
            <v>37112192</v>
          </cell>
          <cell r="E625">
            <v>0</v>
          </cell>
          <cell r="F625">
            <v>35763938</v>
          </cell>
          <cell r="G625">
            <v>0</v>
          </cell>
          <cell r="H625">
            <v>35763938</v>
          </cell>
          <cell r="I625">
            <v>0</v>
          </cell>
          <cell r="J625">
            <v>0</v>
          </cell>
          <cell r="K625">
            <v>-35763938</v>
          </cell>
        </row>
        <row r="626">
          <cell r="A626">
            <v>211101</v>
          </cell>
          <cell r="B626" t="str">
            <v>INVERSIONES POR PAGAR</v>
          </cell>
          <cell r="C626">
            <v>12499091867</v>
          </cell>
          <cell r="D626">
            <v>21176675508</v>
          </cell>
          <cell r="E626">
            <v>0</v>
          </cell>
          <cell r="F626">
            <v>8677583641</v>
          </cell>
          <cell r="G626">
            <v>0</v>
          </cell>
          <cell r="H626">
            <v>8677583641</v>
          </cell>
          <cell r="I626">
            <v>0</v>
          </cell>
          <cell r="J626">
            <v>0</v>
          </cell>
          <cell r="K626">
            <v>-8677583641</v>
          </cell>
        </row>
        <row r="627">
          <cell r="A627">
            <v>211103</v>
          </cell>
          <cell r="B627" t="str">
            <v>INV POR PAGAR RETRO COMPR</v>
          </cell>
          <cell r="C627">
            <v>0</v>
          </cell>
          <cell r="D627">
            <v>0</v>
          </cell>
          <cell r="E627">
            <v>0</v>
          </cell>
          <cell r="F627">
            <v>0</v>
          </cell>
          <cell r="G627">
            <v>0</v>
          </cell>
          <cell r="H627">
            <v>0</v>
          </cell>
          <cell r="I627">
            <v>0</v>
          </cell>
          <cell r="J627">
            <v>0</v>
          </cell>
          <cell r="K627">
            <v>0</v>
          </cell>
        </row>
        <row r="628">
          <cell r="A628">
            <v>211105</v>
          </cell>
          <cell r="B628" t="str">
            <v>OBLIGACION POR PACTO INVE</v>
          </cell>
          <cell r="C628">
            <v>7966193676</v>
          </cell>
          <cell r="D628">
            <v>39984780185</v>
          </cell>
          <cell r="E628">
            <v>0</v>
          </cell>
          <cell r="F628">
            <v>32018586509</v>
          </cell>
          <cell r="G628">
            <v>0</v>
          </cell>
          <cell r="H628">
            <v>32018586509</v>
          </cell>
          <cell r="I628">
            <v>0</v>
          </cell>
          <cell r="J628">
            <v>0</v>
          </cell>
          <cell r="K628">
            <v>-32018586509</v>
          </cell>
        </row>
        <row r="629">
          <cell r="A629">
            <v>211106</v>
          </cell>
          <cell r="B629" t="str">
            <v>FORWARD POR PAGAR</v>
          </cell>
          <cell r="C629">
            <v>281035642</v>
          </cell>
          <cell r="D629">
            <v>281035642</v>
          </cell>
          <cell r="E629">
            <v>0</v>
          </cell>
          <cell r="F629">
            <v>0</v>
          </cell>
          <cell r="G629">
            <v>0</v>
          </cell>
          <cell r="H629">
            <v>0</v>
          </cell>
          <cell r="I629">
            <v>0</v>
          </cell>
          <cell r="J629">
            <v>0</v>
          </cell>
          <cell r="K629">
            <v>0</v>
          </cell>
        </row>
        <row r="630">
          <cell r="A630">
            <v>211108</v>
          </cell>
          <cell r="B630" t="str">
            <v>SWAP POR PAGAR</v>
          </cell>
          <cell r="C630">
            <v>4105799530</v>
          </cell>
          <cell r="D630">
            <v>4105799530</v>
          </cell>
          <cell r="E630">
            <v>0</v>
          </cell>
          <cell r="F630">
            <v>0</v>
          </cell>
          <cell r="G630">
            <v>0</v>
          </cell>
          <cell r="H630">
            <v>0</v>
          </cell>
          <cell r="I630">
            <v>0</v>
          </cell>
          <cell r="J630">
            <v>0</v>
          </cell>
          <cell r="K630">
            <v>0</v>
          </cell>
        </row>
        <row r="631">
          <cell r="A631">
            <v>211111</v>
          </cell>
          <cell r="B631" t="str">
            <v>FORWARD DE TASA POR PAGAR</v>
          </cell>
          <cell r="C631">
            <v>0</v>
          </cell>
          <cell r="D631">
            <v>0</v>
          </cell>
          <cell r="E631">
            <v>0</v>
          </cell>
          <cell r="F631">
            <v>0</v>
          </cell>
          <cell r="G631">
            <v>0</v>
          </cell>
          <cell r="H631">
            <v>0</v>
          </cell>
          <cell r="I631">
            <v>0</v>
          </cell>
          <cell r="J631">
            <v>0</v>
          </cell>
          <cell r="K631">
            <v>0</v>
          </cell>
        </row>
        <row r="632">
          <cell r="A632">
            <v>211113</v>
          </cell>
          <cell r="B632" t="str">
            <v>ACCIONES NACIONALES POR P</v>
          </cell>
          <cell r="C632">
            <v>0</v>
          </cell>
          <cell r="D632">
            <v>0</v>
          </cell>
          <cell r="E632">
            <v>0</v>
          </cell>
          <cell r="F632">
            <v>0</v>
          </cell>
          <cell r="G632">
            <v>0</v>
          </cell>
          <cell r="H632">
            <v>0</v>
          </cell>
          <cell r="I632">
            <v>0</v>
          </cell>
          <cell r="J632">
            <v>0</v>
          </cell>
          <cell r="K632">
            <v>0</v>
          </cell>
        </row>
        <row r="633">
          <cell r="A633">
            <v>211114</v>
          </cell>
          <cell r="B633" t="str">
            <v>CROSS CURRENCY SWAP POR P</v>
          </cell>
          <cell r="C633">
            <v>213775278</v>
          </cell>
          <cell r="D633">
            <v>213775278</v>
          </cell>
          <cell r="E633">
            <v>0</v>
          </cell>
          <cell r="F633">
            <v>0</v>
          </cell>
          <cell r="G633">
            <v>0</v>
          </cell>
          <cell r="H633">
            <v>0</v>
          </cell>
          <cell r="I633">
            <v>0</v>
          </cell>
          <cell r="J633">
            <v>0</v>
          </cell>
          <cell r="K633">
            <v>0</v>
          </cell>
        </row>
        <row r="634">
          <cell r="A634">
            <v>211116</v>
          </cell>
          <cell r="B634" t="str">
            <v>GARANTIA THRESHOLD POR PA</v>
          </cell>
          <cell r="C634">
            <v>607500</v>
          </cell>
          <cell r="D634">
            <v>362730000</v>
          </cell>
          <cell r="E634">
            <v>0</v>
          </cell>
          <cell r="F634">
            <v>362122500</v>
          </cell>
          <cell r="G634">
            <v>0</v>
          </cell>
          <cell r="H634">
            <v>362122500</v>
          </cell>
          <cell r="I634">
            <v>0</v>
          </cell>
          <cell r="J634">
            <v>0</v>
          </cell>
          <cell r="K634">
            <v>-362122500</v>
          </cell>
        </row>
        <row r="635">
          <cell r="A635">
            <v>211201</v>
          </cell>
          <cell r="B635" t="str">
            <v>PROVEEDORES</v>
          </cell>
          <cell r="C635">
            <v>241899355647</v>
          </cell>
          <cell r="D635">
            <v>242488190258</v>
          </cell>
          <cell r="E635">
            <v>0</v>
          </cell>
          <cell r="F635">
            <v>588834611</v>
          </cell>
          <cell r="G635">
            <v>0</v>
          </cell>
          <cell r="H635">
            <v>588834611</v>
          </cell>
          <cell r="I635">
            <v>0</v>
          </cell>
          <cell r="J635">
            <v>0</v>
          </cell>
          <cell r="K635">
            <v>-588834611</v>
          </cell>
        </row>
        <row r="636">
          <cell r="A636">
            <v>211202</v>
          </cell>
          <cell r="B636" t="str">
            <v>HONORARIOS POR PAGAR</v>
          </cell>
          <cell r="C636">
            <v>14511826</v>
          </cell>
          <cell r="D636">
            <v>17730923</v>
          </cell>
          <cell r="E636">
            <v>0</v>
          </cell>
          <cell r="F636">
            <v>3219097</v>
          </cell>
          <cell r="G636">
            <v>0</v>
          </cell>
          <cell r="H636">
            <v>3219097</v>
          </cell>
          <cell r="I636">
            <v>0</v>
          </cell>
          <cell r="J636">
            <v>0</v>
          </cell>
          <cell r="K636">
            <v>-3219097</v>
          </cell>
        </row>
        <row r="637">
          <cell r="A637">
            <v>211203</v>
          </cell>
          <cell r="B637" t="str">
            <v>SUELDOS POP PAGAR</v>
          </cell>
          <cell r="C637">
            <v>3227483214</v>
          </cell>
          <cell r="D637">
            <v>3202431650</v>
          </cell>
          <cell r="E637">
            <v>25051564</v>
          </cell>
          <cell r="F637">
            <v>0</v>
          </cell>
          <cell r="G637">
            <v>25051564</v>
          </cell>
          <cell r="H637">
            <v>0</v>
          </cell>
          <cell r="I637">
            <v>0</v>
          </cell>
          <cell r="J637">
            <v>0</v>
          </cell>
          <cell r="K637">
            <v>25051564</v>
          </cell>
        </row>
        <row r="638">
          <cell r="A638">
            <v>211204</v>
          </cell>
          <cell r="B638" t="str">
            <v>CTA CTE BIENESTAR</v>
          </cell>
          <cell r="C638">
            <v>0</v>
          </cell>
          <cell r="D638">
            <v>35933505</v>
          </cell>
          <cell r="E638">
            <v>0</v>
          </cell>
          <cell r="F638">
            <v>35933505</v>
          </cell>
          <cell r="G638">
            <v>0</v>
          </cell>
          <cell r="H638">
            <v>35933505</v>
          </cell>
          <cell r="I638">
            <v>0</v>
          </cell>
          <cell r="J638">
            <v>0</v>
          </cell>
          <cell r="K638">
            <v>-35933505</v>
          </cell>
        </row>
        <row r="639">
          <cell r="A639">
            <v>211205</v>
          </cell>
          <cell r="B639" t="str">
            <v>PRESTAMOS PENSIONADOS POR</v>
          </cell>
          <cell r="C639">
            <v>0</v>
          </cell>
          <cell r="D639">
            <v>0</v>
          </cell>
          <cell r="E639">
            <v>0</v>
          </cell>
          <cell r="F639">
            <v>0</v>
          </cell>
          <cell r="G639">
            <v>0</v>
          </cell>
          <cell r="H639">
            <v>0</v>
          </cell>
          <cell r="I639">
            <v>0</v>
          </cell>
          <cell r="J639">
            <v>0</v>
          </cell>
          <cell r="K639">
            <v>0</v>
          </cell>
        </row>
        <row r="640">
          <cell r="A640">
            <v>211206</v>
          </cell>
          <cell r="B640" t="str">
            <v>PENSIONES R.V.POR PAGAR</v>
          </cell>
          <cell r="C640">
            <v>8867496976</v>
          </cell>
          <cell r="D640">
            <v>9102329983</v>
          </cell>
          <cell r="E640">
            <v>0</v>
          </cell>
          <cell r="F640">
            <v>234833007</v>
          </cell>
          <cell r="G640">
            <v>0</v>
          </cell>
          <cell r="H640">
            <v>234833007</v>
          </cell>
          <cell r="I640">
            <v>0</v>
          </cell>
          <cell r="J640">
            <v>0</v>
          </cell>
          <cell r="K640">
            <v>-234833007</v>
          </cell>
        </row>
        <row r="641">
          <cell r="A641">
            <v>211207</v>
          </cell>
          <cell r="B641" t="str">
            <v>CUOTA MORTUORIA POR PAGAR</v>
          </cell>
          <cell r="C641">
            <v>0</v>
          </cell>
          <cell r="D641">
            <v>0</v>
          </cell>
          <cell r="E641">
            <v>0</v>
          </cell>
          <cell r="F641">
            <v>0</v>
          </cell>
          <cell r="G641">
            <v>0</v>
          </cell>
          <cell r="H641">
            <v>0</v>
          </cell>
          <cell r="I641">
            <v>0</v>
          </cell>
          <cell r="J641">
            <v>0</v>
          </cell>
          <cell r="K641">
            <v>0</v>
          </cell>
        </row>
        <row r="642">
          <cell r="A642">
            <v>211208</v>
          </cell>
          <cell r="B642" t="str">
            <v>GARANTIAS POR PAGAR</v>
          </cell>
          <cell r="C642">
            <v>1469137</v>
          </cell>
          <cell r="D642">
            <v>689681933</v>
          </cell>
          <cell r="E642">
            <v>0</v>
          </cell>
          <cell r="F642">
            <v>688212796</v>
          </cell>
          <cell r="G642">
            <v>0</v>
          </cell>
          <cell r="H642">
            <v>688212796</v>
          </cell>
          <cell r="I642">
            <v>0</v>
          </cell>
          <cell r="J642">
            <v>0</v>
          </cell>
          <cell r="K642">
            <v>-688212796</v>
          </cell>
        </row>
        <row r="643">
          <cell r="A643">
            <v>211209</v>
          </cell>
          <cell r="B643" t="str">
            <v>CUENTA CORRIENTE DEUDORES</v>
          </cell>
          <cell r="C643">
            <v>0</v>
          </cell>
          <cell r="D643">
            <v>0</v>
          </cell>
          <cell r="E643">
            <v>0</v>
          </cell>
          <cell r="F643">
            <v>0</v>
          </cell>
          <cell r="G643">
            <v>0</v>
          </cell>
          <cell r="H643">
            <v>0</v>
          </cell>
          <cell r="I643">
            <v>0</v>
          </cell>
          <cell r="J643">
            <v>0</v>
          </cell>
          <cell r="K643">
            <v>0</v>
          </cell>
        </row>
        <row r="644">
          <cell r="A644">
            <v>211210</v>
          </cell>
          <cell r="B644" t="str">
            <v>CTA CTE DEUDORES REFINANC</v>
          </cell>
          <cell r="C644">
            <v>0</v>
          </cell>
          <cell r="D644">
            <v>0</v>
          </cell>
          <cell r="E644">
            <v>0</v>
          </cell>
          <cell r="F644">
            <v>0</v>
          </cell>
          <cell r="G644">
            <v>0</v>
          </cell>
          <cell r="H644">
            <v>0</v>
          </cell>
          <cell r="I644">
            <v>0</v>
          </cell>
          <cell r="J644">
            <v>0</v>
          </cell>
          <cell r="K644">
            <v>0</v>
          </cell>
        </row>
        <row r="645">
          <cell r="A645">
            <v>211211</v>
          </cell>
          <cell r="B645" t="str">
            <v>CTA CTE INMOBILIARIAS</v>
          </cell>
          <cell r="C645">
            <v>0</v>
          </cell>
          <cell r="D645">
            <v>0</v>
          </cell>
          <cell r="E645">
            <v>0</v>
          </cell>
          <cell r="F645">
            <v>0</v>
          </cell>
          <cell r="G645">
            <v>0</v>
          </cell>
          <cell r="H645">
            <v>0</v>
          </cell>
          <cell r="I645">
            <v>0</v>
          </cell>
          <cell r="J645">
            <v>0</v>
          </cell>
          <cell r="K645">
            <v>0</v>
          </cell>
        </row>
        <row r="646">
          <cell r="A646">
            <v>211212</v>
          </cell>
          <cell r="B646" t="str">
            <v>CUENTAS POR PAGAR</v>
          </cell>
          <cell r="C646">
            <v>0</v>
          </cell>
          <cell r="D646">
            <v>0</v>
          </cell>
          <cell r="E646">
            <v>0</v>
          </cell>
          <cell r="F646">
            <v>0</v>
          </cell>
          <cell r="G646">
            <v>0</v>
          </cell>
          <cell r="H646">
            <v>0</v>
          </cell>
          <cell r="I646">
            <v>0</v>
          </cell>
          <cell r="J646">
            <v>0</v>
          </cell>
          <cell r="K646">
            <v>0</v>
          </cell>
        </row>
        <row r="647">
          <cell r="A647">
            <v>211213</v>
          </cell>
          <cell r="B647" t="str">
            <v>ABONOS DE DIVIDENDOS HIPO</v>
          </cell>
          <cell r="C647">
            <v>178645</v>
          </cell>
          <cell r="D647">
            <v>178645</v>
          </cell>
          <cell r="E647">
            <v>0</v>
          </cell>
          <cell r="F647">
            <v>0</v>
          </cell>
          <cell r="G647">
            <v>0</v>
          </cell>
          <cell r="H647">
            <v>0</v>
          </cell>
          <cell r="I647">
            <v>0</v>
          </cell>
          <cell r="J647">
            <v>0</v>
          </cell>
          <cell r="K647">
            <v>0</v>
          </cell>
        </row>
        <row r="648">
          <cell r="A648">
            <v>211215</v>
          </cell>
          <cell r="B648" t="str">
            <v>CTA CTE REFINANCIAMIENTO</v>
          </cell>
          <cell r="C648">
            <v>0</v>
          </cell>
          <cell r="D648">
            <v>0</v>
          </cell>
          <cell r="E648">
            <v>0</v>
          </cell>
          <cell r="F648">
            <v>0</v>
          </cell>
          <cell r="G648">
            <v>0</v>
          </cell>
          <cell r="H648">
            <v>0</v>
          </cell>
          <cell r="I648">
            <v>0</v>
          </cell>
          <cell r="J648">
            <v>0</v>
          </cell>
          <cell r="K648">
            <v>0</v>
          </cell>
        </row>
        <row r="649">
          <cell r="A649">
            <v>211218</v>
          </cell>
          <cell r="B649" t="str">
            <v>CTA CTE LIQUIDACION REFIN</v>
          </cell>
          <cell r="C649">
            <v>0</v>
          </cell>
          <cell r="D649">
            <v>0</v>
          </cell>
          <cell r="E649">
            <v>0</v>
          </cell>
          <cell r="F649">
            <v>0</v>
          </cell>
          <cell r="G649">
            <v>0</v>
          </cell>
          <cell r="H649">
            <v>0</v>
          </cell>
          <cell r="I649">
            <v>0</v>
          </cell>
          <cell r="J649">
            <v>0</v>
          </cell>
          <cell r="K649">
            <v>0</v>
          </cell>
        </row>
        <row r="650">
          <cell r="A650">
            <v>211219</v>
          </cell>
          <cell r="B650" t="str">
            <v>CTA CTE LIQUIDACION INMOB</v>
          </cell>
          <cell r="C650">
            <v>0</v>
          </cell>
          <cell r="D650">
            <v>0</v>
          </cell>
          <cell r="E650">
            <v>0</v>
          </cell>
          <cell r="F650">
            <v>0</v>
          </cell>
          <cell r="G650">
            <v>0</v>
          </cell>
          <cell r="H650">
            <v>0</v>
          </cell>
          <cell r="I650">
            <v>0</v>
          </cell>
          <cell r="J650">
            <v>0</v>
          </cell>
          <cell r="K650">
            <v>0</v>
          </cell>
        </row>
        <row r="651">
          <cell r="A651">
            <v>211221</v>
          </cell>
          <cell r="B651" t="str">
            <v>COMISIONES POR PAGAR</v>
          </cell>
          <cell r="C651">
            <v>0</v>
          </cell>
          <cell r="D651">
            <v>0</v>
          </cell>
          <cell r="E651">
            <v>0</v>
          </cell>
          <cell r="F651">
            <v>0</v>
          </cell>
          <cell r="G651">
            <v>0</v>
          </cell>
          <cell r="H651">
            <v>0</v>
          </cell>
          <cell r="I651">
            <v>0</v>
          </cell>
          <cell r="J651">
            <v>0</v>
          </cell>
          <cell r="K651">
            <v>0</v>
          </cell>
        </row>
        <row r="652">
          <cell r="A652">
            <v>211222</v>
          </cell>
          <cell r="B652" t="str">
            <v>CREDITOS DE CONSUMO POR P</v>
          </cell>
          <cell r="C652">
            <v>301031195</v>
          </cell>
          <cell r="D652">
            <v>301031195</v>
          </cell>
          <cell r="E652">
            <v>0</v>
          </cell>
          <cell r="F652">
            <v>0</v>
          </cell>
          <cell r="G652">
            <v>0</v>
          </cell>
          <cell r="H652">
            <v>0</v>
          </cell>
          <cell r="I652">
            <v>0</v>
          </cell>
          <cell r="J652">
            <v>0</v>
          </cell>
          <cell r="K652">
            <v>0</v>
          </cell>
        </row>
        <row r="653">
          <cell r="A653">
            <v>211223</v>
          </cell>
          <cell r="B653" t="str">
            <v>GARANTIA FINANCIAMIENTO P</v>
          </cell>
          <cell r="C653">
            <v>1370227712</v>
          </cell>
          <cell r="D653">
            <v>8194618283</v>
          </cell>
          <cell r="E653">
            <v>0</v>
          </cell>
          <cell r="F653">
            <v>6824390571</v>
          </cell>
          <cell r="G653">
            <v>0</v>
          </cell>
          <cell r="H653">
            <v>6824390571</v>
          </cell>
          <cell r="I653">
            <v>0</v>
          </cell>
          <cell r="J653">
            <v>0</v>
          </cell>
          <cell r="K653">
            <v>-6824390571</v>
          </cell>
        </row>
        <row r="654">
          <cell r="A654">
            <v>211225</v>
          </cell>
          <cell r="B654" t="str">
            <v>COMISIONES POR PAGAR CORP</v>
          </cell>
          <cell r="C654">
            <v>0</v>
          </cell>
          <cell r="D654">
            <v>0</v>
          </cell>
          <cell r="E654">
            <v>0</v>
          </cell>
          <cell r="F654">
            <v>0</v>
          </cell>
          <cell r="G654">
            <v>0</v>
          </cell>
          <cell r="H654">
            <v>0</v>
          </cell>
          <cell r="I654">
            <v>0</v>
          </cell>
          <cell r="J654">
            <v>0</v>
          </cell>
          <cell r="K654">
            <v>0</v>
          </cell>
        </row>
        <row r="655">
          <cell r="A655">
            <v>211226</v>
          </cell>
          <cell r="B655" t="str">
            <v>PRIMAS POR PAGAR</v>
          </cell>
          <cell r="C655">
            <v>2924386</v>
          </cell>
          <cell r="D655">
            <v>2924386</v>
          </cell>
          <cell r="E655">
            <v>0</v>
          </cell>
          <cell r="F655">
            <v>0</v>
          </cell>
          <cell r="G655">
            <v>0</v>
          </cell>
          <cell r="H655">
            <v>0</v>
          </cell>
          <cell r="I655">
            <v>0</v>
          </cell>
          <cell r="J655">
            <v>0</v>
          </cell>
          <cell r="K655">
            <v>0</v>
          </cell>
        </row>
        <row r="656">
          <cell r="A656">
            <v>211227</v>
          </cell>
          <cell r="B656" t="str">
            <v>CUENTAS POR PAGAR EE.RR.</v>
          </cell>
          <cell r="C656">
            <v>0</v>
          </cell>
          <cell r="D656">
            <v>0</v>
          </cell>
          <cell r="E656">
            <v>0</v>
          </cell>
          <cell r="F656">
            <v>0</v>
          </cell>
          <cell r="G656">
            <v>0</v>
          </cell>
          <cell r="H656">
            <v>0</v>
          </cell>
          <cell r="I656">
            <v>0</v>
          </cell>
          <cell r="J656">
            <v>0</v>
          </cell>
          <cell r="K656">
            <v>0</v>
          </cell>
        </row>
        <row r="657">
          <cell r="A657">
            <v>211228</v>
          </cell>
          <cell r="B657" t="str">
            <v>HIPOTECARIA LA CONSTRUCCI</v>
          </cell>
          <cell r="C657">
            <v>0</v>
          </cell>
          <cell r="D657">
            <v>515310281</v>
          </cell>
          <cell r="E657">
            <v>0</v>
          </cell>
          <cell r="F657">
            <v>515310281</v>
          </cell>
          <cell r="G657">
            <v>0</v>
          </cell>
          <cell r="H657">
            <v>515310281</v>
          </cell>
          <cell r="I657">
            <v>0</v>
          </cell>
          <cell r="J657">
            <v>0</v>
          </cell>
          <cell r="K657">
            <v>-515310281</v>
          </cell>
        </row>
        <row r="658">
          <cell r="A658">
            <v>211229</v>
          </cell>
          <cell r="B658" t="str">
            <v>PROVEEDORES INMOBILIARIOS</v>
          </cell>
          <cell r="C658">
            <v>7555200581</v>
          </cell>
          <cell r="D658">
            <v>7577457295</v>
          </cell>
          <cell r="E658">
            <v>0</v>
          </cell>
          <cell r="F658">
            <v>22256714</v>
          </cell>
          <cell r="G658">
            <v>0</v>
          </cell>
          <cell r="H658">
            <v>22256714</v>
          </cell>
          <cell r="I658">
            <v>0</v>
          </cell>
          <cell r="J658">
            <v>0</v>
          </cell>
          <cell r="K658">
            <v>-22256714</v>
          </cell>
        </row>
        <row r="659">
          <cell r="A659">
            <v>211230</v>
          </cell>
          <cell r="B659" t="str">
            <v>HONORARIOS INMOBILIARIOS</v>
          </cell>
          <cell r="C659">
            <v>1465545</v>
          </cell>
          <cell r="D659">
            <v>1465545</v>
          </cell>
          <cell r="E659">
            <v>0</v>
          </cell>
          <cell r="F659">
            <v>0</v>
          </cell>
          <cell r="G659">
            <v>0</v>
          </cell>
          <cell r="H659">
            <v>0</v>
          </cell>
          <cell r="I659">
            <v>0</v>
          </cell>
          <cell r="J659">
            <v>0</v>
          </cell>
          <cell r="K659">
            <v>0</v>
          </cell>
        </row>
        <row r="660">
          <cell r="A660">
            <v>211231</v>
          </cell>
          <cell r="B660" t="str">
            <v>OTRAS CUENTAS POR PAGAR I</v>
          </cell>
          <cell r="C660">
            <v>1792175258</v>
          </cell>
          <cell r="D660">
            <v>1797643618</v>
          </cell>
          <cell r="E660">
            <v>0</v>
          </cell>
          <cell r="F660">
            <v>5468360</v>
          </cell>
          <cell r="G660">
            <v>0</v>
          </cell>
          <cell r="H660">
            <v>5468360</v>
          </cell>
          <cell r="I660">
            <v>0</v>
          </cell>
          <cell r="J660">
            <v>0</v>
          </cell>
          <cell r="K660">
            <v>-5468360</v>
          </cell>
        </row>
        <row r="661">
          <cell r="A661">
            <v>211233</v>
          </cell>
          <cell r="B661" t="str">
            <v>GARANTIA ARRIENDO POR PAG</v>
          </cell>
          <cell r="C661">
            <v>31680422</v>
          </cell>
          <cell r="D661">
            <v>927218422</v>
          </cell>
          <cell r="E661">
            <v>0</v>
          </cell>
          <cell r="F661">
            <v>895538000</v>
          </cell>
          <cell r="G661">
            <v>0</v>
          </cell>
          <cell r="H661">
            <v>895538000</v>
          </cell>
          <cell r="I661">
            <v>0</v>
          </cell>
          <cell r="J661">
            <v>0</v>
          </cell>
          <cell r="K661">
            <v>-895538000</v>
          </cell>
        </row>
        <row r="662">
          <cell r="A662">
            <v>211235</v>
          </cell>
          <cell r="B662" t="str">
            <v>GARANTIAS POR PAGAR</v>
          </cell>
          <cell r="C662">
            <v>941278</v>
          </cell>
          <cell r="D662">
            <v>469370000</v>
          </cell>
          <cell r="E662">
            <v>0</v>
          </cell>
          <cell r="F662">
            <v>468428722</v>
          </cell>
          <cell r="G662">
            <v>0</v>
          </cell>
          <cell r="H662">
            <v>468428722</v>
          </cell>
          <cell r="I662">
            <v>0</v>
          </cell>
          <cell r="J662">
            <v>0</v>
          </cell>
          <cell r="K662">
            <v>-468428722</v>
          </cell>
        </row>
        <row r="663">
          <cell r="A663">
            <v>211236</v>
          </cell>
          <cell r="B663" t="str">
            <v>CUENTAS X PAGAR INMOB BRU</v>
          </cell>
          <cell r="C663">
            <v>0</v>
          </cell>
          <cell r="D663">
            <v>0</v>
          </cell>
          <cell r="E663">
            <v>0</v>
          </cell>
          <cell r="F663">
            <v>0</v>
          </cell>
          <cell r="G663">
            <v>0</v>
          </cell>
          <cell r="H663">
            <v>0</v>
          </cell>
          <cell r="I663">
            <v>0</v>
          </cell>
          <cell r="J663">
            <v>0</v>
          </cell>
          <cell r="K663">
            <v>0</v>
          </cell>
        </row>
        <row r="664">
          <cell r="A664">
            <v>211237</v>
          </cell>
          <cell r="B664" t="str">
            <v>ANTICIPO PRECIO POR PAGAR</v>
          </cell>
          <cell r="C664">
            <v>24826571</v>
          </cell>
          <cell r="D664">
            <v>11654767087</v>
          </cell>
          <cell r="E664">
            <v>0</v>
          </cell>
          <cell r="F664">
            <v>11629940516</v>
          </cell>
          <cell r="G664">
            <v>0</v>
          </cell>
          <cell r="H664">
            <v>11629940516</v>
          </cell>
          <cell r="I664">
            <v>0</v>
          </cell>
          <cell r="J664">
            <v>0</v>
          </cell>
          <cell r="K664">
            <v>-11629940516</v>
          </cell>
        </row>
        <row r="665">
          <cell r="A665">
            <v>211238</v>
          </cell>
          <cell r="B665" t="str">
            <v>ARRIENDOS ANTICIPADOS  BR</v>
          </cell>
          <cell r="C665">
            <v>0</v>
          </cell>
          <cell r="D665">
            <v>725971</v>
          </cell>
          <cell r="E665">
            <v>0</v>
          </cell>
          <cell r="F665">
            <v>725971</v>
          </cell>
          <cell r="G665">
            <v>0</v>
          </cell>
          <cell r="H665">
            <v>725971</v>
          </cell>
          <cell r="I665">
            <v>0</v>
          </cell>
          <cell r="J665">
            <v>0</v>
          </cell>
          <cell r="K665">
            <v>-725971</v>
          </cell>
        </row>
        <row r="666">
          <cell r="A666">
            <v>211239</v>
          </cell>
          <cell r="B666" t="str">
            <v>PROVEEDORES SINIESTROS VI</v>
          </cell>
          <cell r="C666">
            <v>1015434898</v>
          </cell>
          <cell r="D666">
            <v>1017313706</v>
          </cell>
          <cell r="E666">
            <v>0</v>
          </cell>
          <cell r="F666">
            <v>1878808</v>
          </cell>
          <cell r="G666">
            <v>0</v>
          </cell>
          <cell r="H666">
            <v>1878808</v>
          </cell>
          <cell r="I666">
            <v>0</v>
          </cell>
          <cell r="J666">
            <v>0</v>
          </cell>
          <cell r="K666">
            <v>-1878808</v>
          </cell>
        </row>
        <row r="667">
          <cell r="A667">
            <v>211240</v>
          </cell>
          <cell r="B667" t="str">
            <v>PROVEEDORES REEMISION SIN</v>
          </cell>
          <cell r="C667">
            <v>1470419143</v>
          </cell>
          <cell r="D667">
            <v>1522246858</v>
          </cell>
          <cell r="E667">
            <v>0</v>
          </cell>
          <cell r="F667">
            <v>51827715</v>
          </cell>
          <cell r="G667">
            <v>0</v>
          </cell>
          <cell r="H667">
            <v>51827715</v>
          </cell>
          <cell r="I667">
            <v>0</v>
          </cell>
          <cell r="J667">
            <v>0</v>
          </cell>
          <cell r="K667">
            <v>-51827715</v>
          </cell>
        </row>
        <row r="668">
          <cell r="A668">
            <v>211241</v>
          </cell>
          <cell r="B668" t="str">
            <v>PROVEEDORES CREDITOS</v>
          </cell>
          <cell r="C668">
            <v>115708173</v>
          </cell>
          <cell r="D668">
            <v>115708173</v>
          </cell>
          <cell r="E668">
            <v>0</v>
          </cell>
          <cell r="F668">
            <v>0</v>
          </cell>
          <cell r="G668">
            <v>0</v>
          </cell>
          <cell r="H668">
            <v>0</v>
          </cell>
          <cell r="I668">
            <v>0</v>
          </cell>
          <cell r="J668">
            <v>0</v>
          </cell>
          <cell r="K668">
            <v>0</v>
          </cell>
        </row>
        <row r="669">
          <cell r="A669">
            <v>211242</v>
          </cell>
          <cell r="B669" t="str">
            <v>PROVEEDORES VALORES GARAN</v>
          </cell>
          <cell r="C669">
            <v>950736</v>
          </cell>
          <cell r="D669">
            <v>950736</v>
          </cell>
          <cell r="E669">
            <v>0</v>
          </cell>
          <cell r="F669">
            <v>0</v>
          </cell>
          <cell r="G669">
            <v>0</v>
          </cell>
          <cell r="H669">
            <v>0</v>
          </cell>
          <cell r="I669">
            <v>0</v>
          </cell>
          <cell r="J669">
            <v>0</v>
          </cell>
          <cell r="K669">
            <v>0</v>
          </cell>
        </row>
        <row r="670">
          <cell r="A670">
            <v>211243</v>
          </cell>
          <cell r="B670" t="str">
            <v>PROVEEDORES RRHH</v>
          </cell>
          <cell r="C670">
            <v>0</v>
          </cell>
          <cell r="D670">
            <v>0</v>
          </cell>
          <cell r="E670">
            <v>0</v>
          </cell>
          <cell r="F670">
            <v>0</v>
          </cell>
          <cell r="G670">
            <v>0</v>
          </cell>
          <cell r="H670">
            <v>0</v>
          </cell>
          <cell r="I670">
            <v>0</v>
          </cell>
          <cell r="J670">
            <v>0</v>
          </cell>
          <cell r="K670">
            <v>0</v>
          </cell>
        </row>
        <row r="671">
          <cell r="A671">
            <v>211244</v>
          </cell>
          <cell r="B671" t="str">
            <v>PROVEEDORES COMISIONES RV</v>
          </cell>
          <cell r="C671">
            <v>24279692</v>
          </cell>
          <cell r="D671">
            <v>24279692</v>
          </cell>
          <cell r="E671">
            <v>0</v>
          </cell>
          <cell r="F671">
            <v>0</v>
          </cell>
          <cell r="G671">
            <v>0</v>
          </cell>
          <cell r="H671">
            <v>0</v>
          </cell>
          <cell r="I671">
            <v>0</v>
          </cell>
          <cell r="J671">
            <v>0</v>
          </cell>
          <cell r="K671">
            <v>0</v>
          </cell>
        </row>
        <row r="672">
          <cell r="A672">
            <v>211245</v>
          </cell>
          <cell r="B672" t="str">
            <v>SVI DEVOLUCIONES PRIMAS</v>
          </cell>
          <cell r="C672">
            <v>17188714</v>
          </cell>
          <cell r="D672">
            <v>17188714</v>
          </cell>
          <cell r="E672">
            <v>0</v>
          </cell>
          <cell r="F672">
            <v>0</v>
          </cell>
          <cell r="G672">
            <v>0</v>
          </cell>
          <cell r="H672">
            <v>0</v>
          </cell>
          <cell r="I672">
            <v>0</v>
          </cell>
          <cell r="J672">
            <v>0</v>
          </cell>
          <cell r="K672">
            <v>0</v>
          </cell>
        </row>
        <row r="673">
          <cell r="A673">
            <v>211247</v>
          </cell>
          <cell r="B673" t="str">
            <v>PROVEEDORES PENSIONES Y G</v>
          </cell>
          <cell r="C673">
            <v>0</v>
          </cell>
          <cell r="D673">
            <v>0</v>
          </cell>
          <cell r="E673">
            <v>0</v>
          </cell>
          <cell r="F673">
            <v>0</v>
          </cell>
          <cell r="G673">
            <v>0</v>
          </cell>
          <cell r="H673">
            <v>0</v>
          </cell>
          <cell r="I673">
            <v>0</v>
          </cell>
          <cell r="J673">
            <v>0</v>
          </cell>
          <cell r="K673">
            <v>0</v>
          </cell>
        </row>
        <row r="674">
          <cell r="A674">
            <v>211248</v>
          </cell>
          <cell r="B674" t="str">
            <v>PROVEEDORES DEVOLUCIONES</v>
          </cell>
          <cell r="C674">
            <v>0</v>
          </cell>
          <cell r="D674">
            <v>0</v>
          </cell>
          <cell r="E674">
            <v>0</v>
          </cell>
          <cell r="F674">
            <v>0</v>
          </cell>
          <cell r="G674">
            <v>0</v>
          </cell>
          <cell r="H674">
            <v>0</v>
          </cell>
          <cell r="I674">
            <v>0</v>
          </cell>
          <cell r="J674">
            <v>0</v>
          </cell>
          <cell r="K674">
            <v>0</v>
          </cell>
        </row>
        <row r="675">
          <cell r="A675">
            <v>211250</v>
          </cell>
          <cell r="B675" t="str">
            <v>GTOS OPERACIONALES X PAGA</v>
          </cell>
          <cell r="C675">
            <v>0</v>
          </cell>
          <cell r="D675">
            <v>0</v>
          </cell>
          <cell r="E675">
            <v>0</v>
          </cell>
          <cell r="F675">
            <v>0</v>
          </cell>
          <cell r="G675">
            <v>0</v>
          </cell>
          <cell r="H675">
            <v>0</v>
          </cell>
          <cell r="I675">
            <v>0</v>
          </cell>
          <cell r="J675">
            <v>0</v>
          </cell>
          <cell r="K675">
            <v>0</v>
          </cell>
        </row>
        <row r="676">
          <cell r="A676">
            <v>211251</v>
          </cell>
          <cell r="B676" t="str">
            <v>OTRAS CUENTAS POR PAGAR</v>
          </cell>
          <cell r="C676">
            <v>0</v>
          </cell>
          <cell r="D676">
            <v>0</v>
          </cell>
          <cell r="E676">
            <v>0</v>
          </cell>
          <cell r="F676">
            <v>0</v>
          </cell>
          <cell r="G676">
            <v>0</v>
          </cell>
          <cell r="H676">
            <v>0</v>
          </cell>
          <cell r="I676">
            <v>0</v>
          </cell>
          <cell r="J676">
            <v>0</v>
          </cell>
          <cell r="K676">
            <v>0</v>
          </cell>
        </row>
        <row r="677">
          <cell r="A677">
            <v>211252</v>
          </cell>
          <cell r="B677" t="str">
            <v>CTA. CTE ACTIVIDADES DEL</v>
          </cell>
          <cell r="C677">
            <v>460400</v>
          </cell>
          <cell r="D677">
            <v>762400</v>
          </cell>
          <cell r="E677">
            <v>0</v>
          </cell>
          <cell r="F677">
            <v>302000</v>
          </cell>
          <cell r="G677">
            <v>0</v>
          </cell>
          <cell r="H677">
            <v>302000</v>
          </cell>
          <cell r="I677">
            <v>0</v>
          </cell>
          <cell r="J677">
            <v>0</v>
          </cell>
          <cell r="K677">
            <v>-302000</v>
          </cell>
        </row>
        <row r="678">
          <cell r="A678">
            <v>211253</v>
          </cell>
          <cell r="B678" t="str">
            <v>DERECHOS OPCION DE COMPRA</v>
          </cell>
          <cell r="C678">
            <v>938</v>
          </cell>
          <cell r="D678">
            <v>452281</v>
          </cell>
          <cell r="E678">
            <v>0</v>
          </cell>
          <cell r="F678">
            <v>451343</v>
          </cell>
          <cell r="G678">
            <v>0</v>
          </cell>
          <cell r="H678">
            <v>451343</v>
          </cell>
          <cell r="I678">
            <v>0</v>
          </cell>
          <cell r="J678">
            <v>0</v>
          </cell>
          <cell r="K678">
            <v>-451343</v>
          </cell>
        </row>
        <row r="679">
          <cell r="A679">
            <v>211254</v>
          </cell>
          <cell r="B679" t="str">
            <v>GARANTIAS POR PAGAR PROYE</v>
          </cell>
          <cell r="C679">
            <v>10535675</v>
          </cell>
          <cell r="D679">
            <v>4945949888</v>
          </cell>
          <cell r="E679">
            <v>0</v>
          </cell>
          <cell r="F679">
            <v>4935414213</v>
          </cell>
          <cell r="G679">
            <v>0</v>
          </cell>
          <cell r="H679">
            <v>4935414213</v>
          </cell>
          <cell r="I679">
            <v>0</v>
          </cell>
          <cell r="J679">
            <v>0</v>
          </cell>
          <cell r="K679">
            <v>-4935414213</v>
          </cell>
        </row>
        <row r="680">
          <cell r="A680">
            <v>211256</v>
          </cell>
          <cell r="B680" t="str">
            <v>GASTOS DE PENSIONES POR P</v>
          </cell>
          <cell r="C680">
            <v>473038856</v>
          </cell>
          <cell r="D680">
            <v>536322795</v>
          </cell>
          <cell r="E680">
            <v>0</v>
          </cell>
          <cell r="F680">
            <v>63283939</v>
          </cell>
          <cell r="G680">
            <v>0</v>
          </cell>
          <cell r="H680">
            <v>63283939</v>
          </cell>
          <cell r="I680">
            <v>0</v>
          </cell>
          <cell r="J680">
            <v>0</v>
          </cell>
          <cell r="K680">
            <v>-63283939</v>
          </cell>
        </row>
        <row r="681">
          <cell r="A681">
            <v>211257</v>
          </cell>
          <cell r="B681" t="str">
            <v>GASTOS DE AUDITORIA POR P</v>
          </cell>
          <cell r="C681">
            <v>0</v>
          </cell>
          <cell r="D681">
            <v>0</v>
          </cell>
          <cell r="E681">
            <v>0</v>
          </cell>
          <cell r="F681">
            <v>0</v>
          </cell>
          <cell r="G681">
            <v>0</v>
          </cell>
          <cell r="H681">
            <v>0</v>
          </cell>
          <cell r="I681">
            <v>0</v>
          </cell>
          <cell r="J681">
            <v>0</v>
          </cell>
          <cell r="K681">
            <v>0</v>
          </cell>
        </row>
        <row r="682">
          <cell r="A682">
            <v>211258</v>
          </cell>
          <cell r="B682" t="str">
            <v>COMISIONES RENTAS VITALIC</v>
          </cell>
          <cell r="C682">
            <v>3668236727</v>
          </cell>
          <cell r="D682">
            <v>3673449946</v>
          </cell>
          <cell r="E682">
            <v>0</v>
          </cell>
          <cell r="F682">
            <v>5213219</v>
          </cell>
          <cell r="G682">
            <v>0</v>
          </cell>
          <cell r="H682">
            <v>5213219</v>
          </cell>
          <cell r="I682">
            <v>0</v>
          </cell>
          <cell r="J682">
            <v>0</v>
          </cell>
          <cell r="K682">
            <v>-5213219</v>
          </cell>
        </row>
        <row r="683">
          <cell r="A683">
            <v>211259</v>
          </cell>
          <cell r="B683" t="str">
            <v>COMISIONES SEGUROS TRADIC</v>
          </cell>
          <cell r="C683">
            <v>365352949</v>
          </cell>
          <cell r="D683">
            <v>1180890986</v>
          </cell>
          <cell r="E683">
            <v>0</v>
          </cell>
          <cell r="F683">
            <v>815538037</v>
          </cell>
          <cell r="G683">
            <v>0</v>
          </cell>
          <cell r="H683">
            <v>815538037</v>
          </cell>
          <cell r="I683">
            <v>0</v>
          </cell>
          <cell r="J683">
            <v>0</v>
          </cell>
          <cell r="K683">
            <v>-815538037</v>
          </cell>
        </row>
        <row r="684">
          <cell r="A684">
            <v>211260</v>
          </cell>
          <cell r="B684" t="str">
            <v>PROVEEDORES SINIESTROS PO</v>
          </cell>
          <cell r="C684">
            <v>2397729405</v>
          </cell>
          <cell r="D684">
            <v>2498386029</v>
          </cell>
          <cell r="E684">
            <v>0</v>
          </cell>
          <cell r="F684">
            <v>100656624</v>
          </cell>
          <cell r="G684">
            <v>0</v>
          </cell>
          <cell r="H684">
            <v>100656624</v>
          </cell>
          <cell r="I684">
            <v>0</v>
          </cell>
          <cell r="J684">
            <v>0</v>
          </cell>
          <cell r="K684">
            <v>-100656624</v>
          </cell>
        </row>
        <row r="685">
          <cell r="A685">
            <v>211261</v>
          </cell>
          <cell r="B685" t="str">
            <v>COMPRAS VARIAS POR PAGAR</v>
          </cell>
          <cell r="C685">
            <v>333769605</v>
          </cell>
          <cell r="D685">
            <v>528989588</v>
          </cell>
          <cell r="E685">
            <v>0</v>
          </cell>
          <cell r="F685">
            <v>195219983</v>
          </cell>
          <cell r="G685">
            <v>0</v>
          </cell>
          <cell r="H685">
            <v>195219983</v>
          </cell>
          <cell r="I685">
            <v>0</v>
          </cell>
          <cell r="J685">
            <v>0</v>
          </cell>
          <cell r="K685">
            <v>-195219983</v>
          </cell>
        </row>
        <row r="686">
          <cell r="A686">
            <v>211262</v>
          </cell>
          <cell r="B686" t="str">
            <v>FACTURAS POR PAGAR</v>
          </cell>
          <cell r="C686">
            <v>0</v>
          </cell>
          <cell r="D686">
            <v>0</v>
          </cell>
          <cell r="E686">
            <v>0</v>
          </cell>
          <cell r="F686">
            <v>0</v>
          </cell>
          <cell r="G686">
            <v>0</v>
          </cell>
          <cell r="H686">
            <v>0</v>
          </cell>
          <cell r="I686">
            <v>0</v>
          </cell>
          <cell r="J686">
            <v>0</v>
          </cell>
          <cell r="K686">
            <v>0</v>
          </cell>
        </row>
        <row r="687">
          <cell r="A687">
            <v>211264</v>
          </cell>
          <cell r="B687" t="str">
            <v>COMISIONES POR PAGAR</v>
          </cell>
          <cell r="C687">
            <v>0</v>
          </cell>
          <cell r="D687">
            <v>0</v>
          </cell>
          <cell r="E687">
            <v>0</v>
          </cell>
          <cell r="F687">
            <v>0</v>
          </cell>
          <cell r="G687">
            <v>0</v>
          </cell>
          <cell r="H687">
            <v>0</v>
          </cell>
          <cell r="I687">
            <v>0</v>
          </cell>
          <cell r="J687">
            <v>0</v>
          </cell>
          <cell r="K687">
            <v>0</v>
          </cell>
        </row>
        <row r="688">
          <cell r="A688">
            <v>211265</v>
          </cell>
          <cell r="B688" t="str">
            <v>COMIS.CORREDORES MASIVOS</v>
          </cell>
          <cell r="C688">
            <v>166468559</v>
          </cell>
          <cell r="D688">
            <v>392615298</v>
          </cell>
          <cell r="E688">
            <v>0</v>
          </cell>
          <cell r="F688">
            <v>226146739</v>
          </cell>
          <cell r="G688">
            <v>0</v>
          </cell>
          <cell r="H688">
            <v>226146739</v>
          </cell>
          <cell r="I688">
            <v>0</v>
          </cell>
          <cell r="J688">
            <v>0</v>
          </cell>
          <cell r="K688">
            <v>-226146739</v>
          </cell>
        </row>
        <row r="689">
          <cell r="A689">
            <v>211266</v>
          </cell>
          <cell r="B689" t="str">
            <v>COMISION CORREDORES DESGR</v>
          </cell>
          <cell r="C689">
            <v>190967687</v>
          </cell>
          <cell r="D689">
            <v>389386965</v>
          </cell>
          <cell r="E689">
            <v>0</v>
          </cell>
          <cell r="F689">
            <v>198419278</v>
          </cell>
          <cell r="G689">
            <v>0</v>
          </cell>
          <cell r="H689">
            <v>198419278</v>
          </cell>
          <cell r="I689">
            <v>0</v>
          </cell>
          <cell r="J689">
            <v>0</v>
          </cell>
          <cell r="K689">
            <v>-198419278</v>
          </cell>
        </row>
        <row r="690">
          <cell r="A690">
            <v>211267</v>
          </cell>
          <cell r="B690" t="str">
            <v>DEVOLUCION MORTALIDAD FAV</v>
          </cell>
          <cell r="C690">
            <v>1870022962</v>
          </cell>
          <cell r="D690">
            <v>3783558600</v>
          </cell>
          <cell r="E690">
            <v>0</v>
          </cell>
          <cell r="F690">
            <v>1913535638</v>
          </cell>
          <cell r="G690">
            <v>0</v>
          </cell>
          <cell r="H690">
            <v>1913535638</v>
          </cell>
          <cell r="I690">
            <v>0</v>
          </cell>
          <cell r="J690">
            <v>0</v>
          </cell>
          <cell r="K690">
            <v>-1913535638</v>
          </cell>
        </row>
        <row r="691">
          <cell r="A691">
            <v>211269</v>
          </cell>
          <cell r="B691" t="str">
            <v>AJUSTE DE CONTRATOS AFP</v>
          </cell>
          <cell r="C691">
            <v>1329729</v>
          </cell>
          <cell r="D691">
            <v>480412960</v>
          </cell>
          <cell r="E691">
            <v>0</v>
          </cell>
          <cell r="F691">
            <v>479083231</v>
          </cell>
          <cell r="G691">
            <v>0</v>
          </cell>
          <cell r="H691">
            <v>479083231</v>
          </cell>
          <cell r="I691">
            <v>0</v>
          </cell>
          <cell r="J691">
            <v>0</v>
          </cell>
          <cell r="K691">
            <v>-479083231</v>
          </cell>
        </row>
        <row r="692">
          <cell r="A692">
            <v>211271</v>
          </cell>
          <cell r="B692" t="str">
            <v>SVI ANTICIPO PRIMAS Y PRI</v>
          </cell>
          <cell r="C692">
            <v>235975317</v>
          </cell>
          <cell r="D692">
            <v>299658759</v>
          </cell>
          <cell r="E692">
            <v>0</v>
          </cell>
          <cell r="F692">
            <v>63683442</v>
          </cell>
          <cell r="G692">
            <v>0</v>
          </cell>
          <cell r="H692">
            <v>63683442</v>
          </cell>
          <cell r="I692">
            <v>0</v>
          </cell>
          <cell r="J692">
            <v>0</v>
          </cell>
          <cell r="K692">
            <v>-63683442</v>
          </cell>
        </row>
        <row r="693">
          <cell r="A693">
            <v>211273</v>
          </cell>
          <cell r="B693" t="str">
            <v>ACREEDORES POR INVERSION</v>
          </cell>
          <cell r="C693">
            <v>0</v>
          </cell>
          <cell r="D693">
            <v>0</v>
          </cell>
          <cell r="E693">
            <v>0</v>
          </cell>
          <cell r="F693">
            <v>0</v>
          </cell>
          <cell r="G693">
            <v>0</v>
          </cell>
          <cell r="H693">
            <v>0</v>
          </cell>
          <cell r="I693">
            <v>0</v>
          </cell>
          <cell r="J693">
            <v>0</v>
          </cell>
          <cell r="K693">
            <v>0</v>
          </cell>
        </row>
        <row r="694">
          <cell r="A694">
            <v>211274</v>
          </cell>
          <cell r="B694" t="str">
            <v>SINIESTROS POR PAGAR VIDA</v>
          </cell>
          <cell r="C694">
            <v>0</v>
          </cell>
          <cell r="D694">
            <v>0</v>
          </cell>
          <cell r="E694">
            <v>0</v>
          </cell>
          <cell r="F694">
            <v>0</v>
          </cell>
          <cell r="G694">
            <v>0</v>
          </cell>
          <cell r="H694">
            <v>0</v>
          </cell>
          <cell r="I694">
            <v>0</v>
          </cell>
          <cell r="J694">
            <v>0</v>
          </cell>
          <cell r="K694">
            <v>0</v>
          </cell>
        </row>
        <row r="695">
          <cell r="A695">
            <v>211275</v>
          </cell>
          <cell r="B695" t="str">
            <v>PENSIONES CADUCADAS</v>
          </cell>
          <cell r="C695">
            <v>18607486</v>
          </cell>
          <cell r="D695">
            <v>264834363</v>
          </cell>
          <cell r="E695">
            <v>0</v>
          </cell>
          <cell r="F695">
            <v>246226877</v>
          </cell>
          <cell r="G695">
            <v>0</v>
          </cell>
          <cell r="H695">
            <v>246226877</v>
          </cell>
          <cell r="I695">
            <v>0</v>
          </cell>
          <cell r="J695">
            <v>0</v>
          </cell>
          <cell r="K695">
            <v>-246226877</v>
          </cell>
        </row>
        <row r="696">
          <cell r="A696">
            <v>211276</v>
          </cell>
          <cell r="B696" t="str">
            <v>RECEPCION OC INVENTARIO T</v>
          </cell>
          <cell r="C696">
            <v>2875550</v>
          </cell>
          <cell r="D696">
            <v>2875550</v>
          </cell>
          <cell r="E696">
            <v>0</v>
          </cell>
          <cell r="F696">
            <v>0</v>
          </cell>
          <cell r="G696">
            <v>0</v>
          </cell>
          <cell r="H696">
            <v>0</v>
          </cell>
          <cell r="I696">
            <v>0</v>
          </cell>
          <cell r="J696">
            <v>0</v>
          </cell>
          <cell r="K696">
            <v>0</v>
          </cell>
        </row>
        <row r="697">
          <cell r="A697">
            <v>211277</v>
          </cell>
          <cell r="B697" t="str">
            <v>VARIACION PRECIO FACTURA</v>
          </cell>
          <cell r="C697">
            <v>344163</v>
          </cell>
          <cell r="D697">
            <v>0</v>
          </cell>
          <cell r="E697">
            <v>344163</v>
          </cell>
          <cell r="F697">
            <v>0</v>
          </cell>
          <cell r="G697">
            <v>344163</v>
          </cell>
          <cell r="H697">
            <v>0</v>
          </cell>
          <cell r="I697">
            <v>0</v>
          </cell>
          <cell r="J697">
            <v>0</v>
          </cell>
          <cell r="K697">
            <v>344163</v>
          </cell>
        </row>
        <row r="698">
          <cell r="A698">
            <v>211279</v>
          </cell>
          <cell r="B698" t="str">
            <v>RECEPCION OC INVENTARIO C</v>
          </cell>
          <cell r="C698">
            <v>17843279</v>
          </cell>
          <cell r="D698">
            <v>25632085</v>
          </cell>
          <cell r="E698">
            <v>0</v>
          </cell>
          <cell r="F698">
            <v>7788806</v>
          </cell>
          <cell r="G698">
            <v>0</v>
          </cell>
          <cell r="H698">
            <v>7788806</v>
          </cell>
          <cell r="I698">
            <v>0</v>
          </cell>
          <cell r="J698">
            <v>0</v>
          </cell>
          <cell r="K698">
            <v>-7788806</v>
          </cell>
        </row>
        <row r="699">
          <cell r="A699">
            <v>211281</v>
          </cell>
          <cell r="B699" t="str">
            <v>HONORARIOS PAGADOS POR RE</v>
          </cell>
          <cell r="C699">
            <v>0</v>
          </cell>
          <cell r="D699">
            <v>0</v>
          </cell>
          <cell r="E699">
            <v>0</v>
          </cell>
          <cell r="F699">
            <v>0</v>
          </cell>
          <cell r="G699">
            <v>0</v>
          </cell>
          <cell r="H699">
            <v>0</v>
          </cell>
          <cell r="I699">
            <v>0</v>
          </cell>
          <cell r="J699">
            <v>0</v>
          </cell>
          <cell r="K699">
            <v>0</v>
          </cell>
        </row>
        <row r="700">
          <cell r="A700">
            <v>211282</v>
          </cell>
          <cell r="B700" t="str">
            <v>GASTO COMUN POR PAGAR</v>
          </cell>
          <cell r="C700">
            <v>209657865</v>
          </cell>
          <cell r="D700">
            <v>233285167</v>
          </cell>
          <cell r="E700">
            <v>0</v>
          </cell>
          <cell r="F700">
            <v>23627302</v>
          </cell>
          <cell r="G700">
            <v>0</v>
          </cell>
          <cell r="H700">
            <v>23627302</v>
          </cell>
          <cell r="I700">
            <v>0</v>
          </cell>
          <cell r="J700">
            <v>0</v>
          </cell>
          <cell r="K700">
            <v>-23627302</v>
          </cell>
        </row>
        <row r="701">
          <cell r="A701">
            <v>211283</v>
          </cell>
          <cell r="B701" t="str">
            <v>SVI PRIMAS EN TRANSITO</v>
          </cell>
          <cell r="C701">
            <v>0</v>
          </cell>
          <cell r="D701">
            <v>0</v>
          </cell>
          <cell r="E701">
            <v>0</v>
          </cell>
          <cell r="F701">
            <v>0</v>
          </cell>
          <cell r="G701">
            <v>0</v>
          </cell>
          <cell r="H701">
            <v>0</v>
          </cell>
          <cell r="I701">
            <v>0</v>
          </cell>
          <cell r="J701">
            <v>0</v>
          </cell>
          <cell r="K701">
            <v>0</v>
          </cell>
        </row>
        <row r="702">
          <cell r="A702">
            <v>211285</v>
          </cell>
          <cell r="B702" t="str">
            <v>CREDITOS DE INCENTIVOS PO</v>
          </cell>
          <cell r="C702">
            <v>0</v>
          </cell>
          <cell r="D702">
            <v>0</v>
          </cell>
          <cell r="E702">
            <v>0</v>
          </cell>
          <cell r="F702">
            <v>0</v>
          </cell>
          <cell r="G702">
            <v>0</v>
          </cell>
          <cell r="H702">
            <v>0</v>
          </cell>
          <cell r="I702">
            <v>0</v>
          </cell>
          <cell r="J702">
            <v>0</v>
          </cell>
          <cell r="K702">
            <v>0</v>
          </cell>
        </row>
        <row r="703">
          <cell r="A703">
            <v>211286</v>
          </cell>
          <cell r="B703" t="str">
            <v>PROVEEDORES SINIESTROS SA</v>
          </cell>
          <cell r="C703">
            <v>1806371192</v>
          </cell>
          <cell r="D703">
            <v>1851274193</v>
          </cell>
          <cell r="E703">
            <v>0</v>
          </cell>
          <cell r="F703">
            <v>44903001</v>
          </cell>
          <cell r="G703">
            <v>0</v>
          </cell>
          <cell r="H703">
            <v>44903001</v>
          </cell>
          <cell r="I703">
            <v>0</v>
          </cell>
          <cell r="J703">
            <v>0</v>
          </cell>
          <cell r="K703">
            <v>-44903001</v>
          </cell>
        </row>
        <row r="704">
          <cell r="A704">
            <v>211287</v>
          </cell>
          <cell r="B704" t="str">
            <v>DIVIDENDOS POR PAGAR ACCI</v>
          </cell>
          <cell r="C704">
            <v>0</v>
          </cell>
          <cell r="D704">
            <v>0</v>
          </cell>
          <cell r="E704">
            <v>0</v>
          </cell>
          <cell r="F704">
            <v>0</v>
          </cell>
          <cell r="G704">
            <v>0</v>
          </cell>
          <cell r="H704">
            <v>0</v>
          </cell>
          <cell r="I704">
            <v>0</v>
          </cell>
          <cell r="J704">
            <v>0</v>
          </cell>
          <cell r="K704">
            <v>0</v>
          </cell>
        </row>
        <row r="705">
          <cell r="A705">
            <v>211299</v>
          </cell>
          <cell r="B705" t="str">
            <v>HONORARIOS POR PAGAR COMI</v>
          </cell>
          <cell r="C705">
            <v>168075838</v>
          </cell>
          <cell r="D705">
            <v>192387641</v>
          </cell>
          <cell r="E705">
            <v>0</v>
          </cell>
          <cell r="F705">
            <v>24311803</v>
          </cell>
          <cell r="G705">
            <v>0</v>
          </cell>
          <cell r="H705">
            <v>24311803</v>
          </cell>
          <cell r="I705">
            <v>0</v>
          </cell>
          <cell r="J705">
            <v>0</v>
          </cell>
          <cell r="K705">
            <v>-24311803</v>
          </cell>
        </row>
        <row r="706">
          <cell r="A706">
            <v>211300</v>
          </cell>
          <cell r="B706" t="str">
            <v>HONORARIOS POR PAGAR COMI</v>
          </cell>
          <cell r="C706">
            <v>10696021</v>
          </cell>
          <cell r="D706">
            <v>10696021</v>
          </cell>
          <cell r="E706">
            <v>0</v>
          </cell>
          <cell r="F706">
            <v>0</v>
          </cell>
          <cell r="G706">
            <v>0</v>
          </cell>
          <cell r="H706">
            <v>0</v>
          </cell>
          <cell r="I706">
            <v>0</v>
          </cell>
          <cell r="J706">
            <v>0</v>
          </cell>
          <cell r="K706">
            <v>0</v>
          </cell>
        </row>
        <row r="707">
          <cell r="A707">
            <v>211301</v>
          </cell>
          <cell r="B707" t="str">
            <v>HONORARIOS POR PAGAR CONT</v>
          </cell>
          <cell r="C707">
            <v>0</v>
          </cell>
          <cell r="D707">
            <v>0</v>
          </cell>
          <cell r="E707">
            <v>0</v>
          </cell>
          <cell r="F707">
            <v>0</v>
          </cell>
          <cell r="G707">
            <v>0</v>
          </cell>
          <cell r="H707">
            <v>0</v>
          </cell>
          <cell r="I707">
            <v>0</v>
          </cell>
          <cell r="J707">
            <v>0</v>
          </cell>
          <cell r="K707">
            <v>0</v>
          </cell>
        </row>
        <row r="708">
          <cell r="A708">
            <v>211312</v>
          </cell>
          <cell r="B708" t="str">
            <v>PENSIONES POR PAGAR RENTA</v>
          </cell>
          <cell r="C708">
            <v>181687126</v>
          </cell>
          <cell r="D708">
            <v>225116981</v>
          </cell>
          <cell r="E708">
            <v>0</v>
          </cell>
          <cell r="F708">
            <v>43429855</v>
          </cell>
          <cell r="G708">
            <v>0</v>
          </cell>
          <cell r="H708">
            <v>43429855</v>
          </cell>
          <cell r="I708">
            <v>0</v>
          </cell>
          <cell r="J708">
            <v>0</v>
          </cell>
          <cell r="K708">
            <v>-43429855</v>
          </cell>
        </row>
        <row r="709">
          <cell r="A709">
            <v>211313</v>
          </cell>
          <cell r="B709" t="str">
            <v>APORTE PREVISIONAL SOLIDA</v>
          </cell>
          <cell r="C709">
            <v>0</v>
          </cell>
          <cell r="D709">
            <v>0</v>
          </cell>
          <cell r="E709">
            <v>0</v>
          </cell>
          <cell r="F709">
            <v>0</v>
          </cell>
          <cell r="G709">
            <v>0</v>
          </cell>
          <cell r="H709">
            <v>0</v>
          </cell>
          <cell r="I709">
            <v>0</v>
          </cell>
          <cell r="J709">
            <v>0</v>
          </cell>
          <cell r="K709">
            <v>0</v>
          </cell>
        </row>
        <row r="710">
          <cell r="A710">
            <v>211314</v>
          </cell>
          <cell r="B710" t="str">
            <v>APORTE PREVISIONAL SOLIDA</v>
          </cell>
          <cell r="C710">
            <v>0</v>
          </cell>
          <cell r="D710">
            <v>0</v>
          </cell>
          <cell r="E710">
            <v>0</v>
          </cell>
          <cell r="F710">
            <v>0</v>
          </cell>
          <cell r="G710">
            <v>0</v>
          </cell>
          <cell r="H710">
            <v>0</v>
          </cell>
          <cell r="I710">
            <v>0</v>
          </cell>
          <cell r="J710">
            <v>0</v>
          </cell>
          <cell r="K710">
            <v>0</v>
          </cell>
        </row>
        <row r="711">
          <cell r="A711">
            <v>211315</v>
          </cell>
          <cell r="B711" t="str">
            <v>CUENTA CORRIENTE CREDITOS</v>
          </cell>
          <cell r="C711">
            <v>159566</v>
          </cell>
          <cell r="D711">
            <v>7639839</v>
          </cell>
          <cell r="E711">
            <v>0</v>
          </cell>
          <cell r="F711">
            <v>7480273</v>
          </cell>
          <cell r="G711">
            <v>0</v>
          </cell>
          <cell r="H711">
            <v>7480273</v>
          </cell>
          <cell r="I711">
            <v>0</v>
          </cell>
          <cell r="J711">
            <v>0</v>
          </cell>
          <cell r="K711">
            <v>-7480273</v>
          </cell>
        </row>
        <row r="712">
          <cell r="A712">
            <v>211316</v>
          </cell>
          <cell r="B712" t="str">
            <v>COMISION CORREDORES TELEM</v>
          </cell>
          <cell r="C712">
            <v>26184286</v>
          </cell>
          <cell r="D712">
            <v>32365312</v>
          </cell>
          <cell r="E712">
            <v>0</v>
          </cell>
          <cell r="F712">
            <v>6181026</v>
          </cell>
          <cell r="G712">
            <v>0</v>
          </cell>
          <cell r="H712">
            <v>6181026</v>
          </cell>
          <cell r="I712">
            <v>0</v>
          </cell>
          <cell r="J712">
            <v>0</v>
          </cell>
          <cell r="K712">
            <v>-6181026</v>
          </cell>
        </row>
        <row r="713">
          <cell r="A713">
            <v>211317</v>
          </cell>
          <cell r="B713" t="str">
            <v>COMISION ADMINISTRACION M</v>
          </cell>
          <cell r="C713">
            <v>291186831</v>
          </cell>
          <cell r="D713">
            <v>1253379843</v>
          </cell>
          <cell r="E713">
            <v>0</v>
          </cell>
          <cell r="F713">
            <v>962193012</v>
          </cell>
          <cell r="G713">
            <v>0</v>
          </cell>
          <cell r="H713">
            <v>962193012</v>
          </cell>
          <cell r="I713">
            <v>0</v>
          </cell>
          <cell r="J713">
            <v>0</v>
          </cell>
          <cell r="K713">
            <v>-962193012</v>
          </cell>
        </row>
        <row r="714">
          <cell r="A714">
            <v>211318</v>
          </cell>
          <cell r="B714" t="str">
            <v>COMISION ADMINISTRACION D</v>
          </cell>
          <cell r="C714">
            <v>403842866</v>
          </cell>
          <cell r="D714">
            <v>1064508370</v>
          </cell>
          <cell r="E714">
            <v>0</v>
          </cell>
          <cell r="F714">
            <v>660665504</v>
          </cell>
          <cell r="G714">
            <v>0</v>
          </cell>
          <cell r="H714">
            <v>660665504</v>
          </cell>
          <cell r="I714">
            <v>0</v>
          </cell>
          <cell r="J714">
            <v>0</v>
          </cell>
          <cell r="K714">
            <v>-660665504</v>
          </cell>
        </row>
        <row r="715">
          <cell r="A715">
            <v>211319</v>
          </cell>
          <cell r="B715" t="str">
            <v>COMISION ADMINISTRACION T</v>
          </cell>
          <cell r="C715">
            <v>16768089</v>
          </cell>
          <cell r="D715">
            <v>28982764</v>
          </cell>
          <cell r="E715">
            <v>0</v>
          </cell>
          <cell r="F715">
            <v>12214675</v>
          </cell>
          <cell r="G715">
            <v>0</v>
          </cell>
          <cell r="H715">
            <v>12214675</v>
          </cell>
          <cell r="I715">
            <v>0</v>
          </cell>
          <cell r="J715">
            <v>0</v>
          </cell>
          <cell r="K715">
            <v>-12214675</v>
          </cell>
        </row>
        <row r="716">
          <cell r="A716">
            <v>211320</v>
          </cell>
          <cell r="B716" t="str">
            <v>SVI COMISIONES POR PAGAR</v>
          </cell>
          <cell r="C716">
            <v>7910369</v>
          </cell>
          <cell r="D716">
            <v>21882250</v>
          </cell>
          <cell r="E716">
            <v>0</v>
          </cell>
          <cell r="F716">
            <v>13971881</v>
          </cell>
          <cell r="G716">
            <v>0</v>
          </cell>
          <cell r="H716">
            <v>13971881</v>
          </cell>
          <cell r="I716">
            <v>0</v>
          </cell>
          <cell r="J716">
            <v>0</v>
          </cell>
          <cell r="K716">
            <v>-13971881</v>
          </cell>
        </row>
        <row r="717">
          <cell r="A717">
            <v>211321</v>
          </cell>
          <cell r="B717" t="str">
            <v>SVI PROVEEDORES</v>
          </cell>
          <cell r="C717">
            <v>4030556374</v>
          </cell>
          <cell r="D717">
            <v>4037848569</v>
          </cell>
          <cell r="E717">
            <v>0</v>
          </cell>
          <cell r="F717">
            <v>7292195</v>
          </cell>
          <cell r="G717">
            <v>0</v>
          </cell>
          <cell r="H717">
            <v>7292195</v>
          </cell>
          <cell r="I717">
            <v>0</v>
          </cell>
          <cell r="J717">
            <v>0</v>
          </cell>
          <cell r="K717">
            <v>-7292195</v>
          </cell>
        </row>
        <row r="718">
          <cell r="A718">
            <v>211322</v>
          </cell>
          <cell r="B718" t="str">
            <v>SVI COMPRA CUOTAS APV</v>
          </cell>
          <cell r="C718">
            <v>2312344694</v>
          </cell>
          <cell r="D718">
            <v>2474420032</v>
          </cell>
          <cell r="E718">
            <v>0</v>
          </cell>
          <cell r="F718">
            <v>162075338</v>
          </cell>
          <cell r="G718">
            <v>0</v>
          </cell>
          <cell r="H718">
            <v>162075338</v>
          </cell>
          <cell r="I718">
            <v>0</v>
          </cell>
          <cell r="J718">
            <v>0</v>
          </cell>
          <cell r="K718">
            <v>-162075338</v>
          </cell>
        </row>
        <row r="719">
          <cell r="A719">
            <v>211323</v>
          </cell>
          <cell r="B719" t="str">
            <v>SVI AHORRO CLIENTES APV</v>
          </cell>
          <cell r="C719">
            <v>413799020</v>
          </cell>
          <cell r="D719">
            <v>414425625</v>
          </cell>
          <cell r="E719">
            <v>0</v>
          </cell>
          <cell r="F719">
            <v>626605</v>
          </cell>
          <cell r="G719">
            <v>0</v>
          </cell>
          <cell r="H719">
            <v>626605</v>
          </cell>
          <cell r="I719">
            <v>0</v>
          </cell>
          <cell r="J719">
            <v>0</v>
          </cell>
          <cell r="K719">
            <v>-626605</v>
          </cell>
        </row>
        <row r="720">
          <cell r="A720">
            <v>211325</v>
          </cell>
          <cell r="B720" t="str">
            <v>SEGURO DESGRAVAMEN POR PA</v>
          </cell>
          <cell r="C720">
            <v>36120185</v>
          </cell>
          <cell r="D720">
            <v>36301053</v>
          </cell>
          <cell r="E720">
            <v>0</v>
          </cell>
          <cell r="F720">
            <v>180868</v>
          </cell>
          <cell r="G720">
            <v>0</v>
          </cell>
          <cell r="H720">
            <v>180868</v>
          </cell>
          <cell r="I720">
            <v>0</v>
          </cell>
          <cell r="J720">
            <v>0</v>
          </cell>
          <cell r="K720">
            <v>-180868</v>
          </cell>
        </row>
        <row r="721">
          <cell r="A721">
            <v>211326</v>
          </cell>
          <cell r="B721" t="str">
            <v>SVI VALE VISTA VENCIDO</v>
          </cell>
          <cell r="C721">
            <v>1751022</v>
          </cell>
          <cell r="D721">
            <v>2518716</v>
          </cell>
          <cell r="E721">
            <v>0</v>
          </cell>
          <cell r="F721">
            <v>767694</v>
          </cell>
          <cell r="G721">
            <v>0</v>
          </cell>
          <cell r="H721">
            <v>767694</v>
          </cell>
          <cell r="I721">
            <v>0</v>
          </cell>
          <cell r="J721">
            <v>0</v>
          </cell>
          <cell r="K721">
            <v>-767694</v>
          </cell>
        </row>
        <row r="722">
          <cell r="A722">
            <v>211327</v>
          </cell>
          <cell r="B722" t="str">
            <v>COMISIONES AGENTES LIBRES</v>
          </cell>
          <cell r="C722">
            <v>5646963</v>
          </cell>
          <cell r="D722">
            <v>5646963</v>
          </cell>
          <cell r="E722">
            <v>0</v>
          </cell>
          <cell r="F722">
            <v>0</v>
          </cell>
          <cell r="G722">
            <v>0</v>
          </cell>
          <cell r="H722">
            <v>0</v>
          </cell>
          <cell r="I722">
            <v>0</v>
          </cell>
          <cell r="J722">
            <v>0</v>
          </cell>
          <cell r="K722">
            <v>0</v>
          </cell>
        </row>
        <row r="723">
          <cell r="A723">
            <v>211350</v>
          </cell>
          <cell r="B723" t="str">
            <v>OBLIGACIONES POR LEASING</v>
          </cell>
          <cell r="C723">
            <v>0</v>
          </cell>
          <cell r="D723">
            <v>0</v>
          </cell>
          <cell r="E723">
            <v>0</v>
          </cell>
          <cell r="F723">
            <v>0</v>
          </cell>
          <cell r="G723">
            <v>0</v>
          </cell>
          <cell r="H723">
            <v>0</v>
          </cell>
          <cell r="I723">
            <v>0</v>
          </cell>
          <cell r="J723">
            <v>0</v>
          </cell>
          <cell r="K723">
            <v>0</v>
          </cell>
        </row>
        <row r="724">
          <cell r="A724">
            <v>211351</v>
          </cell>
          <cell r="B724" t="str">
            <v>PENSIONES DEVENGADAS Y NO</v>
          </cell>
          <cell r="C724">
            <v>5980097</v>
          </cell>
          <cell r="D724">
            <v>197295069</v>
          </cell>
          <cell r="E724">
            <v>0</v>
          </cell>
          <cell r="F724">
            <v>191314972</v>
          </cell>
          <cell r="G724">
            <v>0</v>
          </cell>
          <cell r="H724">
            <v>191314972</v>
          </cell>
          <cell r="I724">
            <v>0</v>
          </cell>
          <cell r="J724">
            <v>0</v>
          </cell>
          <cell r="K724">
            <v>-191314972</v>
          </cell>
        </row>
        <row r="725">
          <cell r="A725">
            <v>211352</v>
          </cell>
          <cell r="B725" t="str">
            <v>OBLIGACIONES POR INVERSIO</v>
          </cell>
          <cell r="C725">
            <v>0</v>
          </cell>
          <cell r="D725">
            <v>0</v>
          </cell>
          <cell r="E725">
            <v>0</v>
          </cell>
          <cell r="F725">
            <v>0</v>
          </cell>
          <cell r="G725">
            <v>0</v>
          </cell>
          <cell r="H725">
            <v>0</v>
          </cell>
          <cell r="I725">
            <v>0</v>
          </cell>
          <cell r="J725">
            <v>0</v>
          </cell>
          <cell r="K725">
            <v>0</v>
          </cell>
        </row>
        <row r="726">
          <cell r="A726">
            <v>211353</v>
          </cell>
          <cell r="B726" t="str">
            <v>SVI ANUALIDADES</v>
          </cell>
          <cell r="C726">
            <v>72061492</v>
          </cell>
          <cell r="D726">
            <v>205046700</v>
          </cell>
          <cell r="E726">
            <v>0</v>
          </cell>
          <cell r="F726">
            <v>132985208</v>
          </cell>
          <cell r="G726">
            <v>0</v>
          </cell>
          <cell r="H726">
            <v>132985208</v>
          </cell>
          <cell r="I726">
            <v>0</v>
          </cell>
          <cell r="J726">
            <v>0</v>
          </cell>
          <cell r="K726">
            <v>-132985208</v>
          </cell>
        </row>
        <row r="727">
          <cell r="A727">
            <v>211354</v>
          </cell>
          <cell r="B727" t="str">
            <v>PROVEEDORES LINEA DE CRED</v>
          </cell>
          <cell r="C727">
            <v>10487381</v>
          </cell>
          <cell r="D727">
            <v>16568519</v>
          </cell>
          <cell r="E727">
            <v>0</v>
          </cell>
          <cell r="F727">
            <v>6081138</v>
          </cell>
          <cell r="G727">
            <v>0</v>
          </cell>
          <cell r="H727">
            <v>6081138</v>
          </cell>
          <cell r="I727">
            <v>0</v>
          </cell>
          <cell r="J727">
            <v>0</v>
          </cell>
          <cell r="K727">
            <v>-6081138</v>
          </cell>
        </row>
        <row r="728">
          <cell r="A728">
            <v>211356</v>
          </cell>
          <cell r="B728" t="str">
            <v>OBLIGACION SUSCRIPCION FI</v>
          </cell>
          <cell r="C728">
            <v>6363230617</v>
          </cell>
          <cell r="D728">
            <v>6363230617</v>
          </cell>
          <cell r="E728">
            <v>0</v>
          </cell>
          <cell r="F728">
            <v>0</v>
          </cell>
          <cell r="G728">
            <v>0</v>
          </cell>
          <cell r="H728">
            <v>0</v>
          </cell>
          <cell r="I728">
            <v>0</v>
          </cell>
          <cell r="J728">
            <v>0</v>
          </cell>
          <cell r="K728">
            <v>0</v>
          </cell>
        </row>
        <row r="729">
          <cell r="A729">
            <v>211370</v>
          </cell>
          <cell r="B729" t="str">
            <v>DIVIDENDO GARANTIZADO</v>
          </cell>
          <cell r="C729">
            <v>863616532</v>
          </cell>
          <cell r="D729">
            <v>1698094947</v>
          </cell>
          <cell r="E729">
            <v>0</v>
          </cell>
          <cell r="F729">
            <v>834478415</v>
          </cell>
          <cell r="G729">
            <v>0</v>
          </cell>
          <cell r="H729">
            <v>834478415</v>
          </cell>
          <cell r="I729">
            <v>0</v>
          </cell>
          <cell r="J729">
            <v>0</v>
          </cell>
          <cell r="K729">
            <v>-834478415</v>
          </cell>
        </row>
        <row r="730">
          <cell r="A730">
            <v>211402</v>
          </cell>
          <cell r="B730" t="str">
            <v>PROVISION VACACIONES</v>
          </cell>
          <cell r="C730">
            <v>709753514</v>
          </cell>
          <cell r="D730">
            <v>1441603813</v>
          </cell>
          <cell r="E730">
            <v>0</v>
          </cell>
          <cell r="F730">
            <v>731850299</v>
          </cell>
          <cell r="G730">
            <v>0</v>
          </cell>
          <cell r="H730">
            <v>731850299</v>
          </cell>
          <cell r="I730">
            <v>0</v>
          </cell>
          <cell r="J730">
            <v>0</v>
          </cell>
          <cell r="K730">
            <v>-731850299</v>
          </cell>
        </row>
        <row r="731">
          <cell r="A731">
            <v>211408</v>
          </cell>
          <cell r="B731" t="str">
            <v>PROVISION DOC.INCOB.</v>
          </cell>
          <cell r="C731">
            <v>0</v>
          </cell>
          <cell r="D731">
            <v>90857399</v>
          </cell>
          <cell r="E731">
            <v>0</v>
          </cell>
          <cell r="F731">
            <v>90857399</v>
          </cell>
          <cell r="G731">
            <v>0</v>
          </cell>
          <cell r="H731">
            <v>90857399</v>
          </cell>
          <cell r="I731">
            <v>0</v>
          </cell>
          <cell r="J731">
            <v>0</v>
          </cell>
          <cell r="K731">
            <v>-90857399</v>
          </cell>
        </row>
        <row r="732">
          <cell r="A732">
            <v>211414</v>
          </cell>
          <cell r="B732" t="str">
            <v>PROVISIONES INFORMATICAS</v>
          </cell>
          <cell r="C732">
            <v>495352294</v>
          </cell>
          <cell r="D732">
            <v>495352294</v>
          </cell>
          <cell r="E732">
            <v>0</v>
          </cell>
          <cell r="F732">
            <v>0</v>
          </cell>
          <cell r="G732">
            <v>0</v>
          </cell>
          <cell r="H732">
            <v>0</v>
          </cell>
          <cell r="I732">
            <v>0</v>
          </cell>
          <cell r="J732">
            <v>0</v>
          </cell>
          <cell r="K732">
            <v>0</v>
          </cell>
        </row>
        <row r="733">
          <cell r="A733">
            <v>211415</v>
          </cell>
          <cell r="B733" t="str">
            <v>PROVISIONES ANTIC. COMISI</v>
          </cell>
          <cell r="C733">
            <v>158102</v>
          </cell>
          <cell r="D733">
            <v>47509680</v>
          </cell>
          <cell r="E733">
            <v>0</v>
          </cell>
          <cell r="F733">
            <v>47351578</v>
          </cell>
          <cell r="G733">
            <v>0</v>
          </cell>
          <cell r="H733">
            <v>47351578</v>
          </cell>
          <cell r="I733">
            <v>0</v>
          </cell>
          <cell r="J733">
            <v>0</v>
          </cell>
          <cell r="K733">
            <v>-47351578</v>
          </cell>
        </row>
        <row r="734">
          <cell r="A734">
            <v>211422</v>
          </cell>
          <cell r="B734" t="str">
            <v>PROVISIONES LEASING INCOB</v>
          </cell>
          <cell r="C734">
            <v>0</v>
          </cell>
          <cell r="D734">
            <v>134660562</v>
          </cell>
          <cell r="E734">
            <v>0</v>
          </cell>
          <cell r="F734">
            <v>134660562</v>
          </cell>
          <cell r="G734">
            <v>0</v>
          </cell>
          <cell r="H734">
            <v>134660562</v>
          </cell>
          <cell r="I734">
            <v>0</v>
          </cell>
          <cell r="J734">
            <v>0</v>
          </cell>
          <cell r="K734">
            <v>-134660562</v>
          </cell>
        </row>
        <row r="735">
          <cell r="A735">
            <v>211432</v>
          </cell>
          <cell r="B735" t="str">
            <v>PROVISION GARANTIAS INCOB</v>
          </cell>
          <cell r="C735">
            <v>5399</v>
          </cell>
          <cell r="D735">
            <v>3632268</v>
          </cell>
          <cell r="E735">
            <v>0</v>
          </cell>
          <cell r="F735">
            <v>3626869</v>
          </cell>
          <cell r="G735">
            <v>0</v>
          </cell>
          <cell r="H735">
            <v>3626869</v>
          </cell>
          <cell r="I735">
            <v>0</v>
          </cell>
          <cell r="J735">
            <v>0</v>
          </cell>
          <cell r="K735">
            <v>-3626869</v>
          </cell>
        </row>
        <row r="736">
          <cell r="A736">
            <v>211433</v>
          </cell>
          <cell r="B736" t="str">
            <v>PROVISIONES INMOBILIARIAS</v>
          </cell>
          <cell r="C736">
            <v>131923</v>
          </cell>
          <cell r="D736">
            <v>97895211</v>
          </cell>
          <cell r="E736">
            <v>0</v>
          </cell>
          <cell r="F736">
            <v>97763288</v>
          </cell>
          <cell r="G736">
            <v>0</v>
          </cell>
          <cell r="H736">
            <v>97763288</v>
          </cell>
          <cell r="I736">
            <v>0</v>
          </cell>
          <cell r="J736">
            <v>0</v>
          </cell>
          <cell r="K736">
            <v>-97763288</v>
          </cell>
        </row>
        <row r="737">
          <cell r="A737">
            <v>211434</v>
          </cell>
          <cell r="B737" t="str">
            <v>PROVISIONES VARIAS</v>
          </cell>
          <cell r="C737">
            <v>276485822</v>
          </cell>
          <cell r="D737">
            <v>1552891009</v>
          </cell>
          <cell r="E737">
            <v>0</v>
          </cell>
          <cell r="F737">
            <v>1276405187</v>
          </cell>
          <cell r="G737">
            <v>0</v>
          </cell>
          <cell r="H737">
            <v>1276405187</v>
          </cell>
          <cell r="I737">
            <v>0</v>
          </cell>
          <cell r="J737">
            <v>0</v>
          </cell>
          <cell r="K737">
            <v>-1276405187</v>
          </cell>
        </row>
        <row r="738">
          <cell r="A738">
            <v>211435</v>
          </cell>
          <cell r="B738" t="str">
            <v>PROVISION DOC. INCOB BRUS</v>
          </cell>
          <cell r="C738">
            <v>52834794</v>
          </cell>
          <cell r="D738">
            <v>107684576</v>
          </cell>
          <cell r="E738">
            <v>0</v>
          </cell>
          <cell r="F738">
            <v>54849782</v>
          </cell>
          <cell r="G738">
            <v>0</v>
          </cell>
          <cell r="H738">
            <v>54849782</v>
          </cell>
          <cell r="I738">
            <v>0</v>
          </cell>
          <cell r="J738">
            <v>0</v>
          </cell>
          <cell r="K738">
            <v>-54849782</v>
          </cell>
        </row>
        <row r="739">
          <cell r="A739">
            <v>211436</v>
          </cell>
          <cell r="B739" t="str">
            <v>PROVISIONES VARIAS BRUSA</v>
          </cell>
          <cell r="C739">
            <v>23570101</v>
          </cell>
          <cell r="D739">
            <v>43366842</v>
          </cell>
          <cell r="E739">
            <v>0</v>
          </cell>
          <cell r="F739">
            <v>19796741</v>
          </cell>
          <cell r="G739">
            <v>0</v>
          </cell>
          <cell r="H739">
            <v>19796741</v>
          </cell>
          <cell r="I739">
            <v>0</v>
          </cell>
          <cell r="J739">
            <v>0</v>
          </cell>
          <cell r="K739">
            <v>-19796741</v>
          </cell>
        </row>
        <row r="740">
          <cell r="A740">
            <v>211437</v>
          </cell>
          <cell r="B740" t="str">
            <v>PROVISION BE ADMINISTRACI</v>
          </cell>
          <cell r="C740">
            <v>0</v>
          </cell>
          <cell r="D740">
            <v>685080317</v>
          </cell>
          <cell r="E740">
            <v>0</v>
          </cell>
          <cell r="F740">
            <v>685080317</v>
          </cell>
          <cell r="G740">
            <v>0</v>
          </cell>
          <cell r="H740">
            <v>685080317</v>
          </cell>
          <cell r="I740">
            <v>0</v>
          </cell>
          <cell r="J740">
            <v>0</v>
          </cell>
          <cell r="K740">
            <v>-685080317</v>
          </cell>
        </row>
        <row r="741">
          <cell r="A741">
            <v>211501</v>
          </cell>
          <cell r="B741" t="str">
            <v>IMPUESTO DIFERIDO POR PAG</v>
          </cell>
          <cell r="C741">
            <v>0</v>
          </cell>
          <cell r="D741">
            <v>1742087093</v>
          </cell>
          <cell r="E741">
            <v>0</v>
          </cell>
          <cell r="F741">
            <v>1742087093</v>
          </cell>
          <cell r="G741">
            <v>0</v>
          </cell>
          <cell r="H741">
            <v>1742087093</v>
          </cell>
          <cell r="I741">
            <v>0</v>
          </cell>
          <cell r="J741">
            <v>0</v>
          </cell>
          <cell r="K741">
            <v>-1742087093</v>
          </cell>
        </row>
        <row r="742">
          <cell r="A742">
            <v>211701</v>
          </cell>
          <cell r="B742" t="str">
            <v>CUENTA CORRIENTE EMPRESAS</v>
          </cell>
          <cell r="C742">
            <v>0</v>
          </cell>
          <cell r="D742">
            <v>0</v>
          </cell>
          <cell r="E742">
            <v>0</v>
          </cell>
          <cell r="F742">
            <v>0</v>
          </cell>
          <cell r="G742">
            <v>0</v>
          </cell>
          <cell r="H742">
            <v>0</v>
          </cell>
          <cell r="I742">
            <v>0</v>
          </cell>
          <cell r="J742">
            <v>0</v>
          </cell>
          <cell r="K742">
            <v>0</v>
          </cell>
        </row>
        <row r="743">
          <cell r="A743">
            <v>211702</v>
          </cell>
          <cell r="B743" t="str">
            <v>CUENTA CORRIENTE BRUSA DO</v>
          </cell>
          <cell r="C743">
            <v>0</v>
          </cell>
          <cell r="D743">
            <v>0</v>
          </cell>
          <cell r="E743">
            <v>0</v>
          </cell>
          <cell r="F743">
            <v>0</v>
          </cell>
          <cell r="G743">
            <v>0</v>
          </cell>
          <cell r="H743">
            <v>0</v>
          </cell>
          <cell r="I743">
            <v>0</v>
          </cell>
          <cell r="J743">
            <v>0</v>
          </cell>
          <cell r="K743">
            <v>0</v>
          </cell>
        </row>
        <row r="744">
          <cell r="A744">
            <v>211712</v>
          </cell>
          <cell r="B744" t="str">
            <v>CTA CTE. COMU. EDIF. CIA</v>
          </cell>
          <cell r="C744">
            <v>31513080</v>
          </cell>
          <cell r="D744">
            <v>687913433</v>
          </cell>
          <cell r="E744">
            <v>0</v>
          </cell>
          <cell r="F744">
            <v>656400353</v>
          </cell>
          <cell r="G744">
            <v>0</v>
          </cell>
          <cell r="H744">
            <v>656400353</v>
          </cell>
          <cell r="I744">
            <v>0</v>
          </cell>
          <cell r="J744">
            <v>0</v>
          </cell>
          <cell r="K744">
            <v>-656400353</v>
          </cell>
        </row>
        <row r="745">
          <cell r="A745">
            <v>211801</v>
          </cell>
          <cell r="B745" t="str">
            <v>DIVIDENDOS PAGADOS POR AD</v>
          </cell>
          <cell r="C745">
            <v>0</v>
          </cell>
          <cell r="D745">
            <v>0</v>
          </cell>
          <cell r="E745">
            <v>0</v>
          </cell>
          <cell r="F745">
            <v>0</v>
          </cell>
          <cell r="G745">
            <v>0</v>
          </cell>
          <cell r="H745">
            <v>0</v>
          </cell>
          <cell r="I745">
            <v>0</v>
          </cell>
          <cell r="J745">
            <v>0</v>
          </cell>
          <cell r="K745">
            <v>0</v>
          </cell>
        </row>
        <row r="746">
          <cell r="A746">
            <v>211802</v>
          </cell>
          <cell r="B746" t="str">
            <v>OTRAS CUENTAS INMOBILIARI</v>
          </cell>
          <cell r="C746">
            <v>1150000</v>
          </cell>
          <cell r="D746">
            <v>1150000</v>
          </cell>
          <cell r="E746">
            <v>0</v>
          </cell>
          <cell r="F746">
            <v>0</v>
          </cell>
          <cell r="G746">
            <v>0</v>
          </cell>
          <cell r="H746">
            <v>0</v>
          </cell>
          <cell r="I746">
            <v>0</v>
          </cell>
          <cell r="J746">
            <v>0</v>
          </cell>
          <cell r="K746">
            <v>0</v>
          </cell>
        </row>
        <row r="747">
          <cell r="A747">
            <v>211805</v>
          </cell>
          <cell r="B747" t="str">
            <v>INGRESOS PERCIBIDOS POR A</v>
          </cell>
          <cell r="C747">
            <v>0</v>
          </cell>
          <cell r="D747">
            <v>0</v>
          </cell>
          <cell r="E747">
            <v>0</v>
          </cell>
          <cell r="F747">
            <v>0</v>
          </cell>
          <cell r="G747">
            <v>0</v>
          </cell>
          <cell r="H747">
            <v>0</v>
          </cell>
          <cell r="I747">
            <v>0</v>
          </cell>
          <cell r="J747">
            <v>0</v>
          </cell>
          <cell r="K747">
            <v>0</v>
          </cell>
        </row>
        <row r="748">
          <cell r="A748">
            <v>211806</v>
          </cell>
          <cell r="B748" t="str">
            <v>DIVIDENDOS PAGADOS POR AD</v>
          </cell>
          <cell r="C748">
            <v>0</v>
          </cell>
          <cell r="D748">
            <v>10608142</v>
          </cell>
          <cell r="E748">
            <v>0</v>
          </cell>
          <cell r="F748">
            <v>10608142</v>
          </cell>
          <cell r="G748">
            <v>0</v>
          </cell>
          <cell r="H748">
            <v>10608142</v>
          </cell>
          <cell r="I748">
            <v>0</v>
          </cell>
          <cell r="J748">
            <v>0</v>
          </cell>
          <cell r="K748">
            <v>-10608142</v>
          </cell>
        </row>
        <row r="749">
          <cell r="A749">
            <v>211807</v>
          </cell>
          <cell r="B749" t="str">
            <v>ANTICIPO POR APLICAR PROY</v>
          </cell>
          <cell r="C749">
            <v>1481739</v>
          </cell>
          <cell r="D749">
            <v>1316407257</v>
          </cell>
          <cell r="E749">
            <v>0</v>
          </cell>
          <cell r="F749">
            <v>1314925518</v>
          </cell>
          <cell r="G749">
            <v>0</v>
          </cell>
          <cell r="H749">
            <v>1314925518</v>
          </cell>
          <cell r="I749">
            <v>0</v>
          </cell>
          <cell r="J749">
            <v>0</v>
          </cell>
          <cell r="K749">
            <v>-1314925518</v>
          </cell>
        </row>
        <row r="750">
          <cell r="A750">
            <v>211810</v>
          </cell>
          <cell r="B750" t="str">
            <v>RECIBOS ANTICIPADO A CUEN</v>
          </cell>
          <cell r="C750">
            <v>0</v>
          </cell>
          <cell r="D750">
            <v>7642999</v>
          </cell>
          <cell r="E750">
            <v>0</v>
          </cell>
          <cell r="F750">
            <v>7642999</v>
          </cell>
          <cell r="G750">
            <v>0</v>
          </cell>
          <cell r="H750">
            <v>7642999</v>
          </cell>
          <cell r="I750">
            <v>0</v>
          </cell>
          <cell r="J750">
            <v>0</v>
          </cell>
          <cell r="K750">
            <v>-7642999</v>
          </cell>
        </row>
        <row r="751">
          <cell r="A751">
            <v>211811</v>
          </cell>
          <cell r="B751" t="str">
            <v>RECIBOS ANTICIPADO A CUEN</v>
          </cell>
          <cell r="C751">
            <v>256425480</v>
          </cell>
          <cell r="D751">
            <v>836582024</v>
          </cell>
          <cell r="E751">
            <v>0</v>
          </cell>
          <cell r="F751">
            <v>580156544</v>
          </cell>
          <cell r="G751">
            <v>0</v>
          </cell>
          <cell r="H751">
            <v>580156544</v>
          </cell>
          <cell r="I751">
            <v>0</v>
          </cell>
          <cell r="J751">
            <v>0</v>
          </cell>
          <cell r="K751">
            <v>-580156544</v>
          </cell>
        </row>
        <row r="752">
          <cell r="A752">
            <v>211819</v>
          </cell>
          <cell r="B752" t="str">
            <v>ANTICIPO POR APLICAR CUPO</v>
          </cell>
          <cell r="C752">
            <v>19515</v>
          </cell>
          <cell r="D752">
            <v>417071</v>
          </cell>
          <cell r="E752">
            <v>0</v>
          </cell>
          <cell r="F752">
            <v>397556</v>
          </cell>
          <cell r="G752">
            <v>0</v>
          </cell>
          <cell r="H752">
            <v>397556</v>
          </cell>
          <cell r="I752">
            <v>0</v>
          </cell>
          <cell r="J752">
            <v>0</v>
          </cell>
          <cell r="K752">
            <v>-397556</v>
          </cell>
        </row>
        <row r="753">
          <cell r="A753">
            <v>211898</v>
          </cell>
          <cell r="B753" t="str">
            <v>CONTROL DE DOCUMENTOS POR</v>
          </cell>
          <cell r="C753">
            <v>1754737</v>
          </cell>
          <cell r="D753">
            <v>1754737</v>
          </cell>
          <cell r="E753">
            <v>0</v>
          </cell>
          <cell r="F753">
            <v>0</v>
          </cell>
          <cell r="G753">
            <v>0</v>
          </cell>
          <cell r="H753">
            <v>0</v>
          </cell>
          <cell r="I753">
            <v>0</v>
          </cell>
          <cell r="J753">
            <v>0</v>
          </cell>
          <cell r="K753">
            <v>0</v>
          </cell>
        </row>
        <row r="754">
          <cell r="A754">
            <v>211899</v>
          </cell>
          <cell r="B754" t="str">
            <v>CONTROL DE DOCUMENTOS POR</v>
          </cell>
          <cell r="C754">
            <v>182336347</v>
          </cell>
          <cell r="D754">
            <v>182336347</v>
          </cell>
          <cell r="E754">
            <v>0</v>
          </cell>
          <cell r="F754">
            <v>0</v>
          </cell>
          <cell r="G754">
            <v>0</v>
          </cell>
          <cell r="H754">
            <v>0</v>
          </cell>
          <cell r="I754">
            <v>0</v>
          </cell>
          <cell r="J754">
            <v>0</v>
          </cell>
          <cell r="K754">
            <v>0</v>
          </cell>
        </row>
        <row r="755">
          <cell r="A755">
            <v>211901</v>
          </cell>
          <cell r="B755" t="str">
            <v>CHEQUES CADUCADOS</v>
          </cell>
          <cell r="C755">
            <v>232457</v>
          </cell>
          <cell r="D755">
            <v>356251436</v>
          </cell>
          <cell r="E755">
            <v>0</v>
          </cell>
          <cell r="F755">
            <v>356018979</v>
          </cell>
          <cell r="G755">
            <v>0</v>
          </cell>
          <cell r="H755">
            <v>356018979</v>
          </cell>
          <cell r="I755">
            <v>0</v>
          </cell>
          <cell r="J755">
            <v>0</v>
          </cell>
          <cell r="K755">
            <v>-356018979</v>
          </cell>
        </row>
        <row r="756">
          <cell r="A756">
            <v>212001</v>
          </cell>
          <cell r="B756" t="str">
            <v>R.T.L/P VEJEZ</v>
          </cell>
          <cell r="C756">
            <v>8282801130</v>
          </cell>
          <cell r="D756">
            <v>1187019450160</v>
          </cell>
          <cell r="E756">
            <v>0</v>
          </cell>
          <cell r="F756">
            <v>1178736649030</v>
          </cell>
          <cell r="G756">
            <v>0</v>
          </cell>
          <cell r="H756">
            <v>1178736649030</v>
          </cell>
          <cell r="I756">
            <v>0</v>
          </cell>
          <cell r="J756">
            <v>0</v>
          </cell>
          <cell r="K756">
            <v>-1178736649030</v>
          </cell>
        </row>
        <row r="757">
          <cell r="A757">
            <v>212002</v>
          </cell>
          <cell r="B757" t="str">
            <v>R.T.L/P INVALIDEZ</v>
          </cell>
          <cell r="C757">
            <v>1354494425</v>
          </cell>
          <cell r="D757">
            <v>267185336588</v>
          </cell>
          <cell r="E757">
            <v>0</v>
          </cell>
          <cell r="F757">
            <v>265830842163</v>
          </cell>
          <cell r="G757">
            <v>0</v>
          </cell>
          <cell r="H757">
            <v>265830842163</v>
          </cell>
          <cell r="I757">
            <v>0</v>
          </cell>
          <cell r="J757">
            <v>0</v>
          </cell>
          <cell r="K757">
            <v>-265830842163</v>
          </cell>
        </row>
        <row r="758">
          <cell r="A758">
            <v>212003</v>
          </cell>
          <cell r="B758" t="str">
            <v>R.T.L/P SOBREVIVENCIA</v>
          </cell>
          <cell r="C758">
            <v>871322686</v>
          </cell>
          <cell r="D758">
            <v>159172214390</v>
          </cell>
          <cell r="E758">
            <v>0</v>
          </cell>
          <cell r="F758">
            <v>158300891704</v>
          </cell>
          <cell r="G758">
            <v>0</v>
          </cell>
          <cell r="H758">
            <v>158300891704</v>
          </cell>
          <cell r="I758">
            <v>0</v>
          </cell>
          <cell r="J758">
            <v>0</v>
          </cell>
          <cell r="K758">
            <v>-158300891704</v>
          </cell>
        </row>
        <row r="759">
          <cell r="A759">
            <v>212004</v>
          </cell>
          <cell r="B759" t="str">
            <v>R.T.L/P PRIVADA</v>
          </cell>
          <cell r="C759">
            <v>49592578</v>
          </cell>
          <cell r="D759">
            <v>19334293951</v>
          </cell>
          <cell r="E759">
            <v>0</v>
          </cell>
          <cell r="F759">
            <v>19284701373</v>
          </cell>
          <cell r="G759">
            <v>0</v>
          </cell>
          <cell r="H759">
            <v>19284701373</v>
          </cell>
          <cell r="I759">
            <v>0</v>
          </cell>
          <cell r="J759">
            <v>0</v>
          </cell>
          <cell r="K759">
            <v>-19284701373</v>
          </cell>
        </row>
        <row r="760">
          <cell r="A760">
            <v>212005</v>
          </cell>
          <cell r="B760" t="str">
            <v>R.T.L/P VEJEZ ANTICIPADA</v>
          </cell>
          <cell r="C760">
            <v>0</v>
          </cell>
          <cell r="D760">
            <v>0</v>
          </cell>
          <cell r="E760">
            <v>0</v>
          </cell>
          <cell r="F760">
            <v>0</v>
          </cell>
          <cell r="G760">
            <v>0</v>
          </cell>
          <cell r="H760">
            <v>0</v>
          </cell>
          <cell r="I760">
            <v>0</v>
          </cell>
          <cell r="J760">
            <v>0</v>
          </cell>
          <cell r="K760">
            <v>0</v>
          </cell>
        </row>
        <row r="761">
          <cell r="A761">
            <v>212006</v>
          </cell>
          <cell r="B761" t="str">
            <v>R.T.L/P INVALIDEZ Y SOBRE</v>
          </cell>
          <cell r="C761">
            <v>116275662</v>
          </cell>
          <cell r="D761">
            <v>17100849521</v>
          </cell>
          <cell r="E761">
            <v>0</v>
          </cell>
          <cell r="F761">
            <v>16984573859</v>
          </cell>
          <cell r="G761">
            <v>0</v>
          </cell>
          <cell r="H761">
            <v>16984573859</v>
          </cell>
          <cell r="I761">
            <v>0</v>
          </cell>
          <cell r="J761">
            <v>0</v>
          </cell>
          <cell r="K761">
            <v>-16984573859</v>
          </cell>
        </row>
        <row r="762">
          <cell r="A762">
            <v>212101</v>
          </cell>
          <cell r="B762" t="str">
            <v>FLUCTUACION VEJEZ</v>
          </cell>
          <cell r="C762">
            <v>0</v>
          </cell>
          <cell r="D762">
            <v>0</v>
          </cell>
          <cell r="E762">
            <v>0</v>
          </cell>
          <cell r="F762">
            <v>0</v>
          </cell>
          <cell r="G762">
            <v>0</v>
          </cell>
          <cell r="H762">
            <v>0</v>
          </cell>
          <cell r="I762">
            <v>0</v>
          </cell>
          <cell r="J762">
            <v>0</v>
          </cell>
          <cell r="K762">
            <v>0</v>
          </cell>
        </row>
        <row r="763">
          <cell r="A763">
            <v>212104</v>
          </cell>
          <cell r="B763" t="str">
            <v>FLUCTUACION R.PRIVADA</v>
          </cell>
          <cell r="C763">
            <v>210518169</v>
          </cell>
          <cell r="D763">
            <v>420477488</v>
          </cell>
          <cell r="E763">
            <v>0</v>
          </cell>
          <cell r="F763">
            <v>209959319</v>
          </cell>
          <cell r="G763">
            <v>0</v>
          </cell>
          <cell r="H763">
            <v>209959319</v>
          </cell>
          <cell r="I763">
            <v>0</v>
          </cell>
          <cell r="J763">
            <v>0</v>
          </cell>
          <cell r="K763">
            <v>-209959319</v>
          </cell>
        </row>
        <row r="764">
          <cell r="A764">
            <v>212105</v>
          </cell>
          <cell r="B764" t="str">
            <v>FLUCTUACION VEJEZ ANTICIP</v>
          </cell>
          <cell r="C764">
            <v>3100423482</v>
          </cell>
          <cell r="D764">
            <v>1712277724</v>
          </cell>
          <cell r="E764">
            <v>1388145758</v>
          </cell>
          <cell r="F764">
            <v>0</v>
          </cell>
          <cell r="G764">
            <v>1388145758</v>
          </cell>
          <cell r="H764">
            <v>0</v>
          </cell>
          <cell r="I764">
            <v>0</v>
          </cell>
          <cell r="J764">
            <v>0</v>
          </cell>
          <cell r="K764">
            <v>1388145758</v>
          </cell>
        </row>
        <row r="765">
          <cell r="A765">
            <v>212201</v>
          </cell>
          <cell r="B765" t="str">
            <v>RES.MATEMATICA L/P DESGRA</v>
          </cell>
          <cell r="C765">
            <v>0</v>
          </cell>
          <cell r="D765">
            <v>0</v>
          </cell>
          <cell r="E765">
            <v>0</v>
          </cell>
          <cell r="F765">
            <v>0</v>
          </cell>
          <cell r="G765">
            <v>0</v>
          </cell>
          <cell r="H765">
            <v>0</v>
          </cell>
          <cell r="I765">
            <v>0</v>
          </cell>
          <cell r="J765">
            <v>0</v>
          </cell>
          <cell r="K765">
            <v>0</v>
          </cell>
        </row>
        <row r="766">
          <cell r="A766">
            <v>212202</v>
          </cell>
          <cell r="B766" t="str">
            <v>RES. L/P MATEMATICA VIDA</v>
          </cell>
          <cell r="C766">
            <v>8660486</v>
          </cell>
          <cell r="D766">
            <v>4071129393</v>
          </cell>
          <cell r="E766">
            <v>0</v>
          </cell>
          <cell r="F766">
            <v>4062468907</v>
          </cell>
          <cell r="G766">
            <v>0</v>
          </cell>
          <cell r="H766">
            <v>4062468907</v>
          </cell>
          <cell r="I766">
            <v>0</v>
          </cell>
          <cell r="J766">
            <v>0</v>
          </cell>
          <cell r="K766">
            <v>-4062468907</v>
          </cell>
        </row>
        <row r="767">
          <cell r="A767">
            <v>212203</v>
          </cell>
          <cell r="B767" t="str">
            <v>RES.MATEMATICA L/P TEMPOR</v>
          </cell>
          <cell r="C767">
            <v>1365953</v>
          </cell>
          <cell r="D767">
            <v>650324433</v>
          </cell>
          <cell r="E767">
            <v>0</v>
          </cell>
          <cell r="F767">
            <v>648958480</v>
          </cell>
          <cell r="G767">
            <v>0</v>
          </cell>
          <cell r="H767">
            <v>648958480</v>
          </cell>
          <cell r="I767">
            <v>0</v>
          </cell>
          <cell r="J767">
            <v>0</v>
          </cell>
          <cell r="K767">
            <v>-648958480</v>
          </cell>
        </row>
        <row r="768">
          <cell r="A768">
            <v>212204</v>
          </cell>
          <cell r="B768" t="str">
            <v>RES.MATEMATICA L/P TEMPOR</v>
          </cell>
          <cell r="C768">
            <v>3656520</v>
          </cell>
          <cell r="D768">
            <v>1886751465</v>
          </cell>
          <cell r="E768">
            <v>0</v>
          </cell>
          <cell r="F768">
            <v>1883094945</v>
          </cell>
          <cell r="G768">
            <v>0</v>
          </cell>
          <cell r="H768">
            <v>1883094945</v>
          </cell>
          <cell r="I768">
            <v>0</v>
          </cell>
          <cell r="J768">
            <v>0</v>
          </cell>
          <cell r="K768">
            <v>-1883094945</v>
          </cell>
        </row>
        <row r="769">
          <cell r="A769">
            <v>212205</v>
          </cell>
          <cell r="B769" t="str">
            <v>RES.MATEMATICA L/PDESGRAV</v>
          </cell>
          <cell r="C769">
            <v>1689426</v>
          </cell>
          <cell r="D769">
            <v>25130319</v>
          </cell>
          <cell r="E769">
            <v>0</v>
          </cell>
          <cell r="F769">
            <v>23440893</v>
          </cell>
          <cell r="G769">
            <v>0</v>
          </cell>
          <cell r="H769">
            <v>23440893</v>
          </cell>
          <cell r="I769">
            <v>0</v>
          </cell>
          <cell r="J769">
            <v>0</v>
          </cell>
          <cell r="K769">
            <v>-23440893</v>
          </cell>
        </row>
        <row r="770">
          <cell r="A770">
            <v>212206</v>
          </cell>
          <cell r="B770" t="str">
            <v>RES.MATEMATICA  L/P ACCID</v>
          </cell>
          <cell r="C770">
            <v>0</v>
          </cell>
          <cell r="D770">
            <v>3</v>
          </cell>
          <cell r="E770">
            <v>0</v>
          </cell>
          <cell r="F770">
            <v>3</v>
          </cell>
          <cell r="G770">
            <v>0</v>
          </cell>
          <cell r="H770">
            <v>3</v>
          </cell>
          <cell r="I770">
            <v>0</v>
          </cell>
          <cell r="J770">
            <v>0</v>
          </cell>
          <cell r="K770">
            <v>-3</v>
          </cell>
        </row>
        <row r="771">
          <cell r="A771">
            <v>212211</v>
          </cell>
          <cell r="B771" t="str">
            <v>RES.MATEMATICA L/P DOTAL</v>
          </cell>
          <cell r="C771">
            <v>17469047</v>
          </cell>
          <cell r="D771">
            <v>8208747348</v>
          </cell>
          <cell r="E771">
            <v>0</v>
          </cell>
          <cell r="F771">
            <v>8191278301</v>
          </cell>
          <cell r="G771">
            <v>0</v>
          </cell>
          <cell r="H771">
            <v>8191278301</v>
          </cell>
          <cell r="I771">
            <v>0</v>
          </cell>
          <cell r="J771">
            <v>0</v>
          </cell>
          <cell r="K771">
            <v>-8191278301</v>
          </cell>
        </row>
        <row r="772">
          <cell r="A772">
            <v>212215</v>
          </cell>
          <cell r="B772" t="str">
            <v>RES.MATEMATICA L/P DOTAL</v>
          </cell>
          <cell r="C772">
            <v>54834954</v>
          </cell>
          <cell r="D772">
            <v>4359188510</v>
          </cell>
          <cell r="E772">
            <v>0</v>
          </cell>
          <cell r="F772">
            <v>4304353556</v>
          </cell>
          <cell r="G772">
            <v>0</v>
          </cell>
          <cell r="H772">
            <v>4304353556</v>
          </cell>
          <cell r="I772">
            <v>0</v>
          </cell>
          <cell r="J772">
            <v>0</v>
          </cell>
          <cell r="K772">
            <v>-4304353556</v>
          </cell>
        </row>
        <row r="773">
          <cell r="A773">
            <v>212217</v>
          </cell>
          <cell r="B773" t="str">
            <v>RES. MATEMATICA DESGRAVAM</v>
          </cell>
          <cell r="C773">
            <v>85767158</v>
          </cell>
          <cell r="D773">
            <v>3200901870</v>
          </cell>
          <cell r="E773">
            <v>0</v>
          </cell>
          <cell r="F773">
            <v>3115134712</v>
          </cell>
          <cell r="G773">
            <v>0</v>
          </cell>
          <cell r="H773">
            <v>3115134712</v>
          </cell>
          <cell r="I773">
            <v>0</v>
          </cell>
          <cell r="J773">
            <v>0</v>
          </cell>
          <cell r="K773">
            <v>-3115134712</v>
          </cell>
        </row>
        <row r="774">
          <cell r="A774">
            <v>212301</v>
          </cell>
          <cell r="B774" t="str">
            <v>IMPUESTO DIFERIDO ADOPCIO</v>
          </cell>
          <cell r="C774">
            <v>0</v>
          </cell>
          <cell r="D774">
            <v>1266186476</v>
          </cell>
          <cell r="E774">
            <v>0</v>
          </cell>
          <cell r="F774">
            <v>1266186476</v>
          </cell>
          <cell r="G774">
            <v>0</v>
          </cell>
          <cell r="H774">
            <v>1266186476</v>
          </cell>
          <cell r="I774">
            <v>0</v>
          </cell>
          <cell r="J774">
            <v>0</v>
          </cell>
          <cell r="K774">
            <v>-1266186476</v>
          </cell>
        </row>
        <row r="775">
          <cell r="A775">
            <v>215011</v>
          </cell>
          <cell r="B775" t="str">
            <v>RESPONSABILIDAD NEGOCIO R</v>
          </cell>
          <cell r="C775">
            <v>368954953</v>
          </cell>
          <cell r="D775">
            <v>504536133</v>
          </cell>
          <cell r="E775">
            <v>0</v>
          </cell>
          <cell r="F775">
            <v>135581180</v>
          </cell>
          <cell r="G775">
            <v>0</v>
          </cell>
          <cell r="H775">
            <v>135581180</v>
          </cell>
          <cell r="I775">
            <v>0</v>
          </cell>
          <cell r="J775">
            <v>0</v>
          </cell>
          <cell r="K775">
            <v>-135581180</v>
          </cell>
        </row>
        <row r="776">
          <cell r="A776">
            <v>215012</v>
          </cell>
          <cell r="B776" t="str">
            <v>RESPONSABILIDAD NEGOCIO R</v>
          </cell>
          <cell r="C776">
            <v>9824696080</v>
          </cell>
          <cell r="D776">
            <v>19480192247</v>
          </cell>
          <cell r="E776">
            <v>0</v>
          </cell>
          <cell r="F776">
            <v>9655496167</v>
          </cell>
          <cell r="G776">
            <v>0</v>
          </cell>
          <cell r="H776">
            <v>9655496167</v>
          </cell>
          <cell r="I776">
            <v>0</v>
          </cell>
          <cell r="J776">
            <v>0</v>
          </cell>
          <cell r="K776">
            <v>-9655496167</v>
          </cell>
        </row>
        <row r="777">
          <cell r="A777">
            <v>220001</v>
          </cell>
          <cell r="B777" t="str">
            <v xml:space="preserve">RESERVA DE COMPROMISO </v>
          </cell>
          <cell r="C777">
            <v>1163205</v>
          </cell>
          <cell r="D777">
            <v>1163205</v>
          </cell>
          <cell r="E777">
            <v>0</v>
          </cell>
          <cell r="F777">
            <v>0</v>
          </cell>
          <cell r="G777">
            <v>0</v>
          </cell>
          <cell r="H777">
            <v>0</v>
          </cell>
          <cell r="I777">
            <v>0</v>
          </cell>
          <cell r="J777">
            <v>0</v>
          </cell>
          <cell r="K777">
            <v>0</v>
          </cell>
        </row>
        <row r="778">
          <cell r="A778">
            <v>310001</v>
          </cell>
          <cell r="B778" t="str">
            <v>CAPITAL SUSCRITO Y PAGADO</v>
          </cell>
          <cell r="C778">
            <v>0</v>
          </cell>
          <cell r="D778">
            <v>153150666685</v>
          </cell>
          <cell r="E778">
            <v>0</v>
          </cell>
          <cell r="F778">
            <v>153150666685</v>
          </cell>
          <cell r="G778">
            <v>0</v>
          </cell>
          <cell r="H778">
            <v>153150666685</v>
          </cell>
          <cell r="I778">
            <v>0</v>
          </cell>
          <cell r="J778">
            <v>0</v>
          </cell>
          <cell r="K778">
            <v>-153150666685</v>
          </cell>
        </row>
        <row r="779">
          <cell r="A779">
            <v>310002</v>
          </cell>
          <cell r="B779" t="str">
            <v>MAYOR MENORVALOR VENTA AC</v>
          </cell>
          <cell r="C779">
            <v>0</v>
          </cell>
          <cell r="D779">
            <v>3193809937</v>
          </cell>
          <cell r="E779">
            <v>0</v>
          </cell>
          <cell r="F779">
            <v>3193809937</v>
          </cell>
          <cell r="G779">
            <v>0</v>
          </cell>
          <cell r="H779">
            <v>3193809937</v>
          </cell>
          <cell r="I779">
            <v>0</v>
          </cell>
          <cell r="J779">
            <v>0</v>
          </cell>
          <cell r="K779">
            <v>-3193809937</v>
          </cell>
        </row>
        <row r="780">
          <cell r="A780">
            <v>310101</v>
          </cell>
          <cell r="B780" t="str">
            <v>REVALORIZACION CAPITAL</v>
          </cell>
          <cell r="C780">
            <v>0</v>
          </cell>
          <cell r="D780">
            <v>6199627045</v>
          </cell>
          <cell r="E780">
            <v>0</v>
          </cell>
          <cell r="F780">
            <v>6199627045</v>
          </cell>
          <cell r="G780">
            <v>0</v>
          </cell>
          <cell r="H780">
            <v>6199627045</v>
          </cell>
          <cell r="I780">
            <v>0</v>
          </cell>
          <cell r="J780">
            <v>0</v>
          </cell>
          <cell r="K780">
            <v>-6199627045</v>
          </cell>
        </row>
        <row r="781">
          <cell r="A781">
            <v>310102</v>
          </cell>
          <cell r="B781" t="str">
            <v>REVALORIZACION VENTAS ACC</v>
          </cell>
          <cell r="C781">
            <v>0</v>
          </cell>
          <cell r="D781">
            <v>129287265</v>
          </cell>
          <cell r="E781">
            <v>0</v>
          </cell>
          <cell r="F781">
            <v>129287265</v>
          </cell>
          <cell r="G781">
            <v>0</v>
          </cell>
          <cell r="H781">
            <v>129287265</v>
          </cell>
          <cell r="I781">
            <v>0</v>
          </cell>
          <cell r="J781">
            <v>0</v>
          </cell>
          <cell r="K781">
            <v>-129287265</v>
          </cell>
        </row>
        <row r="782">
          <cell r="A782">
            <v>310103</v>
          </cell>
          <cell r="B782" t="str">
            <v>REVALORIZACION RESULTADOS</v>
          </cell>
          <cell r="C782">
            <v>0</v>
          </cell>
          <cell r="D782">
            <v>4848086388</v>
          </cell>
          <cell r="E782">
            <v>0</v>
          </cell>
          <cell r="F782">
            <v>4848086388</v>
          </cell>
          <cell r="G782">
            <v>0</v>
          </cell>
          <cell r="H782">
            <v>4848086388</v>
          </cell>
          <cell r="I782">
            <v>0</v>
          </cell>
          <cell r="J782">
            <v>0</v>
          </cell>
          <cell r="K782">
            <v>-4848086388</v>
          </cell>
        </row>
        <row r="783">
          <cell r="A783">
            <v>310104</v>
          </cell>
          <cell r="B783" t="str">
            <v>DIVIDENDOS PROVISORIOS (J</v>
          </cell>
          <cell r="C783">
            <v>20321870989</v>
          </cell>
          <cell r="D783">
            <v>0</v>
          </cell>
          <cell r="E783">
            <v>20321870989</v>
          </cell>
          <cell r="F783">
            <v>0</v>
          </cell>
          <cell r="G783">
            <v>20321870989</v>
          </cell>
          <cell r="H783">
            <v>0</v>
          </cell>
          <cell r="I783">
            <v>0</v>
          </cell>
          <cell r="J783">
            <v>0</v>
          </cell>
          <cell r="K783">
            <v>20321870989</v>
          </cell>
        </row>
        <row r="784">
          <cell r="A784">
            <v>310106</v>
          </cell>
          <cell r="B784" t="str">
            <v>DIVIDENDOS ABRIL 2008</v>
          </cell>
          <cell r="C784">
            <v>15133361865</v>
          </cell>
          <cell r="D784">
            <v>0</v>
          </cell>
          <cell r="E784">
            <v>15133361865</v>
          </cell>
          <cell r="F784">
            <v>0</v>
          </cell>
          <cell r="G784">
            <v>15133361865</v>
          </cell>
          <cell r="H784">
            <v>0</v>
          </cell>
          <cell r="I784">
            <v>0</v>
          </cell>
          <cell r="J784">
            <v>0</v>
          </cell>
          <cell r="K784">
            <v>15133361865</v>
          </cell>
        </row>
        <row r="785">
          <cell r="A785">
            <v>310107</v>
          </cell>
          <cell r="B785" t="str">
            <v>DIVIDENDOS MAYO 2010</v>
          </cell>
          <cell r="C785">
            <v>8436682668</v>
          </cell>
          <cell r="D785">
            <v>0</v>
          </cell>
          <cell r="E785">
            <v>8436682668</v>
          </cell>
          <cell r="F785">
            <v>0</v>
          </cell>
          <cell r="G785">
            <v>8436682668</v>
          </cell>
          <cell r="H785">
            <v>0</v>
          </cell>
          <cell r="I785">
            <v>0</v>
          </cell>
          <cell r="J785">
            <v>0</v>
          </cell>
          <cell r="K785">
            <v>8436682668</v>
          </cell>
        </row>
        <row r="786">
          <cell r="A786">
            <v>310108</v>
          </cell>
          <cell r="B786" t="str">
            <v>DIVIDENDOS ABRIL 2011</v>
          </cell>
          <cell r="C786">
            <v>11336644059</v>
          </cell>
          <cell r="D786">
            <v>0</v>
          </cell>
          <cell r="E786">
            <v>11336644059</v>
          </cell>
          <cell r="F786">
            <v>0</v>
          </cell>
          <cell r="G786">
            <v>11336644059</v>
          </cell>
          <cell r="H786">
            <v>0</v>
          </cell>
          <cell r="I786">
            <v>0</v>
          </cell>
          <cell r="J786">
            <v>0</v>
          </cell>
          <cell r="K786">
            <v>11336644059</v>
          </cell>
        </row>
        <row r="787">
          <cell r="A787">
            <v>310109</v>
          </cell>
          <cell r="B787" t="str">
            <v>DIVIDENDOS MAYO 2012</v>
          </cell>
          <cell r="C787">
            <v>25754006430</v>
          </cell>
          <cell r="D787">
            <v>0</v>
          </cell>
          <cell r="E787">
            <v>25754006430</v>
          </cell>
          <cell r="F787">
            <v>0</v>
          </cell>
          <cell r="G787">
            <v>25754006430</v>
          </cell>
          <cell r="H787">
            <v>0</v>
          </cell>
          <cell r="I787">
            <v>0</v>
          </cell>
          <cell r="J787">
            <v>0</v>
          </cell>
          <cell r="K787">
            <v>25754006430</v>
          </cell>
        </row>
        <row r="788">
          <cell r="A788">
            <v>310201</v>
          </cell>
          <cell r="B788" t="str">
            <v>UTILIDAD PERDIDA EJERCICI</v>
          </cell>
          <cell r="C788">
            <v>0</v>
          </cell>
          <cell r="D788">
            <v>107978356099</v>
          </cell>
          <cell r="E788">
            <v>0</v>
          </cell>
          <cell r="F788">
            <v>107978356099</v>
          </cell>
          <cell r="G788">
            <v>0</v>
          </cell>
          <cell r="H788">
            <v>107978356099</v>
          </cell>
          <cell r="I788">
            <v>0</v>
          </cell>
          <cell r="J788">
            <v>0</v>
          </cell>
          <cell r="K788">
            <v>-107978356099</v>
          </cell>
        </row>
        <row r="789">
          <cell r="A789">
            <v>310401</v>
          </cell>
          <cell r="B789" t="str">
            <v>RESERVA PARA DESCALCE</v>
          </cell>
          <cell r="C789">
            <v>1501759555</v>
          </cell>
          <cell r="D789">
            <v>2679945994</v>
          </cell>
          <cell r="E789">
            <v>0</v>
          </cell>
          <cell r="F789">
            <v>1178186439</v>
          </cell>
          <cell r="G789">
            <v>0</v>
          </cell>
          <cell r="H789">
            <v>1178186439</v>
          </cell>
          <cell r="I789">
            <v>0</v>
          </cell>
          <cell r="J789">
            <v>0</v>
          </cell>
          <cell r="K789">
            <v>-1178186439</v>
          </cell>
        </row>
        <row r="790">
          <cell r="A790">
            <v>310402</v>
          </cell>
          <cell r="B790" t="str">
            <v>RESERVA PARA DESCALCE CUI</v>
          </cell>
          <cell r="C790">
            <v>592724994</v>
          </cell>
          <cell r="D790">
            <v>274175269</v>
          </cell>
          <cell r="E790">
            <v>318549725</v>
          </cell>
          <cell r="F790">
            <v>0</v>
          </cell>
          <cell r="G790">
            <v>318549725</v>
          </cell>
          <cell r="H790">
            <v>0</v>
          </cell>
          <cell r="I790">
            <v>0</v>
          </cell>
          <cell r="J790">
            <v>0</v>
          </cell>
          <cell r="K790">
            <v>318549725</v>
          </cell>
        </row>
        <row r="791">
          <cell r="A791">
            <v>310403</v>
          </cell>
          <cell r="B791" t="str">
            <v>RESERVA PARA DESCALCE APV</v>
          </cell>
          <cell r="C791">
            <v>0</v>
          </cell>
          <cell r="D791">
            <v>0</v>
          </cell>
          <cell r="E791">
            <v>0</v>
          </cell>
          <cell r="F791">
            <v>0</v>
          </cell>
          <cell r="G791">
            <v>0</v>
          </cell>
          <cell r="H791">
            <v>0</v>
          </cell>
          <cell r="I791">
            <v>0</v>
          </cell>
          <cell r="J791">
            <v>0</v>
          </cell>
          <cell r="K791">
            <v>0</v>
          </cell>
        </row>
        <row r="792">
          <cell r="A792">
            <v>310501</v>
          </cell>
          <cell r="B792" t="str">
            <v>IMPTO DIFERIDO GOODWILL T</v>
          </cell>
          <cell r="C792">
            <v>25896007</v>
          </cell>
          <cell r="D792">
            <v>2203917689</v>
          </cell>
          <cell r="E792">
            <v>0</v>
          </cell>
          <cell r="F792">
            <v>2178021682</v>
          </cell>
          <cell r="G792">
            <v>0</v>
          </cell>
          <cell r="H792">
            <v>2178021682</v>
          </cell>
          <cell r="I792">
            <v>0</v>
          </cell>
          <cell r="J792">
            <v>0</v>
          </cell>
          <cell r="K792">
            <v>-2178021682</v>
          </cell>
        </row>
        <row r="793">
          <cell r="A793">
            <v>310602</v>
          </cell>
          <cell r="B793" t="str">
            <v>AJUSTE ADOPCION IFRS 1</v>
          </cell>
          <cell r="C793">
            <v>0</v>
          </cell>
          <cell r="D793">
            <v>6876212146</v>
          </cell>
          <cell r="E793">
            <v>0</v>
          </cell>
          <cell r="F793">
            <v>6876212146</v>
          </cell>
          <cell r="G793">
            <v>0</v>
          </cell>
          <cell r="H793">
            <v>6876212146</v>
          </cell>
          <cell r="I793">
            <v>0</v>
          </cell>
          <cell r="J793">
            <v>0</v>
          </cell>
          <cell r="K793">
            <v>-6876212146</v>
          </cell>
        </row>
        <row r="794">
          <cell r="A794">
            <v>310603</v>
          </cell>
          <cell r="B794" t="str">
            <v>IMPUESTO DIFERIDO ADOPCIO</v>
          </cell>
          <cell r="C794">
            <v>1266186476</v>
          </cell>
          <cell r="D794">
            <v>0</v>
          </cell>
          <cell r="E794">
            <v>1266186476</v>
          </cell>
          <cell r="F794">
            <v>0</v>
          </cell>
          <cell r="G794">
            <v>1266186476</v>
          </cell>
          <cell r="H794">
            <v>0</v>
          </cell>
          <cell r="I794">
            <v>0</v>
          </cell>
          <cell r="J794">
            <v>0</v>
          </cell>
          <cell r="K794">
            <v>1266186476</v>
          </cell>
        </row>
        <row r="795">
          <cell r="A795">
            <v>410101</v>
          </cell>
          <cell r="B795" t="str">
            <v>PRIMA DIRECTA 1ER AÑO</v>
          </cell>
          <cell r="C795">
            <v>412413738</v>
          </cell>
          <cell r="D795">
            <v>9248136842</v>
          </cell>
          <cell r="E795">
            <v>0</v>
          </cell>
          <cell r="F795">
            <v>8835723104</v>
          </cell>
          <cell r="G795">
            <v>0</v>
          </cell>
          <cell r="H795">
            <v>0</v>
          </cell>
          <cell r="I795">
            <v>0</v>
          </cell>
          <cell r="J795">
            <v>8835723104</v>
          </cell>
          <cell r="K795">
            <v>-8835723104</v>
          </cell>
        </row>
        <row r="796">
          <cell r="A796">
            <v>410102</v>
          </cell>
          <cell r="B796" t="str">
            <v>PRIMA DIRECTA SIS 1ER AÑO</v>
          </cell>
          <cell r="C796">
            <v>0</v>
          </cell>
          <cell r="D796">
            <v>1323974205</v>
          </cell>
          <cell r="E796">
            <v>0</v>
          </cell>
          <cell r="F796">
            <v>1323974205</v>
          </cell>
          <cell r="G796">
            <v>0</v>
          </cell>
          <cell r="H796">
            <v>0</v>
          </cell>
          <cell r="I796">
            <v>0</v>
          </cell>
          <cell r="J796">
            <v>1323974205</v>
          </cell>
          <cell r="K796">
            <v>-1323974205</v>
          </cell>
        </row>
        <row r="797">
          <cell r="A797">
            <v>410110</v>
          </cell>
          <cell r="B797" t="str">
            <v>PRIMA DIRECTA UNICA</v>
          </cell>
          <cell r="C797">
            <v>72225055</v>
          </cell>
          <cell r="D797">
            <v>80671695890</v>
          </cell>
          <cell r="E797">
            <v>0</v>
          </cell>
          <cell r="F797">
            <v>80599470835</v>
          </cell>
          <cell r="G797">
            <v>0</v>
          </cell>
          <cell r="H797">
            <v>0</v>
          </cell>
          <cell r="I797">
            <v>0</v>
          </cell>
          <cell r="J797">
            <v>80599470835</v>
          </cell>
          <cell r="K797">
            <v>-80599470835</v>
          </cell>
        </row>
        <row r="798">
          <cell r="A798">
            <v>410120</v>
          </cell>
          <cell r="B798" t="str">
            <v>PRIMA DIRECTA RENOVACIÓN</v>
          </cell>
          <cell r="C798">
            <v>81291057</v>
          </cell>
          <cell r="D798">
            <v>35490433158</v>
          </cell>
          <cell r="E798">
            <v>0</v>
          </cell>
          <cell r="F798">
            <v>35409142101</v>
          </cell>
          <cell r="G798">
            <v>0</v>
          </cell>
          <cell r="H798">
            <v>0</v>
          </cell>
          <cell r="I798">
            <v>0</v>
          </cell>
          <cell r="J798">
            <v>35409142101</v>
          </cell>
          <cell r="K798">
            <v>-35409142101</v>
          </cell>
        </row>
        <row r="799">
          <cell r="A799">
            <v>410130</v>
          </cell>
          <cell r="B799" t="str">
            <v>PRIMA CEDIDA 1ER AÑO</v>
          </cell>
          <cell r="C799">
            <v>215489787</v>
          </cell>
          <cell r="D799">
            <v>0</v>
          </cell>
          <cell r="E799">
            <v>215489787</v>
          </cell>
          <cell r="F799">
            <v>0</v>
          </cell>
          <cell r="G799">
            <v>0</v>
          </cell>
          <cell r="H799">
            <v>0</v>
          </cell>
          <cell r="I799">
            <v>215489787</v>
          </cell>
          <cell r="J799">
            <v>0</v>
          </cell>
          <cell r="K799">
            <v>215489787</v>
          </cell>
        </row>
        <row r="800">
          <cell r="A800">
            <v>410150</v>
          </cell>
          <cell r="B800" t="str">
            <v>PRIMA CEDIDA RENOVACIÓN</v>
          </cell>
          <cell r="C800">
            <v>1530577649</v>
          </cell>
          <cell r="D800">
            <v>0</v>
          </cell>
          <cell r="E800">
            <v>1530577649</v>
          </cell>
          <cell r="F800">
            <v>0</v>
          </cell>
          <cell r="G800">
            <v>0</v>
          </cell>
          <cell r="H800">
            <v>0</v>
          </cell>
          <cell r="I800">
            <v>1530577649</v>
          </cell>
          <cell r="J800">
            <v>0</v>
          </cell>
          <cell r="K800">
            <v>1530577649</v>
          </cell>
        </row>
        <row r="801">
          <cell r="A801">
            <v>410155</v>
          </cell>
          <cell r="B801" t="str">
            <v>DETERIORO DE SEGUROS</v>
          </cell>
          <cell r="C801">
            <v>762469223</v>
          </cell>
          <cell r="D801">
            <v>556820843</v>
          </cell>
          <cell r="E801">
            <v>205648380</v>
          </cell>
          <cell r="F801">
            <v>0</v>
          </cell>
          <cell r="G801">
            <v>0</v>
          </cell>
          <cell r="H801">
            <v>0</v>
          </cell>
          <cell r="I801">
            <v>205648380</v>
          </cell>
          <cell r="J801">
            <v>0</v>
          </cell>
          <cell r="K801">
            <v>205648380</v>
          </cell>
        </row>
        <row r="802">
          <cell r="A802">
            <v>410170</v>
          </cell>
          <cell r="B802" t="str">
            <v>AJUSTE CONTRATO AFP</v>
          </cell>
          <cell r="C802">
            <v>1284172590</v>
          </cell>
          <cell r="D802">
            <v>31737245</v>
          </cell>
          <cell r="E802">
            <v>1252435345</v>
          </cell>
          <cell r="F802">
            <v>0</v>
          </cell>
          <cell r="G802">
            <v>0</v>
          </cell>
          <cell r="H802">
            <v>0</v>
          </cell>
          <cell r="I802">
            <v>1252435345</v>
          </cell>
          <cell r="J802">
            <v>0</v>
          </cell>
          <cell r="K802">
            <v>1252435345</v>
          </cell>
        </row>
        <row r="803">
          <cell r="A803">
            <v>410201</v>
          </cell>
          <cell r="B803" t="str">
            <v>INTERESES GANADOS POR MUT</v>
          </cell>
          <cell r="C803">
            <v>0</v>
          </cell>
          <cell r="D803">
            <v>0</v>
          </cell>
          <cell r="E803">
            <v>0</v>
          </cell>
          <cell r="F803">
            <v>0</v>
          </cell>
          <cell r="G803">
            <v>0</v>
          </cell>
          <cell r="H803">
            <v>0</v>
          </cell>
          <cell r="I803">
            <v>0</v>
          </cell>
          <cell r="J803">
            <v>0</v>
          </cell>
          <cell r="K803">
            <v>0</v>
          </cell>
        </row>
        <row r="804">
          <cell r="A804">
            <v>410203</v>
          </cell>
          <cell r="B804" t="str">
            <v>INTERES DEV. DPR</v>
          </cell>
          <cell r="C804">
            <v>33772383</v>
          </cell>
          <cell r="D804">
            <v>389173230</v>
          </cell>
          <cell r="E804">
            <v>0</v>
          </cell>
          <cell r="F804">
            <v>355400847</v>
          </cell>
          <cell r="G804">
            <v>0</v>
          </cell>
          <cell r="H804">
            <v>0</v>
          </cell>
          <cell r="I804">
            <v>0</v>
          </cell>
          <cell r="J804">
            <v>355400847</v>
          </cell>
          <cell r="K804">
            <v>-355400847</v>
          </cell>
        </row>
        <row r="805">
          <cell r="A805">
            <v>410204</v>
          </cell>
          <cell r="B805" t="str">
            <v>INTERES DEV. L/H U.F.</v>
          </cell>
          <cell r="C805">
            <v>0</v>
          </cell>
          <cell r="D805">
            <v>1087412585</v>
          </cell>
          <cell r="E805">
            <v>0</v>
          </cell>
          <cell r="F805">
            <v>1087412585</v>
          </cell>
          <cell r="G805">
            <v>0</v>
          </cell>
          <cell r="H805">
            <v>0</v>
          </cell>
          <cell r="I805">
            <v>0</v>
          </cell>
          <cell r="J805">
            <v>1087412585</v>
          </cell>
          <cell r="K805">
            <v>-1087412585</v>
          </cell>
        </row>
        <row r="806">
          <cell r="A806">
            <v>410205</v>
          </cell>
          <cell r="B806" t="str">
            <v>INTERES DEV. L/H IVP</v>
          </cell>
          <cell r="C806">
            <v>0</v>
          </cell>
          <cell r="D806">
            <v>13311430</v>
          </cell>
          <cell r="E806">
            <v>0</v>
          </cell>
          <cell r="F806">
            <v>13311430</v>
          </cell>
          <cell r="G806">
            <v>0</v>
          </cell>
          <cell r="H806">
            <v>0</v>
          </cell>
          <cell r="I806">
            <v>0</v>
          </cell>
          <cell r="J806">
            <v>13311430</v>
          </cell>
          <cell r="K806">
            <v>-13311430</v>
          </cell>
        </row>
        <row r="807">
          <cell r="A807">
            <v>410206</v>
          </cell>
          <cell r="B807" t="str">
            <v>INTERES DEV. BONOS BANCAR</v>
          </cell>
          <cell r="C807">
            <v>0</v>
          </cell>
          <cell r="D807">
            <v>1970327831</v>
          </cell>
          <cell r="E807">
            <v>0</v>
          </cell>
          <cell r="F807">
            <v>1970327831</v>
          </cell>
          <cell r="G807">
            <v>0</v>
          </cell>
          <cell r="H807">
            <v>0</v>
          </cell>
          <cell r="I807">
            <v>0</v>
          </cell>
          <cell r="J807">
            <v>1970327831</v>
          </cell>
          <cell r="K807">
            <v>-1970327831</v>
          </cell>
        </row>
        <row r="808">
          <cell r="A808">
            <v>410207</v>
          </cell>
          <cell r="B808" t="str">
            <v>INTERES DEV. BONOS SUBORD</v>
          </cell>
          <cell r="C808">
            <v>0</v>
          </cell>
          <cell r="D808">
            <v>2336944023</v>
          </cell>
          <cell r="E808">
            <v>0</v>
          </cell>
          <cell r="F808">
            <v>2336944023</v>
          </cell>
          <cell r="G808">
            <v>0</v>
          </cell>
          <cell r="H808">
            <v>0</v>
          </cell>
          <cell r="I808">
            <v>0</v>
          </cell>
          <cell r="J808">
            <v>2336944023</v>
          </cell>
          <cell r="K808">
            <v>-2336944023</v>
          </cell>
        </row>
        <row r="809">
          <cell r="A809">
            <v>410208</v>
          </cell>
          <cell r="B809" t="str">
            <v>INTERES DEV. BONOS EMPRES</v>
          </cell>
          <cell r="C809">
            <v>0</v>
          </cell>
          <cell r="D809">
            <v>16340886100</v>
          </cell>
          <cell r="E809">
            <v>0</v>
          </cell>
          <cell r="F809">
            <v>16340886100</v>
          </cell>
          <cell r="G809">
            <v>0</v>
          </cell>
          <cell r="H809">
            <v>0</v>
          </cell>
          <cell r="I809">
            <v>0</v>
          </cell>
          <cell r="J809">
            <v>16340886100</v>
          </cell>
          <cell r="K809">
            <v>-16340886100</v>
          </cell>
        </row>
        <row r="810">
          <cell r="A810">
            <v>410209</v>
          </cell>
          <cell r="B810" t="str">
            <v>INTERES DEV. BONOS LEASIN</v>
          </cell>
          <cell r="C810">
            <v>0</v>
          </cell>
          <cell r="D810">
            <v>90345303</v>
          </cell>
          <cell r="E810">
            <v>0</v>
          </cell>
          <cell r="F810">
            <v>90345303</v>
          </cell>
          <cell r="G810">
            <v>0</v>
          </cell>
          <cell r="H810">
            <v>0</v>
          </cell>
          <cell r="I810">
            <v>0</v>
          </cell>
          <cell r="J810">
            <v>90345303</v>
          </cell>
          <cell r="K810">
            <v>-90345303</v>
          </cell>
        </row>
        <row r="811">
          <cell r="A811">
            <v>410210</v>
          </cell>
          <cell r="B811" t="str">
            <v>INTERES DEV. MUTUOS HIPOT</v>
          </cell>
          <cell r="C811">
            <v>0</v>
          </cell>
          <cell r="D811">
            <v>8156925995</v>
          </cell>
          <cell r="E811">
            <v>0</v>
          </cell>
          <cell r="F811">
            <v>8156925995</v>
          </cell>
          <cell r="G811">
            <v>0</v>
          </cell>
          <cell r="H811">
            <v>0</v>
          </cell>
          <cell r="I811">
            <v>0</v>
          </cell>
          <cell r="J811">
            <v>8156925995</v>
          </cell>
          <cell r="K811">
            <v>-8156925995</v>
          </cell>
        </row>
        <row r="812">
          <cell r="A812">
            <v>410211</v>
          </cell>
          <cell r="B812" t="str">
            <v>INTERES DEV. PRC</v>
          </cell>
          <cell r="C812">
            <v>0</v>
          </cell>
          <cell r="D812">
            <v>4089177</v>
          </cell>
          <cell r="E812">
            <v>0</v>
          </cell>
          <cell r="F812">
            <v>4089177</v>
          </cell>
          <cell r="G812">
            <v>0</v>
          </cell>
          <cell r="H812">
            <v>0</v>
          </cell>
          <cell r="I812">
            <v>0</v>
          </cell>
          <cell r="J812">
            <v>4089177</v>
          </cell>
          <cell r="K812">
            <v>-4089177</v>
          </cell>
        </row>
        <row r="813">
          <cell r="A813">
            <v>410212</v>
          </cell>
          <cell r="B813" t="str">
            <v>INTERES DEV. BONO RECONOC</v>
          </cell>
          <cell r="C813">
            <v>894779</v>
          </cell>
          <cell r="D813">
            <v>1529818186</v>
          </cell>
          <cell r="E813">
            <v>0</v>
          </cell>
          <cell r="F813">
            <v>1528923407</v>
          </cell>
          <cell r="G813">
            <v>0</v>
          </cell>
          <cell r="H813">
            <v>0</v>
          </cell>
          <cell r="I813">
            <v>0</v>
          </cell>
          <cell r="J813">
            <v>1528923407</v>
          </cell>
          <cell r="K813">
            <v>-1528923407</v>
          </cell>
        </row>
        <row r="814">
          <cell r="A814">
            <v>410213</v>
          </cell>
          <cell r="B814" t="str">
            <v>INTERES DEV. LEASING</v>
          </cell>
          <cell r="C814">
            <v>139239859</v>
          </cell>
          <cell r="D814">
            <v>4213416734</v>
          </cell>
          <cell r="E814">
            <v>0</v>
          </cell>
          <cell r="F814">
            <v>4074176875</v>
          </cell>
          <cell r="G814">
            <v>0</v>
          </cell>
          <cell r="H814">
            <v>0</v>
          </cell>
          <cell r="I814">
            <v>0</v>
          </cell>
          <cell r="J814">
            <v>4074176875</v>
          </cell>
          <cell r="K814">
            <v>-4074176875</v>
          </cell>
        </row>
        <row r="815">
          <cell r="A815">
            <v>410214</v>
          </cell>
          <cell r="B815" t="str">
            <v>INTERESES DEV. FONDOS MUT</v>
          </cell>
          <cell r="C815">
            <v>0</v>
          </cell>
          <cell r="D815">
            <v>108984</v>
          </cell>
          <cell r="E815">
            <v>0</v>
          </cell>
          <cell r="F815">
            <v>108984</v>
          </cell>
          <cell r="G815">
            <v>0</v>
          </cell>
          <cell r="H815">
            <v>0</v>
          </cell>
          <cell r="I815">
            <v>0</v>
          </cell>
          <cell r="J815">
            <v>108984</v>
          </cell>
          <cell r="K815">
            <v>-108984</v>
          </cell>
        </row>
        <row r="816">
          <cell r="A816">
            <v>410215</v>
          </cell>
          <cell r="B816" t="str">
            <v>INTERESES DEV. C.E.R.O.</v>
          </cell>
          <cell r="C816">
            <v>0</v>
          </cell>
          <cell r="D816">
            <v>9672343</v>
          </cell>
          <cell r="E816">
            <v>0</v>
          </cell>
          <cell r="F816">
            <v>9672343</v>
          </cell>
          <cell r="G816">
            <v>0</v>
          </cell>
          <cell r="H816">
            <v>0</v>
          </cell>
          <cell r="I816">
            <v>0</v>
          </cell>
          <cell r="J816">
            <v>9672343</v>
          </cell>
          <cell r="K816">
            <v>-9672343</v>
          </cell>
        </row>
        <row r="817">
          <cell r="A817">
            <v>410216</v>
          </cell>
          <cell r="B817" t="str">
            <v>INTERES PERCIB. DPR</v>
          </cell>
          <cell r="C817">
            <v>0</v>
          </cell>
          <cell r="D817">
            <v>35122449</v>
          </cell>
          <cell r="E817">
            <v>0</v>
          </cell>
          <cell r="F817">
            <v>35122449</v>
          </cell>
          <cell r="G817">
            <v>0</v>
          </cell>
          <cell r="H817">
            <v>0</v>
          </cell>
          <cell r="I817">
            <v>0</v>
          </cell>
          <cell r="J817">
            <v>35122449</v>
          </cell>
          <cell r="K817">
            <v>-35122449</v>
          </cell>
        </row>
        <row r="818">
          <cell r="A818">
            <v>410217</v>
          </cell>
          <cell r="B818" t="str">
            <v>INTERES PERCIB. L/H U.F.</v>
          </cell>
          <cell r="C818">
            <v>0</v>
          </cell>
          <cell r="D818">
            <v>18411173</v>
          </cell>
          <cell r="E818">
            <v>0</v>
          </cell>
          <cell r="F818">
            <v>18411173</v>
          </cell>
          <cell r="G818">
            <v>0</v>
          </cell>
          <cell r="H818">
            <v>0</v>
          </cell>
          <cell r="I818">
            <v>0</v>
          </cell>
          <cell r="J818">
            <v>18411173</v>
          </cell>
          <cell r="K818">
            <v>-18411173</v>
          </cell>
        </row>
        <row r="819">
          <cell r="A819">
            <v>410218</v>
          </cell>
          <cell r="B819" t="str">
            <v>INTERES PERCIB. L/H IVP</v>
          </cell>
          <cell r="C819">
            <v>0</v>
          </cell>
          <cell r="D819">
            <v>218768</v>
          </cell>
          <cell r="E819">
            <v>0</v>
          </cell>
          <cell r="F819">
            <v>218768</v>
          </cell>
          <cell r="G819">
            <v>0</v>
          </cell>
          <cell r="H819">
            <v>0</v>
          </cell>
          <cell r="I819">
            <v>0</v>
          </cell>
          <cell r="J819">
            <v>218768</v>
          </cell>
          <cell r="K819">
            <v>-218768</v>
          </cell>
        </row>
        <row r="820">
          <cell r="A820">
            <v>410219</v>
          </cell>
          <cell r="B820" t="str">
            <v>INTERES PERCIB. BONOS BAN</v>
          </cell>
          <cell r="C820">
            <v>0</v>
          </cell>
          <cell r="D820">
            <v>35936472</v>
          </cell>
          <cell r="E820">
            <v>0</v>
          </cell>
          <cell r="F820">
            <v>35936472</v>
          </cell>
          <cell r="G820">
            <v>0</v>
          </cell>
          <cell r="H820">
            <v>0</v>
          </cell>
          <cell r="I820">
            <v>0</v>
          </cell>
          <cell r="J820">
            <v>35936472</v>
          </cell>
          <cell r="K820">
            <v>-35936472</v>
          </cell>
        </row>
        <row r="821">
          <cell r="A821">
            <v>410220</v>
          </cell>
          <cell r="B821" t="str">
            <v>INTERES PERCIB. BONOS SUB</v>
          </cell>
          <cell r="C821">
            <v>0</v>
          </cell>
          <cell r="D821">
            <v>23209088</v>
          </cell>
          <cell r="E821">
            <v>0</v>
          </cell>
          <cell r="F821">
            <v>23209088</v>
          </cell>
          <cell r="G821">
            <v>0</v>
          </cell>
          <cell r="H821">
            <v>0</v>
          </cell>
          <cell r="I821">
            <v>0</v>
          </cell>
          <cell r="J821">
            <v>23209088</v>
          </cell>
          <cell r="K821">
            <v>-23209088</v>
          </cell>
        </row>
        <row r="822">
          <cell r="A822">
            <v>410221</v>
          </cell>
          <cell r="B822" t="str">
            <v>INTERES PERCIB. BONOS EMP</v>
          </cell>
          <cell r="C822">
            <v>0</v>
          </cell>
          <cell r="D822">
            <v>1384750690</v>
          </cell>
          <cell r="E822">
            <v>0</v>
          </cell>
          <cell r="F822">
            <v>1384750690</v>
          </cell>
          <cell r="G822">
            <v>0</v>
          </cell>
          <cell r="H822">
            <v>0</v>
          </cell>
          <cell r="I822">
            <v>0</v>
          </cell>
          <cell r="J822">
            <v>1384750690</v>
          </cell>
          <cell r="K822">
            <v>-1384750690</v>
          </cell>
        </row>
        <row r="823">
          <cell r="A823">
            <v>410222</v>
          </cell>
          <cell r="B823" t="str">
            <v>INTERES PERCIB. BONOS LEA</v>
          </cell>
          <cell r="C823">
            <v>0</v>
          </cell>
          <cell r="D823">
            <v>15663529</v>
          </cell>
          <cell r="E823">
            <v>0</v>
          </cell>
          <cell r="F823">
            <v>15663529</v>
          </cell>
          <cell r="G823">
            <v>0</v>
          </cell>
          <cell r="H823">
            <v>0</v>
          </cell>
          <cell r="I823">
            <v>0</v>
          </cell>
          <cell r="J823">
            <v>15663529</v>
          </cell>
          <cell r="K823">
            <v>-15663529</v>
          </cell>
        </row>
        <row r="824">
          <cell r="A824">
            <v>410223</v>
          </cell>
          <cell r="B824" t="str">
            <v>INTERES PERCIB. MUTUOS HI</v>
          </cell>
          <cell r="C824">
            <v>24852545</v>
          </cell>
          <cell r="D824">
            <v>923953673</v>
          </cell>
          <cell r="E824">
            <v>0</v>
          </cell>
          <cell r="F824">
            <v>899101128</v>
          </cell>
          <cell r="G824">
            <v>0</v>
          </cell>
          <cell r="H824">
            <v>0</v>
          </cell>
          <cell r="I824">
            <v>0</v>
          </cell>
          <cell r="J824">
            <v>899101128</v>
          </cell>
          <cell r="K824">
            <v>-899101128</v>
          </cell>
        </row>
        <row r="825">
          <cell r="A825">
            <v>410224</v>
          </cell>
          <cell r="B825" t="str">
            <v>INTERES PERCIB. PRC</v>
          </cell>
          <cell r="C825">
            <v>0</v>
          </cell>
          <cell r="D825">
            <v>39456</v>
          </cell>
          <cell r="E825">
            <v>0</v>
          </cell>
          <cell r="F825">
            <v>39456</v>
          </cell>
          <cell r="G825">
            <v>0</v>
          </cell>
          <cell r="H825">
            <v>0</v>
          </cell>
          <cell r="I825">
            <v>0</v>
          </cell>
          <cell r="J825">
            <v>39456</v>
          </cell>
          <cell r="K825">
            <v>-39456</v>
          </cell>
        </row>
        <row r="826">
          <cell r="A826">
            <v>410225</v>
          </cell>
          <cell r="B826" t="str">
            <v>INTERES PERCIB. BONO RECO</v>
          </cell>
          <cell r="C826">
            <v>0</v>
          </cell>
          <cell r="D826">
            <v>26567756</v>
          </cell>
          <cell r="E826">
            <v>0</v>
          </cell>
          <cell r="F826">
            <v>26567756</v>
          </cell>
          <cell r="G826">
            <v>0</v>
          </cell>
          <cell r="H826">
            <v>0</v>
          </cell>
          <cell r="I826">
            <v>0</v>
          </cell>
          <cell r="J826">
            <v>26567756</v>
          </cell>
          <cell r="K826">
            <v>-26567756</v>
          </cell>
        </row>
        <row r="827">
          <cell r="A827">
            <v>410226</v>
          </cell>
          <cell r="B827" t="str">
            <v>INTERES PERCIB. LEASING</v>
          </cell>
          <cell r="C827">
            <v>0</v>
          </cell>
          <cell r="D827">
            <v>0</v>
          </cell>
          <cell r="E827">
            <v>0</v>
          </cell>
          <cell r="F827">
            <v>0</v>
          </cell>
          <cell r="G827">
            <v>0</v>
          </cell>
          <cell r="H827">
            <v>0</v>
          </cell>
          <cell r="I827">
            <v>0</v>
          </cell>
          <cell r="J827">
            <v>0</v>
          </cell>
          <cell r="K827">
            <v>0</v>
          </cell>
        </row>
        <row r="828">
          <cell r="A828">
            <v>410227</v>
          </cell>
          <cell r="B828" t="str">
            <v>INTERES PERCIB. FONDOS MU</v>
          </cell>
          <cell r="C828">
            <v>0</v>
          </cell>
          <cell r="D828">
            <v>59378283</v>
          </cell>
          <cell r="E828">
            <v>0</v>
          </cell>
          <cell r="F828">
            <v>59378283</v>
          </cell>
          <cell r="G828">
            <v>0</v>
          </cell>
          <cell r="H828">
            <v>0</v>
          </cell>
          <cell r="I828">
            <v>0</v>
          </cell>
          <cell r="J828">
            <v>59378283</v>
          </cell>
          <cell r="K828">
            <v>-59378283</v>
          </cell>
        </row>
        <row r="829">
          <cell r="A829">
            <v>410228</v>
          </cell>
          <cell r="B829" t="str">
            <v>INTERES PERCIB. C.E.R.O.</v>
          </cell>
          <cell r="C829">
            <v>0</v>
          </cell>
          <cell r="D829">
            <v>1286</v>
          </cell>
          <cell r="E829">
            <v>0</v>
          </cell>
          <cell r="F829">
            <v>1286</v>
          </cell>
          <cell r="G829">
            <v>0</v>
          </cell>
          <cell r="H829">
            <v>0</v>
          </cell>
          <cell r="I829">
            <v>0</v>
          </cell>
          <cell r="J829">
            <v>1286</v>
          </cell>
          <cell r="K829">
            <v>-1286</v>
          </cell>
        </row>
        <row r="830">
          <cell r="A830">
            <v>410229</v>
          </cell>
          <cell r="B830" t="str">
            <v>REAJUSTES DPR</v>
          </cell>
          <cell r="C830">
            <v>3319604</v>
          </cell>
          <cell r="D830">
            <v>29668733</v>
          </cell>
          <cell r="E830">
            <v>0</v>
          </cell>
          <cell r="F830">
            <v>26349129</v>
          </cell>
          <cell r="G830">
            <v>0</v>
          </cell>
          <cell r="H830">
            <v>0</v>
          </cell>
          <cell r="I830">
            <v>0</v>
          </cell>
          <cell r="J830">
            <v>26349129</v>
          </cell>
          <cell r="K830">
            <v>-26349129</v>
          </cell>
        </row>
        <row r="831">
          <cell r="A831">
            <v>410230</v>
          </cell>
          <cell r="B831" t="str">
            <v>REAJUSTES L/H U.F.</v>
          </cell>
          <cell r="C831">
            <v>1</v>
          </cell>
          <cell r="D831">
            <v>9105492</v>
          </cell>
          <cell r="E831">
            <v>0</v>
          </cell>
          <cell r="F831">
            <v>9105491</v>
          </cell>
          <cell r="G831">
            <v>0</v>
          </cell>
          <cell r="H831">
            <v>0</v>
          </cell>
          <cell r="I831">
            <v>0</v>
          </cell>
          <cell r="J831">
            <v>9105491</v>
          </cell>
          <cell r="K831">
            <v>-9105491</v>
          </cell>
        </row>
        <row r="832">
          <cell r="A832">
            <v>410231</v>
          </cell>
          <cell r="B832" t="str">
            <v>REAJUSTES L/H IVP</v>
          </cell>
          <cell r="C832">
            <v>0</v>
          </cell>
          <cell r="D832">
            <v>120868</v>
          </cell>
          <cell r="E832">
            <v>0</v>
          </cell>
          <cell r="F832">
            <v>120868</v>
          </cell>
          <cell r="G832">
            <v>0</v>
          </cell>
          <cell r="H832">
            <v>0</v>
          </cell>
          <cell r="I832">
            <v>0</v>
          </cell>
          <cell r="J832">
            <v>120868</v>
          </cell>
          <cell r="K832">
            <v>-120868</v>
          </cell>
        </row>
        <row r="833">
          <cell r="A833">
            <v>410232</v>
          </cell>
          <cell r="B833" t="str">
            <v>REAJUSTES BONOS BANCARIOS</v>
          </cell>
          <cell r="C833">
            <v>2597743</v>
          </cell>
          <cell r="D833">
            <v>23312207</v>
          </cell>
          <cell r="E833">
            <v>0</v>
          </cell>
          <cell r="F833">
            <v>20714464</v>
          </cell>
          <cell r="G833">
            <v>0</v>
          </cell>
          <cell r="H833">
            <v>0</v>
          </cell>
          <cell r="I833">
            <v>0</v>
          </cell>
          <cell r="J833">
            <v>20714464</v>
          </cell>
          <cell r="K833">
            <v>-20714464</v>
          </cell>
        </row>
        <row r="834">
          <cell r="A834">
            <v>410233</v>
          </cell>
          <cell r="B834" t="str">
            <v>REAJUSTES BONOS SUBORDINA</v>
          </cell>
          <cell r="C834">
            <v>0</v>
          </cell>
          <cell r="D834">
            <v>20911950</v>
          </cell>
          <cell r="E834">
            <v>0</v>
          </cell>
          <cell r="F834">
            <v>20911950</v>
          </cell>
          <cell r="G834">
            <v>0</v>
          </cell>
          <cell r="H834">
            <v>0</v>
          </cell>
          <cell r="I834">
            <v>0</v>
          </cell>
          <cell r="J834">
            <v>20911950</v>
          </cell>
          <cell r="K834">
            <v>-20911950</v>
          </cell>
        </row>
        <row r="835">
          <cell r="A835">
            <v>410234</v>
          </cell>
          <cell r="B835" t="str">
            <v>REAJUSTES BONOS EMPRESA</v>
          </cell>
          <cell r="C835">
            <v>55183330</v>
          </cell>
          <cell r="D835">
            <v>476050592</v>
          </cell>
          <cell r="E835">
            <v>0</v>
          </cell>
          <cell r="F835">
            <v>420867262</v>
          </cell>
          <cell r="G835">
            <v>0</v>
          </cell>
          <cell r="H835">
            <v>0</v>
          </cell>
          <cell r="I835">
            <v>0</v>
          </cell>
          <cell r="J835">
            <v>420867262</v>
          </cell>
          <cell r="K835">
            <v>-420867262</v>
          </cell>
        </row>
        <row r="836">
          <cell r="A836">
            <v>410235</v>
          </cell>
          <cell r="B836" t="str">
            <v>REAJUSTES BONOS LEASING</v>
          </cell>
          <cell r="C836">
            <v>1551848</v>
          </cell>
          <cell r="D836">
            <v>5632064</v>
          </cell>
          <cell r="E836">
            <v>0</v>
          </cell>
          <cell r="F836">
            <v>4080216</v>
          </cell>
          <cell r="G836">
            <v>0</v>
          </cell>
          <cell r="H836">
            <v>0</v>
          </cell>
          <cell r="I836">
            <v>0</v>
          </cell>
          <cell r="J836">
            <v>4080216</v>
          </cell>
          <cell r="K836">
            <v>-4080216</v>
          </cell>
        </row>
        <row r="837">
          <cell r="A837">
            <v>410236</v>
          </cell>
          <cell r="B837" t="str">
            <v>REAJUSTES MUTUOS HIPOTECA</v>
          </cell>
          <cell r="C837">
            <v>4873285</v>
          </cell>
          <cell r="D837">
            <v>401550261</v>
          </cell>
          <cell r="E837">
            <v>0</v>
          </cell>
          <cell r="F837">
            <v>396676976</v>
          </cell>
          <cell r="G837">
            <v>0</v>
          </cell>
          <cell r="H837">
            <v>0</v>
          </cell>
          <cell r="I837">
            <v>0</v>
          </cell>
          <cell r="J837">
            <v>396676976</v>
          </cell>
          <cell r="K837">
            <v>-396676976</v>
          </cell>
        </row>
        <row r="838">
          <cell r="A838">
            <v>410237</v>
          </cell>
          <cell r="B838" t="str">
            <v>REAJUSTES PRC</v>
          </cell>
          <cell r="C838">
            <v>0</v>
          </cell>
          <cell r="D838">
            <v>33075</v>
          </cell>
          <cell r="E838">
            <v>0</v>
          </cell>
          <cell r="F838">
            <v>33075</v>
          </cell>
          <cell r="G838">
            <v>0</v>
          </cell>
          <cell r="H838">
            <v>0</v>
          </cell>
          <cell r="I838">
            <v>0</v>
          </cell>
          <cell r="J838">
            <v>33075</v>
          </cell>
          <cell r="K838">
            <v>-33075</v>
          </cell>
        </row>
        <row r="839">
          <cell r="A839">
            <v>410238</v>
          </cell>
          <cell r="B839" t="str">
            <v>REAJUSTES BONO RECONOCIMI</v>
          </cell>
          <cell r="C839">
            <v>6701043</v>
          </cell>
          <cell r="D839">
            <v>83957680</v>
          </cell>
          <cell r="E839">
            <v>0</v>
          </cell>
          <cell r="F839">
            <v>77256637</v>
          </cell>
          <cell r="G839">
            <v>0</v>
          </cell>
          <cell r="H839">
            <v>0</v>
          </cell>
          <cell r="I839">
            <v>0</v>
          </cell>
          <cell r="J839">
            <v>77256637</v>
          </cell>
          <cell r="K839">
            <v>-77256637</v>
          </cell>
        </row>
        <row r="840">
          <cell r="A840">
            <v>410240</v>
          </cell>
          <cell r="B840" t="str">
            <v>REAJUSTES FONDOS MUTUOS</v>
          </cell>
          <cell r="C840">
            <v>1135336</v>
          </cell>
          <cell r="D840">
            <v>35616203</v>
          </cell>
          <cell r="E840">
            <v>0</v>
          </cell>
          <cell r="F840">
            <v>34480867</v>
          </cell>
          <cell r="G840">
            <v>0</v>
          </cell>
          <cell r="H840">
            <v>0</v>
          </cell>
          <cell r="I840">
            <v>0</v>
          </cell>
          <cell r="J840">
            <v>34480867</v>
          </cell>
          <cell r="K840">
            <v>-34480867</v>
          </cell>
        </row>
        <row r="841">
          <cell r="A841">
            <v>410242</v>
          </cell>
          <cell r="B841" t="str">
            <v>REAJUSTES C.E.R.O.</v>
          </cell>
          <cell r="C841">
            <v>0</v>
          </cell>
          <cell r="D841">
            <v>1510</v>
          </cell>
          <cell r="E841">
            <v>0</v>
          </cell>
          <cell r="F841">
            <v>1510</v>
          </cell>
          <cell r="G841">
            <v>0</v>
          </cell>
          <cell r="H841">
            <v>0</v>
          </cell>
          <cell r="I841">
            <v>0</v>
          </cell>
          <cell r="J841">
            <v>1510</v>
          </cell>
          <cell r="K841">
            <v>-1510</v>
          </cell>
        </row>
        <row r="842">
          <cell r="A842">
            <v>410243</v>
          </cell>
          <cell r="B842" t="str">
            <v>PERCIBIDO INVERSION EXTRA</v>
          </cell>
          <cell r="C842">
            <v>354942</v>
          </cell>
          <cell r="D842">
            <v>339946000</v>
          </cell>
          <cell r="E842">
            <v>0</v>
          </cell>
          <cell r="F842">
            <v>339591058</v>
          </cell>
          <cell r="G842">
            <v>0</v>
          </cell>
          <cell r="H842">
            <v>0</v>
          </cell>
          <cell r="I842">
            <v>0</v>
          </cell>
          <cell r="J842">
            <v>339591058</v>
          </cell>
          <cell r="K842">
            <v>-339591058</v>
          </cell>
        </row>
        <row r="843">
          <cell r="A843">
            <v>410244</v>
          </cell>
          <cell r="B843" t="str">
            <v>PERCIBIDO SWAP</v>
          </cell>
          <cell r="C843">
            <v>0</v>
          </cell>
          <cell r="D843">
            <v>0</v>
          </cell>
          <cell r="E843">
            <v>0</v>
          </cell>
          <cell r="F843">
            <v>0</v>
          </cell>
          <cell r="G843">
            <v>0</v>
          </cell>
          <cell r="H843">
            <v>0</v>
          </cell>
          <cell r="I843">
            <v>0</v>
          </cell>
          <cell r="J843">
            <v>0</v>
          </cell>
          <cell r="K843">
            <v>0</v>
          </cell>
        </row>
        <row r="844">
          <cell r="A844">
            <v>410245</v>
          </cell>
          <cell r="B844" t="str">
            <v>PERCIBIDO FORWARD</v>
          </cell>
          <cell r="C844">
            <v>105786683</v>
          </cell>
          <cell r="D844">
            <v>1723759726</v>
          </cell>
          <cell r="E844">
            <v>0</v>
          </cell>
          <cell r="F844">
            <v>1617973043</v>
          </cell>
          <cell r="G844">
            <v>0</v>
          </cell>
          <cell r="H844">
            <v>0</v>
          </cell>
          <cell r="I844">
            <v>0</v>
          </cell>
          <cell r="J844">
            <v>1617973043</v>
          </cell>
          <cell r="K844">
            <v>-1617973043</v>
          </cell>
        </row>
        <row r="845">
          <cell r="A845">
            <v>410246</v>
          </cell>
          <cell r="B845" t="str">
            <v>SVI INTERESES PERCIB. PTM</v>
          </cell>
          <cell r="C845">
            <v>2245144</v>
          </cell>
          <cell r="D845">
            <v>12676577</v>
          </cell>
          <cell r="E845">
            <v>0</v>
          </cell>
          <cell r="F845">
            <v>10431433</v>
          </cell>
          <cell r="G845">
            <v>0</v>
          </cell>
          <cell r="H845">
            <v>0</v>
          </cell>
          <cell r="I845">
            <v>0</v>
          </cell>
          <cell r="J845">
            <v>10431433</v>
          </cell>
          <cell r="K845">
            <v>-10431433</v>
          </cell>
        </row>
        <row r="846">
          <cell r="A846">
            <v>410247</v>
          </cell>
          <cell r="B846" t="str">
            <v>DEVENGADO INVERSION EXTRA</v>
          </cell>
          <cell r="C846">
            <v>0</v>
          </cell>
          <cell r="D846">
            <v>0</v>
          </cell>
          <cell r="E846">
            <v>0</v>
          </cell>
          <cell r="F846">
            <v>0</v>
          </cell>
          <cell r="G846">
            <v>0</v>
          </cell>
          <cell r="H846">
            <v>0</v>
          </cell>
          <cell r="I846">
            <v>0</v>
          </cell>
          <cell r="J846">
            <v>0</v>
          </cell>
          <cell r="K846">
            <v>0</v>
          </cell>
        </row>
        <row r="847">
          <cell r="A847">
            <v>410248</v>
          </cell>
          <cell r="B847" t="str">
            <v>DEVENGADO SWAP</v>
          </cell>
          <cell r="C847">
            <v>109268226</v>
          </cell>
          <cell r="D847">
            <v>69065219</v>
          </cell>
          <cell r="E847">
            <v>40203007</v>
          </cell>
          <cell r="F847">
            <v>0</v>
          </cell>
          <cell r="G847">
            <v>0</v>
          </cell>
          <cell r="H847">
            <v>0</v>
          </cell>
          <cell r="I847">
            <v>40203007</v>
          </cell>
          <cell r="J847">
            <v>0</v>
          </cell>
          <cell r="K847">
            <v>40203007</v>
          </cell>
        </row>
        <row r="848">
          <cell r="A848">
            <v>410249</v>
          </cell>
          <cell r="B848" t="str">
            <v>DEVENGADO FORWARD</v>
          </cell>
          <cell r="C848">
            <v>603485412</v>
          </cell>
          <cell r="D848">
            <v>1015336112</v>
          </cell>
          <cell r="E848">
            <v>0</v>
          </cell>
          <cell r="F848">
            <v>411850700</v>
          </cell>
          <cell r="G848">
            <v>0</v>
          </cell>
          <cell r="H848">
            <v>0</v>
          </cell>
          <cell r="I848">
            <v>0</v>
          </cell>
          <cell r="J848">
            <v>411850700</v>
          </cell>
          <cell r="K848">
            <v>-411850700</v>
          </cell>
        </row>
        <row r="849">
          <cell r="A849">
            <v>410250</v>
          </cell>
          <cell r="B849" t="str">
            <v>SVI INTERESES DEVENG. PTM</v>
          </cell>
          <cell r="C849">
            <v>0</v>
          </cell>
          <cell r="D849">
            <v>130538034</v>
          </cell>
          <cell r="E849">
            <v>0</v>
          </cell>
          <cell r="F849">
            <v>130538034</v>
          </cell>
          <cell r="G849">
            <v>0</v>
          </cell>
          <cell r="H849">
            <v>0</v>
          </cell>
          <cell r="I849">
            <v>0</v>
          </cell>
          <cell r="J849">
            <v>130538034</v>
          </cell>
          <cell r="K849">
            <v>-130538034</v>
          </cell>
        </row>
        <row r="850">
          <cell r="A850">
            <v>410251</v>
          </cell>
          <cell r="B850" t="str">
            <v>INTERESES ANUALIDADES SEG</v>
          </cell>
          <cell r="C850">
            <v>7871470</v>
          </cell>
          <cell r="D850">
            <v>0</v>
          </cell>
          <cell r="E850">
            <v>7871470</v>
          </cell>
          <cell r="F850">
            <v>0</v>
          </cell>
          <cell r="G850">
            <v>0</v>
          </cell>
          <cell r="H850">
            <v>0</v>
          </cell>
          <cell r="I850">
            <v>7871470</v>
          </cell>
          <cell r="J850">
            <v>0</v>
          </cell>
          <cell r="K850">
            <v>7871470</v>
          </cell>
        </row>
        <row r="851">
          <cell r="A851">
            <v>410253</v>
          </cell>
          <cell r="B851" t="str">
            <v>INTERESES FLEXIBLES</v>
          </cell>
          <cell r="C851">
            <v>0</v>
          </cell>
          <cell r="D851">
            <v>0</v>
          </cell>
          <cell r="E851">
            <v>0</v>
          </cell>
          <cell r="F851">
            <v>0</v>
          </cell>
          <cell r="G851">
            <v>0</v>
          </cell>
          <cell r="H851">
            <v>0</v>
          </cell>
          <cell r="I851">
            <v>0</v>
          </cell>
          <cell r="J851">
            <v>0</v>
          </cell>
          <cell r="K851">
            <v>0</v>
          </cell>
        </row>
        <row r="852">
          <cell r="A852">
            <v>410254</v>
          </cell>
          <cell r="B852" t="str">
            <v>INTERESES CROSS C. SWAP</v>
          </cell>
          <cell r="C852">
            <v>608393667</v>
          </cell>
          <cell r="D852">
            <v>0</v>
          </cell>
          <cell r="E852">
            <v>608393667</v>
          </cell>
          <cell r="F852">
            <v>0</v>
          </cell>
          <cell r="G852">
            <v>0</v>
          </cell>
          <cell r="H852">
            <v>0</v>
          </cell>
          <cell r="I852">
            <v>608393667</v>
          </cell>
          <cell r="J852">
            <v>0</v>
          </cell>
          <cell r="K852">
            <v>608393667</v>
          </cell>
        </row>
        <row r="853">
          <cell r="A853">
            <v>410255</v>
          </cell>
          <cell r="B853" t="str">
            <v>INTERES DEVENGADO CREDITO</v>
          </cell>
          <cell r="C853">
            <v>0</v>
          </cell>
          <cell r="D853">
            <v>0</v>
          </cell>
          <cell r="E853">
            <v>0</v>
          </cell>
          <cell r="F853">
            <v>0</v>
          </cell>
          <cell r="G853">
            <v>0</v>
          </cell>
          <cell r="H853">
            <v>0</v>
          </cell>
          <cell r="I853">
            <v>0</v>
          </cell>
          <cell r="J853">
            <v>0</v>
          </cell>
          <cell r="K853">
            <v>0</v>
          </cell>
        </row>
        <row r="854">
          <cell r="A854">
            <v>410256</v>
          </cell>
          <cell r="B854" t="str">
            <v>INTERESES PERCIBIDOS US T</v>
          </cell>
          <cell r="C854">
            <v>0</v>
          </cell>
          <cell r="D854">
            <v>0</v>
          </cell>
          <cell r="E854">
            <v>0</v>
          </cell>
          <cell r="F854">
            <v>0</v>
          </cell>
          <cell r="G854">
            <v>0</v>
          </cell>
          <cell r="H854">
            <v>0</v>
          </cell>
          <cell r="I854">
            <v>0</v>
          </cell>
          <cell r="J854">
            <v>0</v>
          </cell>
          <cell r="K854">
            <v>0</v>
          </cell>
        </row>
        <row r="855">
          <cell r="A855">
            <v>410258</v>
          </cell>
          <cell r="B855" t="str">
            <v>REAJUSTES INTS. US TREASS</v>
          </cell>
          <cell r="C855">
            <v>0</v>
          </cell>
          <cell r="D855">
            <v>0</v>
          </cell>
          <cell r="E855">
            <v>0</v>
          </cell>
          <cell r="F855">
            <v>0</v>
          </cell>
          <cell r="G855">
            <v>0</v>
          </cell>
          <cell r="H855">
            <v>0</v>
          </cell>
          <cell r="I855">
            <v>0</v>
          </cell>
          <cell r="J855">
            <v>0</v>
          </cell>
          <cell r="K855">
            <v>0</v>
          </cell>
        </row>
        <row r="856">
          <cell r="A856">
            <v>410259</v>
          </cell>
          <cell r="B856" t="str">
            <v>DIFERENCIAL DE ENDOSO MHE</v>
          </cell>
          <cell r="C856">
            <v>0</v>
          </cell>
          <cell r="D856">
            <v>150103334</v>
          </cell>
          <cell r="E856">
            <v>0</v>
          </cell>
          <cell r="F856">
            <v>150103334</v>
          </cell>
          <cell r="G856">
            <v>0</v>
          </cell>
          <cell r="H856">
            <v>0</v>
          </cell>
          <cell r="I856">
            <v>0</v>
          </cell>
          <cell r="J856">
            <v>150103334</v>
          </cell>
          <cell r="K856">
            <v>-150103334</v>
          </cell>
        </row>
        <row r="857">
          <cell r="A857">
            <v>410260</v>
          </cell>
          <cell r="B857" t="str">
            <v>PERCIBIDOS SWAP FLEXIBLE</v>
          </cell>
          <cell r="C857">
            <v>0</v>
          </cell>
          <cell r="D857">
            <v>0</v>
          </cell>
          <cell r="E857">
            <v>0</v>
          </cell>
          <cell r="F857">
            <v>0</v>
          </cell>
          <cell r="G857">
            <v>0</v>
          </cell>
          <cell r="H857">
            <v>0</v>
          </cell>
          <cell r="I857">
            <v>0</v>
          </cell>
          <cell r="J857">
            <v>0</v>
          </cell>
          <cell r="K857">
            <v>0</v>
          </cell>
        </row>
        <row r="858">
          <cell r="A858">
            <v>410261</v>
          </cell>
          <cell r="B858" t="str">
            <v>DEVENGADO SWAP FLEXIBLE</v>
          </cell>
          <cell r="C858">
            <v>0</v>
          </cell>
          <cell r="D858">
            <v>0</v>
          </cell>
          <cell r="E858">
            <v>0</v>
          </cell>
          <cell r="F858">
            <v>0</v>
          </cell>
          <cell r="G858">
            <v>0</v>
          </cell>
          <cell r="H858">
            <v>0</v>
          </cell>
          <cell r="I858">
            <v>0</v>
          </cell>
          <cell r="J858">
            <v>0</v>
          </cell>
          <cell r="K858">
            <v>0</v>
          </cell>
        </row>
        <row r="859">
          <cell r="A859">
            <v>410262</v>
          </cell>
          <cell r="B859" t="str">
            <v>INTERESES CROSS C. SWAP F</v>
          </cell>
          <cell r="C859">
            <v>0</v>
          </cell>
          <cell r="D859">
            <v>0</v>
          </cell>
          <cell r="E859">
            <v>0</v>
          </cell>
          <cell r="F859">
            <v>0</v>
          </cell>
          <cell r="G859">
            <v>0</v>
          </cell>
          <cell r="H859">
            <v>0</v>
          </cell>
          <cell r="I859">
            <v>0</v>
          </cell>
          <cell r="J859">
            <v>0</v>
          </cell>
          <cell r="K859">
            <v>0</v>
          </cell>
        </row>
        <row r="860">
          <cell r="A860">
            <v>410264</v>
          </cell>
          <cell r="B860" t="str">
            <v>INTERESES CROSS CURRENCY</v>
          </cell>
          <cell r="C860">
            <v>0</v>
          </cell>
          <cell r="D860">
            <v>0</v>
          </cell>
          <cell r="E860">
            <v>0</v>
          </cell>
          <cell r="F860">
            <v>0</v>
          </cell>
          <cell r="G860">
            <v>0</v>
          </cell>
          <cell r="H860">
            <v>0</v>
          </cell>
          <cell r="I860">
            <v>0</v>
          </cell>
          <cell r="J860">
            <v>0</v>
          </cell>
          <cell r="K860">
            <v>0</v>
          </cell>
        </row>
        <row r="861">
          <cell r="A861">
            <v>410265</v>
          </cell>
          <cell r="B861" t="str">
            <v>INTERESES DEVENGADOS PACT</v>
          </cell>
          <cell r="C861">
            <v>0</v>
          </cell>
          <cell r="D861">
            <v>0</v>
          </cell>
          <cell r="E861">
            <v>0</v>
          </cell>
          <cell r="F861">
            <v>0</v>
          </cell>
          <cell r="G861">
            <v>0</v>
          </cell>
          <cell r="H861">
            <v>0</v>
          </cell>
          <cell r="I861">
            <v>0</v>
          </cell>
          <cell r="J861">
            <v>0</v>
          </cell>
          <cell r="K861">
            <v>0</v>
          </cell>
        </row>
        <row r="862">
          <cell r="A862">
            <v>410267</v>
          </cell>
          <cell r="B862" t="str">
            <v>INTERESES PERCIB BONOS EX</v>
          </cell>
          <cell r="C862">
            <v>0</v>
          </cell>
          <cell r="D862">
            <v>546726890</v>
          </cell>
          <cell r="E862">
            <v>0</v>
          </cell>
          <cell r="F862">
            <v>546726890</v>
          </cell>
          <cell r="G862">
            <v>0</v>
          </cell>
          <cell r="H862">
            <v>0</v>
          </cell>
          <cell r="I862">
            <v>0</v>
          </cell>
          <cell r="J862">
            <v>546726890</v>
          </cell>
          <cell r="K862">
            <v>-546726890</v>
          </cell>
        </row>
        <row r="863">
          <cell r="A863">
            <v>410268</v>
          </cell>
          <cell r="B863" t="str">
            <v>INTERESES DEVENG BONOS EX</v>
          </cell>
          <cell r="C863">
            <v>0</v>
          </cell>
          <cell r="D863">
            <v>24994367</v>
          </cell>
          <cell r="E863">
            <v>0</v>
          </cell>
          <cell r="F863">
            <v>24994367</v>
          </cell>
          <cell r="G863">
            <v>0</v>
          </cell>
          <cell r="H863">
            <v>0</v>
          </cell>
          <cell r="I863">
            <v>0</v>
          </cell>
          <cell r="J863">
            <v>24994367</v>
          </cell>
          <cell r="K863">
            <v>-24994367</v>
          </cell>
        </row>
        <row r="864">
          <cell r="A864">
            <v>410269</v>
          </cell>
          <cell r="B864" t="str">
            <v>REAJUSTES BONOS EXTRANJER</v>
          </cell>
          <cell r="C864">
            <v>0</v>
          </cell>
          <cell r="D864">
            <v>5045451</v>
          </cell>
          <cell r="E864">
            <v>0</v>
          </cell>
          <cell r="F864">
            <v>5045451</v>
          </cell>
          <cell r="G864">
            <v>0</v>
          </cell>
          <cell r="H864">
            <v>0</v>
          </cell>
          <cell r="I864">
            <v>0</v>
          </cell>
          <cell r="J864">
            <v>5045451</v>
          </cell>
          <cell r="K864">
            <v>-5045451</v>
          </cell>
        </row>
        <row r="865">
          <cell r="A865">
            <v>410270</v>
          </cell>
          <cell r="B865" t="str">
            <v>UTILIDAD O PERDIDA VENTA</v>
          </cell>
          <cell r="C865">
            <v>0</v>
          </cell>
          <cell r="D865">
            <v>0</v>
          </cell>
          <cell r="E865">
            <v>0</v>
          </cell>
          <cell r="F865">
            <v>0</v>
          </cell>
          <cell r="G865">
            <v>0</v>
          </cell>
          <cell r="H865">
            <v>0</v>
          </cell>
          <cell r="I865">
            <v>0</v>
          </cell>
          <cell r="J865">
            <v>0</v>
          </cell>
          <cell r="K865">
            <v>0</v>
          </cell>
        </row>
        <row r="866">
          <cell r="A866">
            <v>410271</v>
          </cell>
          <cell r="B866" t="str">
            <v>INTERES DEV. DPF</v>
          </cell>
          <cell r="C866">
            <v>0</v>
          </cell>
          <cell r="D866">
            <v>48407321</v>
          </cell>
          <cell r="E866">
            <v>0</v>
          </cell>
          <cell r="F866">
            <v>48407321</v>
          </cell>
          <cell r="G866">
            <v>0</v>
          </cell>
          <cell r="H866">
            <v>0</v>
          </cell>
          <cell r="I866">
            <v>0</v>
          </cell>
          <cell r="J866">
            <v>48407321</v>
          </cell>
          <cell r="K866">
            <v>-48407321</v>
          </cell>
        </row>
        <row r="867">
          <cell r="A867">
            <v>410272</v>
          </cell>
          <cell r="B867" t="str">
            <v>INTERESES PERCIBIDOS DPF</v>
          </cell>
          <cell r="C867">
            <v>0</v>
          </cell>
          <cell r="D867">
            <v>14916660</v>
          </cell>
          <cell r="E867">
            <v>0</v>
          </cell>
          <cell r="F867">
            <v>14916660</v>
          </cell>
          <cell r="G867">
            <v>0</v>
          </cell>
          <cell r="H867">
            <v>0</v>
          </cell>
          <cell r="I867">
            <v>0</v>
          </cell>
          <cell r="J867">
            <v>14916660</v>
          </cell>
          <cell r="K867">
            <v>-14916660</v>
          </cell>
        </row>
        <row r="868">
          <cell r="A868">
            <v>410273</v>
          </cell>
          <cell r="B868" t="str">
            <v>REAJUSTES DPF</v>
          </cell>
          <cell r="C868">
            <v>72577</v>
          </cell>
          <cell r="D868">
            <v>20906601</v>
          </cell>
          <cell r="E868">
            <v>0</v>
          </cell>
          <cell r="F868">
            <v>20834024</v>
          </cell>
          <cell r="G868">
            <v>0</v>
          </cell>
          <cell r="H868">
            <v>0</v>
          </cell>
          <cell r="I868">
            <v>0</v>
          </cell>
          <cell r="J868">
            <v>20834024</v>
          </cell>
          <cell r="K868">
            <v>-20834024</v>
          </cell>
        </row>
        <row r="869">
          <cell r="A869">
            <v>410274</v>
          </cell>
          <cell r="B869" t="str">
            <v>INTERESES DEV. BCU</v>
          </cell>
          <cell r="C869">
            <v>0</v>
          </cell>
          <cell r="D869">
            <v>48560674</v>
          </cell>
          <cell r="E869">
            <v>0</v>
          </cell>
          <cell r="F869">
            <v>48560674</v>
          </cell>
          <cell r="G869">
            <v>0</v>
          </cell>
          <cell r="H869">
            <v>0</v>
          </cell>
          <cell r="I869">
            <v>0</v>
          </cell>
          <cell r="J869">
            <v>48560674</v>
          </cell>
          <cell r="K869">
            <v>-48560674</v>
          </cell>
        </row>
        <row r="870">
          <cell r="A870">
            <v>410275</v>
          </cell>
          <cell r="B870" t="str">
            <v>INTERESES PERCIBIDOS BCU</v>
          </cell>
          <cell r="C870">
            <v>0</v>
          </cell>
          <cell r="D870">
            <v>32637000</v>
          </cell>
          <cell r="E870">
            <v>0</v>
          </cell>
          <cell r="F870">
            <v>32637000</v>
          </cell>
          <cell r="G870">
            <v>0</v>
          </cell>
          <cell r="H870">
            <v>0</v>
          </cell>
          <cell r="I870">
            <v>0</v>
          </cell>
          <cell r="J870">
            <v>32637000</v>
          </cell>
          <cell r="K870">
            <v>-32637000</v>
          </cell>
        </row>
        <row r="871">
          <cell r="A871">
            <v>410276</v>
          </cell>
          <cell r="B871" t="str">
            <v>REAJUSTES BCU</v>
          </cell>
          <cell r="C871">
            <v>1047508</v>
          </cell>
          <cell r="D871">
            <v>41072378</v>
          </cell>
          <cell r="E871">
            <v>0</v>
          </cell>
          <cell r="F871">
            <v>40024870</v>
          </cell>
          <cell r="G871">
            <v>0</v>
          </cell>
          <cell r="H871">
            <v>0</v>
          </cell>
          <cell r="I871">
            <v>0</v>
          </cell>
          <cell r="J871">
            <v>40024870</v>
          </cell>
          <cell r="K871">
            <v>-40024870</v>
          </cell>
        </row>
        <row r="872">
          <cell r="A872">
            <v>410277</v>
          </cell>
          <cell r="B872" t="str">
            <v>INTERESES DEV. BONOS EXTR</v>
          </cell>
          <cell r="C872">
            <v>0</v>
          </cell>
          <cell r="D872">
            <v>4034350722</v>
          </cell>
          <cell r="E872">
            <v>0</v>
          </cell>
          <cell r="F872">
            <v>4034350722</v>
          </cell>
          <cell r="G872">
            <v>0</v>
          </cell>
          <cell r="H872">
            <v>0</v>
          </cell>
          <cell r="I872">
            <v>0</v>
          </cell>
          <cell r="J872">
            <v>4034350722</v>
          </cell>
          <cell r="K872">
            <v>-4034350722</v>
          </cell>
        </row>
        <row r="873">
          <cell r="A873">
            <v>410278</v>
          </cell>
          <cell r="B873" t="str">
            <v>INTERESES PERCIB. BONOS E</v>
          </cell>
          <cell r="C873">
            <v>0</v>
          </cell>
          <cell r="D873">
            <v>418334714</v>
          </cell>
          <cell r="E873">
            <v>0</v>
          </cell>
          <cell r="F873">
            <v>418334714</v>
          </cell>
          <cell r="G873">
            <v>0</v>
          </cell>
          <cell r="H873">
            <v>0</v>
          </cell>
          <cell r="I873">
            <v>0</v>
          </cell>
          <cell r="J873">
            <v>418334714</v>
          </cell>
          <cell r="K873">
            <v>-418334714</v>
          </cell>
        </row>
        <row r="874">
          <cell r="A874">
            <v>410279</v>
          </cell>
          <cell r="B874" t="str">
            <v>REAJUSTES BONOS EXTRANJER</v>
          </cell>
          <cell r="C874">
            <v>27557174</v>
          </cell>
          <cell r="D874">
            <v>200229271</v>
          </cell>
          <cell r="E874">
            <v>0</v>
          </cell>
          <cell r="F874">
            <v>172672097</v>
          </cell>
          <cell r="G874">
            <v>0</v>
          </cell>
          <cell r="H874">
            <v>0</v>
          </cell>
          <cell r="I874">
            <v>0</v>
          </cell>
          <cell r="J874">
            <v>172672097</v>
          </cell>
          <cell r="K874">
            <v>-172672097</v>
          </cell>
        </row>
        <row r="875">
          <cell r="A875">
            <v>410280</v>
          </cell>
          <cell r="B875" t="str">
            <v>INTERESES DEV. PAGARES EM</v>
          </cell>
          <cell r="C875">
            <v>0</v>
          </cell>
          <cell r="D875">
            <v>344249592</v>
          </cell>
          <cell r="E875">
            <v>0</v>
          </cell>
          <cell r="F875">
            <v>344249592</v>
          </cell>
          <cell r="G875">
            <v>0</v>
          </cell>
          <cell r="H875">
            <v>0</v>
          </cell>
          <cell r="I875">
            <v>0</v>
          </cell>
          <cell r="J875">
            <v>344249592</v>
          </cell>
          <cell r="K875">
            <v>-344249592</v>
          </cell>
        </row>
        <row r="876">
          <cell r="A876">
            <v>410281</v>
          </cell>
          <cell r="B876" t="str">
            <v>INTERESES PERCIB. PAGARES</v>
          </cell>
          <cell r="C876">
            <v>0</v>
          </cell>
          <cell r="D876">
            <v>0</v>
          </cell>
          <cell r="E876">
            <v>0</v>
          </cell>
          <cell r="F876">
            <v>0</v>
          </cell>
          <cell r="G876">
            <v>0</v>
          </cell>
          <cell r="H876">
            <v>0</v>
          </cell>
          <cell r="I876">
            <v>0</v>
          </cell>
          <cell r="J876">
            <v>0</v>
          </cell>
          <cell r="K876">
            <v>0</v>
          </cell>
        </row>
        <row r="877">
          <cell r="A877">
            <v>410282</v>
          </cell>
          <cell r="B877" t="str">
            <v>REAJUSTES PAGARE EMPRESAS</v>
          </cell>
          <cell r="C877">
            <v>0</v>
          </cell>
          <cell r="D877">
            <v>0</v>
          </cell>
          <cell r="E877">
            <v>0</v>
          </cell>
          <cell r="F877">
            <v>0</v>
          </cell>
          <cell r="G877">
            <v>0</v>
          </cell>
          <cell r="H877">
            <v>0</v>
          </cell>
          <cell r="I877">
            <v>0</v>
          </cell>
          <cell r="J877">
            <v>0</v>
          </cell>
          <cell r="K877">
            <v>0</v>
          </cell>
        </row>
        <row r="878">
          <cell r="A878">
            <v>410283</v>
          </cell>
          <cell r="B878" t="str">
            <v>INTERESES DEV. BONOS SECU</v>
          </cell>
          <cell r="C878">
            <v>0</v>
          </cell>
          <cell r="D878">
            <v>1641625235</v>
          </cell>
          <cell r="E878">
            <v>0</v>
          </cell>
          <cell r="F878">
            <v>1641625235</v>
          </cell>
          <cell r="G878">
            <v>0</v>
          </cell>
          <cell r="H878">
            <v>0</v>
          </cell>
          <cell r="I878">
            <v>0</v>
          </cell>
          <cell r="J878">
            <v>1641625235</v>
          </cell>
          <cell r="K878">
            <v>-1641625235</v>
          </cell>
        </row>
        <row r="879">
          <cell r="A879">
            <v>410284</v>
          </cell>
          <cell r="B879" t="str">
            <v>INTERESES PERCIB. BONOS S</v>
          </cell>
          <cell r="C879">
            <v>0</v>
          </cell>
          <cell r="D879">
            <v>422633605</v>
          </cell>
          <cell r="E879">
            <v>0</v>
          </cell>
          <cell r="F879">
            <v>422633605</v>
          </cell>
          <cell r="G879">
            <v>0</v>
          </cell>
          <cell r="H879">
            <v>0</v>
          </cell>
          <cell r="I879">
            <v>0</v>
          </cell>
          <cell r="J879">
            <v>422633605</v>
          </cell>
          <cell r="K879">
            <v>-422633605</v>
          </cell>
        </row>
        <row r="880">
          <cell r="A880">
            <v>410285</v>
          </cell>
          <cell r="B880" t="str">
            <v>REAJUSTES BONOS SECURITIZ</v>
          </cell>
          <cell r="C880">
            <v>30073278</v>
          </cell>
          <cell r="D880">
            <v>197329731</v>
          </cell>
          <cell r="E880">
            <v>0</v>
          </cell>
          <cell r="F880">
            <v>167256453</v>
          </cell>
          <cell r="G880">
            <v>0</v>
          </cell>
          <cell r="H880">
            <v>0</v>
          </cell>
          <cell r="I880">
            <v>0</v>
          </cell>
          <cell r="J880">
            <v>167256453</v>
          </cell>
          <cell r="K880">
            <v>-167256453</v>
          </cell>
        </row>
        <row r="881">
          <cell r="A881">
            <v>410286</v>
          </cell>
          <cell r="B881" t="str">
            <v>INTERESES DEV. BONOS GARA</v>
          </cell>
          <cell r="C881">
            <v>0</v>
          </cell>
          <cell r="D881">
            <v>1026768428</v>
          </cell>
          <cell r="E881">
            <v>0</v>
          </cell>
          <cell r="F881">
            <v>1026768428</v>
          </cell>
          <cell r="G881">
            <v>0</v>
          </cell>
          <cell r="H881">
            <v>0</v>
          </cell>
          <cell r="I881">
            <v>0</v>
          </cell>
          <cell r="J881">
            <v>1026768428</v>
          </cell>
          <cell r="K881">
            <v>-1026768428</v>
          </cell>
        </row>
        <row r="882">
          <cell r="A882">
            <v>410287</v>
          </cell>
          <cell r="B882" t="str">
            <v>INTERESES PERCIB. BONOS G</v>
          </cell>
          <cell r="C882">
            <v>0</v>
          </cell>
          <cell r="D882">
            <v>65299697</v>
          </cell>
          <cell r="E882">
            <v>0</v>
          </cell>
          <cell r="F882">
            <v>65299697</v>
          </cell>
          <cell r="G882">
            <v>0</v>
          </cell>
          <cell r="H882">
            <v>0</v>
          </cell>
          <cell r="I882">
            <v>0</v>
          </cell>
          <cell r="J882">
            <v>65299697</v>
          </cell>
          <cell r="K882">
            <v>-65299697</v>
          </cell>
        </row>
        <row r="883">
          <cell r="A883">
            <v>410288</v>
          </cell>
          <cell r="B883" t="str">
            <v>REAJUSTES BONOS GARANTIZA</v>
          </cell>
          <cell r="C883">
            <v>8105595</v>
          </cell>
          <cell r="D883">
            <v>31680014</v>
          </cell>
          <cell r="E883">
            <v>0</v>
          </cell>
          <cell r="F883">
            <v>23574419</v>
          </cell>
          <cell r="G883">
            <v>0</v>
          </cell>
          <cell r="H883">
            <v>0</v>
          </cell>
          <cell r="I883">
            <v>0</v>
          </cell>
          <cell r="J883">
            <v>23574419</v>
          </cell>
          <cell r="K883">
            <v>-23574419</v>
          </cell>
        </row>
        <row r="884">
          <cell r="A884">
            <v>410289</v>
          </cell>
          <cell r="B884" t="str">
            <v>INTERESES DEVENGADOS BTU</v>
          </cell>
          <cell r="C884">
            <v>0</v>
          </cell>
          <cell r="D884">
            <v>18217408</v>
          </cell>
          <cell r="E884">
            <v>0</v>
          </cell>
          <cell r="F884">
            <v>18217408</v>
          </cell>
          <cell r="G884">
            <v>0</v>
          </cell>
          <cell r="H884">
            <v>0</v>
          </cell>
          <cell r="I884">
            <v>0</v>
          </cell>
          <cell r="J884">
            <v>18217408</v>
          </cell>
          <cell r="K884">
            <v>-18217408</v>
          </cell>
        </row>
        <row r="885">
          <cell r="A885">
            <v>410290</v>
          </cell>
          <cell r="B885" t="str">
            <v>INTERESES PERCIBIDOS BTU</v>
          </cell>
          <cell r="C885">
            <v>0</v>
          </cell>
          <cell r="D885">
            <v>22332287</v>
          </cell>
          <cell r="E885">
            <v>0</v>
          </cell>
          <cell r="F885">
            <v>22332287</v>
          </cell>
          <cell r="G885">
            <v>0</v>
          </cell>
          <cell r="H885">
            <v>0</v>
          </cell>
          <cell r="I885">
            <v>0</v>
          </cell>
          <cell r="J885">
            <v>22332287</v>
          </cell>
          <cell r="K885">
            <v>-22332287</v>
          </cell>
        </row>
        <row r="886">
          <cell r="A886">
            <v>410291</v>
          </cell>
          <cell r="B886" t="str">
            <v>REAJUSTES BTU</v>
          </cell>
          <cell r="C886">
            <v>156877</v>
          </cell>
          <cell r="D886">
            <v>23896474</v>
          </cell>
          <cell r="E886">
            <v>0</v>
          </cell>
          <cell r="F886">
            <v>23739597</v>
          </cell>
          <cell r="G886">
            <v>0</v>
          </cell>
          <cell r="H886">
            <v>0</v>
          </cell>
          <cell r="I886">
            <v>0</v>
          </cell>
          <cell r="J886">
            <v>23739597</v>
          </cell>
          <cell r="K886">
            <v>-23739597</v>
          </cell>
        </row>
        <row r="887">
          <cell r="A887">
            <v>410292</v>
          </cell>
          <cell r="B887" t="str">
            <v>INTERESES PERCIBIDOS CRED</v>
          </cell>
          <cell r="C887">
            <v>0</v>
          </cell>
          <cell r="D887">
            <v>0</v>
          </cell>
          <cell r="E887">
            <v>0</v>
          </cell>
          <cell r="F887">
            <v>0</v>
          </cell>
          <cell r="G887">
            <v>0</v>
          </cell>
          <cell r="H887">
            <v>0</v>
          </cell>
          <cell r="I887">
            <v>0</v>
          </cell>
          <cell r="J887">
            <v>0</v>
          </cell>
          <cell r="K887">
            <v>0</v>
          </cell>
        </row>
        <row r="888">
          <cell r="A888">
            <v>410293</v>
          </cell>
          <cell r="B888" t="str">
            <v>REAJUSTES CREDITOS SINDIC</v>
          </cell>
          <cell r="C888">
            <v>0</v>
          </cell>
          <cell r="D888">
            <v>0</v>
          </cell>
          <cell r="E888">
            <v>0</v>
          </cell>
          <cell r="F888">
            <v>0</v>
          </cell>
          <cell r="G888">
            <v>0</v>
          </cell>
          <cell r="H888">
            <v>0</v>
          </cell>
          <cell r="I888">
            <v>0</v>
          </cell>
          <cell r="J888">
            <v>0</v>
          </cell>
          <cell r="K888">
            <v>0</v>
          </cell>
        </row>
        <row r="889">
          <cell r="A889">
            <v>410294</v>
          </cell>
          <cell r="B889" t="str">
            <v>INTERESES DEV. BONOS VIVI</v>
          </cell>
          <cell r="C889">
            <v>0</v>
          </cell>
          <cell r="D889">
            <v>101447403</v>
          </cell>
          <cell r="E889">
            <v>0</v>
          </cell>
          <cell r="F889">
            <v>101447403</v>
          </cell>
          <cell r="G889">
            <v>0</v>
          </cell>
          <cell r="H889">
            <v>0</v>
          </cell>
          <cell r="I889">
            <v>0</v>
          </cell>
          <cell r="J889">
            <v>101447403</v>
          </cell>
          <cell r="K889">
            <v>-101447403</v>
          </cell>
        </row>
        <row r="890">
          <cell r="A890">
            <v>410295</v>
          </cell>
          <cell r="B890" t="str">
            <v>INTERESES PERCIB. BONOS V</v>
          </cell>
          <cell r="C890">
            <v>0</v>
          </cell>
          <cell r="D890">
            <v>5146302</v>
          </cell>
          <cell r="E890">
            <v>0</v>
          </cell>
          <cell r="F890">
            <v>5146302</v>
          </cell>
          <cell r="G890">
            <v>0</v>
          </cell>
          <cell r="H890">
            <v>0</v>
          </cell>
          <cell r="I890">
            <v>0</v>
          </cell>
          <cell r="J890">
            <v>5146302</v>
          </cell>
          <cell r="K890">
            <v>-5146302</v>
          </cell>
        </row>
        <row r="891">
          <cell r="A891">
            <v>410296</v>
          </cell>
          <cell r="B891" t="str">
            <v>REAJUSTES BONOS VIVIENDA</v>
          </cell>
          <cell r="C891">
            <v>0</v>
          </cell>
          <cell r="D891">
            <v>1656935</v>
          </cell>
          <cell r="E891">
            <v>0</v>
          </cell>
          <cell r="F891">
            <v>1656935</v>
          </cell>
          <cell r="G891">
            <v>0</v>
          </cell>
          <cell r="H891">
            <v>0</v>
          </cell>
          <cell r="I891">
            <v>0</v>
          </cell>
          <cell r="J891">
            <v>1656935</v>
          </cell>
          <cell r="K891">
            <v>-1656935</v>
          </cell>
        </row>
        <row r="892">
          <cell r="A892">
            <v>410297</v>
          </cell>
          <cell r="B892" t="str">
            <v>INTERESES DEV. NOTAS ESTR</v>
          </cell>
          <cell r="C892">
            <v>0</v>
          </cell>
          <cell r="D892">
            <v>0</v>
          </cell>
          <cell r="E892">
            <v>0</v>
          </cell>
          <cell r="F892">
            <v>0</v>
          </cell>
          <cell r="G892">
            <v>0</v>
          </cell>
          <cell r="H892">
            <v>0</v>
          </cell>
          <cell r="I892">
            <v>0</v>
          </cell>
          <cell r="J892">
            <v>0</v>
          </cell>
          <cell r="K892">
            <v>0</v>
          </cell>
        </row>
        <row r="893">
          <cell r="A893">
            <v>410298</v>
          </cell>
          <cell r="B893" t="str">
            <v>INTERESES PERCIB. NOTAS E</v>
          </cell>
          <cell r="C893">
            <v>0</v>
          </cell>
          <cell r="D893">
            <v>0</v>
          </cell>
          <cell r="E893">
            <v>0</v>
          </cell>
          <cell r="F893">
            <v>0</v>
          </cell>
          <cell r="G893">
            <v>0</v>
          </cell>
          <cell r="H893">
            <v>0</v>
          </cell>
          <cell r="I893">
            <v>0</v>
          </cell>
          <cell r="J893">
            <v>0</v>
          </cell>
          <cell r="K893">
            <v>0</v>
          </cell>
        </row>
        <row r="894">
          <cell r="A894">
            <v>410299</v>
          </cell>
          <cell r="B894" t="str">
            <v>REAJUSTES NOTAS ESTRUCTUR</v>
          </cell>
          <cell r="C894">
            <v>0</v>
          </cell>
          <cell r="D894">
            <v>0</v>
          </cell>
          <cell r="E894">
            <v>0</v>
          </cell>
          <cell r="F894">
            <v>0</v>
          </cell>
          <cell r="G894">
            <v>0</v>
          </cell>
          <cell r="H894">
            <v>0</v>
          </cell>
          <cell r="I894">
            <v>0</v>
          </cell>
          <cell r="J894">
            <v>0</v>
          </cell>
          <cell r="K894">
            <v>0</v>
          </cell>
        </row>
        <row r="895">
          <cell r="A895">
            <v>410302</v>
          </cell>
          <cell r="B895" t="str">
            <v>COMISIONES GANADAS LINEA</v>
          </cell>
          <cell r="C895">
            <v>0</v>
          </cell>
          <cell r="D895">
            <v>0</v>
          </cell>
          <cell r="E895">
            <v>0</v>
          </cell>
          <cell r="F895">
            <v>0</v>
          </cell>
          <cell r="G895">
            <v>0</v>
          </cell>
          <cell r="H895">
            <v>0</v>
          </cell>
          <cell r="I895">
            <v>0</v>
          </cell>
          <cell r="J895">
            <v>0</v>
          </cell>
          <cell r="K895">
            <v>0</v>
          </cell>
        </row>
        <row r="896">
          <cell r="A896">
            <v>410320</v>
          </cell>
          <cell r="B896" t="str">
            <v>INTERESES DEVENGADOS BCP</v>
          </cell>
          <cell r="C896">
            <v>0</v>
          </cell>
          <cell r="D896">
            <v>584889</v>
          </cell>
          <cell r="E896">
            <v>0</v>
          </cell>
          <cell r="F896">
            <v>584889</v>
          </cell>
          <cell r="G896">
            <v>0</v>
          </cell>
          <cell r="H896">
            <v>0</v>
          </cell>
          <cell r="I896">
            <v>0</v>
          </cell>
          <cell r="J896">
            <v>584889</v>
          </cell>
          <cell r="K896">
            <v>-584889</v>
          </cell>
        </row>
        <row r="897">
          <cell r="A897">
            <v>410321</v>
          </cell>
          <cell r="B897" t="str">
            <v>INTERESES PERCIBIDOS BCP</v>
          </cell>
          <cell r="C897">
            <v>0</v>
          </cell>
          <cell r="D897">
            <v>10781707</v>
          </cell>
          <cell r="E897">
            <v>0</v>
          </cell>
          <cell r="F897">
            <v>10781707</v>
          </cell>
          <cell r="G897">
            <v>0</v>
          </cell>
          <cell r="H897">
            <v>0</v>
          </cell>
          <cell r="I897">
            <v>0</v>
          </cell>
          <cell r="J897">
            <v>10781707</v>
          </cell>
          <cell r="K897">
            <v>-10781707</v>
          </cell>
        </row>
        <row r="898">
          <cell r="A898">
            <v>410322</v>
          </cell>
          <cell r="B898" t="str">
            <v>REAJUSTES BCP</v>
          </cell>
          <cell r="C898">
            <v>0</v>
          </cell>
          <cell r="D898">
            <v>7247570</v>
          </cell>
          <cell r="E898">
            <v>0</v>
          </cell>
          <cell r="F898">
            <v>7247570</v>
          </cell>
          <cell r="G898">
            <v>0</v>
          </cell>
          <cell r="H898">
            <v>0</v>
          </cell>
          <cell r="I898">
            <v>0</v>
          </cell>
          <cell r="J898">
            <v>7247570</v>
          </cell>
          <cell r="K898">
            <v>-7247570</v>
          </cell>
        </row>
        <row r="899">
          <cell r="A899">
            <v>410323</v>
          </cell>
          <cell r="B899" t="str">
            <v>INTERESES DEVENGADOS BONO</v>
          </cell>
          <cell r="C899">
            <v>0</v>
          </cell>
          <cell r="D899">
            <v>166624962</v>
          </cell>
          <cell r="E899">
            <v>0</v>
          </cell>
          <cell r="F899">
            <v>166624962</v>
          </cell>
          <cell r="G899">
            <v>0</v>
          </cell>
          <cell r="H899">
            <v>0</v>
          </cell>
          <cell r="I899">
            <v>0</v>
          </cell>
          <cell r="J899">
            <v>166624962</v>
          </cell>
          <cell r="K899">
            <v>-166624962</v>
          </cell>
        </row>
        <row r="900">
          <cell r="A900">
            <v>410324</v>
          </cell>
          <cell r="B900" t="str">
            <v>INTERESES PERCIBIDOS BONO</v>
          </cell>
          <cell r="C900">
            <v>0</v>
          </cell>
          <cell r="D900">
            <v>20949767</v>
          </cell>
          <cell r="E900">
            <v>0</v>
          </cell>
          <cell r="F900">
            <v>20949767</v>
          </cell>
          <cell r="G900">
            <v>0</v>
          </cell>
          <cell r="H900">
            <v>0</v>
          </cell>
          <cell r="I900">
            <v>0</v>
          </cell>
          <cell r="J900">
            <v>20949767</v>
          </cell>
          <cell r="K900">
            <v>-20949767</v>
          </cell>
        </row>
        <row r="901">
          <cell r="A901">
            <v>410325</v>
          </cell>
          <cell r="B901" t="str">
            <v>REAJUSTES BONOS EMPRESA T</v>
          </cell>
          <cell r="C901">
            <v>1701375</v>
          </cell>
          <cell r="D901">
            <v>13940745</v>
          </cell>
          <cell r="E901">
            <v>0</v>
          </cell>
          <cell r="F901">
            <v>12239370</v>
          </cell>
          <cell r="G901">
            <v>0</v>
          </cell>
          <cell r="H901">
            <v>0</v>
          </cell>
          <cell r="I901">
            <v>0</v>
          </cell>
          <cell r="J901">
            <v>12239370</v>
          </cell>
          <cell r="K901">
            <v>-12239370</v>
          </cell>
        </row>
        <row r="902">
          <cell r="A902">
            <v>410326</v>
          </cell>
          <cell r="B902" t="str">
            <v>INTERESES DEVENGADOS NOTA</v>
          </cell>
          <cell r="C902">
            <v>0</v>
          </cell>
          <cell r="D902">
            <v>168185200</v>
          </cell>
          <cell r="E902">
            <v>0</v>
          </cell>
          <cell r="F902">
            <v>168185200</v>
          </cell>
          <cell r="G902">
            <v>0</v>
          </cell>
          <cell r="H902">
            <v>0</v>
          </cell>
          <cell r="I902">
            <v>0</v>
          </cell>
          <cell r="J902">
            <v>168185200</v>
          </cell>
          <cell r="K902">
            <v>-168185200</v>
          </cell>
        </row>
        <row r="903">
          <cell r="A903">
            <v>410327</v>
          </cell>
          <cell r="B903" t="str">
            <v>INTERESES PERCIBIDOS NOTA</v>
          </cell>
          <cell r="C903">
            <v>0</v>
          </cell>
          <cell r="D903">
            <v>17666530</v>
          </cell>
          <cell r="E903">
            <v>0</v>
          </cell>
          <cell r="F903">
            <v>17666530</v>
          </cell>
          <cell r="G903">
            <v>0</v>
          </cell>
          <cell r="H903">
            <v>0</v>
          </cell>
          <cell r="I903">
            <v>0</v>
          </cell>
          <cell r="J903">
            <v>17666530</v>
          </cell>
          <cell r="K903">
            <v>-17666530</v>
          </cell>
        </row>
        <row r="904">
          <cell r="A904">
            <v>410328</v>
          </cell>
          <cell r="B904" t="str">
            <v>REAJUSTES NOTAS ESTRUCTUR</v>
          </cell>
          <cell r="C904">
            <v>0</v>
          </cell>
          <cell r="D904">
            <v>12492618</v>
          </cell>
          <cell r="E904">
            <v>0</v>
          </cell>
          <cell r="F904">
            <v>12492618</v>
          </cell>
          <cell r="G904">
            <v>0</v>
          </cell>
          <cell r="H904">
            <v>0</v>
          </cell>
          <cell r="I904">
            <v>0</v>
          </cell>
          <cell r="J904">
            <v>12492618</v>
          </cell>
          <cell r="K904">
            <v>-12492618</v>
          </cell>
        </row>
        <row r="905">
          <cell r="A905">
            <v>410329</v>
          </cell>
          <cell r="B905" t="str">
            <v>INGRESOS POR MUTUOS HIPOT</v>
          </cell>
          <cell r="C905">
            <v>0</v>
          </cell>
          <cell r="D905">
            <v>9811813</v>
          </cell>
          <cell r="E905">
            <v>0</v>
          </cell>
          <cell r="F905">
            <v>9811813</v>
          </cell>
          <cell r="G905">
            <v>0</v>
          </cell>
          <cell r="H905">
            <v>0</v>
          </cell>
          <cell r="I905">
            <v>0</v>
          </cell>
          <cell r="J905">
            <v>9811813</v>
          </cell>
          <cell r="K905">
            <v>-9811813</v>
          </cell>
        </row>
        <row r="906">
          <cell r="A906">
            <v>410331</v>
          </cell>
          <cell r="B906" t="str">
            <v>RESULTADO PROVISION CUOTA</v>
          </cell>
          <cell r="C906">
            <v>55874567</v>
          </cell>
          <cell r="D906">
            <v>30681815</v>
          </cell>
          <cell r="E906">
            <v>25192752</v>
          </cell>
          <cell r="F906">
            <v>0</v>
          </cell>
          <cell r="G906">
            <v>0</v>
          </cell>
          <cell r="H906">
            <v>0</v>
          </cell>
          <cell r="I906">
            <v>25192752</v>
          </cell>
          <cell r="J906">
            <v>0</v>
          </cell>
          <cell r="K906">
            <v>25192752</v>
          </cell>
        </row>
        <row r="907">
          <cell r="A907">
            <v>410401</v>
          </cell>
          <cell r="B907" t="str">
            <v>DEF REASEGURO</v>
          </cell>
          <cell r="C907">
            <v>202839138</v>
          </cell>
          <cell r="D907">
            <v>347031136</v>
          </cell>
          <cell r="E907">
            <v>0</v>
          </cell>
          <cell r="F907">
            <v>144191998</v>
          </cell>
          <cell r="G907">
            <v>0</v>
          </cell>
          <cell r="H907">
            <v>0</v>
          </cell>
          <cell r="I907">
            <v>0</v>
          </cell>
          <cell r="J907">
            <v>144191998</v>
          </cell>
          <cell r="K907">
            <v>-144191998</v>
          </cell>
        </row>
        <row r="908">
          <cell r="A908">
            <v>410480</v>
          </cell>
          <cell r="B908" t="str">
            <v>AJUSTE MERCADO BCU CARTER</v>
          </cell>
          <cell r="C908">
            <v>0</v>
          </cell>
          <cell r="D908">
            <v>27024363</v>
          </cell>
          <cell r="E908">
            <v>0</v>
          </cell>
          <cell r="F908">
            <v>27024363</v>
          </cell>
          <cell r="G908">
            <v>0</v>
          </cell>
          <cell r="H908">
            <v>0</v>
          </cell>
          <cell r="I908">
            <v>0</v>
          </cell>
          <cell r="J908">
            <v>27024363</v>
          </cell>
          <cell r="K908">
            <v>-27024363</v>
          </cell>
        </row>
        <row r="909">
          <cell r="A909">
            <v>410481</v>
          </cell>
          <cell r="B909" t="str">
            <v>AJUSTE MERCADO BONO FINAN</v>
          </cell>
          <cell r="C909">
            <v>83230334</v>
          </cell>
          <cell r="D909">
            <v>15791937</v>
          </cell>
          <cell r="E909">
            <v>67438397</v>
          </cell>
          <cell r="F909">
            <v>0</v>
          </cell>
          <cell r="G909">
            <v>0</v>
          </cell>
          <cell r="H909">
            <v>0</v>
          </cell>
          <cell r="I909">
            <v>67438397</v>
          </cell>
          <cell r="J909">
            <v>0</v>
          </cell>
          <cell r="K909">
            <v>67438397</v>
          </cell>
        </row>
        <row r="910">
          <cell r="A910">
            <v>410482</v>
          </cell>
          <cell r="B910" t="str">
            <v>AJUSTE MERCADO BTU CARTER</v>
          </cell>
          <cell r="C910">
            <v>9765767</v>
          </cell>
          <cell r="D910">
            <v>0</v>
          </cell>
          <cell r="E910">
            <v>9765767</v>
          </cell>
          <cell r="F910">
            <v>0</v>
          </cell>
          <cell r="G910">
            <v>0</v>
          </cell>
          <cell r="H910">
            <v>0</v>
          </cell>
          <cell r="I910">
            <v>9765767</v>
          </cell>
          <cell r="J910">
            <v>0</v>
          </cell>
          <cell r="K910">
            <v>9765767</v>
          </cell>
        </row>
        <row r="911">
          <cell r="A911">
            <v>410483</v>
          </cell>
          <cell r="B911" t="str">
            <v>AJUSTE MERCADO PRC CARTER</v>
          </cell>
          <cell r="C911">
            <v>973426</v>
          </cell>
          <cell r="D911">
            <v>824866</v>
          </cell>
          <cell r="E911">
            <v>148560</v>
          </cell>
          <cell r="F911">
            <v>0</v>
          </cell>
          <cell r="G911">
            <v>0</v>
          </cell>
          <cell r="H911">
            <v>0</v>
          </cell>
          <cell r="I911">
            <v>148560</v>
          </cell>
          <cell r="J911">
            <v>0</v>
          </cell>
          <cell r="K911">
            <v>148560</v>
          </cell>
        </row>
        <row r="912">
          <cell r="A912">
            <v>410484</v>
          </cell>
          <cell r="B912" t="str">
            <v>PROV. FLUCT CCFF MUTUOS S</v>
          </cell>
          <cell r="C912">
            <v>8557759</v>
          </cell>
          <cell r="D912">
            <v>5025437</v>
          </cell>
          <cell r="E912">
            <v>3532322</v>
          </cell>
          <cell r="F912">
            <v>0</v>
          </cell>
          <cell r="G912">
            <v>0</v>
          </cell>
          <cell r="H912">
            <v>0</v>
          </cell>
          <cell r="I912">
            <v>3532322</v>
          </cell>
          <cell r="J912">
            <v>0</v>
          </cell>
          <cell r="K912">
            <v>3532322</v>
          </cell>
        </row>
        <row r="913">
          <cell r="A913">
            <v>410490</v>
          </cell>
          <cell r="B913" t="str">
            <v>INTERESES PRESTAMOS COMPL</v>
          </cell>
          <cell r="C913">
            <v>64204463</v>
          </cell>
          <cell r="D913">
            <v>439853796</v>
          </cell>
          <cell r="E913">
            <v>0</v>
          </cell>
          <cell r="F913">
            <v>375649333</v>
          </cell>
          <cell r="G913">
            <v>0</v>
          </cell>
          <cell r="H913">
            <v>0</v>
          </cell>
          <cell r="I913">
            <v>0</v>
          </cell>
          <cell r="J913">
            <v>375649333</v>
          </cell>
          <cell r="K913">
            <v>-375649333</v>
          </cell>
        </row>
        <row r="914">
          <cell r="A914">
            <v>410491</v>
          </cell>
          <cell r="B914" t="str">
            <v>COMISION DE PREPAGO MH</v>
          </cell>
          <cell r="C914">
            <v>22154</v>
          </cell>
          <cell r="D914">
            <v>698157073</v>
          </cell>
          <cell r="E914">
            <v>0</v>
          </cell>
          <cell r="F914">
            <v>698134919</v>
          </cell>
          <cell r="G914">
            <v>0</v>
          </cell>
          <cell r="H914">
            <v>0</v>
          </cell>
          <cell r="I914">
            <v>0</v>
          </cell>
          <cell r="J914">
            <v>698134919</v>
          </cell>
          <cell r="K914">
            <v>-698134919</v>
          </cell>
        </row>
        <row r="915">
          <cell r="A915">
            <v>410492</v>
          </cell>
          <cell r="B915" t="str">
            <v>UTILIDAD O PERDIDA EN VTA</v>
          </cell>
          <cell r="C915">
            <v>0</v>
          </cell>
          <cell r="D915">
            <v>0</v>
          </cell>
          <cell r="E915">
            <v>0</v>
          </cell>
          <cell r="F915">
            <v>0</v>
          </cell>
          <cell r="G915">
            <v>0</v>
          </cell>
          <cell r="H915">
            <v>0</v>
          </cell>
          <cell r="I915">
            <v>0</v>
          </cell>
          <cell r="J915">
            <v>0</v>
          </cell>
          <cell r="K915">
            <v>0</v>
          </cell>
        </row>
        <row r="916">
          <cell r="A916">
            <v>410494</v>
          </cell>
          <cell r="B916" t="str">
            <v>DIVIDENDOS FIP PRIVADOS</v>
          </cell>
          <cell r="C916">
            <v>0</v>
          </cell>
          <cell r="D916">
            <v>153760000</v>
          </cell>
          <cell r="E916">
            <v>0</v>
          </cell>
          <cell r="F916">
            <v>153760000</v>
          </cell>
          <cell r="G916">
            <v>0</v>
          </cell>
          <cell r="H916">
            <v>0</v>
          </cell>
          <cell r="I916">
            <v>0</v>
          </cell>
          <cell r="J916">
            <v>153760000</v>
          </cell>
          <cell r="K916">
            <v>-153760000</v>
          </cell>
        </row>
        <row r="917">
          <cell r="A917">
            <v>410501</v>
          </cell>
          <cell r="B917" t="str">
            <v>PERDIDA AJUSTE TASA S.V.S</v>
          </cell>
          <cell r="C917">
            <v>0</v>
          </cell>
          <cell r="D917">
            <v>0</v>
          </cell>
          <cell r="E917">
            <v>0</v>
          </cell>
          <cell r="F917">
            <v>0</v>
          </cell>
          <cell r="G917">
            <v>0</v>
          </cell>
          <cell r="H917">
            <v>0</v>
          </cell>
          <cell r="I917">
            <v>0</v>
          </cell>
          <cell r="J917">
            <v>0</v>
          </cell>
          <cell r="K917">
            <v>0</v>
          </cell>
        </row>
        <row r="918">
          <cell r="A918">
            <v>410502</v>
          </cell>
          <cell r="B918" t="str">
            <v>UTIL. Y/O PERDIDA VENTA I</v>
          </cell>
          <cell r="C918">
            <v>286239524</v>
          </cell>
          <cell r="D918">
            <v>970152761</v>
          </cell>
          <cell r="E918">
            <v>0</v>
          </cell>
          <cell r="F918">
            <v>683913237</v>
          </cell>
          <cell r="G918">
            <v>0</v>
          </cell>
          <cell r="H918">
            <v>0</v>
          </cell>
          <cell r="I918">
            <v>0</v>
          </cell>
          <cell r="J918">
            <v>683913237</v>
          </cell>
          <cell r="K918">
            <v>-683913237</v>
          </cell>
        </row>
        <row r="919">
          <cell r="A919">
            <v>410503</v>
          </cell>
          <cell r="B919" t="str">
            <v>COSTO FINANCIAMIENTO PACT</v>
          </cell>
          <cell r="C919">
            <v>479288828</v>
          </cell>
          <cell r="D919">
            <v>0</v>
          </cell>
          <cell r="E919">
            <v>479288828</v>
          </cell>
          <cell r="F919">
            <v>0</v>
          </cell>
          <cell r="G919">
            <v>0</v>
          </cell>
          <cell r="H919">
            <v>0</v>
          </cell>
          <cell r="I919">
            <v>479288828</v>
          </cell>
          <cell r="J919">
            <v>0</v>
          </cell>
          <cell r="K919">
            <v>479288828</v>
          </cell>
        </row>
        <row r="920">
          <cell r="A920">
            <v>410504</v>
          </cell>
          <cell r="B920" t="str">
            <v>PROVISION DIVIDENDOS INCO</v>
          </cell>
          <cell r="C920">
            <v>10132099331</v>
          </cell>
          <cell r="D920">
            <v>7401792971</v>
          </cell>
          <cell r="E920">
            <v>2730306360</v>
          </cell>
          <cell r="F920">
            <v>0</v>
          </cell>
          <cell r="G920">
            <v>0</v>
          </cell>
          <cell r="H920">
            <v>0</v>
          </cell>
          <cell r="I920">
            <v>2730306360</v>
          </cell>
          <cell r="J920">
            <v>0</v>
          </cell>
          <cell r="K920">
            <v>2730306360</v>
          </cell>
        </row>
        <row r="921">
          <cell r="A921">
            <v>410505</v>
          </cell>
          <cell r="B921" t="str">
            <v>DIVIDENDOS ACCIONES NACIO</v>
          </cell>
          <cell r="C921">
            <v>0</v>
          </cell>
          <cell r="D921">
            <v>1455231207</v>
          </cell>
          <cell r="E921">
            <v>0</v>
          </cell>
          <cell r="F921">
            <v>1455231207</v>
          </cell>
          <cell r="G921">
            <v>0</v>
          </cell>
          <cell r="H921">
            <v>0</v>
          </cell>
          <cell r="I921">
            <v>0</v>
          </cell>
          <cell r="J921">
            <v>1455231207</v>
          </cell>
          <cell r="K921">
            <v>-1455231207</v>
          </cell>
        </row>
        <row r="922">
          <cell r="A922">
            <v>410506</v>
          </cell>
          <cell r="B922" t="str">
            <v>UTILIDAD O PERDIDA VENTA</v>
          </cell>
          <cell r="C922">
            <v>4440000</v>
          </cell>
          <cell r="D922">
            <v>2153162736</v>
          </cell>
          <cell r="E922">
            <v>0</v>
          </cell>
          <cell r="F922">
            <v>2148722736</v>
          </cell>
          <cell r="G922">
            <v>0</v>
          </cell>
          <cell r="H922">
            <v>0</v>
          </cell>
          <cell r="I922">
            <v>0</v>
          </cell>
          <cell r="J922">
            <v>2148722736</v>
          </cell>
          <cell r="K922">
            <v>-2148722736</v>
          </cell>
        </row>
        <row r="923">
          <cell r="A923">
            <v>410507</v>
          </cell>
          <cell r="B923" t="str">
            <v>PROV. ACCIONES NACIONALES</v>
          </cell>
          <cell r="C923">
            <v>3418194821</v>
          </cell>
          <cell r="D923">
            <v>4030287371</v>
          </cell>
          <cell r="E923">
            <v>0</v>
          </cell>
          <cell r="F923">
            <v>612092550</v>
          </cell>
          <cell r="G923">
            <v>0</v>
          </cell>
          <cell r="H923">
            <v>0</v>
          </cell>
          <cell r="I923">
            <v>0</v>
          </cell>
          <cell r="J923">
            <v>612092550</v>
          </cell>
          <cell r="K923">
            <v>-612092550</v>
          </cell>
        </row>
        <row r="924">
          <cell r="A924">
            <v>410508</v>
          </cell>
          <cell r="B924" t="str">
            <v>PROV. CUOTAS DE FONDOS DE</v>
          </cell>
          <cell r="C924">
            <v>30796022923</v>
          </cell>
          <cell r="D924">
            <v>30164644903</v>
          </cell>
          <cell r="E924">
            <v>631378020</v>
          </cell>
          <cell r="F924">
            <v>0</v>
          </cell>
          <cell r="G924">
            <v>0</v>
          </cell>
          <cell r="H924">
            <v>0</v>
          </cell>
          <cell r="I924">
            <v>631378020</v>
          </cell>
          <cell r="J924">
            <v>0</v>
          </cell>
          <cell r="K924">
            <v>631378020</v>
          </cell>
        </row>
        <row r="925">
          <cell r="A925">
            <v>410509</v>
          </cell>
          <cell r="B925" t="str">
            <v>INTERESES PRESTAMOS PENSI</v>
          </cell>
          <cell r="C925">
            <v>444374937</v>
          </cell>
          <cell r="D925">
            <v>3589450287</v>
          </cell>
          <cell r="E925">
            <v>0</v>
          </cell>
          <cell r="F925">
            <v>3145075350</v>
          </cell>
          <cell r="G925">
            <v>0</v>
          </cell>
          <cell r="H925">
            <v>0</v>
          </cell>
          <cell r="I925">
            <v>0</v>
          </cell>
          <cell r="J925">
            <v>3145075350</v>
          </cell>
          <cell r="K925">
            <v>-3145075350</v>
          </cell>
        </row>
        <row r="926">
          <cell r="A926">
            <v>410511</v>
          </cell>
          <cell r="B926" t="str">
            <v>INTERESES POR MORA</v>
          </cell>
          <cell r="C926">
            <v>0</v>
          </cell>
          <cell r="D926">
            <v>59643847</v>
          </cell>
          <cell r="E926">
            <v>0</v>
          </cell>
          <cell r="F926">
            <v>59643847</v>
          </cell>
          <cell r="G926">
            <v>0</v>
          </cell>
          <cell r="H926">
            <v>0</v>
          </cell>
          <cell r="I926">
            <v>0</v>
          </cell>
          <cell r="J926">
            <v>59643847</v>
          </cell>
          <cell r="K926">
            <v>-59643847</v>
          </cell>
        </row>
        <row r="927">
          <cell r="A927">
            <v>410512</v>
          </cell>
          <cell r="B927" t="str">
            <v>INGRESOS DE COBRANZA</v>
          </cell>
          <cell r="C927">
            <v>0</v>
          </cell>
          <cell r="D927">
            <v>0</v>
          </cell>
          <cell r="E927">
            <v>0</v>
          </cell>
          <cell r="F927">
            <v>0</v>
          </cell>
          <cell r="G927">
            <v>0</v>
          </cell>
          <cell r="H927">
            <v>0</v>
          </cell>
          <cell r="I927">
            <v>0</v>
          </cell>
          <cell r="J927">
            <v>0</v>
          </cell>
          <cell r="K927">
            <v>0</v>
          </cell>
        </row>
        <row r="928">
          <cell r="A928">
            <v>410513</v>
          </cell>
          <cell r="B928" t="str">
            <v>ARRIENDOS PERCIBIDOS</v>
          </cell>
          <cell r="C928">
            <v>0</v>
          </cell>
          <cell r="D928">
            <v>0</v>
          </cell>
          <cell r="E928">
            <v>0</v>
          </cell>
          <cell r="F928">
            <v>0</v>
          </cell>
          <cell r="G928">
            <v>0</v>
          </cell>
          <cell r="H928">
            <v>0</v>
          </cell>
          <cell r="I928">
            <v>0</v>
          </cell>
          <cell r="J928">
            <v>0</v>
          </cell>
          <cell r="K928">
            <v>0</v>
          </cell>
        </row>
        <row r="929">
          <cell r="A929">
            <v>410514</v>
          </cell>
          <cell r="B929" t="str">
            <v>ARRIENDOS DEVENGADOS</v>
          </cell>
          <cell r="C929">
            <v>19892256</v>
          </cell>
          <cell r="D929">
            <v>7011612462</v>
          </cell>
          <cell r="E929">
            <v>0</v>
          </cell>
          <cell r="F929">
            <v>6991720206</v>
          </cell>
          <cell r="G929">
            <v>0</v>
          </cell>
          <cell r="H929">
            <v>0</v>
          </cell>
          <cell r="I929">
            <v>0</v>
          </cell>
          <cell r="J929">
            <v>6991720206</v>
          </cell>
          <cell r="K929">
            <v>-6991720206</v>
          </cell>
        </row>
        <row r="930">
          <cell r="A930">
            <v>410515</v>
          </cell>
          <cell r="B930" t="str">
            <v>RESULTADO POR VTA. ACTIVO</v>
          </cell>
          <cell r="C930">
            <v>1490682</v>
          </cell>
          <cell r="D930">
            <v>176143722</v>
          </cell>
          <cell r="E930">
            <v>0</v>
          </cell>
          <cell r="F930">
            <v>174653040</v>
          </cell>
          <cell r="G930">
            <v>0</v>
          </cell>
          <cell r="H930">
            <v>0</v>
          </cell>
          <cell r="I930">
            <v>0</v>
          </cell>
          <cell r="J930">
            <v>174653040</v>
          </cell>
          <cell r="K930">
            <v>-174653040</v>
          </cell>
        </row>
        <row r="931">
          <cell r="A931">
            <v>410516</v>
          </cell>
          <cell r="B931" t="str">
            <v>INTERESES PRESTAMOS RELAC</v>
          </cell>
          <cell r="C931">
            <v>0</v>
          </cell>
          <cell r="D931">
            <v>0</v>
          </cell>
          <cell r="E931">
            <v>0</v>
          </cell>
          <cell r="F931">
            <v>0</v>
          </cell>
          <cell r="G931">
            <v>0</v>
          </cell>
          <cell r="H931">
            <v>0</v>
          </cell>
          <cell r="I931">
            <v>0</v>
          </cell>
          <cell r="J931">
            <v>0</v>
          </cell>
          <cell r="K931">
            <v>0</v>
          </cell>
        </row>
        <row r="932">
          <cell r="A932">
            <v>410517</v>
          </cell>
          <cell r="B932" t="str">
            <v>FLUCTUACION DCV VIDA</v>
          </cell>
          <cell r="C932">
            <v>26865559</v>
          </cell>
          <cell r="D932">
            <v>33890655</v>
          </cell>
          <cell r="E932">
            <v>0</v>
          </cell>
          <cell r="F932">
            <v>7025096</v>
          </cell>
          <cell r="G932">
            <v>0</v>
          </cell>
          <cell r="H932">
            <v>0</v>
          </cell>
          <cell r="I932">
            <v>0</v>
          </cell>
          <cell r="J932">
            <v>7025096</v>
          </cell>
          <cell r="K932">
            <v>-7025096</v>
          </cell>
        </row>
        <row r="933">
          <cell r="A933">
            <v>410518</v>
          </cell>
          <cell r="B933" t="str">
            <v>ARRIENDOS PERCIBIDOS EX-L</v>
          </cell>
          <cell r="C933">
            <v>0</v>
          </cell>
          <cell r="D933">
            <v>0</v>
          </cell>
          <cell r="E933">
            <v>0</v>
          </cell>
          <cell r="F933">
            <v>0</v>
          </cell>
          <cell r="G933">
            <v>0</v>
          </cell>
          <cell r="H933">
            <v>0</v>
          </cell>
          <cell r="I933">
            <v>0</v>
          </cell>
          <cell r="J933">
            <v>0</v>
          </cell>
          <cell r="K933">
            <v>0</v>
          </cell>
        </row>
        <row r="934">
          <cell r="A934">
            <v>410519</v>
          </cell>
          <cell r="B934" t="str">
            <v>ARRIENDOS DEVENGADOS EX-L</v>
          </cell>
          <cell r="C934">
            <v>0</v>
          </cell>
          <cell r="D934">
            <v>0</v>
          </cell>
          <cell r="E934">
            <v>0</v>
          </cell>
          <cell r="F934">
            <v>0</v>
          </cell>
          <cell r="G934">
            <v>0</v>
          </cell>
          <cell r="H934">
            <v>0</v>
          </cell>
          <cell r="I934">
            <v>0</v>
          </cell>
          <cell r="J934">
            <v>0</v>
          </cell>
          <cell r="K934">
            <v>0</v>
          </cell>
        </row>
        <row r="935">
          <cell r="A935">
            <v>410520</v>
          </cell>
          <cell r="B935" t="str">
            <v>PERCIBIDO PACTOS</v>
          </cell>
          <cell r="C935">
            <v>0</v>
          </cell>
          <cell r="D935">
            <v>0</v>
          </cell>
          <cell r="E935">
            <v>0</v>
          </cell>
          <cell r="F935">
            <v>0</v>
          </cell>
          <cell r="G935">
            <v>0</v>
          </cell>
          <cell r="H935">
            <v>0</v>
          </cell>
          <cell r="I935">
            <v>0</v>
          </cell>
          <cell r="J935">
            <v>0</v>
          </cell>
          <cell r="K935">
            <v>0</v>
          </cell>
        </row>
        <row r="936">
          <cell r="A936">
            <v>410521</v>
          </cell>
          <cell r="B936" t="str">
            <v>DEVENGADO PACTOS</v>
          </cell>
          <cell r="C936">
            <v>0</v>
          </cell>
          <cell r="D936">
            <v>200319491</v>
          </cell>
          <cell r="E936">
            <v>0</v>
          </cell>
          <cell r="F936">
            <v>200319491</v>
          </cell>
          <cell r="G936">
            <v>0</v>
          </cell>
          <cell r="H936">
            <v>0</v>
          </cell>
          <cell r="I936">
            <v>0</v>
          </cell>
          <cell r="J936">
            <v>200319491</v>
          </cell>
          <cell r="K936">
            <v>-200319491</v>
          </cell>
        </row>
        <row r="937">
          <cell r="A937">
            <v>410522</v>
          </cell>
          <cell r="B937" t="str">
            <v>INTERESES POR MORA LEASIN</v>
          </cell>
          <cell r="C937">
            <v>166944</v>
          </cell>
          <cell r="D937">
            <v>11230837</v>
          </cell>
          <cell r="E937">
            <v>0</v>
          </cell>
          <cell r="F937">
            <v>11063893</v>
          </cell>
          <cell r="G937">
            <v>0</v>
          </cell>
          <cell r="H937">
            <v>0</v>
          </cell>
          <cell r="I937">
            <v>0</v>
          </cell>
          <cell r="J937">
            <v>11063893</v>
          </cell>
          <cell r="K937">
            <v>-11063893</v>
          </cell>
        </row>
        <row r="938">
          <cell r="A938">
            <v>410523</v>
          </cell>
          <cell r="B938" t="str">
            <v>INTERESES POR MORA ARRIEN</v>
          </cell>
          <cell r="C938">
            <v>0</v>
          </cell>
          <cell r="D938">
            <v>0</v>
          </cell>
          <cell r="E938">
            <v>0</v>
          </cell>
          <cell r="F938">
            <v>0</v>
          </cell>
          <cell r="G938">
            <v>0</v>
          </cell>
          <cell r="H938">
            <v>0</v>
          </cell>
          <cell r="I938">
            <v>0</v>
          </cell>
          <cell r="J938">
            <v>0</v>
          </cell>
          <cell r="K938">
            <v>0</v>
          </cell>
        </row>
        <row r="939">
          <cell r="A939">
            <v>410524</v>
          </cell>
          <cell r="B939" t="str">
            <v>INTERESES POR MORA ARRIEN</v>
          </cell>
          <cell r="C939">
            <v>943038</v>
          </cell>
          <cell r="D939">
            <v>21107574</v>
          </cell>
          <cell r="E939">
            <v>0</v>
          </cell>
          <cell r="F939">
            <v>20164536</v>
          </cell>
          <cell r="G939">
            <v>0</v>
          </cell>
          <cell r="H939">
            <v>0</v>
          </cell>
          <cell r="I939">
            <v>0</v>
          </cell>
          <cell r="J939">
            <v>20164536</v>
          </cell>
          <cell r="K939">
            <v>-20164536</v>
          </cell>
        </row>
        <row r="940">
          <cell r="A940">
            <v>410525</v>
          </cell>
          <cell r="B940" t="str">
            <v>DIVIDENDOS ACCIONES EXTRA</v>
          </cell>
          <cell r="C940">
            <v>0</v>
          </cell>
          <cell r="D940">
            <v>0</v>
          </cell>
          <cell r="E940">
            <v>0</v>
          </cell>
          <cell r="F940">
            <v>0</v>
          </cell>
          <cell r="G940">
            <v>0</v>
          </cell>
          <cell r="H940">
            <v>0</v>
          </cell>
          <cell r="I940">
            <v>0</v>
          </cell>
          <cell r="J940">
            <v>0</v>
          </cell>
          <cell r="K940">
            <v>0</v>
          </cell>
        </row>
        <row r="941">
          <cell r="A941">
            <v>410526</v>
          </cell>
          <cell r="B941" t="str">
            <v>INTERESES LEASING DEVENGA</v>
          </cell>
          <cell r="C941">
            <v>0</v>
          </cell>
          <cell r="D941">
            <v>302428280</v>
          </cell>
          <cell r="E941">
            <v>0</v>
          </cell>
          <cell r="F941">
            <v>302428280</v>
          </cell>
          <cell r="G941">
            <v>0</v>
          </cell>
          <cell r="H941">
            <v>0</v>
          </cell>
          <cell r="I941">
            <v>0</v>
          </cell>
          <cell r="J941">
            <v>302428280</v>
          </cell>
          <cell r="K941">
            <v>-302428280</v>
          </cell>
        </row>
        <row r="942">
          <cell r="A942">
            <v>410529</v>
          </cell>
          <cell r="B942" t="str">
            <v>REAJUSTES GARANTIAS ARRIE</v>
          </cell>
          <cell r="C942">
            <v>0</v>
          </cell>
          <cell r="D942">
            <v>0</v>
          </cell>
          <cell r="E942">
            <v>0</v>
          </cell>
          <cell r="F942">
            <v>0</v>
          </cell>
          <cell r="G942">
            <v>0</v>
          </cell>
          <cell r="H942">
            <v>0</v>
          </cell>
          <cell r="I942">
            <v>0</v>
          </cell>
          <cell r="J942">
            <v>0</v>
          </cell>
          <cell r="K942">
            <v>0</v>
          </cell>
        </row>
        <row r="943">
          <cell r="A943">
            <v>410532</v>
          </cell>
          <cell r="B943" t="str">
            <v>SVI COMISION INTERMEDIACI</v>
          </cell>
          <cell r="C943">
            <v>0</v>
          </cell>
          <cell r="D943">
            <v>131339839</v>
          </cell>
          <cell r="E943">
            <v>0</v>
          </cell>
          <cell r="F943">
            <v>131339839</v>
          </cell>
          <cell r="G943">
            <v>0</v>
          </cell>
          <cell r="H943">
            <v>0</v>
          </cell>
          <cell r="I943">
            <v>0</v>
          </cell>
          <cell r="J943">
            <v>131339839</v>
          </cell>
          <cell r="K943">
            <v>-131339839</v>
          </cell>
        </row>
        <row r="944">
          <cell r="A944">
            <v>410536</v>
          </cell>
          <cell r="B944" t="str">
            <v>PROV. CTA CTE INMOB PARQU</v>
          </cell>
          <cell r="C944">
            <v>0</v>
          </cell>
          <cell r="D944">
            <v>0</v>
          </cell>
          <cell r="E944">
            <v>0</v>
          </cell>
          <cell r="F944">
            <v>0</v>
          </cell>
          <cell r="G944">
            <v>0</v>
          </cell>
          <cell r="H944">
            <v>0</v>
          </cell>
          <cell r="I944">
            <v>0</v>
          </cell>
          <cell r="J944">
            <v>0</v>
          </cell>
          <cell r="K944">
            <v>0</v>
          </cell>
        </row>
        <row r="945">
          <cell r="A945">
            <v>410537</v>
          </cell>
          <cell r="B945" t="str">
            <v>FLUCT. INMOB Y CONST. NUE</v>
          </cell>
          <cell r="C945">
            <v>0</v>
          </cell>
          <cell r="D945">
            <v>8484208</v>
          </cell>
          <cell r="E945">
            <v>0</v>
          </cell>
          <cell r="F945">
            <v>8484208</v>
          </cell>
          <cell r="G945">
            <v>0</v>
          </cell>
          <cell r="H945">
            <v>0</v>
          </cell>
          <cell r="I945">
            <v>0</v>
          </cell>
          <cell r="J945">
            <v>8484208</v>
          </cell>
          <cell r="K945">
            <v>-8484208</v>
          </cell>
        </row>
        <row r="946">
          <cell r="A946">
            <v>410538</v>
          </cell>
          <cell r="B946" t="str">
            <v>UTILIDAD O PERDIDA VENTA</v>
          </cell>
          <cell r="C946">
            <v>0</v>
          </cell>
          <cell r="D946">
            <v>307144909</v>
          </cell>
          <cell r="E946">
            <v>0</v>
          </cell>
          <cell r="F946">
            <v>307144909</v>
          </cell>
          <cell r="G946">
            <v>0</v>
          </cell>
          <cell r="H946">
            <v>0</v>
          </cell>
          <cell r="I946">
            <v>0</v>
          </cell>
          <cell r="J946">
            <v>307144909</v>
          </cell>
          <cell r="K946">
            <v>-307144909</v>
          </cell>
        </row>
        <row r="947">
          <cell r="A947">
            <v>410539</v>
          </cell>
          <cell r="B947" t="str">
            <v>RESULTADO POR VTA. BIENES</v>
          </cell>
          <cell r="C947">
            <v>32736961</v>
          </cell>
          <cell r="D947">
            <v>114848386</v>
          </cell>
          <cell r="E947">
            <v>0</v>
          </cell>
          <cell r="F947">
            <v>82111425</v>
          </cell>
          <cell r="G947">
            <v>0</v>
          </cell>
          <cell r="H947">
            <v>0</v>
          </cell>
          <cell r="I947">
            <v>0</v>
          </cell>
          <cell r="J947">
            <v>82111425</v>
          </cell>
          <cell r="K947">
            <v>-82111425</v>
          </cell>
        </row>
        <row r="948">
          <cell r="A948">
            <v>410540</v>
          </cell>
          <cell r="B948" t="str">
            <v>PROVISION FLUCTUACION ADR</v>
          </cell>
          <cell r="C948">
            <v>33296466</v>
          </cell>
          <cell r="D948">
            <v>55625429</v>
          </cell>
          <cell r="E948">
            <v>0</v>
          </cell>
          <cell r="F948">
            <v>22328963</v>
          </cell>
          <cell r="G948">
            <v>0</v>
          </cell>
          <cell r="H948">
            <v>0</v>
          </cell>
          <cell r="I948">
            <v>0</v>
          </cell>
          <cell r="J948">
            <v>22328963</v>
          </cell>
          <cell r="K948">
            <v>-22328963</v>
          </cell>
        </row>
        <row r="949">
          <cell r="A949">
            <v>410541</v>
          </cell>
          <cell r="B949" t="str">
            <v>UTILIDAD O PERDIDA VENTA</v>
          </cell>
          <cell r="C949">
            <v>4556517344</v>
          </cell>
          <cell r="D949">
            <v>4438140970</v>
          </cell>
          <cell r="E949">
            <v>118376374</v>
          </cell>
          <cell r="F949">
            <v>0</v>
          </cell>
          <cell r="G949">
            <v>0</v>
          </cell>
          <cell r="H949">
            <v>0</v>
          </cell>
          <cell r="I949">
            <v>118376374</v>
          </cell>
          <cell r="J949">
            <v>0</v>
          </cell>
          <cell r="K949">
            <v>118376374</v>
          </cell>
        </row>
        <row r="950">
          <cell r="A950">
            <v>410545</v>
          </cell>
          <cell r="B950" t="str">
            <v>PROVISIÓN ADICIONAL MH IN</v>
          </cell>
          <cell r="C950">
            <v>0</v>
          </cell>
          <cell r="D950">
            <v>2530099972</v>
          </cell>
          <cell r="E950">
            <v>0</v>
          </cell>
          <cell r="F950">
            <v>2530099972</v>
          </cell>
          <cell r="G950">
            <v>0</v>
          </cell>
          <cell r="H950">
            <v>0</v>
          </cell>
          <cell r="I950">
            <v>0</v>
          </cell>
          <cell r="J950">
            <v>2530099972</v>
          </cell>
          <cell r="K950">
            <v>-2530099972</v>
          </cell>
        </row>
        <row r="951">
          <cell r="A951">
            <v>410546</v>
          </cell>
          <cell r="B951" t="str">
            <v>DETERIORO INVERSIÓN PIEDR</v>
          </cell>
          <cell r="C951">
            <v>58795604</v>
          </cell>
          <cell r="D951">
            <v>1318348666</v>
          </cell>
          <cell r="E951">
            <v>0</v>
          </cell>
          <cell r="F951">
            <v>1259553062</v>
          </cell>
          <cell r="G951">
            <v>0</v>
          </cell>
          <cell r="H951">
            <v>0</v>
          </cell>
          <cell r="I951">
            <v>0</v>
          </cell>
          <cell r="J951">
            <v>1259553062</v>
          </cell>
          <cell r="K951">
            <v>-1259553062</v>
          </cell>
        </row>
        <row r="952">
          <cell r="A952">
            <v>410547</v>
          </cell>
          <cell r="B952" t="str">
            <v>FLUCT. INMOB PARQUE LOS N</v>
          </cell>
          <cell r="C952">
            <v>0</v>
          </cell>
          <cell r="D952">
            <v>0</v>
          </cell>
          <cell r="E952">
            <v>0</v>
          </cell>
          <cell r="F952">
            <v>0</v>
          </cell>
          <cell r="G952">
            <v>0</v>
          </cell>
          <cell r="H952">
            <v>0</v>
          </cell>
          <cell r="I952">
            <v>0</v>
          </cell>
          <cell r="J952">
            <v>0</v>
          </cell>
          <cell r="K952">
            <v>0</v>
          </cell>
        </row>
        <row r="953">
          <cell r="A953">
            <v>410547</v>
          </cell>
          <cell r="B953" t="str">
            <v>FLUCT. INMOB PARQUE LOS N</v>
          </cell>
          <cell r="C953">
            <v>0</v>
          </cell>
          <cell r="D953">
            <v>0</v>
          </cell>
          <cell r="E953">
            <v>0</v>
          </cell>
          <cell r="F953">
            <v>0</v>
          </cell>
          <cell r="G953">
            <v>0</v>
          </cell>
          <cell r="H953">
            <v>0</v>
          </cell>
          <cell r="I953">
            <v>0</v>
          </cell>
          <cell r="J953">
            <v>0</v>
          </cell>
          <cell r="K953">
            <v>0</v>
          </cell>
        </row>
        <row r="954">
          <cell r="A954">
            <v>410548</v>
          </cell>
          <cell r="B954" t="str">
            <v>FLUCTUACION BONOS BANCARI</v>
          </cell>
          <cell r="C954">
            <v>0</v>
          </cell>
          <cell r="D954">
            <v>0</v>
          </cell>
          <cell r="E954">
            <v>0</v>
          </cell>
          <cell r="F954">
            <v>0</v>
          </cell>
          <cell r="G954">
            <v>0</v>
          </cell>
          <cell r="H954">
            <v>0</v>
          </cell>
          <cell r="I954">
            <v>0</v>
          </cell>
          <cell r="J954">
            <v>0</v>
          </cell>
          <cell r="K954">
            <v>0</v>
          </cell>
        </row>
        <row r="955">
          <cell r="A955">
            <v>410549</v>
          </cell>
          <cell r="B955" t="str">
            <v>DIVIDENDOS CUOTAS FONDOS</v>
          </cell>
          <cell r="C955">
            <v>0</v>
          </cell>
          <cell r="D955">
            <v>254057726</v>
          </cell>
          <cell r="E955">
            <v>0</v>
          </cell>
          <cell r="F955">
            <v>254057726</v>
          </cell>
          <cell r="G955">
            <v>0</v>
          </cell>
          <cell r="H955">
            <v>0</v>
          </cell>
          <cell r="I955">
            <v>0</v>
          </cell>
          <cell r="J955">
            <v>254057726</v>
          </cell>
          <cell r="K955">
            <v>-254057726</v>
          </cell>
        </row>
        <row r="956">
          <cell r="A956">
            <v>410550</v>
          </cell>
          <cell r="B956" t="str">
            <v>DIVIDENDOS CUOTAS FONDOS</v>
          </cell>
          <cell r="C956">
            <v>0</v>
          </cell>
          <cell r="D956">
            <v>14645630</v>
          </cell>
          <cell r="E956">
            <v>0</v>
          </cell>
          <cell r="F956">
            <v>14645630</v>
          </cell>
          <cell r="G956">
            <v>0</v>
          </cell>
          <cell r="H956">
            <v>0</v>
          </cell>
          <cell r="I956">
            <v>0</v>
          </cell>
          <cell r="J956">
            <v>14645630</v>
          </cell>
          <cell r="K956">
            <v>-14645630</v>
          </cell>
        </row>
        <row r="957">
          <cell r="A957">
            <v>410551</v>
          </cell>
          <cell r="B957" t="str">
            <v>PERCIBIDO INVERSIÓN EXTRA</v>
          </cell>
          <cell r="C957">
            <v>0</v>
          </cell>
          <cell r="D957">
            <v>0</v>
          </cell>
          <cell r="E957">
            <v>0</v>
          </cell>
          <cell r="F957">
            <v>0</v>
          </cell>
          <cell r="G957">
            <v>0</v>
          </cell>
          <cell r="H957">
            <v>0</v>
          </cell>
          <cell r="I957">
            <v>0</v>
          </cell>
          <cell r="J957">
            <v>0</v>
          </cell>
          <cell r="K957">
            <v>0</v>
          </cell>
        </row>
        <row r="958">
          <cell r="A958">
            <v>410552</v>
          </cell>
          <cell r="B958" t="str">
            <v>DEVENGADO INVERSIÓN EXTRA</v>
          </cell>
          <cell r="C958">
            <v>0</v>
          </cell>
          <cell r="D958">
            <v>0</v>
          </cell>
          <cell r="E958">
            <v>0</v>
          </cell>
          <cell r="F958">
            <v>0</v>
          </cell>
          <cell r="G958">
            <v>0</v>
          </cell>
          <cell r="H958">
            <v>0</v>
          </cell>
          <cell r="I958">
            <v>0</v>
          </cell>
          <cell r="J958">
            <v>0</v>
          </cell>
          <cell r="K958">
            <v>0</v>
          </cell>
        </row>
        <row r="959">
          <cell r="A959">
            <v>410553</v>
          </cell>
          <cell r="B959" t="str">
            <v>FLUCTUACION SANITARIA AGU</v>
          </cell>
          <cell r="C959">
            <v>0</v>
          </cell>
          <cell r="D959">
            <v>0</v>
          </cell>
          <cell r="E959">
            <v>0</v>
          </cell>
          <cell r="F959">
            <v>0</v>
          </cell>
          <cell r="G959">
            <v>0</v>
          </cell>
          <cell r="H959">
            <v>0</v>
          </cell>
          <cell r="I959">
            <v>0</v>
          </cell>
          <cell r="J959">
            <v>0</v>
          </cell>
          <cell r="K959">
            <v>0</v>
          </cell>
        </row>
        <row r="960">
          <cell r="A960">
            <v>410554</v>
          </cell>
          <cell r="B960" t="str">
            <v>FLUCTUACION EL COIHUE DOS</v>
          </cell>
          <cell r="C960">
            <v>0</v>
          </cell>
          <cell r="D960">
            <v>0</v>
          </cell>
          <cell r="E960">
            <v>0</v>
          </cell>
          <cell r="F960">
            <v>0</v>
          </cell>
          <cell r="G960">
            <v>0</v>
          </cell>
          <cell r="H960">
            <v>0</v>
          </cell>
          <cell r="I960">
            <v>0</v>
          </cell>
          <cell r="J960">
            <v>0</v>
          </cell>
          <cell r="K960">
            <v>0</v>
          </cell>
        </row>
        <row r="961">
          <cell r="A961">
            <v>410555</v>
          </cell>
          <cell r="B961" t="str">
            <v>PROV. CUOTAS DE FDOS. NAC</v>
          </cell>
          <cell r="C961">
            <v>61798624</v>
          </cell>
          <cell r="D961">
            <v>621443864</v>
          </cell>
          <cell r="E961">
            <v>0</v>
          </cell>
          <cell r="F961">
            <v>559645240</v>
          </cell>
          <cell r="G961">
            <v>0</v>
          </cell>
          <cell r="H961">
            <v>0</v>
          </cell>
          <cell r="I961">
            <v>0</v>
          </cell>
          <cell r="J961">
            <v>559645240</v>
          </cell>
          <cell r="K961">
            <v>-559645240</v>
          </cell>
        </row>
        <row r="962">
          <cell r="A962">
            <v>410556</v>
          </cell>
          <cell r="B962" t="str">
            <v>RESULTADO EN VENTA CUOTAS</v>
          </cell>
          <cell r="C962">
            <v>0</v>
          </cell>
          <cell r="D962">
            <v>0</v>
          </cell>
          <cell r="E962">
            <v>0</v>
          </cell>
          <cell r="F962">
            <v>0</v>
          </cell>
          <cell r="G962">
            <v>0</v>
          </cell>
          <cell r="H962">
            <v>0</v>
          </cell>
          <cell r="I962">
            <v>0</v>
          </cell>
          <cell r="J962">
            <v>0</v>
          </cell>
          <cell r="K962">
            <v>0</v>
          </cell>
        </row>
        <row r="963">
          <cell r="A963">
            <v>410557</v>
          </cell>
          <cell r="B963" t="str">
            <v>DIVIDENDOS CUOTAS FDOS NA</v>
          </cell>
          <cell r="C963">
            <v>0</v>
          </cell>
          <cell r="D963">
            <v>175292355</v>
          </cell>
          <cell r="E963">
            <v>0</v>
          </cell>
          <cell r="F963">
            <v>175292355</v>
          </cell>
          <cell r="G963">
            <v>0</v>
          </cell>
          <cell r="H963">
            <v>0</v>
          </cell>
          <cell r="I963">
            <v>0</v>
          </cell>
          <cell r="J963">
            <v>175292355</v>
          </cell>
          <cell r="K963">
            <v>-175292355</v>
          </cell>
        </row>
        <row r="964">
          <cell r="A964">
            <v>410559</v>
          </cell>
          <cell r="B964" t="str">
            <v>PROVISION EXCHANGE TRADED</v>
          </cell>
          <cell r="C964">
            <v>561907751</v>
          </cell>
          <cell r="D964">
            <v>1238976432</v>
          </cell>
          <cell r="E964">
            <v>0</v>
          </cell>
          <cell r="F964">
            <v>677068681</v>
          </cell>
          <cell r="G964">
            <v>0</v>
          </cell>
          <cell r="H964">
            <v>0</v>
          </cell>
          <cell r="I964">
            <v>0</v>
          </cell>
          <cell r="J964">
            <v>677068681</v>
          </cell>
          <cell r="K964">
            <v>-677068681</v>
          </cell>
        </row>
        <row r="965">
          <cell r="A965">
            <v>410560</v>
          </cell>
          <cell r="B965" t="str">
            <v>RESULTADO EN VENTA EXCHAN</v>
          </cell>
          <cell r="C965">
            <v>542043378</v>
          </cell>
          <cell r="D965">
            <v>1504582335</v>
          </cell>
          <cell r="E965">
            <v>0</v>
          </cell>
          <cell r="F965">
            <v>962538957</v>
          </cell>
          <cell r="G965">
            <v>0</v>
          </cell>
          <cell r="H965">
            <v>0</v>
          </cell>
          <cell r="I965">
            <v>0</v>
          </cell>
          <cell r="J965">
            <v>962538957</v>
          </cell>
          <cell r="K965">
            <v>-962538957</v>
          </cell>
        </row>
        <row r="966">
          <cell r="A966">
            <v>410561</v>
          </cell>
          <cell r="B966" t="str">
            <v>DIVIDENDOS EXCHANGE TRADE</v>
          </cell>
          <cell r="C966">
            <v>0</v>
          </cell>
          <cell r="D966">
            <v>441398117</v>
          </cell>
          <cell r="E966">
            <v>0</v>
          </cell>
          <cell r="F966">
            <v>441398117</v>
          </cell>
          <cell r="G966">
            <v>0</v>
          </cell>
          <cell r="H966">
            <v>0</v>
          </cell>
          <cell r="I966">
            <v>0</v>
          </cell>
          <cell r="J966">
            <v>441398117</v>
          </cell>
          <cell r="K966">
            <v>-441398117</v>
          </cell>
        </row>
        <row r="967">
          <cell r="A967">
            <v>410562</v>
          </cell>
          <cell r="B967" t="str">
            <v>FLUCTUACION DES. SANTO TO</v>
          </cell>
          <cell r="C967">
            <v>0</v>
          </cell>
          <cell r="D967">
            <v>0</v>
          </cell>
          <cell r="E967">
            <v>0</v>
          </cell>
          <cell r="F967">
            <v>0</v>
          </cell>
          <cell r="G967">
            <v>0</v>
          </cell>
          <cell r="H967">
            <v>0</v>
          </cell>
          <cell r="I967">
            <v>0</v>
          </cell>
          <cell r="J967">
            <v>0</v>
          </cell>
          <cell r="K967">
            <v>0</v>
          </cell>
        </row>
        <row r="968">
          <cell r="A968">
            <v>410563</v>
          </cell>
          <cell r="B968" t="str">
            <v>PROV. FLUCT. ACCIONES EXT</v>
          </cell>
          <cell r="C968">
            <v>0</v>
          </cell>
          <cell r="D968">
            <v>579991926</v>
          </cell>
          <cell r="E968">
            <v>0</v>
          </cell>
          <cell r="F968">
            <v>579991926</v>
          </cell>
          <cell r="G968">
            <v>0</v>
          </cell>
          <cell r="H968">
            <v>0</v>
          </cell>
          <cell r="I968">
            <v>0</v>
          </cell>
          <cell r="J968">
            <v>579991926</v>
          </cell>
          <cell r="K968">
            <v>-579991926</v>
          </cell>
        </row>
        <row r="969">
          <cell r="A969">
            <v>410564</v>
          </cell>
          <cell r="B969" t="str">
            <v>UTILIDAD O PERDIDA VENTA</v>
          </cell>
          <cell r="C969">
            <v>569909444</v>
          </cell>
          <cell r="D969">
            <v>3723307</v>
          </cell>
          <cell r="E969">
            <v>566186137</v>
          </cell>
          <cell r="F969">
            <v>0</v>
          </cell>
          <cell r="G969">
            <v>0</v>
          </cell>
          <cell r="H969">
            <v>0</v>
          </cell>
          <cell r="I969">
            <v>566186137</v>
          </cell>
          <cell r="J969">
            <v>0</v>
          </cell>
          <cell r="K969">
            <v>566186137</v>
          </cell>
        </row>
        <row r="970">
          <cell r="A970">
            <v>410565</v>
          </cell>
          <cell r="B970" t="str">
            <v>PROV. CUOTAS DE FONDOS DE</v>
          </cell>
          <cell r="C970">
            <v>505511495</v>
          </cell>
          <cell r="D970">
            <v>739936511</v>
          </cell>
          <cell r="E970">
            <v>0</v>
          </cell>
          <cell r="F970">
            <v>234425016</v>
          </cell>
          <cell r="G970">
            <v>0</v>
          </cell>
          <cell r="H970">
            <v>0</v>
          </cell>
          <cell r="I970">
            <v>0</v>
          </cell>
          <cell r="J970">
            <v>234425016</v>
          </cell>
          <cell r="K970">
            <v>-234425016</v>
          </cell>
        </row>
        <row r="971">
          <cell r="A971">
            <v>410566</v>
          </cell>
          <cell r="B971" t="str">
            <v>UTILIDAD O PERDIDA VENTA</v>
          </cell>
          <cell r="C971">
            <v>135260041</v>
          </cell>
          <cell r="D971">
            <v>150082845</v>
          </cell>
          <cell r="E971">
            <v>0</v>
          </cell>
          <cell r="F971">
            <v>14822804</v>
          </cell>
          <cell r="G971">
            <v>0</v>
          </cell>
          <cell r="H971">
            <v>0</v>
          </cell>
          <cell r="I971">
            <v>0</v>
          </cell>
          <cell r="J971">
            <v>14822804</v>
          </cell>
          <cell r="K971">
            <v>-14822804</v>
          </cell>
        </row>
        <row r="972">
          <cell r="A972">
            <v>410567</v>
          </cell>
          <cell r="B972" t="str">
            <v>FLUCT. PARQUE Q.NORMAL S.</v>
          </cell>
          <cell r="C972">
            <v>0</v>
          </cell>
          <cell r="D972">
            <v>14273702</v>
          </cell>
          <cell r="E972">
            <v>0</v>
          </cell>
          <cell r="F972">
            <v>14273702</v>
          </cell>
          <cell r="G972">
            <v>0</v>
          </cell>
          <cell r="H972">
            <v>0</v>
          </cell>
          <cell r="I972">
            <v>0</v>
          </cell>
          <cell r="J972">
            <v>14273702</v>
          </cell>
          <cell r="K972">
            <v>-14273702</v>
          </cell>
        </row>
        <row r="973">
          <cell r="A973">
            <v>410568</v>
          </cell>
          <cell r="B973" t="str">
            <v>R° FLUCT. INMOB. BBI S.A.</v>
          </cell>
          <cell r="C973">
            <v>0</v>
          </cell>
          <cell r="D973">
            <v>22736682</v>
          </cell>
          <cell r="E973">
            <v>0</v>
          </cell>
          <cell r="F973">
            <v>22736682</v>
          </cell>
          <cell r="G973">
            <v>0</v>
          </cell>
          <cell r="H973">
            <v>0</v>
          </cell>
          <cell r="I973">
            <v>0</v>
          </cell>
          <cell r="J973">
            <v>22736682</v>
          </cell>
          <cell r="K973">
            <v>-22736682</v>
          </cell>
        </row>
        <row r="974">
          <cell r="A974">
            <v>410569</v>
          </cell>
          <cell r="B974" t="str">
            <v>RESULTADO INV.EN ASOCIADA</v>
          </cell>
          <cell r="C974">
            <v>0</v>
          </cell>
          <cell r="D974">
            <v>0</v>
          </cell>
          <cell r="E974">
            <v>0</v>
          </cell>
          <cell r="F974">
            <v>0</v>
          </cell>
          <cell r="G974">
            <v>0</v>
          </cell>
          <cell r="H974">
            <v>0</v>
          </cell>
          <cell r="I974">
            <v>0</v>
          </cell>
          <cell r="J974">
            <v>0</v>
          </cell>
          <cell r="K974">
            <v>0</v>
          </cell>
        </row>
        <row r="975">
          <cell r="A975">
            <v>410570</v>
          </cell>
          <cell r="B975" t="str">
            <v>PROVISION INSTRUMENTOS FI</v>
          </cell>
          <cell r="C975">
            <v>1019157265</v>
          </cell>
          <cell r="D975">
            <v>0</v>
          </cell>
          <cell r="E975">
            <v>1019157265</v>
          </cell>
          <cell r="F975">
            <v>0</v>
          </cell>
          <cell r="G975">
            <v>0</v>
          </cell>
          <cell r="H975">
            <v>0</v>
          </cell>
          <cell r="I975">
            <v>1019157265</v>
          </cell>
          <cell r="J975">
            <v>0</v>
          </cell>
          <cell r="K975">
            <v>1019157265</v>
          </cell>
        </row>
        <row r="976">
          <cell r="A976">
            <v>410571</v>
          </cell>
          <cell r="B976" t="str">
            <v>SVI CARGOS POR RESCATE</v>
          </cell>
          <cell r="C976">
            <v>1280521</v>
          </cell>
          <cell r="D976">
            <v>232189525</v>
          </cell>
          <cell r="E976">
            <v>0</v>
          </cell>
          <cell r="F976">
            <v>230909004</v>
          </cell>
          <cell r="G976">
            <v>0</v>
          </cell>
          <cell r="H976">
            <v>0</v>
          </cell>
          <cell r="I976">
            <v>0</v>
          </cell>
          <cell r="J976">
            <v>230909004</v>
          </cell>
          <cell r="K976">
            <v>-230909004</v>
          </cell>
        </row>
        <row r="977">
          <cell r="A977">
            <v>410572</v>
          </cell>
          <cell r="B977" t="str">
            <v>FLUCTUACION INMOB LOS MOR</v>
          </cell>
          <cell r="C977">
            <v>0</v>
          </cell>
          <cell r="D977">
            <v>0</v>
          </cell>
          <cell r="E977">
            <v>0</v>
          </cell>
          <cell r="F977">
            <v>0</v>
          </cell>
          <cell r="G977">
            <v>0</v>
          </cell>
          <cell r="H977">
            <v>0</v>
          </cell>
          <cell r="I977">
            <v>0</v>
          </cell>
          <cell r="J977">
            <v>0</v>
          </cell>
          <cell r="K977">
            <v>0</v>
          </cell>
        </row>
        <row r="978">
          <cell r="A978">
            <v>410573</v>
          </cell>
          <cell r="B978" t="str">
            <v>RESULTADO INV.EN ASOCIADA</v>
          </cell>
          <cell r="C978">
            <v>0</v>
          </cell>
          <cell r="D978">
            <v>0</v>
          </cell>
          <cell r="E978">
            <v>0</v>
          </cell>
          <cell r="F978">
            <v>0</v>
          </cell>
          <cell r="G978">
            <v>0</v>
          </cell>
          <cell r="H978">
            <v>0</v>
          </cell>
          <cell r="I978">
            <v>0</v>
          </cell>
          <cell r="J978">
            <v>0</v>
          </cell>
          <cell r="K978">
            <v>0</v>
          </cell>
        </row>
        <row r="979">
          <cell r="A979">
            <v>410574</v>
          </cell>
          <cell r="B979" t="str">
            <v>FLUCTUACION INMOB. VICENT</v>
          </cell>
          <cell r="C979">
            <v>26402950</v>
          </cell>
          <cell r="D979">
            <v>34118350</v>
          </cell>
          <cell r="E979">
            <v>0</v>
          </cell>
          <cell r="F979">
            <v>7715400</v>
          </cell>
          <cell r="G979">
            <v>0</v>
          </cell>
          <cell r="H979">
            <v>0</v>
          </cell>
          <cell r="I979">
            <v>0</v>
          </cell>
          <cell r="J979">
            <v>7715400</v>
          </cell>
          <cell r="K979">
            <v>-7715400</v>
          </cell>
        </row>
        <row r="980">
          <cell r="A980">
            <v>410575</v>
          </cell>
          <cell r="B980" t="str">
            <v>INTERESES DEV. BTP BONOS</v>
          </cell>
          <cell r="C980">
            <v>0</v>
          </cell>
          <cell r="D980">
            <v>9576083</v>
          </cell>
          <cell r="E980">
            <v>0</v>
          </cell>
          <cell r="F980">
            <v>9576083</v>
          </cell>
          <cell r="G980">
            <v>0</v>
          </cell>
          <cell r="H980">
            <v>0</v>
          </cell>
          <cell r="I980">
            <v>0</v>
          </cell>
          <cell r="J980">
            <v>9576083</v>
          </cell>
          <cell r="K980">
            <v>-9576083</v>
          </cell>
        </row>
        <row r="981">
          <cell r="A981">
            <v>410576</v>
          </cell>
          <cell r="B981" t="str">
            <v>INTERESES PERCIB. BTP BON</v>
          </cell>
          <cell r="C981">
            <v>0</v>
          </cell>
          <cell r="D981">
            <v>1291056</v>
          </cell>
          <cell r="E981">
            <v>0</v>
          </cell>
          <cell r="F981">
            <v>1291056</v>
          </cell>
          <cell r="G981">
            <v>0</v>
          </cell>
          <cell r="H981">
            <v>0</v>
          </cell>
          <cell r="I981">
            <v>0</v>
          </cell>
          <cell r="J981">
            <v>1291056</v>
          </cell>
          <cell r="K981">
            <v>-1291056</v>
          </cell>
        </row>
        <row r="982">
          <cell r="A982">
            <v>410577</v>
          </cell>
          <cell r="B982" t="str">
            <v>REAJUSTES BTP BONOS TESOR</v>
          </cell>
          <cell r="C982">
            <v>0</v>
          </cell>
          <cell r="D982">
            <v>0</v>
          </cell>
          <cell r="E982">
            <v>0</v>
          </cell>
          <cell r="F982">
            <v>0</v>
          </cell>
          <cell r="G982">
            <v>0</v>
          </cell>
          <cell r="H982">
            <v>0</v>
          </cell>
          <cell r="I982">
            <v>0</v>
          </cell>
          <cell r="J982">
            <v>0</v>
          </cell>
          <cell r="K982">
            <v>0</v>
          </cell>
        </row>
        <row r="983">
          <cell r="A983">
            <v>410578</v>
          </cell>
          <cell r="B983" t="str">
            <v>AJUSTE MERCADO BR CARTERA</v>
          </cell>
          <cell r="C983">
            <v>1457379</v>
          </cell>
          <cell r="D983">
            <v>168249</v>
          </cell>
          <cell r="E983">
            <v>1289130</v>
          </cell>
          <cell r="F983">
            <v>0</v>
          </cell>
          <cell r="G983">
            <v>0</v>
          </cell>
          <cell r="H983">
            <v>0</v>
          </cell>
          <cell r="I983">
            <v>1289130</v>
          </cell>
          <cell r="J983">
            <v>0</v>
          </cell>
          <cell r="K983">
            <v>1289130</v>
          </cell>
        </row>
        <row r="984">
          <cell r="A984">
            <v>410579</v>
          </cell>
          <cell r="B984" t="str">
            <v>AJUSTE MERCADO LH CARTERA</v>
          </cell>
          <cell r="C984">
            <v>797</v>
          </cell>
          <cell r="D984">
            <v>0</v>
          </cell>
          <cell r="E984">
            <v>797</v>
          </cell>
          <cell r="F984">
            <v>0</v>
          </cell>
          <cell r="G984">
            <v>0</v>
          </cell>
          <cell r="H984">
            <v>0</v>
          </cell>
          <cell r="I984">
            <v>797</v>
          </cell>
          <cell r="J984">
            <v>0</v>
          </cell>
          <cell r="K984">
            <v>797</v>
          </cell>
        </row>
        <row r="985">
          <cell r="A985">
            <v>410580</v>
          </cell>
          <cell r="B985" t="str">
            <v>AJUSTE MERCADO BONO EMPRE</v>
          </cell>
          <cell r="C985">
            <v>6825108</v>
          </cell>
          <cell r="D985">
            <v>40677572</v>
          </cell>
          <cell r="E985">
            <v>0</v>
          </cell>
          <cell r="F985">
            <v>33852464</v>
          </cell>
          <cell r="G985">
            <v>0</v>
          </cell>
          <cell r="H985">
            <v>0</v>
          </cell>
          <cell r="I985">
            <v>0</v>
          </cell>
          <cell r="J985">
            <v>33852464</v>
          </cell>
          <cell r="K985">
            <v>-33852464</v>
          </cell>
        </row>
        <row r="986">
          <cell r="A986">
            <v>410581</v>
          </cell>
          <cell r="B986" t="str">
            <v>AJUSTE MERCADO BONO EXTRA</v>
          </cell>
          <cell r="C986">
            <v>0</v>
          </cell>
          <cell r="D986">
            <v>0</v>
          </cell>
          <cell r="E986">
            <v>0</v>
          </cell>
          <cell r="F986">
            <v>0</v>
          </cell>
          <cell r="G986">
            <v>0</v>
          </cell>
          <cell r="H986">
            <v>0</v>
          </cell>
          <cell r="I986">
            <v>0</v>
          </cell>
          <cell r="J986">
            <v>0</v>
          </cell>
          <cell r="K986">
            <v>0</v>
          </cell>
        </row>
        <row r="987">
          <cell r="A987">
            <v>410582</v>
          </cell>
          <cell r="B987" t="str">
            <v>AJUSTE MERCADO BR CARTERA</v>
          </cell>
          <cell r="C987">
            <v>56592</v>
          </cell>
          <cell r="D987">
            <v>711843</v>
          </cell>
          <cell r="E987">
            <v>0</v>
          </cell>
          <cell r="F987">
            <v>655251</v>
          </cell>
          <cell r="G987">
            <v>0</v>
          </cell>
          <cell r="H987">
            <v>0</v>
          </cell>
          <cell r="I987">
            <v>0</v>
          </cell>
          <cell r="J987">
            <v>655251</v>
          </cell>
          <cell r="K987">
            <v>-655251</v>
          </cell>
        </row>
        <row r="988">
          <cell r="A988">
            <v>410583</v>
          </cell>
          <cell r="B988" t="str">
            <v>AJUSTE MERCADO BVL FLEXIB</v>
          </cell>
          <cell r="C988">
            <v>0</v>
          </cell>
          <cell r="D988">
            <v>0</v>
          </cell>
          <cell r="E988">
            <v>0</v>
          </cell>
          <cell r="F988">
            <v>0</v>
          </cell>
          <cell r="G988">
            <v>0</v>
          </cell>
          <cell r="H988">
            <v>0</v>
          </cell>
          <cell r="I988">
            <v>0</v>
          </cell>
          <cell r="J988">
            <v>0</v>
          </cell>
          <cell r="K988">
            <v>0</v>
          </cell>
        </row>
        <row r="989">
          <cell r="A989">
            <v>410584</v>
          </cell>
          <cell r="B989" t="str">
            <v>AJUSTE MERCADO DPR FLEXIB</v>
          </cell>
          <cell r="C989">
            <v>0</v>
          </cell>
          <cell r="D989">
            <v>0</v>
          </cell>
          <cell r="E989">
            <v>0</v>
          </cell>
          <cell r="F989">
            <v>0</v>
          </cell>
          <cell r="G989">
            <v>0</v>
          </cell>
          <cell r="H989">
            <v>0</v>
          </cell>
          <cell r="I989">
            <v>0</v>
          </cell>
          <cell r="J989">
            <v>0</v>
          </cell>
          <cell r="K989">
            <v>0</v>
          </cell>
        </row>
        <row r="990">
          <cell r="A990">
            <v>410585</v>
          </cell>
          <cell r="B990" t="str">
            <v>AJUSTE MERCADO LH FLEXIBL</v>
          </cell>
          <cell r="C990">
            <v>14460910</v>
          </cell>
          <cell r="D990">
            <v>13822883</v>
          </cell>
          <cell r="E990">
            <v>638027</v>
          </cell>
          <cell r="F990">
            <v>0</v>
          </cell>
          <cell r="G990">
            <v>0</v>
          </cell>
          <cell r="H990">
            <v>0</v>
          </cell>
          <cell r="I990">
            <v>638027</v>
          </cell>
          <cell r="J990">
            <v>0</v>
          </cell>
          <cell r="K990">
            <v>638027</v>
          </cell>
        </row>
        <row r="991">
          <cell r="A991">
            <v>410586</v>
          </cell>
          <cell r="B991" t="str">
            <v>AJUSTE MERCADO MH FLEXIBL</v>
          </cell>
          <cell r="C991">
            <v>0</v>
          </cell>
          <cell r="D991">
            <v>0</v>
          </cell>
          <cell r="E991">
            <v>0</v>
          </cell>
          <cell r="F991">
            <v>0</v>
          </cell>
          <cell r="G991">
            <v>0</v>
          </cell>
          <cell r="H991">
            <v>0</v>
          </cell>
          <cell r="I991">
            <v>0</v>
          </cell>
          <cell r="J991">
            <v>0</v>
          </cell>
          <cell r="K991">
            <v>0</v>
          </cell>
        </row>
        <row r="992">
          <cell r="A992">
            <v>410587</v>
          </cell>
          <cell r="B992" t="str">
            <v>AJUSTE MERCADO BCP FLEXIB</v>
          </cell>
          <cell r="C992">
            <v>0</v>
          </cell>
          <cell r="D992">
            <v>0</v>
          </cell>
          <cell r="E992">
            <v>0</v>
          </cell>
          <cell r="F992">
            <v>0</v>
          </cell>
          <cell r="G992">
            <v>0</v>
          </cell>
          <cell r="H992">
            <v>0</v>
          </cell>
          <cell r="I992">
            <v>0</v>
          </cell>
          <cell r="J992">
            <v>0</v>
          </cell>
          <cell r="K992">
            <v>0</v>
          </cell>
        </row>
        <row r="993">
          <cell r="A993">
            <v>410588</v>
          </cell>
          <cell r="B993" t="str">
            <v>COSTO BIENES RAICES HABIT</v>
          </cell>
          <cell r="C993">
            <v>72528114</v>
          </cell>
          <cell r="D993">
            <v>0</v>
          </cell>
          <cell r="E993">
            <v>72528114</v>
          </cell>
          <cell r="F993">
            <v>0</v>
          </cell>
          <cell r="G993">
            <v>0</v>
          </cell>
          <cell r="H993">
            <v>0</v>
          </cell>
          <cell r="I993">
            <v>72528114</v>
          </cell>
          <cell r="J993">
            <v>0</v>
          </cell>
          <cell r="K993">
            <v>72528114</v>
          </cell>
        </row>
        <row r="994">
          <cell r="A994">
            <v>410589</v>
          </cell>
          <cell r="B994" t="str">
            <v>DIVIDENDOS ACCIONES S.A.</v>
          </cell>
          <cell r="C994">
            <v>0</v>
          </cell>
          <cell r="D994">
            <v>0</v>
          </cell>
          <cell r="E994">
            <v>0</v>
          </cell>
          <cell r="F994">
            <v>0</v>
          </cell>
          <cell r="G994">
            <v>0</v>
          </cell>
          <cell r="H994">
            <v>0</v>
          </cell>
          <cell r="I994">
            <v>0</v>
          </cell>
          <cell r="J994">
            <v>0</v>
          </cell>
          <cell r="K994">
            <v>0</v>
          </cell>
        </row>
        <row r="995">
          <cell r="A995">
            <v>410590</v>
          </cell>
          <cell r="B995" t="str">
            <v>R° FLUCTUACION INV. SEGUR</v>
          </cell>
          <cell r="C995">
            <v>261078246</v>
          </cell>
          <cell r="D995">
            <v>0</v>
          </cell>
          <cell r="E995">
            <v>261078246</v>
          </cell>
          <cell r="F995">
            <v>0</v>
          </cell>
          <cell r="G995">
            <v>0</v>
          </cell>
          <cell r="H995">
            <v>0</v>
          </cell>
          <cell r="I995">
            <v>261078246</v>
          </cell>
          <cell r="J995">
            <v>0</v>
          </cell>
          <cell r="K995">
            <v>261078246</v>
          </cell>
        </row>
        <row r="996">
          <cell r="A996">
            <v>410591</v>
          </cell>
          <cell r="B996" t="str">
            <v>INTERESES GANADOS LINEA D</v>
          </cell>
          <cell r="C996">
            <v>36228</v>
          </cell>
          <cell r="D996">
            <v>18595064</v>
          </cell>
          <cell r="E996">
            <v>0</v>
          </cell>
          <cell r="F996">
            <v>18558836</v>
          </cell>
          <cell r="G996">
            <v>0</v>
          </cell>
          <cell r="H996">
            <v>0</v>
          </cell>
          <cell r="I996">
            <v>0</v>
          </cell>
          <cell r="J996">
            <v>18558836</v>
          </cell>
          <cell r="K996">
            <v>-18558836</v>
          </cell>
        </row>
        <row r="997">
          <cell r="A997">
            <v>410592</v>
          </cell>
          <cell r="B997" t="str">
            <v>FLUCT. FIP VIÑA DEL MAR</v>
          </cell>
          <cell r="C997">
            <v>175371157</v>
          </cell>
          <cell r="D997">
            <v>0</v>
          </cell>
          <cell r="E997">
            <v>175371157</v>
          </cell>
          <cell r="F997">
            <v>0</v>
          </cell>
          <cell r="G997">
            <v>0</v>
          </cell>
          <cell r="H997">
            <v>0</v>
          </cell>
          <cell r="I997">
            <v>175371157</v>
          </cell>
          <cell r="J997">
            <v>0</v>
          </cell>
          <cell r="K997">
            <v>175371157</v>
          </cell>
        </row>
        <row r="998">
          <cell r="A998">
            <v>410593</v>
          </cell>
          <cell r="B998" t="str">
            <v>FLUCT. FIP SAN FRANCISCO</v>
          </cell>
          <cell r="C998">
            <v>0</v>
          </cell>
          <cell r="D998">
            <v>0</v>
          </cell>
          <cell r="E998">
            <v>0</v>
          </cell>
          <cell r="F998">
            <v>0</v>
          </cell>
          <cell r="G998">
            <v>0</v>
          </cell>
          <cell r="H998">
            <v>0</v>
          </cell>
          <cell r="I998">
            <v>0</v>
          </cell>
          <cell r="J998">
            <v>0</v>
          </cell>
          <cell r="K998">
            <v>0</v>
          </cell>
        </row>
        <row r="999">
          <cell r="A999">
            <v>410594</v>
          </cell>
          <cell r="B999" t="str">
            <v>FLUCT. FIP BADAJOZ</v>
          </cell>
          <cell r="C999">
            <v>0</v>
          </cell>
          <cell r="D999">
            <v>5216025</v>
          </cell>
          <cell r="E999">
            <v>0</v>
          </cell>
          <cell r="F999">
            <v>5216025</v>
          </cell>
          <cell r="G999">
            <v>0</v>
          </cell>
          <cell r="H999">
            <v>0</v>
          </cell>
          <cell r="I999">
            <v>0</v>
          </cell>
          <cell r="J999">
            <v>5216025</v>
          </cell>
          <cell r="K999">
            <v>-5216025</v>
          </cell>
        </row>
        <row r="1000">
          <cell r="A1000">
            <v>410595</v>
          </cell>
          <cell r="B1000" t="str">
            <v>FLUCT. FIP REP. DE CUBA</v>
          </cell>
          <cell r="C1000">
            <v>15671957</v>
          </cell>
          <cell r="D1000">
            <v>0</v>
          </cell>
          <cell r="E1000">
            <v>15671957</v>
          </cell>
          <cell r="F1000">
            <v>0</v>
          </cell>
          <cell r="G1000">
            <v>0</v>
          </cell>
          <cell r="H1000">
            <v>0</v>
          </cell>
          <cell r="I1000">
            <v>15671957</v>
          </cell>
          <cell r="J1000">
            <v>0</v>
          </cell>
          <cell r="K1000">
            <v>15671957</v>
          </cell>
        </row>
        <row r="1001">
          <cell r="A1001">
            <v>410596</v>
          </cell>
          <cell r="B1001" t="str">
            <v>SVI COMISION ADMINISTRACI</v>
          </cell>
          <cell r="C1001">
            <v>313793</v>
          </cell>
          <cell r="D1001">
            <v>308929359</v>
          </cell>
          <cell r="E1001">
            <v>0</v>
          </cell>
          <cell r="F1001">
            <v>308615566</v>
          </cell>
          <cell r="G1001">
            <v>0</v>
          </cell>
          <cell r="H1001">
            <v>0</v>
          </cell>
          <cell r="I1001">
            <v>0</v>
          </cell>
          <cell r="J1001">
            <v>308615566</v>
          </cell>
          <cell r="K1001">
            <v>-308615566</v>
          </cell>
        </row>
        <row r="1002">
          <cell r="A1002">
            <v>410597</v>
          </cell>
          <cell r="B1002" t="str">
            <v>SVI COMISION ADMINISTRACI</v>
          </cell>
          <cell r="C1002">
            <v>252163</v>
          </cell>
          <cell r="D1002">
            <v>318108336</v>
          </cell>
          <cell r="E1002">
            <v>0</v>
          </cell>
          <cell r="F1002">
            <v>317856173</v>
          </cell>
          <cell r="G1002">
            <v>0</v>
          </cell>
          <cell r="H1002">
            <v>0</v>
          </cell>
          <cell r="I1002">
            <v>0</v>
          </cell>
          <cell r="J1002">
            <v>317856173</v>
          </cell>
          <cell r="K1002">
            <v>-317856173</v>
          </cell>
        </row>
        <row r="1003">
          <cell r="A1003">
            <v>410598</v>
          </cell>
          <cell r="B1003" t="str">
            <v>SVI COMISION POR RESCATES</v>
          </cell>
          <cell r="C1003">
            <v>50024</v>
          </cell>
          <cell r="D1003">
            <v>888043</v>
          </cell>
          <cell r="E1003">
            <v>0</v>
          </cell>
          <cell r="F1003">
            <v>838019</v>
          </cell>
          <cell r="G1003">
            <v>0</v>
          </cell>
          <cell r="H1003">
            <v>0</v>
          </cell>
          <cell r="I1003">
            <v>0</v>
          </cell>
          <cell r="J1003">
            <v>838019</v>
          </cell>
          <cell r="K1003">
            <v>-838019</v>
          </cell>
        </row>
        <row r="1004">
          <cell r="A1004">
            <v>410599</v>
          </cell>
          <cell r="B1004" t="str">
            <v>SVI COSTOS DE COBERTURA A</v>
          </cell>
          <cell r="C1004">
            <v>233684</v>
          </cell>
          <cell r="D1004">
            <v>251709567</v>
          </cell>
          <cell r="E1004">
            <v>0</v>
          </cell>
          <cell r="F1004">
            <v>251475883</v>
          </cell>
          <cell r="G1004">
            <v>0</v>
          </cell>
          <cell r="H1004">
            <v>0</v>
          </cell>
          <cell r="I1004">
            <v>0</v>
          </cell>
          <cell r="J1004">
            <v>251475883</v>
          </cell>
          <cell r="K1004">
            <v>-251475883</v>
          </cell>
        </row>
        <row r="1005">
          <cell r="A1005">
            <v>410601</v>
          </cell>
          <cell r="B1005" t="str">
            <v>C.M. OTROS ACTIVOS</v>
          </cell>
          <cell r="C1005">
            <v>0</v>
          </cell>
          <cell r="D1005">
            <v>0</v>
          </cell>
          <cell r="E1005">
            <v>0</v>
          </cell>
          <cell r="F1005">
            <v>0</v>
          </cell>
          <cell r="G1005">
            <v>0</v>
          </cell>
          <cell r="H1005">
            <v>0</v>
          </cell>
          <cell r="I1005">
            <v>0</v>
          </cell>
          <cell r="J1005">
            <v>0</v>
          </cell>
          <cell r="K1005">
            <v>0</v>
          </cell>
        </row>
        <row r="1006">
          <cell r="A1006">
            <v>410602</v>
          </cell>
          <cell r="B1006" t="str">
            <v>C.M. GARANTIAS</v>
          </cell>
          <cell r="C1006">
            <v>256936</v>
          </cell>
          <cell r="D1006">
            <v>0</v>
          </cell>
          <cell r="E1006">
            <v>256936</v>
          </cell>
          <cell r="F1006">
            <v>0</v>
          </cell>
          <cell r="G1006">
            <v>0</v>
          </cell>
          <cell r="H1006">
            <v>0</v>
          </cell>
          <cell r="I1006">
            <v>256936</v>
          </cell>
          <cell r="J1006">
            <v>0</v>
          </cell>
          <cell r="K1006">
            <v>256936</v>
          </cell>
        </row>
        <row r="1007">
          <cell r="A1007">
            <v>410603</v>
          </cell>
          <cell r="B1007" t="str">
            <v>C.M. ACCIONES NACIONALES</v>
          </cell>
          <cell r="C1007">
            <v>414402355</v>
          </cell>
          <cell r="D1007">
            <v>414402355</v>
          </cell>
          <cell r="E1007">
            <v>0</v>
          </cell>
          <cell r="F1007">
            <v>0</v>
          </cell>
          <cell r="G1007">
            <v>0</v>
          </cell>
          <cell r="H1007">
            <v>0</v>
          </cell>
          <cell r="I1007">
            <v>0</v>
          </cell>
          <cell r="J1007">
            <v>0</v>
          </cell>
          <cell r="K1007">
            <v>0</v>
          </cell>
        </row>
        <row r="1008">
          <cell r="A1008">
            <v>410604</v>
          </cell>
          <cell r="B1008" t="str">
            <v>C.M. BONOS RECONOCIMIENTO</v>
          </cell>
          <cell r="C1008">
            <v>283027103</v>
          </cell>
          <cell r="D1008">
            <v>848452687</v>
          </cell>
          <cell r="E1008">
            <v>0</v>
          </cell>
          <cell r="F1008">
            <v>565425584</v>
          </cell>
          <cell r="G1008">
            <v>0</v>
          </cell>
          <cell r="H1008">
            <v>0</v>
          </cell>
          <cell r="I1008">
            <v>0</v>
          </cell>
          <cell r="J1008">
            <v>565425584</v>
          </cell>
          <cell r="K1008">
            <v>-565425584</v>
          </cell>
        </row>
        <row r="1009">
          <cell r="A1009">
            <v>410605</v>
          </cell>
          <cell r="B1009" t="str">
            <v>C.M. LETRAS HIPOTECARIAS</v>
          </cell>
          <cell r="C1009">
            <v>66706266</v>
          </cell>
          <cell r="D1009">
            <v>469912415</v>
          </cell>
          <cell r="E1009">
            <v>0</v>
          </cell>
          <cell r="F1009">
            <v>403206149</v>
          </cell>
          <cell r="G1009">
            <v>0</v>
          </cell>
          <cell r="H1009">
            <v>0</v>
          </cell>
          <cell r="I1009">
            <v>0</v>
          </cell>
          <cell r="J1009">
            <v>403206149</v>
          </cell>
          <cell r="K1009">
            <v>-403206149</v>
          </cell>
        </row>
        <row r="1010">
          <cell r="A1010">
            <v>410606</v>
          </cell>
          <cell r="B1010" t="str">
            <v>C.M. LETRAS HIPOTECARIAS</v>
          </cell>
          <cell r="C1010">
            <v>179</v>
          </cell>
          <cell r="D1010">
            <v>7569100</v>
          </cell>
          <cell r="E1010">
            <v>0</v>
          </cell>
          <cell r="F1010">
            <v>7568921</v>
          </cell>
          <cell r="G1010">
            <v>0</v>
          </cell>
          <cell r="H1010">
            <v>0</v>
          </cell>
          <cell r="I1010">
            <v>0</v>
          </cell>
          <cell r="J1010">
            <v>7568921</v>
          </cell>
          <cell r="K1010">
            <v>-7568921</v>
          </cell>
        </row>
        <row r="1011">
          <cell r="A1011">
            <v>410607</v>
          </cell>
          <cell r="B1011" t="str">
            <v>C.M. DEPOSITOS A PLAZO</v>
          </cell>
          <cell r="C1011">
            <v>50827342</v>
          </cell>
          <cell r="D1011">
            <v>352666201</v>
          </cell>
          <cell r="E1011">
            <v>0</v>
          </cell>
          <cell r="F1011">
            <v>301838859</v>
          </cell>
          <cell r="G1011">
            <v>0</v>
          </cell>
          <cell r="H1011">
            <v>0</v>
          </cell>
          <cell r="I1011">
            <v>0</v>
          </cell>
          <cell r="J1011">
            <v>301838859</v>
          </cell>
          <cell r="K1011">
            <v>-301838859</v>
          </cell>
        </row>
        <row r="1012">
          <cell r="A1012">
            <v>410608</v>
          </cell>
          <cell r="B1012" t="str">
            <v>C.M. BONOS EMPRESA</v>
          </cell>
          <cell r="C1012">
            <v>1229082295</v>
          </cell>
          <cell r="D1012">
            <v>8150391463</v>
          </cell>
          <cell r="E1012">
            <v>0</v>
          </cell>
          <cell r="F1012">
            <v>6921309168</v>
          </cell>
          <cell r="G1012">
            <v>0</v>
          </cell>
          <cell r="H1012">
            <v>0</v>
          </cell>
          <cell r="I1012">
            <v>0</v>
          </cell>
          <cell r="J1012">
            <v>6921309168</v>
          </cell>
          <cell r="K1012">
            <v>-6921309168</v>
          </cell>
        </row>
        <row r="1013">
          <cell r="A1013">
            <v>410609</v>
          </cell>
          <cell r="B1013" t="str">
            <v>C.M. BONOS LEASING</v>
          </cell>
          <cell r="C1013">
            <v>3854065</v>
          </cell>
          <cell r="D1013">
            <v>33326290</v>
          </cell>
          <cell r="E1013">
            <v>0</v>
          </cell>
          <cell r="F1013">
            <v>29472225</v>
          </cell>
          <cell r="G1013">
            <v>0</v>
          </cell>
          <cell r="H1013">
            <v>0</v>
          </cell>
          <cell r="I1013">
            <v>0</v>
          </cell>
          <cell r="J1013">
            <v>29472225</v>
          </cell>
          <cell r="K1013">
            <v>-29472225</v>
          </cell>
        </row>
        <row r="1014">
          <cell r="A1014">
            <v>410610</v>
          </cell>
          <cell r="B1014" t="str">
            <v>C.M. BONOS BANCARIOS</v>
          </cell>
          <cell r="C1014">
            <v>182851713</v>
          </cell>
          <cell r="D1014">
            <v>1266494386</v>
          </cell>
          <cell r="E1014">
            <v>0</v>
          </cell>
          <cell r="F1014">
            <v>1083642673</v>
          </cell>
          <cell r="G1014">
            <v>0</v>
          </cell>
          <cell r="H1014">
            <v>0</v>
          </cell>
          <cell r="I1014">
            <v>0</v>
          </cell>
          <cell r="J1014">
            <v>1083642673</v>
          </cell>
          <cell r="K1014">
            <v>-1083642673</v>
          </cell>
        </row>
        <row r="1015">
          <cell r="A1015">
            <v>410611</v>
          </cell>
          <cell r="B1015" t="str">
            <v>C.M. BONOS SUBORDINADOS</v>
          </cell>
          <cell r="C1015">
            <v>226012716</v>
          </cell>
          <cell r="D1015">
            <v>1083979408</v>
          </cell>
          <cell r="E1015">
            <v>0</v>
          </cell>
          <cell r="F1015">
            <v>857966692</v>
          </cell>
          <cell r="G1015">
            <v>0</v>
          </cell>
          <cell r="H1015">
            <v>0</v>
          </cell>
          <cell r="I1015">
            <v>0</v>
          </cell>
          <cell r="J1015">
            <v>857966692</v>
          </cell>
          <cell r="K1015">
            <v>-857966692</v>
          </cell>
        </row>
        <row r="1016">
          <cell r="A1016">
            <v>410612</v>
          </cell>
          <cell r="B1016" t="str">
            <v>C.M. MUTUOS HIPOTECARIOS</v>
          </cell>
          <cell r="C1016">
            <v>639664896</v>
          </cell>
          <cell r="D1016">
            <v>4071708173</v>
          </cell>
          <cell r="E1016">
            <v>0</v>
          </cell>
          <cell r="F1016">
            <v>3432043277</v>
          </cell>
          <cell r="G1016">
            <v>0</v>
          </cell>
          <cell r="H1016">
            <v>0</v>
          </cell>
          <cell r="I1016">
            <v>0</v>
          </cell>
          <cell r="J1016">
            <v>3432043277</v>
          </cell>
          <cell r="K1016">
            <v>-3432043277</v>
          </cell>
        </row>
        <row r="1017">
          <cell r="A1017">
            <v>410614</v>
          </cell>
          <cell r="B1017" t="str">
            <v>C.M. P.R.C.</v>
          </cell>
          <cell r="C1017">
            <v>670105</v>
          </cell>
          <cell r="D1017">
            <v>5017286</v>
          </cell>
          <cell r="E1017">
            <v>0</v>
          </cell>
          <cell r="F1017">
            <v>4347181</v>
          </cell>
          <cell r="G1017">
            <v>0</v>
          </cell>
          <cell r="H1017">
            <v>0</v>
          </cell>
          <cell r="I1017">
            <v>0</v>
          </cell>
          <cell r="J1017">
            <v>4347181</v>
          </cell>
          <cell r="K1017">
            <v>-4347181</v>
          </cell>
        </row>
        <row r="1018">
          <cell r="A1018">
            <v>410615</v>
          </cell>
          <cell r="B1018" t="str">
            <v>C.M. DEUDORES LEASING</v>
          </cell>
          <cell r="C1018">
            <v>246026716</v>
          </cell>
          <cell r="D1018">
            <v>1837097987</v>
          </cell>
          <cell r="E1018">
            <v>0</v>
          </cell>
          <cell r="F1018">
            <v>1591071271</v>
          </cell>
          <cell r="G1018">
            <v>0</v>
          </cell>
          <cell r="H1018">
            <v>0</v>
          </cell>
          <cell r="I1018">
            <v>0</v>
          </cell>
          <cell r="J1018">
            <v>1591071271</v>
          </cell>
          <cell r="K1018">
            <v>-1591071271</v>
          </cell>
        </row>
        <row r="1019">
          <cell r="A1019">
            <v>410617</v>
          </cell>
          <cell r="B1019" t="str">
            <v>C.M. C.E.R.O.</v>
          </cell>
          <cell r="C1019">
            <v>1143750</v>
          </cell>
          <cell r="D1019">
            <v>8156874</v>
          </cell>
          <cell r="E1019">
            <v>0</v>
          </cell>
          <cell r="F1019">
            <v>7013124</v>
          </cell>
          <cell r="G1019">
            <v>0</v>
          </cell>
          <cell r="H1019">
            <v>0</v>
          </cell>
          <cell r="I1019">
            <v>0</v>
          </cell>
          <cell r="J1019">
            <v>7013124</v>
          </cell>
          <cell r="K1019">
            <v>-7013124</v>
          </cell>
        </row>
        <row r="1020">
          <cell r="A1020">
            <v>410618</v>
          </cell>
          <cell r="B1020" t="str">
            <v>C.M. CUOTAS DE FONDOS DE</v>
          </cell>
          <cell r="C1020">
            <v>309963633</v>
          </cell>
          <cell r="D1020">
            <v>309963633</v>
          </cell>
          <cell r="E1020">
            <v>0</v>
          </cell>
          <cell r="F1020">
            <v>0</v>
          </cell>
          <cell r="G1020">
            <v>0</v>
          </cell>
          <cell r="H1020">
            <v>0</v>
          </cell>
          <cell r="I1020">
            <v>0</v>
          </cell>
          <cell r="J1020">
            <v>0</v>
          </cell>
          <cell r="K1020">
            <v>0</v>
          </cell>
        </row>
        <row r="1021">
          <cell r="A1021">
            <v>410619</v>
          </cell>
          <cell r="B1021" t="str">
            <v>C.M. ACTIVO FIJO</v>
          </cell>
          <cell r="C1021">
            <v>0</v>
          </cell>
          <cell r="D1021">
            <v>0</v>
          </cell>
          <cell r="E1021">
            <v>0</v>
          </cell>
          <cell r="F1021">
            <v>0</v>
          </cell>
          <cell r="G1021">
            <v>0</v>
          </cell>
          <cell r="H1021">
            <v>0</v>
          </cell>
          <cell r="I1021">
            <v>0</v>
          </cell>
          <cell r="J1021">
            <v>0</v>
          </cell>
          <cell r="K1021">
            <v>0</v>
          </cell>
        </row>
        <row r="1022">
          <cell r="A1022">
            <v>410620</v>
          </cell>
          <cell r="B1022" t="str">
            <v>C.M. OTROS ACTIVOS</v>
          </cell>
          <cell r="C1022">
            <v>1900256</v>
          </cell>
          <cell r="D1022">
            <v>0</v>
          </cell>
          <cell r="E1022">
            <v>1900256</v>
          </cell>
          <cell r="F1022">
            <v>0</v>
          </cell>
          <cell r="G1022">
            <v>0</v>
          </cell>
          <cell r="H1022">
            <v>0</v>
          </cell>
          <cell r="I1022">
            <v>1900256</v>
          </cell>
          <cell r="J1022">
            <v>0</v>
          </cell>
          <cell r="K1022">
            <v>1900256</v>
          </cell>
        </row>
        <row r="1023">
          <cell r="A1023">
            <v>410621</v>
          </cell>
          <cell r="B1023" t="str">
            <v>C.M. RESERVAS TECNICAS</v>
          </cell>
          <cell r="C1023">
            <v>0</v>
          </cell>
          <cell r="D1023">
            <v>0</v>
          </cell>
          <cell r="E1023">
            <v>0</v>
          </cell>
          <cell r="F1023">
            <v>0</v>
          </cell>
          <cell r="G1023">
            <v>0</v>
          </cell>
          <cell r="H1023">
            <v>0</v>
          </cell>
          <cell r="I1023">
            <v>0</v>
          </cell>
          <cell r="J1023">
            <v>0</v>
          </cell>
          <cell r="K1023">
            <v>0</v>
          </cell>
        </row>
        <row r="1024">
          <cell r="A1024">
            <v>410622</v>
          </cell>
          <cell r="B1024" t="str">
            <v>C.M. OTROS PASIVOS</v>
          </cell>
          <cell r="C1024">
            <v>41880166</v>
          </cell>
          <cell r="D1024">
            <v>0</v>
          </cell>
          <cell r="E1024">
            <v>41880166</v>
          </cell>
          <cell r="F1024">
            <v>0</v>
          </cell>
          <cell r="G1024">
            <v>0</v>
          </cell>
          <cell r="H1024">
            <v>0</v>
          </cell>
          <cell r="I1024">
            <v>41880166</v>
          </cell>
          <cell r="J1024">
            <v>0</v>
          </cell>
          <cell r="K1024">
            <v>41880166</v>
          </cell>
        </row>
        <row r="1025">
          <cell r="A1025">
            <v>410623</v>
          </cell>
          <cell r="B1025" t="str">
            <v>C.M. CAPITAL PROPIO</v>
          </cell>
          <cell r="C1025">
            <v>0</v>
          </cell>
          <cell r="D1025">
            <v>0</v>
          </cell>
          <cell r="E1025">
            <v>0</v>
          </cell>
          <cell r="F1025">
            <v>0</v>
          </cell>
          <cell r="G1025">
            <v>0</v>
          </cell>
          <cell r="H1025">
            <v>0</v>
          </cell>
          <cell r="I1025">
            <v>0</v>
          </cell>
          <cell r="J1025">
            <v>0</v>
          </cell>
          <cell r="K1025">
            <v>0</v>
          </cell>
        </row>
        <row r="1026">
          <cell r="A1026">
            <v>410624</v>
          </cell>
          <cell r="B1026" t="str">
            <v>C.M. PRIMAS CEDIDAS</v>
          </cell>
          <cell r="C1026">
            <v>0</v>
          </cell>
          <cell r="D1026">
            <v>0</v>
          </cell>
          <cell r="E1026">
            <v>0</v>
          </cell>
          <cell r="F1026">
            <v>0</v>
          </cell>
          <cell r="G1026">
            <v>0</v>
          </cell>
          <cell r="H1026">
            <v>0</v>
          </cell>
          <cell r="I1026">
            <v>0</v>
          </cell>
          <cell r="J1026">
            <v>0</v>
          </cell>
          <cell r="K1026">
            <v>0</v>
          </cell>
        </row>
        <row r="1027">
          <cell r="A1027">
            <v>410626</v>
          </cell>
          <cell r="B1027" t="str">
            <v>C.M. CUENTAS DE RESULTADO</v>
          </cell>
          <cell r="C1027">
            <v>0</v>
          </cell>
          <cell r="D1027">
            <v>0</v>
          </cell>
          <cell r="E1027">
            <v>0</v>
          </cell>
          <cell r="F1027">
            <v>0</v>
          </cell>
          <cell r="G1027">
            <v>0</v>
          </cell>
          <cell r="H1027">
            <v>0</v>
          </cell>
          <cell r="I1027">
            <v>0</v>
          </cell>
          <cell r="J1027">
            <v>0</v>
          </cell>
          <cell r="K1027">
            <v>0</v>
          </cell>
        </row>
        <row r="1028">
          <cell r="A1028">
            <v>410628</v>
          </cell>
          <cell r="B1028" t="str">
            <v>C.M. INVERSION EXTRANJERA</v>
          </cell>
          <cell r="C1028">
            <v>0</v>
          </cell>
          <cell r="D1028">
            <v>0</v>
          </cell>
          <cell r="E1028">
            <v>0</v>
          </cell>
          <cell r="F1028">
            <v>0</v>
          </cell>
          <cell r="G1028">
            <v>0</v>
          </cell>
          <cell r="H1028">
            <v>0</v>
          </cell>
          <cell r="I1028">
            <v>0</v>
          </cell>
          <cell r="J1028">
            <v>0</v>
          </cell>
          <cell r="K1028">
            <v>0</v>
          </cell>
        </row>
        <row r="1029">
          <cell r="A1029">
            <v>410629</v>
          </cell>
          <cell r="B1029" t="str">
            <v>C.M. AVANCE DE TENEDORES</v>
          </cell>
          <cell r="C1029">
            <v>6998886</v>
          </cell>
          <cell r="D1029">
            <v>52192207</v>
          </cell>
          <cell r="E1029">
            <v>0</v>
          </cell>
          <cell r="F1029">
            <v>45193321</v>
          </cell>
          <cell r="G1029">
            <v>0</v>
          </cell>
          <cell r="H1029">
            <v>0</v>
          </cell>
          <cell r="I1029">
            <v>0</v>
          </cell>
          <cell r="J1029">
            <v>45193321</v>
          </cell>
          <cell r="K1029">
            <v>-45193321</v>
          </cell>
        </row>
        <row r="1030">
          <cell r="A1030">
            <v>410630</v>
          </cell>
          <cell r="B1030" t="str">
            <v>C.M.RESERVAS CUI</v>
          </cell>
          <cell r="C1030">
            <v>0</v>
          </cell>
          <cell r="D1030">
            <v>0</v>
          </cell>
          <cell r="E1030">
            <v>0</v>
          </cell>
          <cell r="F1030">
            <v>0</v>
          </cell>
          <cell r="G1030">
            <v>0</v>
          </cell>
          <cell r="H1030">
            <v>0</v>
          </cell>
          <cell r="I1030">
            <v>0</v>
          </cell>
          <cell r="J1030">
            <v>0</v>
          </cell>
          <cell r="K1030">
            <v>0</v>
          </cell>
        </row>
        <row r="1031">
          <cell r="A1031">
            <v>410631</v>
          </cell>
          <cell r="B1031" t="str">
            <v>C.M.RESERVAS APV</v>
          </cell>
          <cell r="C1031">
            <v>0</v>
          </cell>
          <cell r="D1031">
            <v>0</v>
          </cell>
          <cell r="E1031">
            <v>0</v>
          </cell>
          <cell r="F1031">
            <v>0</v>
          </cell>
          <cell r="G1031">
            <v>0</v>
          </cell>
          <cell r="H1031">
            <v>0</v>
          </cell>
          <cell r="I1031">
            <v>0</v>
          </cell>
          <cell r="J1031">
            <v>0</v>
          </cell>
          <cell r="K1031">
            <v>0</v>
          </cell>
        </row>
        <row r="1032">
          <cell r="A1032">
            <v>410632</v>
          </cell>
          <cell r="B1032" t="str">
            <v>C.M. BONOS CROSS C. SWAP</v>
          </cell>
          <cell r="C1032">
            <v>80479952</v>
          </cell>
          <cell r="D1032">
            <v>593129091</v>
          </cell>
          <cell r="E1032">
            <v>0</v>
          </cell>
          <cell r="F1032">
            <v>512649139</v>
          </cell>
          <cell r="G1032">
            <v>0</v>
          </cell>
          <cell r="H1032">
            <v>0</v>
          </cell>
          <cell r="I1032">
            <v>0</v>
          </cell>
          <cell r="J1032">
            <v>512649139</v>
          </cell>
          <cell r="K1032">
            <v>-512649139</v>
          </cell>
        </row>
        <row r="1033">
          <cell r="A1033">
            <v>410633</v>
          </cell>
          <cell r="B1033" t="str">
            <v>C.M. CREDITOS SINDICADOS</v>
          </cell>
          <cell r="C1033">
            <v>0</v>
          </cell>
          <cell r="D1033">
            <v>0</v>
          </cell>
          <cell r="E1033">
            <v>0</v>
          </cell>
          <cell r="F1033">
            <v>0</v>
          </cell>
          <cell r="G1033">
            <v>0</v>
          </cell>
          <cell r="H1033">
            <v>0</v>
          </cell>
          <cell r="I1033">
            <v>0</v>
          </cell>
          <cell r="J1033">
            <v>0</v>
          </cell>
          <cell r="K1033">
            <v>0</v>
          </cell>
        </row>
        <row r="1034">
          <cell r="A1034">
            <v>410635</v>
          </cell>
          <cell r="B1034" t="str">
            <v>C.M. INTS. US TREASSURY</v>
          </cell>
          <cell r="C1034">
            <v>0</v>
          </cell>
          <cell r="D1034">
            <v>0</v>
          </cell>
          <cell r="E1034">
            <v>0</v>
          </cell>
          <cell r="F1034">
            <v>0</v>
          </cell>
          <cell r="G1034">
            <v>0</v>
          </cell>
          <cell r="H1034">
            <v>0</v>
          </cell>
          <cell r="I1034">
            <v>0</v>
          </cell>
          <cell r="J1034">
            <v>0</v>
          </cell>
          <cell r="K1034">
            <v>0</v>
          </cell>
        </row>
        <row r="1035">
          <cell r="A1035">
            <v>410636</v>
          </cell>
          <cell r="B1035" t="str">
            <v>C.M. ADRS</v>
          </cell>
          <cell r="C1035">
            <v>3013757</v>
          </cell>
          <cell r="D1035">
            <v>3013757</v>
          </cell>
          <cell r="E1035">
            <v>0</v>
          </cell>
          <cell r="F1035">
            <v>0</v>
          </cell>
          <cell r="G1035">
            <v>0</v>
          </cell>
          <cell r="H1035">
            <v>0</v>
          </cell>
          <cell r="I1035">
            <v>0</v>
          </cell>
          <cell r="J1035">
            <v>0</v>
          </cell>
          <cell r="K1035">
            <v>0</v>
          </cell>
        </row>
        <row r="1036">
          <cell r="A1036">
            <v>410637</v>
          </cell>
          <cell r="B1036" t="str">
            <v>C.M. BONOS CROSS C. SWAP</v>
          </cell>
          <cell r="C1036">
            <v>0</v>
          </cell>
          <cell r="D1036">
            <v>0</v>
          </cell>
          <cell r="E1036">
            <v>0</v>
          </cell>
          <cell r="F1036">
            <v>0</v>
          </cell>
          <cell r="G1036">
            <v>0</v>
          </cell>
          <cell r="H1036">
            <v>0</v>
          </cell>
          <cell r="I1036">
            <v>0</v>
          </cell>
          <cell r="J1036">
            <v>0</v>
          </cell>
          <cell r="K1036">
            <v>0</v>
          </cell>
        </row>
        <row r="1037">
          <cell r="A1037">
            <v>410638</v>
          </cell>
          <cell r="B1037" t="str">
            <v>C.M. DEUDORES POR REASEGU</v>
          </cell>
          <cell r="C1037">
            <v>0</v>
          </cell>
          <cell r="D1037">
            <v>0</v>
          </cell>
          <cell r="E1037">
            <v>0</v>
          </cell>
          <cell r="F1037">
            <v>0</v>
          </cell>
          <cell r="G1037">
            <v>0</v>
          </cell>
          <cell r="H1037">
            <v>0</v>
          </cell>
          <cell r="I1037">
            <v>0</v>
          </cell>
          <cell r="J1037">
            <v>0</v>
          </cell>
          <cell r="K1037">
            <v>0</v>
          </cell>
        </row>
        <row r="1038">
          <cell r="A1038">
            <v>410639</v>
          </cell>
          <cell r="B1038" t="str">
            <v>C.M. DEPRECIACION ACUMULA</v>
          </cell>
          <cell r="C1038">
            <v>0</v>
          </cell>
          <cell r="D1038">
            <v>0</v>
          </cell>
          <cell r="E1038">
            <v>0</v>
          </cell>
          <cell r="F1038">
            <v>0</v>
          </cell>
          <cell r="G1038">
            <v>0</v>
          </cell>
          <cell r="H1038">
            <v>0</v>
          </cell>
          <cell r="I1038">
            <v>0</v>
          </cell>
          <cell r="J1038">
            <v>0</v>
          </cell>
          <cell r="K1038">
            <v>0</v>
          </cell>
        </row>
        <row r="1039">
          <cell r="A1039">
            <v>410640</v>
          </cell>
          <cell r="B1039" t="str">
            <v>C.M. BONOS EXTRANJEROS TR</v>
          </cell>
          <cell r="C1039">
            <v>35536218</v>
          </cell>
          <cell r="D1039">
            <v>239330170</v>
          </cell>
          <cell r="E1039">
            <v>0</v>
          </cell>
          <cell r="F1039">
            <v>203793952</v>
          </cell>
          <cell r="G1039">
            <v>0</v>
          </cell>
          <cell r="H1039">
            <v>0</v>
          </cell>
          <cell r="I1039">
            <v>0</v>
          </cell>
          <cell r="J1039">
            <v>203793952</v>
          </cell>
          <cell r="K1039">
            <v>-203793952</v>
          </cell>
        </row>
        <row r="1040">
          <cell r="A1040">
            <v>410641</v>
          </cell>
          <cell r="B1040" t="str">
            <v>C.M. CUOTAS FDOS NAC INV</v>
          </cell>
          <cell r="C1040">
            <v>63951245</v>
          </cell>
          <cell r="D1040">
            <v>63951245</v>
          </cell>
          <cell r="E1040">
            <v>0</v>
          </cell>
          <cell r="F1040">
            <v>0</v>
          </cell>
          <cell r="G1040">
            <v>0</v>
          </cell>
          <cell r="H1040">
            <v>0</v>
          </cell>
          <cell r="I1040">
            <v>0</v>
          </cell>
          <cell r="J1040">
            <v>0</v>
          </cell>
          <cell r="K1040">
            <v>0</v>
          </cell>
        </row>
        <row r="1041">
          <cell r="A1041">
            <v>410642</v>
          </cell>
          <cell r="B1041" t="str">
            <v>C.M. EXCHANGE TRADED FUND</v>
          </cell>
          <cell r="C1041">
            <v>294622956</v>
          </cell>
          <cell r="D1041">
            <v>294622955</v>
          </cell>
          <cell r="E1041">
            <v>1</v>
          </cell>
          <cell r="F1041">
            <v>0</v>
          </cell>
          <cell r="G1041">
            <v>0</v>
          </cell>
          <cell r="H1041">
            <v>0</v>
          </cell>
          <cell r="I1041">
            <v>1</v>
          </cell>
          <cell r="J1041">
            <v>0</v>
          </cell>
          <cell r="K1041">
            <v>1</v>
          </cell>
        </row>
        <row r="1042">
          <cell r="A1042">
            <v>410643</v>
          </cell>
          <cell r="B1042" t="str">
            <v>C.M. DEPOSITOS A PLAZO FI</v>
          </cell>
          <cell r="C1042">
            <v>11204725</v>
          </cell>
          <cell r="D1042">
            <v>12246560</v>
          </cell>
          <cell r="E1042">
            <v>0</v>
          </cell>
          <cell r="F1042">
            <v>1041835</v>
          </cell>
          <cell r="G1042">
            <v>0</v>
          </cell>
          <cell r="H1042">
            <v>0</v>
          </cell>
          <cell r="I1042">
            <v>0</v>
          </cell>
          <cell r="J1042">
            <v>1041835</v>
          </cell>
          <cell r="K1042">
            <v>-1041835</v>
          </cell>
        </row>
        <row r="1043">
          <cell r="A1043">
            <v>410644</v>
          </cell>
          <cell r="B1043" t="str">
            <v>C.M. BCU</v>
          </cell>
          <cell r="C1043">
            <v>9467007</v>
          </cell>
          <cell r="D1043">
            <v>90030711</v>
          </cell>
          <cell r="E1043">
            <v>0</v>
          </cell>
          <cell r="F1043">
            <v>80563704</v>
          </cell>
          <cell r="G1043">
            <v>0</v>
          </cell>
          <cell r="H1043">
            <v>0</v>
          </cell>
          <cell r="I1043">
            <v>0</v>
          </cell>
          <cell r="J1043">
            <v>80563704</v>
          </cell>
          <cell r="K1043">
            <v>-80563704</v>
          </cell>
        </row>
        <row r="1044">
          <cell r="A1044">
            <v>410645</v>
          </cell>
          <cell r="B1044" t="str">
            <v>C.M. BONOS EXTRANJEROS</v>
          </cell>
          <cell r="C1044">
            <v>257833948</v>
          </cell>
          <cell r="D1044">
            <v>1687805970</v>
          </cell>
          <cell r="E1044">
            <v>0</v>
          </cell>
          <cell r="F1044">
            <v>1429972022</v>
          </cell>
          <cell r="G1044">
            <v>0</v>
          </cell>
          <cell r="H1044">
            <v>0</v>
          </cell>
          <cell r="I1044">
            <v>0</v>
          </cell>
          <cell r="J1044">
            <v>1429972022</v>
          </cell>
          <cell r="K1044">
            <v>-1429972022</v>
          </cell>
        </row>
        <row r="1045">
          <cell r="A1045">
            <v>410646</v>
          </cell>
          <cell r="B1045" t="str">
            <v>C.M. PAGARES EMPRESAS</v>
          </cell>
          <cell r="C1045">
            <v>24482821</v>
          </cell>
          <cell r="D1045">
            <v>163378670</v>
          </cell>
          <cell r="E1045">
            <v>0</v>
          </cell>
          <cell r="F1045">
            <v>138895849</v>
          </cell>
          <cell r="G1045">
            <v>0</v>
          </cell>
          <cell r="H1045">
            <v>0</v>
          </cell>
          <cell r="I1045">
            <v>0</v>
          </cell>
          <cell r="J1045">
            <v>138895849</v>
          </cell>
          <cell r="K1045">
            <v>-138895849</v>
          </cell>
        </row>
        <row r="1046">
          <cell r="A1046">
            <v>410647</v>
          </cell>
          <cell r="B1046" t="str">
            <v>C.M. BONOS SECURITIZADOS</v>
          </cell>
          <cell r="C1046">
            <v>92892534</v>
          </cell>
          <cell r="D1046">
            <v>705298579</v>
          </cell>
          <cell r="E1046">
            <v>0</v>
          </cell>
          <cell r="F1046">
            <v>612406045</v>
          </cell>
          <cell r="G1046">
            <v>0</v>
          </cell>
          <cell r="H1046">
            <v>0</v>
          </cell>
          <cell r="I1046">
            <v>0</v>
          </cell>
          <cell r="J1046">
            <v>612406045</v>
          </cell>
          <cell r="K1046">
            <v>-612406045</v>
          </cell>
        </row>
        <row r="1047">
          <cell r="A1047">
            <v>410648</v>
          </cell>
          <cell r="B1047" t="str">
            <v>C.M. BONOS GARANTIZADOS</v>
          </cell>
          <cell r="C1047">
            <v>81458658</v>
          </cell>
          <cell r="D1047">
            <v>597483449</v>
          </cell>
          <cell r="E1047">
            <v>0</v>
          </cell>
          <cell r="F1047">
            <v>516024791</v>
          </cell>
          <cell r="G1047">
            <v>0</v>
          </cell>
          <cell r="H1047">
            <v>0</v>
          </cell>
          <cell r="I1047">
            <v>0</v>
          </cell>
          <cell r="J1047">
            <v>516024791</v>
          </cell>
          <cell r="K1047">
            <v>-516024791</v>
          </cell>
        </row>
        <row r="1048">
          <cell r="A1048">
            <v>410649</v>
          </cell>
          <cell r="B1048" t="str">
            <v>C.M. BTU</v>
          </cell>
          <cell r="C1048">
            <v>3205438</v>
          </cell>
          <cell r="D1048">
            <v>18374692</v>
          </cell>
          <cell r="E1048">
            <v>0</v>
          </cell>
          <cell r="F1048">
            <v>15169254</v>
          </cell>
          <cell r="G1048">
            <v>0</v>
          </cell>
          <cell r="H1048">
            <v>0</v>
          </cell>
          <cell r="I1048">
            <v>0</v>
          </cell>
          <cell r="J1048">
            <v>15169254</v>
          </cell>
          <cell r="K1048">
            <v>-15169254</v>
          </cell>
        </row>
        <row r="1049">
          <cell r="A1049">
            <v>410650</v>
          </cell>
          <cell r="B1049" t="str">
            <v>C.M. BONOS VIVIENDA LEASI</v>
          </cell>
          <cell r="C1049">
            <v>10353093</v>
          </cell>
          <cell r="D1049">
            <v>71370619</v>
          </cell>
          <cell r="E1049">
            <v>0</v>
          </cell>
          <cell r="F1049">
            <v>61017526</v>
          </cell>
          <cell r="G1049">
            <v>0</v>
          </cell>
          <cell r="H1049">
            <v>0</v>
          </cell>
          <cell r="I1049">
            <v>0</v>
          </cell>
          <cell r="J1049">
            <v>61017526</v>
          </cell>
          <cell r="K1049">
            <v>-61017526</v>
          </cell>
        </row>
        <row r="1050">
          <cell r="A1050">
            <v>410651</v>
          </cell>
          <cell r="B1050" t="str">
            <v>C.M. FONDOS MUTUOS</v>
          </cell>
          <cell r="C1050">
            <v>5597896</v>
          </cell>
          <cell r="D1050">
            <v>5726612</v>
          </cell>
          <cell r="E1050">
            <v>0</v>
          </cell>
          <cell r="F1050">
            <v>128716</v>
          </cell>
          <cell r="G1050">
            <v>0</v>
          </cell>
          <cell r="H1050">
            <v>0</v>
          </cell>
          <cell r="I1050">
            <v>0</v>
          </cell>
          <cell r="J1050">
            <v>128716</v>
          </cell>
          <cell r="K1050">
            <v>-128716</v>
          </cell>
        </row>
        <row r="1051">
          <cell r="A1051">
            <v>410652</v>
          </cell>
          <cell r="B1051" t="str">
            <v>C.M. ACCIONES EXTRANJERAS</v>
          </cell>
          <cell r="C1051">
            <v>10209176</v>
          </cell>
          <cell r="D1051">
            <v>10209176</v>
          </cell>
          <cell r="E1051">
            <v>0</v>
          </cell>
          <cell r="F1051">
            <v>0</v>
          </cell>
          <cell r="G1051">
            <v>0</v>
          </cell>
          <cell r="H1051">
            <v>0</v>
          </cell>
          <cell r="I1051">
            <v>0</v>
          </cell>
          <cell r="J1051">
            <v>0</v>
          </cell>
          <cell r="K1051">
            <v>0</v>
          </cell>
        </row>
        <row r="1052">
          <cell r="A1052">
            <v>410653</v>
          </cell>
          <cell r="B1052" t="str">
            <v>C.M. CUOTAS DE FONDOS DE</v>
          </cell>
          <cell r="C1052">
            <v>114114729</v>
          </cell>
          <cell r="D1052">
            <v>114114729</v>
          </cell>
          <cell r="E1052">
            <v>0</v>
          </cell>
          <cell r="F1052">
            <v>0</v>
          </cell>
          <cell r="G1052">
            <v>0</v>
          </cell>
          <cell r="H1052">
            <v>0</v>
          </cell>
          <cell r="I1052">
            <v>0</v>
          </cell>
          <cell r="J1052">
            <v>0</v>
          </cell>
          <cell r="K1052">
            <v>0</v>
          </cell>
        </row>
        <row r="1053">
          <cell r="A1053">
            <v>410654</v>
          </cell>
          <cell r="B1053" t="str">
            <v>C.M. NOTAS ESTRUCTURADAS</v>
          </cell>
          <cell r="C1053">
            <v>0</v>
          </cell>
          <cell r="D1053">
            <v>0</v>
          </cell>
          <cell r="E1053">
            <v>0</v>
          </cell>
          <cell r="F1053">
            <v>0</v>
          </cell>
          <cell r="G1053">
            <v>0</v>
          </cell>
          <cell r="H1053">
            <v>0</v>
          </cell>
          <cell r="I1053">
            <v>0</v>
          </cell>
          <cell r="J1053">
            <v>0</v>
          </cell>
          <cell r="K1053">
            <v>0</v>
          </cell>
        </row>
        <row r="1054">
          <cell r="A1054">
            <v>410655</v>
          </cell>
          <cell r="B1054" t="str">
            <v>C.M. BCP</v>
          </cell>
          <cell r="C1054">
            <v>0</v>
          </cell>
          <cell r="D1054">
            <v>1596138</v>
          </cell>
          <cell r="E1054">
            <v>0</v>
          </cell>
          <cell r="F1054">
            <v>1596138</v>
          </cell>
          <cell r="G1054">
            <v>0</v>
          </cell>
          <cell r="H1054">
            <v>0</v>
          </cell>
          <cell r="I1054">
            <v>0</v>
          </cell>
          <cell r="J1054">
            <v>1596138</v>
          </cell>
          <cell r="K1054">
            <v>-1596138</v>
          </cell>
        </row>
        <row r="1055">
          <cell r="A1055">
            <v>410656</v>
          </cell>
          <cell r="B1055" t="str">
            <v>C.M. BONOS EMPRESA TASA F</v>
          </cell>
          <cell r="C1055">
            <v>18442261</v>
          </cell>
          <cell r="D1055">
            <v>123794597</v>
          </cell>
          <cell r="E1055">
            <v>0</v>
          </cell>
          <cell r="F1055">
            <v>105352336</v>
          </cell>
          <cell r="G1055">
            <v>0</v>
          </cell>
          <cell r="H1055">
            <v>0</v>
          </cell>
          <cell r="I1055">
            <v>0</v>
          </cell>
          <cell r="J1055">
            <v>105352336</v>
          </cell>
          <cell r="K1055">
            <v>-105352336</v>
          </cell>
        </row>
        <row r="1056">
          <cell r="A1056">
            <v>410657</v>
          </cell>
          <cell r="B1056" t="str">
            <v>C.M. ACTIVO FIJO INMOBILI</v>
          </cell>
          <cell r="C1056">
            <v>322099488</v>
          </cell>
          <cell r="D1056">
            <v>1435213382</v>
          </cell>
          <cell r="E1056">
            <v>0</v>
          </cell>
          <cell r="F1056">
            <v>1113113894</v>
          </cell>
          <cell r="G1056">
            <v>0</v>
          </cell>
          <cell r="H1056">
            <v>0</v>
          </cell>
          <cell r="I1056">
            <v>0</v>
          </cell>
          <cell r="J1056">
            <v>1113113894</v>
          </cell>
          <cell r="K1056">
            <v>-1113113894</v>
          </cell>
        </row>
        <row r="1057">
          <cell r="A1057">
            <v>410658</v>
          </cell>
          <cell r="B1057" t="str">
            <v>C.M. DEPRECIACION ACUMULA</v>
          </cell>
          <cell r="C1057">
            <v>69832468</v>
          </cell>
          <cell r="D1057">
            <v>16101460</v>
          </cell>
          <cell r="E1057">
            <v>53731008</v>
          </cell>
          <cell r="F1057">
            <v>0</v>
          </cell>
          <cell r="G1057">
            <v>0</v>
          </cell>
          <cell r="H1057">
            <v>0</v>
          </cell>
          <cell r="I1057">
            <v>53731008</v>
          </cell>
          <cell r="J1057">
            <v>0</v>
          </cell>
          <cell r="K1057">
            <v>53731008</v>
          </cell>
        </row>
        <row r="1058">
          <cell r="A1058">
            <v>410659</v>
          </cell>
          <cell r="B1058" t="str">
            <v>C.M. NOTAS ESTRUCTURADAS</v>
          </cell>
          <cell r="C1058">
            <v>13944143</v>
          </cell>
          <cell r="D1058">
            <v>84535826</v>
          </cell>
          <cell r="E1058">
            <v>0</v>
          </cell>
          <cell r="F1058">
            <v>70591683</v>
          </cell>
          <cell r="G1058">
            <v>0</v>
          </cell>
          <cell r="H1058">
            <v>0</v>
          </cell>
          <cell r="I1058">
            <v>0</v>
          </cell>
          <cell r="J1058">
            <v>70591683</v>
          </cell>
          <cell r="K1058">
            <v>-70591683</v>
          </cell>
        </row>
        <row r="1059">
          <cell r="A1059">
            <v>410660</v>
          </cell>
          <cell r="B1059" t="str">
            <v>C.M. BTP BONOS TESORERIA</v>
          </cell>
          <cell r="C1059">
            <v>0</v>
          </cell>
          <cell r="D1059">
            <v>4444184</v>
          </cell>
          <cell r="E1059">
            <v>0</v>
          </cell>
          <cell r="F1059">
            <v>4444184</v>
          </cell>
          <cell r="G1059">
            <v>0</v>
          </cell>
          <cell r="H1059">
            <v>0</v>
          </cell>
          <cell r="I1059">
            <v>0</v>
          </cell>
          <cell r="J1059">
            <v>4444184</v>
          </cell>
          <cell r="K1059">
            <v>-4444184</v>
          </cell>
        </row>
        <row r="1060">
          <cell r="A1060">
            <v>410661</v>
          </cell>
          <cell r="B1060" t="str">
            <v>C.M. DEPRECIACION ACUMULA</v>
          </cell>
          <cell r="C1060">
            <v>0</v>
          </cell>
          <cell r="D1060">
            <v>0</v>
          </cell>
          <cell r="E1060">
            <v>0</v>
          </cell>
          <cell r="F1060">
            <v>0</v>
          </cell>
          <cell r="G1060">
            <v>0</v>
          </cell>
          <cell r="H1060">
            <v>0</v>
          </cell>
          <cell r="I1060">
            <v>0</v>
          </cell>
          <cell r="J1060">
            <v>0</v>
          </cell>
          <cell r="K1060">
            <v>0</v>
          </cell>
        </row>
        <row r="1061">
          <cell r="A1061">
            <v>410662</v>
          </cell>
          <cell r="B1061" t="str">
            <v>C.M. BIENES RAICES ADJUDI</v>
          </cell>
          <cell r="C1061">
            <v>8084416</v>
          </cell>
          <cell r="D1061">
            <v>36532449</v>
          </cell>
          <cell r="E1061">
            <v>0</v>
          </cell>
          <cell r="F1061">
            <v>28448033</v>
          </cell>
          <cell r="G1061">
            <v>0</v>
          </cell>
          <cell r="H1061">
            <v>0</v>
          </cell>
          <cell r="I1061">
            <v>0</v>
          </cell>
          <cell r="J1061">
            <v>28448033</v>
          </cell>
          <cell r="K1061">
            <v>-28448033</v>
          </cell>
        </row>
        <row r="1062">
          <cell r="A1062">
            <v>410663</v>
          </cell>
          <cell r="B1062" t="str">
            <v>C.M. DEPRECIACION ACUMULA</v>
          </cell>
          <cell r="C1062">
            <v>659661</v>
          </cell>
          <cell r="D1062">
            <v>116999</v>
          </cell>
          <cell r="E1062">
            <v>542662</v>
          </cell>
          <cell r="F1062">
            <v>0</v>
          </cell>
          <cell r="G1062">
            <v>0</v>
          </cell>
          <cell r="H1062">
            <v>0</v>
          </cell>
          <cell r="I1062">
            <v>542662</v>
          </cell>
          <cell r="J1062">
            <v>0</v>
          </cell>
          <cell r="K1062">
            <v>542662</v>
          </cell>
        </row>
        <row r="1063">
          <cell r="A1063">
            <v>410672</v>
          </cell>
          <cell r="B1063" t="str">
            <v>C.M. RESERVAS DE SINIESTR</v>
          </cell>
          <cell r="C1063">
            <v>0</v>
          </cell>
          <cell r="D1063">
            <v>0</v>
          </cell>
          <cell r="E1063">
            <v>0</v>
          </cell>
          <cell r="F1063">
            <v>0</v>
          </cell>
          <cell r="G1063">
            <v>0</v>
          </cell>
          <cell r="H1063">
            <v>0</v>
          </cell>
          <cell r="I1063">
            <v>0</v>
          </cell>
          <cell r="J1063">
            <v>0</v>
          </cell>
          <cell r="K1063">
            <v>0</v>
          </cell>
        </row>
        <row r="1064">
          <cell r="A1064">
            <v>510001</v>
          </cell>
          <cell r="B1064" t="str">
            <v>SERVICIOS DE TASACION</v>
          </cell>
          <cell r="C1064">
            <v>0</v>
          </cell>
          <cell r="D1064">
            <v>0</v>
          </cell>
          <cell r="E1064">
            <v>0</v>
          </cell>
          <cell r="F1064">
            <v>0</v>
          </cell>
          <cell r="G1064">
            <v>0</v>
          </cell>
          <cell r="H1064">
            <v>0</v>
          </cell>
          <cell r="I1064">
            <v>0</v>
          </cell>
          <cell r="J1064">
            <v>0</v>
          </cell>
          <cell r="K1064">
            <v>0</v>
          </cell>
        </row>
        <row r="1065">
          <cell r="A1065">
            <v>510002</v>
          </cell>
          <cell r="B1065" t="str">
            <v>OTROS GASTOS OPERACIONALE</v>
          </cell>
          <cell r="C1065">
            <v>11536250</v>
          </cell>
          <cell r="D1065">
            <v>0</v>
          </cell>
          <cell r="E1065">
            <v>11536250</v>
          </cell>
          <cell r="F1065">
            <v>0</v>
          </cell>
          <cell r="G1065">
            <v>0</v>
          </cell>
          <cell r="H1065">
            <v>0</v>
          </cell>
          <cell r="I1065">
            <v>11536250</v>
          </cell>
          <cell r="J1065">
            <v>0</v>
          </cell>
          <cell r="K1065">
            <v>11536250</v>
          </cell>
        </row>
        <row r="1066">
          <cell r="A1066">
            <v>510005</v>
          </cell>
          <cell r="B1066" t="str">
            <v>ASESORIA ADMINISTRACION</v>
          </cell>
          <cell r="C1066">
            <v>0</v>
          </cell>
          <cell r="D1066">
            <v>0</v>
          </cell>
          <cell r="E1066">
            <v>0</v>
          </cell>
          <cell r="F1066">
            <v>0</v>
          </cell>
          <cell r="G1066">
            <v>0</v>
          </cell>
          <cell r="H1066">
            <v>0</v>
          </cell>
          <cell r="I1066">
            <v>0</v>
          </cell>
          <cell r="J1066">
            <v>0</v>
          </cell>
          <cell r="K1066">
            <v>0</v>
          </cell>
        </row>
        <row r="1067">
          <cell r="A1067">
            <v>510006</v>
          </cell>
          <cell r="B1067" t="str">
            <v>COMISION RECAUDACION</v>
          </cell>
          <cell r="C1067">
            <v>226973</v>
          </cell>
          <cell r="D1067">
            <v>0</v>
          </cell>
          <cell r="E1067">
            <v>226973</v>
          </cell>
          <cell r="F1067">
            <v>0</v>
          </cell>
          <cell r="G1067">
            <v>0</v>
          </cell>
          <cell r="H1067">
            <v>0</v>
          </cell>
          <cell r="I1067">
            <v>226973</v>
          </cell>
          <cell r="J1067">
            <v>0</v>
          </cell>
          <cell r="K1067">
            <v>226973</v>
          </cell>
        </row>
        <row r="1068">
          <cell r="A1068">
            <v>510008</v>
          </cell>
          <cell r="B1068" t="str">
            <v>COMISIONES INTERMEDIARIOS</v>
          </cell>
          <cell r="C1068">
            <v>0</v>
          </cell>
          <cell r="D1068">
            <v>0</v>
          </cell>
          <cell r="E1068">
            <v>0</v>
          </cell>
          <cell r="F1068">
            <v>0</v>
          </cell>
          <cell r="G1068">
            <v>0</v>
          </cell>
          <cell r="H1068">
            <v>0</v>
          </cell>
          <cell r="I1068">
            <v>0</v>
          </cell>
          <cell r="J1068">
            <v>0</v>
          </cell>
          <cell r="K1068">
            <v>0</v>
          </cell>
        </row>
        <row r="1069">
          <cell r="A1069">
            <v>510009</v>
          </cell>
          <cell r="B1069" t="str">
            <v>GASTOS NOTARIALES Y JUDIC</v>
          </cell>
          <cell r="C1069">
            <v>0</v>
          </cell>
          <cell r="D1069">
            <v>0</v>
          </cell>
          <cell r="E1069">
            <v>0</v>
          </cell>
          <cell r="F1069">
            <v>0</v>
          </cell>
          <cell r="G1069">
            <v>0</v>
          </cell>
          <cell r="H1069">
            <v>0</v>
          </cell>
          <cell r="I1069">
            <v>0</v>
          </cell>
          <cell r="J1069">
            <v>0</v>
          </cell>
          <cell r="K1069">
            <v>0</v>
          </cell>
        </row>
        <row r="1070">
          <cell r="A1070">
            <v>510011</v>
          </cell>
          <cell r="B1070" t="str">
            <v>INFORMES DICOM</v>
          </cell>
          <cell r="C1070">
            <v>0</v>
          </cell>
          <cell r="D1070">
            <v>0</v>
          </cell>
          <cell r="E1070">
            <v>0</v>
          </cell>
          <cell r="F1070">
            <v>0</v>
          </cell>
          <cell r="G1070">
            <v>0</v>
          </cell>
          <cell r="H1070">
            <v>0</v>
          </cell>
          <cell r="I1070">
            <v>0</v>
          </cell>
          <cell r="J1070">
            <v>0</v>
          </cell>
          <cell r="K1070">
            <v>0</v>
          </cell>
        </row>
        <row r="1071">
          <cell r="A1071">
            <v>510035</v>
          </cell>
          <cell r="B1071" t="str">
            <v>RESCATES APV INDIVIDUAL</v>
          </cell>
          <cell r="C1071">
            <v>0</v>
          </cell>
          <cell r="D1071">
            <v>0</v>
          </cell>
          <cell r="E1071">
            <v>0</v>
          </cell>
          <cell r="F1071">
            <v>0</v>
          </cell>
          <cell r="G1071">
            <v>0</v>
          </cell>
          <cell r="H1071">
            <v>0</v>
          </cell>
          <cell r="I1071">
            <v>0</v>
          </cell>
          <cell r="J1071">
            <v>0</v>
          </cell>
          <cell r="K1071">
            <v>0</v>
          </cell>
        </row>
        <row r="1072">
          <cell r="A1072">
            <v>510100</v>
          </cell>
          <cell r="B1072" t="str">
            <v>SINIESTROS DIRECTOS 1ER A</v>
          </cell>
          <cell r="C1072">
            <v>4108841882</v>
          </cell>
          <cell r="D1072">
            <v>467196011</v>
          </cell>
          <cell r="E1072">
            <v>3641645871</v>
          </cell>
          <cell r="F1072">
            <v>0</v>
          </cell>
          <cell r="G1072">
            <v>0</v>
          </cell>
          <cell r="H1072">
            <v>0</v>
          </cell>
          <cell r="I1072">
            <v>3641645871</v>
          </cell>
          <cell r="J1072">
            <v>0</v>
          </cell>
          <cell r="K1072">
            <v>3641645871</v>
          </cell>
        </row>
        <row r="1073">
          <cell r="A1073">
            <v>510101</v>
          </cell>
          <cell r="B1073" t="str">
            <v>SINIESTROS DIRECTOS UNICA</v>
          </cell>
          <cell r="C1073">
            <v>1544950679</v>
          </cell>
          <cell r="D1073">
            <v>9631488</v>
          </cell>
          <cell r="E1073">
            <v>1535319191</v>
          </cell>
          <cell r="F1073">
            <v>0</v>
          </cell>
          <cell r="G1073">
            <v>0</v>
          </cell>
          <cell r="H1073">
            <v>0</v>
          </cell>
          <cell r="I1073">
            <v>1535319191</v>
          </cell>
          <cell r="J1073">
            <v>0</v>
          </cell>
          <cell r="K1073">
            <v>1535319191</v>
          </cell>
        </row>
        <row r="1074">
          <cell r="A1074">
            <v>510102</v>
          </cell>
          <cell r="B1074" t="str">
            <v>SINIESTROS DIRECTOS RENOV</v>
          </cell>
          <cell r="C1074">
            <v>24052367310</v>
          </cell>
          <cell r="D1074">
            <v>27358931</v>
          </cell>
          <cell r="E1074">
            <v>24025008379</v>
          </cell>
          <cell r="F1074">
            <v>0</v>
          </cell>
          <cell r="G1074">
            <v>0</v>
          </cell>
          <cell r="H1074">
            <v>0</v>
          </cell>
          <cell r="I1074">
            <v>24025008379</v>
          </cell>
          <cell r="J1074">
            <v>0</v>
          </cell>
          <cell r="K1074">
            <v>24025008379</v>
          </cell>
        </row>
        <row r="1075">
          <cell r="A1075">
            <v>510112</v>
          </cell>
          <cell r="B1075" t="str">
            <v>SINIESTROS CEDIDOS RENOVA</v>
          </cell>
          <cell r="C1075">
            <v>244648930</v>
          </cell>
          <cell r="D1075">
            <v>1748739167</v>
          </cell>
          <cell r="E1075">
            <v>0</v>
          </cell>
          <cell r="F1075">
            <v>1504090237</v>
          </cell>
          <cell r="G1075">
            <v>0</v>
          </cell>
          <cell r="H1075">
            <v>0</v>
          </cell>
          <cell r="I1075">
            <v>0</v>
          </cell>
          <cell r="J1075">
            <v>1504090237</v>
          </cell>
          <cell r="K1075">
            <v>-1504090237</v>
          </cell>
        </row>
        <row r="1076">
          <cell r="A1076">
            <v>510119</v>
          </cell>
          <cell r="B1076" t="str">
            <v>SINIESTROS DIRECTOS VIDA</v>
          </cell>
          <cell r="C1076">
            <v>417483172</v>
          </cell>
          <cell r="D1076">
            <v>26641033</v>
          </cell>
          <cell r="E1076">
            <v>390842139</v>
          </cell>
          <cell r="F1076">
            <v>0</v>
          </cell>
          <cell r="G1076">
            <v>0</v>
          </cell>
          <cell r="H1076">
            <v>0</v>
          </cell>
          <cell r="I1076">
            <v>390842139</v>
          </cell>
          <cell r="J1076">
            <v>0</v>
          </cell>
          <cell r="K1076">
            <v>390842139</v>
          </cell>
        </row>
        <row r="1077">
          <cell r="A1077">
            <v>510120</v>
          </cell>
          <cell r="B1077" t="str">
            <v>SINIESTROS DIRECTOS VIDA</v>
          </cell>
          <cell r="C1077">
            <v>182002493</v>
          </cell>
          <cell r="D1077">
            <v>0</v>
          </cell>
          <cell r="E1077">
            <v>182002493</v>
          </cell>
          <cell r="F1077">
            <v>0</v>
          </cell>
          <cell r="G1077">
            <v>0</v>
          </cell>
          <cell r="H1077">
            <v>0</v>
          </cell>
          <cell r="I1077">
            <v>182002493</v>
          </cell>
          <cell r="J1077">
            <v>0</v>
          </cell>
          <cell r="K1077">
            <v>182002493</v>
          </cell>
        </row>
        <row r="1078">
          <cell r="A1078">
            <v>510121</v>
          </cell>
          <cell r="B1078" t="str">
            <v>SINIESTROS DIRECTOS VIDA</v>
          </cell>
          <cell r="C1078">
            <v>1489103419</v>
          </cell>
          <cell r="D1078">
            <v>138174665</v>
          </cell>
          <cell r="E1078">
            <v>1350928754</v>
          </cell>
          <cell r="F1078">
            <v>0</v>
          </cell>
          <cell r="G1078">
            <v>0</v>
          </cell>
          <cell r="H1078">
            <v>0</v>
          </cell>
          <cell r="I1078">
            <v>1350928754</v>
          </cell>
          <cell r="J1078">
            <v>0</v>
          </cell>
          <cell r="K1078">
            <v>1350928754</v>
          </cell>
        </row>
        <row r="1079">
          <cell r="A1079">
            <v>510200</v>
          </cell>
          <cell r="B1079" t="str">
            <v>RESERVAS RIESGO EN CURSO</v>
          </cell>
          <cell r="C1079">
            <v>9913157</v>
          </cell>
          <cell r="D1079">
            <v>17126988</v>
          </cell>
          <cell r="E1079">
            <v>0</v>
          </cell>
          <cell r="F1079">
            <v>7213831</v>
          </cell>
          <cell r="G1079">
            <v>0</v>
          </cell>
          <cell r="H1079">
            <v>0</v>
          </cell>
          <cell r="I1079">
            <v>0</v>
          </cell>
          <cell r="J1079">
            <v>7213831</v>
          </cell>
          <cell r="K1079">
            <v>-7213831</v>
          </cell>
        </row>
        <row r="1080">
          <cell r="A1080">
            <v>510202</v>
          </cell>
          <cell r="B1080" t="str">
            <v>RESERVAS RIESGO EN CURSO</v>
          </cell>
          <cell r="C1080">
            <v>4698558931</v>
          </cell>
          <cell r="D1080">
            <v>4987862977</v>
          </cell>
          <cell r="E1080">
            <v>0</v>
          </cell>
          <cell r="F1080">
            <v>289304046</v>
          </cell>
          <cell r="G1080">
            <v>0</v>
          </cell>
          <cell r="H1080">
            <v>0</v>
          </cell>
          <cell r="I1080">
            <v>0</v>
          </cell>
          <cell r="J1080">
            <v>289304046</v>
          </cell>
          <cell r="K1080">
            <v>-289304046</v>
          </cell>
        </row>
        <row r="1081">
          <cell r="A1081">
            <v>510203</v>
          </cell>
          <cell r="B1081" t="str">
            <v>RESERVA VALOR DEL FONDO</v>
          </cell>
          <cell r="C1081">
            <v>2558144918</v>
          </cell>
          <cell r="D1081">
            <v>96954002</v>
          </cell>
          <cell r="E1081">
            <v>2461190916</v>
          </cell>
          <cell r="F1081">
            <v>0</v>
          </cell>
          <cell r="G1081">
            <v>0</v>
          </cell>
          <cell r="H1081">
            <v>0</v>
          </cell>
          <cell r="I1081">
            <v>2461190916</v>
          </cell>
          <cell r="J1081">
            <v>0</v>
          </cell>
          <cell r="K1081">
            <v>2461190916</v>
          </cell>
        </row>
        <row r="1082">
          <cell r="A1082">
            <v>510212</v>
          </cell>
          <cell r="B1082" t="str">
            <v>RESERVAS MATEMATICA RENOV</v>
          </cell>
          <cell r="C1082">
            <v>5743088798</v>
          </cell>
          <cell r="D1082">
            <v>5508776374</v>
          </cell>
          <cell r="E1082">
            <v>234312424</v>
          </cell>
          <cell r="F1082">
            <v>0</v>
          </cell>
          <cell r="G1082">
            <v>0</v>
          </cell>
          <cell r="H1082">
            <v>0</v>
          </cell>
          <cell r="I1082">
            <v>234312424</v>
          </cell>
          <cell r="J1082">
            <v>0</v>
          </cell>
          <cell r="K1082">
            <v>234312424</v>
          </cell>
        </row>
        <row r="1083">
          <cell r="A1083">
            <v>510214</v>
          </cell>
          <cell r="B1083" t="str">
            <v>RESERVA SINIESTROS AFP SI</v>
          </cell>
          <cell r="C1083">
            <v>960856</v>
          </cell>
          <cell r="D1083">
            <v>0</v>
          </cell>
          <cell r="E1083">
            <v>960856</v>
          </cell>
          <cell r="F1083">
            <v>0</v>
          </cell>
          <cell r="G1083">
            <v>0</v>
          </cell>
          <cell r="H1083">
            <v>0</v>
          </cell>
          <cell r="I1083">
            <v>960856</v>
          </cell>
          <cell r="J1083">
            <v>0</v>
          </cell>
          <cell r="K1083">
            <v>960856</v>
          </cell>
        </row>
        <row r="1084">
          <cell r="A1084">
            <v>510215</v>
          </cell>
          <cell r="B1084" t="str">
            <v>RESERVA OC Y NO REP AFP S</v>
          </cell>
          <cell r="C1084">
            <v>1094225099</v>
          </cell>
          <cell r="D1084">
            <v>0</v>
          </cell>
          <cell r="E1084">
            <v>1094225099</v>
          </cell>
          <cell r="F1084">
            <v>0</v>
          </cell>
          <cell r="G1084">
            <v>0</v>
          </cell>
          <cell r="H1084">
            <v>0</v>
          </cell>
          <cell r="I1084">
            <v>1094225099</v>
          </cell>
          <cell r="J1084">
            <v>0</v>
          </cell>
          <cell r="K1084">
            <v>1094225099</v>
          </cell>
        </row>
        <row r="1085">
          <cell r="A1085">
            <v>510220</v>
          </cell>
          <cell r="B1085" t="str">
            <v>RESERVAS SINIESTROS</v>
          </cell>
          <cell r="C1085">
            <v>2530962785</v>
          </cell>
          <cell r="D1085">
            <v>13452295339</v>
          </cell>
          <cell r="E1085">
            <v>0</v>
          </cell>
          <cell r="F1085">
            <v>10921332554</v>
          </cell>
          <cell r="G1085">
            <v>0</v>
          </cell>
          <cell r="H1085">
            <v>0</v>
          </cell>
          <cell r="I1085">
            <v>0</v>
          </cell>
          <cell r="J1085">
            <v>10921332554</v>
          </cell>
          <cell r="K1085">
            <v>-10921332554</v>
          </cell>
        </row>
        <row r="1086">
          <cell r="A1086">
            <v>510221</v>
          </cell>
          <cell r="B1086" t="str">
            <v>RESERVAS DE SINIESTROS</v>
          </cell>
          <cell r="C1086">
            <v>6831165608</v>
          </cell>
          <cell r="D1086">
            <v>3637973886</v>
          </cell>
          <cell r="E1086">
            <v>3193191722</v>
          </cell>
          <cell r="F1086">
            <v>0</v>
          </cell>
          <cell r="G1086">
            <v>0</v>
          </cell>
          <cell r="H1086">
            <v>0</v>
          </cell>
          <cell r="I1086">
            <v>3193191722</v>
          </cell>
          <cell r="J1086">
            <v>0</v>
          </cell>
          <cell r="K1086">
            <v>3193191722</v>
          </cell>
        </row>
        <row r="1087">
          <cell r="A1087">
            <v>510223</v>
          </cell>
          <cell r="B1087" t="str">
            <v>RESERVA DE RENTA VITALICI</v>
          </cell>
          <cell r="C1087">
            <v>73255601535</v>
          </cell>
          <cell r="D1087">
            <v>10650247363</v>
          </cell>
          <cell r="E1087">
            <v>62605354172</v>
          </cell>
          <cell r="F1087">
            <v>0</v>
          </cell>
          <cell r="G1087">
            <v>0</v>
          </cell>
          <cell r="H1087">
            <v>0</v>
          </cell>
          <cell r="I1087">
            <v>62605354172</v>
          </cell>
          <cell r="J1087">
            <v>0</v>
          </cell>
          <cell r="K1087">
            <v>62605354172</v>
          </cell>
        </row>
        <row r="1088">
          <cell r="A1088">
            <v>510224</v>
          </cell>
          <cell r="B1088" t="str">
            <v>AJUSTE RESERVA RENTA VITA</v>
          </cell>
          <cell r="C1088">
            <v>19059507506</v>
          </cell>
          <cell r="D1088">
            <v>0</v>
          </cell>
          <cell r="E1088">
            <v>19059507506</v>
          </cell>
          <cell r="F1088">
            <v>0</v>
          </cell>
          <cell r="G1088">
            <v>0</v>
          </cell>
          <cell r="H1088">
            <v>0</v>
          </cell>
          <cell r="I1088">
            <v>19059507506</v>
          </cell>
          <cell r="J1088">
            <v>0</v>
          </cell>
          <cell r="K1088">
            <v>19059507506</v>
          </cell>
        </row>
        <row r="1089">
          <cell r="A1089">
            <v>510230</v>
          </cell>
          <cell r="B1089" t="str">
            <v>PENSIONES PAGADAS</v>
          </cell>
          <cell r="C1089">
            <v>73434802453</v>
          </cell>
          <cell r="D1089">
            <v>2202220</v>
          </cell>
          <cell r="E1089">
            <v>73432600233</v>
          </cell>
          <cell r="F1089">
            <v>0</v>
          </cell>
          <cell r="G1089">
            <v>0</v>
          </cell>
          <cell r="H1089">
            <v>0</v>
          </cell>
          <cell r="I1089">
            <v>73432600233</v>
          </cell>
          <cell r="J1089">
            <v>0</v>
          </cell>
          <cell r="K1089">
            <v>73432600233</v>
          </cell>
        </row>
        <row r="1090">
          <cell r="A1090">
            <v>510240</v>
          </cell>
          <cell r="B1090" t="str">
            <v>LIBERACIONES</v>
          </cell>
          <cell r="C1090">
            <v>0</v>
          </cell>
          <cell r="D1090">
            <v>8482218140</v>
          </cell>
          <cell r="E1090">
            <v>0</v>
          </cell>
          <cell r="F1090">
            <v>8482218140</v>
          </cell>
          <cell r="G1090">
            <v>0</v>
          </cell>
          <cell r="H1090">
            <v>0</v>
          </cell>
          <cell r="I1090">
            <v>0</v>
          </cell>
          <cell r="J1090">
            <v>8482218140</v>
          </cell>
          <cell r="K1090">
            <v>-8482218140</v>
          </cell>
        </row>
        <row r="1091">
          <cell r="A1091">
            <v>510250</v>
          </cell>
          <cell r="B1091" t="str">
            <v>COSTO MANTENCION</v>
          </cell>
          <cell r="C1091">
            <v>0</v>
          </cell>
          <cell r="D1091">
            <v>25906934555</v>
          </cell>
          <cell r="E1091">
            <v>0</v>
          </cell>
          <cell r="F1091">
            <v>25906934555</v>
          </cell>
          <cell r="G1091">
            <v>0</v>
          </cell>
          <cell r="H1091">
            <v>0</v>
          </cell>
          <cell r="I1091">
            <v>0</v>
          </cell>
          <cell r="J1091">
            <v>25906934555</v>
          </cell>
          <cell r="K1091">
            <v>-25906934555</v>
          </cell>
        </row>
        <row r="1092">
          <cell r="A1092">
            <v>510251</v>
          </cell>
          <cell r="B1092" t="str">
            <v>COSTO SINIESTROS SIS</v>
          </cell>
          <cell r="C1092">
            <v>18567009</v>
          </cell>
          <cell r="D1092">
            <v>0</v>
          </cell>
          <cell r="E1092">
            <v>18567009</v>
          </cell>
          <cell r="F1092">
            <v>0</v>
          </cell>
          <cell r="G1092">
            <v>0</v>
          </cell>
          <cell r="H1092">
            <v>0</v>
          </cell>
          <cell r="I1092">
            <v>18567009</v>
          </cell>
          <cell r="J1092">
            <v>0</v>
          </cell>
          <cell r="K1092">
            <v>18567009</v>
          </cell>
        </row>
        <row r="1093">
          <cell r="A1093">
            <v>510504</v>
          </cell>
          <cell r="B1093" t="str">
            <v>CASTIGO CREDITOS COMPLEME</v>
          </cell>
          <cell r="C1093">
            <v>161220517</v>
          </cell>
          <cell r="D1093">
            <v>6716771</v>
          </cell>
          <cell r="E1093">
            <v>154503746</v>
          </cell>
          <cell r="F1093">
            <v>0</v>
          </cell>
          <cell r="G1093">
            <v>0</v>
          </cell>
          <cell r="H1093">
            <v>0</v>
          </cell>
          <cell r="I1093">
            <v>154503746</v>
          </cell>
          <cell r="J1093">
            <v>0</v>
          </cell>
          <cell r="K1093">
            <v>154503746</v>
          </cell>
        </row>
        <row r="1094">
          <cell r="A1094">
            <v>520100</v>
          </cell>
          <cell r="B1094" t="str">
            <v>COMISIONES CORREDORES</v>
          </cell>
          <cell r="C1094">
            <v>4683149460</v>
          </cell>
          <cell r="D1094">
            <v>2763375</v>
          </cell>
          <cell r="E1094">
            <v>4680386085</v>
          </cell>
          <cell r="F1094">
            <v>0</v>
          </cell>
          <cell r="G1094">
            <v>0</v>
          </cell>
          <cell r="H1094">
            <v>0</v>
          </cell>
          <cell r="I1094">
            <v>4680386085</v>
          </cell>
          <cell r="J1094">
            <v>0</v>
          </cell>
          <cell r="K1094">
            <v>4680386085</v>
          </cell>
        </row>
        <row r="1095">
          <cell r="A1095">
            <v>520110</v>
          </cell>
          <cell r="B1095" t="str">
            <v>COMISIONES DIRECTAS</v>
          </cell>
          <cell r="C1095">
            <v>171869930</v>
          </cell>
          <cell r="D1095">
            <v>812369</v>
          </cell>
          <cell r="E1095">
            <v>171057561</v>
          </cell>
          <cell r="F1095">
            <v>0</v>
          </cell>
          <cell r="G1095">
            <v>0</v>
          </cell>
          <cell r="H1095">
            <v>0</v>
          </cell>
          <cell r="I1095">
            <v>171057561</v>
          </cell>
          <cell r="J1095">
            <v>0</v>
          </cell>
          <cell r="K1095">
            <v>171057561</v>
          </cell>
        </row>
        <row r="1096">
          <cell r="A1096">
            <v>520200</v>
          </cell>
          <cell r="B1096" t="str">
            <v>COMISIONES REASEGUROS</v>
          </cell>
          <cell r="C1096">
            <v>1011925</v>
          </cell>
          <cell r="D1096">
            <v>1011925</v>
          </cell>
          <cell r="E1096">
            <v>0</v>
          </cell>
          <cell r="F1096">
            <v>0</v>
          </cell>
          <cell r="G1096">
            <v>0</v>
          </cell>
          <cell r="H1096">
            <v>0</v>
          </cell>
          <cell r="I1096">
            <v>0</v>
          </cell>
          <cell r="J1096">
            <v>0</v>
          </cell>
          <cell r="K1096">
            <v>0</v>
          </cell>
        </row>
        <row r="1097">
          <cell r="A1097">
            <v>520300</v>
          </cell>
          <cell r="B1097" t="str">
            <v>PRIMA CEDIDA NO PROPORCIO</v>
          </cell>
          <cell r="C1097">
            <v>229560456</v>
          </cell>
          <cell r="D1097">
            <v>0</v>
          </cell>
          <cell r="E1097">
            <v>229560456</v>
          </cell>
          <cell r="F1097">
            <v>0</v>
          </cell>
          <cell r="G1097">
            <v>0</v>
          </cell>
          <cell r="H1097">
            <v>0</v>
          </cell>
          <cell r="I1097">
            <v>229560456</v>
          </cell>
          <cell r="J1097">
            <v>0</v>
          </cell>
          <cell r="K1097">
            <v>229560456</v>
          </cell>
        </row>
        <row r="1098">
          <cell r="A1098">
            <v>520400</v>
          </cell>
          <cell r="B1098" t="str">
            <v>GASTOS MEDICOS</v>
          </cell>
          <cell r="C1098">
            <v>80364817</v>
          </cell>
          <cell r="D1098">
            <v>0</v>
          </cell>
          <cell r="E1098">
            <v>80364817</v>
          </cell>
          <cell r="F1098">
            <v>0</v>
          </cell>
          <cell r="G1098">
            <v>0</v>
          </cell>
          <cell r="H1098">
            <v>0</v>
          </cell>
          <cell r="I1098">
            <v>80364817</v>
          </cell>
          <cell r="J1098">
            <v>0</v>
          </cell>
          <cell r="K1098">
            <v>80364817</v>
          </cell>
        </row>
        <row r="1099">
          <cell r="A1099">
            <v>520500</v>
          </cell>
          <cell r="B1099" t="str">
            <v>SVI RESCATES</v>
          </cell>
          <cell r="C1099">
            <v>2632734839</v>
          </cell>
          <cell r="D1099">
            <v>6963215</v>
          </cell>
          <cell r="E1099">
            <v>2625771624</v>
          </cell>
          <cell r="F1099">
            <v>0</v>
          </cell>
          <cell r="G1099">
            <v>0</v>
          </cell>
          <cell r="H1099">
            <v>0</v>
          </cell>
          <cell r="I1099">
            <v>2625771624</v>
          </cell>
          <cell r="J1099">
            <v>0</v>
          </cell>
          <cell r="K1099">
            <v>2625771624</v>
          </cell>
        </row>
        <row r="1100">
          <cell r="A1100">
            <v>520501</v>
          </cell>
          <cell r="B1100" t="str">
            <v>ANUALIDADES SEGURO UNIVER</v>
          </cell>
          <cell r="C1100">
            <v>0</v>
          </cell>
          <cell r="D1100">
            <v>0</v>
          </cell>
          <cell r="E1100">
            <v>0</v>
          </cell>
          <cell r="F1100">
            <v>0</v>
          </cell>
          <cell r="G1100">
            <v>0</v>
          </cell>
          <cell r="H1100">
            <v>0</v>
          </cell>
          <cell r="I1100">
            <v>0</v>
          </cell>
          <cell r="J1100">
            <v>0</v>
          </cell>
          <cell r="K1100">
            <v>0</v>
          </cell>
        </row>
        <row r="1101">
          <cell r="A1101">
            <v>520600</v>
          </cell>
          <cell r="B1101" t="str">
            <v>DEF CLIENTES</v>
          </cell>
          <cell r="C1101">
            <v>2645744403</v>
          </cell>
          <cell r="D1101">
            <v>2190042949</v>
          </cell>
          <cell r="E1101">
            <v>455701454</v>
          </cell>
          <cell r="F1101">
            <v>0</v>
          </cell>
          <cell r="G1101">
            <v>0</v>
          </cell>
          <cell r="H1101">
            <v>0</v>
          </cell>
          <cell r="I1101">
            <v>455701454</v>
          </cell>
          <cell r="J1101">
            <v>0</v>
          </cell>
          <cell r="K1101">
            <v>455701454</v>
          </cell>
        </row>
        <row r="1102">
          <cell r="A1102">
            <v>520700</v>
          </cell>
          <cell r="B1102" t="str">
            <v>PROVISION DEUDORES INCOBR</v>
          </cell>
          <cell r="C1102">
            <v>154734488</v>
          </cell>
          <cell r="D1102">
            <v>134538363</v>
          </cell>
          <cell r="E1102">
            <v>20196125</v>
          </cell>
          <cell r="F1102">
            <v>0</v>
          </cell>
          <cell r="G1102">
            <v>0</v>
          </cell>
          <cell r="H1102">
            <v>0</v>
          </cell>
          <cell r="I1102">
            <v>20196125</v>
          </cell>
          <cell r="J1102">
            <v>0</v>
          </cell>
          <cell r="K1102">
            <v>20196125</v>
          </cell>
        </row>
        <row r="1103">
          <cell r="A1103">
            <v>520710</v>
          </cell>
          <cell r="B1103" t="str">
            <v>PROVISION INCOB. CREDITO</v>
          </cell>
          <cell r="C1103">
            <v>942230453</v>
          </cell>
          <cell r="D1103">
            <v>1121136565</v>
          </cell>
          <cell r="E1103">
            <v>0</v>
          </cell>
          <cell r="F1103">
            <v>178906112</v>
          </cell>
          <cell r="G1103">
            <v>0</v>
          </cell>
          <cell r="H1103">
            <v>0</v>
          </cell>
          <cell r="I1103">
            <v>0</v>
          </cell>
          <cell r="J1103">
            <v>178906112</v>
          </cell>
          <cell r="K1103">
            <v>-178906112</v>
          </cell>
        </row>
        <row r="1104">
          <cell r="A1104">
            <v>520720</v>
          </cell>
          <cell r="B1104" t="str">
            <v>PROVISION INCOB. CREDITO</v>
          </cell>
          <cell r="C1104">
            <v>5026733597</v>
          </cell>
          <cell r="D1104">
            <v>5007764850</v>
          </cell>
          <cell r="E1104">
            <v>18968747</v>
          </cell>
          <cell r="F1104">
            <v>0</v>
          </cell>
          <cell r="G1104">
            <v>0</v>
          </cell>
          <cell r="H1104">
            <v>0</v>
          </cell>
          <cell r="I1104">
            <v>18968747</v>
          </cell>
          <cell r="J1104">
            <v>0</v>
          </cell>
          <cell r="K1104">
            <v>18968747</v>
          </cell>
        </row>
        <row r="1105">
          <cell r="A1105">
            <v>520721</v>
          </cell>
          <cell r="B1105" t="str">
            <v>PROVISION INCOB. LINEA DE</v>
          </cell>
          <cell r="C1105">
            <v>14589268</v>
          </cell>
          <cell r="D1105">
            <v>13597786</v>
          </cell>
          <cell r="E1105">
            <v>991482</v>
          </cell>
          <cell r="F1105">
            <v>0</v>
          </cell>
          <cell r="G1105">
            <v>0</v>
          </cell>
          <cell r="H1105">
            <v>0</v>
          </cell>
          <cell r="I1105">
            <v>991482</v>
          </cell>
          <cell r="J1105">
            <v>0</v>
          </cell>
          <cell r="K1105">
            <v>991482</v>
          </cell>
        </row>
        <row r="1106">
          <cell r="A1106">
            <v>520722</v>
          </cell>
          <cell r="B1106" t="str">
            <v>PROVISION INCOB. CREDITO</v>
          </cell>
          <cell r="C1106">
            <v>126974</v>
          </cell>
          <cell r="D1106">
            <v>18360</v>
          </cell>
          <cell r="E1106">
            <v>108614</v>
          </cell>
          <cell r="F1106">
            <v>0</v>
          </cell>
          <cell r="G1106">
            <v>0</v>
          </cell>
          <cell r="H1106">
            <v>0</v>
          </cell>
          <cell r="I1106">
            <v>108614</v>
          </cell>
          <cell r="J1106">
            <v>0</v>
          </cell>
          <cell r="K1106">
            <v>108614</v>
          </cell>
        </row>
        <row r="1107">
          <cell r="A1107">
            <v>520740</v>
          </cell>
          <cell r="B1107" t="str">
            <v>PROVISION GARANTIAS INCOB</v>
          </cell>
          <cell r="C1107">
            <v>37332</v>
          </cell>
          <cell r="D1107">
            <v>5399</v>
          </cell>
          <cell r="E1107">
            <v>31933</v>
          </cell>
          <cell r="F1107">
            <v>0</v>
          </cell>
          <cell r="G1107">
            <v>0</v>
          </cell>
          <cell r="H1107">
            <v>0</v>
          </cell>
          <cell r="I1107">
            <v>31933</v>
          </cell>
          <cell r="J1107">
            <v>0</v>
          </cell>
          <cell r="K1107">
            <v>31933</v>
          </cell>
        </row>
        <row r="1108">
          <cell r="A1108">
            <v>520800</v>
          </cell>
          <cell r="B1108" t="str">
            <v>GASTOS COMUNES</v>
          </cell>
          <cell r="C1108">
            <v>0</v>
          </cell>
          <cell r="D1108">
            <v>0</v>
          </cell>
          <cell r="E1108">
            <v>0</v>
          </cell>
          <cell r="F1108">
            <v>0</v>
          </cell>
          <cell r="G1108">
            <v>0</v>
          </cell>
          <cell r="H1108">
            <v>0</v>
          </cell>
          <cell r="I1108">
            <v>0</v>
          </cell>
          <cell r="J1108">
            <v>0</v>
          </cell>
          <cell r="K1108">
            <v>0</v>
          </cell>
        </row>
        <row r="1109">
          <cell r="A1109">
            <v>520801</v>
          </cell>
          <cell r="B1109" t="str">
            <v>INDEMNIZACION POR TERMINO</v>
          </cell>
          <cell r="C1109">
            <v>0</v>
          </cell>
          <cell r="D1109">
            <v>4970299</v>
          </cell>
          <cell r="E1109">
            <v>0</v>
          </cell>
          <cell r="F1109">
            <v>4970299</v>
          </cell>
          <cell r="G1109">
            <v>0</v>
          </cell>
          <cell r="H1109">
            <v>0</v>
          </cell>
          <cell r="I1109">
            <v>0</v>
          </cell>
          <cell r="J1109">
            <v>4970299</v>
          </cell>
          <cell r="K1109">
            <v>-4970299</v>
          </cell>
        </row>
        <row r="1110">
          <cell r="A1110">
            <v>520900</v>
          </cell>
          <cell r="B1110" t="str">
            <v>ASESORIA COBRANZA</v>
          </cell>
          <cell r="C1110">
            <v>0</v>
          </cell>
          <cell r="D1110">
            <v>0</v>
          </cell>
          <cell r="E1110">
            <v>0</v>
          </cell>
          <cell r="F1110">
            <v>0</v>
          </cell>
          <cell r="G1110">
            <v>0</v>
          </cell>
          <cell r="H1110">
            <v>0</v>
          </cell>
          <cell r="I1110">
            <v>0</v>
          </cell>
          <cell r="J1110">
            <v>0</v>
          </cell>
          <cell r="K1110">
            <v>0</v>
          </cell>
        </row>
        <row r="1111">
          <cell r="A1111">
            <v>610001</v>
          </cell>
          <cell r="B1111" t="str">
            <v>SUELDOS</v>
          </cell>
          <cell r="C1111">
            <v>4157800619</v>
          </cell>
          <cell r="D1111">
            <v>0</v>
          </cell>
          <cell r="E1111">
            <v>4157800619</v>
          </cell>
          <cell r="F1111">
            <v>0</v>
          </cell>
          <cell r="G1111">
            <v>0</v>
          </cell>
          <cell r="H1111">
            <v>0</v>
          </cell>
          <cell r="I1111">
            <v>4157800619</v>
          </cell>
          <cell r="J1111">
            <v>0</v>
          </cell>
          <cell r="K1111">
            <v>4157800619</v>
          </cell>
        </row>
        <row r="1112">
          <cell r="A1112">
            <v>610002</v>
          </cell>
          <cell r="B1112" t="str">
            <v>GRATIFICACIONES</v>
          </cell>
          <cell r="C1112">
            <v>0</v>
          </cell>
          <cell r="D1112">
            <v>0</v>
          </cell>
          <cell r="E1112">
            <v>0</v>
          </cell>
          <cell r="F1112">
            <v>0</v>
          </cell>
          <cell r="G1112">
            <v>0</v>
          </cell>
          <cell r="H1112">
            <v>0</v>
          </cell>
          <cell r="I1112">
            <v>0</v>
          </cell>
          <cell r="J1112">
            <v>0</v>
          </cell>
          <cell r="K1112">
            <v>0</v>
          </cell>
        </row>
        <row r="1113">
          <cell r="A1113">
            <v>610003</v>
          </cell>
          <cell r="B1113" t="str">
            <v>BONIFICACIONES</v>
          </cell>
          <cell r="C1113">
            <v>18823310</v>
          </cell>
          <cell r="D1113">
            <v>0</v>
          </cell>
          <cell r="E1113">
            <v>18823310</v>
          </cell>
          <cell r="F1113">
            <v>0</v>
          </cell>
          <cell r="G1113">
            <v>0</v>
          </cell>
          <cell r="H1113">
            <v>0</v>
          </cell>
          <cell r="I1113">
            <v>18823310</v>
          </cell>
          <cell r="J1113">
            <v>0</v>
          </cell>
          <cell r="K1113">
            <v>18823310</v>
          </cell>
        </row>
        <row r="1114">
          <cell r="A1114">
            <v>610005</v>
          </cell>
          <cell r="B1114" t="str">
            <v>COMISIONES COMERCIALES</v>
          </cell>
          <cell r="C1114">
            <v>0</v>
          </cell>
          <cell r="D1114">
            <v>0</v>
          </cell>
          <cell r="E1114">
            <v>0</v>
          </cell>
          <cell r="F1114">
            <v>0</v>
          </cell>
          <cell r="G1114">
            <v>0</v>
          </cell>
          <cell r="H1114">
            <v>0</v>
          </cell>
          <cell r="I1114">
            <v>0</v>
          </cell>
          <cell r="J1114">
            <v>0</v>
          </cell>
          <cell r="K1114">
            <v>0</v>
          </cell>
        </row>
        <row r="1115">
          <cell r="A1115">
            <v>610006</v>
          </cell>
          <cell r="B1115" t="str">
            <v>APORTE PATRONAL</v>
          </cell>
          <cell r="C1115">
            <v>36039308</v>
          </cell>
          <cell r="D1115">
            <v>0</v>
          </cell>
          <cell r="E1115">
            <v>36039308</v>
          </cell>
          <cell r="F1115">
            <v>0</v>
          </cell>
          <cell r="G1115">
            <v>0</v>
          </cell>
          <cell r="H1115">
            <v>0</v>
          </cell>
          <cell r="I1115">
            <v>36039308</v>
          </cell>
          <cell r="J1115">
            <v>0</v>
          </cell>
          <cell r="K1115">
            <v>36039308</v>
          </cell>
        </row>
        <row r="1116">
          <cell r="A1116">
            <v>610007</v>
          </cell>
          <cell r="B1116" t="str">
            <v>INDEMNIZACIONES</v>
          </cell>
          <cell r="C1116">
            <v>184064507</v>
          </cell>
          <cell r="D1116">
            <v>0</v>
          </cell>
          <cell r="E1116">
            <v>184064507</v>
          </cell>
          <cell r="F1116">
            <v>0</v>
          </cell>
          <cell r="G1116">
            <v>0</v>
          </cell>
          <cell r="H1116">
            <v>0</v>
          </cell>
          <cell r="I1116">
            <v>184064507</v>
          </cell>
          <cell r="J1116">
            <v>0</v>
          </cell>
          <cell r="K1116">
            <v>184064507</v>
          </cell>
        </row>
        <row r="1117">
          <cell r="A1117">
            <v>610008</v>
          </cell>
          <cell r="B1117" t="str">
            <v>FERIADO LEGAL</v>
          </cell>
          <cell r="C1117">
            <v>767229760</v>
          </cell>
          <cell r="D1117">
            <v>776661133</v>
          </cell>
          <cell r="E1117">
            <v>0</v>
          </cell>
          <cell r="F1117">
            <v>9431373</v>
          </cell>
          <cell r="G1117">
            <v>0</v>
          </cell>
          <cell r="H1117">
            <v>0</v>
          </cell>
          <cell r="I1117">
            <v>0</v>
          </cell>
          <cell r="J1117">
            <v>9431373</v>
          </cell>
          <cell r="K1117">
            <v>-9431373</v>
          </cell>
        </row>
        <row r="1118">
          <cell r="A1118">
            <v>610009</v>
          </cell>
          <cell r="B1118" t="str">
            <v>SEGUROS DEL PERSONAL</v>
          </cell>
          <cell r="C1118">
            <v>162020089</v>
          </cell>
          <cell r="D1118">
            <v>30905069</v>
          </cell>
          <cell r="E1118">
            <v>131115020</v>
          </cell>
          <cell r="F1118">
            <v>0</v>
          </cell>
          <cell r="G1118">
            <v>0</v>
          </cell>
          <cell r="H1118">
            <v>0</v>
          </cell>
          <cell r="I1118">
            <v>131115020</v>
          </cell>
          <cell r="J1118">
            <v>0</v>
          </cell>
          <cell r="K1118">
            <v>131115020</v>
          </cell>
        </row>
        <row r="1119">
          <cell r="A1119">
            <v>610010</v>
          </cell>
          <cell r="B1119" t="str">
            <v>SALA CUNA</v>
          </cell>
          <cell r="C1119">
            <v>9387339</v>
          </cell>
          <cell r="D1119">
            <v>0</v>
          </cell>
          <cell r="E1119">
            <v>9387339</v>
          </cell>
          <cell r="F1119">
            <v>0</v>
          </cell>
          <cell r="G1119">
            <v>0</v>
          </cell>
          <cell r="H1119">
            <v>0</v>
          </cell>
          <cell r="I1119">
            <v>9387339</v>
          </cell>
          <cell r="J1119">
            <v>0</v>
          </cell>
          <cell r="K1119">
            <v>9387339</v>
          </cell>
        </row>
        <row r="1120">
          <cell r="A1120">
            <v>610011</v>
          </cell>
          <cell r="B1120" t="str">
            <v>GASTOS DEPTO. PERSONAL</v>
          </cell>
          <cell r="C1120">
            <v>18144347</v>
          </cell>
          <cell r="D1120">
            <v>0</v>
          </cell>
          <cell r="E1120">
            <v>18144347</v>
          </cell>
          <cell r="F1120">
            <v>0</v>
          </cell>
          <cell r="G1120">
            <v>0</v>
          </cell>
          <cell r="H1120">
            <v>0</v>
          </cell>
          <cell r="I1120">
            <v>18144347</v>
          </cell>
          <cell r="J1120">
            <v>0</v>
          </cell>
          <cell r="K1120">
            <v>18144347</v>
          </cell>
        </row>
        <row r="1121">
          <cell r="A1121">
            <v>610012</v>
          </cell>
          <cell r="B1121" t="str">
            <v>MANIFESTACION DEL PERSONA</v>
          </cell>
          <cell r="C1121">
            <v>40968866</v>
          </cell>
          <cell r="D1121">
            <v>9581328</v>
          </cell>
          <cell r="E1121">
            <v>31387538</v>
          </cell>
          <cell r="F1121">
            <v>0</v>
          </cell>
          <cell r="G1121">
            <v>0</v>
          </cell>
          <cell r="H1121">
            <v>0</v>
          </cell>
          <cell r="I1121">
            <v>31387538</v>
          </cell>
          <cell r="J1121">
            <v>0</v>
          </cell>
          <cell r="K1121">
            <v>31387538</v>
          </cell>
        </row>
        <row r="1122">
          <cell r="A1122">
            <v>610013</v>
          </cell>
          <cell r="B1122" t="str">
            <v>COLACION DEL PERSONAL</v>
          </cell>
          <cell r="C1122">
            <v>159829134</v>
          </cell>
          <cell r="D1122">
            <v>245401</v>
          </cell>
          <cell r="E1122">
            <v>159583733</v>
          </cell>
          <cell r="F1122">
            <v>0</v>
          </cell>
          <cell r="G1122">
            <v>0</v>
          </cell>
          <cell r="H1122">
            <v>0</v>
          </cell>
          <cell r="I1122">
            <v>159583733</v>
          </cell>
          <cell r="J1122">
            <v>0</v>
          </cell>
          <cell r="K1122">
            <v>159583733</v>
          </cell>
        </row>
        <row r="1123">
          <cell r="A1123">
            <v>610014</v>
          </cell>
          <cell r="B1123" t="str">
            <v>MOVILIZACION</v>
          </cell>
          <cell r="C1123">
            <v>1097882</v>
          </cell>
          <cell r="D1123">
            <v>0</v>
          </cell>
          <cell r="E1123">
            <v>1097882</v>
          </cell>
          <cell r="F1123">
            <v>0</v>
          </cell>
          <cell r="G1123">
            <v>0</v>
          </cell>
          <cell r="H1123">
            <v>0</v>
          </cell>
          <cell r="I1123">
            <v>1097882</v>
          </cell>
          <cell r="J1123">
            <v>0</v>
          </cell>
          <cell r="K1123">
            <v>1097882</v>
          </cell>
        </row>
        <row r="1124">
          <cell r="A1124">
            <v>610015</v>
          </cell>
          <cell r="B1124" t="str">
            <v>GASTOS DE CAPACITACION</v>
          </cell>
          <cell r="C1124">
            <v>11602483</v>
          </cell>
          <cell r="D1124">
            <v>0</v>
          </cell>
          <cell r="E1124">
            <v>11602483</v>
          </cell>
          <cell r="F1124">
            <v>0</v>
          </cell>
          <cell r="G1124">
            <v>0</v>
          </cell>
          <cell r="H1124">
            <v>0</v>
          </cell>
          <cell r="I1124">
            <v>11602483</v>
          </cell>
          <cell r="J1124">
            <v>0</v>
          </cell>
          <cell r="K1124">
            <v>11602483</v>
          </cell>
        </row>
        <row r="1125">
          <cell r="A1125">
            <v>610016</v>
          </cell>
          <cell r="B1125" t="str">
            <v>UNIFORMES DEL PERSONAL</v>
          </cell>
          <cell r="C1125">
            <v>31712387</v>
          </cell>
          <cell r="D1125">
            <v>0</v>
          </cell>
          <cell r="E1125">
            <v>31712387</v>
          </cell>
          <cell r="F1125">
            <v>0</v>
          </cell>
          <cell r="G1125">
            <v>0</v>
          </cell>
          <cell r="H1125">
            <v>0</v>
          </cell>
          <cell r="I1125">
            <v>31712387</v>
          </cell>
          <cell r="J1125">
            <v>0</v>
          </cell>
          <cell r="K1125">
            <v>31712387</v>
          </cell>
        </row>
        <row r="1126">
          <cell r="A1126">
            <v>610017</v>
          </cell>
          <cell r="B1126" t="str">
            <v>SUELDOS PERSONAL EXTERNO</v>
          </cell>
          <cell r="C1126">
            <v>52639537</v>
          </cell>
          <cell r="D1126">
            <v>0</v>
          </cell>
          <cell r="E1126">
            <v>52639537</v>
          </cell>
          <cell r="F1126">
            <v>0</v>
          </cell>
          <cell r="G1126">
            <v>0</v>
          </cell>
          <cell r="H1126">
            <v>0</v>
          </cell>
          <cell r="I1126">
            <v>52639537</v>
          </cell>
          <cell r="J1126">
            <v>0</v>
          </cell>
          <cell r="K1126">
            <v>52639537</v>
          </cell>
        </row>
        <row r="1127">
          <cell r="A1127">
            <v>610018</v>
          </cell>
          <cell r="B1127" t="str">
            <v>AGUINALDOS</v>
          </cell>
          <cell r="C1127">
            <v>18628673</v>
          </cell>
          <cell r="D1127">
            <v>0</v>
          </cell>
          <cell r="E1127">
            <v>18628673</v>
          </cell>
          <cell r="F1127">
            <v>0</v>
          </cell>
          <cell r="G1127">
            <v>0</v>
          </cell>
          <cell r="H1127">
            <v>0</v>
          </cell>
          <cell r="I1127">
            <v>18628673</v>
          </cell>
          <cell r="J1127">
            <v>0</v>
          </cell>
          <cell r="K1127">
            <v>18628673</v>
          </cell>
        </row>
        <row r="1128">
          <cell r="A1128">
            <v>610019</v>
          </cell>
          <cell r="B1128" t="str">
            <v>APORTE FONDO CESANTIA</v>
          </cell>
          <cell r="C1128">
            <v>58969257</v>
          </cell>
          <cell r="D1128">
            <v>6142692</v>
          </cell>
          <cell r="E1128">
            <v>52826565</v>
          </cell>
          <cell r="F1128">
            <v>0</v>
          </cell>
          <cell r="G1128">
            <v>0</v>
          </cell>
          <cell r="H1128">
            <v>0</v>
          </cell>
          <cell r="I1128">
            <v>52826565</v>
          </cell>
          <cell r="J1128">
            <v>0</v>
          </cell>
          <cell r="K1128">
            <v>52826565</v>
          </cell>
        </row>
        <row r="1129">
          <cell r="A1129">
            <v>610023</v>
          </cell>
          <cell r="B1129" t="str">
            <v>DESAHUCIO</v>
          </cell>
          <cell r="C1129">
            <v>9451672</v>
          </cell>
          <cell r="D1129">
            <v>0</v>
          </cell>
          <cell r="E1129">
            <v>9451672</v>
          </cell>
          <cell r="F1129">
            <v>0</v>
          </cell>
          <cell r="G1129">
            <v>0</v>
          </cell>
          <cell r="H1129">
            <v>0</v>
          </cell>
          <cell r="I1129">
            <v>9451672</v>
          </cell>
          <cell r="J1129">
            <v>0</v>
          </cell>
          <cell r="K1129">
            <v>9451672</v>
          </cell>
        </row>
        <row r="1130">
          <cell r="A1130">
            <v>610025</v>
          </cell>
          <cell r="B1130" t="str">
            <v>DIETAS DEL DIRECTORIO</v>
          </cell>
          <cell r="C1130">
            <v>116789159</v>
          </cell>
          <cell r="D1130">
            <v>0</v>
          </cell>
          <cell r="E1130">
            <v>116789159</v>
          </cell>
          <cell r="F1130">
            <v>0</v>
          </cell>
          <cell r="G1130">
            <v>0</v>
          </cell>
          <cell r="H1130">
            <v>0</v>
          </cell>
          <cell r="I1130">
            <v>116789159</v>
          </cell>
          <cell r="J1130">
            <v>0</v>
          </cell>
          <cell r="K1130">
            <v>116789159</v>
          </cell>
        </row>
        <row r="1131">
          <cell r="A1131">
            <v>610026</v>
          </cell>
          <cell r="B1131" t="str">
            <v>BENEFICIOS DEL PERSONAL</v>
          </cell>
          <cell r="C1131">
            <v>3941287</v>
          </cell>
          <cell r="D1131">
            <v>0</v>
          </cell>
          <cell r="E1131">
            <v>3941287</v>
          </cell>
          <cell r="F1131">
            <v>0</v>
          </cell>
          <cell r="G1131">
            <v>0</v>
          </cell>
          <cell r="H1131">
            <v>0</v>
          </cell>
          <cell r="I1131">
            <v>3941287</v>
          </cell>
          <cell r="J1131">
            <v>0</v>
          </cell>
          <cell r="K1131">
            <v>3941287</v>
          </cell>
        </row>
        <row r="1132">
          <cell r="A1132">
            <v>610028</v>
          </cell>
          <cell r="B1132" t="str">
            <v>BONOS EJECUTIVOS</v>
          </cell>
          <cell r="C1132">
            <v>609050110</v>
          </cell>
          <cell r="D1132">
            <v>0</v>
          </cell>
          <cell r="E1132">
            <v>609050110</v>
          </cell>
          <cell r="F1132">
            <v>0</v>
          </cell>
          <cell r="G1132">
            <v>0</v>
          </cell>
          <cell r="H1132">
            <v>0</v>
          </cell>
          <cell r="I1132">
            <v>609050110</v>
          </cell>
          <cell r="J1132">
            <v>0</v>
          </cell>
          <cell r="K1132">
            <v>609050110</v>
          </cell>
        </row>
        <row r="1133">
          <cell r="A1133">
            <v>610029</v>
          </cell>
          <cell r="B1133" t="str">
            <v>BONO PLAN RENTA FIJA</v>
          </cell>
          <cell r="C1133">
            <v>53879802</v>
          </cell>
          <cell r="D1133">
            <v>0</v>
          </cell>
          <cell r="E1133">
            <v>53879802</v>
          </cell>
          <cell r="F1133">
            <v>0</v>
          </cell>
          <cell r="G1133">
            <v>0</v>
          </cell>
          <cell r="H1133">
            <v>0</v>
          </cell>
          <cell r="I1133">
            <v>53879802</v>
          </cell>
          <cell r="J1133">
            <v>0</v>
          </cell>
          <cell r="K1133">
            <v>53879802</v>
          </cell>
        </row>
        <row r="1134">
          <cell r="A1134">
            <v>610030</v>
          </cell>
          <cell r="B1134" t="str">
            <v>PREMIOS COLECTIVOS RENTA</v>
          </cell>
          <cell r="C1134">
            <v>0</v>
          </cell>
          <cell r="D1134">
            <v>0</v>
          </cell>
          <cell r="E1134">
            <v>0</v>
          </cell>
          <cell r="F1134">
            <v>0</v>
          </cell>
          <cell r="G1134">
            <v>0</v>
          </cell>
          <cell r="H1134">
            <v>0</v>
          </cell>
          <cell r="I1134">
            <v>0</v>
          </cell>
          <cell r="J1134">
            <v>0</v>
          </cell>
          <cell r="K1134">
            <v>0</v>
          </cell>
        </row>
        <row r="1135">
          <cell r="A1135">
            <v>610031</v>
          </cell>
          <cell r="B1135" t="str">
            <v>PREMIOS MASIVOS RENTA FIJ</v>
          </cell>
          <cell r="C1135">
            <v>18535911</v>
          </cell>
          <cell r="D1135">
            <v>0</v>
          </cell>
          <cell r="E1135">
            <v>18535911</v>
          </cell>
          <cell r="F1135">
            <v>0</v>
          </cell>
          <cell r="G1135">
            <v>0</v>
          </cell>
          <cell r="H1135">
            <v>0</v>
          </cell>
          <cell r="I1135">
            <v>18535911</v>
          </cell>
          <cell r="J1135">
            <v>0</v>
          </cell>
          <cell r="K1135">
            <v>18535911</v>
          </cell>
        </row>
        <row r="1136">
          <cell r="A1136">
            <v>610032</v>
          </cell>
          <cell r="B1136" t="str">
            <v>SEGURO DE INVALIDEZ Y SOB</v>
          </cell>
          <cell r="C1136">
            <v>41175812</v>
          </cell>
          <cell r="D1136">
            <v>0</v>
          </cell>
          <cell r="E1136">
            <v>41175812</v>
          </cell>
          <cell r="F1136">
            <v>0</v>
          </cell>
          <cell r="G1136">
            <v>0</v>
          </cell>
          <cell r="H1136">
            <v>0</v>
          </cell>
          <cell r="I1136">
            <v>41175812</v>
          </cell>
          <cell r="J1136">
            <v>0</v>
          </cell>
          <cell r="K1136">
            <v>41175812</v>
          </cell>
        </row>
        <row r="1137">
          <cell r="A1137">
            <v>610050</v>
          </cell>
          <cell r="B1137" t="str">
            <v>SUELDOS</v>
          </cell>
          <cell r="C1137">
            <v>1050095007</v>
          </cell>
          <cell r="D1137">
            <v>0</v>
          </cell>
          <cell r="E1137">
            <v>1050095007</v>
          </cell>
          <cell r="F1137">
            <v>0</v>
          </cell>
          <cell r="G1137">
            <v>0</v>
          </cell>
          <cell r="H1137">
            <v>0</v>
          </cell>
          <cell r="I1137">
            <v>1050095007</v>
          </cell>
          <cell r="J1137">
            <v>0</v>
          </cell>
          <cell r="K1137">
            <v>1050095007</v>
          </cell>
        </row>
        <row r="1138">
          <cell r="A1138">
            <v>610051</v>
          </cell>
          <cell r="B1138" t="str">
            <v>GRATIFICACIONES</v>
          </cell>
          <cell r="C1138">
            <v>0</v>
          </cell>
          <cell r="D1138">
            <v>0</v>
          </cell>
          <cell r="E1138">
            <v>0</v>
          </cell>
          <cell r="F1138">
            <v>0</v>
          </cell>
          <cell r="G1138">
            <v>0</v>
          </cell>
          <cell r="H1138">
            <v>0</v>
          </cell>
          <cell r="I1138">
            <v>0</v>
          </cell>
          <cell r="J1138">
            <v>0</v>
          </cell>
          <cell r="K1138">
            <v>0</v>
          </cell>
        </row>
        <row r="1139">
          <cell r="A1139">
            <v>610053</v>
          </cell>
          <cell r="B1139" t="str">
            <v>BONIFICACIONES</v>
          </cell>
          <cell r="C1139">
            <v>50653605</v>
          </cell>
          <cell r="D1139">
            <v>0</v>
          </cell>
          <cell r="E1139">
            <v>50653605</v>
          </cell>
          <cell r="F1139">
            <v>0</v>
          </cell>
          <cell r="G1139">
            <v>0</v>
          </cell>
          <cell r="H1139">
            <v>0</v>
          </cell>
          <cell r="I1139">
            <v>50653605</v>
          </cell>
          <cell r="J1139">
            <v>0</v>
          </cell>
          <cell r="K1139">
            <v>50653605</v>
          </cell>
        </row>
        <row r="1140">
          <cell r="A1140">
            <v>610054</v>
          </cell>
          <cell r="B1140" t="str">
            <v>COMISIONES RENTAS VITALIC</v>
          </cell>
          <cell r="C1140">
            <v>204492499</v>
          </cell>
          <cell r="D1140">
            <v>0</v>
          </cell>
          <cell r="E1140">
            <v>204492499</v>
          </cell>
          <cell r="F1140">
            <v>0</v>
          </cell>
          <cell r="G1140">
            <v>0</v>
          </cell>
          <cell r="H1140">
            <v>0</v>
          </cell>
          <cell r="I1140">
            <v>204492499</v>
          </cell>
          <cell r="J1140">
            <v>0</v>
          </cell>
          <cell r="K1140">
            <v>204492499</v>
          </cell>
        </row>
        <row r="1141">
          <cell r="A1141">
            <v>610055</v>
          </cell>
          <cell r="B1141" t="str">
            <v>COMISIONES COMERCIALES</v>
          </cell>
          <cell r="C1141">
            <v>0</v>
          </cell>
          <cell r="D1141">
            <v>0</v>
          </cell>
          <cell r="E1141">
            <v>0</v>
          </cell>
          <cell r="F1141">
            <v>0</v>
          </cell>
          <cell r="G1141">
            <v>0</v>
          </cell>
          <cell r="H1141">
            <v>0</v>
          </cell>
          <cell r="I1141">
            <v>0</v>
          </cell>
          <cell r="J1141">
            <v>0</v>
          </cell>
          <cell r="K1141">
            <v>0</v>
          </cell>
        </row>
        <row r="1142">
          <cell r="A1142">
            <v>610056</v>
          </cell>
          <cell r="B1142" t="str">
            <v>APORTE PATRONAL</v>
          </cell>
          <cell r="C1142">
            <v>30008489</v>
          </cell>
          <cell r="D1142">
            <v>0</v>
          </cell>
          <cell r="E1142">
            <v>30008489</v>
          </cell>
          <cell r="F1142">
            <v>0</v>
          </cell>
          <cell r="G1142">
            <v>0</v>
          </cell>
          <cell r="H1142">
            <v>0</v>
          </cell>
          <cell r="I1142">
            <v>30008489</v>
          </cell>
          <cell r="J1142">
            <v>0</v>
          </cell>
          <cell r="K1142">
            <v>30008489</v>
          </cell>
        </row>
        <row r="1143">
          <cell r="A1143">
            <v>610057</v>
          </cell>
          <cell r="B1143" t="str">
            <v>INDEMNIZACIONES</v>
          </cell>
          <cell r="C1143">
            <v>73668079</v>
          </cell>
          <cell r="D1143">
            <v>0</v>
          </cell>
          <cell r="E1143">
            <v>73668079</v>
          </cell>
          <cell r="F1143">
            <v>0</v>
          </cell>
          <cell r="G1143">
            <v>0</v>
          </cell>
          <cell r="H1143">
            <v>0</v>
          </cell>
          <cell r="I1143">
            <v>73668079</v>
          </cell>
          <cell r="J1143">
            <v>0</v>
          </cell>
          <cell r="K1143">
            <v>73668079</v>
          </cell>
        </row>
        <row r="1144">
          <cell r="A1144">
            <v>610058</v>
          </cell>
          <cell r="B1144" t="str">
            <v>FERIADO LEGAL</v>
          </cell>
          <cell r="C1144">
            <v>211878886</v>
          </cell>
          <cell r="D1144">
            <v>213080082</v>
          </cell>
          <cell r="E1144">
            <v>0</v>
          </cell>
          <cell r="F1144">
            <v>1201196</v>
          </cell>
          <cell r="G1144">
            <v>0</v>
          </cell>
          <cell r="H1144">
            <v>0</v>
          </cell>
          <cell r="I1144">
            <v>0</v>
          </cell>
          <cell r="J1144">
            <v>1201196</v>
          </cell>
          <cell r="K1144">
            <v>-1201196</v>
          </cell>
        </row>
        <row r="1145">
          <cell r="A1145">
            <v>610059</v>
          </cell>
          <cell r="B1145" t="str">
            <v>SEGUROS EMPLEADOS</v>
          </cell>
          <cell r="C1145">
            <v>113862851</v>
          </cell>
          <cell r="D1145">
            <v>185728</v>
          </cell>
          <cell r="E1145">
            <v>113677123</v>
          </cell>
          <cell r="F1145">
            <v>0</v>
          </cell>
          <cell r="G1145">
            <v>0</v>
          </cell>
          <cell r="H1145">
            <v>0</v>
          </cell>
          <cell r="I1145">
            <v>113677123</v>
          </cell>
          <cell r="J1145">
            <v>0</v>
          </cell>
          <cell r="K1145">
            <v>113677123</v>
          </cell>
        </row>
        <row r="1146">
          <cell r="A1146">
            <v>610060</v>
          </cell>
          <cell r="B1146" t="str">
            <v>SALA CUNA</v>
          </cell>
          <cell r="C1146">
            <v>5344000</v>
          </cell>
          <cell r="D1146">
            <v>0</v>
          </cell>
          <cell r="E1146">
            <v>5344000</v>
          </cell>
          <cell r="F1146">
            <v>0</v>
          </cell>
          <cell r="G1146">
            <v>0</v>
          </cell>
          <cell r="H1146">
            <v>0</v>
          </cell>
          <cell r="I1146">
            <v>5344000</v>
          </cell>
          <cell r="J1146">
            <v>0</v>
          </cell>
          <cell r="K1146">
            <v>5344000</v>
          </cell>
        </row>
        <row r="1147">
          <cell r="A1147">
            <v>610061</v>
          </cell>
          <cell r="B1147" t="str">
            <v>GASTOS DEPTO. PERSONAL</v>
          </cell>
          <cell r="C1147">
            <v>3801024</v>
          </cell>
          <cell r="D1147">
            <v>0</v>
          </cell>
          <cell r="E1147">
            <v>3801024</v>
          </cell>
          <cell r="F1147">
            <v>0</v>
          </cell>
          <cell r="G1147">
            <v>0</v>
          </cell>
          <cell r="H1147">
            <v>0</v>
          </cell>
          <cell r="I1147">
            <v>3801024</v>
          </cell>
          <cell r="J1147">
            <v>0</v>
          </cell>
          <cell r="K1147">
            <v>3801024</v>
          </cell>
        </row>
        <row r="1148">
          <cell r="A1148">
            <v>610062</v>
          </cell>
          <cell r="B1148" t="str">
            <v>MANIFESTACION DEL PERSONA</v>
          </cell>
          <cell r="C1148">
            <v>0</v>
          </cell>
          <cell r="D1148">
            <v>778500</v>
          </cell>
          <cell r="E1148">
            <v>0</v>
          </cell>
          <cell r="F1148">
            <v>778500</v>
          </cell>
          <cell r="G1148">
            <v>0</v>
          </cell>
          <cell r="H1148">
            <v>0</v>
          </cell>
          <cell r="I1148">
            <v>0</v>
          </cell>
          <cell r="J1148">
            <v>778500</v>
          </cell>
          <cell r="K1148">
            <v>-778500</v>
          </cell>
        </row>
        <row r="1149">
          <cell r="A1149">
            <v>610063</v>
          </cell>
          <cell r="B1149" t="str">
            <v>COLACION DEL PERSONAL</v>
          </cell>
          <cell r="C1149">
            <v>80208681</v>
          </cell>
          <cell r="D1149">
            <v>770744</v>
          </cell>
          <cell r="E1149">
            <v>79437937</v>
          </cell>
          <cell r="F1149">
            <v>0</v>
          </cell>
          <cell r="G1149">
            <v>0</v>
          </cell>
          <cell r="H1149">
            <v>0</v>
          </cell>
          <cell r="I1149">
            <v>79437937</v>
          </cell>
          <cell r="J1149">
            <v>0</v>
          </cell>
          <cell r="K1149">
            <v>79437937</v>
          </cell>
        </row>
        <row r="1150">
          <cell r="A1150">
            <v>610064</v>
          </cell>
          <cell r="B1150" t="str">
            <v>LOCOMOCION EMPLEADOS</v>
          </cell>
          <cell r="C1150">
            <v>18138315</v>
          </cell>
          <cell r="D1150">
            <v>0</v>
          </cell>
          <cell r="E1150">
            <v>18138315</v>
          </cell>
          <cell r="F1150">
            <v>0</v>
          </cell>
          <cell r="G1150">
            <v>0</v>
          </cell>
          <cell r="H1150">
            <v>0</v>
          </cell>
          <cell r="I1150">
            <v>18138315</v>
          </cell>
          <cell r="J1150">
            <v>0</v>
          </cell>
          <cell r="K1150">
            <v>18138315</v>
          </cell>
        </row>
        <row r="1151">
          <cell r="A1151">
            <v>610065</v>
          </cell>
          <cell r="B1151" t="str">
            <v>GASTOS DE CAPACITACION CO</v>
          </cell>
          <cell r="C1151">
            <v>36747737</v>
          </cell>
          <cell r="D1151">
            <v>840184</v>
          </cell>
          <cell r="E1151">
            <v>35907553</v>
          </cell>
          <cell r="F1151">
            <v>0</v>
          </cell>
          <cell r="G1151">
            <v>0</v>
          </cell>
          <cell r="H1151">
            <v>0</v>
          </cell>
          <cell r="I1151">
            <v>35907553</v>
          </cell>
          <cell r="J1151">
            <v>0</v>
          </cell>
          <cell r="K1151">
            <v>35907553</v>
          </cell>
        </row>
        <row r="1152">
          <cell r="A1152">
            <v>610066</v>
          </cell>
          <cell r="B1152" t="str">
            <v>UNIFORMES DEL PERSONAL</v>
          </cell>
          <cell r="C1152">
            <v>1808400</v>
          </cell>
          <cell r="D1152">
            <v>0</v>
          </cell>
          <cell r="E1152">
            <v>1808400</v>
          </cell>
          <cell r="F1152">
            <v>0</v>
          </cell>
          <cell r="G1152">
            <v>0</v>
          </cell>
          <cell r="H1152">
            <v>0</v>
          </cell>
          <cell r="I1152">
            <v>1808400</v>
          </cell>
          <cell r="J1152">
            <v>0</v>
          </cell>
          <cell r="K1152">
            <v>1808400</v>
          </cell>
        </row>
        <row r="1153">
          <cell r="A1153">
            <v>610067</v>
          </cell>
          <cell r="B1153" t="str">
            <v>SERVICIOS TEMPORALES</v>
          </cell>
          <cell r="C1153">
            <v>0</v>
          </cell>
          <cell r="D1153">
            <v>0</v>
          </cell>
          <cell r="E1153">
            <v>0</v>
          </cell>
          <cell r="F1153">
            <v>0</v>
          </cell>
          <cell r="G1153">
            <v>0</v>
          </cell>
          <cell r="H1153">
            <v>0</v>
          </cell>
          <cell r="I1153">
            <v>0</v>
          </cell>
          <cell r="J1153">
            <v>0</v>
          </cell>
          <cell r="K1153">
            <v>0</v>
          </cell>
        </row>
        <row r="1154">
          <cell r="A1154">
            <v>610068</v>
          </cell>
          <cell r="B1154" t="str">
            <v>BONOS ESPECIALES AGUINALD</v>
          </cell>
          <cell r="C1154">
            <v>24122279</v>
          </cell>
          <cell r="D1154">
            <v>0</v>
          </cell>
          <cell r="E1154">
            <v>24122279</v>
          </cell>
          <cell r="F1154">
            <v>0</v>
          </cell>
          <cell r="G1154">
            <v>0</v>
          </cell>
          <cell r="H1154">
            <v>0</v>
          </cell>
          <cell r="I1154">
            <v>24122279</v>
          </cell>
          <cell r="J1154">
            <v>0</v>
          </cell>
          <cell r="K1154">
            <v>24122279</v>
          </cell>
        </row>
        <row r="1155">
          <cell r="A1155">
            <v>610069</v>
          </cell>
          <cell r="B1155" t="str">
            <v>APORTE FONDO DE CESANTIA</v>
          </cell>
          <cell r="C1155">
            <v>56013819</v>
          </cell>
          <cell r="D1155">
            <v>822440</v>
          </cell>
          <cell r="E1155">
            <v>55191379</v>
          </cell>
          <cell r="F1155">
            <v>0</v>
          </cell>
          <cell r="G1155">
            <v>0</v>
          </cell>
          <cell r="H1155">
            <v>0</v>
          </cell>
          <cell r="I1155">
            <v>55191379</v>
          </cell>
          <cell r="J1155">
            <v>0</v>
          </cell>
          <cell r="K1155">
            <v>55191379</v>
          </cell>
        </row>
        <row r="1156">
          <cell r="A1156">
            <v>610072</v>
          </cell>
          <cell r="B1156" t="str">
            <v>DESAHUCIO</v>
          </cell>
          <cell r="C1156">
            <v>9295576</v>
          </cell>
          <cell r="D1156">
            <v>0</v>
          </cell>
          <cell r="E1156">
            <v>9295576</v>
          </cell>
          <cell r="F1156">
            <v>0</v>
          </cell>
          <cell r="G1156">
            <v>0</v>
          </cell>
          <cell r="H1156">
            <v>0</v>
          </cell>
          <cell r="I1156">
            <v>9295576</v>
          </cell>
          <cell r="J1156">
            <v>0</v>
          </cell>
          <cell r="K1156">
            <v>9295576</v>
          </cell>
        </row>
        <row r="1157">
          <cell r="A1157">
            <v>610073</v>
          </cell>
          <cell r="B1157" t="str">
            <v>PARTICIPACION DE UTILIDAD</v>
          </cell>
          <cell r="C1157">
            <v>0</v>
          </cell>
          <cell r="D1157">
            <v>0</v>
          </cell>
          <cell r="E1157">
            <v>0</v>
          </cell>
          <cell r="F1157">
            <v>0</v>
          </cell>
          <cell r="G1157">
            <v>0</v>
          </cell>
          <cell r="H1157">
            <v>0</v>
          </cell>
          <cell r="I1157">
            <v>0</v>
          </cell>
          <cell r="J1157">
            <v>0</v>
          </cell>
          <cell r="K1157">
            <v>0</v>
          </cell>
        </row>
        <row r="1158">
          <cell r="A1158">
            <v>610075</v>
          </cell>
          <cell r="B1158" t="str">
            <v>COMISIONES POR VENTA CRED</v>
          </cell>
          <cell r="C1158">
            <v>60552922</v>
          </cell>
          <cell r="D1158">
            <v>0</v>
          </cell>
          <cell r="E1158">
            <v>60552922</v>
          </cell>
          <cell r="F1158">
            <v>0</v>
          </cell>
          <cell r="G1158">
            <v>0</v>
          </cell>
          <cell r="H1158">
            <v>0</v>
          </cell>
          <cell r="I1158">
            <v>60552922</v>
          </cell>
          <cell r="J1158">
            <v>0</v>
          </cell>
          <cell r="K1158">
            <v>60552922</v>
          </cell>
        </row>
        <row r="1159">
          <cell r="A1159">
            <v>610076</v>
          </cell>
          <cell r="B1159" t="str">
            <v>COMISIONES PRIMERAS PRIMA</v>
          </cell>
          <cell r="C1159">
            <v>42563117</v>
          </cell>
          <cell r="D1159">
            <v>0</v>
          </cell>
          <cell r="E1159">
            <v>42563117</v>
          </cell>
          <cell r="F1159">
            <v>0</v>
          </cell>
          <cell r="G1159">
            <v>0</v>
          </cell>
          <cell r="H1159">
            <v>0</v>
          </cell>
          <cell r="I1159">
            <v>42563117</v>
          </cell>
          <cell r="J1159">
            <v>0</v>
          </cell>
          <cell r="K1159">
            <v>42563117</v>
          </cell>
        </row>
        <row r="1160">
          <cell r="A1160">
            <v>610077</v>
          </cell>
          <cell r="B1160" t="str">
            <v>COMISIONES POR COBRANZA R</v>
          </cell>
          <cell r="C1160">
            <v>293419324</v>
          </cell>
          <cell r="D1160">
            <v>0</v>
          </cell>
          <cell r="E1160">
            <v>293419324</v>
          </cell>
          <cell r="F1160">
            <v>0</v>
          </cell>
          <cell r="G1160">
            <v>0</v>
          </cell>
          <cell r="H1160">
            <v>0</v>
          </cell>
          <cell r="I1160">
            <v>293419324</v>
          </cell>
          <cell r="J1160">
            <v>0</v>
          </cell>
          <cell r="K1160">
            <v>293419324</v>
          </cell>
        </row>
        <row r="1161">
          <cell r="A1161">
            <v>610078</v>
          </cell>
          <cell r="B1161" t="str">
            <v>PREMIOS CONCURSOS R. VARI</v>
          </cell>
          <cell r="C1161">
            <v>19854500</v>
          </cell>
          <cell r="D1161">
            <v>0</v>
          </cell>
          <cell r="E1161">
            <v>19854500</v>
          </cell>
          <cell r="F1161">
            <v>0</v>
          </cell>
          <cell r="G1161">
            <v>0</v>
          </cell>
          <cell r="H1161">
            <v>0</v>
          </cell>
          <cell r="I1161">
            <v>19854500</v>
          </cell>
          <cell r="J1161">
            <v>0</v>
          </cell>
          <cell r="K1161">
            <v>19854500</v>
          </cell>
        </row>
        <row r="1162">
          <cell r="A1162">
            <v>610079</v>
          </cell>
          <cell r="B1162" t="str">
            <v>BONOS AGENTES</v>
          </cell>
          <cell r="C1162">
            <v>2050068</v>
          </cell>
          <cell r="D1162">
            <v>0</v>
          </cell>
          <cell r="E1162">
            <v>2050068</v>
          </cell>
          <cell r="F1162">
            <v>0</v>
          </cell>
          <cell r="G1162">
            <v>0</v>
          </cell>
          <cell r="H1162">
            <v>0</v>
          </cell>
          <cell r="I1162">
            <v>2050068</v>
          </cell>
          <cell r="J1162">
            <v>0</v>
          </cell>
          <cell r="K1162">
            <v>2050068</v>
          </cell>
        </row>
        <row r="1163">
          <cell r="A1163">
            <v>610080</v>
          </cell>
          <cell r="B1163" t="str">
            <v>BONO DE DESARROLLO</v>
          </cell>
          <cell r="C1163">
            <v>97580548</v>
          </cell>
          <cell r="D1163">
            <v>0</v>
          </cell>
          <cell r="E1163">
            <v>97580548</v>
          </cell>
          <cell r="F1163">
            <v>0</v>
          </cell>
          <cell r="G1163">
            <v>0</v>
          </cell>
          <cell r="H1163">
            <v>0</v>
          </cell>
          <cell r="I1163">
            <v>97580548</v>
          </cell>
          <cell r="J1163">
            <v>0</v>
          </cell>
          <cell r="K1163">
            <v>97580548</v>
          </cell>
        </row>
        <row r="1164">
          <cell r="A1164">
            <v>610081</v>
          </cell>
          <cell r="B1164" t="str">
            <v>BONO DE NOMBRAMIENTO</v>
          </cell>
          <cell r="C1164">
            <v>22666307</v>
          </cell>
          <cell r="D1164">
            <v>0</v>
          </cell>
          <cell r="E1164">
            <v>22666307</v>
          </cell>
          <cell r="F1164">
            <v>0</v>
          </cell>
          <cell r="G1164">
            <v>0</v>
          </cell>
          <cell r="H1164">
            <v>0</v>
          </cell>
          <cell r="I1164">
            <v>22666307</v>
          </cell>
          <cell r="J1164">
            <v>0</v>
          </cell>
          <cell r="K1164">
            <v>22666307</v>
          </cell>
        </row>
        <row r="1165">
          <cell r="A1165">
            <v>610082</v>
          </cell>
          <cell r="B1165" t="str">
            <v>BONO DE FIDELIZACION</v>
          </cell>
          <cell r="C1165">
            <v>54697833</v>
          </cell>
          <cell r="D1165">
            <v>0</v>
          </cell>
          <cell r="E1165">
            <v>54697833</v>
          </cell>
          <cell r="F1165">
            <v>0</v>
          </cell>
          <cell r="G1165">
            <v>0</v>
          </cell>
          <cell r="H1165">
            <v>0</v>
          </cell>
          <cell r="I1165">
            <v>54697833</v>
          </cell>
          <cell r="J1165">
            <v>0</v>
          </cell>
          <cell r="K1165">
            <v>54697833</v>
          </cell>
        </row>
        <row r="1166">
          <cell r="A1166">
            <v>610083</v>
          </cell>
          <cell r="B1166" t="str">
            <v>BONO DE PERSISTENCIA</v>
          </cell>
          <cell r="C1166">
            <v>102816882</v>
          </cell>
          <cell r="D1166">
            <v>0</v>
          </cell>
          <cell r="E1166">
            <v>102816882</v>
          </cell>
          <cell r="F1166">
            <v>0</v>
          </cell>
          <cell r="G1166">
            <v>0</v>
          </cell>
          <cell r="H1166">
            <v>0</v>
          </cell>
          <cell r="I1166">
            <v>102816882</v>
          </cell>
          <cell r="J1166">
            <v>0</v>
          </cell>
          <cell r="K1166">
            <v>102816882</v>
          </cell>
        </row>
        <row r="1167">
          <cell r="A1167">
            <v>610084</v>
          </cell>
          <cell r="B1167" t="str">
            <v>BONO PLAN RENTA VARIABLE</v>
          </cell>
          <cell r="C1167">
            <v>0</v>
          </cell>
          <cell r="D1167">
            <v>0</v>
          </cell>
          <cell r="E1167">
            <v>0</v>
          </cell>
          <cell r="F1167">
            <v>0</v>
          </cell>
          <cell r="G1167">
            <v>0</v>
          </cell>
          <cell r="H1167">
            <v>0</v>
          </cell>
          <cell r="I1167">
            <v>0</v>
          </cell>
          <cell r="J1167">
            <v>0</v>
          </cell>
          <cell r="K1167">
            <v>0</v>
          </cell>
        </row>
        <row r="1168">
          <cell r="A1168">
            <v>610085</v>
          </cell>
          <cell r="B1168" t="str">
            <v>PREMIOS COLECTIVOS RENTA</v>
          </cell>
          <cell r="C1168">
            <v>75616277</v>
          </cell>
          <cell r="D1168">
            <v>0</v>
          </cell>
          <cell r="E1168">
            <v>75616277</v>
          </cell>
          <cell r="F1168">
            <v>0</v>
          </cell>
          <cell r="G1168">
            <v>0</v>
          </cell>
          <cell r="H1168">
            <v>0</v>
          </cell>
          <cell r="I1168">
            <v>75616277</v>
          </cell>
          <cell r="J1168">
            <v>0</v>
          </cell>
          <cell r="K1168">
            <v>75616277</v>
          </cell>
        </row>
        <row r="1169">
          <cell r="A1169">
            <v>610086</v>
          </cell>
          <cell r="B1169" t="str">
            <v>PREMIOS MASIVOS RENTA VAR</v>
          </cell>
          <cell r="C1169">
            <v>827500</v>
          </cell>
          <cell r="D1169">
            <v>0</v>
          </cell>
          <cell r="E1169">
            <v>827500</v>
          </cell>
          <cell r="F1169">
            <v>0</v>
          </cell>
          <cell r="G1169">
            <v>0</v>
          </cell>
          <cell r="H1169">
            <v>0</v>
          </cell>
          <cell r="I1169">
            <v>827500</v>
          </cell>
          <cell r="J1169">
            <v>0</v>
          </cell>
          <cell r="K1169">
            <v>827500</v>
          </cell>
        </row>
        <row r="1170">
          <cell r="A1170">
            <v>610087</v>
          </cell>
          <cell r="B1170" t="str">
            <v>PREMIOS PRODUCCION RENTA</v>
          </cell>
          <cell r="C1170">
            <v>534684158</v>
          </cell>
          <cell r="D1170">
            <v>0</v>
          </cell>
          <cell r="E1170">
            <v>534684158</v>
          </cell>
          <cell r="F1170">
            <v>0</v>
          </cell>
          <cell r="G1170">
            <v>0</v>
          </cell>
          <cell r="H1170">
            <v>0</v>
          </cell>
          <cell r="I1170">
            <v>534684158</v>
          </cell>
          <cell r="J1170">
            <v>0</v>
          </cell>
          <cell r="K1170">
            <v>534684158</v>
          </cell>
        </row>
        <row r="1171">
          <cell r="A1171">
            <v>610088</v>
          </cell>
          <cell r="B1171" t="str">
            <v>COMISIONES PROMEDIO</v>
          </cell>
          <cell r="C1171">
            <v>110400082</v>
          </cell>
          <cell r="D1171">
            <v>0</v>
          </cell>
          <cell r="E1171">
            <v>110400082</v>
          </cell>
          <cell r="F1171">
            <v>0</v>
          </cell>
          <cell r="G1171">
            <v>0</v>
          </cell>
          <cell r="H1171">
            <v>0</v>
          </cell>
          <cell r="I1171">
            <v>110400082</v>
          </cell>
          <cell r="J1171">
            <v>0</v>
          </cell>
          <cell r="K1171">
            <v>110400082</v>
          </cell>
        </row>
        <row r="1172">
          <cell r="A1172">
            <v>610089</v>
          </cell>
          <cell r="B1172" t="str">
            <v>SEGURO DE INVALIDEZ Y SOB</v>
          </cell>
          <cell r="C1172">
            <v>33990160</v>
          </cell>
          <cell r="D1172">
            <v>0</v>
          </cell>
          <cell r="E1172">
            <v>33990160</v>
          </cell>
          <cell r="F1172">
            <v>0</v>
          </cell>
          <cell r="G1172">
            <v>0</v>
          </cell>
          <cell r="H1172">
            <v>0</v>
          </cell>
          <cell r="I1172">
            <v>33990160</v>
          </cell>
          <cell r="J1172">
            <v>0</v>
          </cell>
          <cell r="K1172">
            <v>33990160</v>
          </cell>
        </row>
        <row r="1173">
          <cell r="A1173">
            <v>610090</v>
          </cell>
          <cell r="B1173" t="str">
            <v>COMISIONES APV</v>
          </cell>
          <cell r="C1173">
            <v>0</v>
          </cell>
          <cell r="D1173">
            <v>0</v>
          </cell>
          <cell r="E1173">
            <v>0</v>
          </cell>
          <cell r="F1173">
            <v>0</v>
          </cell>
          <cell r="G1173">
            <v>0</v>
          </cell>
          <cell r="H1173">
            <v>0</v>
          </cell>
          <cell r="I1173">
            <v>0</v>
          </cell>
          <cell r="J1173">
            <v>0</v>
          </cell>
          <cell r="K1173">
            <v>0</v>
          </cell>
        </row>
        <row r="1174">
          <cell r="A1174">
            <v>610091</v>
          </cell>
          <cell r="B1174" t="str">
            <v>PREMIOS TRASPASO APORTE A</v>
          </cell>
          <cell r="C1174">
            <v>9599729</v>
          </cell>
          <cell r="D1174">
            <v>0</v>
          </cell>
          <cell r="E1174">
            <v>9599729</v>
          </cell>
          <cell r="F1174">
            <v>0</v>
          </cell>
          <cell r="G1174">
            <v>0</v>
          </cell>
          <cell r="H1174">
            <v>0</v>
          </cell>
          <cell r="I1174">
            <v>9599729</v>
          </cell>
          <cell r="J1174">
            <v>0</v>
          </cell>
          <cell r="K1174">
            <v>9599729</v>
          </cell>
        </row>
        <row r="1175">
          <cell r="A1175">
            <v>610092</v>
          </cell>
          <cell r="B1175" t="str">
            <v>MULTAS RR.HH.</v>
          </cell>
          <cell r="C1175">
            <v>0</v>
          </cell>
          <cell r="D1175">
            <v>0</v>
          </cell>
          <cell r="E1175">
            <v>0</v>
          </cell>
          <cell r="F1175">
            <v>0</v>
          </cell>
          <cell r="G1175">
            <v>0</v>
          </cell>
          <cell r="H1175">
            <v>0</v>
          </cell>
          <cell r="I1175">
            <v>0</v>
          </cell>
          <cell r="J1175">
            <v>0</v>
          </cell>
          <cell r="K1175">
            <v>0</v>
          </cell>
        </row>
        <row r="1176">
          <cell r="A1176">
            <v>610093</v>
          </cell>
          <cell r="B1176" t="str">
            <v>COMISIONES CREDIVIDA</v>
          </cell>
          <cell r="C1176">
            <v>5686782</v>
          </cell>
          <cell r="D1176">
            <v>0</v>
          </cell>
          <cell r="E1176">
            <v>5686782</v>
          </cell>
          <cell r="F1176">
            <v>0</v>
          </cell>
          <cell r="G1176">
            <v>0</v>
          </cell>
          <cell r="H1176">
            <v>0</v>
          </cell>
          <cell r="I1176">
            <v>5686782</v>
          </cell>
          <cell r="J1176">
            <v>0</v>
          </cell>
          <cell r="K1176">
            <v>5686782</v>
          </cell>
        </row>
        <row r="1177">
          <cell r="A1177">
            <v>610101</v>
          </cell>
          <cell r="B1177" t="str">
            <v>ARRIENDO INMUEBLES SANTIA</v>
          </cell>
          <cell r="C1177">
            <v>0</v>
          </cell>
          <cell r="D1177">
            <v>0</v>
          </cell>
          <cell r="E1177">
            <v>0</v>
          </cell>
          <cell r="F1177">
            <v>0</v>
          </cell>
          <cell r="G1177">
            <v>0</v>
          </cell>
          <cell r="H1177">
            <v>0</v>
          </cell>
          <cell r="I1177">
            <v>0</v>
          </cell>
          <cell r="J1177">
            <v>0</v>
          </cell>
          <cell r="K1177">
            <v>0</v>
          </cell>
        </row>
        <row r="1178">
          <cell r="A1178">
            <v>610102</v>
          </cell>
          <cell r="B1178" t="str">
            <v>ARRIENDO AGENCIA</v>
          </cell>
          <cell r="C1178">
            <v>220376676</v>
          </cell>
          <cell r="D1178">
            <v>512660</v>
          </cell>
          <cell r="E1178">
            <v>219864016</v>
          </cell>
          <cell r="F1178">
            <v>0</v>
          </cell>
          <cell r="G1178">
            <v>0</v>
          </cell>
          <cell r="H1178">
            <v>0</v>
          </cell>
          <cell r="I1178">
            <v>219864016</v>
          </cell>
          <cell r="J1178">
            <v>0</v>
          </cell>
          <cell r="K1178">
            <v>219864016</v>
          </cell>
        </row>
        <row r="1179">
          <cell r="A1179">
            <v>610103</v>
          </cell>
          <cell r="B1179" t="str">
            <v>BODEGA EXTERNA</v>
          </cell>
          <cell r="C1179">
            <v>24633458</v>
          </cell>
          <cell r="D1179">
            <v>67069</v>
          </cell>
          <cell r="E1179">
            <v>24566389</v>
          </cell>
          <cell r="F1179">
            <v>0</v>
          </cell>
          <cell r="G1179">
            <v>0</v>
          </cell>
          <cell r="H1179">
            <v>0</v>
          </cell>
          <cell r="I1179">
            <v>24566389</v>
          </cell>
          <cell r="J1179">
            <v>0</v>
          </cell>
          <cell r="K1179">
            <v>24566389</v>
          </cell>
        </row>
        <row r="1180">
          <cell r="A1180">
            <v>610104</v>
          </cell>
          <cell r="B1180" t="str">
            <v>GASTOS COMUNES SANTIAGO</v>
          </cell>
          <cell r="C1180">
            <v>136418281</v>
          </cell>
          <cell r="D1180">
            <v>0</v>
          </cell>
          <cell r="E1180">
            <v>136418281</v>
          </cell>
          <cell r="F1180">
            <v>0</v>
          </cell>
          <cell r="G1180">
            <v>0</v>
          </cell>
          <cell r="H1180">
            <v>0</v>
          </cell>
          <cell r="I1180">
            <v>136418281</v>
          </cell>
          <cell r="J1180">
            <v>0</v>
          </cell>
          <cell r="K1180">
            <v>136418281</v>
          </cell>
        </row>
        <row r="1181">
          <cell r="A1181">
            <v>610105</v>
          </cell>
          <cell r="B1181" t="str">
            <v>GASTOS COMUNES AGENCIAS</v>
          </cell>
          <cell r="C1181">
            <v>21489888</v>
          </cell>
          <cell r="D1181">
            <v>178754</v>
          </cell>
          <cell r="E1181">
            <v>21311134</v>
          </cell>
          <cell r="F1181">
            <v>0</v>
          </cell>
          <cell r="G1181">
            <v>0</v>
          </cell>
          <cell r="H1181">
            <v>0</v>
          </cell>
          <cell r="I1181">
            <v>21311134</v>
          </cell>
          <cell r="J1181">
            <v>0</v>
          </cell>
          <cell r="K1181">
            <v>21311134</v>
          </cell>
        </row>
        <row r="1182">
          <cell r="A1182">
            <v>610106</v>
          </cell>
          <cell r="B1182" t="str">
            <v>PATENTES COMERCIALES</v>
          </cell>
          <cell r="C1182">
            <v>316840620</v>
          </cell>
          <cell r="D1182">
            <v>587002</v>
          </cell>
          <cell r="E1182">
            <v>316253618</v>
          </cell>
          <cell r="F1182">
            <v>0</v>
          </cell>
          <cell r="G1182">
            <v>0</v>
          </cell>
          <cell r="H1182">
            <v>0</v>
          </cell>
          <cell r="I1182">
            <v>316253618</v>
          </cell>
          <cell r="J1182">
            <v>0</v>
          </cell>
          <cell r="K1182">
            <v>316253618</v>
          </cell>
        </row>
        <row r="1183">
          <cell r="A1183">
            <v>610107</v>
          </cell>
          <cell r="B1183" t="str">
            <v>CONTRIBUCIONES DE BIENES</v>
          </cell>
          <cell r="C1183">
            <v>0</v>
          </cell>
          <cell r="D1183">
            <v>0</v>
          </cell>
          <cell r="E1183">
            <v>0</v>
          </cell>
          <cell r="F1183">
            <v>0</v>
          </cell>
          <cell r="G1183">
            <v>0</v>
          </cell>
          <cell r="H1183">
            <v>0</v>
          </cell>
          <cell r="I1183">
            <v>0</v>
          </cell>
          <cell r="J1183">
            <v>0</v>
          </cell>
          <cell r="K1183">
            <v>0</v>
          </cell>
        </row>
        <row r="1184">
          <cell r="A1184">
            <v>610108</v>
          </cell>
          <cell r="B1184" t="str">
            <v>ARRIENDO DE ESTACIONAMIEN</v>
          </cell>
          <cell r="C1184">
            <v>12808183</v>
          </cell>
          <cell r="D1184">
            <v>0</v>
          </cell>
          <cell r="E1184">
            <v>12808183</v>
          </cell>
          <cell r="F1184">
            <v>0</v>
          </cell>
          <cell r="G1184">
            <v>0</v>
          </cell>
          <cell r="H1184">
            <v>0</v>
          </cell>
          <cell r="I1184">
            <v>12808183</v>
          </cell>
          <cell r="J1184">
            <v>0</v>
          </cell>
          <cell r="K1184">
            <v>12808183</v>
          </cell>
        </row>
        <row r="1185">
          <cell r="A1185">
            <v>610201</v>
          </cell>
          <cell r="B1185" t="str">
            <v>MANTENCION SOFTWARE</v>
          </cell>
          <cell r="C1185">
            <v>0</v>
          </cell>
          <cell r="D1185">
            <v>0</v>
          </cell>
          <cell r="E1185">
            <v>0</v>
          </cell>
          <cell r="F1185">
            <v>0</v>
          </cell>
          <cell r="G1185">
            <v>0</v>
          </cell>
          <cell r="H1185">
            <v>0</v>
          </cell>
          <cell r="I1185">
            <v>0</v>
          </cell>
          <cell r="J1185">
            <v>0</v>
          </cell>
          <cell r="K1185">
            <v>0</v>
          </cell>
        </row>
        <row r="1186">
          <cell r="A1186">
            <v>610202</v>
          </cell>
          <cell r="B1186" t="str">
            <v>IMPLEMENTOS DE COMPUTACIO</v>
          </cell>
          <cell r="C1186">
            <v>0</v>
          </cell>
          <cell r="D1186">
            <v>0</v>
          </cell>
          <cell r="E1186">
            <v>0</v>
          </cell>
          <cell r="F1186">
            <v>0</v>
          </cell>
          <cell r="G1186">
            <v>0</v>
          </cell>
          <cell r="H1186">
            <v>0</v>
          </cell>
          <cell r="I1186">
            <v>0</v>
          </cell>
          <cell r="J1186">
            <v>0</v>
          </cell>
          <cell r="K1186">
            <v>0</v>
          </cell>
        </row>
        <row r="1187">
          <cell r="A1187">
            <v>610203</v>
          </cell>
          <cell r="B1187" t="str">
            <v>ARRIENDO DE IMPRESORAS</v>
          </cell>
          <cell r="C1187">
            <v>0</v>
          </cell>
          <cell r="D1187">
            <v>0</v>
          </cell>
          <cell r="E1187">
            <v>0</v>
          </cell>
          <cell r="F1187">
            <v>0</v>
          </cell>
          <cell r="G1187">
            <v>0</v>
          </cell>
          <cell r="H1187">
            <v>0</v>
          </cell>
          <cell r="I1187">
            <v>0</v>
          </cell>
          <cell r="J1187">
            <v>0</v>
          </cell>
          <cell r="K1187">
            <v>0</v>
          </cell>
        </row>
        <row r="1188">
          <cell r="A1188">
            <v>610204</v>
          </cell>
          <cell r="B1188" t="str">
            <v>MANTENCION DE SERVIDORES</v>
          </cell>
          <cell r="C1188">
            <v>0</v>
          </cell>
          <cell r="D1188">
            <v>0</v>
          </cell>
          <cell r="E1188">
            <v>0</v>
          </cell>
          <cell r="F1188">
            <v>0</v>
          </cell>
          <cell r="G1188">
            <v>0</v>
          </cell>
          <cell r="H1188">
            <v>0</v>
          </cell>
          <cell r="I1188">
            <v>0</v>
          </cell>
          <cell r="J1188">
            <v>0</v>
          </cell>
          <cell r="K1188">
            <v>0</v>
          </cell>
        </row>
        <row r="1189">
          <cell r="A1189">
            <v>610205</v>
          </cell>
          <cell r="B1189" t="str">
            <v>MANTENCION DE PC'S</v>
          </cell>
          <cell r="C1189">
            <v>0</v>
          </cell>
          <cell r="D1189">
            <v>0</v>
          </cell>
          <cell r="E1189">
            <v>0</v>
          </cell>
          <cell r="F1189">
            <v>0</v>
          </cell>
          <cell r="G1189">
            <v>0</v>
          </cell>
          <cell r="H1189">
            <v>0</v>
          </cell>
          <cell r="I1189">
            <v>0</v>
          </cell>
          <cell r="J1189">
            <v>0</v>
          </cell>
          <cell r="K1189">
            <v>0</v>
          </cell>
        </row>
        <row r="1190">
          <cell r="A1190">
            <v>610206</v>
          </cell>
          <cell r="B1190" t="str">
            <v>MANTENCION DE IMPRESORAS</v>
          </cell>
          <cell r="C1190">
            <v>0</v>
          </cell>
          <cell r="D1190">
            <v>0</v>
          </cell>
          <cell r="E1190">
            <v>0</v>
          </cell>
          <cell r="F1190">
            <v>0</v>
          </cell>
          <cell r="G1190">
            <v>0</v>
          </cell>
          <cell r="H1190">
            <v>0</v>
          </cell>
          <cell r="I1190">
            <v>0</v>
          </cell>
          <cell r="J1190">
            <v>0</v>
          </cell>
          <cell r="K1190">
            <v>0</v>
          </cell>
        </row>
        <row r="1191">
          <cell r="A1191">
            <v>610207</v>
          </cell>
          <cell r="B1191" t="str">
            <v>MANTENCION EQUIPOS PROYEC</v>
          </cell>
          <cell r="C1191">
            <v>0</v>
          </cell>
          <cell r="D1191">
            <v>0</v>
          </cell>
          <cell r="E1191">
            <v>0</v>
          </cell>
          <cell r="F1191">
            <v>0</v>
          </cell>
          <cell r="G1191">
            <v>0</v>
          </cell>
          <cell r="H1191">
            <v>0</v>
          </cell>
          <cell r="I1191">
            <v>0</v>
          </cell>
          <cell r="J1191">
            <v>0</v>
          </cell>
          <cell r="K1191">
            <v>0</v>
          </cell>
        </row>
        <row r="1192">
          <cell r="A1192">
            <v>610208</v>
          </cell>
          <cell r="B1192" t="str">
            <v>MANTENCION PLANTA TELEFON</v>
          </cell>
          <cell r="C1192">
            <v>0</v>
          </cell>
          <cell r="D1192">
            <v>0</v>
          </cell>
          <cell r="E1192">
            <v>0</v>
          </cell>
          <cell r="F1192">
            <v>0</v>
          </cell>
          <cell r="G1192">
            <v>0</v>
          </cell>
          <cell r="H1192">
            <v>0</v>
          </cell>
          <cell r="I1192">
            <v>0</v>
          </cell>
          <cell r="J1192">
            <v>0</v>
          </cell>
          <cell r="K1192">
            <v>0</v>
          </cell>
        </row>
        <row r="1193">
          <cell r="A1193">
            <v>610209</v>
          </cell>
          <cell r="B1193" t="str">
            <v>MANTENCION SOFTWARE DE AP</v>
          </cell>
          <cell r="C1193">
            <v>0</v>
          </cell>
          <cell r="D1193">
            <v>0</v>
          </cell>
          <cell r="E1193">
            <v>0</v>
          </cell>
          <cell r="F1193">
            <v>0</v>
          </cell>
          <cell r="G1193">
            <v>0</v>
          </cell>
          <cell r="H1193">
            <v>0</v>
          </cell>
          <cell r="I1193">
            <v>0</v>
          </cell>
          <cell r="J1193">
            <v>0</v>
          </cell>
          <cell r="K1193">
            <v>0</v>
          </cell>
        </row>
        <row r="1194">
          <cell r="A1194">
            <v>610210</v>
          </cell>
          <cell r="B1194" t="str">
            <v>DESARROLLO DE SISTEMAS IN</v>
          </cell>
          <cell r="C1194">
            <v>0</v>
          </cell>
          <cell r="D1194">
            <v>0</v>
          </cell>
          <cell r="E1194">
            <v>0</v>
          </cell>
          <cell r="F1194">
            <v>0</v>
          </cell>
          <cell r="G1194">
            <v>0</v>
          </cell>
          <cell r="H1194">
            <v>0</v>
          </cell>
          <cell r="I1194">
            <v>0</v>
          </cell>
          <cell r="J1194">
            <v>0</v>
          </cell>
          <cell r="K1194">
            <v>0</v>
          </cell>
        </row>
        <row r="1195">
          <cell r="A1195">
            <v>610211</v>
          </cell>
          <cell r="B1195" t="str">
            <v>DESARROLLO DE SISTEMAS EX</v>
          </cell>
          <cell r="C1195">
            <v>0</v>
          </cell>
          <cell r="D1195">
            <v>0</v>
          </cell>
          <cell r="E1195">
            <v>0</v>
          </cell>
          <cell r="F1195">
            <v>0</v>
          </cell>
          <cell r="G1195">
            <v>0</v>
          </cell>
          <cell r="H1195">
            <v>0</v>
          </cell>
          <cell r="I1195">
            <v>0</v>
          </cell>
          <cell r="J1195">
            <v>0</v>
          </cell>
          <cell r="K1195">
            <v>0</v>
          </cell>
        </row>
        <row r="1196">
          <cell r="A1196">
            <v>610212</v>
          </cell>
          <cell r="B1196" t="str">
            <v>MANTENCION DE SISTEMAS IN</v>
          </cell>
          <cell r="C1196">
            <v>0</v>
          </cell>
          <cell r="D1196">
            <v>0</v>
          </cell>
          <cell r="E1196">
            <v>0</v>
          </cell>
          <cell r="F1196">
            <v>0</v>
          </cell>
          <cell r="G1196">
            <v>0</v>
          </cell>
          <cell r="H1196">
            <v>0</v>
          </cell>
          <cell r="I1196">
            <v>0</v>
          </cell>
          <cell r="J1196">
            <v>0</v>
          </cell>
          <cell r="K1196">
            <v>0</v>
          </cell>
        </row>
        <row r="1197">
          <cell r="A1197">
            <v>610213</v>
          </cell>
          <cell r="B1197" t="str">
            <v>MANTENCION DE SISTEMAS EX</v>
          </cell>
          <cell r="C1197">
            <v>0</v>
          </cell>
          <cell r="D1197">
            <v>0</v>
          </cell>
          <cell r="E1197">
            <v>0</v>
          </cell>
          <cell r="F1197">
            <v>0</v>
          </cell>
          <cell r="G1197">
            <v>0</v>
          </cell>
          <cell r="H1197">
            <v>0</v>
          </cell>
          <cell r="I1197">
            <v>0</v>
          </cell>
          <cell r="J1197">
            <v>0</v>
          </cell>
          <cell r="K1197">
            <v>0</v>
          </cell>
        </row>
        <row r="1198">
          <cell r="A1198">
            <v>610215</v>
          </cell>
          <cell r="B1198" t="str">
            <v>SOPORTE EXTERNO</v>
          </cell>
          <cell r="C1198">
            <v>0</v>
          </cell>
          <cell r="D1198">
            <v>0</v>
          </cell>
          <cell r="E1198">
            <v>0</v>
          </cell>
          <cell r="F1198">
            <v>0</v>
          </cell>
          <cell r="G1198">
            <v>0</v>
          </cell>
          <cell r="H1198">
            <v>0</v>
          </cell>
          <cell r="I1198">
            <v>0</v>
          </cell>
          <cell r="J1198">
            <v>0</v>
          </cell>
          <cell r="K1198">
            <v>0</v>
          </cell>
        </row>
        <row r="1199">
          <cell r="A1199">
            <v>610216</v>
          </cell>
          <cell r="B1199" t="str">
            <v>ASESORIAS INFORMATICAS</v>
          </cell>
          <cell r="C1199">
            <v>0</v>
          </cell>
          <cell r="D1199">
            <v>0</v>
          </cell>
          <cell r="E1199">
            <v>0</v>
          </cell>
          <cell r="F1199">
            <v>0</v>
          </cell>
          <cell r="G1199">
            <v>0</v>
          </cell>
          <cell r="H1199">
            <v>0</v>
          </cell>
          <cell r="I1199">
            <v>0</v>
          </cell>
          <cell r="J1199">
            <v>0</v>
          </cell>
          <cell r="K1199">
            <v>0</v>
          </cell>
        </row>
        <row r="1200">
          <cell r="A1200">
            <v>610217</v>
          </cell>
          <cell r="B1200" t="str">
            <v>DIGITALIZACION DE IMÁGENE</v>
          </cell>
          <cell r="C1200">
            <v>4852457</v>
          </cell>
          <cell r="D1200">
            <v>110750</v>
          </cell>
          <cell r="E1200">
            <v>4741707</v>
          </cell>
          <cell r="F1200">
            <v>0</v>
          </cell>
          <cell r="G1200">
            <v>0</v>
          </cell>
          <cell r="H1200">
            <v>0</v>
          </cell>
          <cell r="I1200">
            <v>4741707</v>
          </cell>
          <cell r="J1200">
            <v>0</v>
          </cell>
          <cell r="K1200">
            <v>4741707</v>
          </cell>
        </row>
        <row r="1201">
          <cell r="A1201">
            <v>610219</v>
          </cell>
          <cell r="B1201" t="str">
            <v>MANTENCION DE LICENCIAS</v>
          </cell>
          <cell r="C1201">
            <v>0</v>
          </cell>
          <cell r="D1201">
            <v>0</v>
          </cell>
          <cell r="E1201">
            <v>0</v>
          </cell>
          <cell r="F1201">
            <v>0</v>
          </cell>
          <cell r="G1201">
            <v>0</v>
          </cell>
          <cell r="H1201">
            <v>0</v>
          </cell>
          <cell r="I1201">
            <v>0</v>
          </cell>
          <cell r="J1201">
            <v>0</v>
          </cell>
          <cell r="K1201">
            <v>0</v>
          </cell>
        </row>
        <row r="1202">
          <cell r="A1202">
            <v>610220</v>
          </cell>
          <cell r="B1202" t="str">
            <v>COMUNICACIONES</v>
          </cell>
          <cell r="C1202">
            <v>0</v>
          </cell>
          <cell r="D1202">
            <v>0</v>
          </cell>
          <cell r="E1202">
            <v>0</v>
          </cell>
          <cell r="F1202">
            <v>0</v>
          </cell>
          <cell r="G1202">
            <v>0</v>
          </cell>
          <cell r="H1202">
            <v>0</v>
          </cell>
          <cell r="I1202">
            <v>0</v>
          </cell>
          <cell r="J1202">
            <v>0</v>
          </cell>
          <cell r="K1202">
            <v>0</v>
          </cell>
        </row>
        <row r="1203">
          <cell r="A1203">
            <v>610221</v>
          </cell>
          <cell r="B1203" t="str">
            <v>MANTENCION DE HARDWARE</v>
          </cell>
          <cell r="C1203">
            <v>0</v>
          </cell>
          <cell r="D1203">
            <v>0</v>
          </cell>
          <cell r="E1203">
            <v>0</v>
          </cell>
          <cell r="F1203">
            <v>0</v>
          </cell>
          <cell r="G1203">
            <v>0</v>
          </cell>
          <cell r="H1203">
            <v>0</v>
          </cell>
          <cell r="I1203">
            <v>0</v>
          </cell>
          <cell r="J1203">
            <v>0</v>
          </cell>
          <cell r="K1203">
            <v>0</v>
          </cell>
        </row>
        <row r="1204">
          <cell r="A1204">
            <v>610222</v>
          </cell>
          <cell r="B1204" t="str">
            <v>SERVICIOS DE IMPRESION</v>
          </cell>
          <cell r="C1204">
            <v>0</v>
          </cell>
          <cell r="D1204">
            <v>0</v>
          </cell>
          <cell r="E1204">
            <v>0</v>
          </cell>
          <cell r="F1204">
            <v>0</v>
          </cell>
          <cell r="G1204">
            <v>0</v>
          </cell>
          <cell r="H1204">
            <v>0</v>
          </cell>
          <cell r="I1204">
            <v>0</v>
          </cell>
          <cell r="J1204">
            <v>0</v>
          </cell>
          <cell r="K1204">
            <v>0</v>
          </cell>
        </row>
        <row r="1205">
          <cell r="A1205">
            <v>610223</v>
          </cell>
          <cell r="B1205" t="str">
            <v>SERVICIOS EXTERNOS</v>
          </cell>
          <cell r="C1205">
            <v>0</v>
          </cell>
          <cell r="D1205">
            <v>0</v>
          </cell>
          <cell r="E1205">
            <v>0</v>
          </cell>
          <cell r="F1205">
            <v>0</v>
          </cell>
          <cell r="G1205">
            <v>0</v>
          </cell>
          <cell r="H1205">
            <v>0</v>
          </cell>
          <cell r="I1205">
            <v>0</v>
          </cell>
          <cell r="J1205">
            <v>0</v>
          </cell>
          <cell r="K1205">
            <v>0</v>
          </cell>
        </row>
        <row r="1206">
          <cell r="A1206">
            <v>610224</v>
          </cell>
          <cell r="B1206" t="str">
            <v>MANTENCION LOCALES</v>
          </cell>
          <cell r="C1206">
            <v>0</v>
          </cell>
          <cell r="D1206">
            <v>0</v>
          </cell>
          <cell r="E1206">
            <v>0</v>
          </cell>
          <cell r="F1206">
            <v>0</v>
          </cell>
          <cell r="G1206">
            <v>0</v>
          </cell>
          <cell r="H1206">
            <v>0</v>
          </cell>
          <cell r="I1206">
            <v>0</v>
          </cell>
          <cell r="J1206">
            <v>0</v>
          </cell>
          <cell r="K1206">
            <v>0</v>
          </cell>
        </row>
        <row r="1207">
          <cell r="A1207">
            <v>610225</v>
          </cell>
          <cell r="B1207" t="str">
            <v>AUDITORIA Y NORMATIVA</v>
          </cell>
          <cell r="C1207">
            <v>0</v>
          </cell>
          <cell r="D1207">
            <v>0</v>
          </cell>
          <cell r="E1207">
            <v>0</v>
          </cell>
          <cell r="F1207">
            <v>0</v>
          </cell>
          <cell r="G1207">
            <v>0</v>
          </cell>
          <cell r="H1207">
            <v>0</v>
          </cell>
          <cell r="I1207">
            <v>0</v>
          </cell>
          <cell r="J1207">
            <v>0</v>
          </cell>
          <cell r="K1207">
            <v>0</v>
          </cell>
        </row>
        <row r="1208">
          <cell r="A1208">
            <v>610226</v>
          </cell>
          <cell r="B1208" t="str">
            <v>CONTINUIDAD OPERATIVA</v>
          </cell>
          <cell r="C1208">
            <v>1310758021</v>
          </cell>
          <cell r="D1208">
            <v>64517632</v>
          </cell>
          <cell r="E1208">
            <v>1246240389</v>
          </cell>
          <cell r="F1208">
            <v>0</v>
          </cell>
          <cell r="G1208">
            <v>0</v>
          </cell>
          <cell r="H1208">
            <v>0</v>
          </cell>
          <cell r="I1208">
            <v>1246240389</v>
          </cell>
          <cell r="J1208">
            <v>0</v>
          </cell>
          <cell r="K1208">
            <v>1246240389</v>
          </cell>
        </row>
        <row r="1209">
          <cell r="A1209">
            <v>610227</v>
          </cell>
          <cell r="B1209" t="str">
            <v>CONTROL DE CALIDAD</v>
          </cell>
          <cell r="C1209">
            <v>0</v>
          </cell>
          <cell r="D1209">
            <v>0</v>
          </cell>
          <cell r="E1209">
            <v>0</v>
          </cell>
          <cell r="F1209">
            <v>0</v>
          </cell>
          <cell r="G1209">
            <v>0</v>
          </cell>
          <cell r="H1209">
            <v>0</v>
          </cell>
          <cell r="I1209">
            <v>0</v>
          </cell>
          <cell r="J1209">
            <v>0</v>
          </cell>
          <cell r="K1209">
            <v>0</v>
          </cell>
        </row>
        <row r="1210">
          <cell r="A1210">
            <v>610228</v>
          </cell>
          <cell r="B1210" t="str">
            <v>MANTENCIÓN TECNOLÓGICA</v>
          </cell>
          <cell r="C1210">
            <v>0</v>
          </cell>
          <cell r="D1210">
            <v>0</v>
          </cell>
          <cell r="E1210">
            <v>0</v>
          </cell>
          <cell r="F1210">
            <v>0</v>
          </cell>
          <cell r="G1210">
            <v>0</v>
          </cell>
          <cell r="H1210">
            <v>0</v>
          </cell>
          <cell r="I1210">
            <v>0</v>
          </cell>
          <cell r="J1210">
            <v>0</v>
          </cell>
          <cell r="K1210">
            <v>0</v>
          </cell>
        </row>
        <row r="1211">
          <cell r="A1211">
            <v>610229</v>
          </cell>
          <cell r="B1211" t="str">
            <v>MEJORAS FUNCIONALES</v>
          </cell>
          <cell r="C1211">
            <v>160920192</v>
          </cell>
          <cell r="D1211">
            <v>0</v>
          </cell>
          <cell r="E1211">
            <v>160920192</v>
          </cell>
          <cell r="F1211">
            <v>0</v>
          </cell>
          <cell r="G1211">
            <v>0</v>
          </cell>
          <cell r="H1211">
            <v>0</v>
          </cell>
          <cell r="I1211">
            <v>160920192</v>
          </cell>
          <cell r="J1211">
            <v>0</v>
          </cell>
          <cell r="K1211">
            <v>160920192</v>
          </cell>
        </row>
        <row r="1212">
          <cell r="A1212">
            <v>610230</v>
          </cell>
          <cell r="B1212" t="str">
            <v>MEJORAS TECNOLÓGICAS</v>
          </cell>
          <cell r="C1212">
            <v>34063531</v>
          </cell>
          <cell r="D1212">
            <v>0</v>
          </cell>
          <cell r="E1212">
            <v>34063531</v>
          </cell>
          <cell r="F1212">
            <v>0</v>
          </cell>
          <cell r="G1212">
            <v>0</v>
          </cell>
          <cell r="H1212">
            <v>0</v>
          </cell>
          <cell r="I1212">
            <v>34063531</v>
          </cell>
          <cell r="J1212">
            <v>0</v>
          </cell>
          <cell r="K1212">
            <v>34063531</v>
          </cell>
        </row>
        <row r="1213">
          <cell r="A1213">
            <v>610231</v>
          </cell>
          <cell r="B1213" t="str">
            <v>PROYECTO DE SISTEMAS IFRS</v>
          </cell>
          <cell r="C1213">
            <v>60683744</v>
          </cell>
          <cell r="D1213">
            <v>0</v>
          </cell>
          <cell r="E1213">
            <v>60683744</v>
          </cell>
          <cell r="F1213">
            <v>0</v>
          </cell>
          <cell r="G1213">
            <v>0</v>
          </cell>
          <cell r="H1213">
            <v>0</v>
          </cell>
          <cell r="I1213">
            <v>60683744</v>
          </cell>
          <cell r="J1213">
            <v>0</v>
          </cell>
          <cell r="K1213">
            <v>60683744</v>
          </cell>
        </row>
        <row r="1214">
          <cell r="A1214">
            <v>610301</v>
          </cell>
          <cell r="B1214" t="str">
            <v>ASESORIA Y ESTUDIOS</v>
          </cell>
          <cell r="C1214">
            <v>118444308</v>
          </cell>
          <cell r="D1214">
            <v>0</v>
          </cell>
          <cell r="E1214">
            <v>118444308</v>
          </cell>
          <cell r="F1214">
            <v>0</v>
          </cell>
          <cell r="G1214">
            <v>0</v>
          </cell>
          <cell r="H1214">
            <v>0</v>
          </cell>
          <cell r="I1214">
            <v>118444308</v>
          </cell>
          <cell r="J1214">
            <v>0</v>
          </cell>
          <cell r="K1214">
            <v>118444308</v>
          </cell>
        </row>
        <row r="1215">
          <cell r="A1215">
            <v>610302</v>
          </cell>
          <cell r="B1215" t="str">
            <v>AUDITORIAS EXTERNAS</v>
          </cell>
          <cell r="C1215">
            <v>71781</v>
          </cell>
          <cell r="D1215">
            <v>0</v>
          </cell>
          <cell r="E1215">
            <v>71781</v>
          </cell>
          <cell r="F1215">
            <v>0</v>
          </cell>
          <cell r="G1215">
            <v>0</v>
          </cell>
          <cell r="H1215">
            <v>0</v>
          </cell>
          <cell r="I1215">
            <v>71781</v>
          </cell>
          <cell r="J1215">
            <v>0</v>
          </cell>
          <cell r="K1215">
            <v>71781</v>
          </cell>
        </row>
        <row r="1216">
          <cell r="A1216">
            <v>610303</v>
          </cell>
          <cell r="B1216" t="str">
            <v>GASTOS LEGALES</v>
          </cell>
          <cell r="C1216">
            <v>37529756</v>
          </cell>
          <cell r="D1216">
            <v>778800</v>
          </cell>
          <cell r="E1216">
            <v>36750956</v>
          </cell>
          <cell r="F1216">
            <v>0</v>
          </cell>
          <cell r="G1216">
            <v>0</v>
          </cell>
          <cell r="H1216">
            <v>0</v>
          </cell>
          <cell r="I1216">
            <v>36750956</v>
          </cell>
          <cell r="J1216">
            <v>0</v>
          </cell>
          <cell r="K1216">
            <v>36750956</v>
          </cell>
        </row>
        <row r="1217">
          <cell r="A1217">
            <v>610304</v>
          </cell>
          <cell r="B1217" t="str">
            <v>ASOC. ASEGURADORES DE CHI</v>
          </cell>
          <cell r="C1217">
            <v>37864188</v>
          </cell>
          <cell r="D1217">
            <v>10306383</v>
          </cell>
          <cell r="E1217">
            <v>27557805</v>
          </cell>
          <cell r="F1217">
            <v>0</v>
          </cell>
          <cell r="G1217">
            <v>0</v>
          </cell>
          <cell r="H1217">
            <v>0</v>
          </cell>
          <cell r="I1217">
            <v>27557805</v>
          </cell>
          <cell r="J1217">
            <v>0</v>
          </cell>
          <cell r="K1217">
            <v>27557805</v>
          </cell>
        </row>
        <row r="1218">
          <cell r="A1218">
            <v>610305</v>
          </cell>
          <cell r="B1218" t="str">
            <v>CLASIFICADORAS DE RIESGOS</v>
          </cell>
          <cell r="C1218">
            <v>4438008</v>
          </cell>
          <cell r="D1218">
            <v>0</v>
          </cell>
          <cell r="E1218">
            <v>4438008</v>
          </cell>
          <cell r="F1218">
            <v>0</v>
          </cell>
          <cell r="G1218">
            <v>0</v>
          </cell>
          <cell r="H1218">
            <v>0</v>
          </cell>
          <cell r="I1218">
            <v>4438008</v>
          </cell>
          <cell r="J1218">
            <v>0</v>
          </cell>
          <cell r="K1218">
            <v>4438008</v>
          </cell>
        </row>
        <row r="1219">
          <cell r="A1219">
            <v>610307</v>
          </cell>
          <cell r="B1219" t="str">
            <v>OTROS GREMIALES</v>
          </cell>
          <cell r="C1219">
            <v>0</v>
          </cell>
          <cell r="D1219">
            <v>0</v>
          </cell>
          <cell r="E1219">
            <v>0</v>
          </cell>
          <cell r="F1219">
            <v>0</v>
          </cell>
          <cell r="G1219">
            <v>0</v>
          </cell>
          <cell r="H1219">
            <v>0</v>
          </cell>
          <cell r="I1219">
            <v>0</v>
          </cell>
          <cell r="J1219">
            <v>0</v>
          </cell>
          <cell r="K1219">
            <v>0</v>
          </cell>
        </row>
        <row r="1220">
          <cell r="A1220">
            <v>610308</v>
          </cell>
          <cell r="B1220" t="str">
            <v>OTROS GREMIALES</v>
          </cell>
          <cell r="C1220">
            <v>0</v>
          </cell>
          <cell r="D1220">
            <v>0</v>
          </cell>
          <cell r="E1220">
            <v>0</v>
          </cell>
          <cell r="F1220">
            <v>0</v>
          </cell>
          <cell r="G1220">
            <v>0</v>
          </cell>
          <cell r="H1220">
            <v>0</v>
          </cell>
          <cell r="I1220">
            <v>0</v>
          </cell>
          <cell r="J1220">
            <v>0</v>
          </cell>
          <cell r="K1220">
            <v>0</v>
          </cell>
        </row>
        <row r="1221">
          <cell r="A1221">
            <v>610401</v>
          </cell>
          <cell r="B1221" t="str">
            <v>PROMOCIONES COMERCIALES</v>
          </cell>
          <cell r="C1221">
            <v>0</v>
          </cell>
          <cell r="D1221">
            <v>0</v>
          </cell>
          <cell r="E1221">
            <v>0</v>
          </cell>
          <cell r="F1221">
            <v>0</v>
          </cell>
          <cell r="G1221">
            <v>0</v>
          </cell>
          <cell r="H1221">
            <v>0</v>
          </cell>
          <cell r="I1221">
            <v>0</v>
          </cell>
          <cell r="J1221">
            <v>0</v>
          </cell>
          <cell r="K1221">
            <v>0</v>
          </cell>
        </row>
        <row r="1222">
          <cell r="A1222">
            <v>610402</v>
          </cell>
          <cell r="B1222" t="str">
            <v>EVENTOS</v>
          </cell>
          <cell r="C1222">
            <v>4625707</v>
          </cell>
          <cell r="D1222">
            <v>0</v>
          </cell>
          <cell r="E1222">
            <v>4625707</v>
          </cell>
          <cell r="F1222">
            <v>0</v>
          </cell>
          <cell r="G1222">
            <v>0</v>
          </cell>
          <cell r="H1222">
            <v>0</v>
          </cell>
          <cell r="I1222">
            <v>4625707</v>
          </cell>
          <cell r="J1222">
            <v>0</v>
          </cell>
          <cell r="K1222">
            <v>4625707</v>
          </cell>
        </row>
        <row r="1223">
          <cell r="A1223">
            <v>610403</v>
          </cell>
          <cell r="B1223" t="str">
            <v>PUBL. PRENSA ESCRITA</v>
          </cell>
          <cell r="C1223">
            <v>0</v>
          </cell>
          <cell r="D1223">
            <v>0</v>
          </cell>
          <cell r="E1223">
            <v>0</v>
          </cell>
          <cell r="F1223">
            <v>0</v>
          </cell>
          <cell r="G1223">
            <v>0</v>
          </cell>
          <cell r="H1223">
            <v>0</v>
          </cell>
          <cell r="I1223">
            <v>0</v>
          </cell>
          <cell r="J1223">
            <v>0</v>
          </cell>
          <cell r="K1223">
            <v>0</v>
          </cell>
        </row>
        <row r="1224">
          <cell r="A1224">
            <v>610404</v>
          </cell>
          <cell r="B1224" t="str">
            <v>PUBL. RADIAL</v>
          </cell>
          <cell r="C1224">
            <v>0</v>
          </cell>
          <cell r="D1224">
            <v>0</v>
          </cell>
          <cell r="E1224">
            <v>0</v>
          </cell>
          <cell r="F1224">
            <v>0</v>
          </cell>
          <cell r="G1224">
            <v>0</v>
          </cell>
          <cell r="H1224">
            <v>0</v>
          </cell>
          <cell r="I1224">
            <v>0</v>
          </cell>
          <cell r="J1224">
            <v>0</v>
          </cell>
          <cell r="K1224">
            <v>0</v>
          </cell>
        </row>
        <row r="1225">
          <cell r="A1225">
            <v>610405</v>
          </cell>
          <cell r="B1225" t="str">
            <v>PUBL. METRO</v>
          </cell>
          <cell r="C1225">
            <v>0</v>
          </cell>
          <cell r="D1225">
            <v>0</v>
          </cell>
          <cell r="E1225">
            <v>0</v>
          </cell>
          <cell r="F1225">
            <v>0</v>
          </cell>
          <cell r="G1225">
            <v>0</v>
          </cell>
          <cell r="H1225">
            <v>0</v>
          </cell>
          <cell r="I1225">
            <v>0</v>
          </cell>
          <cell r="J1225">
            <v>0</v>
          </cell>
          <cell r="K1225">
            <v>0</v>
          </cell>
        </row>
        <row r="1226">
          <cell r="A1226">
            <v>610406</v>
          </cell>
          <cell r="B1226" t="str">
            <v>PUBL. VIA PUBLICA</v>
          </cell>
          <cell r="C1226">
            <v>34998965</v>
          </cell>
          <cell r="D1226">
            <v>0</v>
          </cell>
          <cell r="E1226">
            <v>34998965</v>
          </cell>
          <cell r="F1226">
            <v>0</v>
          </cell>
          <cell r="G1226">
            <v>0</v>
          </cell>
          <cell r="H1226">
            <v>0</v>
          </cell>
          <cell r="I1226">
            <v>34998965</v>
          </cell>
          <cell r="J1226">
            <v>0</v>
          </cell>
          <cell r="K1226">
            <v>34998965</v>
          </cell>
        </row>
        <row r="1227">
          <cell r="A1227">
            <v>610407</v>
          </cell>
          <cell r="B1227" t="str">
            <v>PUBLIGUIAS</v>
          </cell>
          <cell r="C1227">
            <v>0</v>
          </cell>
          <cell r="D1227">
            <v>0</v>
          </cell>
          <cell r="E1227">
            <v>0</v>
          </cell>
          <cell r="F1227">
            <v>0</v>
          </cell>
          <cell r="G1227">
            <v>0</v>
          </cell>
          <cell r="H1227">
            <v>0</v>
          </cell>
          <cell r="I1227">
            <v>0</v>
          </cell>
          <cell r="J1227">
            <v>0</v>
          </cell>
          <cell r="K1227">
            <v>0</v>
          </cell>
        </row>
        <row r="1228">
          <cell r="A1228">
            <v>610408</v>
          </cell>
          <cell r="B1228" t="str">
            <v>OTRAS PUBLICACIONES</v>
          </cell>
          <cell r="C1228">
            <v>4992290</v>
          </cell>
          <cell r="D1228">
            <v>0</v>
          </cell>
          <cell r="E1228">
            <v>4992290</v>
          </cell>
          <cell r="F1228">
            <v>0</v>
          </cell>
          <cell r="G1228">
            <v>0</v>
          </cell>
          <cell r="H1228">
            <v>0</v>
          </cell>
          <cell r="I1228">
            <v>4992290</v>
          </cell>
          <cell r="J1228">
            <v>0</v>
          </cell>
          <cell r="K1228">
            <v>4992290</v>
          </cell>
        </row>
        <row r="1229">
          <cell r="A1229">
            <v>610409</v>
          </cell>
          <cell r="B1229" t="str">
            <v>IMPRESOS INTERNOS</v>
          </cell>
          <cell r="C1229">
            <v>26602</v>
          </cell>
          <cell r="D1229">
            <v>0</v>
          </cell>
          <cell r="E1229">
            <v>26602</v>
          </cell>
          <cell r="F1229">
            <v>0</v>
          </cell>
          <cell r="G1229">
            <v>0</v>
          </cell>
          <cell r="H1229">
            <v>0</v>
          </cell>
          <cell r="I1229">
            <v>26602</v>
          </cell>
          <cell r="J1229">
            <v>0</v>
          </cell>
          <cell r="K1229">
            <v>26602</v>
          </cell>
        </row>
        <row r="1230">
          <cell r="A1230">
            <v>610410</v>
          </cell>
          <cell r="B1230" t="str">
            <v>ARTICULOS PROMOCIONALES M</v>
          </cell>
          <cell r="C1230">
            <v>2925929</v>
          </cell>
          <cell r="D1230">
            <v>47680</v>
          </cell>
          <cell r="E1230">
            <v>2878249</v>
          </cell>
          <cell r="F1230">
            <v>0</v>
          </cell>
          <cell r="G1230">
            <v>0</v>
          </cell>
          <cell r="H1230">
            <v>0</v>
          </cell>
          <cell r="I1230">
            <v>2878249</v>
          </cell>
          <cell r="J1230">
            <v>0</v>
          </cell>
          <cell r="K1230">
            <v>2878249</v>
          </cell>
        </row>
        <row r="1231">
          <cell r="A1231">
            <v>610411</v>
          </cell>
          <cell r="B1231" t="str">
            <v>MATERIAL PROMOCIONAL</v>
          </cell>
          <cell r="C1231">
            <v>43019221</v>
          </cell>
          <cell r="D1231">
            <v>541341</v>
          </cell>
          <cell r="E1231">
            <v>42477880</v>
          </cell>
          <cell r="F1231">
            <v>0</v>
          </cell>
          <cell r="G1231">
            <v>0</v>
          </cell>
          <cell r="H1231">
            <v>0</v>
          </cell>
          <cell r="I1231">
            <v>42477880</v>
          </cell>
          <cell r="J1231">
            <v>0</v>
          </cell>
          <cell r="K1231">
            <v>42477880</v>
          </cell>
        </row>
        <row r="1232">
          <cell r="A1232">
            <v>610412</v>
          </cell>
          <cell r="B1232" t="str">
            <v>OTROS INSTITUCIONALES</v>
          </cell>
          <cell r="C1232">
            <v>0</v>
          </cell>
          <cell r="D1232">
            <v>0</v>
          </cell>
          <cell r="E1232">
            <v>0</v>
          </cell>
          <cell r="F1232">
            <v>0</v>
          </cell>
          <cell r="G1232">
            <v>0</v>
          </cell>
          <cell r="H1232">
            <v>0</v>
          </cell>
          <cell r="I1232">
            <v>0</v>
          </cell>
          <cell r="J1232">
            <v>0</v>
          </cell>
          <cell r="K1232">
            <v>0</v>
          </cell>
        </row>
        <row r="1233">
          <cell r="A1233">
            <v>610413</v>
          </cell>
          <cell r="B1233" t="str">
            <v>ESTUDIOS COMERCIALES</v>
          </cell>
          <cell r="C1233">
            <v>0</v>
          </cell>
          <cell r="D1233">
            <v>0</v>
          </cell>
          <cell r="E1233">
            <v>0</v>
          </cell>
          <cell r="F1233">
            <v>0</v>
          </cell>
          <cell r="G1233">
            <v>0</v>
          </cell>
          <cell r="H1233">
            <v>0</v>
          </cell>
          <cell r="I1233">
            <v>0</v>
          </cell>
          <cell r="J1233">
            <v>0</v>
          </cell>
          <cell r="K1233">
            <v>0</v>
          </cell>
        </row>
        <row r="1234">
          <cell r="A1234">
            <v>610414</v>
          </cell>
          <cell r="B1234" t="str">
            <v>TRASLADOS Y VIATICOS</v>
          </cell>
          <cell r="C1234">
            <v>7070561</v>
          </cell>
          <cell r="D1234">
            <v>0</v>
          </cell>
          <cell r="E1234">
            <v>7070561</v>
          </cell>
          <cell r="F1234">
            <v>0</v>
          </cell>
          <cell r="G1234">
            <v>0</v>
          </cell>
          <cell r="H1234">
            <v>0</v>
          </cell>
          <cell r="I1234">
            <v>7070561</v>
          </cell>
          <cell r="J1234">
            <v>0</v>
          </cell>
          <cell r="K1234">
            <v>7070561</v>
          </cell>
        </row>
        <row r="1235">
          <cell r="A1235">
            <v>610415</v>
          </cell>
          <cell r="B1235" t="str">
            <v>ESTADIAS</v>
          </cell>
          <cell r="C1235">
            <v>1253998</v>
          </cell>
          <cell r="D1235">
            <v>0</v>
          </cell>
          <cell r="E1235">
            <v>1253998</v>
          </cell>
          <cell r="F1235">
            <v>0</v>
          </cell>
          <cell r="G1235">
            <v>0</v>
          </cell>
          <cell r="H1235">
            <v>0</v>
          </cell>
          <cell r="I1235">
            <v>1253998</v>
          </cell>
          <cell r="J1235">
            <v>0</v>
          </cell>
          <cell r="K1235">
            <v>1253998</v>
          </cell>
        </row>
        <row r="1236">
          <cell r="A1236">
            <v>610416</v>
          </cell>
          <cell r="B1236" t="str">
            <v>GASTOS DE REPRESENTACION</v>
          </cell>
          <cell r="C1236">
            <v>3545133</v>
          </cell>
          <cell r="D1236">
            <v>0</v>
          </cell>
          <cell r="E1236">
            <v>3545133</v>
          </cell>
          <cell r="F1236">
            <v>0</v>
          </cell>
          <cell r="G1236">
            <v>0</v>
          </cell>
          <cell r="H1236">
            <v>0</v>
          </cell>
          <cell r="I1236">
            <v>3545133</v>
          </cell>
          <cell r="J1236">
            <v>0</v>
          </cell>
          <cell r="K1236">
            <v>3545133</v>
          </cell>
        </row>
        <row r="1237">
          <cell r="A1237">
            <v>610418</v>
          </cell>
          <cell r="B1237" t="str">
            <v>MARKETING SUCURSALES</v>
          </cell>
          <cell r="C1237">
            <v>0</v>
          </cell>
          <cell r="D1237">
            <v>0</v>
          </cell>
          <cell r="E1237">
            <v>0</v>
          </cell>
          <cell r="F1237">
            <v>0</v>
          </cell>
          <cell r="G1237">
            <v>0</v>
          </cell>
          <cell r="H1237">
            <v>0</v>
          </cell>
          <cell r="I1237">
            <v>0</v>
          </cell>
          <cell r="J1237">
            <v>0</v>
          </cell>
          <cell r="K1237">
            <v>0</v>
          </cell>
        </row>
        <row r="1238">
          <cell r="A1238">
            <v>610419</v>
          </cell>
          <cell r="B1238" t="str">
            <v>PUBLICIDAD TELEVISION</v>
          </cell>
          <cell r="C1238">
            <v>0</v>
          </cell>
          <cell r="D1238">
            <v>0</v>
          </cell>
          <cell r="E1238">
            <v>0</v>
          </cell>
          <cell r="F1238">
            <v>0</v>
          </cell>
          <cell r="G1238">
            <v>0</v>
          </cell>
          <cell r="H1238">
            <v>0</v>
          </cell>
          <cell r="I1238">
            <v>0</v>
          </cell>
          <cell r="J1238">
            <v>0</v>
          </cell>
          <cell r="K1238">
            <v>0</v>
          </cell>
        </row>
        <row r="1239">
          <cell r="A1239">
            <v>610420</v>
          </cell>
          <cell r="B1239" t="str">
            <v>MOTIVACIONAL (C.I.)</v>
          </cell>
          <cell r="C1239">
            <v>52691</v>
          </cell>
          <cell r="D1239">
            <v>0</v>
          </cell>
          <cell r="E1239">
            <v>52691</v>
          </cell>
          <cell r="F1239">
            <v>0</v>
          </cell>
          <cell r="G1239">
            <v>0</v>
          </cell>
          <cell r="H1239">
            <v>0</v>
          </cell>
          <cell r="I1239">
            <v>52691</v>
          </cell>
          <cell r="J1239">
            <v>0</v>
          </cell>
          <cell r="K1239">
            <v>52691</v>
          </cell>
        </row>
        <row r="1240">
          <cell r="A1240">
            <v>610421</v>
          </cell>
          <cell r="B1240" t="str">
            <v>PUBLICIDAD AGENCIA</v>
          </cell>
          <cell r="C1240">
            <v>0</v>
          </cell>
          <cell r="D1240">
            <v>0</v>
          </cell>
          <cell r="E1240">
            <v>0</v>
          </cell>
          <cell r="F1240">
            <v>0</v>
          </cell>
          <cell r="G1240">
            <v>0</v>
          </cell>
          <cell r="H1240">
            <v>0</v>
          </cell>
          <cell r="I1240">
            <v>0</v>
          </cell>
          <cell r="J1240">
            <v>0</v>
          </cell>
          <cell r="K1240">
            <v>0</v>
          </cell>
        </row>
        <row r="1241">
          <cell r="A1241">
            <v>610422</v>
          </cell>
          <cell r="B1241" t="str">
            <v>OTROS MARKETING</v>
          </cell>
          <cell r="C1241">
            <v>0</v>
          </cell>
          <cell r="D1241">
            <v>0</v>
          </cell>
          <cell r="E1241">
            <v>0</v>
          </cell>
          <cell r="F1241">
            <v>0</v>
          </cell>
          <cell r="G1241">
            <v>0</v>
          </cell>
          <cell r="H1241">
            <v>0</v>
          </cell>
          <cell r="I1241">
            <v>0</v>
          </cell>
          <cell r="J1241">
            <v>0</v>
          </cell>
          <cell r="K1241">
            <v>0</v>
          </cell>
        </row>
        <row r="1242">
          <cell r="A1242">
            <v>610423</v>
          </cell>
          <cell r="B1242" t="str">
            <v>FIDELIZACION</v>
          </cell>
          <cell r="C1242">
            <v>6307441</v>
          </cell>
          <cell r="D1242">
            <v>7075366</v>
          </cell>
          <cell r="E1242">
            <v>0</v>
          </cell>
          <cell r="F1242">
            <v>767925</v>
          </cell>
          <cell r="G1242">
            <v>0</v>
          </cell>
          <cell r="H1242">
            <v>0</v>
          </cell>
          <cell r="I1242">
            <v>0</v>
          </cell>
          <cell r="J1242">
            <v>767925</v>
          </cell>
          <cell r="K1242">
            <v>-767925</v>
          </cell>
        </row>
        <row r="1243">
          <cell r="A1243">
            <v>610424</v>
          </cell>
          <cell r="B1243" t="str">
            <v>PROMOCIONES COMERCIALES</v>
          </cell>
          <cell r="C1243">
            <v>0</v>
          </cell>
          <cell r="D1243">
            <v>0</v>
          </cell>
          <cell r="E1243">
            <v>0</v>
          </cell>
          <cell r="F1243">
            <v>0</v>
          </cell>
          <cell r="G1243">
            <v>0</v>
          </cell>
          <cell r="H1243">
            <v>0</v>
          </cell>
          <cell r="I1243">
            <v>0</v>
          </cell>
          <cell r="J1243">
            <v>0</v>
          </cell>
          <cell r="K1243">
            <v>0</v>
          </cell>
        </row>
        <row r="1244">
          <cell r="A1244">
            <v>610425</v>
          </cell>
          <cell r="B1244" t="str">
            <v>DESARROLLO COMERCIAL CRED</v>
          </cell>
          <cell r="C1244">
            <v>17158102</v>
          </cell>
          <cell r="D1244">
            <v>0</v>
          </cell>
          <cell r="E1244">
            <v>17158102</v>
          </cell>
          <cell r="F1244">
            <v>0</v>
          </cell>
          <cell r="G1244">
            <v>0</v>
          </cell>
          <cell r="H1244">
            <v>0</v>
          </cell>
          <cell r="I1244">
            <v>17158102</v>
          </cell>
          <cell r="J1244">
            <v>0</v>
          </cell>
          <cell r="K1244">
            <v>17158102</v>
          </cell>
        </row>
        <row r="1245">
          <cell r="A1245">
            <v>610426</v>
          </cell>
          <cell r="B1245" t="str">
            <v>INCENTIVO AGENTES DIRECTO</v>
          </cell>
          <cell r="C1245">
            <v>0</v>
          </cell>
          <cell r="D1245">
            <v>0</v>
          </cell>
          <cell r="E1245">
            <v>0</v>
          </cell>
          <cell r="F1245">
            <v>0</v>
          </cell>
          <cell r="G1245">
            <v>0</v>
          </cell>
          <cell r="H1245">
            <v>0</v>
          </cell>
          <cell r="I1245">
            <v>0</v>
          </cell>
          <cell r="J1245">
            <v>0</v>
          </cell>
          <cell r="K1245">
            <v>0</v>
          </cell>
        </row>
        <row r="1246">
          <cell r="A1246">
            <v>610427</v>
          </cell>
          <cell r="B1246" t="str">
            <v>CALL CENTER</v>
          </cell>
          <cell r="C1246">
            <v>0</v>
          </cell>
          <cell r="D1246">
            <v>0</v>
          </cell>
          <cell r="E1246">
            <v>0</v>
          </cell>
          <cell r="F1246">
            <v>0</v>
          </cell>
          <cell r="G1246">
            <v>0</v>
          </cell>
          <cell r="H1246">
            <v>0</v>
          </cell>
          <cell r="I1246">
            <v>0</v>
          </cell>
          <cell r="J1246">
            <v>0</v>
          </cell>
          <cell r="K1246">
            <v>0</v>
          </cell>
        </row>
        <row r="1247">
          <cell r="A1247">
            <v>610428</v>
          </cell>
          <cell r="B1247" t="str">
            <v>FORMULARIOS</v>
          </cell>
          <cell r="C1247">
            <v>20547015</v>
          </cell>
          <cell r="D1247">
            <v>0</v>
          </cell>
          <cell r="E1247">
            <v>20547015</v>
          </cell>
          <cell r="F1247">
            <v>0</v>
          </cell>
          <cell r="G1247">
            <v>0</v>
          </cell>
          <cell r="H1247">
            <v>0</v>
          </cell>
          <cell r="I1247">
            <v>20547015</v>
          </cell>
          <cell r="J1247">
            <v>0</v>
          </cell>
          <cell r="K1247">
            <v>20547015</v>
          </cell>
        </row>
        <row r="1248">
          <cell r="A1248">
            <v>610429</v>
          </cell>
          <cell r="B1248" t="str">
            <v>TRASLADOS Y VIATICOS COME</v>
          </cell>
          <cell r="C1248">
            <v>28405373</v>
          </cell>
          <cell r="D1248">
            <v>1153936</v>
          </cell>
          <cell r="E1248">
            <v>27251437</v>
          </cell>
          <cell r="F1248">
            <v>0</v>
          </cell>
          <cell r="G1248">
            <v>0</v>
          </cell>
          <cell r="H1248">
            <v>0</v>
          </cell>
          <cell r="I1248">
            <v>27251437</v>
          </cell>
          <cell r="J1248">
            <v>0</v>
          </cell>
          <cell r="K1248">
            <v>27251437</v>
          </cell>
        </row>
        <row r="1249">
          <cell r="A1249">
            <v>610430</v>
          </cell>
          <cell r="B1249" t="str">
            <v>ESTADIAS COMERCIAL</v>
          </cell>
          <cell r="C1249">
            <v>5996826</v>
          </cell>
          <cell r="D1249">
            <v>1</v>
          </cell>
          <cell r="E1249">
            <v>5996825</v>
          </cell>
          <cell r="F1249">
            <v>0</v>
          </cell>
          <cell r="G1249">
            <v>0</v>
          </cell>
          <cell r="H1249">
            <v>0</v>
          </cell>
          <cell r="I1249">
            <v>5996825</v>
          </cell>
          <cell r="J1249">
            <v>0</v>
          </cell>
          <cell r="K1249">
            <v>5996825</v>
          </cell>
        </row>
        <row r="1250">
          <cell r="A1250">
            <v>610431</v>
          </cell>
          <cell r="B1250" t="str">
            <v>GASTOS DE REPRESENTACION</v>
          </cell>
          <cell r="C1250">
            <v>10057336</v>
          </cell>
          <cell r="D1250">
            <v>43488</v>
          </cell>
          <cell r="E1250">
            <v>10013848</v>
          </cell>
          <cell r="F1250">
            <v>0</v>
          </cell>
          <cell r="G1250">
            <v>0</v>
          </cell>
          <cell r="H1250">
            <v>0</v>
          </cell>
          <cell r="I1250">
            <v>10013848</v>
          </cell>
          <cell r="J1250">
            <v>0</v>
          </cell>
          <cell r="K1250">
            <v>10013848</v>
          </cell>
        </row>
        <row r="1251">
          <cell r="A1251">
            <v>610432</v>
          </cell>
          <cell r="B1251" t="str">
            <v>CAMPAÑAS Y ACCIONES WEB</v>
          </cell>
          <cell r="C1251">
            <v>0</v>
          </cell>
          <cell r="D1251">
            <v>0</v>
          </cell>
          <cell r="E1251">
            <v>0</v>
          </cell>
          <cell r="F1251">
            <v>0</v>
          </cell>
          <cell r="G1251">
            <v>0</v>
          </cell>
          <cell r="H1251">
            <v>0</v>
          </cell>
          <cell r="I1251">
            <v>0</v>
          </cell>
          <cell r="J1251">
            <v>0</v>
          </cell>
          <cell r="K1251">
            <v>0</v>
          </cell>
        </row>
        <row r="1252">
          <cell r="A1252">
            <v>610433</v>
          </cell>
          <cell r="B1252" t="str">
            <v>FIDELIZACION AGENTES RV</v>
          </cell>
          <cell r="C1252">
            <v>63155567</v>
          </cell>
          <cell r="D1252">
            <v>0</v>
          </cell>
          <cell r="E1252">
            <v>63155567</v>
          </cell>
          <cell r="F1252">
            <v>0</v>
          </cell>
          <cell r="G1252">
            <v>0</v>
          </cell>
          <cell r="H1252">
            <v>0</v>
          </cell>
          <cell r="I1252">
            <v>63155567</v>
          </cell>
          <cell r="J1252">
            <v>0</v>
          </cell>
          <cell r="K1252">
            <v>63155567</v>
          </cell>
        </row>
        <row r="1253">
          <cell r="A1253">
            <v>610501</v>
          </cell>
          <cell r="B1253" t="str">
            <v>REMODELACIONES OFICINAS</v>
          </cell>
          <cell r="C1253">
            <v>58647057</v>
          </cell>
          <cell r="D1253">
            <v>0</v>
          </cell>
          <cell r="E1253">
            <v>58647057</v>
          </cell>
          <cell r="F1253">
            <v>0</v>
          </cell>
          <cell r="G1253">
            <v>0</v>
          </cell>
          <cell r="H1253">
            <v>0</v>
          </cell>
          <cell r="I1253">
            <v>58647057</v>
          </cell>
          <cell r="J1253">
            <v>0</v>
          </cell>
          <cell r="K1253">
            <v>58647057</v>
          </cell>
        </row>
        <row r="1254">
          <cell r="A1254">
            <v>610502</v>
          </cell>
          <cell r="B1254" t="str">
            <v>MANTENCION DE OFICINAS</v>
          </cell>
          <cell r="C1254">
            <v>86279855</v>
          </cell>
          <cell r="D1254">
            <v>9023896</v>
          </cell>
          <cell r="E1254">
            <v>77255959</v>
          </cell>
          <cell r="F1254">
            <v>0</v>
          </cell>
          <cell r="G1254">
            <v>0</v>
          </cell>
          <cell r="H1254">
            <v>0</v>
          </cell>
          <cell r="I1254">
            <v>77255959</v>
          </cell>
          <cell r="J1254">
            <v>0</v>
          </cell>
          <cell r="K1254">
            <v>77255959</v>
          </cell>
        </row>
        <row r="1255">
          <cell r="A1255">
            <v>610503</v>
          </cell>
          <cell r="B1255" t="str">
            <v>MANTENCION EQUIPOS</v>
          </cell>
          <cell r="C1255">
            <v>1234382</v>
          </cell>
          <cell r="D1255">
            <v>0</v>
          </cell>
          <cell r="E1255">
            <v>1234382</v>
          </cell>
          <cell r="F1255">
            <v>0</v>
          </cell>
          <cell r="G1255">
            <v>0</v>
          </cell>
          <cell r="H1255">
            <v>0</v>
          </cell>
          <cell r="I1255">
            <v>1234382</v>
          </cell>
          <cell r="J1255">
            <v>0</v>
          </cell>
          <cell r="K1255">
            <v>1234382</v>
          </cell>
        </row>
        <row r="1256">
          <cell r="A1256">
            <v>610504</v>
          </cell>
          <cell r="B1256" t="str">
            <v>REMODELACION SUCURSALES</v>
          </cell>
          <cell r="C1256">
            <v>60741270</v>
          </cell>
          <cell r="D1256">
            <v>678760</v>
          </cell>
          <cell r="E1256">
            <v>60062510</v>
          </cell>
          <cell r="F1256">
            <v>0</v>
          </cell>
          <cell r="G1256">
            <v>0</v>
          </cell>
          <cell r="H1256">
            <v>0</v>
          </cell>
          <cell r="I1256">
            <v>60062510</v>
          </cell>
          <cell r="J1256">
            <v>0</v>
          </cell>
          <cell r="K1256">
            <v>60062510</v>
          </cell>
        </row>
        <row r="1257">
          <cell r="A1257">
            <v>610601</v>
          </cell>
          <cell r="B1257" t="str">
            <v>CUSTODIA Y MANTENCION DE</v>
          </cell>
          <cell r="C1257">
            <v>67547667</v>
          </cell>
          <cell r="D1257">
            <v>0</v>
          </cell>
          <cell r="E1257">
            <v>67547667</v>
          </cell>
          <cell r="F1257">
            <v>0</v>
          </cell>
          <cell r="G1257">
            <v>0</v>
          </cell>
          <cell r="H1257">
            <v>0</v>
          </cell>
          <cell r="I1257">
            <v>67547667</v>
          </cell>
          <cell r="J1257">
            <v>0</v>
          </cell>
          <cell r="K1257">
            <v>67547667</v>
          </cell>
        </row>
        <row r="1258">
          <cell r="A1258">
            <v>610602</v>
          </cell>
          <cell r="B1258" t="str">
            <v>CORREDORES DE INVERSIONES</v>
          </cell>
          <cell r="C1258">
            <v>83805820</v>
          </cell>
          <cell r="D1258">
            <v>0</v>
          </cell>
          <cell r="E1258">
            <v>83805820</v>
          </cell>
          <cell r="F1258">
            <v>0</v>
          </cell>
          <cell r="G1258">
            <v>0</v>
          </cell>
          <cell r="H1258">
            <v>0</v>
          </cell>
          <cell r="I1258">
            <v>83805820</v>
          </cell>
          <cell r="J1258">
            <v>0</v>
          </cell>
          <cell r="K1258">
            <v>83805820</v>
          </cell>
        </row>
        <row r="1259">
          <cell r="A1259">
            <v>610603</v>
          </cell>
          <cell r="B1259" t="str">
            <v>GASTOS ENDOSO MUTUOS</v>
          </cell>
          <cell r="C1259">
            <v>11381972</v>
          </cell>
          <cell r="D1259">
            <v>0</v>
          </cell>
          <cell r="E1259">
            <v>11381972</v>
          </cell>
          <cell r="F1259">
            <v>0</v>
          </cell>
          <cell r="G1259">
            <v>0</v>
          </cell>
          <cell r="H1259">
            <v>0</v>
          </cell>
          <cell r="I1259">
            <v>11381972</v>
          </cell>
          <cell r="J1259">
            <v>0</v>
          </cell>
          <cell r="K1259">
            <v>11381972</v>
          </cell>
        </row>
        <row r="1260">
          <cell r="A1260">
            <v>610604</v>
          </cell>
          <cell r="B1260" t="str">
            <v>ADMINISTRACION MUTUOS HIP</v>
          </cell>
          <cell r="C1260">
            <v>310037588</v>
          </cell>
          <cell r="D1260">
            <v>0</v>
          </cell>
          <cell r="E1260">
            <v>310037588</v>
          </cell>
          <cell r="F1260">
            <v>0</v>
          </cell>
          <cell r="G1260">
            <v>0</v>
          </cell>
          <cell r="H1260">
            <v>0</v>
          </cell>
          <cell r="I1260">
            <v>310037588</v>
          </cell>
          <cell r="J1260">
            <v>0</v>
          </cell>
          <cell r="K1260">
            <v>310037588</v>
          </cell>
        </row>
        <row r="1261">
          <cell r="A1261">
            <v>610605</v>
          </cell>
          <cell r="B1261" t="str">
            <v>ARRIENDO TERMINAL BOLSA</v>
          </cell>
          <cell r="C1261">
            <v>62056906</v>
          </cell>
          <cell r="D1261">
            <v>324184</v>
          </cell>
          <cell r="E1261">
            <v>61732722</v>
          </cell>
          <cell r="F1261">
            <v>0</v>
          </cell>
          <cell r="G1261">
            <v>0</v>
          </cell>
          <cell r="H1261">
            <v>0</v>
          </cell>
          <cell r="I1261">
            <v>61732722</v>
          </cell>
          <cell r="J1261">
            <v>0</v>
          </cell>
          <cell r="K1261">
            <v>61732722</v>
          </cell>
        </row>
        <row r="1262">
          <cell r="A1262">
            <v>610606</v>
          </cell>
          <cell r="B1262" t="str">
            <v>ASESORIA EN INVERSIONES</v>
          </cell>
          <cell r="C1262">
            <v>42844060</v>
          </cell>
          <cell r="D1262">
            <v>0</v>
          </cell>
          <cell r="E1262">
            <v>42844060</v>
          </cell>
          <cell r="F1262">
            <v>0</v>
          </cell>
          <cell r="G1262">
            <v>0</v>
          </cell>
          <cell r="H1262">
            <v>0</v>
          </cell>
          <cell r="I1262">
            <v>42844060</v>
          </cell>
          <cell r="J1262">
            <v>0</v>
          </cell>
          <cell r="K1262">
            <v>42844060</v>
          </cell>
        </row>
        <row r="1263">
          <cell r="A1263">
            <v>610607</v>
          </cell>
          <cell r="B1263" t="str">
            <v>GASTOS BANCARIOS</v>
          </cell>
          <cell r="C1263">
            <v>147880157</v>
          </cell>
          <cell r="D1263">
            <v>113036</v>
          </cell>
          <cell r="E1263">
            <v>147767121</v>
          </cell>
          <cell r="F1263">
            <v>0</v>
          </cell>
          <cell r="G1263">
            <v>0</v>
          </cell>
          <cell r="H1263">
            <v>0</v>
          </cell>
          <cell r="I1263">
            <v>147767121</v>
          </cell>
          <cell r="J1263">
            <v>0</v>
          </cell>
          <cell r="K1263">
            <v>147767121</v>
          </cell>
        </row>
        <row r="1264">
          <cell r="A1264">
            <v>610608</v>
          </cell>
          <cell r="B1264" t="str">
            <v>INTERES E IMPTO. SOBREGIR</v>
          </cell>
          <cell r="C1264">
            <v>24471258</v>
          </cell>
          <cell r="D1264">
            <v>0</v>
          </cell>
          <cell r="E1264">
            <v>24471258</v>
          </cell>
          <cell r="F1264">
            <v>0</v>
          </cell>
          <cell r="G1264">
            <v>0</v>
          </cell>
          <cell r="H1264">
            <v>0</v>
          </cell>
          <cell r="I1264">
            <v>24471258</v>
          </cell>
          <cell r="J1264">
            <v>0</v>
          </cell>
          <cell r="K1264">
            <v>24471258</v>
          </cell>
        </row>
        <row r="1265">
          <cell r="A1265">
            <v>610609</v>
          </cell>
          <cell r="B1265" t="str">
            <v>GASTOS TASACIONES</v>
          </cell>
          <cell r="C1265">
            <v>0</v>
          </cell>
          <cell r="D1265">
            <v>0</v>
          </cell>
          <cell r="E1265">
            <v>0</v>
          </cell>
          <cell r="F1265">
            <v>0</v>
          </cell>
          <cell r="G1265">
            <v>0</v>
          </cell>
          <cell r="H1265">
            <v>0</v>
          </cell>
          <cell r="I1265">
            <v>0</v>
          </cell>
          <cell r="J1265">
            <v>0</v>
          </cell>
          <cell r="K1265">
            <v>0</v>
          </cell>
        </row>
        <row r="1266">
          <cell r="A1266">
            <v>610610</v>
          </cell>
          <cell r="B1266" t="str">
            <v>GASTOS DE LICITACION</v>
          </cell>
          <cell r="C1266">
            <v>0</v>
          </cell>
          <cell r="D1266">
            <v>0</v>
          </cell>
          <cell r="E1266">
            <v>0</v>
          </cell>
          <cell r="F1266">
            <v>0</v>
          </cell>
          <cell r="G1266">
            <v>0</v>
          </cell>
          <cell r="H1266">
            <v>0</v>
          </cell>
          <cell r="I1266">
            <v>0</v>
          </cell>
          <cell r="J1266">
            <v>0</v>
          </cell>
          <cell r="K1266">
            <v>0</v>
          </cell>
        </row>
        <row r="1267">
          <cell r="A1267">
            <v>610612</v>
          </cell>
          <cell r="B1267" t="str">
            <v>ASESORIA BANCO BICE</v>
          </cell>
          <cell r="C1267">
            <v>0</v>
          </cell>
          <cell r="D1267">
            <v>0</v>
          </cell>
          <cell r="E1267">
            <v>0</v>
          </cell>
          <cell r="F1267">
            <v>0</v>
          </cell>
          <cell r="G1267">
            <v>0</v>
          </cell>
          <cell r="H1267">
            <v>0</v>
          </cell>
          <cell r="I1267">
            <v>0</v>
          </cell>
          <cell r="J1267">
            <v>0</v>
          </cell>
          <cell r="K1267">
            <v>0</v>
          </cell>
        </row>
        <row r="1268">
          <cell r="A1268">
            <v>610613</v>
          </cell>
          <cell r="B1268" t="str">
            <v>ARRIENDO CAJERO AUTOMATIC</v>
          </cell>
          <cell r="C1268">
            <v>0</v>
          </cell>
          <cell r="D1268">
            <v>0</v>
          </cell>
          <cell r="E1268">
            <v>0</v>
          </cell>
          <cell r="F1268">
            <v>0</v>
          </cell>
          <cell r="G1268">
            <v>0</v>
          </cell>
          <cell r="H1268">
            <v>0</v>
          </cell>
          <cell r="I1268">
            <v>0</v>
          </cell>
          <cell r="J1268">
            <v>0</v>
          </cell>
          <cell r="K1268">
            <v>0</v>
          </cell>
        </row>
        <row r="1269">
          <cell r="A1269">
            <v>610614</v>
          </cell>
          <cell r="B1269" t="str">
            <v>GASTOS DE COBRANZA JUDICI</v>
          </cell>
          <cell r="C1269">
            <v>0</v>
          </cell>
          <cell r="D1269">
            <v>0</v>
          </cell>
          <cell r="E1269">
            <v>0</v>
          </cell>
          <cell r="F1269">
            <v>0</v>
          </cell>
          <cell r="G1269">
            <v>0</v>
          </cell>
          <cell r="H1269">
            <v>0</v>
          </cell>
          <cell r="I1269">
            <v>0</v>
          </cell>
          <cell r="J1269">
            <v>0</v>
          </cell>
          <cell r="K1269">
            <v>0</v>
          </cell>
        </row>
        <row r="1270">
          <cell r="A1270">
            <v>610615</v>
          </cell>
          <cell r="B1270" t="str">
            <v>GASTOS POR MUTUOS HIPOTEC</v>
          </cell>
          <cell r="C1270">
            <v>189435680</v>
          </cell>
          <cell r="D1270">
            <v>33630</v>
          </cell>
          <cell r="E1270">
            <v>189402050</v>
          </cell>
          <cell r="F1270">
            <v>0</v>
          </cell>
          <cell r="G1270">
            <v>0</v>
          </cell>
          <cell r="H1270">
            <v>0</v>
          </cell>
          <cell r="I1270">
            <v>189402050</v>
          </cell>
          <cell r="J1270">
            <v>0</v>
          </cell>
          <cell r="K1270">
            <v>189402050</v>
          </cell>
        </row>
        <row r="1271">
          <cell r="A1271">
            <v>610701</v>
          </cell>
          <cell r="B1271" t="str">
            <v>MATERIALES Y UTILES DE OF</v>
          </cell>
          <cell r="C1271">
            <v>51998349</v>
          </cell>
          <cell r="D1271">
            <v>930419</v>
          </cell>
          <cell r="E1271">
            <v>51067930</v>
          </cell>
          <cell r="F1271">
            <v>0</v>
          </cell>
          <cell r="G1271">
            <v>0</v>
          </cell>
          <cell r="H1271">
            <v>0</v>
          </cell>
          <cell r="I1271">
            <v>51067930</v>
          </cell>
          <cell r="J1271">
            <v>0</v>
          </cell>
          <cell r="K1271">
            <v>51067930</v>
          </cell>
        </row>
        <row r="1272">
          <cell r="A1272">
            <v>610702</v>
          </cell>
          <cell r="B1272" t="str">
            <v>SUMINISTROS DE OFICINAS</v>
          </cell>
          <cell r="C1272">
            <v>2189656</v>
          </cell>
          <cell r="D1272">
            <v>14136</v>
          </cell>
          <cell r="E1272">
            <v>2175520</v>
          </cell>
          <cell r="F1272">
            <v>0</v>
          </cell>
          <cell r="G1272">
            <v>0</v>
          </cell>
          <cell r="H1272">
            <v>0</v>
          </cell>
          <cell r="I1272">
            <v>2175520</v>
          </cell>
          <cell r="J1272">
            <v>0</v>
          </cell>
          <cell r="K1272">
            <v>2175520</v>
          </cell>
        </row>
        <row r="1273">
          <cell r="A1273">
            <v>610703</v>
          </cell>
          <cell r="B1273" t="str">
            <v>FOTOCOPIAS</v>
          </cell>
          <cell r="C1273">
            <v>138970</v>
          </cell>
          <cell r="D1273">
            <v>0</v>
          </cell>
          <cell r="E1273">
            <v>138970</v>
          </cell>
          <cell r="F1273">
            <v>0</v>
          </cell>
          <cell r="G1273">
            <v>0</v>
          </cell>
          <cell r="H1273">
            <v>0</v>
          </cell>
          <cell r="I1273">
            <v>138970</v>
          </cell>
          <cell r="J1273">
            <v>0</v>
          </cell>
          <cell r="K1273">
            <v>138970</v>
          </cell>
        </row>
        <row r="1274">
          <cell r="A1274">
            <v>610704</v>
          </cell>
          <cell r="B1274" t="str">
            <v>CORRESPONDENCIAS</v>
          </cell>
          <cell r="C1274">
            <v>28092447</v>
          </cell>
          <cell r="D1274">
            <v>0</v>
          </cell>
          <cell r="E1274">
            <v>28092447</v>
          </cell>
          <cell r="F1274">
            <v>0</v>
          </cell>
          <cell r="G1274">
            <v>0</v>
          </cell>
          <cell r="H1274">
            <v>0</v>
          </cell>
          <cell r="I1274">
            <v>28092447</v>
          </cell>
          <cell r="J1274">
            <v>0</v>
          </cell>
          <cell r="K1274">
            <v>28092447</v>
          </cell>
        </row>
        <row r="1275">
          <cell r="A1275">
            <v>610705</v>
          </cell>
          <cell r="B1275" t="str">
            <v>MOVILIZACION</v>
          </cell>
          <cell r="C1275">
            <v>25044898</v>
          </cell>
          <cell r="D1275">
            <v>0</v>
          </cell>
          <cell r="E1275">
            <v>25044898</v>
          </cell>
          <cell r="F1275">
            <v>0</v>
          </cell>
          <cell r="G1275">
            <v>0</v>
          </cell>
          <cell r="H1275">
            <v>0</v>
          </cell>
          <cell r="I1275">
            <v>25044898</v>
          </cell>
          <cell r="J1275">
            <v>0</v>
          </cell>
          <cell r="K1275">
            <v>25044898</v>
          </cell>
        </row>
        <row r="1276">
          <cell r="A1276">
            <v>610706</v>
          </cell>
          <cell r="B1276" t="str">
            <v>SUSCRIPCION DIARIOS Y REV</v>
          </cell>
          <cell r="C1276">
            <v>1980993</v>
          </cell>
          <cell r="D1276">
            <v>0</v>
          </cell>
          <cell r="E1276">
            <v>1980993</v>
          </cell>
          <cell r="F1276">
            <v>0</v>
          </cell>
          <cell r="G1276">
            <v>0</v>
          </cell>
          <cell r="H1276">
            <v>0</v>
          </cell>
          <cell r="I1276">
            <v>1980993</v>
          </cell>
          <cell r="J1276">
            <v>0</v>
          </cell>
          <cell r="K1276">
            <v>1980993</v>
          </cell>
        </row>
        <row r="1277">
          <cell r="A1277">
            <v>610707</v>
          </cell>
          <cell r="B1277" t="str">
            <v>SEGUROS ACTIVOS FIJOS</v>
          </cell>
          <cell r="C1277">
            <v>35433227</v>
          </cell>
          <cell r="D1277">
            <v>656764</v>
          </cell>
          <cell r="E1277">
            <v>34776463</v>
          </cell>
          <cell r="F1277">
            <v>0</v>
          </cell>
          <cell r="G1277">
            <v>0</v>
          </cell>
          <cell r="H1277">
            <v>0</v>
          </cell>
          <cell r="I1277">
            <v>34776463</v>
          </cell>
          <cell r="J1277">
            <v>0</v>
          </cell>
          <cell r="K1277">
            <v>34776463</v>
          </cell>
        </row>
        <row r="1278">
          <cell r="A1278">
            <v>610708</v>
          </cell>
          <cell r="B1278" t="str">
            <v>FLETES Y MUDANZAS</v>
          </cell>
          <cell r="C1278">
            <v>1391623</v>
          </cell>
          <cell r="D1278">
            <v>0</v>
          </cell>
          <cell r="E1278">
            <v>1391623</v>
          </cell>
          <cell r="F1278">
            <v>0</v>
          </cell>
          <cell r="G1278">
            <v>0</v>
          </cell>
          <cell r="H1278">
            <v>0</v>
          </cell>
          <cell r="I1278">
            <v>1391623</v>
          </cell>
          <cell r="J1278">
            <v>0</v>
          </cell>
          <cell r="K1278">
            <v>1391623</v>
          </cell>
        </row>
        <row r="1279">
          <cell r="A1279">
            <v>610709</v>
          </cell>
          <cell r="B1279" t="str">
            <v>TELEFONIA Y COMUNICACIONE</v>
          </cell>
          <cell r="C1279">
            <v>15050</v>
          </cell>
          <cell r="D1279">
            <v>0</v>
          </cell>
          <cell r="E1279">
            <v>15050</v>
          </cell>
          <cell r="F1279">
            <v>0</v>
          </cell>
          <cell r="G1279">
            <v>0</v>
          </cell>
          <cell r="H1279">
            <v>0</v>
          </cell>
          <cell r="I1279">
            <v>15050</v>
          </cell>
          <cell r="J1279">
            <v>0</v>
          </cell>
          <cell r="K1279">
            <v>15050</v>
          </cell>
        </row>
        <row r="1280">
          <cell r="A1280">
            <v>610710</v>
          </cell>
          <cell r="B1280" t="str">
            <v>CONSUMO ELECTRICIDAD</v>
          </cell>
          <cell r="C1280">
            <v>70116343</v>
          </cell>
          <cell r="D1280">
            <v>192</v>
          </cell>
          <cell r="E1280">
            <v>70116151</v>
          </cell>
          <cell r="F1280">
            <v>0</v>
          </cell>
          <cell r="G1280">
            <v>0</v>
          </cell>
          <cell r="H1280">
            <v>0</v>
          </cell>
          <cell r="I1280">
            <v>70116151</v>
          </cell>
          <cell r="J1280">
            <v>0</v>
          </cell>
          <cell r="K1280">
            <v>70116151</v>
          </cell>
        </row>
        <row r="1281">
          <cell r="A1281">
            <v>610711</v>
          </cell>
          <cell r="B1281" t="str">
            <v>CONSUMO DE AGUA POTABLE</v>
          </cell>
          <cell r="C1281">
            <v>9107186</v>
          </cell>
          <cell r="D1281">
            <v>1</v>
          </cell>
          <cell r="E1281">
            <v>9107185</v>
          </cell>
          <cell r="F1281">
            <v>0</v>
          </cell>
          <cell r="G1281">
            <v>0</v>
          </cell>
          <cell r="H1281">
            <v>0</v>
          </cell>
          <cell r="I1281">
            <v>9107185</v>
          </cell>
          <cell r="J1281">
            <v>0</v>
          </cell>
          <cell r="K1281">
            <v>9107185</v>
          </cell>
        </row>
        <row r="1282">
          <cell r="A1282">
            <v>610712</v>
          </cell>
          <cell r="B1282" t="str">
            <v>SEGUROS VEHICULOS</v>
          </cell>
          <cell r="C1282">
            <v>0</v>
          </cell>
          <cell r="D1282">
            <v>0</v>
          </cell>
          <cell r="E1282">
            <v>0</v>
          </cell>
          <cell r="F1282">
            <v>0</v>
          </cell>
          <cell r="G1282">
            <v>0</v>
          </cell>
          <cell r="H1282">
            <v>0</v>
          </cell>
          <cell r="I1282">
            <v>0</v>
          </cell>
          <cell r="J1282">
            <v>0</v>
          </cell>
          <cell r="K1282">
            <v>0</v>
          </cell>
        </row>
        <row r="1283">
          <cell r="A1283">
            <v>610713</v>
          </cell>
          <cell r="B1283" t="str">
            <v>ASEO Y ORNATO</v>
          </cell>
          <cell r="C1283">
            <v>73227341</v>
          </cell>
          <cell r="D1283">
            <v>0</v>
          </cell>
          <cell r="E1283">
            <v>73227341</v>
          </cell>
          <cell r="F1283">
            <v>0</v>
          </cell>
          <cell r="G1283">
            <v>0</v>
          </cell>
          <cell r="H1283">
            <v>0</v>
          </cell>
          <cell r="I1283">
            <v>73227341</v>
          </cell>
          <cell r="J1283">
            <v>0</v>
          </cell>
          <cell r="K1283">
            <v>73227341</v>
          </cell>
        </row>
        <row r="1284">
          <cell r="A1284">
            <v>610714</v>
          </cell>
          <cell r="B1284" t="str">
            <v>VALIJAS</v>
          </cell>
          <cell r="C1284">
            <v>19499510</v>
          </cell>
          <cell r="D1284">
            <v>0</v>
          </cell>
          <cell r="E1284">
            <v>19499510</v>
          </cell>
          <cell r="F1284">
            <v>0</v>
          </cell>
          <cell r="G1284">
            <v>0</v>
          </cell>
          <cell r="H1284">
            <v>0</v>
          </cell>
          <cell r="I1284">
            <v>19499510</v>
          </cell>
          <cell r="J1284">
            <v>0</v>
          </cell>
          <cell r="K1284">
            <v>19499510</v>
          </cell>
        </row>
        <row r="1285">
          <cell r="A1285">
            <v>610715</v>
          </cell>
          <cell r="B1285" t="str">
            <v>EMPASTES Y ENCUADERNACION</v>
          </cell>
          <cell r="C1285">
            <v>18849</v>
          </cell>
          <cell r="D1285">
            <v>0</v>
          </cell>
          <cell r="E1285">
            <v>18849</v>
          </cell>
          <cell r="F1285">
            <v>0</v>
          </cell>
          <cell r="G1285">
            <v>0</v>
          </cell>
          <cell r="H1285">
            <v>0</v>
          </cell>
          <cell r="I1285">
            <v>18849</v>
          </cell>
          <cell r="J1285">
            <v>0</v>
          </cell>
          <cell r="K1285">
            <v>18849</v>
          </cell>
        </row>
        <row r="1286">
          <cell r="A1286">
            <v>610716</v>
          </cell>
          <cell r="B1286" t="str">
            <v>ABARROTES Y ARTICULOS DE</v>
          </cell>
          <cell r="C1286">
            <v>21292840</v>
          </cell>
          <cell r="D1286">
            <v>0</v>
          </cell>
          <cell r="E1286">
            <v>21292840</v>
          </cell>
          <cell r="F1286">
            <v>0</v>
          </cell>
          <cell r="G1286">
            <v>0</v>
          </cell>
          <cell r="H1286">
            <v>0</v>
          </cell>
          <cell r="I1286">
            <v>21292840</v>
          </cell>
          <cell r="J1286">
            <v>0</v>
          </cell>
          <cell r="K1286">
            <v>21292840</v>
          </cell>
        </row>
        <row r="1287">
          <cell r="A1287">
            <v>610717</v>
          </cell>
          <cell r="B1287" t="str">
            <v>GASTOS GENERALES Y OTROS</v>
          </cell>
          <cell r="C1287">
            <v>1338700</v>
          </cell>
          <cell r="D1287">
            <v>13700</v>
          </cell>
          <cell r="E1287">
            <v>1325000</v>
          </cell>
          <cell r="F1287">
            <v>0</v>
          </cell>
          <cell r="G1287">
            <v>0</v>
          </cell>
          <cell r="H1287">
            <v>0</v>
          </cell>
          <cell r="I1287">
            <v>1325000</v>
          </cell>
          <cell r="J1287">
            <v>0</v>
          </cell>
          <cell r="K1287">
            <v>1325000</v>
          </cell>
        </row>
        <row r="1288">
          <cell r="A1288">
            <v>610718</v>
          </cell>
          <cell r="B1288" t="str">
            <v>RESEARCH</v>
          </cell>
          <cell r="C1288">
            <v>0</v>
          </cell>
          <cell r="D1288">
            <v>0</v>
          </cell>
          <cell r="E1288">
            <v>0</v>
          </cell>
          <cell r="F1288">
            <v>0</v>
          </cell>
          <cell r="G1288">
            <v>0</v>
          </cell>
          <cell r="H1288">
            <v>0</v>
          </cell>
          <cell r="I1288">
            <v>0</v>
          </cell>
          <cell r="J1288">
            <v>0</v>
          </cell>
          <cell r="K1288">
            <v>0</v>
          </cell>
        </row>
        <row r="1289">
          <cell r="A1289">
            <v>610719</v>
          </cell>
          <cell r="B1289" t="str">
            <v>VENTA DE ARTICULOS</v>
          </cell>
          <cell r="C1289">
            <v>1021049</v>
          </cell>
          <cell r="D1289">
            <v>1559713</v>
          </cell>
          <cell r="E1289">
            <v>0</v>
          </cell>
          <cell r="F1289">
            <v>538664</v>
          </cell>
          <cell r="G1289">
            <v>0</v>
          </cell>
          <cell r="H1289">
            <v>0</v>
          </cell>
          <cell r="I1289">
            <v>0</v>
          </cell>
          <cell r="J1289">
            <v>538664</v>
          </cell>
          <cell r="K1289">
            <v>-538664</v>
          </cell>
        </row>
        <row r="1290">
          <cell r="A1290">
            <v>610720</v>
          </cell>
          <cell r="B1290" t="str">
            <v>COSTO VENTA ARTICULOS</v>
          </cell>
          <cell r="C1290">
            <v>0</v>
          </cell>
          <cell r="D1290">
            <v>0</v>
          </cell>
          <cell r="E1290">
            <v>0</v>
          </cell>
          <cell r="F1290">
            <v>0</v>
          </cell>
          <cell r="G1290">
            <v>0</v>
          </cell>
          <cell r="H1290">
            <v>0</v>
          </cell>
          <cell r="I1290">
            <v>0</v>
          </cell>
          <cell r="J1290">
            <v>0</v>
          </cell>
          <cell r="K1290">
            <v>0</v>
          </cell>
        </row>
        <row r="1291">
          <cell r="A1291">
            <v>610721</v>
          </cell>
          <cell r="B1291" t="str">
            <v>VARIACION COSTO PROMEDIO</v>
          </cell>
          <cell r="C1291">
            <v>3063</v>
          </cell>
          <cell r="D1291">
            <v>325</v>
          </cell>
          <cell r="E1291">
            <v>2738</v>
          </cell>
          <cell r="F1291">
            <v>0</v>
          </cell>
          <cell r="G1291">
            <v>0</v>
          </cell>
          <cell r="H1291">
            <v>0</v>
          </cell>
          <cell r="I1291">
            <v>2738</v>
          </cell>
          <cell r="J1291">
            <v>0</v>
          </cell>
          <cell r="K1291">
            <v>2738</v>
          </cell>
        </row>
        <row r="1292">
          <cell r="A1292">
            <v>610723</v>
          </cell>
          <cell r="B1292" t="str">
            <v>INTERESES POR PAGO FUERA</v>
          </cell>
          <cell r="C1292">
            <v>0</v>
          </cell>
          <cell r="D1292">
            <v>0</v>
          </cell>
          <cell r="E1292">
            <v>0</v>
          </cell>
          <cell r="F1292">
            <v>0</v>
          </cell>
          <cell r="G1292">
            <v>0</v>
          </cell>
          <cell r="H1292">
            <v>0</v>
          </cell>
          <cell r="I1292">
            <v>0</v>
          </cell>
          <cell r="J1292">
            <v>0</v>
          </cell>
          <cell r="K1292">
            <v>0</v>
          </cell>
        </row>
        <row r="1293">
          <cell r="A1293">
            <v>610724</v>
          </cell>
          <cell r="B1293" t="str">
            <v>DONACIONES</v>
          </cell>
          <cell r="C1293">
            <v>0</v>
          </cell>
          <cell r="D1293">
            <v>0</v>
          </cell>
          <cell r="E1293">
            <v>0</v>
          </cell>
          <cell r="F1293">
            <v>0</v>
          </cell>
          <cell r="G1293">
            <v>0</v>
          </cell>
          <cell r="H1293">
            <v>0</v>
          </cell>
          <cell r="I1293">
            <v>0</v>
          </cell>
          <cell r="J1293">
            <v>0</v>
          </cell>
          <cell r="K1293">
            <v>0</v>
          </cell>
        </row>
        <row r="1294">
          <cell r="A1294">
            <v>610801</v>
          </cell>
          <cell r="B1294" t="str">
            <v>GASTOS POR IMPUESTOS</v>
          </cell>
          <cell r="C1294">
            <v>0</v>
          </cell>
          <cell r="D1294">
            <v>0</v>
          </cell>
          <cell r="E1294">
            <v>0</v>
          </cell>
          <cell r="F1294">
            <v>0</v>
          </cell>
          <cell r="G1294">
            <v>0</v>
          </cell>
          <cell r="H1294">
            <v>0</v>
          </cell>
          <cell r="I1294">
            <v>0</v>
          </cell>
          <cell r="J1294">
            <v>0</v>
          </cell>
          <cell r="K1294">
            <v>0</v>
          </cell>
        </row>
        <row r="1295">
          <cell r="A1295">
            <v>610803</v>
          </cell>
          <cell r="B1295" t="str">
            <v>IVA CREDITO NO RECUPERADO</v>
          </cell>
          <cell r="C1295">
            <v>699056111</v>
          </cell>
          <cell r="D1295">
            <v>5269590</v>
          </cell>
          <cell r="E1295">
            <v>693786521</v>
          </cell>
          <cell r="F1295">
            <v>0</v>
          </cell>
          <cell r="G1295">
            <v>0</v>
          </cell>
          <cell r="H1295">
            <v>0</v>
          </cell>
          <cell r="I1295">
            <v>693786521</v>
          </cell>
          <cell r="J1295">
            <v>0</v>
          </cell>
          <cell r="K1295">
            <v>693786521</v>
          </cell>
        </row>
        <row r="1296">
          <cell r="A1296">
            <v>610804</v>
          </cell>
          <cell r="B1296" t="str">
            <v>MULTAS S.I.I.</v>
          </cell>
          <cell r="C1296">
            <v>2118196</v>
          </cell>
          <cell r="D1296">
            <v>0</v>
          </cell>
          <cell r="E1296">
            <v>2118196</v>
          </cell>
          <cell r="F1296">
            <v>0</v>
          </cell>
          <cell r="G1296">
            <v>0</v>
          </cell>
          <cell r="H1296">
            <v>0</v>
          </cell>
          <cell r="I1296">
            <v>2118196</v>
          </cell>
          <cell r="J1296">
            <v>0</v>
          </cell>
          <cell r="K1296">
            <v>2118196</v>
          </cell>
        </row>
        <row r="1297">
          <cell r="A1297">
            <v>610806</v>
          </cell>
          <cell r="B1297" t="str">
            <v>IVA CREDITO NO RECUPERADO</v>
          </cell>
          <cell r="C1297">
            <v>0</v>
          </cell>
          <cell r="D1297">
            <v>0</v>
          </cell>
          <cell r="E1297">
            <v>0</v>
          </cell>
          <cell r="F1297">
            <v>0</v>
          </cell>
          <cell r="G1297">
            <v>0</v>
          </cell>
          <cell r="H1297">
            <v>0</v>
          </cell>
          <cell r="I1297">
            <v>0</v>
          </cell>
          <cell r="J1297">
            <v>0</v>
          </cell>
          <cell r="K1297">
            <v>0</v>
          </cell>
        </row>
        <row r="1298">
          <cell r="A1298">
            <v>610901</v>
          </cell>
          <cell r="B1298" t="str">
            <v>GASTOS SCOMP</v>
          </cell>
          <cell r="C1298">
            <v>17562801</v>
          </cell>
          <cell r="D1298">
            <v>0</v>
          </cell>
          <cell r="E1298">
            <v>17562801</v>
          </cell>
          <cell r="F1298">
            <v>0</v>
          </cell>
          <cell r="G1298">
            <v>0</v>
          </cell>
          <cell r="H1298">
            <v>0</v>
          </cell>
          <cell r="I1298">
            <v>17562801</v>
          </cell>
          <cell r="J1298">
            <v>0</v>
          </cell>
          <cell r="K1298">
            <v>17562801</v>
          </cell>
        </row>
        <row r="1299">
          <cell r="A1299">
            <v>610902</v>
          </cell>
          <cell r="B1299" t="str">
            <v>GASTOS ADMINISTRACION PEN</v>
          </cell>
          <cell r="C1299">
            <v>463808478</v>
          </cell>
          <cell r="D1299">
            <v>78985788</v>
          </cell>
          <cell r="E1299">
            <v>384822690</v>
          </cell>
          <cell r="F1299">
            <v>0</v>
          </cell>
          <cell r="G1299">
            <v>0</v>
          </cell>
          <cell r="H1299">
            <v>0</v>
          </cell>
          <cell r="I1299">
            <v>384822690</v>
          </cell>
          <cell r="J1299">
            <v>0</v>
          </cell>
          <cell r="K1299">
            <v>384822690</v>
          </cell>
        </row>
        <row r="1300">
          <cell r="A1300">
            <v>610903</v>
          </cell>
          <cell r="B1300" t="str">
            <v>GASTOS MEDICOS</v>
          </cell>
          <cell r="C1300">
            <v>6713844</v>
          </cell>
          <cell r="D1300">
            <v>139700</v>
          </cell>
          <cell r="E1300">
            <v>6574144</v>
          </cell>
          <cell r="F1300">
            <v>0</v>
          </cell>
          <cell r="G1300">
            <v>0</v>
          </cell>
          <cell r="H1300">
            <v>0</v>
          </cell>
          <cell r="I1300">
            <v>6574144</v>
          </cell>
          <cell r="J1300">
            <v>0</v>
          </cell>
          <cell r="K1300">
            <v>6574144</v>
          </cell>
        </row>
        <row r="1301">
          <cell r="A1301">
            <v>610905</v>
          </cell>
          <cell r="B1301" t="str">
            <v>MANTENCION Y LIQUIDACION</v>
          </cell>
          <cell r="C1301">
            <v>114721176</v>
          </cell>
          <cell r="D1301">
            <v>470000</v>
          </cell>
          <cell r="E1301">
            <v>114251176</v>
          </cell>
          <cell r="F1301">
            <v>0</v>
          </cell>
          <cell r="G1301">
            <v>0</v>
          </cell>
          <cell r="H1301">
            <v>0</v>
          </cell>
          <cell r="I1301">
            <v>114251176</v>
          </cell>
          <cell r="J1301">
            <v>0</v>
          </cell>
          <cell r="K1301">
            <v>114251176</v>
          </cell>
        </row>
        <row r="1302">
          <cell r="A1302">
            <v>610906</v>
          </cell>
          <cell r="B1302" t="str">
            <v>COMISION COBRANZA</v>
          </cell>
          <cell r="C1302">
            <v>50992160</v>
          </cell>
          <cell r="D1302">
            <v>265150</v>
          </cell>
          <cell r="E1302">
            <v>50727010</v>
          </cell>
          <cell r="F1302">
            <v>0</v>
          </cell>
          <cell r="G1302">
            <v>0</v>
          </cell>
          <cell r="H1302">
            <v>0</v>
          </cell>
          <cell r="I1302">
            <v>50727010</v>
          </cell>
          <cell r="J1302">
            <v>0</v>
          </cell>
          <cell r="K1302">
            <v>50727010</v>
          </cell>
        </row>
        <row r="1303">
          <cell r="A1303">
            <v>610911</v>
          </cell>
          <cell r="B1303" t="str">
            <v>GASTOS DEPTO. CREDITOS</v>
          </cell>
          <cell r="C1303">
            <v>33802004</v>
          </cell>
          <cell r="D1303">
            <v>0</v>
          </cell>
          <cell r="E1303">
            <v>33802004</v>
          </cell>
          <cell r="F1303">
            <v>0</v>
          </cell>
          <cell r="G1303">
            <v>0</v>
          </cell>
          <cell r="H1303">
            <v>0</v>
          </cell>
          <cell r="I1303">
            <v>33802004</v>
          </cell>
          <cell r="J1303">
            <v>0</v>
          </cell>
          <cell r="K1303">
            <v>33802004</v>
          </cell>
        </row>
        <row r="1304">
          <cell r="A1304">
            <v>610912</v>
          </cell>
          <cell r="B1304" t="str">
            <v>COMISION ADMINISTRACIÓN C</v>
          </cell>
          <cell r="C1304">
            <v>3065895015</v>
          </cell>
          <cell r="D1304">
            <v>9391558</v>
          </cell>
          <cell r="E1304">
            <v>3056503457</v>
          </cell>
          <cell r="F1304">
            <v>0</v>
          </cell>
          <cell r="G1304">
            <v>0</v>
          </cell>
          <cell r="H1304">
            <v>0</v>
          </cell>
          <cell r="I1304">
            <v>3056503457</v>
          </cell>
          <cell r="J1304">
            <v>0</v>
          </cell>
          <cell r="K1304">
            <v>3056503457</v>
          </cell>
        </row>
        <row r="1305">
          <cell r="A1305">
            <v>610913</v>
          </cell>
          <cell r="B1305" t="str">
            <v>COMISION INTERMEDIACION A</v>
          </cell>
          <cell r="C1305">
            <v>0</v>
          </cell>
          <cell r="D1305">
            <v>0</v>
          </cell>
          <cell r="E1305">
            <v>0</v>
          </cell>
          <cell r="F1305">
            <v>0</v>
          </cell>
          <cell r="G1305">
            <v>0</v>
          </cell>
          <cell r="H1305">
            <v>0</v>
          </cell>
          <cell r="I1305">
            <v>0</v>
          </cell>
          <cell r="J1305">
            <v>0</v>
          </cell>
          <cell r="K1305">
            <v>0</v>
          </cell>
        </row>
        <row r="1306">
          <cell r="A1306">
            <v>611001</v>
          </cell>
          <cell r="B1306" t="str">
            <v>AMORTIZACION PROYECTOS</v>
          </cell>
          <cell r="C1306">
            <v>0</v>
          </cell>
          <cell r="D1306">
            <v>0</v>
          </cell>
          <cell r="E1306">
            <v>0</v>
          </cell>
          <cell r="F1306">
            <v>0</v>
          </cell>
          <cell r="G1306">
            <v>0</v>
          </cell>
          <cell r="H1306">
            <v>0</v>
          </cell>
          <cell r="I1306">
            <v>0</v>
          </cell>
          <cell r="J1306">
            <v>0</v>
          </cell>
          <cell r="K1306">
            <v>0</v>
          </cell>
        </row>
        <row r="1307">
          <cell r="A1307">
            <v>611003</v>
          </cell>
          <cell r="B1307" t="str">
            <v>PERDIDA O UTILIDAD VTA AC</v>
          </cell>
          <cell r="C1307">
            <v>9189646</v>
          </cell>
          <cell r="D1307">
            <v>8482798</v>
          </cell>
          <cell r="E1307">
            <v>706848</v>
          </cell>
          <cell r="F1307">
            <v>0</v>
          </cell>
          <cell r="G1307">
            <v>0</v>
          </cell>
          <cell r="H1307">
            <v>0</v>
          </cell>
          <cell r="I1307">
            <v>706848</v>
          </cell>
          <cell r="J1307">
            <v>0</v>
          </cell>
          <cell r="K1307">
            <v>706848</v>
          </cell>
        </row>
        <row r="1308">
          <cell r="A1308">
            <v>611004</v>
          </cell>
          <cell r="B1308" t="str">
            <v>DEPRECIACION EDIFICIO</v>
          </cell>
          <cell r="C1308">
            <v>508792196</v>
          </cell>
          <cell r="D1308">
            <v>0</v>
          </cell>
          <cell r="E1308">
            <v>508792196</v>
          </cell>
          <cell r="F1308">
            <v>0</v>
          </cell>
          <cell r="G1308">
            <v>0</v>
          </cell>
          <cell r="H1308">
            <v>0</v>
          </cell>
          <cell r="I1308">
            <v>508792196</v>
          </cell>
          <cell r="J1308">
            <v>0</v>
          </cell>
          <cell r="K1308">
            <v>508792196</v>
          </cell>
        </row>
        <row r="1309">
          <cell r="A1309">
            <v>611005</v>
          </cell>
          <cell r="B1309" t="str">
            <v>DEPRECIACION MUEBLES Y UT</v>
          </cell>
          <cell r="C1309">
            <v>22910411</v>
          </cell>
          <cell r="D1309">
            <v>0</v>
          </cell>
          <cell r="E1309">
            <v>22910411</v>
          </cell>
          <cell r="F1309">
            <v>0</v>
          </cell>
          <cell r="G1309">
            <v>0</v>
          </cell>
          <cell r="H1309">
            <v>0</v>
          </cell>
          <cell r="I1309">
            <v>22910411</v>
          </cell>
          <cell r="J1309">
            <v>0</v>
          </cell>
          <cell r="K1309">
            <v>22910411</v>
          </cell>
        </row>
        <row r="1310">
          <cell r="A1310">
            <v>611006</v>
          </cell>
          <cell r="B1310" t="str">
            <v>DEPRECIACION MAQ Y EQUIPO</v>
          </cell>
          <cell r="C1310">
            <v>156578552</v>
          </cell>
          <cell r="D1310">
            <v>0</v>
          </cell>
          <cell r="E1310">
            <v>156578552</v>
          </cell>
          <cell r="F1310">
            <v>0</v>
          </cell>
          <cell r="G1310">
            <v>0</v>
          </cell>
          <cell r="H1310">
            <v>0</v>
          </cell>
          <cell r="I1310">
            <v>156578552</v>
          </cell>
          <cell r="J1310">
            <v>0</v>
          </cell>
          <cell r="K1310">
            <v>156578552</v>
          </cell>
        </row>
        <row r="1311">
          <cell r="A1311">
            <v>611007</v>
          </cell>
          <cell r="B1311" t="str">
            <v>DEPRECIACION VEHICULOS</v>
          </cell>
          <cell r="C1311">
            <v>1818467</v>
          </cell>
          <cell r="D1311">
            <v>0</v>
          </cell>
          <cell r="E1311">
            <v>1818467</v>
          </cell>
          <cell r="F1311">
            <v>0</v>
          </cell>
          <cell r="G1311">
            <v>0</v>
          </cell>
          <cell r="H1311">
            <v>0</v>
          </cell>
          <cell r="I1311">
            <v>1818467</v>
          </cell>
          <cell r="J1311">
            <v>0</v>
          </cell>
          <cell r="K1311">
            <v>1818467</v>
          </cell>
        </row>
        <row r="1312">
          <cell r="A1312">
            <v>611008</v>
          </cell>
          <cell r="B1312" t="str">
            <v>AMORTIZACION SOFTWARE</v>
          </cell>
          <cell r="C1312">
            <v>83581246</v>
          </cell>
          <cell r="D1312">
            <v>0</v>
          </cell>
          <cell r="E1312">
            <v>83581246</v>
          </cell>
          <cell r="F1312">
            <v>0</v>
          </cell>
          <cell r="G1312">
            <v>0</v>
          </cell>
          <cell r="H1312">
            <v>0</v>
          </cell>
          <cell r="I1312">
            <v>83581246</v>
          </cell>
          <cell r="J1312">
            <v>0</v>
          </cell>
          <cell r="K1312">
            <v>83581246</v>
          </cell>
        </row>
        <row r="1313">
          <cell r="A1313">
            <v>611011</v>
          </cell>
          <cell r="B1313" t="str">
            <v>PROV. DCTOS INCOBRABLES L</v>
          </cell>
          <cell r="C1313">
            <v>0</v>
          </cell>
          <cell r="D1313">
            <v>0</v>
          </cell>
          <cell r="E1313">
            <v>0</v>
          </cell>
          <cell r="F1313">
            <v>0</v>
          </cell>
          <cell r="G1313">
            <v>0</v>
          </cell>
          <cell r="H1313">
            <v>0</v>
          </cell>
          <cell r="I1313">
            <v>0</v>
          </cell>
          <cell r="J1313">
            <v>0</v>
          </cell>
          <cell r="K1313">
            <v>0</v>
          </cell>
        </row>
        <row r="1314">
          <cell r="A1314">
            <v>611012</v>
          </cell>
          <cell r="B1314" t="str">
            <v>MENOR VALOR BIENES RAICES</v>
          </cell>
          <cell r="C1314">
            <v>0</v>
          </cell>
          <cell r="D1314">
            <v>1114975</v>
          </cell>
          <cell r="E1314">
            <v>0</v>
          </cell>
          <cell r="F1314">
            <v>1114975</v>
          </cell>
          <cell r="G1314">
            <v>0</v>
          </cell>
          <cell r="H1314">
            <v>0</v>
          </cell>
          <cell r="I1314">
            <v>0</v>
          </cell>
          <cell r="J1314">
            <v>1114975</v>
          </cell>
          <cell r="K1314">
            <v>-1114975</v>
          </cell>
        </row>
        <row r="1315">
          <cell r="A1315">
            <v>611013</v>
          </cell>
          <cell r="B1315" t="str">
            <v>MENOR VALOR TASACION LEAS</v>
          </cell>
          <cell r="C1315">
            <v>84185836</v>
          </cell>
          <cell r="D1315">
            <v>234082417</v>
          </cell>
          <cell r="E1315">
            <v>0</v>
          </cell>
          <cell r="F1315">
            <v>149896581</v>
          </cell>
          <cell r="G1315">
            <v>0</v>
          </cell>
          <cell r="H1315">
            <v>0</v>
          </cell>
          <cell r="I1315">
            <v>0</v>
          </cell>
          <cell r="J1315">
            <v>149896581</v>
          </cell>
          <cell r="K1315">
            <v>-149896581</v>
          </cell>
        </row>
        <row r="1316">
          <cell r="A1316">
            <v>611014</v>
          </cell>
          <cell r="B1316" t="str">
            <v>PROV. LEASIN INCOBRABLES</v>
          </cell>
          <cell r="C1316">
            <v>12738790</v>
          </cell>
          <cell r="D1316">
            <v>52553822</v>
          </cell>
          <cell r="E1316">
            <v>0</v>
          </cell>
          <cell r="F1316">
            <v>39815032</v>
          </cell>
          <cell r="G1316">
            <v>0</v>
          </cell>
          <cell r="H1316">
            <v>0</v>
          </cell>
          <cell r="I1316">
            <v>0</v>
          </cell>
          <cell r="J1316">
            <v>39815032</v>
          </cell>
          <cell r="K1316">
            <v>-39815032</v>
          </cell>
        </row>
        <row r="1317">
          <cell r="A1317">
            <v>611015</v>
          </cell>
          <cell r="B1317" t="str">
            <v>PROV. OTRAS CTAS. POR COB</v>
          </cell>
          <cell r="C1317">
            <v>0</v>
          </cell>
          <cell r="D1317">
            <v>0</v>
          </cell>
          <cell r="E1317">
            <v>0</v>
          </cell>
          <cell r="F1317">
            <v>0</v>
          </cell>
          <cell r="G1317">
            <v>0</v>
          </cell>
          <cell r="H1317">
            <v>0</v>
          </cell>
          <cell r="I1317">
            <v>0</v>
          </cell>
          <cell r="J1317">
            <v>0</v>
          </cell>
          <cell r="K1317">
            <v>0</v>
          </cell>
        </row>
        <row r="1318">
          <cell r="A1318">
            <v>611016</v>
          </cell>
          <cell r="B1318" t="str">
            <v>PROV. ANTIC. COMIS. INCOB</v>
          </cell>
          <cell r="C1318">
            <v>1378881</v>
          </cell>
          <cell r="D1318">
            <v>158102</v>
          </cell>
          <cell r="E1318">
            <v>1220779</v>
          </cell>
          <cell r="F1318">
            <v>0</v>
          </cell>
          <cell r="G1318">
            <v>0</v>
          </cell>
          <cell r="H1318">
            <v>0</v>
          </cell>
          <cell r="I1318">
            <v>1220779</v>
          </cell>
          <cell r="J1318">
            <v>0</v>
          </cell>
          <cell r="K1318">
            <v>1220779</v>
          </cell>
        </row>
        <row r="1319">
          <cell r="A1319">
            <v>611017</v>
          </cell>
          <cell r="B1319" t="str">
            <v>PROV. DCTOS. INCOBRABLES</v>
          </cell>
          <cell r="C1319">
            <v>32846860</v>
          </cell>
          <cell r="D1319">
            <v>0</v>
          </cell>
          <cell r="E1319">
            <v>32846860</v>
          </cell>
          <cell r="F1319">
            <v>0</v>
          </cell>
          <cell r="G1319">
            <v>0</v>
          </cell>
          <cell r="H1319">
            <v>0</v>
          </cell>
          <cell r="I1319">
            <v>32846860</v>
          </cell>
          <cell r="J1319">
            <v>0</v>
          </cell>
          <cell r="K1319">
            <v>32846860</v>
          </cell>
        </row>
        <row r="1320">
          <cell r="A1320">
            <v>611020</v>
          </cell>
          <cell r="B1320" t="str">
            <v>PROVISION MENOR VALOR LEA</v>
          </cell>
          <cell r="C1320">
            <v>0</v>
          </cell>
          <cell r="D1320">
            <v>0</v>
          </cell>
          <cell r="E1320">
            <v>0</v>
          </cell>
          <cell r="F1320">
            <v>0</v>
          </cell>
          <cell r="G1320">
            <v>0</v>
          </cell>
          <cell r="H1320">
            <v>0</v>
          </cell>
          <cell r="I1320">
            <v>0</v>
          </cell>
          <cell r="J1320">
            <v>0</v>
          </cell>
          <cell r="K1320">
            <v>0</v>
          </cell>
        </row>
        <row r="1321">
          <cell r="A1321">
            <v>611021</v>
          </cell>
          <cell r="B1321" t="str">
            <v>AMORTIZACION LICENCIAS</v>
          </cell>
          <cell r="C1321">
            <v>0</v>
          </cell>
          <cell r="D1321">
            <v>0</v>
          </cell>
          <cell r="E1321">
            <v>0</v>
          </cell>
          <cell r="F1321">
            <v>0</v>
          </cell>
          <cell r="G1321">
            <v>0</v>
          </cell>
          <cell r="H1321">
            <v>0</v>
          </cell>
          <cell r="I1321">
            <v>0</v>
          </cell>
          <cell r="J1321">
            <v>0</v>
          </cell>
          <cell r="K1321">
            <v>0</v>
          </cell>
        </row>
        <row r="1322">
          <cell r="A1322">
            <v>611022</v>
          </cell>
          <cell r="B1322" t="str">
            <v>AMORTIZACION OTROS ACTIVO</v>
          </cell>
          <cell r="C1322">
            <v>0</v>
          </cell>
          <cell r="D1322">
            <v>0</v>
          </cell>
          <cell r="E1322">
            <v>0</v>
          </cell>
          <cell r="F1322">
            <v>0</v>
          </cell>
          <cell r="G1322">
            <v>0</v>
          </cell>
          <cell r="H1322">
            <v>0</v>
          </cell>
          <cell r="I1322">
            <v>0</v>
          </cell>
          <cell r="J1322">
            <v>0</v>
          </cell>
          <cell r="K1322">
            <v>0</v>
          </cell>
        </row>
        <row r="1323">
          <cell r="A1323">
            <v>611023</v>
          </cell>
          <cell r="B1323" t="str">
            <v>INTERESES ACTIVOS EN LEAS</v>
          </cell>
          <cell r="C1323">
            <v>0</v>
          </cell>
          <cell r="D1323">
            <v>0</v>
          </cell>
          <cell r="E1323">
            <v>0</v>
          </cell>
          <cell r="F1323">
            <v>0</v>
          </cell>
          <cell r="G1323">
            <v>0</v>
          </cell>
          <cell r="H1323">
            <v>0</v>
          </cell>
          <cell r="I1323">
            <v>0</v>
          </cell>
          <cell r="J1323">
            <v>0</v>
          </cell>
          <cell r="K1323">
            <v>0</v>
          </cell>
        </row>
        <row r="1324">
          <cell r="A1324">
            <v>611024</v>
          </cell>
          <cell r="B1324" t="str">
            <v>DEPRECIACION BIENES RAICE</v>
          </cell>
          <cell r="C1324">
            <v>44489654</v>
          </cell>
          <cell r="D1324">
            <v>0</v>
          </cell>
          <cell r="E1324">
            <v>44489654</v>
          </cell>
          <cell r="F1324">
            <v>0</v>
          </cell>
          <cell r="G1324">
            <v>0</v>
          </cell>
          <cell r="H1324">
            <v>0</v>
          </cell>
          <cell r="I1324">
            <v>44489654</v>
          </cell>
          <cell r="J1324">
            <v>0</v>
          </cell>
          <cell r="K1324">
            <v>44489654</v>
          </cell>
        </row>
        <row r="1325">
          <cell r="A1325">
            <v>611026</v>
          </cell>
          <cell r="B1325" t="str">
            <v>DETERIORO BIENES RAICES A</v>
          </cell>
          <cell r="C1325">
            <v>0</v>
          </cell>
          <cell r="D1325">
            <v>0</v>
          </cell>
          <cell r="E1325">
            <v>0</v>
          </cell>
          <cell r="F1325">
            <v>0</v>
          </cell>
          <cell r="G1325">
            <v>0</v>
          </cell>
          <cell r="H1325">
            <v>0</v>
          </cell>
          <cell r="I1325">
            <v>0</v>
          </cell>
          <cell r="J1325">
            <v>0</v>
          </cell>
          <cell r="K1325">
            <v>0</v>
          </cell>
        </row>
        <row r="1326">
          <cell r="A1326">
            <v>611027</v>
          </cell>
          <cell r="B1326" t="str">
            <v>MENOR VALOR B.R.A.</v>
          </cell>
          <cell r="C1326">
            <v>127389751</v>
          </cell>
          <cell r="D1326">
            <v>2321019</v>
          </cell>
          <cell r="E1326">
            <v>125068732</v>
          </cell>
          <cell r="F1326">
            <v>0</v>
          </cell>
          <cell r="G1326">
            <v>0</v>
          </cell>
          <cell r="H1326">
            <v>0</v>
          </cell>
          <cell r="I1326">
            <v>125068732</v>
          </cell>
          <cell r="J1326">
            <v>0</v>
          </cell>
          <cell r="K1326">
            <v>125068732</v>
          </cell>
        </row>
        <row r="1327">
          <cell r="A1327">
            <v>611050</v>
          </cell>
          <cell r="B1327" t="str">
            <v>GASTOS INMOBILIARIOS</v>
          </cell>
          <cell r="C1327">
            <v>0</v>
          </cell>
          <cell r="D1327">
            <v>0</v>
          </cell>
          <cell r="E1327">
            <v>0</v>
          </cell>
          <cell r="F1327">
            <v>0</v>
          </cell>
          <cell r="G1327">
            <v>0</v>
          </cell>
          <cell r="H1327">
            <v>0</v>
          </cell>
          <cell r="I1327">
            <v>0</v>
          </cell>
          <cell r="J1327">
            <v>0</v>
          </cell>
          <cell r="K1327">
            <v>0</v>
          </cell>
        </row>
        <row r="1328">
          <cell r="A1328">
            <v>611052</v>
          </cell>
          <cell r="B1328" t="str">
            <v>GASTOS GENERALES Y SERV.</v>
          </cell>
          <cell r="C1328">
            <v>78990079</v>
          </cell>
          <cell r="D1328">
            <v>48203254</v>
          </cell>
          <cell r="E1328">
            <v>30786825</v>
          </cell>
          <cell r="F1328">
            <v>0</v>
          </cell>
          <cell r="G1328">
            <v>0</v>
          </cell>
          <cell r="H1328">
            <v>0</v>
          </cell>
          <cell r="I1328">
            <v>30786825</v>
          </cell>
          <cell r="J1328">
            <v>0</v>
          </cell>
          <cell r="K1328">
            <v>30786825</v>
          </cell>
        </row>
        <row r="1329">
          <cell r="A1329">
            <v>611053</v>
          </cell>
          <cell r="B1329" t="str">
            <v>GASTOS DE CONTRIBUCIONES</v>
          </cell>
          <cell r="C1329">
            <v>472745269</v>
          </cell>
          <cell r="D1329">
            <v>45685186</v>
          </cell>
          <cell r="E1329">
            <v>427060083</v>
          </cell>
          <cell r="F1329">
            <v>0</v>
          </cell>
          <cell r="G1329">
            <v>0</v>
          </cell>
          <cell r="H1329">
            <v>0</v>
          </cell>
          <cell r="I1329">
            <v>427060083</v>
          </cell>
          <cell r="J1329">
            <v>0</v>
          </cell>
          <cell r="K1329">
            <v>427060083</v>
          </cell>
        </row>
        <row r="1330">
          <cell r="A1330">
            <v>611054</v>
          </cell>
          <cell r="B1330" t="str">
            <v>GTOS. ASESORIAS JUDICIALE</v>
          </cell>
          <cell r="C1330">
            <v>0</v>
          </cell>
          <cell r="D1330">
            <v>0</v>
          </cell>
          <cell r="E1330">
            <v>0</v>
          </cell>
          <cell r="F1330">
            <v>0</v>
          </cell>
          <cell r="G1330">
            <v>0</v>
          </cell>
          <cell r="H1330">
            <v>0</v>
          </cell>
          <cell r="I1330">
            <v>0</v>
          </cell>
          <cell r="J1330">
            <v>0</v>
          </cell>
          <cell r="K1330">
            <v>0</v>
          </cell>
        </row>
        <row r="1331">
          <cell r="A1331">
            <v>611055</v>
          </cell>
          <cell r="B1331" t="str">
            <v>COMISIONES INMOBILIARIAS</v>
          </cell>
          <cell r="C1331">
            <v>65706884</v>
          </cell>
          <cell r="D1331">
            <v>0</v>
          </cell>
          <cell r="E1331">
            <v>65706884</v>
          </cell>
          <cell r="F1331">
            <v>0</v>
          </cell>
          <cell r="G1331">
            <v>0</v>
          </cell>
          <cell r="H1331">
            <v>0</v>
          </cell>
          <cell r="I1331">
            <v>65706884</v>
          </cell>
          <cell r="J1331">
            <v>0</v>
          </cell>
          <cell r="K1331">
            <v>65706884</v>
          </cell>
        </row>
        <row r="1332">
          <cell r="A1332">
            <v>611057</v>
          </cell>
          <cell r="B1332" t="str">
            <v>GASTOS LEGALES Y DE COBRA</v>
          </cell>
          <cell r="C1332">
            <v>14298386</v>
          </cell>
          <cell r="D1332">
            <v>0</v>
          </cell>
          <cell r="E1332">
            <v>14298386</v>
          </cell>
          <cell r="F1332">
            <v>0</v>
          </cell>
          <cell r="G1332">
            <v>0</v>
          </cell>
          <cell r="H1332">
            <v>0</v>
          </cell>
          <cell r="I1332">
            <v>14298386</v>
          </cell>
          <cell r="J1332">
            <v>0</v>
          </cell>
          <cell r="K1332">
            <v>14298386</v>
          </cell>
        </row>
        <row r="1333">
          <cell r="A1333">
            <v>611058</v>
          </cell>
          <cell r="B1333" t="str">
            <v>RETASACIONES</v>
          </cell>
          <cell r="C1333">
            <v>14752282</v>
          </cell>
          <cell r="D1333">
            <v>0</v>
          </cell>
          <cell r="E1333">
            <v>14752282</v>
          </cell>
          <cell r="F1333">
            <v>0</v>
          </cell>
          <cell r="G1333">
            <v>0</v>
          </cell>
          <cell r="H1333">
            <v>0</v>
          </cell>
          <cell r="I1333">
            <v>14752282</v>
          </cell>
          <cell r="J1333">
            <v>0</v>
          </cell>
          <cell r="K1333">
            <v>14752282</v>
          </cell>
        </row>
        <row r="1334">
          <cell r="A1334">
            <v>611059</v>
          </cell>
          <cell r="B1334" t="str">
            <v>PROVISIONES DE INCOBRABIL</v>
          </cell>
          <cell r="C1334">
            <v>0</v>
          </cell>
          <cell r="D1334">
            <v>0</v>
          </cell>
          <cell r="E1334">
            <v>0</v>
          </cell>
          <cell r="F1334">
            <v>0</v>
          </cell>
          <cell r="G1334">
            <v>0</v>
          </cell>
          <cell r="H1334">
            <v>0</v>
          </cell>
          <cell r="I1334">
            <v>0</v>
          </cell>
          <cell r="J1334">
            <v>0</v>
          </cell>
          <cell r="K1334">
            <v>0</v>
          </cell>
        </row>
        <row r="1335">
          <cell r="A1335">
            <v>611060</v>
          </cell>
          <cell r="B1335" t="str">
            <v>PROVISION CHEQUES PROTEST</v>
          </cell>
          <cell r="C1335">
            <v>55722647</v>
          </cell>
          <cell r="D1335">
            <v>52834794</v>
          </cell>
          <cell r="E1335">
            <v>2887853</v>
          </cell>
          <cell r="F1335">
            <v>0</v>
          </cell>
          <cell r="G1335">
            <v>0</v>
          </cell>
          <cell r="H1335">
            <v>0</v>
          </cell>
          <cell r="I1335">
            <v>2887853</v>
          </cell>
          <cell r="J1335">
            <v>0</v>
          </cell>
          <cell r="K1335">
            <v>2887853</v>
          </cell>
        </row>
        <row r="1336">
          <cell r="A1336">
            <v>611061</v>
          </cell>
          <cell r="B1336" t="str">
            <v>SEGUROS</v>
          </cell>
          <cell r="C1336">
            <v>51656774</v>
          </cell>
          <cell r="D1336">
            <v>17666175</v>
          </cell>
          <cell r="E1336">
            <v>33990599</v>
          </cell>
          <cell r="F1336">
            <v>0</v>
          </cell>
          <cell r="G1336">
            <v>0</v>
          </cell>
          <cell r="H1336">
            <v>0</v>
          </cell>
          <cell r="I1336">
            <v>33990599</v>
          </cell>
          <cell r="J1336">
            <v>0</v>
          </cell>
          <cell r="K1336">
            <v>33990599</v>
          </cell>
        </row>
        <row r="1337">
          <cell r="A1337">
            <v>611062</v>
          </cell>
          <cell r="B1337" t="str">
            <v>MEJORAS Y HABILITACIONES</v>
          </cell>
          <cell r="C1337">
            <v>5030483</v>
          </cell>
          <cell r="D1337">
            <v>0</v>
          </cell>
          <cell r="E1337">
            <v>5030483</v>
          </cell>
          <cell r="F1337">
            <v>0</v>
          </cell>
          <cell r="G1337">
            <v>0</v>
          </cell>
          <cell r="H1337">
            <v>0</v>
          </cell>
          <cell r="I1337">
            <v>5030483</v>
          </cell>
          <cell r="J1337">
            <v>0</v>
          </cell>
          <cell r="K1337">
            <v>5030483</v>
          </cell>
        </row>
        <row r="1338">
          <cell r="A1338">
            <v>611063</v>
          </cell>
          <cell r="B1338" t="str">
            <v>GASTOS DE ASESORIAS Y EST</v>
          </cell>
          <cell r="C1338">
            <v>377068283</v>
          </cell>
          <cell r="D1338">
            <v>55485370</v>
          </cell>
          <cell r="E1338">
            <v>321582913</v>
          </cell>
          <cell r="F1338">
            <v>0</v>
          </cell>
          <cell r="G1338">
            <v>0</v>
          </cell>
          <cell r="H1338">
            <v>0</v>
          </cell>
          <cell r="I1338">
            <v>321582913</v>
          </cell>
          <cell r="J1338">
            <v>0</v>
          </cell>
          <cell r="K1338">
            <v>321582913</v>
          </cell>
        </row>
        <row r="1339">
          <cell r="A1339">
            <v>611064</v>
          </cell>
          <cell r="B1339" t="str">
            <v>GASTOS DE PROPIEDADES VAC</v>
          </cell>
          <cell r="C1339">
            <v>0</v>
          </cell>
          <cell r="D1339">
            <v>0</v>
          </cell>
          <cell r="E1339">
            <v>0</v>
          </cell>
          <cell r="F1339">
            <v>0</v>
          </cell>
          <cell r="G1339">
            <v>0</v>
          </cell>
          <cell r="H1339">
            <v>0</v>
          </cell>
          <cell r="I1339">
            <v>0</v>
          </cell>
          <cell r="J1339">
            <v>0</v>
          </cell>
          <cell r="K1339">
            <v>0</v>
          </cell>
        </row>
        <row r="1340">
          <cell r="A1340">
            <v>611065</v>
          </cell>
          <cell r="B1340" t="str">
            <v>CASTIGOS INMOBILIARIOS</v>
          </cell>
          <cell r="C1340">
            <v>0</v>
          </cell>
          <cell r="D1340">
            <v>0</v>
          </cell>
          <cell r="E1340">
            <v>0</v>
          </cell>
          <cell r="F1340">
            <v>0</v>
          </cell>
          <cell r="G1340">
            <v>0</v>
          </cell>
          <cell r="H1340">
            <v>0</v>
          </cell>
          <cell r="I1340">
            <v>0</v>
          </cell>
          <cell r="J1340">
            <v>0</v>
          </cell>
          <cell r="K1340">
            <v>0</v>
          </cell>
        </row>
        <row r="1341">
          <cell r="A1341">
            <v>611066</v>
          </cell>
          <cell r="B1341" t="str">
            <v>TASADORES</v>
          </cell>
          <cell r="C1341">
            <v>1750750</v>
          </cell>
          <cell r="D1341">
            <v>0</v>
          </cell>
          <cell r="E1341">
            <v>1750750</v>
          </cell>
          <cell r="F1341">
            <v>0</v>
          </cell>
          <cell r="G1341">
            <v>0</v>
          </cell>
          <cell r="H1341">
            <v>0</v>
          </cell>
          <cell r="I1341">
            <v>1750750</v>
          </cell>
          <cell r="J1341">
            <v>0</v>
          </cell>
          <cell r="K1341">
            <v>1750750</v>
          </cell>
        </row>
        <row r="1342">
          <cell r="A1342">
            <v>611068</v>
          </cell>
          <cell r="B1342" t="str">
            <v>ASESORIAS Y CONSULTORIAS</v>
          </cell>
          <cell r="C1342">
            <v>0</v>
          </cell>
          <cell r="D1342">
            <v>0</v>
          </cell>
          <cell r="E1342">
            <v>0</v>
          </cell>
          <cell r="F1342">
            <v>0</v>
          </cell>
          <cell r="G1342">
            <v>0</v>
          </cell>
          <cell r="H1342">
            <v>0</v>
          </cell>
          <cell r="I1342">
            <v>0</v>
          </cell>
          <cell r="J1342">
            <v>0</v>
          </cell>
          <cell r="K1342">
            <v>0</v>
          </cell>
        </row>
        <row r="1343">
          <cell r="A1343">
            <v>611069</v>
          </cell>
          <cell r="B1343" t="str">
            <v>REPARACION Y MANTENCION</v>
          </cell>
          <cell r="C1343">
            <v>0</v>
          </cell>
          <cell r="D1343">
            <v>0</v>
          </cell>
          <cell r="E1343">
            <v>0</v>
          </cell>
          <cell r="F1343">
            <v>0</v>
          </cell>
          <cell r="G1343">
            <v>0</v>
          </cell>
          <cell r="H1343">
            <v>0</v>
          </cell>
          <cell r="I1343">
            <v>0</v>
          </cell>
          <cell r="J1343">
            <v>0</v>
          </cell>
          <cell r="K1343">
            <v>0</v>
          </cell>
        </row>
        <row r="1344">
          <cell r="A1344">
            <v>611070</v>
          </cell>
          <cell r="B1344" t="str">
            <v>GASTOS LEGALES</v>
          </cell>
          <cell r="C1344">
            <v>0</v>
          </cell>
          <cell r="D1344">
            <v>0</v>
          </cell>
          <cell r="E1344">
            <v>0</v>
          </cell>
          <cell r="F1344">
            <v>0</v>
          </cell>
          <cell r="G1344">
            <v>0</v>
          </cell>
          <cell r="H1344">
            <v>0</v>
          </cell>
          <cell r="I1344">
            <v>0</v>
          </cell>
          <cell r="J1344">
            <v>0</v>
          </cell>
          <cell r="K1344">
            <v>0</v>
          </cell>
        </row>
        <row r="1345">
          <cell r="A1345">
            <v>611071</v>
          </cell>
          <cell r="B1345" t="str">
            <v>CONTRIBUCIONES</v>
          </cell>
          <cell r="C1345">
            <v>0</v>
          </cell>
          <cell r="D1345">
            <v>0</v>
          </cell>
          <cell r="E1345">
            <v>0</v>
          </cell>
          <cell r="F1345">
            <v>0</v>
          </cell>
          <cell r="G1345">
            <v>0</v>
          </cell>
          <cell r="H1345">
            <v>0</v>
          </cell>
          <cell r="I1345">
            <v>0</v>
          </cell>
          <cell r="J1345">
            <v>0</v>
          </cell>
          <cell r="K1345">
            <v>0</v>
          </cell>
        </row>
        <row r="1346">
          <cell r="A1346">
            <v>611075</v>
          </cell>
          <cell r="B1346" t="str">
            <v>DETERIORO CTA. CTE. EL CO</v>
          </cell>
          <cell r="C1346">
            <v>446817006</v>
          </cell>
          <cell r="D1346">
            <v>0</v>
          </cell>
          <cell r="E1346">
            <v>446817006</v>
          </cell>
          <cell r="F1346">
            <v>0</v>
          </cell>
          <cell r="G1346">
            <v>0</v>
          </cell>
          <cell r="H1346">
            <v>0</v>
          </cell>
          <cell r="I1346">
            <v>446817006</v>
          </cell>
          <cell r="J1346">
            <v>0</v>
          </cell>
          <cell r="K1346">
            <v>446817006</v>
          </cell>
        </row>
        <row r="1347">
          <cell r="A1347">
            <v>611101</v>
          </cell>
          <cell r="B1347" t="str">
            <v>ARRIENDO ESTACIONAMIENTOS</v>
          </cell>
          <cell r="C1347">
            <v>335000</v>
          </cell>
          <cell r="D1347">
            <v>0</v>
          </cell>
          <cell r="E1347">
            <v>335000</v>
          </cell>
          <cell r="F1347">
            <v>0</v>
          </cell>
          <cell r="G1347">
            <v>0</v>
          </cell>
          <cell r="H1347">
            <v>0</v>
          </cell>
          <cell r="I1347">
            <v>335000</v>
          </cell>
          <cell r="J1347">
            <v>0</v>
          </cell>
          <cell r="K1347">
            <v>335000</v>
          </cell>
        </row>
        <row r="1348">
          <cell r="A1348">
            <v>611102</v>
          </cell>
          <cell r="B1348" t="str">
            <v>GASTOS RECHAZADOS VEHICUL</v>
          </cell>
          <cell r="C1348">
            <v>2030430</v>
          </cell>
          <cell r="D1348">
            <v>0</v>
          </cell>
          <cell r="E1348">
            <v>2030430</v>
          </cell>
          <cell r="F1348">
            <v>0</v>
          </cell>
          <cell r="G1348">
            <v>0</v>
          </cell>
          <cell r="H1348">
            <v>0</v>
          </cell>
          <cell r="I1348">
            <v>2030430</v>
          </cell>
          <cell r="J1348">
            <v>0</v>
          </cell>
          <cell r="K1348">
            <v>2030430</v>
          </cell>
        </row>
        <row r="1349">
          <cell r="A1349">
            <v>611103</v>
          </cell>
          <cell r="B1349" t="str">
            <v>GASTOS RECHAZADOS PROPINA</v>
          </cell>
          <cell r="C1349">
            <v>1375171</v>
          </cell>
          <cell r="D1349">
            <v>0</v>
          </cell>
          <cell r="E1349">
            <v>1375171</v>
          </cell>
          <cell r="F1349">
            <v>0</v>
          </cell>
          <cell r="G1349">
            <v>0</v>
          </cell>
          <cell r="H1349">
            <v>0</v>
          </cell>
          <cell r="I1349">
            <v>1375171</v>
          </cell>
          <cell r="J1349">
            <v>0</v>
          </cell>
          <cell r="K1349">
            <v>1375171</v>
          </cell>
        </row>
        <row r="1350">
          <cell r="A1350">
            <v>611104</v>
          </cell>
          <cell r="B1350" t="str">
            <v>GASTOS RECHAZADOS OTROS V</v>
          </cell>
          <cell r="C1350">
            <v>0</v>
          </cell>
          <cell r="D1350">
            <v>0</v>
          </cell>
          <cell r="E1350">
            <v>0</v>
          </cell>
          <cell r="F1350">
            <v>0</v>
          </cell>
          <cell r="G1350">
            <v>0</v>
          </cell>
          <cell r="H1350">
            <v>0</v>
          </cell>
          <cell r="I1350">
            <v>0</v>
          </cell>
          <cell r="J1350">
            <v>0</v>
          </cell>
          <cell r="K1350">
            <v>0</v>
          </cell>
        </row>
        <row r="1351">
          <cell r="A1351">
            <v>612002</v>
          </cell>
          <cell r="B1351" t="str">
            <v>PETROLEO DIESEL</v>
          </cell>
          <cell r="C1351">
            <v>0</v>
          </cell>
          <cell r="D1351">
            <v>0</v>
          </cell>
          <cell r="E1351">
            <v>0</v>
          </cell>
          <cell r="F1351">
            <v>0</v>
          </cell>
          <cell r="G1351">
            <v>0</v>
          </cell>
          <cell r="H1351">
            <v>0</v>
          </cell>
          <cell r="I1351">
            <v>0</v>
          </cell>
          <cell r="J1351">
            <v>0</v>
          </cell>
          <cell r="K1351">
            <v>0</v>
          </cell>
        </row>
        <row r="1352">
          <cell r="A1352">
            <v>612004</v>
          </cell>
          <cell r="B1352" t="str">
            <v>ASEO DE AREAS COMUNES</v>
          </cell>
          <cell r="C1352">
            <v>0</v>
          </cell>
          <cell r="D1352">
            <v>0</v>
          </cell>
          <cell r="E1352">
            <v>0</v>
          </cell>
          <cell r="F1352">
            <v>0</v>
          </cell>
          <cell r="G1352">
            <v>0</v>
          </cell>
          <cell r="H1352">
            <v>0</v>
          </cell>
          <cell r="I1352">
            <v>0</v>
          </cell>
          <cell r="J1352">
            <v>0</v>
          </cell>
          <cell r="K1352">
            <v>0</v>
          </cell>
        </row>
        <row r="1353">
          <cell r="A1353">
            <v>612005</v>
          </cell>
          <cell r="B1353" t="str">
            <v>EXTRACCION DE BASURA</v>
          </cell>
          <cell r="C1353">
            <v>0</v>
          </cell>
          <cell r="D1353">
            <v>0</v>
          </cell>
          <cell r="E1353">
            <v>0</v>
          </cell>
          <cell r="F1353">
            <v>0</v>
          </cell>
          <cell r="G1353">
            <v>0</v>
          </cell>
          <cell r="H1353">
            <v>0</v>
          </cell>
          <cell r="I1353">
            <v>0</v>
          </cell>
          <cell r="J1353">
            <v>0</v>
          </cell>
          <cell r="K1353">
            <v>0</v>
          </cell>
        </row>
        <row r="1354">
          <cell r="A1354">
            <v>612007</v>
          </cell>
          <cell r="B1354" t="str">
            <v>OTROS GASTOS</v>
          </cell>
          <cell r="C1354">
            <v>0</v>
          </cell>
          <cell r="D1354">
            <v>0</v>
          </cell>
          <cell r="E1354">
            <v>0</v>
          </cell>
          <cell r="F1354">
            <v>0</v>
          </cell>
          <cell r="G1354">
            <v>0</v>
          </cell>
          <cell r="H1354">
            <v>0</v>
          </cell>
          <cell r="I1354">
            <v>0</v>
          </cell>
          <cell r="J1354">
            <v>0</v>
          </cell>
          <cell r="K1354">
            <v>0</v>
          </cell>
        </row>
        <row r="1355">
          <cell r="A1355">
            <v>612008</v>
          </cell>
          <cell r="B1355" t="str">
            <v>ASESORIAS Y ESTUDIOS</v>
          </cell>
          <cell r="C1355">
            <v>0</v>
          </cell>
          <cell r="D1355">
            <v>0</v>
          </cell>
          <cell r="E1355">
            <v>0</v>
          </cell>
          <cell r="F1355">
            <v>0</v>
          </cell>
          <cell r="G1355">
            <v>0</v>
          </cell>
          <cell r="H1355">
            <v>0</v>
          </cell>
          <cell r="I1355">
            <v>0</v>
          </cell>
          <cell r="J1355">
            <v>0</v>
          </cell>
          <cell r="K1355">
            <v>0</v>
          </cell>
        </row>
        <row r="1356">
          <cell r="A1356">
            <v>613008</v>
          </cell>
          <cell r="B1356" t="str">
            <v>ASCENSORES</v>
          </cell>
          <cell r="C1356">
            <v>0</v>
          </cell>
          <cell r="D1356">
            <v>0</v>
          </cell>
          <cell r="E1356">
            <v>0</v>
          </cell>
          <cell r="F1356">
            <v>0</v>
          </cell>
          <cell r="G1356">
            <v>0</v>
          </cell>
          <cell r="H1356">
            <v>0</v>
          </cell>
          <cell r="I1356">
            <v>0</v>
          </cell>
          <cell r="J1356">
            <v>0</v>
          </cell>
          <cell r="K1356">
            <v>0</v>
          </cell>
        </row>
        <row r="1357">
          <cell r="A1357">
            <v>613010</v>
          </cell>
          <cell r="B1357" t="str">
            <v>EQUIPO LIMPIAFACHADA</v>
          </cell>
          <cell r="C1357">
            <v>0</v>
          </cell>
          <cell r="D1357">
            <v>0</v>
          </cell>
          <cell r="E1357">
            <v>0</v>
          </cell>
          <cell r="F1357">
            <v>0</v>
          </cell>
          <cell r="G1357">
            <v>0</v>
          </cell>
          <cell r="H1357">
            <v>0</v>
          </cell>
          <cell r="I1357">
            <v>0</v>
          </cell>
          <cell r="J1357">
            <v>0</v>
          </cell>
          <cell r="K1357">
            <v>0</v>
          </cell>
        </row>
        <row r="1358">
          <cell r="A1358">
            <v>614007</v>
          </cell>
          <cell r="B1358" t="str">
            <v>CLIMATIZACION CORRECTIVA</v>
          </cell>
          <cell r="C1358">
            <v>0</v>
          </cell>
          <cell r="D1358">
            <v>0</v>
          </cell>
          <cell r="E1358">
            <v>0</v>
          </cell>
          <cell r="F1358">
            <v>0</v>
          </cell>
          <cell r="G1358">
            <v>0</v>
          </cell>
          <cell r="H1358">
            <v>0</v>
          </cell>
          <cell r="I1358">
            <v>0</v>
          </cell>
          <cell r="J1358">
            <v>0</v>
          </cell>
          <cell r="K1358">
            <v>0</v>
          </cell>
        </row>
        <row r="1359">
          <cell r="A1359">
            <v>614010</v>
          </cell>
          <cell r="B1359" t="str">
            <v>EQUIPO LIMPIAFACHADA CORR</v>
          </cell>
          <cell r="C1359">
            <v>0</v>
          </cell>
          <cell r="D1359">
            <v>0</v>
          </cell>
          <cell r="E1359">
            <v>0</v>
          </cell>
          <cell r="F1359">
            <v>0</v>
          </cell>
          <cell r="G1359">
            <v>0</v>
          </cell>
          <cell r="H1359">
            <v>0</v>
          </cell>
          <cell r="I1359">
            <v>0</v>
          </cell>
          <cell r="J1359">
            <v>0</v>
          </cell>
          <cell r="K1359">
            <v>0</v>
          </cell>
        </row>
        <row r="1360">
          <cell r="A1360">
            <v>615001</v>
          </cell>
          <cell r="B1360" t="str">
            <v>LUBRICANTES GENERADORES</v>
          </cell>
          <cell r="C1360">
            <v>0</v>
          </cell>
          <cell r="D1360">
            <v>0</v>
          </cell>
          <cell r="E1360">
            <v>0</v>
          </cell>
          <cell r="F1360">
            <v>0</v>
          </cell>
          <cell r="G1360">
            <v>0</v>
          </cell>
          <cell r="H1360">
            <v>0</v>
          </cell>
          <cell r="I1360">
            <v>0</v>
          </cell>
          <cell r="J1360">
            <v>0</v>
          </cell>
          <cell r="K1360">
            <v>0</v>
          </cell>
        </row>
        <row r="1361">
          <cell r="A1361">
            <v>615004</v>
          </cell>
          <cell r="B1361" t="str">
            <v>INSUMOS ELECTRICOS</v>
          </cell>
          <cell r="C1361">
            <v>1436540</v>
          </cell>
          <cell r="D1361">
            <v>0</v>
          </cell>
          <cell r="E1361">
            <v>1436540</v>
          </cell>
          <cell r="F1361">
            <v>0</v>
          </cell>
          <cell r="G1361">
            <v>0</v>
          </cell>
          <cell r="H1361">
            <v>0</v>
          </cell>
          <cell r="I1361">
            <v>1436540</v>
          </cell>
          <cell r="J1361">
            <v>0</v>
          </cell>
          <cell r="K1361">
            <v>1436540</v>
          </cell>
        </row>
        <row r="1362">
          <cell r="A1362">
            <v>710001</v>
          </cell>
          <cell r="B1362" t="str">
            <v>INTERESES COBRADOS Y/O DE</v>
          </cell>
          <cell r="C1362">
            <v>0</v>
          </cell>
          <cell r="D1362">
            <v>0</v>
          </cell>
          <cell r="E1362">
            <v>0</v>
          </cell>
          <cell r="F1362">
            <v>0</v>
          </cell>
          <cell r="G1362">
            <v>0</v>
          </cell>
          <cell r="H1362">
            <v>0</v>
          </cell>
          <cell r="I1362">
            <v>0</v>
          </cell>
          <cell r="J1362">
            <v>0</v>
          </cell>
          <cell r="K1362">
            <v>0</v>
          </cell>
        </row>
        <row r="1363">
          <cell r="A1363">
            <v>710002</v>
          </cell>
          <cell r="B1363" t="str">
            <v>REAJUSTES COBRADOS</v>
          </cell>
          <cell r="C1363">
            <v>486036517</v>
          </cell>
          <cell r="D1363">
            <v>55792087</v>
          </cell>
          <cell r="E1363">
            <v>430244430</v>
          </cell>
          <cell r="F1363">
            <v>0</v>
          </cell>
          <cell r="G1363">
            <v>0</v>
          </cell>
          <cell r="H1363">
            <v>0</v>
          </cell>
          <cell r="I1363">
            <v>430244430</v>
          </cell>
          <cell r="J1363">
            <v>0</v>
          </cell>
          <cell r="K1363">
            <v>430244430</v>
          </cell>
        </row>
        <row r="1364">
          <cell r="A1364">
            <v>710003</v>
          </cell>
          <cell r="B1364" t="str">
            <v>DIFERENCIA DE CAMBIO</v>
          </cell>
          <cell r="C1364">
            <v>14987231203</v>
          </cell>
          <cell r="D1364">
            <v>14987253709</v>
          </cell>
          <cell r="E1364">
            <v>0</v>
          </cell>
          <cell r="F1364">
            <v>22506</v>
          </cell>
          <cell r="G1364">
            <v>0</v>
          </cell>
          <cell r="H1364">
            <v>0</v>
          </cell>
          <cell r="I1364">
            <v>0</v>
          </cell>
          <cell r="J1364">
            <v>22506</v>
          </cell>
          <cell r="K1364">
            <v>-22506</v>
          </cell>
        </row>
        <row r="1365">
          <cell r="A1365">
            <v>710004</v>
          </cell>
          <cell r="B1365" t="str">
            <v>ARRIENDO</v>
          </cell>
          <cell r="C1365">
            <v>0</v>
          </cell>
          <cell r="D1365">
            <v>0</v>
          </cell>
          <cell r="E1365">
            <v>0</v>
          </cell>
          <cell r="F1365">
            <v>0</v>
          </cell>
          <cell r="G1365">
            <v>0</v>
          </cell>
          <cell r="H1365">
            <v>0</v>
          </cell>
          <cell r="I1365">
            <v>0</v>
          </cell>
          <cell r="J1365">
            <v>0</v>
          </cell>
          <cell r="K1365">
            <v>0</v>
          </cell>
        </row>
        <row r="1366">
          <cell r="A1366">
            <v>710005</v>
          </cell>
          <cell r="B1366" t="str">
            <v>OTROS INGRESOS</v>
          </cell>
          <cell r="C1366">
            <v>16018786</v>
          </cell>
          <cell r="D1366">
            <v>939784165</v>
          </cell>
          <cell r="E1366">
            <v>0</v>
          </cell>
          <cell r="F1366">
            <v>923765379</v>
          </cell>
          <cell r="G1366">
            <v>0</v>
          </cell>
          <cell r="H1366">
            <v>0</v>
          </cell>
          <cell r="I1366">
            <v>0</v>
          </cell>
          <cell r="J1366">
            <v>923765379</v>
          </cell>
          <cell r="K1366">
            <v>-923765379</v>
          </cell>
        </row>
        <row r="1367">
          <cell r="A1367">
            <v>710007</v>
          </cell>
          <cell r="B1367" t="str">
            <v>TIPO DE CAMBIO CROSS CURR</v>
          </cell>
          <cell r="C1367">
            <v>0</v>
          </cell>
          <cell r="D1367">
            <v>20590029889</v>
          </cell>
          <cell r="E1367">
            <v>0</v>
          </cell>
          <cell r="F1367">
            <v>20590029889</v>
          </cell>
          <cell r="G1367">
            <v>0</v>
          </cell>
          <cell r="H1367">
            <v>0</v>
          </cell>
          <cell r="I1367">
            <v>0</v>
          </cell>
          <cell r="J1367">
            <v>20590029889</v>
          </cell>
          <cell r="K1367">
            <v>-20590029889</v>
          </cell>
        </row>
        <row r="1368">
          <cell r="A1368">
            <v>710008</v>
          </cell>
          <cell r="B1368" t="str">
            <v>RESULTADO COMUNIDAD PLAZA</v>
          </cell>
          <cell r="C1368">
            <v>0</v>
          </cell>
          <cell r="D1368">
            <v>514779592</v>
          </cell>
          <cell r="E1368">
            <v>0</v>
          </cell>
          <cell r="F1368">
            <v>514779592</v>
          </cell>
          <cell r="G1368">
            <v>0</v>
          </cell>
          <cell r="H1368">
            <v>0</v>
          </cell>
          <cell r="I1368">
            <v>0</v>
          </cell>
          <cell r="J1368">
            <v>514779592</v>
          </cell>
          <cell r="K1368">
            <v>-514779592</v>
          </cell>
        </row>
        <row r="1369">
          <cell r="A1369">
            <v>710009</v>
          </cell>
          <cell r="B1369" t="str">
            <v>TIPO DE CAMBIO CROSS CURR</v>
          </cell>
          <cell r="C1369">
            <v>0</v>
          </cell>
          <cell r="D1369">
            <v>0</v>
          </cell>
          <cell r="E1369">
            <v>0</v>
          </cell>
          <cell r="F1369">
            <v>0</v>
          </cell>
          <cell r="G1369">
            <v>0</v>
          </cell>
          <cell r="H1369">
            <v>0</v>
          </cell>
          <cell r="I1369">
            <v>0</v>
          </cell>
          <cell r="J1369">
            <v>0</v>
          </cell>
          <cell r="K1369">
            <v>0</v>
          </cell>
        </row>
        <row r="1370">
          <cell r="A1370">
            <v>710010</v>
          </cell>
          <cell r="B1370" t="str">
            <v>DIFERENCIA DE CAMBIO TRIB</v>
          </cell>
          <cell r="C1370">
            <v>1466457527</v>
          </cell>
          <cell r="D1370">
            <v>0</v>
          </cell>
          <cell r="E1370">
            <v>1466457527</v>
          </cell>
          <cell r="F1370">
            <v>0</v>
          </cell>
          <cell r="G1370">
            <v>0</v>
          </cell>
          <cell r="H1370">
            <v>0</v>
          </cell>
          <cell r="I1370">
            <v>1466457527</v>
          </cell>
          <cell r="J1370">
            <v>0</v>
          </cell>
          <cell r="K1370">
            <v>1466457527</v>
          </cell>
        </row>
        <row r="1371">
          <cell r="A1371">
            <v>710011</v>
          </cell>
          <cell r="B1371" t="str">
            <v>DIFERENCIA DE CAMBIO RENT</v>
          </cell>
          <cell r="C1371">
            <v>11239316124</v>
          </cell>
          <cell r="D1371">
            <v>7105857435</v>
          </cell>
          <cell r="E1371">
            <v>4133458689</v>
          </cell>
          <cell r="F1371">
            <v>0</v>
          </cell>
          <cell r="G1371">
            <v>0</v>
          </cell>
          <cell r="H1371">
            <v>0</v>
          </cell>
          <cell r="I1371">
            <v>4133458689</v>
          </cell>
          <cell r="J1371">
            <v>0</v>
          </cell>
          <cell r="K1371">
            <v>4133458689</v>
          </cell>
        </row>
        <row r="1372">
          <cell r="A1372">
            <v>710012</v>
          </cell>
          <cell r="B1372" t="str">
            <v>OTROS INGRESOS X INDEMNIZ</v>
          </cell>
          <cell r="C1372">
            <v>0</v>
          </cell>
          <cell r="D1372">
            <v>0</v>
          </cell>
          <cell r="E1372">
            <v>0</v>
          </cell>
          <cell r="F1372">
            <v>0</v>
          </cell>
          <cell r="G1372">
            <v>0</v>
          </cell>
          <cell r="H1372">
            <v>0</v>
          </cell>
          <cell r="I1372">
            <v>0</v>
          </cell>
          <cell r="J1372">
            <v>0</v>
          </cell>
          <cell r="K1372">
            <v>0</v>
          </cell>
        </row>
        <row r="1373">
          <cell r="A1373">
            <v>710013</v>
          </cell>
          <cell r="B1373" t="str">
            <v>DIFERENCIA DE CAMBIO RENT</v>
          </cell>
          <cell r="C1373">
            <v>0</v>
          </cell>
          <cell r="D1373">
            <v>0</v>
          </cell>
          <cell r="E1373">
            <v>0</v>
          </cell>
          <cell r="F1373">
            <v>0</v>
          </cell>
          <cell r="G1373">
            <v>0</v>
          </cell>
          <cell r="H1373">
            <v>0</v>
          </cell>
          <cell r="I1373">
            <v>0</v>
          </cell>
          <cell r="J1373">
            <v>0</v>
          </cell>
          <cell r="K1373">
            <v>0</v>
          </cell>
        </row>
        <row r="1374">
          <cell r="A1374">
            <v>710014</v>
          </cell>
          <cell r="B1374" t="str">
            <v>DIFERENCIA DE CAMBIO RENT</v>
          </cell>
          <cell r="C1374">
            <v>0</v>
          </cell>
          <cell r="D1374">
            <v>0</v>
          </cell>
          <cell r="E1374">
            <v>0</v>
          </cell>
          <cell r="F1374">
            <v>0</v>
          </cell>
          <cell r="G1374">
            <v>0</v>
          </cell>
          <cell r="H1374">
            <v>0</v>
          </cell>
          <cell r="I1374">
            <v>0</v>
          </cell>
          <cell r="J1374">
            <v>0</v>
          </cell>
          <cell r="K1374">
            <v>0</v>
          </cell>
        </row>
        <row r="1375">
          <cell r="A1375">
            <v>710015</v>
          </cell>
          <cell r="B1375" t="str">
            <v>DIFERENCIA DE CAMBIO RENT</v>
          </cell>
          <cell r="C1375">
            <v>370283</v>
          </cell>
          <cell r="D1375">
            <v>0</v>
          </cell>
          <cell r="E1375">
            <v>370283</v>
          </cell>
          <cell r="F1375">
            <v>0</v>
          </cell>
          <cell r="G1375">
            <v>0</v>
          </cell>
          <cell r="H1375">
            <v>0</v>
          </cell>
          <cell r="I1375">
            <v>370283</v>
          </cell>
          <cell r="J1375">
            <v>0</v>
          </cell>
          <cell r="K1375">
            <v>370283</v>
          </cell>
        </row>
        <row r="1376">
          <cell r="A1376">
            <v>710017</v>
          </cell>
          <cell r="B1376" t="str">
            <v>REAJUSTES VARIOS</v>
          </cell>
          <cell r="C1376">
            <v>21055310</v>
          </cell>
          <cell r="D1376">
            <v>3608235</v>
          </cell>
          <cell r="E1376">
            <v>17447075</v>
          </cell>
          <cell r="F1376">
            <v>0</v>
          </cell>
          <cell r="G1376">
            <v>0</v>
          </cell>
          <cell r="H1376">
            <v>0</v>
          </cell>
          <cell r="I1376">
            <v>17447075</v>
          </cell>
          <cell r="J1376">
            <v>0</v>
          </cell>
          <cell r="K1376">
            <v>17447075</v>
          </cell>
        </row>
        <row r="1377">
          <cell r="A1377">
            <v>710018</v>
          </cell>
          <cell r="B1377" t="str">
            <v>REAJUSTES AVISOS COBRANZA</v>
          </cell>
          <cell r="C1377">
            <v>4937607</v>
          </cell>
          <cell r="D1377">
            <v>14492183</v>
          </cell>
          <cell r="E1377">
            <v>0</v>
          </cell>
          <cell r="F1377">
            <v>9554576</v>
          </cell>
          <cell r="G1377">
            <v>0</v>
          </cell>
          <cell r="H1377">
            <v>0</v>
          </cell>
          <cell r="I1377">
            <v>0</v>
          </cell>
          <cell r="J1377">
            <v>9554576</v>
          </cell>
          <cell r="K1377">
            <v>-9554576</v>
          </cell>
        </row>
        <row r="1378">
          <cell r="A1378">
            <v>710019</v>
          </cell>
          <cell r="B1378" t="str">
            <v>REAJUSTES RESERVAS TECNIC</v>
          </cell>
          <cell r="C1378">
            <v>25013891599</v>
          </cell>
          <cell r="D1378">
            <v>3647667253</v>
          </cell>
          <cell r="E1378">
            <v>21366224346</v>
          </cell>
          <cell r="F1378">
            <v>0</v>
          </cell>
          <cell r="G1378">
            <v>0</v>
          </cell>
          <cell r="H1378">
            <v>0</v>
          </cell>
          <cell r="I1378">
            <v>21366224346</v>
          </cell>
          <cell r="J1378">
            <v>0</v>
          </cell>
          <cell r="K1378">
            <v>21366224346</v>
          </cell>
        </row>
        <row r="1379">
          <cell r="A1379">
            <v>710020</v>
          </cell>
          <cell r="B1379" t="str">
            <v>REAJUSTES REASEGUROS</v>
          </cell>
          <cell r="C1379">
            <v>6830891</v>
          </cell>
          <cell r="D1379">
            <v>8418669</v>
          </cell>
          <cell r="E1379">
            <v>0</v>
          </cell>
          <cell r="F1379">
            <v>1587778</v>
          </cell>
          <cell r="G1379">
            <v>0</v>
          </cell>
          <cell r="H1379">
            <v>0</v>
          </cell>
          <cell r="I1379">
            <v>0</v>
          </cell>
          <cell r="J1379">
            <v>1587778</v>
          </cell>
          <cell r="K1379">
            <v>-1587778</v>
          </cell>
        </row>
        <row r="1380">
          <cell r="A1380">
            <v>710021</v>
          </cell>
          <cell r="B1380" t="str">
            <v>REAJUSTES RESERVA DE SINI</v>
          </cell>
          <cell r="C1380">
            <v>31667733</v>
          </cell>
          <cell r="D1380">
            <v>9230435</v>
          </cell>
          <cell r="E1380">
            <v>22437298</v>
          </cell>
          <cell r="F1380">
            <v>0</v>
          </cell>
          <cell r="G1380">
            <v>0</v>
          </cell>
          <cell r="H1380">
            <v>0</v>
          </cell>
          <cell r="I1380">
            <v>22437298</v>
          </cell>
          <cell r="J1380">
            <v>0</v>
          </cell>
          <cell r="K1380">
            <v>22437298</v>
          </cell>
        </row>
        <row r="1381">
          <cell r="A1381">
            <v>710022</v>
          </cell>
          <cell r="B1381" t="str">
            <v>DIFERENCIA DE CAMBIO BONO</v>
          </cell>
          <cell r="C1381">
            <v>1437885196</v>
          </cell>
          <cell r="D1381">
            <v>485776620</v>
          </cell>
          <cell r="E1381">
            <v>952108576</v>
          </cell>
          <cell r="F1381">
            <v>0</v>
          </cell>
          <cell r="G1381">
            <v>0</v>
          </cell>
          <cell r="H1381">
            <v>0</v>
          </cell>
          <cell r="I1381">
            <v>952108576</v>
          </cell>
          <cell r="J1381">
            <v>0</v>
          </cell>
          <cell r="K1381">
            <v>952108576</v>
          </cell>
        </row>
        <row r="1382">
          <cell r="A1382">
            <v>710023</v>
          </cell>
          <cell r="B1382" t="str">
            <v>DIFERENCIA DE CAMBIO BONO</v>
          </cell>
          <cell r="C1382">
            <v>24750838070</v>
          </cell>
          <cell r="D1382">
            <v>6356123931</v>
          </cell>
          <cell r="E1382">
            <v>18394714139</v>
          </cell>
          <cell r="F1382">
            <v>0</v>
          </cell>
          <cell r="G1382">
            <v>0</v>
          </cell>
          <cell r="H1382">
            <v>0</v>
          </cell>
          <cell r="I1382">
            <v>18394714139</v>
          </cell>
          <cell r="J1382">
            <v>0</v>
          </cell>
          <cell r="K1382">
            <v>18394714139</v>
          </cell>
        </row>
        <row r="1383">
          <cell r="A1383">
            <v>710024</v>
          </cell>
          <cell r="B1383" t="str">
            <v>DIFERENCIA DE CAMBIO BANC</v>
          </cell>
          <cell r="C1383">
            <v>29377113</v>
          </cell>
          <cell r="D1383">
            <v>25481</v>
          </cell>
          <cell r="E1383">
            <v>29351632</v>
          </cell>
          <cell r="F1383">
            <v>0</v>
          </cell>
          <cell r="G1383">
            <v>0</v>
          </cell>
          <cell r="H1383">
            <v>0</v>
          </cell>
          <cell r="I1383">
            <v>29351632</v>
          </cell>
          <cell r="J1383">
            <v>0</v>
          </cell>
          <cell r="K1383">
            <v>29351632</v>
          </cell>
        </row>
        <row r="1384">
          <cell r="A1384">
            <v>710025</v>
          </cell>
          <cell r="B1384" t="str">
            <v>REAJUSTES CTAS. CTES. EER</v>
          </cell>
          <cell r="C1384">
            <v>28681778</v>
          </cell>
          <cell r="D1384">
            <v>204837456</v>
          </cell>
          <cell r="E1384">
            <v>0</v>
          </cell>
          <cell r="F1384">
            <v>176155678</v>
          </cell>
          <cell r="G1384">
            <v>0</v>
          </cell>
          <cell r="H1384">
            <v>0</v>
          </cell>
          <cell r="I1384">
            <v>0</v>
          </cell>
          <cell r="J1384">
            <v>176155678</v>
          </cell>
          <cell r="K1384">
            <v>-176155678</v>
          </cell>
        </row>
        <row r="1385">
          <cell r="A1385">
            <v>710026</v>
          </cell>
          <cell r="B1385" t="str">
            <v>REAJUSTES GARANTIAS</v>
          </cell>
          <cell r="C1385">
            <v>165095001</v>
          </cell>
          <cell r="D1385">
            <v>195731917</v>
          </cell>
          <cell r="E1385">
            <v>0</v>
          </cell>
          <cell r="F1385">
            <v>30636916</v>
          </cell>
          <cell r="G1385">
            <v>0</v>
          </cell>
          <cell r="H1385">
            <v>0</v>
          </cell>
          <cell r="I1385">
            <v>0</v>
          </cell>
          <cell r="J1385">
            <v>30636916</v>
          </cell>
          <cell r="K1385">
            <v>-30636916</v>
          </cell>
        </row>
        <row r="1386">
          <cell r="A1386">
            <v>710027</v>
          </cell>
          <cell r="B1386" t="str">
            <v>REAJUSTES CRÉDITOS COMPLE</v>
          </cell>
          <cell r="C1386">
            <v>46311596</v>
          </cell>
          <cell r="D1386">
            <v>180901696</v>
          </cell>
          <cell r="E1386">
            <v>0</v>
          </cell>
          <cell r="F1386">
            <v>134590100</v>
          </cell>
          <cell r="G1386">
            <v>0</v>
          </cell>
          <cell r="H1386">
            <v>0</v>
          </cell>
          <cell r="I1386">
            <v>0</v>
          </cell>
          <cell r="J1386">
            <v>134590100</v>
          </cell>
          <cell r="K1386">
            <v>-134590100</v>
          </cell>
        </row>
        <row r="1387">
          <cell r="A1387">
            <v>710029</v>
          </cell>
          <cell r="B1387" t="str">
            <v>REAJUSTES ANUALIDADES SVI</v>
          </cell>
          <cell r="C1387">
            <v>1502521</v>
          </cell>
          <cell r="D1387">
            <v>285752</v>
          </cell>
          <cell r="E1387">
            <v>1216769</v>
          </cell>
          <cell r="F1387">
            <v>0</v>
          </cell>
          <cell r="G1387">
            <v>0</v>
          </cell>
          <cell r="H1387">
            <v>0</v>
          </cell>
          <cell r="I1387">
            <v>1216769</v>
          </cell>
          <cell r="J1387">
            <v>0</v>
          </cell>
          <cell r="K1387">
            <v>1216769</v>
          </cell>
        </row>
        <row r="1388">
          <cell r="A1388">
            <v>810001</v>
          </cell>
          <cell r="B1388" t="str">
            <v>OTROS EGRESOS NO OPERACIO</v>
          </cell>
          <cell r="C1388">
            <v>47823211</v>
          </cell>
          <cell r="D1388">
            <v>10158</v>
          </cell>
          <cell r="E1388">
            <v>47813053</v>
          </cell>
          <cell r="F1388">
            <v>0</v>
          </cell>
          <cell r="G1388">
            <v>0</v>
          </cell>
          <cell r="H1388">
            <v>0</v>
          </cell>
          <cell r="I1388">
            <v>47813053</v>
          </cell>
          <cell r="J1388">
            <v>0</v>
          </cell>
          <cell r="K1388">
            <v>47813053</v>
          </cell>
        </row>
        <row r="1389">
          <cell r="A1389">
            <v>810002</v>
          </cell>
          <cell r="B1389" t="str">
            <v>IMPUESTO A LA RENTA</v>
          </cell>
          <cell r="C1389">
            <v>1376735420</v>
          </cell>
          <cell r="D1389">
            <v>0</v>
          </cell>
          <cell r="E1389">
            <v>1376735420</v>
          </cell>
          <cell r="F1389">
            <v>0</v>
          </cell>
          <cell r="G1389">
            <v>0</v>
          </cell>
          <cell r="H1389">
            <v>0</v>
          </cell>
          <cell r="I1389">
            <v>1376735420</v>
          </cell>
          <cell r="J1389">
            <v>0</v>
          </cell>
          <cell r="K1389">
            <v>1376735420</v>
          </cell>
        </row>
        <row r="1390">
          <cell r="A1390">
            <v>810003</v>
          </cell>
          <cell r="B1390" t="str">
            <v>IMPUESTO UNICO ART 21</v>
          </cell>
          <cell r="C1390">
            <v>157696138</v>
          </cell>
          <cell r="D1390">
            <v>0</v>
          </cell>
          <cell r="E1390">
            <v>157696138</v>
          </cell>
          <cell r="F1390">
            <v>0</v>
          </cell>
          <cell r="G1390">
            <v>0</v>
          </cell>
          <cell r="H1390">
            <v>0</v>
          </cell>
          <cell r="I1390">
            <v>157696138</v>
          </cell>
          <cell r="J1390">
            <v>0</v>
          </cell>
          <cell r="K1390">
            <v>157696138</v>
          </cell>
        </row>
        <row r="1391">
          <cell r="A1391">
            <v>810004</v>
          </cell>
          <cell r="B1391" t="str">
            <v>IMPUESTOS DIFERIDO</v>
          </cell>
          <cell r="C1391">
            <v>67504658</v>
          </cell>
          <cell r="D1391">
            <v>315083365</v>
          </cell>
          <cell r="E1391">
            <v>0</v>
          </cell>
          <cell r="F1391">
            <v>247578707</v>
          </cell>
          <cell r="G1391">
            <v>0</v>
          </cell>
          <cell r="H1391">
            <v>0</v>
          </cell>
          <cell r="I1391">
            <v>0</v>
          </cell>
          <cell r="J1391">
            <v>247578707</v>
          </cell>
          <cell r="K1391">
            <v>-247578707</v>
          </cell>
        </row>
        <row r="1392">
          <cell r="A1392">
            <v>810005</v>
          </cell>
          <cell r="B1392" t="str">
            <v>IMPUESTO TERRITORIAL</v>
          </cell>
          <cell r="C1392">
            <v>22385216</v>
          </cell>
          <cell r="D1392">
            <v>0</v>
          </cell>
          <cell r="E1392">
            <v>22385216</v>
          </cell>
          <cell r="F1392">
            <v>0</v>
          </cell>
          <cell r="G1392">
            <v>0</v>
          </cell>
          <cell r="H1392">
            <v>0</v>
          </cell>
          <cell r="I1392">
            <v>22385216</v>
          </cell>
          <cell r="J1392">
            <v>0</v>
          </cell>
          <cell r="K1392">
            <v>22385216</v>
          </cell>
        </row>
        <row r="1393">
          <cell r="A1393">
            <v>810006</v>
          </cell>
          <cell r="B1393" t="str">
            <v>OTROS EGRESOS X SINIESTRO</v>
          </cell>
          <cell r="C1393">
            <v>0</v>
          </cell>
          <cell r="D1393">
            <v>0</v>
          </cell>
          <cell r="E1393">
            <v>0</v>
          </cell>
          <cell r="F1393">
            <v>0</v>
          </cell>
          <cell r="G1393">
            <v>0</v>
          </cell>
          <cell r="H1393">
            <v>0</v>
          </cell>
          <cell r="I1393">
            <v>0</v>
          </cell>
          <cell r="J1393">
            <v>0</v>
          </cell>
          <cell r="K1393">
            <v>0</v>
          </cell>
        </row>
      </sheetData>
      <sheetData sheetId="1"/>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V201101"/>
      <sheetName val="Hoja2"/>
      <sheetName val="Hoja3"/>
    </sheetNames>
    <sheetDataSet>
      <sheetData sheetId="0">
        <row r="10">
          <cell r="A10">
            <v>110001</v>
          </cell>
        </row>
        <row r="11">
          <cell r="A11">
            <v>110002</v>
          </cell>
        </row>
        <row r="12">
          <cell r="A12">
            <v>110003</v>
          </cell>
        </row>
        <row r="13">
          <cell r="A13">
            <v>110004</v>
          </cell>
        </row>
        <row r="14">
          <cell r="A14">
            <v>110005</v>
          </cell>
        </row>
        <row r="15">
          <cell r="A15">
            <v>110101</v>
          </cell>
        </row>
        <row r="16">
          <cell r="A16">
            <v>110102</v>
          </cell>
        </row>
        <row r="17">
          <cell r="A17">
            <v>110103</v>
          </cell>
        </row>
        <row r="18">
          <cell r="A18">
            <v>110104</v>
          </cell>
        </row>
        <row r="19">
          <cell r="A19">
            <v>110105</v>
          </cell>
        </row>
        <row r="20">
          <cell r="A20">
            <v>110106</v>
          </cell>
        </row>
        <row r="21">
          <cell r="A21">
            <v>110107</v>
          </cell>
        </row>
        <row r="22">
          <cell r="A22">
            <v>110108</v>
          </cell>
        </row>
        <row r="23">
          <cell r="A23">
            <v>110109</v>
          </cell>
        </row>
        <row r="24">
          <cell r="A24">
            <v>110110</v>
          </cell>
        </row>
        <row r="25">
          <cell r="A25">
            <v>110111</v>
          </cell>
        </row>
        <row r="26">
          <cell r="A26">
            <v>110112</v>
          </cell>
        </row>
        <row r="27">
          <cell r="A27">
            <v>110113</v>
          </cell>
        </row>
        <row r="28">
          <cell r="A28">
            <v>110114</v>
          </cell>
        </row>
        <row r="29">
          <cell r="A29">
            <v>110116</v>
          </cell>
        </row>
        <row r="30">
          <cell r="A30">
            <v>110117</v>
          </cell>
        </row>
        <row r="31">
          <cell r="A31">
            <v>110118</v>
          </cell>
        </row>
        <row r="32">
          <cell r="A32">
            <v>110120</v>
          </cell>
        </row>
        <row r="33">
          <cell r="A33">
            <v>110121</v>
          </cell>
        </row>
        <row r="34">
          <cell r="A34">
            <v>110122</v>
          </cell>
        </row>
        <row r="35">
          <cell r="A35">
            <v>110123</v>
          </cell>
        </row>
        <row r="36">
          <cell r="A36">
            <v>110124</v>
          </cell>
        </row>
        <row r="37">
          <cell r="A37">
            <v>110125</v>
          </cell>
        </row>
        <row r="38">
          <cell r="A38">
            <v>110127</v>
          </cell>
        </row>
        <row r="39">
          <cell r="A39">
            <v>110128</v>
          </cell>
        </row>
        <row r="40">
          <cell r="A40">
            <v>110129</v>
          </cell>
        </row>
        <row r="41">
          <cell r="A41">
            <v>110131</v>
          </cell>
        </row>
        <row r="42">
          <cell r="A42">
            <v>110132</v>
          </cell>
        </row>
        <row r="43">
          <cell r="A43">
            <v>110134</v>
          </cell>
        </row>
        <row r="44">
          <cell r="A44">
            <v>110135</v>
          </cell>
        </row>
        <row r="45">
          <cell r="A45">
            <v>110136</v>
          </cell>
        </row>
        <row r="46">
          <cell r="A46">
            <v>110137</v>
          </cell>
        </row>
        <row r="47">
          <cell r="A47">
            <v>110140</v>
          </cell>
        </row>
        <row r="48">
          <cell r="A48">
            <v>110142</v>
          </cell>
        </row>
        <row r="49">
          <cell r="A49">
            <v>110143</v>
          </cell>
        </row>
        <row r="50">
          <cell r="A50">
            <v>110151</v>
          </cell>
        </row>
        <row r="51">
          <cell r="A51">
            <v>110154</v>
          </cell>
        </row>
        <row r="52">
          <cell r="A52">
            <v>110155</v>
          </cell>
        </row>
        <row r="53">
          <cell r="A53">
            <v>110157</v>
          </cell>
        </row>
        <row r="54">
          <cell r="A54">
            <v>110158</v>
          </cell>
        </row>
        <row r="55">
          <cell r="A55">
            <v>110159</v>
          </cell>
        </row>
        <row r="56">
          <cell r="A56">
            <v>110160</v>
          </cell>
        </row>
        <row r="57">
          <cell r="A57">
            <v>110161</v>
          </cell>
        </row>
        <row r="58">
          <cell r="A58">
            <v>110201</v>
          </cell>
        </row>
        <row r="59">
          <cell r="A59">
            <v>110203</v>
          </cell>
        </row>
        <row r="60">
          <cell r="A60">
            <v>110204</v>
          </cell>
        </row>
        <row r="61">
          <cell r="A61">
            <v>110205</v>
          </cell>
        </row>
        <row r="62">
          <cell r="A62">
            <v>110206</v>
          </cell>
        </row>
        <row r="63">
          <cell r="A63">
            <v>110207</v>
          </cell>
        </row>
        <row r="64">
          <cell r="A64">
            <v>110208</v>
          </cell>
        </row>
        <row r="65">
          <cell r="A65">
            <v>110401</v>
          </cell>
        </row>
        <row r="66">
          <cell r="A66">
            <v>110402</v>
          </cell>
        </row>
        <row r="67">
          <cell r="A67">
            <v>110501</v>
          </cell>
        </row>
        <row r="68">
          <cell r="A68">
            <v>110502</v>
          </cell>
        </row>
        <row r="69">
          <cell r="A69">
            <v>110503</v>
          </cell>
        </row>
        <row r="70">
          <cell r="A70">
            <v>110504</v>
          </cell>
        </row>
        <row r="71">
          <cell r="A71">
            <v>110505</v>
          </cell>
        </row>
        <row r="72">
          <cell r="A72">
            <v>110506</v>
          </cell>
        </row>
        <row r="73">
          <cell r="A73">
            <v>110507</v>
          </cell>
        </row>
        <row r="74">
          <cell r="A74">
            <v>110508</v>
          </cell>
        </row>
        <row r="75">
          <cell r="A75">
            <v>110509</v>
          </cell>
        </row>
        <row r="76">
          <cell r="A76">
            <v>110510</v>
          </cell>
        </row>
        <row r="77">
          <cell r="A77">
            <v>110511</v>
          </cell>
        </row>
        <row r="78">
          <cell r="A78">
            <v>110512</v>
          </cell>
        </row>
        <row r="79">
          <cell r="A79">
            <v>110513</v>
          </cell>
        </row>
        <row r="80">
          <cell r="A80">
            <v>110514</v>
          </cell>
        </row>
        <row r="81">
          <cell r="A81">
            <v>110515</v>
          </cell>
        </row>
        <row r="82">
          <cell r="A82">
            <v>110516</v>
          </cell>
        </row>
        <row r="83">
          <cell r="A83">
            <v>110517</v>
          </cell>
        </row>
        <row r="84">
          <cell r="A84">
            <v>110518</v>
          </cell>
        </row>
        <row r="85">
          <cell r="A85">
            <v>110519</v>
          </cell>
        </row>
        <row r="86">
          <cell r="A86">
            <v>110520</v>
          </cell>
        </row>
        <row r="87">
          <cell r="A87">
            <v>110522</v>
          </cell>
        </row>
        <row r="88">
          <cell r="A88">
            <v>110524</v>
          </cell>
        </row>
        <row r="89">
          <cell r="A89">
            <v>110525</v>
          </cell>
        </row>
        <row r="90">
          <cell r="A90">
            <v>110526</v>
          </cell>
        </row>
        <row r="91">
          <cell r="A91">
            <v>110527</v>
          </cell>
        </row>
        <row r="92">
          <cell r="A92">
            <v>110528</v>
          </cell>
        </row>
        <row r="93">
          <cell r="A93">
            <v>110550</v>
          </cell>
        </row>
        <row r="94">
          <cell r="A94">
            <v>110551</v>
          </cell>
        </row>
        <row r="95">
          <cell r="A95">
            <v>110559</v>
          </cell>
        </row>
        <row r="96">
          <cell r="A96">
            <v>110560</v>
          </cell>
        </row>
        <row r="97">
          <cell r="A97">
            <v>110561</v>
          </cell>
        </row>
        <row r="98">
          <cell r="A98">
            <v>110562</v>
          </cell>
        </row>
        <row r="99">
          <cell r="A99">
            <v>110563</v>
          </cell>
        </row>
        <row r="100">
          <cell r="A100">
            <v>110564</v>
          </cell>
        </row>
        <row r="101">
          <cell r="A101">
            <v>110565</v>
          </cell>
        </row>
        <row r="102">
          <cell r="A102">
            <v>110566</v>
          </cell>
        </row>
        <row r="103">
          <cell r="A103">
            <v>110567</v>
          </cell>
        </row>
        <row r="104">
          <cell r="A104">
            <v>110568</v>
          </cell>
        </row>
        <row r="105">
          <cell r="A105">
            <v>110569</v>
          </cell>
        </row>
        <row r="106">
          <cell r="A106">
            <v>110570</v>
          </cell>
        </row>
        <row r="107">
          <cell r="A107">
            <v>110601</v>
          </cell>
        </row>
        <row r="108">
          <cell r="A108">
            <v>110602</v>
          </cell>
        </row>
        <row r="109">
          <cell r="A109">
            <v>110603</v>
          </cell>
        </row>
        <row r="110">
          <cell r="A110">
            <v>110604</v>
          </cell>
        </row>
        <row r="111">
          <cell r="A111">
            <v>110605</v>
          </cell>
        </row>
        <row r="112">
          <cell r="A112">
            <v>110606</v>
          </cell>
        </row>
        <row r="113">
          <cell r="A113">
            <v>110607</v>
          </cell>
        </row>
        <row r="114">
          <cell r="A114">
            <v>110609</v>
          </cell>
        </row>
        <row r="115">
          <cell r="A115">
            <v>110615</v>
          </cell>
        </row>
        <row r="116">
          <cell r="A116">
            <v>110616</v>
          </cell>
        </row>
        <row r="117">
          <cell r="A117">
            <v>110617</v>
          </cell>
        </row>
        <row r="118">
          <cell r="A118">
            <v>110618</v>
          </cell>
        </row>
        <row r="119">
          <cell r="A119">
            <v>110619</v>
          </cell>
        </row>
        <row r="120">
          <cell r="A120">
            <v>110621</v>
          </cell>
        </row>
        <row r="121">
          <cell r="A121">
            <v>110622</v>
          </cell>
        </row>
        <row r="122">
          <cell r="A122">
            <v>110629</v>
          </cell>
        </row>
        <row r="123">
          <cell r="A123">
            <v>110630</v>
          </cell>
        </row>
        <row r="124">
          <cell r="A124">
            <v>110632</v>
          </cell>
        </row>
        <row r="125">
          <cell r="A125">
            <v>110641</v>
          </cell>
        </row>
        <row r="126">
          <cell r="A126">
            <v>110665</v>
          </cell>
        </row>
        <row r="127">
          <cell r="A127">
            <v>110666</v>
          </cell>
        </row>
        <row r="128">
          <cell r="A128">
            <v>110670</v>
          </cell>
        </row>
        <row r="129">
          <cell r="A129">
            <v>110672</v>
          </cell>
        </row>
        <row r="130">
          <cell r="A130">
            <v>110674</v>
          </cell>
        </row>
        <row r="131">
          <cell r="A131">
            <v>110676</v>
          </cell>
        </row>
        <row r="132">
          <cell r="A132">
            <v>110678</v>
          </cell>
        </row>
        <row r="133">
          <cell r="A133">
            <v>110679</v>
          </cell>
        </row>
        <row r="134">
          <cell r="A134">
            <v>110681</v>
          </cell>
        </row>
        <row r="135">
          <cell r="A135">
            <v>110683</v>
          </cell>
        </row>
        <row r="136">
          <cell r="A136">
            <v>110685</v>
          </cell>
        </row>
        <row r="137">
          <cell r="A137">
            <v>110688</v>
          </cell>
        </row>
        <row r="138">
          <cell r="A138">
            <v>110689</v>
          </cell>
        </row>
        <row r="139">
          <cell r="A139">
            <v>110690</v>
          </cell>
        </row>
        <row r="140">
          <cell r="A140">
            <v>110691</v>
          </cell>
        </row>
        <row r="141">
          <cell r="A141">
            <v>110694</v>
          </cell>
        </row>
        <row r="142">
          <cell r="A142">
            <v>110710</v>
          </cell>
        </row>
        <row r="143">
          <cell r="A143">
            <v>110751</v>
          </cell>
        </row>
        <row r="144">
          <cell r="A144">
            <v>110752</v>
          </cell>
        </row>
        <row r="145">
          <cell r="A145">
            <v>110753</v>
          </cell>
        </row>
        <row r="146">
          <cell r="A146">
            <v>110801</v>
          </cell>
        </row>
        <row r="147">
          <cell r="A147">
            <v>110802</v>
          </cell>
        </row>
        <row r="148">
          <cell r="A148">
            <v>110804</v>
          </cell>
        </row>
        <row r="149">
          <cell r="A149">
            <v>110805</v>
          </cell>
        </row>
        <row r="150">
          <cell r="A150">
            <v>110806</v>
          </cell>
        </row>
        <row r="151">
          <cell r="A151">
            <v>110807</v>
          </cell>
        </row>
        <row r="152">
          <cell r="A152">
            <v>110808</v>
          </cell>
        </row>
        <row r="153">
          <cell r="A153">
            <v>110809</v>
          </cell>
        </row>
        <row r="154">
          <cell r="A154">
            <v>110810</v>
          </cell>
        </row>
        <row r="155">
          <cell r="A155">
            <v>110812</v>
          </cell>
        </row>
        <row r="156">
          <cell r="A156">
            <v>110813</v>
          </cell>
        </row>
        <row r="157">
          <cell r="A157">
            <v>110814</v>
          </cell>
        </row>
        <row r="158">
          <cell r="A158">
            <v>110815</v>
          </cell>
        </row>
        <row r="159">
          <cell r="A159">
            <v>110816</v>
          </cell>
        </row>
        <row r="160">
          <cell r="A160">
            <v>110817</v>
          </cell>
        </row>
        <row r="161">
          <cell r="A161">
            <v>110818</v>
          </cell>
        </row>
        <row r="162">
          <cell r="A162">
            <v>110819</v>
          </cell>
        </row>
        <row r="163">
          <cell r="A163">
            <v>110820</v>
          </cell>
        </row>
        <row r="164">
          <cell r="A164">
            <v>110821</v>
          </cell>
        </row>
        <row r="165">
          <cell r="A165">
            <v>110822</v>
          </cell>
        </row>
        <row r="166">
          <cell r="A166">
            <v>110825</v>
          </cell>
        </row>
        <row r="167">
          <cell r="A167">
            <v>110827</v>
          </cell>
        </row>
        <row r="168">
          <cell r="A168">
            <v>110829</v>
          </cell>
        </row>
        <row r="169">
          <cell r="A169">
            <v>110830</v>
          </cell>
        </row>
        <row r="170">
          <cell r="A170">
            <v>110831</v>
          </cell>
        </row>
        <row r="171">
          <cell r="A171">
            <v>110840</v>
          </cell>
        </row>
        <row r="172">
          <cell r="A172">
            <v>110841</v>
          </cell>
        </row>
        <row r="173">
          <cell r="A173">
            <v>110842</v>
          </cell>
        </row>
        <row r="174">
          <cell r="A174">
            <v>110843</v>
          </cell>
        </row>
        <row r="175">
          <cell r="A175">
            <v>110845</v>
          </cell>
        </row>
        <row r="176">
          <cell r="A176">
            <v>110846</v>
          </cell>
        </row>
        <row r="177">
          <cell r="A177">
            <v>110848</v>
          </cell>
        </row>
        <row r="178">
          <cell r="A178">
            <v>110849</v>
          </cell>
        </row>
        <row r="179">
          <cell r="A179">
            <v>110851</v>
          </cell>
        </row>
        <row r="180">
          <cell r="A180">
            <v>110852</v>
          </cell>
        </row>
        <row r="181">
          <cell r="A181">
            <v>110853</v>
          </cell>
        </row>
        <row r="182">
          <cell r="A182">
            <v>110901</v>
          </cell>
        </row>
        <row r="183">
          <cell r="A183">
            <v>111001</v>
          </cell>
        </row>
        <row r="184">
          <cell r="A184">
            <v>111002</v>
          </cell>
        </row>
        <row r="185">
          <cell r="A185">
            <v>111003</v>
          </cell>
        </row>
        <row r="186">
          <cell r="A186">
            <v>111101</v>
          </cell>
        </row>
        <row r="187">
          <cell r="A187">
            <v>111102</v>
          </cell>
        </row>
        <row r="188">
          <cell r="A188">
            <v>111201</v>
          </cell>
        </row>
        <row r="189">
          <cell r="A189">
            <v>111202</v>
          </cell>
        </row>
        <row r="190">
          <cell r="A190">
            <v>111203</v>
          </cell>
        </row>
        <row r="191">
          <cell r="A191">
            <v>111205</v>
          </cell>
        </row>
        <row r="192">
          <cell r="A192">
            <v>111206</v>
          </cell>
        </row>
        <row r="193">
          <cell r="A193">
            <v>111207</v>
          </cell>
        </row>
        <row r="194">
          <cell r="A194">
            <v>111208</v>
          </cell>
        </row>
        <row r="195">
          <cell r="A195">
            <v>111209</v>
          </cell>
        </row>
        <row r="196">
          <cell r="A196">
            <v>111213</v>
          </cell>
        </row>
        <row r="197">
          <cell r="A197">
            <v>111301</v>
          </cell>
        </row>
        <row r="198">
          <cell r="A198">
            <v>111302</v>
          </cell>
        </row>
        <row r="199">
          <cell r="A199">
            <v>111303</v>
          </cell>
        </row>
        <row r="200">
          <cell r="A200">
            <v>111305</v>
          </cell>
        </row>
        <row r="201">
          <cell r="A201">
            <v>111307</v>
          </cell>
        </row>
        <row r="202">
          <cell r="A202">
            <v>111308</v>
          </cell>
        </row>
        <row r="203">
          <cell r="A203">
            <v>111309</v>
          </cell>
        </row>
        <row r="204">
          <cell r="A204">
            <v>111311</v>
          </cell>
        </row>
        <row r="205">
          <cell r="A205">
            <v>111313</v>
          </cell>
        </row>
        <row r="206">
          <cell r="A206">
            <v>111314</v>
          </cell>
        </row>
        <row r="207">
          <cell r="A207">
            <v>111315</v>
          </cell>
        </row>
        <row r="208">
          <cell r="A208">
            <v>111316</v>
          </cell>
        </row>
        <row r="209">
          <cell r="A209">
            <v>111317</v>
          </cell>
        </row>
        <row r="210">
          <cell r="A210">
            <v>111318</v>
          </cell>
        </row>
        <row r="211">
          <cell r="A211">
            <v>111401</v>
          </cell>
        </row>
        <row r="212">
          <cell r="A212">
            <v>111402</v>
          </cell>
        </row>
        <row r="213">
          <cell r="A213">
            <v>111403</v>
          </cell>
        </row>
        <row r="214">
          <cell r="A214">
            <v>111404</v>
          </cell>
        </row>
        <row r="215">
          <cell r="A215">
            <v>111405</v>
          </cell>
        </row>
        <row r="216">
          <cell r="A216">
            <v>111406</v>
          </cell>
        </row>
        <row r="217">
          <cell r="A217">
            <v>111407</v>
          </cell>
        </row>
        <row r="218">
          <cell r="A218">
            <v>111408</v>
          </cell>
        </row>
        <row r="219">
          <cell r="A219">
            <v>111409</v>
          </cell>
        </row>
        <row r="220">
          <cell r="A220">
            <v>111410</v>
          </cell>
        </row>
        <row r="221">
          <cell r="A221">
            <v>111411</v>
          </cell>
        </row>
        <row r="222">
          <cell r="A222">
            <v>111412</v>
          </cell>
        </row>
        <row r="223">
          <cell r="A223">
            <v>111413</v>
          </cell>
        </row>
        <row r="224">
          <cell r="A224">
            <v>111414</v>
          </cell>
        </row>
        <row r="225">
          <cell r="A225">
            <v>111415</v>
          </cell>
        </row>
        <row r="226">
          <cell r="A226">
            <v>111416</v>
          </cell>
        </row>
        <row r="227">
          <cell r="A227">
            <v>111418</v>
          </cell>
        </row>
        <row r="228">
          <cell r="A228">
            <v>111421</v>
          </cell>
        </row>
        <row r="229">
          <cell r="A229">
            <v>111501</v>
          </cell>
        </row>
        <row r="230">
          <cell r="A230">
            <v>111503</v>
          </cell>
        </row>
        <row r="231">
          <cell r="A231">
            <v>111504</v>
          </cell>
        </row>
        <row r="232">
          <cell r="A232">
            <v>111506</v>
          </cell>
        </row>
        <row r="233">
          <cell r="A233">
            <v>111510</v>
          </cell>
        </row>
        <row r="234">
          <cell r="A234">
            <v>111511</v>
          </cell>
        </row>
        <row r="235">
          <cell r="A235">
            <v>111512</v>
          </cell>
        </row>
        <row r="236">
          <cell r="A236">
            <v>111513</v>
          </cell>
        </row>
        <row r="237">
          <cell r="A237">
            <v>111603</v>
          </cell>
        </row>
        <row r="238">
          <cell r="A238">
            <v>111604</v>
          </cell>
        </row>
        <row r="239">
          <cell r="A239">
            <v>111605</v>
          </cell>
        </row>
        <row r="240">
          <cell r="A240">
            <v>111606</v>
          </cell>
        </row>
        <row r="241">
          <cell r="A241">
            <v>111607</v>
          </cell>
        </row>
        <row r="242">
          <cell r="A242">
            <v>111608</v>
          </cell>
        </row>
        <row r="243">
          <cell r="A243">
            <v>111610</v>
          </cell>
        </row>
        <row r="244">
          <cell r="A244">
            <v>111611</v>
          </cell>
        </row>
        <row r="245">
          <cell r="A245">
            <v>111612</v>
          </cell>
        </row>
        <row r="246">
          <cell r="A246">
            <v>111613</v>
          </cell>
        </row>
        <row r="247">
          <cell r="A247">
            <v>111614</v>
          </cell>
        </row>
        <row r="248">
          <cell r="A248">
            <v>111615</v>
          </cell>
        </row>
        <row r="249">
          <cell r="A249">
            <v>111617</v>
          </cell>
        </row>
        <row r="250">
          <cell r="A250">
            <v>111621</v>
          </cell>
        </row>
        <row r="251">
          <cell r="A251">
            <v>111622</v>
          </cell>
        </row>
        <row r="252">
          <cell r="A252">
            <v>111623</v>
          </cell>
        </row>
        <row r="253">
          <cell r="A253">
            <v>111625</v>
          </cell>
        </row>
        <row r="254">
          <cell r="A254">
            <v>111626</v>
          </cell>
        </row>
        <row r="255">
          <cell r="A255">
            <v>111629</v>
          </cell>
        </row>
        <row r="256">
          <cell r="A256">
            <v>111630</v>
          </cell>
        </row>
        <row r="257">
          <cell r="A257">
            <v>111632</v>
          </cell>
        </row>
        <row r="258">
          <cell r="A258">
            <v>111633</v>
          </cell>
        </row>
        <row r="259">
          <cell r="A259">
            <v>111634</v>
          </cell>
        </row>
        <row r="260">
          <cell r="A260">
            <v>111636</v>
          </cell>
        </row>
        <row r="261">
          <cell r="A261">
            <v>111637</v>
          </cell>
        </row>
        <row r="262">
          <cell r="A262">
            <v>111638</v>
          </cell>
        </row>
        <row r="263">
          <cell r="A263">
            <v>111640</v>
          </cell>
        </row>
        <row r="264">
          <cell r="A264">
            <v>111641</v>
          </cell>
        </row>
        <row r="265">
          <cell r="A265">
            <v>111642</v>
          </cell>
        </row>
        <row r="266">
          <cell r="A266">
            <v>111643</v>
          </cell>
        </row>
        <row r="267">
          <cell r="A267">
            <v>111644</v>
          </cell>
        </row>
        <row r="268">
          <cell r="A268">
            <v>111703</v>
          </cell>
        </row>
        <row r="269">
          <cell r="A269">
            <v>111705</v>
          </cell>
        </row>
        <row r="270">
          <cell r="A270">
            <v>111706</v>
          </cell>
        </row>
        <row r="271">
          <cell r="A271">
            <v>111707</v>
          </cell>
        </row>
        <row r="272">
          <cell r="A272">
            <v>111708</v>
          </cell>
        </row>
        <row r="273">
          <cell r="A273">
            <v>111710</v>
          </cell>
        </row>
        <row r="274">
          <cell r="A274">
            <v>111711</v>
          </cell>
        </row>
        <row r="275">
          <cell r="A275">
            <v>111712</v>
          </cell>
        </row>
        <row r="276">
          <cell r="A276">
            <v>111801</v>
          </cell>
        </row>
        <row r="277">
          <cell r="A277">
            <v>111802</v>
          </cell>
        </row>
        <row r="278">
          <cell r="A278">
            <v>111805</v>
          </cell>
        </row>
        <row r="279">
          <cell r="A279">
            <v>111806</v>
          </cell>
        </row>
        <row r="280">
          <cell r="A280">
            <v>111807</v>
          </cell>
        </row>
        <row r="281">
          <cell r="A281">
            <v>111809</v>
          </cell>
        </row>
        <row r="282">
          <cell r="A282">
            <v>111810</v>
          </cell>
        </row>
        <row r="283">
          <cell r="A283">
            <v>111811</v>
          </cell>
        </row>
        <row r="284">
          <cell r="A284">
            <v>111820</v>
          </cell>
        </row>
        <row r="285">
          <cell r="A285">
            <v>111821</v>
          </cell>
        </row>
        <row r="286">
          <cell r="A286">
            <v>111822</v>
          </cell>
        </row>
        <row r="287">
          <cell r="A287">
            <v>111823</v>
          </cell>
        </row>
        <row r="288">
          <cell r="A288">
            <v>111824</v>
          </cell>
        </row>
        <row r="289">
          <cell r="A289">
            <v>111825</v>
          </cell>
        </row>
        <row r="290">
          <cell r="A290">
            <v>111826</v>
          </cell>
        </row>
        <row r="291">
          <cell r="A291">
            <v>111827</v>
          </cell>
        </row>
        <row r="292">
          <cell r="A292">
            <v>111828</v>
          </cell>
        </row>
        <row r="293">
          <cell r="A293">
            <v>111829</v>
          </cell>
        </row>
        <row r="294">
          <cell r="A294">
            <v>111831</v>
          </cell>
        </row>
        <row r="295">
          <cell r="A295">
            <v>111832</v>
          </cell>
        </row>
        <row r="296">
          <cell r="A296">
            <v>111833</v>
          </cell>
        </row>
        <row r="297">
          <cell r="A297">
            <v>111834</v>
          </cell>
        </row>
        <row r="298">
          <cell r="A298">
            <v>111835</v>
          </cell>
        </row>
        <row r="299">
          <cell r="A299">
            <v>111836</v>
          </cell>
        </row>
        <row r="300">
          <cell r="A300">
            <v>111837</v>
          </cell>
        </row>
        <row r="301">
          <cell r="A301">
            <v>111838</v>
          </cell>
        </row>
        <row r="302">
          <cell r="A302">
            <v>111839</v>
          </cell>
        </row>
        <row r="303">
          <cell r="A303">
            <v>111840</v>
          </cell>
        </row>
        <row r="304">
          <cell r="A304">
            <v>111841</v>
          </cell>
        </row>
        <row r="305">
          <cell r="A305">
            <v>111842</v>
          </cell>
        </row>
        <row r="306">
          <cell r="A306">
            <v>111843</v>
          </cell>
        </row>
        <row r="307">
          <cell r="A307">
            <v>111844</v>
          </cell>
        </row>
        <row r="308">
          <cell r="A308">
            <v>111845</v>
          </cell>
        </row>
        <row r="309">
          <cell r="A309">
            <v>111846</v>
          </cell>
        </row>
        <row r="310">
          <cell r="A310">
            <v>111847</v>
          </cell>
        </row>
        <row r="311">
          <cell r="A311">
            <v>111848</v>
          </cell>
        </row>
        <row r="312">
          <cell r="A312">
            <v>111850</v>
          </cell>
        </row>
        <row r="313">
          <cell r="A313">
            <v>111851</v>
          </cell>
        </row>
        <row r="314">
          <cell r="A314">
            <v>111852</v>
          </cell>
        </row>
        <row r="315">
          <cell r="A315">
            <v>111853</v>
          </cell>
        </row>
        <row r="316">
          <cell r="A316">
            <v>111854</v>
          </cell>
        </row>
        <row r="317">
          <cell r="A317">
            <v>111855</v>
          </cell>
        </row>
        <row r="318">
          <cell r="A318">
            <v>111856</v>
          </cell>
        </row>
        <row r="319">
          <cell r="A319">
            <v>111857</v>
          </cell>
        </row>
        <row r="320">
          <cell r="A320">
            <v>111858</v>
          </cell>
        </row>
        <row r="321">
          <cell r="A321">
            <v>111859</v>
          </cell>
        </row>
        <row r="322">
          <cell r="A322">
            <v>111860</v>
          </cell>
        </row>
        <row r="323">
          <cell r="A323">
            <v>111861</v>
          </cell>
        </row>
        <row r="324">
          <cell r="A324">
            <v>111862</v>
          </cell>
        </row>
        <row r="325">
          <cell r="A325">
            <v>111863</v>
          </cell>
        </row>
        <row r="326">
          <cell r="A326">
            <v>111864</v>
          </cell>
        </row>
        <row r="327">
          <cell r="A327">
            <v>111865</v>
          </cell>
        </row>
        <row r="328">
          <cell r="A328">
            <v>111867</v>
          </cell>
        </row>
        <row r="329">
          <cell r="A329">
            <v>111868</v>
          </cell>
        </row>
        <row r="330">
          <cell r="A330">
            <v>111869</v>
          </cell>
        </row>
        <row r="331">
          <cell r="A331">
            <v>111870</v>
          </cell>
        </row>
        <row r="332">
          <cell r="A332">
            <v>111871</v>
          </cell>
        </row>
        <row r="333">
          <cell r="A333">
            <v>111872</v>
          </cell>
        </row>
        <row r="334">
          <cell r="A334">
            <v>111873</v>
          </cell>
        </row>
        <row r="335">
          <cell r="A335">
            <v>111874</v>
          </cell>
        </row>
        <row r="336">
          <cell r="A336">
            <v>111875</v>
          </cell>
        </row>
        <row r="337">
          <cell r="A337">
            <v>111876</v>
          </cell>
        </row>
        <row r="338">
          <cell r="A338">
            <v>111877</v>
          </cell>
        </row>
        <row r="339">
          <cell r="A339">
            <v>111878</v>
          </cell>
        </row>
        <row r="340">
          <cell r="A340">
            <v>111879</v>
          </cell>
        </row>
        <row r="341">
          <cell r="A341">
            <v>111880</v>
          </cell>
        </row>
        <row r="342">
          <cell r="A342">
            <v>111881</v>
          </cell>
        </row>
        <row r="343">
          <cell r="A343">
            <v>111882</v>
          </cell>
        </row>
        <row r="344">
          <cell r="A344">
            <v>111883</v>
          </cell>
        </row>
        <row r="345">
          <cell r="A345">
            <v>111884</v>
          </cell>
        </row>
        <row r="346">
          <cell r="A346">
            <v>111885</v>
          </cell>
        </row>
        <row r="347">
          <cell r="A347">
            <v>111886</v>
          </cell>
        </row>
        <row r="348">
          <cell r="A348">
            <v>111887</v>
          </cell>
        </row>
        <row r="349">
          <cell r="A349">
            <v>111891</v>
          </cell>
        </row>
        <row r="350">
          <cell r="A350">
            <v>111892</v>
          </cell>
        </row>
        <row r="351">
          <cell r="A351">
            <v>111893</v>
          </cell>
        </row>
        <row r="352">
          <cell r="A352">
            <v>111894</v>
          </cell>
        </row>
        <row r="353">
          <cell r="A353">
            <v>111901</v>
          </cell>
        </row>
        <row r="354">
          <cell r="A354">
            <v>112001</v>
          </cell>
        </row>
        <row r="355">
          <cell r="A355">
            <v>112002</v>
          </cell>
        </row>
        <row r="356">
          <cell r="A356">
            <v>112003</v>
          </cell>
        </row>
        <row r="357">
          <cell r="A357">
            <v>112004</v>
          </cell>
        </row>
        <row r="358">
          <cell r="A358">
            <v>112005</v>
          </cell>
        </row>
        <row r="359">
          <cell r="A359">
            <v>112006</v>
          </cell>
        </row>
        <row r="360">
          <cell r="A360">
            <v>112007</v>
          </cell>
        </row>
        <row r="361">
          <cell r="A361">
            <v>112010</v>
          </cell>
        </row>
        <row r="362">
          <cell r="A362">
            <v>112011</v>
          </cell>
        </row>
        <row r="363">
          <cell r="A363">
            <v>112012</v>
          </cell>
        </row>
        <row r="364">
          <cell r="A364">
            <v>112013</v>
          </cell>
        </row>
        <row r="365">
          <cell r="A365">
            <v>112015</v>
          </cell>
        </row>
        <row r="366">
          <cell r="A366">
            <v>112016</v>
          </cell>
        </row>
        <row r="367">
          <cell r="A367">
            <v>112017</v>
          </cell>
        </row>
        <row r="368">
          <cell r="A368">
            <v>112018</v>
          </cell>
        </row>
        <row r="369">
          <cell r="A369">
            <v>112019</v>
          </cell>
        </row>
        <row r="370">
          <cell r="A370">
            <v>112020</v>
          </cell>
        </row>
        <row r="371">
          <cell r="A371">
            <v>112021</v>
          </cell>
        </row>
        <row r="372">
          <cell r="A372">
            <v>112022</v>
          </cell>
        </row>
        <row r="373">
          <cell r="A373">
            <v>112029</v>
          </cell>
        </row>
        <row r="374">
          <cell r="A374">
            <v>112030</v>
          </cell>
        </row>
        <row r="375">
          <cell r="A375">
            <v>112031</v>
          </cell>
        </row>
        <row r="376">
          <cell r="A376">
            <v>112032</v>
          </cell>
        </row>
        <row r="377">
          <cell r="A377">
            <v>113001</v>
          </cell>
        </row>
        <row r="378">
          <cell r="A378">
            <v>113002</v>
          </cell>
        </row>
        <row r="379">
          <cell r="A379">
            <v>113003</v>
          </cell>
        </row>
        <row r="380">
          <cell r="A380">
            <v>113004</v>
          </cell>
        </row>
        <row r="381">
          <cell r="A381">
            <v>113005</v>
          </cell>
        </row>
        <row r="382">
          <cell r="A382">
            <v>113006</v>
          </cell>
        </row>
        <row r="383">
          <cell r="A383">
            <v>113007</v>
          </cell>
        </row>
        <row r="384">
          <cell r="A384">
            <v>113008</v>
          </cell>
        </row>
        <row r="385">
          <cell r="A385">
            <v>113009</v>
          </cell>
        </row>
        <row r="386">
          <cell r="A386">
            <v>113010</v>
          </cell>
        </row>
        <row r="387">
          <cell r="A387">
            <v>113011</v>
          </cell>
        </row>
        <row r="388">
          <cell r="A388">
            <v>113012</v>
          </cell>
        </row>
        <row r="389">
          <cell r="A389">
            <v>113013</v>
          </cell>
        </row>
        <row r="390">
          <cell r="A390">
            <v>113014</v>
          </cell>
        </row>
        <row r="391">
          <cell r="A391">
            <v>113015</v>
          </cell>
        </row>
        <row r="392">
          <cell r="A392">
            <v>113016</v>
          </cell>
        </row>
        <row r="393">
          <cell r="A393">
            <v>113017</v>
          </cell>
        </row>
        <row r="394">
          <cell r="A394">
            <v>113018</v>
          </cell>
        </row>
        <row r="395">
          <cell r="A395">
            <v>113019</v>
          </cell>
        </row>
        <row r="396">
          <cell r="A396">
            <v>113020</v>
          </cell>
        </row>
        <row r="397">
          <cell r="A397">
            <v>113021</v>
          </cell>
        </row>
        <row r="398">
          <cell r="A398">
            <v>113022</v>
          </cell>
        </row>
        <row r="399">
          <cell r="A399">
            <v>113050</v>
          </cell>
        </row>
        <row r="400">
          <cell r="A400">
            <v>113051</v>
          </cell>
        </row>
        <row r="401">
          <cell r="A401">
            <v>113052</v>
          </cell>
        </row>
        <row r="402">
          <cell r="A402">
            <v>113053</v>
          </cell>
        </row>
        <row r="403">
          <cell r="A403">
            <v>113060</v>
          </cell>
        </row>
        <row r="404">
          <cell r="A404">
            <v>113061</v>
          </cell>
        </row>
        <row r="405">
          <cell r="A405">
            <v>113101</v>
          </cell>
        </row>
        <row r="406">
          <cell r="A406">
            <v>114001</v>
          </cell>
        </row>
        <row r="407">
          <cell r="A407">
            <v>114002</v>
          </cell>
        </row>
        <row r="408">
          <cell r="A408">
            <v>114003</v>
          </cell>
        </row>
        <row r="409">
          <cell r="A409">
            <v>114004</v>
          </cell>
        </row>
        <row r="410">
          <cell r="A410">
            <v>114006</v>
          </cell>
        </row>
        <row r="411">
          <cell r="A411">
            <v>114007</v>
          </cell>
        </row>
        <row r="412">
          <cell r="A412">
            <v>114008</v>
          </cell>
        </row>
        <row r="413">
          <cell r="A413">
            <v>114009</v>
          </cell>
        </row>
        <row r="414">
          <cell r="A414">
            <v>114010</v>
          </cell>
        </row>
        <row r="415">
          <cell r="A415">
            <v>114011</v>
          </cell>
        </row>
        <row r="416">
          <cell r="A416">
            <v>114012</v>
          </cell>
        </row>
        <row r="417">
          <cell r="A417">
            <v>114013</v>
          </cell>
        </row>
        <row r="418">
          <cell r="A418">
            <v>114014</v>
          </cell>
        </row>
        <row r="419">
          <cell r="A419">
            <v>114015</v>
          </cell>
        </row>
        <row r="420">
          <cell r="A420">
            <v>114017</v>
          </cell>
        </row>
        <row r="421">
          <cell r="A421">
            <v>114018</v>
          </cell>
        </row>
        <row r="422">
          <cell r="A422">
            <v>114019</v>
          </cell>
        </row>
        <row r="423">
          <cell r="A423">
            <v>114101</v>
          </cell>
        </row>
        <row r="424">
          <cell r="A424">
            <v>115001</v>
          </cell>
        </row>
        <row r="425">
          <cell r="A425">
            <v>115003</v>
          </cell>
        </row>
        <row r="426">
          <cell r="A426">
            <v>115013</v>
          </cell>
        </row>
        <row r="427">
          <cell r="A427">
            <v>115014</v>
          </cell>
        </row>
        <row r="428">
          <cell r="A428">
            <v>115016</v>
          </cell>
        </row>
        <row r="429">
          <cell r="A429">
            <v>210101</v>
          </cell>
        </row>
        <row r="430">
          <cell r="A430">
            <v>210102</v>
          </cell>
        </row>
        <row r="431">
          <cell r="A431">
            <v>210103</v>
          </cell>
        </row>
        <row r="432">
          <cell r="A432">
            <v>210104</v>
          </cell>
        </row>
        <row r="433">
          <cell r="A433">
            <v>210105</v>
          </cell>
        </row>
        <row r="434">
          <cell r="A434">
            <v>210106</v>
          </cell>
        </row>
        <row r="435">
          <cell r="A435">
            <v>210107</v>
          </cell>
        </row>
        <row r="436">
          <cell r="A436">
            <v>210108</v>
          </cell>
        </row>
        <row r="437">
          <cell r="A437">
            <v>210109</v>
          </cell>
        </row>
        <row r="438">
          <cell r="A438">
            <v>210110</v>
          </cell>
        </row>
        <row r="439">
          <cell r="A439">
            <v>210111</v>
          </cell>
        </row>
        <row r="440">
          <cell r="A440">
            <v>210112</v>
          </cell>
        </row>
        <row r="441">
          <cell r="A441">
            <v>210113</v>
          </cell>
        </row>
        <row r="442">
          <cell r="A442">
            <v>210115</v>
          </cell>
        </row>
        <row r="443">
          <cell r="A443">
            <v>210116</v>
          </cell>
        </row>
        <row r="444">
          <cell r="A444">
            <v>210118</v>
          </cell>
        </row>
        <row r="445">
          <cell r="A445">
            <v>210301</v>
          </cell>
        </row>
        <row r="446">
          <cell r="A446">
            <v>210302</v>
          </cell>
        </row>
        <row r="447">
          <cell r="A447">
            <v>210303</v>
          </cell>
        </row>
        <row r="448">
          <cell r="A448">
            <v>210304</v>
          </cell>
        </row>
        <row r="449">
          <cell r="A449">
            <v>210305</v>
          </cell>
        </row>
        <row r="450">
          <cell r="A450">
            <v>210306</v>
          </cell>
        </row>
        <row r="451">
          <cell r="A451">
            <v>210307</v>
          </cell>
        </row>
        <row r="452">
          <cell r="A452">
            <v>210308</v>
          </cell>
        </row>
        <row r="453">
          <cell r="A453">
            <v>210309</v>
          </cell>
        </row>
        <row r="454">
          <cell r="A454">
            <v>210310</v>
          </cell>
        </row>
        <row r="455">
          <cell r="A455">
            <v>210311</v>
          </cell>
        </row>
        <row r="456">
          <cell r="A456">
            <v>210312</v>
          </cell>
        </row>
        <row r="457">
          <cell r="A457">
            <v>210313</v>
          </cell>
        </row>
        <row r="458">
          <cell r="A458">
            <v>210314</v>
          </cell>
        </row>
        <row r="459">
          <cell r="A459">
            <v>210315</v>
          </cell>
        </row>
        <row r="460">
          <cell r="A460">
            <v>210316</v>
          </cell>
        </row>
        <row r="461">
          <cell r="A461">
            <v>210317</v>
          </cell>
        </row>
        <row r="462">
          <cell r="A462">
            <v>210319</v>
          </cell>
        </row>
        <row r="463">
          <cell r="A463">
            <v>210320</v>
          </cell>
        </row>
        <row r="464">
          <cell r="A464">
            <v>210321</v>
          </cell>
        </row>
        <row r="465">
          <cell r="A465">
            <v>210322</v>
          </cell>
        </row>
        <row r="466">
          <cell r="A466">
            <v>210323</v>
          </cell>
        </row>
        <row r="467">
          <cell r="A467">
            <v>210324</v>
          </cell>
        </row>
        <row r="468">
          <cell r="A468">
            <v>210325</v>
          </cell>
        </row>
        <row r="469">
          <cell r="A469">
            <v>210326</v>
          </cell>
        </row>
        <row r="470">
          <cell r="A470">
            <v>210327</v>
          </cell>
        </row>
        <row r="471">
          <cell r="A471">
            <v>210328</v>
          </cell>
        </row>
        <row r="472">
          <cell r="A472">
            <v>210329</v>
          </cell>
        </row>
        <row r="473">
          <cell r="A473">
            <v>210331</v>
          </cell>
        </row>
        <row r="474">
          <cell r="A474">
            <v>210332</v>
          </cell>
        </row>
        <row r="475">
          <cell r="A475">
            <v>210333</v>
          </cell>
        </row>
        <row r="476">
          <cell r="A476">
            <v>210351</v>
          </cell>
        </row>
        <row r="477">
          <cell r="A477">
            <v>210352</v>
          </cell>
        </row>
        <row r="478">
          <cell r="A478">
            <v>210401</v>
          </cell>
        </row>
        <row r="479">
          <cell r="A479">
            <v>210403</v>
          </cell>
        </row>
        <row r="480">
          <cell r="A480">
            <v>210404</v>
          </cell>
        </row>
        <row r="481">
          <cell r="A481">
            <v>210501</v>
          </cell>
        </row>
        <row r="482">
          <cell r="A482">
            <v>210502</v>
          </cell>
        </row>
        <row r="483">
          <cell r="A483">
            <v>210503</v>
          </cell>
        </row>
        <row r="484">
          <cell r="A484">
            <v>210513</v>
          </cell>
        </row>
        <row r="485">
          <cell r="A485">
            <v>210708</v>
          </cell>
        </row>
        <row r="486">
          <cell r="A486">
            <v>210711</v>
          </cell>
        </row>
        <row r="487">
          <cell r="A487">
            <v>210901</v>
          </cell>
        </row>
        <row r="488">
          <cell r="A488">
            <v>210902</v>
          </cell>
        </row>
        <row r="489">
          <cell r="A489">
            <v>210903</v>
          </cell>
        </row>
        <row r="490">
          <cell r="A490">
            <v>210904</v>
          </cell>
        </row>
        <row r="491">
          <cell r="A491">
            <v>210905</v>
          </cell>
        </row>
        <row r="492">
          <cell r="A492">
            <v>210906</v>
          </cell>
        </row>
        <row r="493">
          <cell r="A493">
            <v>210907</v>
          </cell>
        </row>
        <row r="494">
          <cell r="A494">
            <v>210908</v>
          </cell>
        </row>
        <row r="495">
          <cell r="A495">
            <v>210909</v>
          </cell>
        </row>
        <row r="496">
          <cell r="A496">
            <v>210910</v>
          </cell>
        </row>
        <row r="497">
          <cell r="A497">
            <v>210911</v>
          </cell>
        </row>
        <row r="498">
          <cell r="A498">
            <v>210912</v>
          </cell>
        </row>
        <row r="499">
          <cell r="A499">
            <v>210913</v>
          </cell>
        </row>
        <row r="500">
          <cell r="A500">
            <v>210914</v>
          </cell>
        </row>
        <row r="501">
          <cell r="A501">
            <v>210915</v>
          </cell>
        </row>
        <row r="502">
          <cell r="A502">
            <v>210916</v>
          </cell>
        </row>
        <row r="503">
          <cell r="A503">
            <v>210917</v>
          </cell>
        </row>
        <row r="504">
          <cell r="A504">
            <v>210918</v>
          </cell>
        </row>
        <row r="505">
          <cell r="A505">
            <v>210919</v>
          </cell>
        </row>
        <row r="506">
          <cell r="A506">
            <v>210920</v>
          </cell>
        </row>
        <row r="507">
          <cell r="A507">
            <v>210921</v>
          </cell>
        </row>
        <row r="508">
          <cell r="A508">
            <v>210922</v>
          </cell>
        </row>
        <row r="509">
          <cell r="A509">
            <v>210923</v>
          </cell>
        </row>
        <row r="510">
          <cell r="A510">
            <v>210924</v>
          </cell>
        </row>
        <row r="511">
          <cell r="A511">
            <v>210925</v>
          </cell>
        </row>
        <row r="512">
          <cell r="A512">
            <v>210926</v>
          </cell>
        </row>
        <row r="513">
          <cell r="A513">
            <v>211001</v>
          </cell>
        </row>
        <row r="514">
          <cell r="A514">
            <v>211002</v>
          </cell>
        </row>
        <row r="515">
          <cell r="A515">
            <v>211003</v>
          </cell>
        </row>
        <row r="516">
          <cell r="A516">
            <v>211004</v>
          </cell>
        </row>
        <row r="517">
          <cell r="A517">
            <v>211005</v>
          </cell>
        </row>
        <row r="518">
          <cell r="A518">
            <v>211006</v>
          </cell>
        </row>
        <row r="519">
          <cell r="A519">
            <v>211007</v>
          </cell>
        </row>
        <row r="520">
          <cell r="A520">
            <v>211008</v>
          </cell>
        </row>
        <row r="521">
          <cell r="A521">
            <v>211009</v>
          </cell>
        </row>
        <row r="522">
          <cell r="A522">
            <v>211010</v>
          </cell>
        </row>
        <row r="523">
          <cell r="A523">
            <v>211011</v>
          </cell>
        </row>
        <row r="524">
          <cell r="A524">
            <v>211012</v>
          </cell>
        </row>
        <row r="525">
          <cell r="A525">
            <v>211013</v>
          </cell>
        </row>
        <row r="526">
          <cell r="A526">
            <v>211014</v>
          </cell>
        </row>
        <row r="527">
          <cell r="A527">
            <v>211017</v>
          </cell>
        </row>
        <row r="528">
          <cell r="A528">
            <v>211018</v>
          </cell>
        </row>
        <row r="529">
          <cell r="A529">
            <v>211101</v>
          </cell>
        </row>
        <row r="530">
          <cell r="A530">
            <v>211103</v>
          </cell>
        </row>
        <row r="531">
          <cell r="A531">
            <v>211105</v>
          </cell>
        </row>
        <row r="532">
          <cell r="A532">
            <v>211106</v>
          </cell>
        </row>
        <row r="533">
          <cell r="A533">
            <v>211108</v>
          </cell>
        </row>
        <row r="534">
          <cell r="A534">
            <v>211111</v>
          </cell>
        </row>
        <row r="535">
          <cell r="A535">
            <v>211113</v>
          </cell>
        </row>
        <row r="536">
          <cell r="A536">
            <v>211114</v>
          </cell>
        </row>
        <row r="537">
          <cell r="A537">
            <v>211201</v>
          </cell>
        </row>
        <row r="538">
          <cell r="A538">
            <v>211202</v>
          </cell>
        </row>
        <row r="539">
          <cell r="A539">
            <v>211203</v>
          </cell>
        </row>
        <row r="540">
          <cell r="A540">
            <v>211204</v>
          </cell>
        </row>
        <row r="541">
          <cell r="A541">
            <v>211205</v>
          </cell>
        </row>
        <row r="542">
          <cell r="A542">
            <v>211206</v>
          </cell>
        </row>
        <row r="543">
          <cell r="A543">
            <v>211207</v>
          </cell>
        </row>
        <row r="544">
          <cell r="A544">
            <v>211208</v>
          </cell>
        </row>
        <row r="545">
          <cell r="A545">
            <v>211209</v>
          </cell>
        </row>
        <row r="546">
          <cell r="A546">
            <v>211211</v>
          </cell>
        </row>
        <row r="547">
          <cell r="A547">
            <v>211212</v>
          </cell>
        </row>
        <row r="548">
          <cell r="A548">
            <v>211213</v>
          </cell>
        </row>
        <row r="549">
          <cell r="A549">
            <v>211215</v>
          </cell>
        </row>
        <row r="550">
          <cell r="A550">
            <v>211221</v>
          </cell>
        </row>
        <row r="551">
          <cell r="A551">
            <v>211222</v>
          </cell>
        </row>
        <row r="552">
          <cell r="A552">
            <v>211223</v>
          </cell>
        </row>
        <row r="553">
          <cell r="A553">
            <v>211225</v>
          </cell>
        </row>
        <row r="554">
          <cell r="A554">
            <v>211226</v>
          </cell>
        </row>
        <row r="555">
          <cell r="A555">
            <v>211227</v>
          </cell>
        </row>
        <row r="556">
          <cell r="A556">
            <v>211228</v>
          </cell>
        </row>
        <row r="557">
          <cell r="A557">
            <v>211229</v>
          </cell>
        </row>
        <row r="558">
          <cell r="A558">
            <v>211230</v>
          </cell>
        </row>
        <row r="559">
          <cell r="A559">
            <v>211231</v>
          </cell>
        </row>
        <row r="560">
          <cell r="A560">
            <v>211233</v>
          </cell>
        </row>
        <row r="561">
          <cell r="A561">
            <v>211235</v>
          </cell>
        </row>
        <row r="562">
          <cell r="A562">
            <v>211236</v>
          </cell>
        </row>
        <row r="563">
          <cell r="A563">
            <v>211238</v>
          </cell>
        </row>
        <row r="564">
          <cell r="A564">
            <v>211239</v>
          </cell>
        </row>
        <row r="565">
          <cell r="A565">
            <v>211240</v>
          </cell>
        </row>
        <row r="566">
          <cell r="A566">
            <v>211241</v>
          </cell>
        </row>
        <row r="567">
          <cell r="A567">
            <v>211242</v>
          </cell>
        </row>
        <row r="568">
          <cell r="A568">
            <v>211243</v>
          </cell>
        </row>
        <row r="569">
          <cell r="A569">
            <v>211244</v>
          </cell>
        </row>
        <row r="570">
          <cell r="A570">
            <v>211245</v>
          </cell>
        </row>
        <row r="571">
          <cell r="A571">
            <v>211247</v>
          </cell>
        </row>
        <row r="572">
          <cell r="A572">
            <v>211248</v>
          </cell>
        </row>
        <row r="573">
          <cell r="A573">
            <v>211250</v>
          </cell>
        </row>
        <row r="574">
          <cell r="A574">
            <v>211251</v>
          </cell>
        </row>
        <row r="575">
          <cell r="A575">
            <v>211252</v>
          </cell>
        </row>
        <row r="576">
          <cell r="A576">
            <v>211253</v>
          </cell>
        </row>
        <row r="577">
          <cell r="A577">
            <v>211256</v>
          </cell>
        </row>
        <row r="578">
          <cell r="A578">
            <v>211257</v>
          </cell>
        </row>
        <row r="579">
          <cell r="A579">
            <v>211258</v>
          </cell>
        </row>
        <row r="580">
          <cell r="A580">
            <v>211259</v>
          </cell>
        </row>
        <row r="581">
          <cell r="A581">
            <v>211260</v>
          </cell>
        </row>
        <row r="582">
          <cell r="A582">
            <v>211261</v>
          </cell>
        </row>
        <row r="583">
          <cell r="A583">
            <v>211262</v>
          </cell>
        </row>
        <row r="584">
          <cell r="A584">
            <v>211264</v>
          </cell>
        </row>
        <row r="585">
          <cell r="A585">
            <v>211265</v>
          </cell>
        </row>
        <row r="586">
          <cell r="A586">
            <v>211266</v>
          </cell>
        </row>
        <row r="587">
          <cell r="A587">
            <v>211267</v>
          </cell>
        </row>
        <row r="588">
          <cell r="A588">
            <v>211269</v>
          </cell>
        </row>
        <row r="589">
          <cell r="A589">
            <v>211270</v>
          </cell>
        </row>
        <row r="590">
          <cell r="A590">
            <v>211271</v>
          </cell>
        </row>
        <row r="591">
          <cell r="A591">
            <v>211273</v>
          </cell>
        </row>
        <row r="592">
          <cell r="A592">
            <v>211274</v>
          </cell>
        </row>
        <row r="593">
          <cell r="A593">
            <v>211275</v>
          </cell>
        </row>
        <row r="594">
          <cell r="A594">
            <v>211276</v>
          </cell>
        </row>
        <row r="595">
          <cell r="A595">
            <v>211277</v>
          </cell>
        </row>
        <row r="596">
          <cell r="A596">
            <v>211279</v>
          </cell>
        </row>
        <row r="597">
          <cell r="A597">
            <v>211281</v>
          </cell>
        </row>
        <row r="598">
          <cell r="A598">
            <v>211282</v>
          </cell>
        </row>
        <row r="599">
          <cell r="A599">
            <v>211283</v>
          </cell>
        </row>
        <row r="600">
          <cell r="A600">
            <v>211284</v>
          </cell>
        </row>
        <row r="601">
          <cell r="A601">
            <v>211285</v>
          </cell>
        </row>
        <row r="602">
          <cell r="A602">
            <v>211286</v>
          </cell>
        </row>
        <row r="603">
          <cell r="A603">
            <v>211287</v>
          </cell>
        </row>
        <row r="604">
          <cell r="A604">
            <v>211299</v>
          </cell>
        </row>
        <row r="605">
          <cell r="A605">
            <v>211300</v>
          </cell>
        </row>
        <row r="606">
          <cell r="A606">
            <v>211312</v>
          </cell>
        </row>
        <row r="607">
          <cell r="A607">
            <v>211313</v>
          </cell>
        </row>
        <row r="608">
          <cell r="A608">
            <v>211314</v>
          </cell>
        </row>
        <row r="609">
          <cell r="A609">
            <v>211315</v>
          </cell>
        </row>
        <row r="610">
          <cell r="A610">
            <v>211316</v>
          </cell>
        </row>
        <row r="611">
          <cell r="A611">
            <v>211317</v>
          </cell>
        </row>
        <row r="612">
          <cell r="A612">
            <v>211318</v>
          </cell>
        </row>
        <row r="613">
          <cell r="A613">
            <v>211319</v>
          </cell>
        </row>
        <row r="614">
          <cell r="A614">
            <v>211320</v>
          </cell>
        </row>
        <row r="615">
          <cell r="A615">
            <v>211321</v>
          </cell>
        </row>
        <row r="616">
          <cell r="A616">
            <v>211322</v>
          </cell>
        </row>
        <row r="617">
          <cell r="A617">
            <v>211323</v>
          </cell>
        </row>
        <row r="618">
          <cell r="A618">
            <v>211325</v>
          </cell>
        </row>
        <row r="619">
          <cell r="A619">
            <v>211326</v>
          </cell>
        </row>
        <row r="620">
          <cell r="A620">
            <v>211350</v>
          </cell>
        </row>
        <row r="621">
          <cell r="A621">
            <v>211351</v>
          </cell>
        </row>
        <row r="622">
          <cell r="A622">
            <v>211352</v>
          </cell>
        </row>
        <row r="623">
          <cell r="A623">
            <v>211353</v>
          </cell>
        </row>
        <row r="624">
          <cell r="A624">
            <v>211354</v>
          </cell>
        </row>
        <row r="625">
          <cell r="A625">
            <v>211356</v>
          </cell>
        </row>
        <row r="626">
          <cell r="A626">
            <v>211370</v>
          </cell>
        </row>
        <row r="627">
          <cell r="A627">
            <v>211402</v>
          </cell>
        </row>
        <row r="628">
          <cell r="A628">
            <v>211408</v>
          </cell>
        </row>
        <row r="629">
          <cell r="A629">
            <v>211414</v>
          </cell>
        </row>
        <row r="630">
          <cell r="A630">
            <v>211415</v>
          </cell>
        </row>
        <row r="631">
          <cell r="A631">
            <v>211422</v>
          </cell>
        </row>
        <row r="632">
          <cell r="A632">
            <v>211428</v>
          </cell>
        </row>
        <row r="633">
          <cell r="A633">
            <v>211432</v>
          </cell>
        </row>
        <row r="634">
          <cell r="A634">
            <v>211433</v>
          </cell>
        </row>
        <row r="635">
          <cell r="A635">
            <v>211434</v>
          </cell>
        </row>
        <row r="636">
          <cell r="A636">
            <v>211435</v>
          </cell>
        </row>
        <row r="637">
          <cell r="A637">
            <v>211436</v>
          </cell>
        </row>
        <row r="638">
          <cell r="A638">
            <v>211437</v>
          </cell>
        </row>
        <row r="639">
          <cell r="A639">
            <v>211501</v>
          </cell>
        </row>
        <row r="640">
          <cell r="A640">
            <v>211701</v>
          </cell>
        </row>
        <row r="641">
          <cell r="A641">
            <v>211702</v>
          </cell>
        </row>
        <row r="642">
          <cell r="A642">
            <v>211712</v>
          </cell>
        </row>
        <row r="643">
          <cell r="A643">
            <v>211801</v>
          </cell>
        </row>
        <row r="644">
          <cell r="A644">
            <v>211802</v>
          </cell>
        </row>
        <row r="645">
          <cell r="A645">
            <v>211805</v>
          </cell>
        </row>
        <row r="646">
          <cell r="A646">
            <v>211806</v>
          </cell>
        </row>
        <row r="647">
          <cell r="A647">
            <v>211810</v>
          </cell>
        </row>
        <row r="648">
          <cell r="A648">
            <v>211901</v>
          </cell>
        </row>
        <row r="649">
          <cell r="A649">
            <v>212001</v>
          </cell>
        </row>
        <row r="650">
          <cell r="A650">
            <v>212002</v>
          </cell>
        </row>
        <row r="651">
          <cell r="A651">
            <v>212003</v>
          </cell>
        </row>
        <row r="652">
          <cell r="A652">
            <v>212004</v>
          </cell>
        </row>
        <row r="653">
          <cell r="A653">
            <v>212005</v>
          </cell>
        </row>
        <row r="654">
          <cell r="A654">
            <v>212006</v>
          </cell>
        </row>
        <row r="655">
          <cell r="A655">
            <v>212101</v>
          </cell>
        </row>
        <row r="656">
          <cell r="A656">
            <v>212104</v>
          </cell>
        </row>
        <row r="657">
          <cell r="A657">
            <v>212105</v>
          </cell>
        </row>
        <row r="658">
          <cell r="A658">
            <v>212201</v>
          </cell>
        </row>
        <row r="659">
          <cell r="A659">
            <v>212202</v>
          </cell>
        </row>
        <row r="660">
          <cell r="A660">
            <v>212203</v>
          </cell>
        </row>
        <row r="661">
          <cell r="A661">
            <v>212204</v>
          </cell>
        </row>
        <row r="662">
          <cell r="A662">
            <v>212205</v>
          </cell>
        </row>
        <row r="663">
          <cell r="A663">
            <v>212206</v>
          </cell>
        </row>
        <row r="664">
          <cell r="A664">
            <v>212211</v>
          </cell>
        </row>
        <row r="665">
          <cell r="A665">
            <v>212215</v>
          </cell>
        </row>
        <row r="666">
          <cell r="A666">
            <v>212217</v>
          </cell>
        </row>
        <row r="667">
          <cell r="A667">
            <v>215011</v>
          </cell>
        </row>
        <row r="668">
          <cell r="A668">
            <v>215012</v>
          </cell>
        </row>
        <row r="669">
          <cell r="A669">
            <v>220001</v>
          </cell>
        </row>
        <row r="670">
          <cell r="A670">
            <v>310001</v>
          </cell>
        </row>
        <row r="671">
          <cell r="A671">
            <v>310002</v>
          </cell>
        </row>
        <row r="672">
          <cell r="A672">
            <v>310101</v>
          </cell>
        </row>
        <row r="673">
          <cell r="A673">
            <v>310102</v>
          </cell>
        </row>
        <row r="674">
          <cell r="A674">
            <v>310103</v>
          </cell>
        </row>
        <row r="675">
          <cell r="A675">
            <v>310104</v>
          </cell>
        </row>
        <row r="676">
          <cell r="A676">
            <v>310106</v>
          </cell>
        </row>
        <row r="677">
          <cell r="A677">
            <v>310107</v>
          </cell>
        </row>
        <row r="678">
          <cell r="A678">
            <v>310201</v>
          </cell>
        </row>
        <row r="679">
          <cell r="A679">
            <v>310401</v>
          </cell>
        </row>
        <row r="680">
          <cell r="A680">
            <v>310402</v>
          </cell>
        </row>
        <row r="681">
          <cell r="A681">
            <v>310403</v>
          </cell>
        </row>
        <row r="682">
          <cell r="A682">
            <v>310501</v>
          </cell>
        </row>
        <row r="683">
          <cell r="A683">
            <v>410101</v>
          </cell>
        </row>
        <row r="684">
          <cell r="A684">
            <v>410110</v>
          </cell>
        </row>
        <row r="685">
          <cell r="A685">
            <v>410120</v>
          </cell>
        </row>
        <row r="686">
          <cell r="A686">
            <v>410130</v>
          </cell>
        </row>
        <row r="687">
          <cell r="A687">
            <v>410150</v>
          </cell>
        </row>
        <row r="688">
          <cell r="A688">
            <v>410170</v>
          </cell>
        </row>
        <row r="689">
          <cell r="A689">
            <v>410201</v>
          </cell>
        </row>
        <row r="690">
          <cell r="A690">
            <v>410203</v>
          </cell>
        </row>
        <row r="691">
          <cell r="A691">
            <v>410204</v>
          </cell>
        </row>
        <row r="692">
          <cell r="A692">
            <v>410205</v>
          </cell>
        </row>
        <row r="693">
          <cell r="A693">
            <v>410206</v>
          </cell>
        </row>
        <row r="694">
          <cell r="A694">
            <v>410207</v>
          </cell>
        </row>
        <row r="695">
          <cell r="A695">
            <v>410208</v>
          </cell>
        </row>
        <row r="696">
          <cell r="A696">
            <v>410209</v>
          </cell>
        </row>
        <row r="697">
          <cell r="A697">
            <v>410210</v>
          </cell>
        </row>
        <row r="698">
          <cell r="A698">
            <v>410211</v>
          </cell>
        </row>
        <row r="699">
          <cell r="A699">
            <v>410212</v>
          </cell>
        </row>
        <row r="700">
          <cell r="A700">
            <v>410213</v>
          </cell>
        </row>
        <row r="701">
          <cell r="A701">
            <v>410214</v>
          </cell>
        </row>
        <row r="702">
          <cell r="A702">
            <v>410215</v>
          </cell>
        </row>
        <row r="703">
          <cell r="A703">
            <v>410216</v>
          </cell>
        </row>
        <row r="704">
          <cell r="A704">
            <v>410217</v>
          </cell>
        </row>
        <row r="705">
          <cell r="A705">
            <v>410218</v>
          </cell>
        </row>
        <row r="706">
          <cell r="A706">
            <v>410219</v>
          </cell>
        </row>
        <row r="707">
          <cell r="A707">
            <v>410220</v>
          </cell>
        </row>
        <row r="708">
          <cell r="A708">
            <v>410221</v>
          </cell>
        </row>
        <row r="709">
          <cell r="A709">
            <v>410222</v>
          </cell>
        </row>
        <row r="710">
          <cell r="A710">
            <v>410223</v>
          </cell>
        </row>
        <row r="711">
          <cell r="A711">
            <v>410224</v>
          </cell>
        </row>
        <row r="712">
          <cell r="A712">
            <v>410225</v>
          </cell>
        </row>
        <row r="713">
          <cell r="A713">
            <v>410226</v>
          </cell>
        </row>
        <row r="714">
          <cell r="A714">
            <v>410227</v>
          </cell>
        </row>
        <row r="715">
          <cell r="A715">
            <v>410228</v>
          </cell>
        </row>
        <row r="716">
          <cell r="A716">
            <v>410229</v>
          </cell>
        </row>
        <row r="717">
          <cell r="A717">
            <v>410230</v>
          </cell>
        </row>
        <row r="718">
          <cell r="A718">
            <v>410231</v>
          </cell>
        </row>
        <row r="719">
          <cell r="A719">
            <v>410232</v>
          </cell>
        </row>
        <row r="720">
          <cell r="A720">
            <v>410233</v>
          </cell>
        </row>
        <row r="721">
          <cell r="A721">
            <v>410234</v>
          </cell>
        </row>
        <row r="722">
          <cell r="A722">
            <v>410235</v>
          </cell>
        </row>
        <row r="723">
          <cell r="A723">
            <v>410236</v>
          </cell>
        </row>
        <row r="724">
          <cell r="A724">
            <v>410237</v>
          </cell>
        </row>
        <row r="725">
          <cell r="A725">
            <v>410238</v>
          </cell>
        </row>
        <row r="726">
          <cell r="A726">
            <v>410240</v>
          </cell>
        </row>
        <row r="727">
          <cell r="A727">
            <v>410242</v>
          </cell>
        </row>
        <row r="728">
          <cell r="A728">
            <v>410243</v>
          </cell>
        </row>
        <row r="729">
          <cell r="A729">
            <v>410244</v>
          </cell>
        </row>
        <row r="730">
          <cell r="A730">
            <v>410245</v>
          </cell>
        </row>
        <row r="731">
          <cell r="A731">
            <v>410246</v>
          </cell>
        </row>
        <row r="732">
          <cell r="A732">
            <v>410247</v>
          </cell>
        </row>
        <row r="733">
          <cell r="A733">
            <v>410248</v>
          </cell>
        </row>
        <row r="734">
          <cell r="A734">
            <v>410249</v>
          </cell>
        </row>
        <row r="735">
          <cell r="A735">
            <v>410250</v>
          </cell>
        </row>
        <row r="736">
          <cell r="A736">
            <v>410251</v>
          </cell>
        </row>
        <row r="737">
          <cell r="A737">
            <v>410253</v>
          </cell>
        </row>
        <row r="738">
          <cell r="A738">
            <v>410254</v>
          </cell>
        </row>
        <row r="739">
          <cell r="A739">
            <v>410255</v>
          </cell>
        </row>
        <row r="740">
          <cell r="A740">
            <v>410256</v>
          </cell>
        </row>
        <row r="741">
          <cell r="A741">
            <v>410258</v>
          </cell>
        </row>
        <row r="742">
          <cell r="A742">
            <v>410259</v>
          </cell>
        </row>
        <row r="743">
          <cell r="A743">
            <v>410260</v>
          </cell>
        </row>
        <row r="744">
          <cell r="A744">
            <v>410261</v>
          </cell>
        </row>
        <row r="745">
          <cell r="A745">
            <v>410262</v>
          </cell>
        </row>
        <row r="746">
          <cell r="A746">
            <v>410264</v>
          </cell>
        </row>
        <row r="747">
          <cell r="A747">
            <v>410265</v>
          </cell>
        </row>
        <row r="748">
          <cell r="A748">
            <v>410267</v>
          </cell>
        </row>
        <row r="749">
          <cell r="A749">
            <v>410268</v>
          </cell>
        </row>
        <row r="750">
          <cell r="A750">
            <v>410269</v>
          </cell>
        </row>
        <row r="751">
          <cell r="A751">
            <v>410272</v>
          </cell>
        </row>
        <row r="752">
          <cell r="A752">
            <v>410273</v>
          </cell>
        </row>
        <row r="753">
          <cell r="A753">
            <v>410274</v>
          </cell>
        </row>
        <row r="754">
          <cell r="A754">
            <v>410275</v>
          </cell>
        </row>
        <row r="755">
          <cell r="A755">
            <v>410276</v>
          </cell>
        </row>
        <row r="756">
          <cell r="A756">
            <v>410277</v>
          </cell>
        </row>
        <row r="757">
          <cell r="A757">
            <v>410278</v>
          </cell>
        </row>
        <row r="758">
          <cell r="A758">
            <v>410279</v>
          </cell>
        </row>
        <row r="759">
          <cell r="A759">
            <v>410280</v>
          </cell>
        </row>
        <row r="760">
          <cell r="A760">
            <v>410281</v>
          </cell>
        </row>
        <row r="761">
          <cell r="A761">
            <v>410282</v>
          </cell>
        </row>
        <row r="762">
          <cell r="A762">
            <v>410283</v>
          </cell>
        </row>
        <row r="763">
          <cell r="A763">
            <v>410284</v>
          </cell>
        </row>
        <row r="764">
          <cell r="A764">
            <v>410285</v>
          </cell>
        </row>
        <row r="765">
          <cell r="A765">
            <v>410286</v>
          </cell>
        </row>
        <row r="766">
          <cell r="A766">
            <v>410287</v>
          </cell>
        </row>
        <row r="767">
          <cell r="A767">
            <v>410288</v>
          </cell>
        </row>
        <row r="768">
          <cell r="A768">
            <v>410289</v>
          </cell>
        </row>
        <row r="769">
          <cell r="A769">
            <v>410290</v>
          </cell>
        </row>
        <row r="770">
          <cell r="A770">
            <v>410291</v>
          </cell>
        </row>
        <row r="771">
          <cell r="A771">
            <v>410292</v>
          </cell>
        </row>
        <row r="772">
          <cell r="A772">
            <v>410293</v>
          </cell>
        </row>
        <row r="773">
          <cell r="A773">
            <v>410294</v>
          </cell>
        </row>
        <row r="774">
          <cell r="A774">
            <v>410295</v>
          </cell>
        </row>
        <row r="775">
          <cell r="A775">
            <v>410296</v>
          </cell>
        </row>
        <row r="776">
          <cell r="A776">
            <v>410297</v>
          </cell>
        </row>
        <row r="777">
          <cell r="A777">
            <v>410298</v>
          </cell>
        </row>
        <row r="778">
          <cell r="A778">
            <v>410299</v>
          </cell>
        </row>
        <row r="779">
          <cell r="A779">
            <v>410302</v>
          </cell>
        </row>
        <row r="780">
          <cell r="A780">
            <v>410320</v>
          </cell>
        </row>
        <row r="781">
          <cell r="A781">
            <v>410321</v>
          </cell>
        </row>
        <row r="782">
          <cell r="A782">
            <v>410322</v>
          </cell>
        </row>
        <row r="783">
          <cell r="A783">
            <v>410323</v>
          </cell>
        </row>
        <row r="784">
          <cell r="A784">
            <v>410324</v>
          </cell>
        </row>
        <row r="785">
          <cell r="A785">
            <v>410325</v>
          </cell>
        </row>
        <row r="786">
          <cell r="A786">
            <v>410326</v>
          </cell>
        </row>
        <row r="787">
          <cell r="A787">
            <v>410327</v>
          </cell>
        </row>
        <row r="788">
          <cell r="A788">
            <v>410328</v>
          </cell>
        </row>
        <row r="789">
          <cell r="A789">
            <v>410329</v>
          </cell>
        </row>
        <row r="790">
          <cell r="A790">
            <v>410401</v>
          </cell>
        </row>
        <row r="791">
          <cell r="A791">
            <v>410480</v>
          </cell>
        </row>
        <row r="792">
          <cell r="A792">
            <v>410481</v>
          </cell>
        </row>
        <row r="793">
          <cell r="A793">
            <v>410482</v>
          </cell>
        </row>
        <row r="794">
          <cell r="A794">
            <v>410483</v>
          </cell>
        </row>
        <row r="795">
          <cell r="A795">
            <v>410490</v>
          </cell>
        </row>
        <row r="796">
          <cell r="A796">
            <v>410501</v>
          </cell>
        </row>
        <row r="797">
          <cell r="A797">
            <v>410502</v>
          </cell>
        </row>
        <row r="798">
          <cell r="A798">
            <v>410503</v>
          </cell>
        </row>
        <row r="799">
          <cell r="A799">
            <v>410504</v>
          </cell>
        </row>
        <row r="800">
          <cell r="A800">
            <v>410505</v>
          </cell>
        </row>
        <row r="801">
          <cell r="A801">
            <v>410506</v>
          </cell>
        </row>
        <row r="802">
          <cell r="A802">
            <v>410507</v>
          </cell>
        </row>
        <row r="803">
          <cell r="A803">
            <v>410508</v>
          </cell>
        </row>
        <row r="804">
          <cell r="A804">
            <v>410509</v>
          </cell>
        </row>
        <row r="805">
          <cell r="A805">
            <v>410511</v>
          </cell>
        </row>
        <row r="806">
          <cell r="A806">
            <v>410513</v>
          </cell>
        </row>
        <row r="807">
          <cell r="A807">
            <v>410514</v>
          </cell>
        </row>
        <row r="808">
          <cell r="A808">
            <v>410515</v>
          </cell>
        </row>
        <row r="809">
          <cell r="A809">
            <v>410516</v>
          </cell>
        </row>
        <row r="810">
          <cell r="A810">
            <v>410517</v>
          </cell>
        </row>
        <row r="811">
          <cell r="A811">
            <v>410518</v>
          </cell>
        </row>
        <row r="812">
          <cell r="A812">
            <v>410519</v>
          </cell>
        </row>
        <row r="813">
          <cell r="A813">
            <v>410520</v>
          </cell>
        </row>
        <row r="814">
          <cell r="A814">
            <v>410521</v>
          </cell>
        </row>
        <row r="815">
          <cell r="A815">
            <v>410522</v>
          </cell>
        </row>
        <row r="816">
          <cell r="A816">
            <v>410523</v>
          </cell>
        </row>
        <row r="817">
          <cell r="A817">
            <v>410524</v>
          </cell>
        </row>
        <row r="818">
          <cell r="A818">
            <v>410525</v>
          </cell>
        </row>
        <row r="819">
          <cell r="A819">
            <v>410526</v>
          </cell>
        </row>
        <row r="820">
          <cell r="A820">
            <v>410528</v>
          </cell>
        </row>
        <row r="821">
          <cell r="A821">
            <v>410529</v>
          </cell>
        </row>
        <row r="822">
          <cell r="A822">
            <v>410532</v>
          </cell>
        </row>
        <row r="823">
          <cell r="A823">
            <v>410536</v>
          </cell>
        </row>
        <row r="824">
          <cell r="A824">
            <v>410537</v>
          </cell>
        </row>
        <row r="825">
          <cell r="A825">
            <v>410538</v>
          </cell>
        </row>
        <row r="826">
          <cell r="A826">
            <v>410539</v>
          </cell>
        </row>
        <row r="827">
          <cell r="A827">
            <v>410540</v>
          </cell>
        </row>
        <row r="828">
          <cell r="A828">
            <v>410541</v>
          </cell>
        </row>
        <row r="829">
          <cell r="A829">
            <v>410545</v>
          </cell>
        </row>
        <row r="830">
          <cell r="A830">
            <v>410546</v>
          </cell>
        </row>
        <row r="831">
          <cell r="A831">
            <v>410547</v>
          </cell>
        </row>
        <row r="832">
          <cell r="A832">
            <v>410548</v>
          </cell>
        </row>
        <row r="833">
          <cell r="A833">
            <v>410549</v>
          </cell>
        </row>
        <row r="834">
          <cell r="A834">
            <v>410550</v>
          </cell>
        </row>
        <row r="835">
          <cell r="A835">
            <v>410551</v>
          </cell>
        </row>
        <row r="836">
          <cell r="A836">
            <v>410552</v>
          </cell>
        </row>
        <row r="837">
          <cell r="A837">
            <v>410553</v>
          </cell>
        </row>
        <row r="838">
          <cell r="A838">
            <v>410554</v>
          </cell>
        </row>
        <row r="839">
          <cell r="A839">
            <v>410555</v>
          </cell>
        </row>
        <row r="840">
          <cell r="A840">
            <v>410556</v>
          </cell>
        </row>
        <row r="841">
          <cell r="A841">
            <v>410557</v>
          </cell>
        </row>
        <row r="842">
          <cell r="A842">
            <v>410559</v>
          </cell>
        </row>
        <row r="843">
          <cell r="A843">
            <v>410560</v>
          </cell>
        </row>
        <row r="844">
          <cell r="A844">
            <v>410561</v>
          </cell>
        </row>
        <row r="845">
          <cell r="A845">
            <v>410562</v>
          </cell>
        </row>
        <row r="846">
          <cell r="A846">
            <v>410563</v>
          </cell>
        </row>
        <row r="847">
          <cell r="A847">
            <v>410564</v>
          </cell>
        </row>
        <row r="848">
          <cell r="A848">
            <v>410565</v>
          </cell>
        </row>
        <row r="849">
          <cell r="A849">
            <v>410566</v>
          </cell>
        </row>
        <row r="850">
          <cell r="A850">
            <v>410567</v>
          </cell>
        </row>
        <row r="851">
          <cell r="A851">
            <v>410568</v>
          </cell>
        </row>
        <row r="852">
          <cell r="A852">
            <v>410569</v>
          </cell>
        </row>
        <row r="853">
          <cell r="A853">
            <v>410570</v>
          </cell>
        </row>
        <row r="854">
          <cell r="A854">
            <v>410571</v>
          </cell>
        </row>
        <row r="855">
          <cell r="A855">
            <v>410572</v>
          </cell>
        </row>
        <row r="856">
          <cell r="A856">
            <v>410573</v>
          </cell>
        </row>
        <row r="857">
          <cell r="A857">
            <v>410574</v>
          </cell>
        </row>
        <row r="858">
          <cell r="A858">
            <v>410575</v>
          </cell>
        </row>
        <row r="859">
          <cell r="A859">
            <v>410576</v>
          </cell>
        </row>
        <row r="860">
          <cell r="A860">
            <v>410577</v>
          </cell>
        </row>
        <row r="861">
          <cell r="A861">
            <v>410578</v>
          </cell>
        </row>
        <row r="862">
          <cell r="A862">
            <v>410579</v>
          </cell>
        </row>
        <row r="863">
          <cell r="A863">
            <v>410580</v>
          </cell>
        </row>
        <row r="864">
          <cell r="A864">
            <v>410581</v>
          </cell>
        </row>
        <row r="865">
          <cell r="A865">
            <v>410582</v>
          </cell>
        </row>
        <row r="866">
          <cell r="A866">
            <v>410583</v>
          </cell>
        </row>
        <row r="867">
          <cell r="A867">
            <v>410584</v>
          </cell>
        </row>
        <row r="868">
          <cell r="A868">
            <v>410585</v>
          </cell>
        </row>
        <row r="869">
          <cell r="A869">
            <v>410586</v>
          </cell>
        </row>
        <row r="870">
          <cell r="A870">
            <v>410587</v>
          </cell>
        </row>
        <row r="871">
          <cell r="A871">
            <v>410588</v>
          </cell>
        </row>
        <row r="872">
          <cell r="A872">
            <v>410589</v>
          </cell>
        </row>
        <row r="873">
          <cell r="A873">
            <v>410590</v>
          </cell>
        </row>
        <row r="874">
          <cell r="A874">
            <v>410591</v>
          </cell>
        </row>
        <row r="875">
          <cell r="A875">
            <v>410592</v>
          </cell>
        </row>
        <row r="876">
          <cell r="A876">
            <v>410593</v>
          </cell>
        </row>
        <row r="877">
          <cell r="A877">
            <v>410594</v>
          </cell>
        </row>
        <row r="878">
          <cell r="A878">
            <v>410595</v>
          </cell>
        </row>
        <row r="879">
          <cell r="A879">
            <v>410596</v>
          </cell>
        </row>
        <row r="880">
          <cell r="A880">
            <v>410597</v>
          </cell>
        </row>
        <row r="881">
          <cell r="A881">
            <v>410598</v>
          </cell>
        </row>
        <row r="882">
          <cell r="A882">
            <v>410599</v>
          </cell>
        </row>
        <row r="883">
          <cell r="A883">
            <v>410601</v>
          </cell>
        </row>
        <row r="884">
          <cell r="A884">
            <v>410602</v>
          </cell>
        </row>
        <row r="885">
          <cell r="A885">
            <v>410603</v>
          </cell>
        </row>
        <row r="886">
          <cell r="A886">
            <v>410604</v>
          </cell>
        </row>
        <row r="887">
          <cell r="A887">
            <v>410605</v>
          </cell>
        </row>
        <row r="888">
          <cell r="A888">
            <v>410606</v>
          </cell>
        </row>
        <row r="889">
          <cell r="A889">
            <v>410607</v>
          </cell>
        </row>
        <row r="890">
          <cell r="A890">
            <v>410608</v>
          </cell>
        </row>
        <row r="891">
          <cell r="A891">
            <v>410609</v>
          </cell>
        </row>
        <row r="892">
          <cell r="A892">
            <v>410610</v>
          </cell>
        </row>
        <row r="893">
          <cell r="A893">
            <v>410611</v>
          </cell>
        </row>
        <row r="894">
          <cell r="A894">
            <v>410612</v>
          </cell>
        </row>
        <row r="895">
          <cell r="A895">
            <v>410614</v>
          </cell>
        </row>
        <row r="896">
          <cell r="A896">
            <v>410615</v>
          </cell>
        </row>
        <row r="897">
          <cell r="A897">
            <v>410617</v>
          </cell>
        </row>
        <row r="898">
          <cell r="A898">
            <v>410618</v>
          </cell>
        </row>
        <row r="899">
          <cell r="A899">
            <v>410619</v>
          </cell>
        </row>
        <row r="900">
          <cell r="A900">
            <v>410620</v>
          </cell>
        </row>
        <row r="901">
          <cell r="A901">
            <v>410621</v>
          </cell>
        </row>
        <row r="902">
          <cell r="A902">
            <v>410622</v>
          </cell>
        </row>
        <row r="903">
          <cell r="A903">
            <v>410623</v>
          </cell>
        </row>
        <row r="904">
          <cell r="A904">
            <v>410624</v>
          </cell>
        </row>
        <row r="905">
          <cell r="A905">
            <v>410626</v>
          </cell>
        </row>
        <row r="906">
          <cell r="A906">
            <v>410628</v>
          </cell>
        </row>
        <row r="907">
          <cell r="A907">
            <v>410629</v>
          </cell>
        </row>
        <row r="908">
          <cell r="A908">
            <v>410630</v>
          </cell>
        </row>
        <row r="909">
          <cell r="A909">
            <v>410631</v>
          </cell>
        </row>
        <row r="910">
          <cell r="A910">
            <v>410632</v>
          </cell>
        </row>
        <row r="911">
          <cell r="A911">
            <v>410633</v>
          </cell>
        </row>
        <row r="912">
          <cell r="A912">
            <v>410635</v>
          </cell>
        </row>
        <row r="913">
          <cell r="A913">
            <v>410636</v>
          </cell>
        </row>
        <row r="914">
          <cell r="A914">
            <v>410637</v>
          </cell>
        </row>
        <row r="915">
          <cell r="A915">
            <v>410638</v>
          </cell>
        </row>
        <row r="916">
          <cell r="A916">
            <v>410639</v>
          </cell>
        </row>
        <row r="917">
          <cell r="A917">
            <v>410640</v>
          </cell>
        </row>
        <row r="918">
          <cell r="A918">
            <v>410641</v>
          </cell>
        </row>
        <row r="919">
          <cell r="A919">
            <v>410642</v>
          </cell>
        </row>
        <row r="920">
          <cell r="A920">
            <v>410643</v>
          </cell>
        </row>
        <row r="921">
          <cell r="A921">
            <v>410644</v>
          </cell>
        </row>
        <row r="922">
          <cell r="A922">
            <v>410645</v>
          </cell>
        </row>
        <row r="923">
          <cell r="A923">
            <v>410646</v>
          </cell>
        </row>
        <row r="924">
          <cell r="A924">
            <v>410647</v>
          </cell>
        </row>
        <row r="925">
          <cell r="A925">
            <v>410648</v>
          </cell>
        </row>
        <row r="926">
          <cell r="A926">
            <v>410649</v>
          </cell>
        </row>
        <row r="927">
          <cell r="A927">
            <v>410650</v>
          </cell>
        </row>
        <row r="928">
          <cell r="A928">
            <v>410651</v>
          </cell>
        </row>
        <row r="929">
          <cell r="A929">
            <v>410652</v>
          </cell>
        </row>
        <row r="930">
          <cell r="A930">
            <v>410653</v>
          </cell>
        </row>
        <row r="931">
          <cell r="A931">
            <v>410654</v>
          </cell>
        </row>
        <row r="932">
          <cell r="A932">
            <v>410655</v>
          </cell>
        </row>
        <row r="933">
          <cell r="A933">
            <v>410656</v>
          </cell>
        </row>
        <row r="934">
          <cell r="A934">
            <v>410657</v>
          </cell>
        </row>
        <row r="935">
          <cell r="A935">
            <v>410658</v>
          </cell>
        </row>
        <row r="936">
          <cell r="A936">
            <v>410659</v>
          </cell>
        </row>
        <row r="937">
          <cell r="A937">
            <v>410660</v>
          </cell>
        </row>
        <row r="938">
          <cell r="A938">
            <v>410661</v>
          </cell>
        </row>
        <row r="939">
          <cell r="A939">
            <v>410662</v>
          </cell>
        </row>
        <row r="940">
          <cell r="A940">
            <v>410663</v>
          </cell>
        </row>
        <row r="941">
          <cell r="A941">
            <v>410700</v>
          </cell>
        </row>
        <row r="942">
          <cell r="A942">
            <v>510001</v>
          </cell>
        </row>
        <row r="943">
          <cell r="A943">
            <v>510002</v>
          </cell>
        </row>
        <row r="944">
          <cell r="A944">
            <v>510006</v>
          </cell>
        </row>
        <row r="945">
          <cell r="A945">
            <v>510008</v>
          </cell>
        </row>
        <row r="946">
          <cell r="A946">
            <v>510009</v>
          </cell>
        </row>
        <row r="947">
          <cell r="A947">
            <v>510011</v>
          </cell>
        </row>
        <row r="948">
          <cell r="A948">
            <v>510035</v>
          </cell>
        </row>
        <row r="949">
          <cell r="A949">
            <v>510100</v>
          </cell>
        </row>
        <row r="950">
          <cell r="A950">
            <v>510101</v>
          </cell>
        </row>
        <row r="951">
          <cell r="A951">
            <v>510102</v>
          </cell>
        </row>
        <row r="952">
          <cell r="A952">
            <v>510112</v>
          </cell>
        </row>
        <row r="953">
          <cell r="A953">
            <v>510200</v>
          </cell>
        </row>
        <row r="954">
          <cell r="A954">
            <v>510202</v>
          </cell>
        </row>
        <row r="955">
          <cell r="A955">
            <v>510212</v>
          </cell>
        </row>
        <row r="956">
          <cell r="A956">
            <v>510220</v>
          </cell>
        </row>
        <row r="957">
          <cell r="A957">
            <v>510230</v>
          </cell>
        </row>
        <row r="958">
          <cell r="A958">
            <v>510240</v>
          </cell>
        </row>
        <row r="959">
          <cell r="A959">
            <v>510250</v>
          </cell>
        </row>
        <row r="960">
          <cell r="A960">
            <v>520100</v>
          </cell>
        </row>
        <row r="961">
          <cell r="A961">
            <v>520110</v>
          </cell>
        </row>
        <row r="962">
          <cell r="A962">
            <v>520200</v>
          </cell>
        </row>
        <row r="963">
          <cell r="A963">
            <v>520300</v>
          </cell>
        </row>
        <row r="964">
          <cell r="A964">
            <v>520400</v>
          </cell>
        </row>
        <row r="965">
          <cell r="A965">
            <v>520500</v>
          </cell>
        </row>
        <row r="966">
          <cell r="A966">
            <v>520501</v>
          </cell>
        </row>
        <row r="967">
          <cell r="A967">
            <v>520600</v>
          </cell>
        </row>
        <row r="968">
          <cell r="A968">
            <v>520700</v>
          </cell>
        </row>
        <row r="969">
          <cell r="A969">
            <v>520710</v>
          </cell>
        </row>
        <row r="970">
          <cell r="A970">
            <v>520720</v>
          </cell>
        </row>
        <row r="971">
          <cell r="A971">
            <v>520721</v>
          </cell>
        </row>
        <row r="972">
          <cell r="A972">
            <v>520740</v>
          </cell>
        </row>
        <row r="973">
          <cell r="A973">
            <v>520800</v>
          </cell>
        </row>
        <row r="974">
          <cell r="A974">
            <v>520801</v>
          </cell>
        </row>
        <row r="975">
          <cell r="A975">
            <v>520900</v>
          </cell>
        </row>
        <row r="976">
          <cell r="A976">
            <v>610001</v>
          </cell>
        </row>
        <row r="977">
          <cell r="A977">
            <v>610002</v>
          </cell>
        </row>
        <row r="978">
          <cell r="A978">
            <v>610003</v>
          </cell>
        </row>
        <row r="979">
          <cell r="A979">
            <v>610005</v>
          </cell>
        </row>
        <row r="980">
          <cell r="A980">
            <v>610006</v>
          </cell>
        </row>
        <row r="981">
          <cell r="A981">
            <v>610007</v>
          </cell>
        </row>
        <row r="982">
          <cell r="A982">
            <v>610008</v>
          </cell>
        </row>
        <row r="983">
          <cell r="A983">
            <v>610009</v>
          </cell>
        </row>
        <row r="984">
          <cell r="A984">
            <v>610010</v>
          </cell>
        </row>
        <row r="985">
          <cell r="A985">
            <v>610011</v>
          </cell>
        </row>
        <row r="986">
          <cell r="A986">
            <v>610012</v>
          </cell>
        </row>
        <row r="987">
          <cell r="A987">
            <v>610013</v>
          </cell>
        </row>
        <row r="988">
          <cell r="A988">
            <v>610014</v>
          </cell>
        </row>
        <row r="989">
          <cell r="A989">
            <v>610015</v>
          </cell>
        </row>
        <row r="990">
          <cell r="A990">
            <v>610016</v>
          </cell>
        </row>
        <row r="991">
          <cell r="A991">
            <v>610017</v>
          </cell>
        </row>
        <row r="992">
          <cell r="A992">
            <v>610018</v>
          </cell>
        </row>
        <row r="993">
          <cell r="A993">
            <v>610019</v>
          </cell>
        </row>
        <row r="994">
          <cell r="A994">
            <v>610023</v>
          </cell>
        </row>
        <row r="995">
          <cell r="A995">
            <v>610025</v>
          </cell>
        </row>
        <row r="996">
          <cell r="A996">
            <v>610026</v>
          </cell>
        </row>
        <row r="997">
          <cell r="A997">
            <v>610028</v>
          </cell>
        </row>
        <row r="998">
          <cell r="A998">
            <v>610029</v>
          </cell>
        </row>
        <row r="999">
          <cell r="A999">
            <v>610030</v>
          </cell>
        </row>
        <row r="1000">
          <cell r="A1000">
            <v>610031</v>
          </cell>
        </row>
        <row r="1001">
          <cell r="A1001">
            <v>610032</v>
          </cell>
        </row>
        <row r="1002">
          <cell r="A1002">
            <v>610050</v>
          </cell>
        </row>
        <row r="1003">
          <cell r="A1003">
            <v>610051</v>
          </cell>
        </row>
        <row r="1004">
          <cell r="A1004">
            <v>610053</v>
          </cell>
        </row>
        <row r="1005">
          <cell r="A1005">
            <v>610054</v>
          </cell>
        </row>
        <row r="1006">
          <cell r="A1006">
            <v>610055</v>
          </cell>
        </row>
        <row r="1007">
          <cell r="A1007">
            <v>610056</v>
          </cell>
        </row>
        <row r="1008">
          <cell r="A1008">
            <v>610057</v>
          </cell>
        </row>
        <row r="1009">
          <cell r="A1009">
            <v>610058</v>
          </cell>
        </row>
        <row r="1010">
          <cell r="A1010">
            <v>610059</v>
          </cell>
        </row>
        <row r="1011">
          <cell r="A1011">
            <v>610060</v>
          </cell>
        </row>
        <row r="1012">
          <cell r="A1012">
            <v>610061</v>
          </cell>
        </row>
        <row r="1013">
          <cell r="A1013">
            <v>610062</v>
          </cell>
        </row>
        <row r="1014">
          <cell r="A1014">
            <v>610063</v>
          </cell>
        </row>
        <row r="1015">
          <cell r="A1015">
            <v>610064</v>
          </cell>
        </row>
        <row r="1016">
          <cell r="A1016">
            <v>610065</v>
          </cell>
        </row>
        <row r="1017">
          <cell r="A1017">
            <v>610066</v>
          </cell>
        </row>
        <row r="1018">
          <cell r="A1018">
            <v>610067</v>
          </cell>
        </row>
        <row r="1019">
          <cell r="A1019">
            <v>610068</v>
          </cell>
        </row>
        <row r="1020">
          <cell r="A1020">
            <v>610069</v>
          </cell>
        </row>
        <row r="1021">
          <cell r="A1021">
            <v>610072</v>
          </cell>
        </row>
        <row r="1022">
          <cell r="A1022">
            <v>610073</v>
          </cell>
        </row>
        <row r="1023">
          <cell r="A1023">
            <v>610075</v>
          </cell>
        </row>
        <row r="1024">
          <cell r="A1024">
            <v>610076</v>
          </cell>
        </row>
        <row r="1025">
          <cell r="A1025">
            <v>610077</v>
          </cell>
        </row>
        <row r="1026">
          <cell r="A1026">
            <v>610078</v>
          </cell>
        </row>
        <row r="1027">
          <cell r="A1027">
            <v>610079</v>
          </cell>
        </row>
        <row r="1028">
          <cell r="A1028">
            <v>610080</v>
          </cell>
        </row>
        <row r="1029">
          <cell r="A1029">
            <v>610081</v>
          </cell>
        </row>
        <row r="1030">
          <cell r="A1030">
            <v>610082</v>
          </cell>
        </row>
        <row r="1031">
          <cell r="A1031">
            <v>610083</v>
          </cell>
        </row>
        <row r="1032">
          <cell r="A1032">
            <v>610084</v>
          </cell>
        </row>
        <row r="1033">
          <cell r="A1033">
            <v>610085</v>
          </cell>
        </row>
        <row r="1034">
          <cell r="A1034">
            <v>610086</v>
          </cell>
        </row>
        <row r="1035">
          <cell r="A1035">
            <v>610087</v>
          </cell>
        </row>
        <row r="1036">
          <cell r="A1036">
            <v>610088</v>
          </cell>
        </row>
        <row r="1037">
          <cell r="A1037">
            <v>610089</v>
          </cell>
        </row>
        <row r="1038">
          <cell r="A1038">
            <v>610090</v>
          </cell>
        </row>
        <row r="1039">
          <cell r="A1039">
            <v>610091</v>
          </cell>
        </row>
        <row r="1040">
          <cell r="A1040">
            <v>610092</v>
          </cell>
        </row>
        <row r="1041">
          <cell r="A1041">
            <v>610093</v>
          </cell>
        </row>
        <row r="1042">
          <cell r="A1042">
            <v>610101</v>
          </cell>
        </row>
        <row r="1043">
          <cell r="A1043">
            <v>610102</v>
          </cell>
        </row>
        <row r="1044">
          <cell r="A1044">
            <v>610103</v>
          </cell>
        </row>
        <row r="1045">
          <cell r="A1045">
            <v>610104</v>
          </cell>
        </row>
        <row r="1046">
          <cell r="A1046">
            <v>610105</v>
          </cell>
        </row>
        <row r="1047">
          <cell r="A1047">
            <v>610106</v>
          </cell>
        </row>
        <row r="1048">
          <cell r="A1048">
            <v>610107</v>
          </cell>
        </row>
        <row r="1049">
          <cell r="A1049">
            <v>610108</v>
          </cell>
        </row>
        <row r="1050">
          <cell r="A1050">
            <v>610201</v>
          </cell>
        </row>
        <row r="1051">
          <cell r="A1051">
            <v>610202</v>
          </cell>
        </row>
        <row r="1052">
          <cell r="A1052">
            <v>610203</v>
          </cell>
        </row>
        <row r="1053">
          <cell r="A1053">
            <v>610204</v>
          </cell>
        </row>
        <row r="1054">
          <cell r="A1054">
            <v>610205</v>
          </cell>
        </row>
        <row r="1055">
          <cell r="A1055">
            <v>610206</v>
          </cell>
        </row>
        <row r="1056">
          <cell r="A1056">
            <v>610207</v>
          </cell>
        </row>
        <row r="1057">
          <cell r="A1057">
            <v>610208</v>
          </cell>
        </row>
        <row r="1058">
          <cell r="A1058">
            <v>610209</v>
          </cell>
        </row>
        <row r="1059">
          <cell r="A1059">
            <v>610210</v>
          </cell>
        </row>
        <row r="1060">
          <cell r="A1060">
            <v>610211</v>
          </cell>
        </row>
        <row r="1061">
          <cell r="A1061">
            <v>610212</v>
          </cell>
        </row>
        <row r="1062">
          <cell r="A1062">
            <v>610213</v>
          </cell>
        </row>
        <row r="1063">
          <cell r="A1063">
            <v>610215</v>
          </cell>
        </row>
        <row r="1064">
          <cell r="A1064">
            <v>610216</v>
          </cell>
        </row>
        <row r="1065">
          <cell r="A1065">
            <v>610217</v>
          </cell>
        </row>
        <row r="1066">
          <cell r="A1066">
            <v>610219</v>
          </cell>
        </row>
        <row r="1067">
          <cell r="A1067">
            <v>610220</v>
          </cell>
        </row>
        <row r="1068">
          <cell r="A1068">
            <v>610221</v>
          </cell>
        </row>
        <row r="1069">
          <cell r="A1069">
            <v>610222</v>
          </cell>
        </row>
        <row r="1070">
          <cell r="A1070">
            <v>610223</v>
          </cell>
        </row>
        <row r="1071">
          <cell r="A1071">
            <v>610224</v>
          </cell>
        </row>
        <row r="1072">
          <cell r="A1072">
            <v>610225</v>
          </cell>
        </row>
        <row r="1073">
          <cell r="A1073">
            <v>610226</v>
          </cell>
        </row>
        <row r="1074">
          <cell r="A1074">
            <v>610227</v>
          </cell>
        </row>
        <row r="1075">
          <cell r="A1075">
            <v>610228</v>
          </cell>
        </row>
        <row r="1076">
          <cell r="A1076">
            <v>610229</v>
          </cell>
        </row>
        <row r="1077">
          <cell r="A1077">
            <v>610230</v>
          </cell>
        </row>
        <row r="1078">
          <cell r="A1078">
            <v>610301</v>
          </cell>
        </row>
        <row r="1079">
          <cell r="A1079">
            <v>610302</v>
          </cell>
        </row>
        <row r="1080">
          <cell r="A1080">
            <v>610303</v>
          </cell>
        </row>
        <row r="1081">
          <cell r="A1081">
            <v>610304</v>
          </cell>
        </row>
        <row r="1082">
          <cell r="A1082">
            <v>610305</v>
          </cell>
        </row>
        <row r="1083">
          <cell r="A1083">
            <v>610307</v>
          </cell>
        </row>
        <row r="1084">
          <cell r="A1084">
            <v>610308</v>
          </cell>
        </row>
        <row r="1085">
          <cell r="A1085">
            <v>610401</v>
          </cell>
        </row>
        <row r="1086">
          <cell r="A1086">
            <v>610402</v>
          </cell>
        </row>
        <row r="1087">
          <cell r="A1087">
            <v>610403</v>
          </cell>
        </row>
        <row r="1088">
          <cell r="A1088">
            <v>610404</v>
          </cell>
        </row>
        <row r="1089">
          <cell r="A1089">
            <v>610405</v>
          </cell>
        </row>
        <row r="1090">
          <cell r="A1090">
            <v>610406</v>
          </cell>
        </row>
        <row r="1091">
          <cell r="A1091">
            <v>610407</v>
          </cell>
        </row>
        <row r="1092">
          <cell r="A1092">
            <v>610408</v>
          </cell>
        </row>
        <row r="1093">
          <cell r="A1093">
            <v>610409</v>
          </cell>
        </row>
        <row r="1094">
          <cell r="A1094">
            <v>610410</v>
          </cell>
        </row>
        <row r="1095">
          <cell r="A1095">
            <v>610411</v>
          </cell>
        </row>
        <row r="1096">
          <cell r="A1096">
            <v>610412</v>
          </cell>
        </row>
        <row r="1097">
          <cell r="A1097">
            <v>610413</v>
          </cell>
        </row>
        <row r="1098">
          <cell r="A1098">
            <v>610414</v>
          </cell>
        </row>
        <row r="1099">
          <cell r="A1099">
            <v>610415</v>
          </cell>
        </row>
        <row r="1100">
          <cell r="A1100">
            <v>610416</v>
          </cell>
        </row>
        <row r="1101">
          <cell r="A1101">
            <v>610418</v>
          </cell>
        </row>
        <row r="1102">
          <cell r="A1102">
            <v>610419</v>
          </cell>
        </row>
        <row r="1103">
          <cell r="A1103">
            <v>610420</v>
          </cell>
        </row>
        <row r="1104">
          <cell r="A1104">
            <v>610421</v>
          </cell>
        </row>
        <row r="1105">
          <cell r="A1105">
            <v>610422</v>
          </cell>
        </row>
        <row r="1106">
          <cell r="A1106">
            <v>610423</v>
          </cell>
        </row>
        <row r="1107">
          <cell r="A1107">
            <v>610424</v>
          </cell>
        </row>
        <row r="1108">
          <cell r="A1108">
            <v>610425</v>
          </cell>
        </row>
        <row r="1109">
          <cell r="A1109">
            <v>610426</v>
          </cell>
        </row>
        <row r="1110">
          <cell r="A1110">
            <v>610427</v>
          </cell>
        </row>
        <row r="1111">
          <cell r="A1111">
            <v>610428</v>
          </cell>
        </row>
        <row r="1112">
          <cell r="A1112">
            <v>610429</v>
          </cell>
        </row>
        <row r="1113">
          <cell r="A1113">
            <v>610430</v>
          </cell>
        </row>
        <row r="1114">
          <cell r="A1114">
            <v>610431</v>
          </cell>
        </row>
        <row r="1115">
          <cell r="A1115">
            <v>610432</v>
          </cell>
        </row>
        <row r="1116">
          <cell r="A1116">
            <v>610501</v>
          </cell>
        </row>
        <row r="1117">
          <cell r="A1117">
            <v>610502</v>
          </cell>
        </row>
        <row r="1118">
          <cell r="A1118">
            <v>610503</v>
          </cell>
        </row>
        <row r="1119">
          <cell r="A1119">
            <v>610504</v>
          </cell>
        </row>
        <row r="1120">
          <cell r="A1120">
            <v>610601</v>
          </cell>
        </row>
        <row r="1121">
          <cell r="A1121">
            <v>610602</v>
          </cell>
        </row>
        <row r="1122">
          <cell r="A1122">
            <v>610603</v>
          </cell>
        </row>
        <row r="1123">
          <cell r="A1123">
            <v>610604</v>
          </cell>
        </row>
        <row r="1124">
          <cell r="A1124">
            <v>610605</v>
          </cell>
        </row>
        <row r="1125">
          <cell r="A1125">
            <v>610606</v>
          </cell>
        </row>
        <row r="1126">
          <cell r="A1126">
            <v>610607</v>
          </cell>
        </row>
        <row r="1127">
          <cell r="A1127">
            <v>610608</v>
          </cell>
        </row>
        <row r="1128">
          <cell r="A1128">
            <v>610609</v>
          </cell>
        </row>
        <row r="1129">
          <cell r="A1129">
            <v>610610</v>
          </cell>
        </row>
        <row r="1130">
          <cell r="A1130">
            <v>610612</v>
          </cell>
        </row>
        <row r="1131">
          <cell r="A1131">
            <v>610613</v>
          </cell>
        </row>
        <row r="1132">
          <cell r="A1132">
            <v>610614</v>
          </cell>
        </row>
        <row r="1133">
          <cell r="A1133">
            <v>610615</v>
          </cell>
        </row>
        <row r="1134">
          <cell r="A1134">
            <v>610701</v>
          </cell>
        </row>
        <row r="1135">
          <cell r="A1135">
            <v>610702</v>
          </cell>
        </row>
        <row r="1136">
          <cell r="A1136">
            <v>610703</v>
          </cell>
        </row>
        <row r="1137">
          <cell r="A1137">
            <v>610704</v>
          </cell>
        </row>
        <row r="1138">
          <cell r="A1138">
            <v>610705</v>
          </cell>
        </row>
        <row r="1139">
          <cell r="A1139">
            <v>610706</v>
          </cell>
        </row>
        <row r="1140">
          <cell r="A1140">
            <v>610707</v>
          </cell>
        </row>
        <row r="1141">
          <cell r="A1141">
            <v>610708</v>
          </cell>
        </row>
        <row r="1142">
          <cell r="A1142">
            <v>610709</v>
          </cell>
        </row>
        <row r="1143">
          <cell r="A1143">
            <v>610710</v>
          </cell>
        </row>
        <row r="1144">
          <cell r="A1144">
            <v>610711</v>
          </cell>
        </row>
        <row r="1145">
          <cell r="A1145">
            <v>610712</v>
          </cell>
        </row>
        <row r="1146">
          <cell r="A1146">
            <v>610713</v>
          </cell>
        </row>
        <row r="1147">
          <cell r="A1147">
            <v>610714</v>
          </cell>
        </row>
        <row r="1148">
          <cell r="A1148">
            <v>610715</v>
          </cell>
        </row>
        <row r="1149">
          <cell r="A1149">
            <v>610716</v>
          </cell>
        </row>
        <row r="1150">
          <cell r="A1150">
            <v>610717</v>
          </cell>
        </row>
        <row r="1151">
          <cell r="A1151">
            <v>610718</v>
          </cell>
        </row>
        <row r="1152">
          <cell r="A1152">
            <v>610719</v>
          </cell>
        </row>
        <row r="1153">
          <cell r="A1153">
            <v>610720</v>
          </cell>
        </row>
        <row r="1154">
          <cell r="A1154">
            <v>610721</v>
          </cell>
        </row>
        <row r="1155">
          <cell r="A1155">
            <v>610723</v>
          </cell>
        </row>
        <row r="1156">
          <cell r="A1156">
            <v>610724</v>
          </cell>
        </row>
        <row r="1157">
          <cell r="A1157">
            <v>610801</v>
          </cell>
        </row>
        <row r="1158">
          <cell r="A1158">
            <v>610803</v>
          </cell>
        </row>
        <row r="1159">
          <cell r="A1159">
            <v>610804</v>
          </cell>
        </row>
        <row r="1160">
          <cell r="A1160">
            <v>610901</v>
          </cell>
        </row>
        <row r="1161">
          <cell r="A1161">
            <v>610902</v>
          </cell>
        </row>
        <row r="1162">
          <cell r="A1162">
            <v>610903</v>
          </cell>
        </row>
        <row r="1163">
          <cell r="A1163">
            <v>610905</v>
          </cell>
        </row>
        <row r="1164">
          <cell r="A1164">
            <v>610906</v>
          </cell>
        </row>
        <row r="1165">
          <cell r="A1165">
            <v>610911</v>
          </cell>
        </row>
        <row r="1166">
          <cell r="A1166">
            <v>610912</v>
          </cell>
        </row>
        <row r="1167">
          <cell r="A1167">
            <v>610913</v>
          </cell>
        </row>
        <row r="1168">
          <cell r="A1168">
            <v>611001</v>
          </cell>
        </row>
        <row r="1169">
          <cell r="A1169">
            <v>611003</v>
          </cell>
        </row>
        <row r="1170">
          <cell r="A1170">
            <v>611004</v>
          </cell>
        </row>
        <row r="1171">
          <cell r="A1171">
            <v>611005</v>
          </cell>
        </row>
        <row r="1172">
          <cell r="A1172">
            <v>611006</v>
          </cell>
        </row>
        <row r="1173">
          <cell r="A1173">
            <v>611007</v>
          </cell>
        </row>
        <row r="1174">
          <cell r="A1174">
            <v>611008</v>
          </cell>
        </row>
        <row r="1175">
          <cell r="A1175">
            <v>611011</v>
          </cell>
        </row>
        <row r="1176">
          <cell r="A1176">
            <v>611012</v>
          </cell>
        </row>
        <row r="1177">
          <cell r="A1177">
            <v>611013</v>
          </cell>
        </row>
        <row r="1178">
          <cell r="A1178">
            <v>611014</v>
          </cell>
        </row>
        <row r="1179">
          <cell r="A1179">
            <v>611015</v>
          </cell>
        </row>
        <row r="1180">
          <cell r="A1180">
            <v>611016</v>
          </cell>
        </row>
        <row r="1181">
          <cell r="A1181">
            <v>611017</v>
          </cell>
        </row>
        <row r="1182">
          <cell r="A1182">
            <v>611020</v>
          </cell>
        </row>
        <row r="1183">
          <cell r="A1183">
            <v>611021</v>
          </cell>
        </row>
        <row r="1184">
          <cell r="A1184">
            <v>611022</v>
          </cell>
        </row>
        <row r="1185">
          <cell r="A1185">
            <v>611023</v>
          </cell>
        </row>
        <row r="1186">
          <cell r="A1186">
            <v>611024</v>
          </cell>
        </row>
        <row r="1187">
          <cell r="A1187">
            <v>611050</v>
          </cell>
        </row>
        <row r="1188">
          <cell r="A1188">
            <v>611052</v>
          </cell>
        </row>
        <row r="1189">
          <cell r="A1189">
            <v>611053</v>
          </cell>
        </row>
        <row r="1190">
          <cell r="A1190">
            <v>611054</v>
          </cell>
        </row>
        <row r="1191">
          <cell r="A1191">
            <v>611055</v>
          </cell>
        </row>
        <row r="1192">
          <cell r="A1192">
            <v>611057</v>
          </cell>
        </row>
        <row r="1193">
          <cell r="A1193">
            <v>611058</v>
          </cell>
        </row>
        <row r="1194">
          <cell r="A1194">
            <v>611059</v>
          </cell>
        </row>
        <row r="1195">
          <cell r="A1195">
            <v>611060</v>
          </cell>
        </row>
        <row r="1196">
          <cell r="A1196">
            <v>611061</v>
          </cell>
        </row>
        <row r="1197">
          <cell r="A1197">
            <v>611062</v>
          </cell>
        </row>
        <row r="1198">
          <cell r="A1198">
            <v>611063</v>
          </cell>
        </row>
        <row r="1199">
          <cell r="A1199">
            <v>611064</v>
          </cell>
        </row>
        <row r="1200">
          <cell r="A1200">
            <v>611065</v>
          </cell>
        </row>
        <row r="1201">
          <cell r="A1201">
            <v>611066</v>
          </cell>
        </row>
        <row r="1202">
          <cell r="A1202">
            <v>611069</v>
          </cell>
        </row>
        <row r="1203">
          <cell r="A1203">
            <v>611101</v>
          </cell>
        </row>
        <row r="1204">
          <cell r="A1204">
            <v>611102</v>
          </cell>
        </row>
        <row r="1205">
          <cell r="A1205">
            <v>611103</v>
          </cell>
        </row>
        <row r="1206">
          <cell r="A1206">
            <v>611104</v>
          </cell>
        </row>
        <row r="1207">
          <cell r="A1207">
            <v>612002</v>
          </cell>
        </row>
        <row r="1208">
          <cell r="A1208">
            <v>612004</v>
          </cell>
        </row>
        <row r="1209">
          <cell r="A1209">
            <v>612005</v>
          </cell>
        </row>
        <row r="1210">
          <cell r="A1210">
            <v>612007</v>
          </cell>
        </row>
        <row r="1211">
          <cell r="A1211">
            <v>612008</v>
          </cell>
        </row>
        <row r="1212">
          <cell r="A1212">
            <v>613008</v>
          </cell>
        </row>
        <row r="1213">
          <cell r="A1213">
            <v>613010</v>
          </cell>
        </row>
        <row r="1214">
          <cell r="A1214">
            <v>614007</v>
          </cell>
        </row>
        <row r="1215">
          <cell r="A1215">
            <v>614010</v>
          </cell>
        </row>
        <row r="1216">
          <cell r="A1216">
            <v>615001</v>
          </cell>
        </row>
        <row r="1217">
          <cell r="A1217">
            <v>615004</v>
          </cell>
        </row>
        <row r="1218">
          <cell r="A1218">
            <v>710001</v>
          </cell>
        </row>
        <row r="1219">
          <cell r="A1219">
            <v>710003</v>
          </cell>
        </row>
        <row r="1220">
          <cell r="A1220">
            <v>710004</v>
          </cell>
        </row>
        <row r="1221">
          <cell r="A1221">
            <v>710005</v>
          </cell>
        </row>
        <row r="1222">
          <cell r="A1222">
            <v>710007</v>
          </cell>
        </row>
        <row r="1223">
          <cell r="A1223">
            <v>710008</v>
          </cell>
        </row>
        <row r="1224">
          <cell r="A1224">
            <v>710009</v>
          </cell>
        </row>
        <row r="1225">
          <cell r="A1225">
            <v>710010</v>
          </cell>
        </row>
        <row r="1226">
          <cell r="A1226">
            <v>710011</v>
          </cell>
        </row>
        <row r="1227">
          <cell r="A1227">
            <v>710012</v>
          </cell>
        </row>
        <row r="1228">
          <cell r="A1228">
            <v>710013</v>
          </cell>
        </row>
        <row r="1229">
          <cell r="A1229">
            <v>710014</v>
          </cell>
        </row>
        <row r="1230">
          <cell r="A1230">
            <v>710015</v>
          </cell>
        </row>
        <row r="1231">
          <cell r="A1231">
            <v>810001</v>
          </cell>
        </row>
        <row r="1232">
          <cell r="A1232">
            <v>810002</v>
          </cell>
        </row>
        <row r="1233">
          <cell r="A1233">
            <v>810003</v>
          </cell>
        </row>
        <row r="1234">
          <cell r="A1234">
            <v>810004</v>
          </cell>
        </row>
        <row r="1235">
          <cell r="A1235">
            <v>810005</v>
          </cell>
        </row>
        <row r="1236">
          <cell r="A1236">
            <v>810006</v>
          </cell>
        </row>
      </sheetData>
      <sheetData sheetId="1"/>
      <sheetData sheetId="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ado de Flujo de Efectivo"/>
      <sheetName val="Conciliacion Resultado Flujo"/>
      <sheetName val="Comentarios Flujo"/>
      <sheetName val="Cuadro A-1"/>
      <sheetName val="CUI"/>
      <sheetName val="Cuadro B-1"/>
      <sheetName val="Cuadro B-1CUI"/>
      <sheetName val="Cuadro B-2 y B-3 RV85"/>
      <sheetName val="Cuadro B-2 RV2004"/>
      <sheetName val="Cuadro B-2 RV2004 B2006 MI2006"/>
      <sheetName val="Prima y Comisiones RV"/>
      <sheetName val="Cuadro 7 Circular 967"/>
      <sheetName val="Cuadro 8 y 9 Circular 967"/>
      <sheetName val="US$ Balance"/>
      <sheetName val="US$ Divisas"/>
      <sheetName val="US$ Resultados"/>
      <sheetName val="Accionistas"/>
      <sheetName val="Grupo Empresarial"/>
      <sheetName val="Reaseguros"/>
      <sheetName val="ANEXO 11 SINIESTROS "/>
      <sheetName val="Provision Incobrables"/>
      <sheetName val="Otras Operaciones"/>
      <sheetName val="Contratos Swaps (2)"/>
      <sheetName val="Contratos Opciones"/>
      <sheetName val="Contratos Futuros"/>
      <sheetName val="Contratos Forwards"/>
      <sheetName val="Margen de Solvencia 1"/>
      <sheetName val="Margen de Solvencia 2"/>
      <sheetName val="Margen de Solvencia 3"/>
      <sheetName val="Agentes Directos"/>
      <sheetName val="PRIMA NO GANADA"/>
      <sheetName val="ANALISIS SUFICIENCIA RESERVA "/>
      <sheetName val="NCG 159 custodia"/>
      <sheetName val="suficiencia de activos"/>
      <sheetName val="suficiencia de activos (1)"/>
      <sheetName val="Reserva Descalce Flexible"/>
      <sheetName val="Reserva Descalce APV"/>
      <sheetName val="Anexo Seguros Flexibles"/>
      <sheetName val="Anexo seguros APV"/>
      <sheetName val="Honorarios 2008"/>
      <sheetName val="INFORME RESERVA DE DESCALCE"/>
      <sheetName val="bienes raices"/>
      <sheetName val="leas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row r="40">
          <cell r="AO40">
            <v>90382825.112781957</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pageSetUpPr fitToPage="1"/>
  </sheetPr>
  <dimension ref="A1:AM2321"/>
  <sheetViews>
    <sheetView zoomScaleNormal="100" workbookViewId="0">
      <pane ySplit="6" topLeftCell="A7" activePane="bottomLeft" state="frozen"/>
      <selection activeCell="AH702" activeCellId="3" sqref="AH699 AH699 AH700 AH702"/>
      <selection pane="bottomLeft" activeCell="AE28" sqref="AE28"/>
    </sheetView>
  </sheetViews>
  <sheetFormatPr baseColWidth="10" defaultColWidth="13.33203125" defaultRowHeight="11.25"/>
  <cols>
    <col min="1" max="1" width="5" style="5" customWidth="1"/>
    <col min="2" max="2" width="5.1640625" style="5" customWidth="1"/>
    <col min="3" max="3" width="6.6640625" style="5" customWidth="1"/>
    <col min="4" max="4" width="7.6640625" style="5" customWidth="1"/>
    <col min="5" max="5" width="11.6640625" style="5" bestFit="1" customWidth="1"/>
    <col min="6" max="6" width="10.83203125" style="5" hidden="1" customWidth="1"/>
    <col min="7" max="7" width="5.33203125" style="6" hidden="1" customWidth="1"/>
    <col min="8" max="8" width="3.83203125" style="6" hidden="1" customWidth="1"/>
    <col min="9" max="9" width="10.83203125" style="5" hidden="1" customWidth="1"/>
    <col min="10" max="10" width="5.33203125" style="5" hidden="1" customWidth="1"/>
    <col min="11" max="11" width="3.83203125" style="5" hidden="1" customWidth="1"/>
    <col min="12" max="12" width="10.83203125" style="5" hidden="1" customWidth="1"/>
    <col min="13" max="13" width="13.1640625" style="5" hidden="1" customWidth="1"/>
    <col min="14" max="14" width="3.83203125" style="5" hidden="1" customWidth="1"/>
    <col min="15" max="15" width="10.83203125" style="5" hidden="1" customWidth="1"/>
    <col min="16" max="16" width="8.5" style="6" hidden="1" customWidth="1"/>
    <col min="17" max="17" width="3.83203125" style="6" hidden="1" customWidth="1"/>
    <col min="18" max="18" width="13.1640625" style="5" hidden="1" customWidth="1"/>
    <col min="19" max="19" width="10.1640625" style="6" hidden="1" customWidth="1"/>
    <col min="20" max="20" width="3.83203125" style="6" hidden="1" customWidth="1"/>
    <col min="21" max="21" width="10.83203125" style="5" hidden="1" customWidth="1"/>
    <col min="22" max="22" width="5.33203125" style="6" hidden="1" customWidth="1"/>
    <col min="23" max="23" width="3.83203125" style="7" hidden="1" customWidth="1"/>
    <col min="24" max="24" width="10.83203125" style="9" hidden="1" customWidth="1"/>
    <col min="25" max="25" width="5.33203125" style="7" hidden="1" customWidth="1"/>
    <col min="26" max="26" width="3.83203125" style="7" hidden="1" customWidth="1"/>
    <col min="27" max="27" width="10" style="7" hidden="1" customWidth="1"/>
    <col min="28" max="28" width="4" style="7" hidden="1" customWidth="1"/>
    <col min="29" max="29" width="5.5" style="7" hidden="1" customWidth="1"/>
    <col min="30" max="30" width="11.6640625" style="10" customWidth="1"/>
    <col min="31" max="31" width="39.33203125" style="10" customWidth="1"/>
    <col min="32" max="32" width="19" style="10" customWidth="1"/>
    <col min="33" max="33" width="17.6640625" style="448" customWidth="1"/>
    <col min="34" max="34" width="16.33203125" style="10" bestFit="1" customWidth="1"/>
    <col min="35" max="35" width="17.5" style="10" customWidth="1"/>
    <col min="36" max="36" width="17.6640625" style="10" customWidth="1"/>
    <col min="37" max="37" width="14.33203125" style="10" customWidth="1"/>
    <col min="38" max="38" width="17.5" style="10" customWidth="1"/>
    <col min="39" max="39" width="15.1640625" style="10" bestFit="1" customWidth="1"/>
    <col min="40" max="40" width="21" style="10" bestFit="1" customWidth="1"/>
    <col min="41" max="16384" width="13.33203125" style="10"/>
  </cols>
  <sheetData>
    <row r="1" spans="1:39">
      <c r="U1" s="8"/>
    </row>
    <row r="2" spans="1:39">
      <c r="U2" s="8"/>
      <c r="AE2" s="11" t="s">
        <v>767</v>
      </c>
      <c r="AF2" s="930"/>
      <c r="AG2" s="469"/>
      <c r="AH2" s="13">
        <v>1000</v>
      </c>
    </row>
    <row r="3" spans="1:39">
      <c r="AF3" s="29"/>
      <c r="AH3" s="10" t="s">
        <v>768</v>
      </c>
    </row>
    <row r="4" spans="1:39" ht="12" thickBot="1">
      <c r="B4" s="5" t="s">
        <v>769</v>
      </c>
      <c r="AF4" s="29"/>
      <c r="AG4" s="671">
        <f>+AG1766</f>
        <v>0</v>
      </c>
    </row>
    <row r="5" spans="1:39" ht="12.75">
      <c r="A5" s="14"/>
      <c r="B5" s="15"/>
      <c r="C5" s="15"/>
      <c r="D5" s="15"/>
      <c r="E5" s="15"/>
      <c r="F5" s="16">
        <v>607</v>
      </c>
      <c r="G5" s="17"/>
      <c r="H5" s="17"/>
      <c r="I5" s="16">
        <v>606</v>
      </c>
      <c r="J5" s="17"/>
      <c r="K5" s="17"/>
      <c r="L5" s="16">
        <v>605</v>
      </c>
      <c r="M5" s="17"/>
      <c r="N5" s="17"/>
      <c r="O5" s="16">
        <v>604</v>
      </c>
      <c r="P5" s="17"/>
      <c r="Q5" s="17"/>
      <c r="R5" s="15">
        <v>603</v>
      </c>
      <c r="S5" s="17"/>
      <c r="T5" s="15"/>
      <c r="U5" s="16">
        <v>602</v>
      </c>
      <c r="V5" s="17"/>
      <c r="W5" s="17"/>
      <c r="X5" s="16">
        <v>601</v>
      </c>
      <c r="Y5" s="17"/>
      <c r="Z5" s="17"/>
      <c r="AA5" s="16" t="s">
        <v>770</v>
      </c>
      <c r="AB5" s="17"/>
      <c r="AC5" s="17"/>
      <c r="AD5" s="15"/>
      <c r="AE5" s="15"/>
      <c r="AF5" s="18" t="s">
        <v>2953</v>
      </c>
      <c r="AG5" s="470" t="s">
        <v>771</v>
      </c>
      <c r="AH5" s="360">
        <f>+FechaInforme</f>
        <v>41121</v>
      </c>
      <c r="AJ5" s="10" t="s">
        <v>772</v>
      </c>
    </row>
    <row r="6" spans="1:39" ht="12" thickBot="1">
      <c r="A6" s="19" t="s">
        <v>773</v>
      </c>
      <c r="B6" s="20" t="s">
        <v>774</v>
      </c>
      <c r="C6" s="20" t="s">
        <v>775</v>
      </c>
      <c r="D6" s="20" t="s">
        <v>1212</v>
      </c>
      <c r="E6" s="21" t="s">
        <v>1213</v>
      </c>
      <c r="F6" s="22" t="s">
        <v>1214</v>
      </c>
      <c r="G6" s="23" t="s">
        <v>790</v>
      </c>
      <c r="H6" s="22" t="s">
        <v>791</v>
      </c>
      <c r="I6" s="22" t="s">
        <v>792</v>
      </c>
      <c r="J6" s="23" t="s">
        <v>790</v>
      </c>
      <c r="K6" s="22" t="s">
        <v>791</v>
      </c>
      <c r="L6" s="22" t="s">
        <v>793</v>
      </c>
      <c r="M6" s="23" t="s">
        <v>790</v>
      </c>
      <c r="N6" s="22" t="s">
        <v>791</v>
      </c>
      <c r="O6" s="22" t="s">
        <v>716</v>
      </c>
      <c r="P6" s="22" t="s">
        <v>790</v>
      </c>
      <c r="Q6" s="22" t="s">
        <v>791</v>
      </c>
      <c r="R6" s="20" t="s">
        <v>717</v>
      </c>
      <c r="S6" s="22" t="s">
        <v>790</v>
      </c>
      <c r="T6" s="20" t="s">
        <v>791</v>
      </c>
      <c r="U6" s="22" t="s">
        <v>718</v>
      </c>
      <c r="V6" s="22" t="s">
        <v>790</v>
      </c>
      <c r="W6" s="22" t="s">
        <v>791</v>
      </c>
      <c r="X6" s="22" t="s">
        <v>1883</v>
      </c>
      <c r="Y6" s="22" t="s">
        <v>790</v>
      </c>
      <c r="Z6" s="22" t="s">
        <v>791</v>
      </c>
      <c r="AA6" s="22"/>
      <c r="AB6" s="22"/>
      <c r="AC6" s="22"/>
      <c r="AD6" s="21" t="s">
        <v>1884</v>
      </c>
      <c r="AE6" s="20"/>
      <c r="AF6" s="20"/>
      <c r="AG6" s="471"/>
      <c r="AH6" s="24" t="s">
        <v>1885</v>
      </c>
    </row>
    <row r="7" spans="1:39" s="467" customFormat="1" ht="12.75" customHeight="1">
      <c r="A7" s="487" t="str">
        <f>+LEFT($AD7,1)</f>
        <v>1</v>
      </c>
      <c r="B7" s="487" t="str">
        <f>RIGHT(LEFT($AD7,3),2)</f>
        <v>10</v>
      </c>
      <c r="C7" s="487" t="str">
        <f>RIGHT(LEFT($AD7,5),2)</f>
        <v>00</v>
      </c>
      <c r="D7" s="487" t="str">
        <f>RIGHT(LEFT($AD7,9),4)</f>
        <v>0001</v>
      </c>
      <c r="E7" s="487">
        <v>511151000</v>
      </c>
      <c r="F7" s="488" t="str">
        <f t="shared" ref="F7:F104" si="0">+G7&amp;H7</f>
        <v/>
      </c>
      <c r="G7" s="487"/>
      <c r="H7" s="487"/>
      <c r="I7" s="488" t="str">
        <f t="shared" ref="I7:I104" si="1">+J7&amp;K7</f>
        <v/>
      </c>
      <c r="J7" s="487"/>
      <c r="K7" s="487"/>
      <c r="L7" s="488" t="str">
        <f t="shared" ref="L7:L104" si="2">+M7&amp;N7</f>
        <v/>
      </c>
      <c r="M7" s="489"/>
      <c r="N7" s="489"/>
      <c r="O7" s="488" t="str">
        <f t="shared" ref="O7:O104" si="3">+P7&amp;Q7</f>
        <v/>
      </c>
      <c r="P7" s="489"/>
      <c r="Q7" s="489"/>
      <c r="R7" s="592" t="str">
        <f t="shared" ref="R7:R104" si="4">+S7&amp;T7</f>
        <v/>
      </c>
      <c r="S7" s="489"/>
      <c r="T7" s="487"/>
      <c r="U7" s="488" t="str">
        <f t="shared" ref="U7:U104" si="5">+V7&amp;W7</f>
        <v/>
      </c>
      <c r="V7" s="489"/>
      <c r="W7" s="489"/>
      <c r="X7" s="488" t="str">
        <f t="shared" ref="X7:X104" si="6">+Y7&amp;Z7</f>
        <v/>
      </c>
      <c r="Y7" s="489"/>
      <c r="Z7" s="489"/>
      <c r="AA7" s="490" t="str">
        <f t="shared" ref="AA7:AA28" si="7">+AB7&amp;AC7</f>
        <v>221</v>
      </c>
      <c r="AB7" s="489">
        <v>22</v>
      </c>
      <c r="AC7" s="489">
        <v>1</v>
      </c>
      <c r="AD7" s="27">
        <v>110001</v>
      </c>
      <c r="AE7" s="27" t="s">
        <v>430</v>
      </c>
      <c r="AF7" s="432">
        <f>VLOOKUP(AD7,[5]Hoja1!$A$10:$K$1393,11,0)</f>
        <v>660797</v>
      </c>
      <c r="AG7" s="432"/>
      <c r="AH7" s="432">
        <f>ROUND((AF7+AG7)/$AH$2,0)</f>
        <v>661</v>
      </c>
      <c r="AI7" s="491"/>
      <c r="AL7" s="448"/>
      <c r="AM7" s="467">
        <f>VLOOKUP(AD7,[6]BV201101!$A$10:$A$1236,1,0)</f>
        <v>110001</v>
      </c>
    </row>
    <row r="8" spans="1:39" s="467" customFormat="1" ht="12.75" customHeight="1">
      <c r="A8" s="487" t="str">
        <f t="shared" ref="A8:A105" si="8">+LEFT($AD8,1)</f>
        <v>1</v>
      </c>
      <c r="B8" s="487" t="str">
        <f t="shared" ref="B8:B105" si="9">RIGHT(LEFT($AD8,3),2)</f>
        <v>10</v>
      </c>
      <c r="C8" s="487" t="str">
        <f t="shared" ref="C8:C105" si="10">RIGHT(LEFT($AD8,5),2)</f>
        <v>00</v>
      </c>
      <c r="D8" s="487" t="str">
        <f t="shared" ref="D8:D105" si="11">RIGHT(LEFT($AD8,9),4)</f>
        <v>0002</v>
      </c>
      <c r="E8" s="487">
        <v>511151000</v>
      </c>
      <c r="F8" s="488" t="str">
        <f t="shared" si="0"/>
        <v/>
      </c>
      <c r="G8" s="487"/>
      <c r="H8" s="487"/>
      <c r="I8" s="488" t="str">
        <f t="shared" si="1"/>
        <v/>
      </c>
      <c r="J8" s="487"/>
      <c r="K8" s="487"/>
      <c r="L8" s="488" t="str">
        <f t="shared" si="2"/>
        <v/>
      </c>
      <c r="M8" s="487"/>
      <c r="N8" s="487"/>
      <c r="O8" s="488" t="str">
        <f t="shared" si="3"/>
        <v/>
      </c>
      <c r="P8" s="489"/>
      <c r="Q8" s="489"/>
      <c r="R8" s="592" t="str">
        <f t="shared" si="4"/>
        <v/>
      </c>
      <c r="S8" s="487"/>
      <c r="T8" s="487"/>
      <c r="U8" s="488" t="str">
        <f t="shared" si="5"/>
        <v/>
      </c>
      <c r="V8" s="489"/>
      <c r="W8" s="489"/>
      <c r="X8" s="488" t="str">
        <f t="shared" si="6"/>
        <v/>
      </c>
      <c r="Y8" s="489"/>
      <c r="Z8" s="489"/>
      <c r="AA8" s="490" t="str">
        <f t="shared" si="7"/>
        <v>221</v>
      </c>
      <c r="AB8" s="489">
        <v>22</v>
      </c>
      <c r="AC8" s="489">
        <v>1</v>
      </c>
      <c r="AD8" s="27">
        <v>110002</v>
      </c>
      <c r="AE8" s="27" t="s">
        <v>431</v>
      </c>
      <c r="AF8" s="432">
        <f>VLOOKUP(AD8,[5]Hoja1!$A$10:$K$1393,11,0)</f>
        <v>0</v>
      </c>
      <c r="AG8" s="432">
        <v>0</v>
      </c>
      <c r="AH8" s="432">
        <f t="shared" ref="AH8:AH73" si="12">ROUND((AF8+AG8)/$AH$2,0)</f>
        <v>0</v>
      </c>
      <c r="AL8" s="448"/>
      <c r="AM8" s="467">
        <f>VLOOKUP(AD8,[6]BV201101!$A$10:$A$1236,1,0)</f>
        <v>110002</v>
      </c>
    </row>
    <row r="9" spans="1:39" s="467" customFormat="1" ht="12.75" customHeight="1">
      <c r="A9" s="487" t="str">
        <f t="shared" si="8"/>
        <v>1</v>
      </c>
      <c r="B9" s="487" t="str">
        <f t="shared" si="9"/>
        <v>10</v>
      </c>
      <c r="C9" s="487" t="str">
        <f t="shared" si="10"/>
        <v>00</v>
      </c>
      <c r="D9" s="487" t="str">
        <f t="shared" si="11"/>
        <v>0003</v>
      </c>
      <c r="E9" s="487">
        <v>511151000</v>
      </c>
      <c r="F9" s="488" t="str">
        <f t="shared" si="0"/>
        <v/>
      </c>
      <c r="G9" s="487"/>
      <c r="H9" s="487"/>
      <c r="I9" s="488" t="str">
        <f t="shared" si="1"/>
        <v/>
      </c>
      <c r="J9" s="487"/>
      <c r="K9" s="487"/>
      <c r="L9" s="488" t="str">
        <f t="shared" si="2"/>
        <v/>
      </c>
      <c r="M9" s="487"/>
      <c r="N9" s="487"/>
      <c r="O9" s="488" t="str">
        <f t="shared" si="3"/>
        <v/>
      </c>
      <c r="P9" s="489"/>
      <c r="Q9" s="489"/>
      <c r="R9" s="592" t="str">
        <f t="shared" si="4"/>
        <v/>
      </c>
      <c r="S9" s="487"/>
      <c r="T9" s="487"/>
      <c r="U9" s="488" t="str">
        <f t="shared" si="5"/>
        <v/>
      </c>
      <c r="V9" s="489"/>
      <c r="W9" s="489"/>
      <c r="X9" s="488" t="str">
        <f t="shared" si="6"/>
        <v/>
      </c>
      <c r="Y9" s="489"/>
      <c r="Z9" s="489"/>
      <c r="AA9" s="490" t="str">
        <f t="shared" si="7"/>
        <v>221</v>
      </c>
      <c r="AB9" s="489">
        <v>22</v>
      </c>
      <c r="AC9" s="489">
        <v>1</v>
      </c>
      <c r="AD9" s="27">
        <v>110003</v>
      </c>
      <c r="AE9" s="27" t="s">
        <v>330</v>
      </c>
      <c r="AF9" s="432">
        <f>VLOOKUP(AD9,[5]Hoja1!$A$10:$K$1393,11,0)</f>
        <v>577998550</v>
      </c>
      <c r="AG9" s="1507">
        <f>-271812-179696463</f>
        <v>-179968275</v>
      </c>
      <c r="AH9" s="432">
        <f t="shared" si="12"/>
        <v>398030</v>
      </c>
      <c r="AL9" s="448"/>
      <c r="AM9" s="467">
        <f>VLOOKUP(AD9,[6]BV201101!$A$10:$A$1236,1,0)</f>
        <v>110003</v>
      </c>
    </row>
    <row r="10" spans="1:39" s="467" customFormat="1" ht="12.75" customHeight="1">
      <c r="A10" s="487" t="str">
        <f t="shared" si="8"/>
        <v>1</v>
      </c>
      <c r="B10" s="487" t="str">
        <f t="shared" si="9"/>
        <v>10</v>
      </c>
      <c r="C10" s="487" t="str">
        <f t="shared" si="10"/>
        <v>00</v>
      </c>
      <c r="D10" s="487" t="str">
        <f t="shared" si="11"/>
        <v>0004</v>
      </c>
      <c r="E10" s="487">
        <v>511152000</v>
      </c>
      <c r="F10" s="488" t="str">
        <f>+G10&amp;H10</f>
        <v/>
      </c>
      <c r="G10" s="487"/>
      <c r="H10" s="487"/>
      <c r="I10" s="488" t="str">
        <f>+J10&amp;K10</f>
        <v/>
      </c>
      <c r="J10" s="487"/>
      <c r="K10" s="487"/>
      <c r="L10" s="488" t="str">
        <f>+M10&amp;N10</f>
        <v/>
      </c>
      <c r="M10" s="487"/>
      <c r="N10" s="487"/>
      <c r="O10" s="488" t="str">
        <f>+P10&amp;Q10</f>
        <v/>
      </c>
      <c r="P10" s="489"/>
      <c r="Q10" s="489"/>
      <c r="R10" s="592" t="str">
        <f>+S10&amp;T10</f>
        <v/>
      </c>
      <c r="S10" s="487"/>
      <c r="T10" s="487"/>
      <c r="U10" s="488" t="str">
        <f>+V10&amp;W10</f>
        <v/>
      </c>
      <c r="V10" s="489"/>
      <c r="W10" s="489"/>
      <c r="X10" s="488" t="str">
        <f>+Y10&amp;Z10</f>
        <v/>
      </c>
      <c r="Y10" s="489"/>
      <c r="Z10" s="489"/>
      <c r="AA10" s="490" t="str">
        <f>+AB10&amp;AC10</f>
        <v>221</v>
      </c>
      <c r="AB10" s="489">
        <v>22</v>
      </c>
      <c r="AC10" s="489">
        <v>1</v>
      </c>
      <c r="AD10" s="27">
        <v>110004</v>
      </c>
      <c r="AE10" s="27" t="s">
        <v>1348</v>
      </c>
      <c r="AF10" s="432">
        <f>VLOOKUP(AD10,[5]Hoja1!$A$10:$K$1393,11,0)</f>
        <v>290384175</v>
      </c>
      <c r="AG10" s="1507">
        <f>-AG13-AG45-AG65-AG17</f>
        <v>-290384175</v>
      </c>
      <c r="AH10" s="432">
        <f t="shared" si="12"/>
        <v>0</v>
      </c>
      <c r="AL10" s="448"/>
      <c r="AM10" s="467">
        <f>VLOOKUP(AD10,[6]BV201101!$A$10:$A$1236,1,0)</f>
        <v>110004</v>
      </c>
    </row>
    <row r="11" spans="1:39" s="467" customFormat="1" ht="12.75" customHeight="1">
      <c r="A11" s="487" t="str">
        <f t="shared" si="8"/>
        <v>1</v>
      </c>
      <c r="B11" s="487" t="str">
        <f t="shared" si="9"/>
        <v>10</v>
      </c>
      <c r="C11" s="487" t="str">
        <f t="shared" si="10"/>
        <v>00</v>
      </c>
      <c r="D11" s="487" t="str">
        <f t="shared" si="11"/>
        <v>0005</v>
      </c>
      <c r="E11" s="487">
        <v>511151000</v>
      </c>
      <c r="F11" s="488" t="str">
        <f>+G11&amp;H11</f>
        <v/>
      </c>
      <c r="G11" s="487"/>
      <c r="H11" s="487"/>
      <c r="I11" s="488" t="str">
        <f>+J11&amp;K11</f>
        <v/>
      </c>
      <c r="J11" s="487"/>
      <c r="K11" s="487"/>
      <c r="L11" s="488" t="str">
        <f>+M11&amp;N11</f>
        <v/>
      </c>
      <c r="M11" s="487"/>
      <c r="N11" s="487"/>
      <c r="O11" s="488" t="str">
        <f>+P11&amp;Q11</f>
        <v/>
      </c>
      <c r="P11" s="489"/>
      <c r="Q11" s="489"/>
      <c r="R11" s="592" t="str">
        <f>+S11&amp;T11</f>
        <v/>
      </c>
      <c r="S11" s="487"/>
      <c r="T11" s="487"/>
      <c r="U11" s="488" t="str">
        <f>+V11&amp;W11</f>
        <v/>
      </c>
      <c r="V11" s="489"/>
      <c r="W11" s="489"/>
      <c r="X11" s="488" t="str">
        <f>+Y11&amp;Z11</f>
        <v/>
      </c>
      <c r="Y11" s="489"/>
      <c r="Z11" s="489"/>
      <c r="AA11" s="490" t="str">
        <f>+AB11&amp;AC11</f>
        <v>221</v>
      </c>
      <c r="AB11" s="489">
        <v>22</v>
      </c>
      <c r="AC11" s="489">
        <v>1</v>
      </c>
      <c r="AD11" s="27">
        <v>110005</v>
      </c>
      <c r="AE11" s="27" t="s">
        <v>981</v>
      </c>
      <c r="AF11" s="432">
        <f>VLOOKUP(AD11,[5]Hoja1!$A$10:$K$1393,11,0)</f>
        <v>0</v>
      </c>
      <c r="AG11" s="432"/>
      <c r="AH11" s="432">
        <f t="shared" si="12"/>
        <v>0</v>
      </c>
      <c r="AL11" s="448"/>
      <c r="AM11" s="467">
        <f>VLOOKUP(AD11,[6]BV201101!$A$10:$A$1236,1,0)</f>
        <v>110005</v>
      </c>
    </row>
    <row r="12" spans="1:39" s="467" customFormat="1" ht="12.75" customHeight="1">
      <c r="A12" s="487" t="str">
        <f t="shared" si="8"/>
        <v>1</v>
      </c>
      <c r="B12" s="487" t="str">
        <f t="shared" si="9"/>
        <v>10</v>
      </c>
      <c r="C12" s="487" t="str">
        <f t="shared" si="10"/>
        <v>10</v>
      </c>
      <c r="D12" s="487" t="str">
        <f t="shared" si="11"/>
        <v>0101</v>
      </c>
      <c r="E12" s="487">
        <v>511152000</v>
      </c>
      <c r="F12" s="488" t="str">
        <f t="shared" si="0"/>
        <v/>
      </c>
      <c r="G12" s="487"/>
      <c r="H12" s="487"/>
      <c r="I12" s="488" t="str">
        <f t="shared" si="1"/>
        <v/>
      </c>
      <c r="J12" s="487"/>
      <c r="K12" s="487"/>
      <c r="L12" s="488" t="str">
        <f t="shared" si="2"/>
        <v/>
      </c>
      <c r="M12" s="487"/>
      <c r="N12" s="487"/>
      <c r="O12" s="488" t="str">
        <f t="shared" si="3"/>
        <v/>
      </c>
      <c r="P12" s="489"/>
      <c r="Q12" s="489"/>
      <c r="R12" s="592" t="str">
        <f t="shared" si="4"/>
        <v/>
      </c>
      <c r="S12" s="487"/>
      <c r="T12" s="487"/>
      <c r="U12" s="488" t="str">
        <f t="shared" si="5"/>
        <v/>
      </c>
      <c r="V12" s="489"/>
      <c r="W12" s="489"/>
      <c r="X12" s="488" t="str">
        <f t="shared" si="6"/>
        <v/>
      </c>
      <c r="Y12" s="489"/>
      <c r="Z12" s="489"/>
      <c r="AA12" s="490" t="str">
        <f t="shared" si="7"/>
        <v>221</v>
      </c>
      <c r="AB12" s="489">
        <v>22</v>
      </c>
      <c r="AC12" s="489">
        <v>1</v>
      </c>
      <c r="AD12" s="27">
        <v>110101</v>
      </c>
      <c r="AE12" s="27" t="s">
        <v>1906</v>
      </c>
      <c r="AF12" s="432">
        <f>VLOOKUP(AD12,[5]Hoja1!$A$10:$K$1393,11,0)</f>
        <v>0</v>
      </c>
      <c r="AG12" s="432"/>
      <c r="AH12" s="432">
        <f t="shared" si="12"/>
        <v>0</v>
      </c>
      <c r="AL12" s="448"/>
      <c r="AM12" s="467">
        <f>VLOOKUP(AD12,[6]BV201101!$A$10:$A$1236,1,0)</f>
        <v>110101</v>
      </c>
    </row>
    <row r="13" spans="1:39" s="467" customFormat="1" ht="12.75" customHeight="1">
      <c r="A13" s="487" t="str">
        <f t="shared" si="8"/>
        <v>1</v>
      </c>
      <c r="B13" s="487" t="str">
        <f t="shared" si="9"/>
        <v>10</v>
      </c>
      <c r="C13" s="487" t="str">
        <f t="shared" si="10"/>
        <v>10</v>
      </c>
      <c r="D13" s="487" t="str">
        <f t="shared" si="11"/>
        <v>0102</v>
      </c>
      <c r="E13" s="487">
        <v>511152000</v>
      </c>
      <c r="F13" s="488" t="str">
        <f t="shared" si="0"/>
        <v/>
      </c>
      <c r="G13" s="487"/>
      <c r="H13" s="487"/>
      <c r="I13" s="488" t="str">
        <f t="shared" si="1"/>
        <v/>
      </c>
      <c r="J13" s="487"/>
      <c r="K13" s="487"/>
      <c r="L13" s="488" t="str">
        <f t="shared" si="2"/>
        <v/>
      </c>
      <c r="M13" s="487"/>
      <c r="N13" s="487"/>
      <c r="O13" s="488" t="str">
        <f t="shared" si="3"/>
        <v/>
      </c>
      <c r="P13" s="489"/>
      <c r="Q13" s="489"/>
      <c r="R13" s="592" t="str">
        <f t="shared" si="4"/>
        <v/>
      </c>
      <c r="S13" s="487"/>
      <c r="T13" s="487"/>
      <c r="U13" s="488" t="str">
        <f t="shared" si="5"/>
        <v/>
      </c>
      <c r="V13" s="489"/>
      <c r="W13" s="489"/>
      <c r="X13" s="488" t="str">
        <f t="shared" si="6"/>
        <v/>
      </c>
      <c r="Y13" s="489"/>
      <c r="Z13" s="489"/>
      <c r="AA13" s="490" t="str">
        <f t="shared" si="7"/>
        <v>221</v>
      </c>
      <c r="AB13" s="489">
        <v>22</v>
      </c>
      <c r="AC13" s="489">
        <v>1</v>
      </c>
      <c r="AD13" s="27">
        <v>110102</v>
      </c>
      <c r="AE13" s="27" t="s">
        <v>1907</v>
      </c>
      <c r="AF13" s="432">
        <f>VLOOKUP(AD13,[5]Hoja1!$A$10:$K$1393,11,0)</f>
        <v>788656220</v>
      </c>
      <c r="AG13" s="1507">
        <v>271083336</v>
      </c>
      <c r="AH13" s="432">
        <f t="shared" si="12"/>
        <v>1059740</v>
      </c>
      <c r="AL13" s="448"/>
      <c r="AM13" s="467">
        <f>VLOOKUP(AD13,[6]BV201101!$A$10:$A$1236,1,0)</f>
        <v>110102</v>
      </c>
    </row>
    <row r="14" spans="1:39" s="467" customFormat="1" ht="12.75" customHeight="1">
      <c r="A14" s="487" t="str">
        <f t="shared" si="8"/>
        <v>1</v>
      </c>
      <c r="B14" s="487" t="str">
        <f t="shared" si="9"/>
        <v>10</v>
      </c>
      <c r="C14" s="487" t="str">
        <f t="shared" si="10"/>
        <v>10</v>
      </c>
      <c r="D14" s="487" t="str">
        <f t="shared" si="11"/>
        <v>0103</v>
      </c>
      <c r="E14" s="487">
        <v>511152000</v>
      </c>
      <c r="F14" s="488" t="str">
        <f t="shared" si="0"/>
        <v/>
      </c>
      <c r="G14" s="487"/>
      <c r="H14" s="487"/>
      <c r="I14" s="488" t="str">
        <f t="shared" si="1"/>
        <v/>
      </c>
      <c r="J14" s="487"/>
      <c r="K14" s="487"/>
      <c r="L14" s="488" t="str">
        <f t="shared" si="2"/>
        <v/>
      </c>
      <c r="M14" s="487"/>
      <c r="N14" s="487"/>
      <c r="O14" s="488" t="str">
        <f t="shared" si="3"/>
        <v/>
      </c>
      <c r="P14" s="489"/>
      <c r="Q14" s="489"/>
      <c r="R14" s="592" t="str">
        <f t="shared" si="4"/>
        <v/>
      </c>
      <c r="S14" s="487"/>
      <c r="T14" s="487"/>
      <c r="U14" s="488" t="str">
        <f t="shared" si="5"/>
        <v/>
      </c>
      <c r="V14" s="489"/>
      <c r="W14" s="489"/>
      <c r="X14" s="488" t="str">
        <f t="shared" si="6"/>
        <v/>
      </c>
      <c r="Y14" s="489"/>
      <c r="Z14" s="489"/>
      <c r="AA14" s="490" t="str">
        <f t="shared" si="7"/>
        <v>221</v>
      </c>
      <c r="AB14" s="489">
        <v>22</v>
      </c>
      <c r="AC14" s="489">
        <v>1</v>
      </c>
      <c r="AD14" s="27">
        <v>110103</v>
      </c>
      <c r="AE14" s="27" t="s">
        <v>1908</v>
      </c>
      <c r="AF14" s="432">
        <f>VLOOKUP(AD14,[5]Hoja1!$A$10:$K$1393,11,0)</f>
        <v>381388</v>
      </c>
      <c r="AG14" s="1022">
        <v>0</v>
      </c>
      <c r="AH14" s="432">
        <f t="shared" si="12"/>
        <v>381</v>
      </c>
      <c r="AL14" s="448"/>
      <c r="AM14" s="467">
        <f>VLOOKUP(AD14,[6]BV201101!$A$10:$A$1236,1,0)</f>
        <v>110103</v>
      </c>
    </row>
    <row r="15" spans="1:39" s="467" customFormat="1" ht="12.75" customHeight="1">
      <c r="A15" s="487" t="str">
        <f t="shared" si="8"/>
        <v>1</v>
      </c>
      <c r="B15" s="487" t="str">
        <f t="shared" si="9"/>
        <v>10</v>
      </c>
      <c r="C15" s="487" t="str">
        <f t="shared" si="10"/>
        <v>10</v>
      </c>
      <c r="D15" s="487" t="str">
        <f t="shared" si="11"/>
        <v>0104</v>
      </c>
      <c r="E15" s="487">
        <v>511152000</v>
      </c>
      <c r="F15" s="488" t="str">
        <f t="shared" si="0"/>
        <v/>
      </c>
      <c r="G15" s="487"/>
      <c r="H15" s="487"/>
      <c r="I15" s="488" t="str">
        <f t="shared" si="1"/>
        <v/>
      </c>
      <c r="J15" s="487"/>
      <c r="K15" s="487"/>
      <c r="L15" s="488" t="str">
        <f t="shared" si="2"/>
        <v/>
      </c>
      <c r="M15" s="487"/>
      <c r="N15" s="487"/>
      <c r="O15" s="488" t="str">
        <f t="shared" si="3"/>
        <v/>
      </c>
      <c r="P15" s="489"/>
      <c r="Q15" s="489"/>
      <c r="R15" s="592" t="str">
        <f t="shared" si="4"/>
        <v/>
      </c>
      <c r="S15" s="487"/>
      <c r="T15" s="487"/>
      <c r="U15" s="488" t="str">
        <f t="shared" si="5"/>
        <v/>
      </c>
      <c r="V15" s="489"/>
      <c r="W15" s="489"/>
      <c r="X15" s="488" t="str">
        <f t="shared" si="6"/>
        <v/>
      </c>
      <c r="Y15" s="489"/>
      <c r="Z15" s="489"/>
      <c r="AA15" s="490" t="str">
        <f t="shared" si="7"/>
        <v>221</v>
      </c>
      <c r="AB15" s="489">
        <v>22</v>
      </c>
      <c r="AC15" s="489">
        <v>1</v>
      </c>
      <c r="AD15" s="27">
        <v>110104</v>
      </c>
      <c r="AE15" s="27" t="s">
        <v>1725</v>
      </c>
      <c r="AF15" s="432">
        <f>VLOOKUP(AD15,[5]Hoja1!$A$10:$K$1393,11,0)</f>
        <v>0</v>
      </c>
      <c r="AG15" s="1022"/>
      <c r="AH15" s="432">
        <f t="shared" si="12"/>
        <v>0</v>
      </c>
      <c r="AJ15" s="491"/>
      <c r="AL15" s="492"/>
      <c r="AM15" s="467">
        <f>VLOOKUP(AD15,[6]BV201101!$A$10:$A$1236,1,0)</f>
        <v>110104</v>
      </c>
    </row>
    <row r="16" spans="1:39" s="467" customFormat="1" ht="12.75" customHeight="1">
      <c r="A16" s="487" t="str">
        <f t="shared" si="8"/>
        <v>1</v>
      </c>
      <c r="B16" s="487" t="str">
        <f t="shared" si="9"/>
        <v>10</v>
      </c>
      <c r="C16" s="487" t="str">
        <f t="shared" si="10"/>
        <v>10</v>
      </c>
      <c r="D16" s="487" t="str">
        <f t="shared" si="11"/>
        <v>0105</v>
      </c>
      <c r="E16" s="487">
        <v>511152000</v>
      </c>
      <c r="F16" s="488" t="str">
        <f t="shared" si="0"/>
        <v/>
      </c>
      <c r="G16" s="487"/>
      <c r="H16" s="487"/>
      <c r="I16" s="488" t="str">
        <f t="shared" si="1"/>
        <v/>
      </c>
      <c r="J16" s="487"/>
      <c r="K16" s="487"/>
      <c r="L16" s="488" t="str">
        <f t="shared" si="2"/>
        <v/>
      </c>
      <c r="M16" s="487"/>
      <c r="N16" s="487"/>
      <c r="O16" s="488" t="str">
        <f t="shared" si="3"/>
        <v/>
      </c>
      <c r="P16" s="489"/>
      <c r="Q16" s="489"/>
      <c r="R16" s="592" t="str">
        <f t="shared" si="4"/>
        <v/>
      </c>
      <c r="S16" s="487"/>
      <c r="T16" s="487"/>
      <c r="U16" s="488" t="str">
        <f t="shared" si="5"/>
        <v/>
      </c>
      <c r="V16" s="489"/>
      <c r="W16" s="489"/>
      <c r="X16" s="488" t="str">
        <f t="shared" si="6"/>
        <v/>
      </c>
      <c r="Y16" s="489"/>
      <c r="Z16" s="489"/>
      <c r="AA16" s="490" t="str">
        <f t="shared" si="7"/>
        <v>221</v>
      </c>
      <c r="AB16" s="489">
        <v>22</v>
      </c>
      <c r="AC16" s="489">
        <v>1</v>
      </c>
      <c r="AD16" s="27">
        <v>110105</v>
      </c>
      <c r="AE16" s="27" t="s">
        <v>755</v>
      </c>
      <c r="AF16" s="432">
        <f>VLOOKUP(AD16,[5]Hoja1!$A$10:$K$1393,11,0)</f>
        <v>0</v>
      </c>
      <c r="AG16" s="1022"/>
      <c r="AH16" s="432">
        <f t="shared" si="12"/>
        <v>0</v>
      </c>
      <c r="AL16" s="448"/>
      <c r="AM16" s="467">
        <f>VLOOKUP(AD16,[6]BV201101!$A$10:$A$1236,1,0)</f>
        <v>110105</v>
      </c>
    </row>
    <row r="17" spans="1:39" s="467" customFormat="1" ht="12.75" customHeight="1">
      <c r="A17" s="487" t="str">
        <f t="shared" si="8"/>
        <v>1</v>
      </c>
      <c r="B17" s="487" t="str">
        <f t="shared" si="9"/>
        <v>10</v>
      </c>
      <c r="C17" s="487" t="str">
        <f t="shared" si="10"/>
        <v>10</v>
      </c>
      <c r="D17" s="487" t="str">
        <f t="shared" si="11"/>
        <v>0106</v>
      </c>
      <c r="E17" s="933">
        <v>523100000</v>
      </c>
      <c r="F17" s="488" t="str">
        <f>+G17&amp;H17</f>
        <v/>
      </c>
      <c r="G17" s="487"/>
      <c r="H17" s="487"/>
      <c r="I17" s="488" t="str">
        <f>+J17&amp;K17</f>
        <v/>
      </c>
      <c r="J17" s="487"/>
      <c r="K17" s="487"/>
      <c r="L17" s="488" t="str">
        <f>+M17&amp;N17</f>
        <v/>
      </c>
      <c r="M17" s="487"/>
      <c r="N17" s="487"/>
      <c r="O17" s="488" t="str">
        <f>+P17&amp;Q17</f>
        <v/>
      </c>
      <c r="P17" s="489"/>
      <c r="Q17" s="489"/>
      <c r="R17" s="592" t="str">
        <f>+S17&amp;T17</f>
        <v/>
      </c>
      <c r="S17" s="487"/>
      <c r="T17" s="487"/>
      <c r="U17" s="488" t="str">
        <f>+V17&amp;W17</f>
        <v/>
      </c>
      <c r="V17" s="489"/>
      <c r="W17" s="489"/>
      <c r="X17" s="488" t="str">
        <f>+Y17&amp;Z17</f>
        <v/>
      </c>
      <c r="Y17" s="489"/>
      <c r="Z17" s="489"/>
      <c r="AA17" s="490" t="str">
        <f t="shared" si="7"/>
        <v>151</v>
      </c>
      <c r="AB17" s="489">
        <v>15</v>
      </c>
      <c r="AC17" s="489">
        <v>1</v>
      </c>
      <c r="AD17" s="27">
        <v>110106</v>
      </c>
      <c r="AE17" s="27" t="s">
        <v>1126</v>
      </c>
      <c r="AF17" s="432">
        <f>VLOOKUP(AD17,[5]Hoja1!$A$10:$K$1393,11,0)</f>
        <v>-76215765</v>
      </c>
      <c r="AG17" s="1191">
        <v>274359</v>
      </c>
      <c r="AH17" s="432">
        <f t="shared" si="12"/>
        <v>-75941</v>
      </c>
      <c r="AJ17" s="491"/>
      <c r="AL17" s="492"/>
      <c r="AM17" s="467">
        <f>VLOOKUP(AD17,[6]BV201101!$A$10:$A$1236,1,0)</f>
        <v>110106</v>
      </c>
    </row>
    <row r="18" spans="1:39" s="467" customFormat="1" ht="12.75" customHeight="1">
      <c r="A18" s="487" t="str">
        <f t="shared" si="8"/>
        <v>1</v>
      </c>
      <c r="B18" s="487" t="str">
        <f t="shared" si="9"/>
        <v>10</v>
      </c>
      <c r="C18" s="487" t="str">
        <f t="shared" si="10"/>
        <v>10</v>
      </c>
      <c r="D18" s="487" t="str">
        <f t="shared" si="11"/>
        <v>0107</v>
      </c>
      <c r="E18" s="487">
        <v>511152000</v>
      </c>
      <c r="F18" s="488" t="str">
        <f>+G18&amp;H18</f>
        <v/>
      </c>
      <c r="G18" s="487"/>
      <c r="H18" s="487"/>
      <c r="I18" s="488" t="str">
        <f>+J18&amp;K18</f>
        <v/>
      </c>
      <c r="J18" s="487"/>
      <c r="K18" s="487"/>
      <c r="L18" s="488" t="str">
        <f>+M18&amp;N18</f>
        <v/>
      </c>
      <c r="M18" s="487"/>
      <c r="N18" s="487"/>
      <c r="O18" s="488" t="str">
        <f>+P18&amp;Q18</f>
        <v/>
      </c>
      <c r="P18" s="489"/>
      <c r="Q18" s="489"/>
      <c r="R18" s="592" t="str">
        <f>+S18&amp;T18</f>
        <v/>
      </c>
      <c r="S18" s="487"/>
      <c r="T18" s="487"/>
      <c r="U18" s="488" t="str">
        <f>+V18&amp;W18</f>
        <v/>
      </c>
      <c r="V18" s="489"/>
      <c r="W18" s="489"/>
      <c r="X18" s="488" t="str">
        <f>+Y18&amp;Z18</f>
        <v/>
      </c>
      <c r="Y18" s="489"/>
      <c r="Z18" s="489"/>
      <c r="AA18" s="490" t="str">
        <f t="shared" si="7"/>
        <v>151</v>
      </c>
      <c r="AB18" s="489">
        <v>15</v>
      </c>
      <c r="AC18" s="489">
        <v>1</v>
      </c>
      <c r="AD18" s="27">
        <v>110107</v>
      </c>
      <c r="AE18" s="27" t="s">
        <v>1127</v>
      </c>
      <c r="AF18" s="432">
        <f>VLOOKUP(AD18,[5]Hoja1!$A$10:$K$1393,11,0)</f>
        <v>1676626</v>
      </c>
      <c r="AG18" s="1022">
        <v>0</v>
      </c>
      <c r="AH18" s="432">
        <f t="shared" si="12"/>
        <v>1677</v>
      </c>
      <c r="AL18" s="448"/>
      <c r="AM18" s="467">
        <f>VLOOKUP(AD18,[6]BV201101!$A$10:$A$1236,1,0)</f>
        <v>110107</v>
      </c>
    </row>
    <row r="19" spans="1:39" s="467" customFormat="1" ht="12.75" customHeight="1">
      <c r="A19" s="487" t="str">
        <f t="shared" si="8"/>
        <v>1</v>
      </c>
      <c r="B19" s="487" t="str">
        <f t="shared" si="9"/>
        <v>10</v>
      </c>
      <c r="C19" s="487" t="str">
        <f t="shared" si="10"/>
        <v>10</v>
      </c>
      <c r="D19" s="487" t="str">
        <f t="shared" si="11"/>
        <v>0108</v>
      </c>
      <c r="E19" s="487">
        <v>511152000</v>
      </c>
      <c r="F19" s="488" t="str">
        <f>+G19&amp;H19</f>
        <v/>
      </c>
      <c r="G19" s="487"/>
      <c r="H19" s="487"/>
      <c r="I19" s="488" t="str">
        <f>+J19&amp;K19</f>
        <v/>
      </c>
      <c r="J19" s="487"/>
      <c r="K19" s="487"/>
      <c r="L19" s="488" t="str">
        <f>+M19&amp;N19</f>
        <v/>
      </c>
      <c r="M19" s="487"/>
      <c r="N19" s="487"/>
      <c r="O19" s="488" t="str">
        <f>+P19&amp;Q19</f>
        <v/>
      </c>
      <c r="P19" s="489"/>
      <c r="Q19" s="489"/>
      <c r="R19" s="592" t="str">
        <f>+S19&amp;T19</f>
        <v/>
      </c>
      <c r="S19" s="487"/>
      <c r="T19" s="487"/>
      <c r="U19" s="488" t="str">
        <f>+V19&amp;W19</f>
        <v/>
      </c>
      <c r="V19" s="489"/>
      <c r="W19" s="489"/>
      <c r="X19" s="488" t="str">
        <f>+Y19&amp;Z19</f>
        <v/>
      </c>
      <c r="Y19" s="489"/>
      <c r="Z19" s="489"/>
      <c r="AA19" s="490" t="str">
        <f>+AB19&amp;AC19</f>
        <v>221</v>
      </c>
      <c r="AB19" s="489">
        <v>22</v>
      </c>
      <c r="AC19" s="489">
        <v>1</v>
      </c>
      <c r="AD19" s="27">
        <v>110108</v>
      </c>
      <c r="AE19" s="27" t="s">
        <v>1909</v>
      </c>
      <c r="AF19" s="432">
        <f>VLOOKUP(AD19,[5]Hoja1!$A$10:$K$1393,11,0)</f>
        <v>146433782</v>
      </c>
      <c r="AG19" s="1022"/>
      <c r="AH19" s="432">
        <f t="shared" si="12"/>
        <v>146434</v>
      </c>
      <c r="AL19" s="448"/>
      <c r="AM19" s="467">
        <f>VLOOKUP(AD19,[6]BV201101!$A$10:$A$1236,1,0)</f>
        <v>110108</v>
      </c>
    </row>
    <row r="20" spans="1:39" s="467" customFormat="1" ht="12.75" customHeight="1">
      <c r="A20" s="487" t="str">
        <f t="shared" si="8"/>
        <v>1</v>
      </c>
      <c r="B20" s="487" t="str">
        <f t="shared" si="9"/>
        <v>10</v>
      </c>
      <c r="C20" s="487" t="str">
        <f t="shared" si="10"/>
        <v>10</v>
      </c>
      <c r="D20" s="487" t="str">
        <f t="shared" si="11"/>
        <v>0109</v>
      </c>
      <c r="E20" s="487">
        <v>511152000</v>
      </c>
      <c r="F20" s="488" t="str">
        <f t="shared" si="0"/>
        <v/>
      </c>
      <c r="G20" s="487"/>
      <c r="H20" s="487"/>
      <c r="I20" s="488" t="str">
        <f t="shared" si="1"/>
        <v/>
      </c>
      <c r="J20" s="487"/>
      <c r="K20" s="487"/>
      <c r="L20" s="488" t="str">
        <f t="shared" si="2"/>
        <v/>
      </c>
      <c r="M20" s="487"/>
      <c r="N20" s="487"/>
      <c r="O20" s="488" t="str">
        <f t="shared" si="3"/>
        <v/>
      </c>
      <c r="P20" s="489"/>
      <c r="Q20" s="489"/>
      <c r="R20" s="592" t="str">
        <f t="shared" si="4"/>
        <v/>
      </c>
      <c r="S20" s="487"/>
      <c r="T20" s="487"/>
      <c r="U20" s="488" t="str">
        <f t="shared" si="5"/>
        <v/>
      </c>
      <c r="V20" s="489"/>
      <c r="W20" s="489"/>
      <c r="X20" s="488" t="str">
        <f t="shared" si="6"/>
        <v/>
      </c>
      <c r="Y20" s="489"/>
      <c r="Z20" s="489"/>
      <c r="AA20" s="490" t="str">
        <f t="shared" si="7"/>
        <v>221</v>
      </c>
      <c r="AB20" s="489">
        <v>22</v>
      </c>
      <c r="AC20" s="489">
        <v>1</v>
      </c>
      <c r="AD20" s="27">
        <v>110109</v>
      </c>
      <c r="AE20" s="27" t="s">
        <v>1910</v>
      </c>
      <c r="AF20" s="432">
        <f>VLOOKUP(AD20,[5]Hoja1!$A$10:$K$1393,11,0)</f>
        <v>0</v>
      </c>
      <c r="AG20" s="1022"/>
      <c r="AH20" s="432">
        <f t="shared" si="12"/>
        <v>0</v>
      </c>
      <c r="AL20" s="448"/>
      <c r="AM20" s="467">
        <f>VLOOKUP(AD20,[6]BV201101!$A$10:$A$1236,1,0)</f>
        <v>110109</v>
      </c>
    </row>
    <row r="21" spans="1:39" s="467" customFormat="1" ht="12.75" customHeight="1">
      <c r="A21" s="487" t="str">
        <f t="shared" si="8"/>
        <v>1</v>
      </c>
      <c r="B21" s="487" t="str">
        <f t="shared" si="9"/>
        <v>10</v>
      </c>
      <c r="C21" s="487" t="str">
        <f t="shared" si="10"/>
        <v>11</v>
      </c>
      <c r="D21" s="487" t="str">
        <f t="shared" si="11"/>
        <v>0110</v>
      </c>
      <c r="E21" s="933">
        <v>523100000</v>
      </c>
      <c r="F21" s="488" t="str">
        <f>+G21&amp;H21</f>
        <v/>
      </c>
      <c r="G21" s="487"/>
      <c r="H21" s="487"/>
      <c r="I21" s="488" t="str">
        <f>+J21&amp;K21</f>
        <v/>
      </c>
      <c r="J21" s="487"/>
      <c r="K21" s="487"/>
      <c r="L21" s="488" t="str">
        <f>+M21&amp;N21</f>
        <v/>
      </c>
      <c r="M21" s="487"/>
      <c r="N21" s="487"/>
      <c r="O21" s="488" t="str">
        <f>+P21&amp;Q21</f>
        <v/>
      </c>
      <c r="P21" s="489"/>
      <c r="Q21" s="489"/>
      <c r="R21" s="592" t="str">
        <f>+S21&amp;T21</f>
        <v/>
      </c>
      <c r="S21" s="487"/>
      <c r="T21" s="487"/>
      <c r="U21" s="488" t="str">
        <f>+V21&amp;W21</f>
        <v/>
      </c>
      <c r="V21" s="489"/>
      <c r="W21" s="489"/>
      <c r="X21" s="488" t="str">
        <f>+Y21&amp;Z21</f>
        <v/>
      </c>
      <c r="Y21" s="489"/>
      <c r="Z21" s="489"/>
      <c r="AA21" s="490" t="str">
        <f>+AB21&amp;AC21</f>
        <v>221</v>
      </c>
      <c r="AB21" s="489">
        <v>22</v>
      </c>
      <c r="AC21" s="489">
        <v>1</v>
      </c>
      <c r="AD21" s="27">
        <v>110110</v>
      </c>
      <c r="AE21" s="27" t="s">
        <v>1911</v>
      </c>
      <c r="AF21" s="432">
        <f>VLOOKUP(AD21,[5]Hoja1!$A$10:$K$1393,11,0)</f>
        <v>-1250636</v>
      </c>
      <c r="AG21" s="1022"/>
      <c r="AH21" s="432">
        <f t="shared" si="12"/>
        <v>-1251</v>
      </c>
      <c r="AL21" s="448"/>
      <c r="AM21" s="467">
        <f>VLOOKUP(AD21,[6]BV201101!$A$10:$A$1236,1,0)</f>
        <v>110110</v>
      </c>
    </row>
    <row r="22" spans="1:39" s="467" customFormat="1" ht="12.75" customHeight="1">
      <c r="A22" s="487" t="str">
        <f t="shared" si="8"/>
        <v>1</v>
      </c>
      <c r="B22" s="487" t="str">
        <f t="shared" si="9"/>
        <v>10</v>
      </c>
      <c r="C22" s="487" t="str">
        <f t="shared" si="10"/>
        <v>11</v>
      </c>
      <c r="D22" s="487" t="str">
        <f t="shared" si="11"/>
        <v>0111</v>
      </c>
      <c r="E22" s="487">
        <v>511152000</v>
      </c>
      <c r="F22" s="488" t="str">
        <f t="shared" si="0"/>
        <v/>
      </c>
      <c r="G22" s="487"/>
      <c r="H22" s="487"/>
      <c r="I22" s="488" t="str">
        <f t="shared" si="1"/>
        <v/>
      </c>
      <c r="J22" s="487"/>
      <c r="K22" s="487"/>
      <c r="L22" s="488" t="str">
        <f t="shared" si="2"/>
        <v/>
      </c>
      <c r="M22" s="487"/>
      <c r="N22" s="487"/>
      <c r="O22" s="488" t="str">
        <f t="shared" si="3"/>
        <v/>
      </c>
      <c r="P22" s="489"/>
      <c r="Q22" s="489"/>
      <c r="R22" s="592" t="str">
        <f t="shared" si="4"/>
        <v/>
      </c>
      <c r="S22" s="487"/>
      <c r="T22" s="487"/>
      <c r="U22" s="488" t="str">
        <f t="shared" si="5"/>
        <v/>
      </c>
      <c r="V22" s="489"/>
      <c r="W22" s="489"/>
      <c r="X22" s="488" t="str">
        <f t="shared" si="6"/>
        <v/>
      </c>
      <c r="Y22" s="489"/>
      <c r="Z22" s="489"/>
      <c r="AA22" s="490" t="str">
        <f t="shared" si="7"/>
        <v>221</v>
      </c>
      <c r="AB22" s="489">
        <v>22</v>
      </c>
      <c r="AC22" s="489">
        <v>1</v>
      </c>
      <c r="AD22" s="27">
        <v>110111</v>
      </c>
      <c r="AE22" s="27" t="s">
        <v>908</v>
      </c>
      <c r="AF22" s="432">
        <f>VLOOKUP(AD22,[5]Hoja1!$A$10:$K$1393,11,0)</f>
        <v>109396</v>
      </c>
      <c r="AG22" s="1022"/>
      <c r="AH22" s="432">
        <f t="shared" si="12"/>
        <v>109</v>
      </c>
      <c r="AL22" s="448"/>
      <c r="AM22" s="467">
        <f>VLOOKUP(AD22,[6]BV201101!$A$10:$A$1236,1,0)</f>
        <v>110111</v>
      </c>
    </row>
    <row r="23" spans="1:39" s="467" customFormat="1" ht="12.75" customHeight="1">
      <c r="A23" s="487" t="str">
        <f t="shared" si="8"/>
        <v>1</v>
      </c>
      <c r="B23" s="487" t="str">
        <f t="shared" si="9"/>
        <v>10</v>
      </c>
      <c r="C23" s="487" t="str">
        <f t="shared" si="10"/>
        <v>11</v>
      </c>
      <c r="D23" s="487" t="str">
        <f t="shared" si="11"/>
        <v>0112</v>
      </c>
      <c r="E23" s="933">
        <v>523100000</v>
      </c>
      <c r="F23" s="488" t="str">
        <f>+G23&amp;H23</f>
        <v/>
      </c>
      <c r="G23" s="487"/>
      <c r="H23" s="487"/>
      <c r="I23" s="488" t="str">
        <f>+J23&amp;K23</f>
        <v/>
      </c>
      <c r="J23" s="487"/>
      <c r="K23" s="487"/>
      <c r="L23" s="488" t="str">
        <f>+M23&amp;N23</f>
        <v/>
      </c>
      <c r="M23" s="487"/>
      <c r="N23" s="487"/>
      <c r="O23" s="488" t="str">
        <f>+P23&amp;Q23</f>
        <v/>
      </c>
      <c r="P23" s="489"/>
      <c r="Q23" s="489"/>
      <c r="R23" s="592" t="str">
        <f>+S23&amp;T23</f>
        <v/>
      </c>
      <c r="S23" s="487"/>
      <c r="T23" s="487"/>
      <c r="U23" s="488" t="str">
        <f>+V23&amp;W23</f>
        <v/>
      </c>
      <c r="V23" s="489"/>
      <c r="W23" s="489"/>
      <c r="X23" s="488" t="str">
        <f>+Y23&amp;Z23</f>
        <v/>
      </c>
      <c r="Y23" s="489"/>
      <c r="Z23" s="489"/>
      <c r="AA23" s="490" t="str">
        <f>+AB23&amp;AC23</f>
        <v>151</v>
      </c>
      <c r="AB23" s="489">
        <v>15</v>
      </c>
      <c r="AC23" s="489">
        <v>1</v>
      </c>
      <c r="AD23" s="27">
        <v>110112</v>
      </c>
      <c r="AE23" s="27" t="s">
        <v>1912</v>
      </c>
      <c r="AF23" s="432">
        <f>VLOOKUP(AD23,[5]Hoja1!$A$10:$K$1393,11,0)</f>
        <v>-55085074</v>
      </c>
      <c r="AG23" s="1022"/>
      <c r="AH23" s="432">
        <f t="shared" si="12"/>
        <v>-55085</v>
      </c>
      <c r="AL23" s="448"/>
      <c r="AM23" s="467">
        <f>VLOOKUP(AD23,[6]BV201101!$A$10:$A$1236,1,0)</f>
        <v>110112</v>
      </c>
    </row>
    <row r="24" spans="1:39" s="467" customFormat="1" ht="12.75" customHeight="1">
      <c r="A24" s="487" t="str">
        <f t="shared" si="8"/>
        <v>1</v>
      </c>
      <c r="B24" s="487" t="str">
        <f t="shared" si="9"/>
        <v>10</v>
      </c>
      <c r="C24" s="487" t="str">
        <f t="shared" si="10"/>
        <v>11</v>
      </c>
      <c r="D24" s="487" t="str">
        <f t="shared" si="11"/>
        <v>0113</v>
      </c>
      <c r="E24" s="487">
        <v>511152000</v>
      </c>
      <c r="F24" s="488" t="str">
        <f>+G24&amp;H24</f>
        <v/>
      </c>
      <c r="G24" s="487"/>
      <c r="H24" s="487"/>
      <c r="I24" s="488" t="str">
        <f>+J24&amp;K24</f>
        <v/>
      </c>
      <c r="J24" s="487"/>
      <c r="K24" s="487"/>
      <c r="L24" s="488" t="str">
        <f>+M24&amp;N24</f>
        <v/>
      </c>
      <c r="M24" s="487"/>
      <c r="N24" s="487"/>
      <c r="O24" s="488" t="str">
        <f>+P24&amp;Q24</f>
        <v/>
      </c>
      <c r="P24" s="489"/>
      <c r="Q24" s="489"/>
      <c r="R24" s="592" t="str">
        <f>+S24&amp;T24</f>
        <v/>
      </c>
      <c r="S24" s="487"/>
      <c r="T24" s="487"/>
      <c r="U24" s="488" t="str">
        <f>+V24&amp;W24</f>
        <v/>
      </c>
      <c r="V24" s="489"/>
      <c r="W24" s="489"/>
      <c r="X24" s="488" t="str">
        <f>+Y24&amp;Z24</f>
        <v/>
      </c>
      <c r="Y24" s="489"/>
      <c r="Z24" s="489"/>
      <c r="AA24" s="490" t="str">
        <f>+AB24&amp;AC24</f>
        <v>221</v>
      </c>
      <c r="AB24" s="489">
        <v>22</v>
      </c>
      <c r="AC24" s="489">
        <v>1</v>
      </c>
      <c r="AD24" s="27">
        <v>110113</v>
      </c>
      <c r="AE24" s="27" t="s">
        <v>1913</v>
      </c>
      <c r="AF24" s="432">
        <f>VLOOKUP(AD24,[5]Hoja1!$A$10:$K$1393,11,0)</f>
        <v>4715573</v>
      </c>
      <c r="AG24" s="1022"/>
      <c r="AH24" s="432">
        <f t="shared" si="12"/>
        <v>4716</v>
      </c>
      <c r="AJ24" s="445"/>
      <c r="AL24" s="448"/>
      <c r="AM24" s="467">
        <f>VLOOKUP(AD24,[6]BV201101!$A$10:$A$1236,1,0)</f>
        <v>110113</v>
      </c>
    </row>
    <row r="25" spans="1:39" s="467" customFormat="1" ht="12.75" customHeight="1">
      <c r="A25" s="487" t="str">
        <f t="shared" si="8"/>
        <v>1</v>
      </c>
      <c r="B25" s="487" t="str">
        <f t="shared" si="9"/>
        <v>10</v>
      </c>
      <c r="C25" s="487" t="str">
        <f t="shared" si="10"/>
        <v>11</v>
      </c>
      <c r="D25" s="487" t="str">
        <f t="shared" si="11"/>
        <v>0114</v>
      </c>
      <c r="E25" s="487">
        <v>511152000</v>
      </c>
      <c r="F25" s="488" t="str">
        <f t="shared" si="0"/>
        <v/>
      </c>
      <c r="G25" s="487"/>
      <c r="H25" s="487"/>
      <c r="I25" s="488" t="str">
        <f t="shared" si="1"/>
        <v/>
      </c>
      <c r="J25" s="487"/>
      <c r="K25" s="487"/>
      <c r="L25" s="488" t="str">
        <f t="shared" si="2"/>
        <v/>
      </c>
      <c r="M25" s="487"/>
      <c r="N25" s="487"/>
      <c r="O25" s="488" t="str">
        <f t="shared" si="3"/>
        <v/>
      </c>
      <c r="P25" s="489"/>
      <c r="Q25" s="489"/>
      <c r="R25" s="592" t="str">
        <f t="shared" si="4"/>
        <v/>
      </c>
      <c r="S25" s="487"/>
      <c r="T25" s="487"/>
      <c r="U25" s="488" t="str">
        <f t="shared" si="5"/>
        <v/>
      </c>
      <c r="V25" s="489"/>
      <c r="W25" s="489"/>
      <c r="X25" s="488" t="str">
        <f t="shared" si="6"/>
        <v/>
      </c>
      <c r="Y25" s="489"/>
      <c r="Z25" s="489"/>
      <c r="AA25" s="490" t="str">
        <f t="shared" si="7"/>
        <v>221</v>
      </c>
      <c r="AB25" s="489">
        <v>22</v>
      </c>
      <c r="AC25" s="489">
        <v>1</v>
      </c>
      <c r="AD25" s="27">
        <v>110114</v>
      </c>
      <c r="AE25" s="27" t="s">
        <v>1914</v>
      </c>
      <c r="AF25" s="432">
        <f>VLOOKUP(AD25,[5]Hoja1!$A$10:$K$1393,11,0)</f>
        <v>6042048</v>
      </c>
      <c r="AG25" s="1022"/>
      <c r="AH25" s="432">
        <f t="shared" si="12"/>
        <v>6042</v>
      </c>
      <c r="AI25" s="445"/>
      <c r="AL25" s="448"/>
      <c r="AM25" s="467">
        <f>VLOOKUP(AD25,[6]BV201101!$A$10:$A$1236,1,0)</f>
        <v>110114</v>
      </c>
    </row>
    <row r="26" spans="1:39" s="467" customFormat="1" ht="12.75" customHeight="1">
      <c r="A26" s="487" t="str">
        <f t="shared" si="8"/>
        <v>1</v>
      </c>
      <c r="B26" s="487" t="str">
        <f t="shared" si="9"/>
        <v>10</v>
      </c>
      <c r="C26" s="487" t="str">
        <f t="shared" si="10"/>
        <v>11</v>
      </c>
      <c r="D26" s="487" t="str">
        <f t="shared" si="11"/>
        <v>0115</v>
      </c>
      <c r="E26" s="487">
        <v>511152000</v>
      </c>
      <c r="F26" s="488" t="str">
        <f t="shared" si="0"/>
        <v/>
      </c>
      <c r="G26" s="487"/>
      <c r="H26" s="487"/>
      <c r="I26" s="488" t="str">
        <f t="shared" si="1"/>
        <v/>
      </c>
      <c r="J26" s="487"/>
      <c r="K26" s="487"/>
      <c r="L26" s="488" t="str">
        <f t="shared" si="2"/>
        <v/>
      </c>
      <c r="M26" s="487"/>
      <c r="N26" s="487"/>
      <c r="O26" s="488" t="str">
        <f t="shared" si="3"/>
        <v/>
      </c>
      <c r="P26" s="489"/>
      <c r="Q26" s="489"/>
      <c r="R26" s="592" t="str">
        <f t="shared" si="4"/>
        <v/>
      </c>
      <c r="S26" s="487"/>
      <c r="T26" s="487"/>
      <c r="U26" s="488" t="str">
        <f t="shared" si="5"/>
        <v/>
      </c>
      <c r="V26" s="489"/>
      <c r="W26" s="489"/>
      <c r="X26" s="488" t="str">
        <f t="shared" si="6"/>
        <v/>
      </c>
      <c r="Y26" s="489"/>
      <c r="Z26" s="489"/>
      <c r="AA26" s="490" t="str">
        <f t="shared" si="7"/>
        <v>221</v>
      </c>
      <c r="AB26" s="489">
        <v>22</v>
      </c>
      <c r="AC26" s="489">
        <v>1</v>
      </c>
      <c r="AD26" s="27">
        <v>110115</v>
      </c>
      <c r="AE26" s="27" t="s">
        <v>881</v>
      </c>
      <c r="AF26" s="432">
        <v>0</v>
      </c>
      <c r="AG26" s="1022"/>
      <c r="AH26" s="432">
        <f t="shared" si="12"/>
        <v>0</v>
      </c>
      <c r="AI26" s="491"/>
      <c r="AL26" s="448"/>
      <c r="AM26" s="467" t="e">
        <f>VLOOKUP(AD26,[6]BV201101!$A$10:$A$1236,1,0)</f>
        <v>#N/A</v>
      </c>
    </row>
    <row r="27" spans="1:39" s="467" customFormat="1" ht="12.75" customHeight="1">
      <c r="A27" s="487" t="str">
        <f t="shared" si="8"/>
        <v>1</v>
      </c>
      <c r="B27" s="487" t="str">
        <f t="shared" si="9"/>
        <v>10</v>
      </c>
      <c r="C27" s="487" t="str">
        <f t="shared" si="10"/>
        <v>11</v>
      </c>
      <c r="D27" s="487" t="str">
        <f t="shared" si="11"/>
        <v>0116</v>
      </c>
      <c r="E27" s="487">
        <v>511152000</v>
      </c>
      <c r="F27" s="488" t="str">
        <f t="shared" si="0"/>
        <v/>
      </c>
      <c r="G27" s="487"/>
      <c r="H27" s="487"/>
      <c r="I27" s="488" t="str">
        <f t="shared" si="1"/>
        <v/>
      </c>
      <c r="J27" s="487"/>
      <c r="K27" s="487"/>
      <c r="L27" s="488" t="str">
        <f t="shared" si="2"/>
        <v/>
      </c>
      <c r="M27" s="487"/>
      <c r="N27" s="487"/>
      <c r="O27" s="488" t="str">
        <f t="shared" si="3"/>
        <v/>
      </c>
      <c r="P27" s="489"/>
      <c r="Q27" s="489"/>
      <c r="R27" s="592" t="str">
        <f t="shared" si="4"/>
        <v/>
      </c>
      <c r="S27" s="487"/>
      <c r="T27" s="487"/>
      <c r="U27" s="488" t="str">
        <f t="shared" si="5"/>
        <v/>
      </c>
      <c r="V27" s="489"/>
      <c r="W27" s="489"/>
      <c r="X27" s="488" t="str">
        <f t="shared" si="6"/>
        <v/>
      </c>
      <c r="Y27" s="489"/>
      <c r="Z27" s="489"/>
      <c r="AA27" s="490" t="str">
        <f t="shared" si="7"/>
        <v>221</v>
      </c>
      <c r="AB27" s="489">
        <v>22</v>
      </c>
      <c r="AC27" s="489">
        <v>1</v>
      </c>
      <c r="AD27" s="27">
        <v>110116</v>
      </c>
      <c r="AE27" s="27" t="s">
        <v>1915</v>
      </c>
      <c r="AF27" s="432">
        <f>VLOOKUP(AD27,[5]Hoja1!$A$10:$K$1393,11,0)</f>
        <v>1442568</v>
      </c>
      <c r="AG27" s="1022"/>
      <c r="AH27" s="432">
        <f t="shared" si="12"/>
        <v>1443</v>
      </c>
      <c r="AL27" s="448"/>
      <c r="AM27" s="467">
        <f>VLOOKUP(AD27,[6]BV201101!$A$10:$A$1236,1,0)</f>
        <v>110116</v>
      </c>
    </row>
    <row r="28" spans="1:39" s="467" customFormat="1" ht="12.75" customHeight="1">
      <c r="A28" s="487" t="str">
        <f t="shared" si="8"/>
        <v>1</v>
      </c>
      <c r="B28" s="487" t="str">
        <f t="shared" si="9"/>
        <v>10</v>
      </c>
      <c r="C28" s="487" t="str">
        <f t="shared" si="10"/>
        <v>11</v>
      </c>
      <c r="D28" s="487" t="str">
        <f t="shared" si="11"/>
        <v>0117</v>
      </c>
      <c r="E28" s="933">
        <v>523100000</v>
      </c>
      <c r="F28" s="488" t="str">
        <f t="shared" si="0"/>
        <v/>
      </c>
      <c r="G28" s="487"/>
      <c r="H28" s="487"/>
      <c r="I28" s="488" t="str">
        <f t="shared" si="1"/>
        <v/>
      </c>
      <c r="J28" s="487"/>
      <c r="K28" s="487"/>
      <c r="L28" s="488" t="str">
        <f t="shared" si="2"/>
        <v/>
      </c>
      <c r="M28" s="487"/>
      <c r="N28" s="487"/>
      <c r="O28" s="488" t="str">
        <f t="shared" si="3"/>
        <v/>
      </c>
      <c r="P28" s="489"/>
      <c r="Q28" s="489"/>
      <c r="R28" s="592" t="str">
        <f t="shared" si="4"/>
        <v/>
      </c>
      <c r="S28" s="487"/>
      <c r="T28" s="487"/>
      <c r="U28" s="488" t="str">
        <f t="shared" si="5"/>
        <v/>
      </c>
      <c r="V28" s="489"/>
      <c r="W28" s="489"/>
      <c r="X28" s="488" t="str">
        <f t="shared" si="6"/>
        <v/>
      </c>
      <c r="Y28" s="489"/>
      <c r="Z28" s="489"/>
      <c r="AA28" s="490" t="str">
        <f t="shared" si="7"/>
        <v>221</v>
      </c>
      <c r="AB28" s="489">
        <v>22</v>
      </c>
      <c r="AC28" s="489">
        <v>1</v>
      </c>
      <c r="AD28" s="27">
        <v>110117</v>
      </c>
      <c r="AE28" s="27" t="s">
        <v>1916</v>
      </c>
      <c r="AF28" s="432">
        <f>VLOOKUP(AD28,[5]Hoja1!$A$10:$K$1393,11,0)</f>
        <v>-641399</v>
      </c>
      <c r="AG28" s="1022"/>
      <c r="AH28" s="432">
        <f t="shared" si="12"/>
        <v>-641</v>
      </c>
      <c r="AL28" s="448"/>
      <c r="AM28" s="467">
        <f>VLOOKUP(AD28,[6]BV201101!$A$10:$A$1236,1,0)</f>
        <v>110117</v>
      </c>
    </row>
    <row r="29" spans="1:39" s="467" customFormat="1" ht="12.75" customHeight="1">
      <c r="A29" s="487" t="str">
        <f t="shared" si="8"/>
        <v>1</v>
      </c>
      <c r="B29" s="487" t="str">
        <f t="shared" si="9"/>
        <v>10</v>
      </c>
      <c r="C29" s="487" t="str">
        <f t="shared" si="10"/>
        <v>11</v>
      </c>
      <c r="D29" s="487" t="str">
        <f t="shared" si="11"/>
        <v>0118</v>
      </c>
      <c r="E29" s="487">
        <v>511152000</v>
      </c>
      <c r="F29" s="488" t="str">
        <f>+G29&amp;H29</f>
        <v/>
      </c>
      <c r="G29" s="487"/>
      <c r="H29" s="487"/>
      <c r="I29" s="488" t="str">
        <f>+J29&amp;K29</f>
        <v/>
      </c>
      <c r="J29" s="487"/>
      <c r="K29" s="487"/>
      <c r="L29" s="488" t="str">
        <f>+M29&amp;N29</f>
        <v/>
      </c>
      <c r="M29" s="487"/>
      <c r="N29" s="487"/>
      <c r="O29" s="488" t="str">
        <f>+P29&amp;Q29</f>
        <v/>
      </c>
      <c r="P29" s="489"/>
      <c r="Q29" s="489"/>
      <c r="R29" s="592" t="str">
        <f>+S29&amp;T29</f>
        <v/>
      </c>
      <c r="S29" s="487"/>
      <c r="T29" s="487"/>
      <c r="U29" s="488" t="str">
        <f>+V29&amp;W29</f>
        <v/>
      </c>
      <c r="V29" s="489"/>
      <c r="W29" s="489"/>
      <c r="X29" s="488" t="str">
        <f>+Y29&amp;Z29</f>
        <v/>
      </c>
      <c r="Y29" s="489"/>
      <c r="Z29" s="489"/>
      <c r="AA29" s="490" t="str">
        <f>+AB29&amp;AC29</f>
        <v>221</v>
      </c>
      <c r="AB29" s="489">
        <v>22</v>
      </c>
      <c r="AC29" s="489">
        <v>1</v>
      </c>
      <c r="AD29" s="27">
        <v>110118</v>
      </c>
      <c r="AE29" s="27" t="s">
        <v>1917</v>
      </c>
      <c r="AF29" s="432">
        <f>VLOOKUP(AD29,[5]Hoja1!$A$10:$K$1393,11,0)</f>
        <v>1553040</v>
      </c>
      <c r="AG29" s="1022"/>
      <c r="AH29" s="432">
        <f t="shared" si="12"/>
        <v>1553</v>
      </c>
      <c r="AL29" s="448"/>
      <c r="AM29" s="467">
        <f>VLOOKUP(AD29,[6]BV201101!$A$10:$A$1236,1,0)</f>
        <v>110118</v>
      </c>
    </row>
    <row r="30" spans="1:39" s="467" customFormat="1" ht="12.75" customHeight="1">
      <c r="A30" s="487" t="str">
        <f t="shared" si="8"/>
        <v>1</v>
      </c>
      <c r="B30" s="487" t="str">
        <f t="shared" si="9"/>
        <v>10</v>
      </c>
      <c r="C30" s="487" t="str">
        <f t="shared" si="10"/>
        <v>11</v>
      </c>
      <c r="D30" s="487" t="str">
        <f t="shared" si="11"/>
        <v>0119</v>
      </c>
      <c r="E30" s="487">
        <v>511152000</v>
      </c>
      <c r="F30" s="488" t="str">
        <f t="shared" si="0"/>
        <v/>
      </c>
      <c r="G30" s="487"/>
      <c r="H30" s="487"/>
      <c r="I30" s="488" t="str">
        <f t="shared" si="1"/>
        <v/>
      </c>
      <c r="J30" s="487"/>
      <c r="K30" s="487"/>
      <c r="L30" s="488" t="str">
        <f t="shared" si="2"/>
        <v/>
      </c>
      <c r="M30" s="487"/>
      <c r="N30" s="487"/>
      <c r="O30" s="488" t="str">
        <f t="shared" si="3"/>
        <v/>
      </c>
      <c r="P30" s="489"/>
      <c r="Q30" s="489"/>
      <c r="R30" s="592" t="str">
        <f t="shared" si="4"/>
        <v/>
      </c>
      <c r="S30" s="487"/>
      <c r="T30" s="487"/>
      <c r="U30" s="488" t="str">
        <f t="shared" si="5"/>
        <v/>
      </c>
      <c r="V30" s="489"/>
      <c r="W30" s="489"/>
      <c r="X30" s="488" t="str">
        <f t="shared" si="6"/>
        <v/>
      </c>
      <c r="Y30" s="489"/>
      <c r="Z30" s="489"/>
      <c r="AA30" s="490" t="str">
        <f t="shared" ref="AA30:AA46" si="13">+AB30&amp;AC30</f>
        <v>221</v>
      </c>
      <c r="AB30" s="489">
        <v>22</v>
      </c>
      <c r="AC30" s="489">
        <v>1</v>
      </c>
      <c r="AD30" s="27">
        <v>110119</v>
      </c>
      <c r="AE30" s="27" t="s">
        <v>331</v>
      </c>
      <c r="AF30" s="432">
        <v>0</v>
      </c>
      <c r="AG30" s="1022"/>
      <c r="AH30" s="432">
        <f t="shared" si="12"/>
        <v>0</v>
      </c>
      <c r="AL30" s="448"/>
      <c r="AM30" s="467" t="e">
        <f>VLOOKUP(AD30,[6]BV201101!$A$10:$A$1236,1,0)</f>
        <v>#N/A</v>
      </c>
    </row>
    <row r="31" spans="1:39" s="467" customFormat="1" ht="12.75" customHeight="1">
      <c r="A31" s="487" t="str">
        <f t="shared" si="8"/>
        <v>1</v>
      </c>
      <c r="B31" s="487" t="str">
        <f t="shared" si="9"/>
        <v>10</v>
      </c>
      <c r="C31" s="487" t="str">
        <f t="shared" si="10"/>
        <v>12</v>
      </c>
      <c r="D31" s="487" t="str">
        <f t="shared" si="11"/>
        <v>0120</v>
      </c>
      <c r="E31" s="487">
        <v>511152000</v>
      </c>
      <c r="F31" s="488" t="str">
        <f t="shared" si="0"/>
        <v/>
      </c>
      <c r="G31" s="487"/>
      <c r="H31" s="487"/>
      <c r="I31" s="488" t="str">
        <f t="shared" si="1"/>
        <v/>
      </c>
      <c r="J31" s="487"/>
      <c r="K31" s="487"/>
      <c r="L31" s="488" t="str">
        <f t="shared" si="2"/>
        <v/>
      </c>
      <c r="M31" s="487"/>
      <c r="N31" s="487"/>
      <c r="O31" s="488" t="str">
        <f t="shared" si="3"/>
        <v/>
      </c>
      <c r="P31" s="489"/>
      <c r="Q31" s="489"/>
      <c r="R31" s="592" t="str">
        <f t="shared" si="4"/>
        <v/>
      </c>
      <c r="S31" s="487"/>
      <c r="T31" s="487"/>
      <c r="U31" s="488" t="str">
        <f t="shared" si="5"/>
        <v/>
      </c>
      <c r="V31" s="489"/>
      <c r="W31" s="489"/>
      <c r="X31" s="488" t="str">
        <f t="shared" si="6"/>
        <v/>
      </c>
      <c r="Y31" s="489"/>
      <c r="Z31" s="489"/>
      <c r="AA31" s="490" t="str">
        <f t="shared" si="13"/>
        <v>221</v>
      </c>
      <c r="AB31" s="489">
        <v>22</v>
      </c>
      <c r="AC31" s="489">
        <v>1</v>
      </c>
      <c r="AD31" s="27">
        <v>110120</v>
      </c>
      <c r="AE31" s="27" t="s">
        <v>332</v>
      </c>
      <c r="AF31" s="432">
        <f>VLOOKUP(AD31,[5]Hoja1!$A$10:$K$1393,11,0)</f>
        <v>497598</v>
      </c>
      <c r="AG31" s="1022"/>
      <c r="AH31" s="432">
        <f t="shared" si="12"/>
        <v>498</v>
      </c>
      <c r="AL31" s="448"/>
      <c r="AM31" s="467">
        <f>VLOOKUP(AD31,[6]BV201101!$A$10:$A$1236,1,0)</f>
        <v>110120</v>
      </c>
    </row>
    <row r="32" spans="1:39" s="467" customFormat="1" ht="12.75" customHeight="1">
      <c r="A32" s="487" t="str">
        <f t="shared" si="8"/>
        <v>1</v>
      </c>
      <c r="B32" s="487" t="str">
        <f t="shared" si="9"/>
        <v>10</v>
      </c>
      <c r="C32" s="487" t="str">
        <f t="shared" si="10"/>
        <v>12</v>
      </c>
      <c r="D32" s="487" t="str">
        <f t="shared" si="11"/>
        <v>0121</v>
      </c>
      <c r="E32" s="487">
        <v>511152000</v>
      </c>
      <c r="F32" s="488" t="str">
        <f>+G32&amp;H32</f>
        <v/>
      </c>
      <c r="G32" s="487"/>
      <c r="H32" s="487"/>
      <c r="I32" s="488" t="str">
        <f>+J32&amp;K32</f>
        <v/>
      </c>
      <c r="J32" s="487"/>
      <c r="K32" s="487"/>
      <c r="L32" s="488" t="str">
        <f>+M32&amp;N32</f>
        <v/>
      </c>
      <c r="M32" s="487"/>
      <c r="N32" s="487"/>
      <c r="O32" s="488" t="str">
        <f>+P32&amp;Q32</f>
        <v/>
      </c>
      <c r="P32" s="489"/>
      <c r="Q32" s="489"/>
      <c r="R32" s="592" t="str">
        <f>+S32&amp;T32</f>
        <v/>
      </c>
      <c r="S32" s="487"/>
      <c r="T32" s="487"/>
      <c r="U32" s="488" t="str">
        <f>+V32&amp;W32</f>
        <v/>
      </c>
      <c r="V32" s="489"/>
      <c r="W32" s="489"/>
      <c r="X32" s="488" t="str">
        <f>+Y32&amp;Z32</f>
        <v/>
      </c>
      <c r="Y32" s="489"/>
      <c r="Z32" s="489"/>
      <c r="AA32" s="490" t="str">
        <f>+AB32&amp;AC32</f>
        <v>221</v>
      </c>
      <c r="AB32" s="489">
        <v>22</v>
      </c>
      <c r="AC32" s="489">
        <v>1</v>
      </c>
      <c r="AD32" s="27">
        <v>110121</v>
      </c>
      <c r="AE32" s="27" t="s">
        <v>333</v>
      </c>
      <c r="AF32" s="432">
        <f>VLOOKUP(AD32,[5]Hoja1!$A$10:$K$1393,11,0)</f>
        <v>2619398</v>
      </c>
      <c r="AG32" s="1022"/>
      <c r="AH32" s="432">
        <f t="shared" si="12"/>
        <v>2619</v>
      </c>
      <c r="AL32" s="448"/>
      <c r="AM32" s="467">
        <f>VLOOKUP(AD32,[6]BV201101!$A$10:$A$1236,1,0)</f>
        <v>110121</v>
      </c>
    </row>
    <row r="33" spans="1:39" s="467" customFormat="1" ht="12.75" customHeight="1">
      <c r="A33" s="487" t="str">
        <f t="shared" si="8"/>
        <v>1</v>
      </c>
      <c r="B33" s="487" t="str">
        <f t="shared" si="9"/>
        <v>10</v>
      </c>
      <c r="C33" s="487" t="str">
        <f t="shared" si="10"/>
        <v>12</v>
      </c>
      <c r="D33" s="487" t="str">
        <f t="shared" si="11"/>
        <v>0122</v>
      </c>
      <c r="E33" s="487">
        <v>511152000</v>
      </c>
      <c r="F33" s="488" t="str">
        <f>+G33&amp;H33</f>
        <v/>
      </c>
      <c r="G33" s="487"/>
      <c r="H33" s="487"/>
      <c r="I33" s="488" t="str">
        <f>+J33&amp;K33</f>
        <v/>
      </c>
      <c r="J33" s="487"/>
      <c r="K33" s="487"/>
      <c r="L33" s="488" t="str">
        <f>+M33&amp;N33</f>
        <v/>
      </c>
      <c r="M33" s="487"/>
      <c r="N33" s="487"/>
      <c r="O33" s="488" t="str">
        <f>+P33&amp;Q33</f>
        <v/>
      </c>
      <c r="P33" s="489"/>
      <c r="Q33" s="489"/>
      <c r="R33" s="592" t="str">
        <f>+S33&amp;T33</f>
        <v/>
      </c>
      <c r="S33" s="487"/>
      <c r="T33" s="487"/>
      <c r="U33" s="488" t="str">
        <f>+V33&amp;W33</f>
        <v/>
      </c>
      <c r="V33" s="489"/>
      <c r="W33" s="489"/>
      <c r="X33" s="488" t="str">
        <f>+Y33&amp;Z33</f>
        <v/>
      </c>
      <c r="Y33" s="489"/>
      <c r="Z33" s="489"/>
      <c r="AA33" s="490" t="str">
        <f>+AB33&amp;AC33</f>
        <v>151</v>
      </c>
      <c r="AB33" s="489">
        <v>15</v>
      </c>
      <c r="AC33" s="489">
        <v>1</v>
      </c>
      <c r="AD33" s="27">
        <v>110122</v>
      </c>
      <c r="AE33" s="27" t="s">
        <v>334</v>
      </c>
      <c r="AF33" s="432">
        <f>VLOOKUP(AD33,[5]Hoja1!$A$10:$K$1393,11,0)</f>
        <v>1343386</v>
      </c>
      <c r="AG33" s="1022"/>
      <c r="AH33" s="432">
        <f t="shared" si="12"/>
        <v>1343</v>
      </c>
      <c r="AL33" s="448"/>
      <c r="AM33" s="467">
        <f>VLOOKUP(AD33,[6]BV201101!$A$10:$A$1236,1,0)</f>
        <v>110122</v>
      </c>
    </row>
    <row r="34" spans="1:39" s="467" customFormat="1" ht="12.75" customHeight="1">
      <c r="A34" s="487" t="str">
        <f t="shared" si="8"/>
        <v>1</v>
      </c>
      <c r="B34" s="487" t="str">
        <f t="shared" si="9"/>
        <v>10</v>
      </c>
      <c r="C34" s="487" t="str">
        <f t="shared" si="10"/>
        <v>12</v>
      </c>
      <c r="D34" s="487" t="str">
        <f t="shared" si="11"/>
        <v>0123</v>
      </c>
      <c r="E34" s="487">
        <v>511152000</v>
      </c>
      <c r="F34" s="488" t="str">
        <f>+G34&amp;H34</f>
        <v/>
      </c>
      <c r="G34" s="487"/>
      <c r="H34" s="487"/>
      <c r="I34" s="488" t="str">
        <f>+J34&amp;K34</f>
        <v/>
      </c>
      <c r="J34" s="487"/>
      <c r="K34" s="487"/>
      <c r="L34" s="488" t="str">
        <f>+M34&amp;N34</f>
        <v/>
      </c>
      <c r="M34" s="487"/>
      <c r="N34" s="487"/>
      <c r="O34" s="488" t="str">
        <f>+P34&amp;Q34</f>
        <v/>
      </c>
      <c r="P34" s="489"/>
      <c r="Q34" s="489"/>
      <c r="R34" s="592" t="str">
        <f>+S34&amp;T34</f>
        <v/>
      </c>
      <c r="S34" s="487"/>
      <c r="T34" s="487"/>
      <c r="U34" s="488" t="str">
        <f>+V34&amp;W34</f>
        <v/>
      </c>
      <c r="V34" s="489"/>
      <c r="W34" s="489"/>
      <c r="X34" s="488" t="str">
        <f>+Y34&amp;Z34</f>
        <v/>
      </c>
      <c r="Y34" s="489"/>
      <c r="Z34" s="489"/>
      <c r="AA34" s="490" t="str">
        <f>+AB34&amp;AC34</f>
        <v>221</v>
      </c>
      <c r="AB34" s="489">
        <v>22</v>
      </c>
      <c r="AC34" s="489">
        <v>1</v>
      </c>
      <c r="AD34" s="27">
        <v>110123</v>
      </c>
      <c r="AE34" s="27" t="s">
        <v>335</v>
      </c>
      <c r="AF34" s="432">
        <f>VLOOKUP(AD34,[5]Hoja1!$A$10:$K$1393,11,0)</f>
        <v>2798928</v>
      </c>
      <c r="AG34" s="1022"/>
      <c r="AH34" s="432">
        <f t="shared" si="12"/>
        <v>2799</v>
      </c>
      <c r="AL34" s="448"/>
      <c r="AM34" s="467">
        <f>VLOOKUP(AD34,[6]BV201101!$A$10:$A$1236,1,0)</f>
        <v>110123</v>
      </c>
    </row>
    <row r="35" spans="1:39" s="467" customFormat="1" ht="12.75" customHeight="1">
      <c r="A35" s="487" t="str">
        <f t="shared" si="8"/>
        <v>1</v>
      </c>
      <c r="B35" s="487" t="str">
        <f t="shared" si="9"/>
        <v>10</v>
      </c>
      <c r="C35" s="487" t="str">
        <f t="shared" si="10"/>
        <v>12</v>
      </c>
      <c r="D35" s="487" t="str">
        <f t="shared" si="11"/>
        <v>0124</v>
      </c>
      <c r="E35" s="487">
        <v>511152000</v>
      </c>
      <c r="F35" s="490" t="s">
        <v>2558</v>
      </c>
      <c r="G35" s="489">
        <v>15</v>
      </c>
      <c r="H35" s="489">
        <v>1</v>
      </c>
      <c r="I35" s="488" t="str">
        <f>+J35&amp;K35</f>
        <v/>
      </c>
      <c r="J35" s="487"/>
      <c r="K35" s="487"/>
      <c r="L35" s="488" t="str">
        <f>+M35&amp;N35</f>
        <v/>
      </c>
      <c r="M35" s="487"/>
      <c r="N35" s="487"/>
      <c r="O35" s="488" t="str">
        <f>+P35&amp;Q35</f>
        <v/>
      </c>
      <c r="P35" s="489"/>
      <c r="Q35" s="489"/>
      <c r="R35" s="592" t="str">
        <f>+S35&amp;T35</f>
        <v/>
      </c>
      <c r="S35" s="487"/>
      <c r="T35" s="487"/>
      <c r="U35" s="488" t="str">
        <f>+V35&amp;W35</f>
        <v/>
      </c>
      <c r="V35" s="489"/>
      <c r="W35" s="489"/>
      <c r="X35" s="488" t="str">
        <f>+Y35&amp;Z35</f>
        <v/>
      </c>
      <c r="Y35" s="489"/>
      <c r="Z35" s="489"/>
      <c r="AA35" s="490" t="str">
        <f>+AB35&amp;AC35</f>
        <v>221</v>
      </c>
      <c r="AB35" s="489">
        <v>22</v>
      </c>
      <c r="AC35" s="489">
        <v>1</v>
      </c>
      <c r="AD35" s="27">
        <v>110124</v>
      </c>
      <c r="AE35" s="27" t="s">
        <v>336</v>
      </c>
      <c r="AF35" s="432">
        <f>VLOOKUP(AD35,[5]Hoja1!$A$10:$K$1393,11,0)</f>
        <v>786376</v>
      </c>
      <c r="AG35" s="1022">
        <v>0</v>
      </c>
      <c r="AH35" s="432">
        <f t="shared" si="12"/>
        <v>786</v>
      </c>
      <c r="AL35" s="448"/>
      <c r="AM35" s="467">
        <f>VLOOKUP(AD35,[6]BV201101!$A$10:$A$1236,1,0)</f>
        <v>110124</v>
      </c>
    </row>
    <row r="36" spans="1:39" s="467" customFormat="1" ht="12.75" customHeight="1">
      <c r="A36" s="487" t="str">
        <f t="shared" si="8"/>
        <v>1</v>
      </c>
      <c r="B36" s="487" t="str">
        <f t="shared" si="9"/>
        <v>10</v>
      </c>
      <c r="C36" s="487" t="str">
        <f t="shared" si="10"/>
        <v>12</v>
      </c>
      <c r="D36" s="487" t="str">
        <f t="shared" si="11"/>
        <v>0125</v>
      </c>
      <c r="E36" s="487">
        <v>511152000</v>
      </c>
      <c r="F36" s="488" t="str">
        <f t="shared" si="0"/>
        <v/>
      </c>
      <c r="G36" s="487"/>
      <c r="H36" s="487"/>
      <c r="I36" s="488" t="str">
        <f t="shared" si="1"/>
        <v/>
      </c>
      <c r="J36" s="487"/>
      <c r="K36" s="487"/>
      <c r="L36" s="488" t="str">
        <f t="shared" si="2"/>
        <v/>
      </c>
      <c r="M36" s="487"/>
      <c r="N36" s="487"/>
      <c r="O36" s="488" t="str">
        <f t="shared" si="3"/>
        <v/>
      </c>
      <c r="P36" s="489"/>
      <c r="Q36" s="489"/>
      <c r="R36" s="592" t="str">
        <f t="shared" si="4"/>
        <v/>
      </c>
      <c r="S36" s="487"/>
      <c r="T36" s="487"/>
      <c r="U36" s="488" t="str">
        <f t="shared" si="5"/>
        <v/>
      </c>
      <c r="V36" s="489"/>
      <c r="W36" s="489"/>
      <c r="X36" s="488" t="str">
        <f t="shared" si="6"/>
        <v/>
      </c>
      <c r="Y36" s="489"/>
      <c r="Z36" s="489"/>
      <c r="AA36" s="490" t="str">
        <f>+AB36&amp;AC36</f>
        <v>221</v>
      </c>
      <c r="AB36" s="489">
        <v>22</v>
      </c>
      <c r="AC36" s="489">
        <v>1</v>
      </c>
      <c r="AD36" s="27">
        <v>110125</v>
      </c>
      <c r="AE36" s="27" t="s">
        <v>209</v>
      </c>
      <c r="AF36" s="432">
        <f>VLOOKUP(AD36,[5]Hoja1!$A$10:$K$1393,11,0)</f>
        <v>447272</v>
      </c>
      <c r="AG36" s="1022"/>
      <c r="AH36" s="432">
        <f t="shared" si="12"/>
        <v>447</v>
      </c>
      <c r="AL36" s="448"/>
      <c r="AM36" s="467">
        <f>VLOOKUP(AD36,[6]BV201101!$A$10:$A$1236,1,0)</f>
        <v>110125</v>
      </c>
    </row>
    <row r="37" spans="1:39" s="467" customFormat="1" ht="12.75" customHeight="1">
      <c r="A37" s="487" t="str">
        <f t="shared" si="8"/>
        <v>1</v>
      </c>
      <c r="B37" s="487" t="str">
        <f t="shared" si="9"/>
        <v>10</v>
      </c>
      <c r="C37" s="487" t="str">
        <f t="shared" si="10"/>
        <v>12</v>
      </c>
      <c r="D37" s="487" t="str">
        <f t="shared" si="11"/>
        <v>0126</v>
      </c>
      <c r="E37" s="487">
        <v>511152000</v>
      </c>
      <c r="F37" s="488" t="str">
        <f t="shared" si="0"/>
        <v/>
      </c>
      <c r="G37" s="487"/>
      <c r="H37" s="487"/>
      <c r="I37" s="488" t="str">
        <f t="shared" si="1"/>
        <v/>
      </c>
      <c r="J37" s="487"/>
      <c r="K37" s="487"/>
      <c r="L37" s="488" t="str">
        <f t="shared" si="2"/>
        <v/>
      </c>
      <c r="M37" s="487"/>
      <c r="N37" s="487"/>
      <c r="O37" s="488" t="str">
        <f t="shared" si="3"/>
        <v/>
      </c>
      <c r="P37" s="489"/>
      <c r="Q37" s="489"/>
      <c r="R37" s="592" t="str">
        <f t="shared" si="4"/>
        <v/>
      </c>
      <c r="S37" s="487"/>
      <c r="T37" s="487"/>
      <c r="U37" s="488" t="str">
        <f t="shared" si="5"/>
        <v/>
      </c>
      <c r="V37" s="489"/>
      <c r="W37" s="489"/>
      <c r="X37" s="488" t="str">
        <f t="shared" si="6"/>
        <v/>
      </c>
      <c r="Y37" s="489"/>
      <c r="Z37" s="489"/>
      <c r="AA37" s="490" t="str">
        <f t="shared" si="13"/>
        <v>221</v>
      </c>
      <c r="AB37" s="489">
        <v>22</v>
      </c>
      <c r="AC37" s="489">
        <v>1</v>
      </c>
      <c r="AD37" s="27">
        <v>110126</v>
      </c>
      <c r="AE37" s="27" t="s">
        <v>210</v>
      </c>
      <c r="AF37" s="432">
        <v>0</v>
      </c>
      <c r="AG37" s="1022"/>
      <c r="AH37" s="432">
        <f t="shared" si="12"/>
        <v>0</v>
      </c>
      <c r="AL37" s="448"/>
      <c r="AM37" s="467" t="e">
        <f>VLOOKUP(AD37,[6]BV201101!$A$10:$A$1236,1,0)</f>
        <v>#N/A</v>
      </c>
    </row>
    <row r="38" spans="1:39" s="467" customFormat="1" ht="12.75" customHeight="1">
      <c r="A38" s="487" t="str">
        <f t="shared" si="8"/>
        <v>1</v>
      </c>
      <c r="B38" s="487" t="str">
        <f t="shared" si="9"/>
        <v>10</v>
      </c>
      <c r="C38" s="487" t="str">
        <f t="shared" si="10"/>
        <v>12</v>
      </c>
      <c r="D38" s="487" t="str">
        <f t="shared" si="11"/>
        <v>0127</v>
      </c>
      <c r="E38" s="487">
        <v>511152000</v>
      </c>
      <c r="F38" s="488" t="str">
        <f t="shared" si="0"/>
        <v/>
      </c>
      <c r="G38" s="487"/>
      <c r="H38" s="487"/>
      <c r="I38" s="488" t="str">
        <f t="shared" si="1"/>
        <v/>
      </c>
      <c r="J38" s="487"/>
      <c r="K38" s="487"/>
      <c r="L38" s="488" t="str">
        <f t="shared" si="2"/>
        <v/>
      </c>
      <c r="M38" s="487"/>
      <c r="N38" s="487"/>
      <c r="O38" s="488" t="str">
        <f t="shared" si="3"/>
        <v/>
      </c>
      <c r="P38" s="489"/>
      <c r="Q38" s="489"/>
      <c r="R38" s="592" t="str">
        <f t="shared" si="4"/>
        <v/>
      </c>
      <c r="S38" s="487"/>
      <c r="T38" s="487"/>
      <c r="U38" s="488" t="str">
        <f t="shared" si="5"/>
        <v/>
      </c>
      <c r="V38" s="489"/>
      <c r="W38" s="489"/>
      <c r="X38" s="488" t="str">
        <f t="shared" si="6"/>
        <v/>
      </c>
      <c r="Y38" s="489"/>
      <c r="Z38" s="489"/>
      <c r="AA38" s="490" t="str">
        <f t="shared" si="13"/>
        <v>221</v>
      </c>
      <c r="AB38" s="489">
        <v>22</v>
      </c>
      <c r="AC38" s="489">
        <v>1</v>
      </c>
      <c r="AD38" s="27">
        <v>110127</v>
      </c>
      <c r="AE38" s="27" t="s">
        <v>211</v>
      </c>
      <c r="AF38" s="432">
        <f>VLOOKUP(AD38,[5]Hoja1!$A$10:$K$1393,11,0)</f>
        <v>0</v>
      </c>
      <c r="AG38" s="1022"/>
      <c r="AH38" s="432">
        <f t="shared" si="12"/>
        <v>0</v>
      </c>
      <c r="AL38" s="448"/>
      <c r="AM38" s="467">
        <f>VLOOKUP(AD38,[6]BV201101!$A$10:$A$1236,1,0)</f>
        <v>110127</v>
      </c>
    </row>
    <row r="39" spans="1:39" s="467" customFormat="1" ht="12.75" customHeight="1">
      <c r="A39" s="487" t="str">
        <f t="shared" si="8"/>
        <v>1</v>
      </c>
      <c r="B39" s="487" t="str">
        <f t="shared" si="9"/>
        <v>10</v>
      </c>
      <c r="C39" s="487" t="str">
        <f t="shared" si="10"/>
        <v>12</v>
      </c>
      <c r="D39" s="487" t="str">
        <f t="shared" si="11"/>
        <v>0128</v>
      </c>
      <c r="E39" s="487">
        <v>511152000</v>
      </c>
      <c r="F39" s="488"/>
      <c r="G39" s="487"/>
      <c r="H39" s="487"/>
      <c r="I39" s="488"/>
      <c r="J39" s="487"/>
      <c r="K39" s="487"/>
      <c r="L39" s="488"/>
      <c r="M39" s="487"/>
      <c r="N39" s="487"/>
      <c r="O39" s="488"/>
      <c r="P39" s="489"/>
      <c r="Q39" s="489"/>
      <c r="R39" s="592"/>
      <c r="S39" s="487"/>
      <c r="T39" s="487"/>
      <c r="U39" s="488"/>
      <c r="V39" s="489"/>
      <c r="W39" s="489"/>
      <c r="X39" s="488"/>
      <c r="Y39" s="489"/>
      <c r="Z39" s="489"/>
      <c r="AA39" s="490" t="str">
        <f>+AB39&amp;AC39</f>
        <v>221</v>
      </c>
      <c r="AB39" s="489">
        <v>22</v>
      </c>
      <c r="AC39" s="489">
        <v>1</v>
      </c>
      <c r="AD39" s="27">
        <v>110128</v>
      </c>
      <c r="AE39" s="27" t="s">
        <v>1918</v>
      </c>
      <c r="AF39" s="432">
        <f>VLOOKUP(AD39,[5]Hoja1!$A$10:$K$1393,11,0)</f>
        <v>10109611</v>
      </c>
      <c r="AG39" s="1022"/>
      <c r="AH39" s="432">
        <f t="shared" si="12"/>
        <v>10110</v>
      </c>
      <c r="AL39" s="448"/>
      <c r="AM39" s="467">
        <f>VLOOKUP(AD39,[6]BV201101!$A$10:$A$1236,1,0)</f>
        <v>110128</v>
      </c>
    </row>
    <row r="40" spans="1:39" s="467" customFormat="1" ht="12.75" customHeight="1">
      <c r="A40" s="487" t="str">
        <f t="shared" si="8"/>
        <v>1</v>
      </c>
      <c r="B40" s="487" t="str">
        <f t="shared" si="9"/>
        <v>10</v>
      </c>
      <c r="C40" s="487" t="str">
        <f t="shared" si="10"/>
        <v>12</v>
      </c>
      <c r="D40" s="487" t="str">
        <f t="shared" si="11"/>
        <v>0129</v>
      </c>
      <c r="E40" s="487">
        <v>511152000</v>
      </c>
      <c r="F40" s="488" t="str">
        <f>+G40&amp;H40</f>
        <v/>
      </c>
      <c r="G40" s="487"/>
      <c r="H40" s="487"/>
      <c r="I40" s="488" t="str">
        <f>+J40&amp;K40</f>
        <v/>
      </c>
      <c r="J40" s="487"/>
      <c r="K40" s="487"/>
      <c r="L40" s="488" t="str">
        <f>+M40&amp;N40</f>
        <v/>
      </c>
      <c r="M40" s="487"/>
      <c r="N40" s="487"/>
      <c r="O40" s="488" t="str">
        <f>+P40&amp;Q40</f>
        <v/>
      </c>
      <c r="P40" s="489"/>
      <c r="Q40" s="489"/>
      <c r="R40" s="592" t="str">
        <f>+S40&amp;T40</f>
        <v/>
      </c>
      <c r="S40" s="487"/>
      <c r="T40" s="487"/>
      <c r="U40" s="488" t="str">
        <f>+V40&amp;W40</f>
        <v/>
      </c>
      <c r="V40" s="489"/>
      <c r="W40" s="489"/>
      <c r="X40" s="488" t="str">
        <f>+Y40&amp;Z40</f>
        <v/>
      </c>
      <c r="Y40" s="489"/>
      <c r="Z40" s="489"/>
      <c r="AA40" s="490" t="str">
        <f>+AB40&amp;AC40</f>
        <v>221</v>
      </c>
      <c r="AB40" s="489">
        <v>22</v>
      </c>
      <c r="AC40" s="489">
        <v>1</v>
      </c>
      <c r="AD40" s="27">
        <v>110129</v>
      </c>
      <c r="AE40" s="27" t="s">
        <v>212</v>
      </c>
      <c r="AF40" s="432">
        <f>VLOOKUP(AD40,[5]Hoja1!$A$10:$K$1393,11,0)</f>
        <v>2118028</v>
      </c>
      <c r="AG40" s="1022"/>
      <c r="AH40" s="432">
        <f t="shared" si="12"/>
        <v>2118</v>
      </c>
      <c r="AL40" s="448"/>
      <c r="AM40" s="467">
        <f>VLOOKUP(AD40,[6]BV201101!$A$10:$A$1236,1,0)</f>
        <v>110129</v>
      </c>
    </row>
    <row r="41" spans="1:39" s="467" customFormat="1" ht="12.75" customHeight="1">
      <c r="A41" s="487" t="str">
        <f t="shared" si="8"/>
        <v>1</v>
      </c>
      <c r="B41" s="487" t="str">
        <f t="shared" si="9"/>
        <v>10</v>
      </c>
      <c r="C41" s="487" t="str">
        <f t="shared" si="10"/>
        <v>13</v>
      </c>
      <c r="D41" s="487" t="str">
        <f t="shared" si="11"/>
        <v>0130</v>
      </c>
      <c r="E41" s="487">
        <v>511152000</v>
      </c>
      <c r="F41" s="488" t="str">
        <f t="shared" si="0"/>
        <v/>
      </c>
      <c r="G41" s="487"/>
      <c r="H41" s="487"/>
      <c r="I41" s="488" t="str">
        <f t="shared" si="1"/>
        <v/>
      </c>
      <c r="J41" s="487"/>
      <c r="K41" s="487"/>
      <c r="L41" s="488" t="str">
        <f t="shared" si="2"/>
        <v/>
      </c>
      <c r="M41" s="487"/>
      <c r="N41" s="487"/>
      <c r="O41" s="488" t="str">
        <f t="shared" si="3"/>
        <v/>
      </c>
      <c r="P41" s="489"/>
      <c r="Q41" s="489"/>
      <c r="R41" s="592" t="str">
        <f t="shared" si="4"/>
        <v/>
      </c>
      <c r="S41" s="487"/>
      <c r="T41" s="487"/>
      <c r="U41" s="488" t="str">
        <f t="shared" si="5"/>
        <v/>
      </c>
      <c r="V41" s="489"/>
      <c r="W41" s="489"/>
      <c r="X41" s="488" t="str">
        <f t="shared" si="6"/>
        <v/>
      </c>
      <c r="Y41" s="489"/>
      <c r="Z41" s="489"/>
      <c r="AA41" s="490" t="str">
        <f t="shared" si="13"/>
        <v>221</v>
      </c>
      <c r="AB41" s="489">
        <v>22</v>
      </c>
      <c r="AC41" s="489">
        <v>1</v>
      </c>
      <c r="AD41" s="27">
        <v>110130</v>
      </c>
      <c r="AE41" s="27" t="s">
        <v>763</v>
      </c>
      <c r="AF41" s="432">
        <v>0</v>
      </c>
      <c r="AG41" s="1022"/>
      <c r="AH41" s="432">
        <f t="shared" si="12"/>
        <v>0</v>
      </c>
      <c r="AL41" s="448"/>
      <c r="AM41" s="467" t="e">
        <f>VLOOKUP(AD41,[6]BV201101!$A$10:$A$1236,1,0)</f>
        <v>#N/A</v>
      </c>
    </row>
    <row r="42" spans="1:39" s="467" customFormat="1" ht="12.75" customHeight="1">
      <c r="A42" s="487" t="str">
        <f t="shared" si="8"/>
        <v>1</v>
      </c>
      <c r="B42" s="487" t="str">
        <f t="shared" si="9"/>
        <v>10</v>
      </c>
      <c r="C42" s="487" t="str">
        <f t="shared" si="10"/>
        <v>13</v>
      </c>
      <c r="D42" s="487" t="str">
        <f t="shared" si="11"/>
        <v>0131</v>
      </c>
      <c r="E42" s="487">
        <v>511152000</v>
      </c>
      <c r="F42" s="488" t="str">
        <f t="shared" si="0"/>
        <v/>
      </c>
      <c r="G42" s="487"/>
      <c r="H42" s="487"/>
      <c r="I42" s="488" t="str">
        <f t="shared" si="1"/>
        <v/>
      </c>
      <c r="J42" s="487"/>
      <c r="K42" s="487"/>
      <c r="L42" s="488" t="str">
        <f t="shared" si="2"/>
        <v/>
      </c>
      <c r="M42" s="487"/>
      <c r="N42" s="487"/>
      <c r="O42" s="488" t="str">
        <f t="shared" si="3"/>
        <v/>
      </c>
      <c r="P42" s="489"/>
      <c r="Q42" s="489"/>
      <c r="R42" s="592" t="str">
        <f t="shared" si="4"/>
        <v/>
      </c>
      <c r="S42" s="487"/>
      <c r="T42" s="487"/>
      <c r="U42" s="488" t="str">
        <f t="shared" si="5"/>
        <v/>
      </c>
      <c r="V42" s="489"/>
      <c r="W42" s="489"/>
      <c r="X42" s="488" t="str">
        <f t="shared" si="6"/>
        <v/>
      </c>
      <c r="Y42" s="489"/>
      <c r="Z42" s="489"/>
      <c r="AA42" s="490" t="str">
        <f t="shared" si="13"/>
        <v>221</v>
      </c>
      <c r="AB42" s="489">
        <v>22</v>
      </c>
      <c r="AC42" s="489">
        <v>1</v>
      </c>
      <c r="AD42" s="27">
        <v>110131</v>
      </c>
      <c r="AE42" s="27" t="s">
        <v>1919</v>
      </c>
      <c r="AF42" s="432">
        <f>VLOOKUP(AD42,[5]Hoja1!$A$10:$K$1393,11,0)</f>
        <v>0</v>
      </c>
      <c r="AG42" s="1022"/>
      <c r="AH42" s="432">
        <f t="shared" si="12"/>
        <v>0</v>
      </c>
      <c r="AL42" s="448"/>
      <c r="AM42" s="467">
        <f>VLOOKUP(AD42,[6]BV201101!$A$10:$A$1236,1,0)</f>
        <v>110131</v>
      </c>
    </row>
    <row r="43" spans="1:39" s="467" customFormat="1" ht="12.75" customHeight="1">
      <c r="A43" s="487" t="str">
        <f t="shared" si="8"/>
        <v>1</v>
      </c>
      <c r="B43" s="487" t="str">
        <f t="shared" si="9"/>
        <v>10</v>
      </c>
      <c r="C43" s="487" t="str">
        <f t="shared" si="10"/>
        <v>13</v>
      </c>
      <c r="D43" s="487" t="str">
        <f t="shared" si="11"/>
        <v>0132</v>
      </c>
      <c r="E43" s="487">
        <v>511152000</v>
      </c>
      <c r="F43" s="488" t="str">
        <f>+G43&amp;H43</f>
        <v/>
      </c>
      <c r="G43" s="487"/>
      <c r="H43" s="487"/>
      <c r="I43" s="488" t="str">
        <f>+J43&amp;K43</f>
        <v/>
      </c>
      <c r="J43" s="487"/>
      <c r="K43" s="487"/>
      <c r="L43" s="488" t="str">
        <f>+M43&amp;N43</f>
        <v/>
      </c>
      <c r="M43" s="487"/>
      <c r="N43" s="487"/>
      <c r="O43" s="488" t="str">
        <f>+P43&amp;Q43</f>
        <v/>
      </c>
      <c r="P43" s="489"/>
      <c r="Q43" s="489"/>
      <c r="R43" s="592" t="str">
        <f>+S43&amp;T43</f>
        <v/>
      </c>
      <c r="S43" s="487"/>
      <c r="T43" s="487"/>
      <c r="U43" s="488" t="str">
        <f>+V43&amp;W43</f>
        <v/>
      </c>
      <c r="V43" s="489"/>
      <c r="W43" s="489"/>
      <c r="X43" s="488" t="str">
        <f>+Y43&amp;Z43</f>
        <v/>
      </c>
      <c r="Y43" s="489"/>
      <c r="Z43" s="489"/>
      <c r="AA43" s="490" t="str">
        <f>+AB43&amp;AC43</f>
        <v>151</v>
      </c>
      <c r="AB43" s="489">
        <v>15</v>
      </c>
      <c r="AC43" s="489">
        <v>1</v>
      </c>
      <c r="AD43" s="27">
        <v>110132</v>
      </c>
      <c r="AE43" s="27" t="s">
        <v>277</v>
      </c>
      <c r="AF43" s="432">
        <f>VLOOKUP(AD43,[5]Hoja1!$A$10:$K$1393,11,0)</f>
        <v>0</v>
      </c>
      <c r="AG43" s="1022"/>
      <c r="AH43" s="432">
        <f t="shared" si="12"/>
        <v>0</v>
      </c>
      <c r="AL43" s="448"/>
      <c r="AM43" s="467">
        <f>VLOOKUP(AD43,[6]BV201101!$A$10:$A$1236,1,0)</f>
        <v>110132</v>
      </c>
    </row>
    <row r="44" spans="1:39" s="467" customFormat="1" ht="12.75" customHeight="1">
      <c r="A44" s="487" t="str">
        <f t="shared" si="8"/>
        <v>1</v>
      </c>
      <c r="B44" s="487" t="str">
        <f t="shared" si="9"/>
        <v>10</v>
      </c>
      <c r="C44" s="487" t="str">
        <f t="shared" si="10"/>
        <v>13</v>
      </c>
      <c r="D44" s="487" t="str">
        <f t="shared" si="11"/>
        <v>0133</v>
      </c>
      <c r="E44" s="487">
        <v>511152000</v>
      </c>
      <c r="F44" s="488" t="str">
        <f t="shared" si="0"/>
        <v/>
      </c>
      <c r="G44" s="487"/>
      <c r="H44" s="487"/>
      <c r="I44" s="488" t="str">
        <f t="shared" si="1"/>
        <v/>
      </c>
      <c r="J44" s="487"/>
      <c r="K44" s="487"/>
      <c r="L44" s="488" t="str">
        <f t="shared" si="2"/>
        <v/>
      </c>
      <c r="M44" s="487"/>
      <c r="N44" s="487"/>
      <c r="O44" s="488" t="str">
        <f t="shared" si="3"/>
        <v/>
      </c>
      <c r="P44" s="489"/>
      <c r="Q44" s="489"/>
      <c r="R44" s="592" t="str">
        <f t="shared" si="4"/>
        <v/>
      </c>
      <c r="S44" s="487"/>
      <c r="T44" s="487"/>
      <c r="U44" s="488" t="str">
        <f t="shared" si="5"/>
        <v/>
      </c>
      <c r="V44" s="489"/>
      <c r="W44" s="489"/>
      <c r="X44" s="488" t="str">
        <f t="shared" si="6"/>
        <v/>
      </c>
      <c r="Y44" s="489"/>
      <c r="Z44" s="489"/>
      <c r="AA44" s="490" t="str">
        <f t="shared" si="13"/>
        <v>221</v>
      </c>
      <c r="AB44" s="489">
        <v>22</v>
      </c>
      <c r="AC44" s="489">
        <v>1</v>
      </c>
      <c r="AD44" s="27">
        <v>110133</v>
      </c>
      <c r="AE44" s="27" t="s">
        <v>278</v>
      </c>
      <c r="AF44" s="432">
        <f>VLOOKUP(AD44,[5]Hoja1!$A$10:$K$1393,11,0)</f>
        <v>100000</v>
      </c>
      <c r="AG44" s="1022"/>
      <c r="AH44" s="432">
        <f t="shared" si="12"/>
        <v>100</v>
      </c>
      <c r="AL44" s="448"/>
      <c r="AM44" s="467" t="e">
        <f>VLOOKUP(AD44,[6]BV201101!$A$10:$A$1236,1,0)</f>
        <v>#N/A</v>
      </c>
    </row>
    <row r="45" spans="1:39" s="467" customFormat="1" ht="12.75" customHeight="1">
      <c r="A45" s="487" t="str">
        <f t="shared" si="8"/>
        <v>1</v>
      </c>
      <c r="B45" s="487" t="str">
        <f t="shared" si="9"/>
        <v>10</v>
      </c>
      <c r="C45" s="487" t="str">
        <f t="shared" si="10"/>
        <v>13</v>
      </c>
      <c r="D45" s="487" t="str">
        <f t="shared" si="11"/>
        <v>0134</v>
      </c>
      <c r="E45" s="487">
        <v>511152000</v>
      </c>
      <c r="F45" s="488" t="str">
        <f t="shared" si="0"/>
        <v/>
      </c>
      <c r="G45" s="487"/>
      <c r="H45" s="487"/>
      <c r="I45" s="488" t="str">
        <f t="shared" si="1"/>
        <v/>
      </c>
      <c r="J45" s="487"/>
      <c r="K45" s="487"/>
      <c r="L45" s="488" t="str">
        <f t="shared" si="2"/>
        <v/>
      </c>
      <c r="M45" s="487"/>
      <c r="N45" s="487"/>
      <c r="O45" s="488" t="str">
        <f t="shared" si="3"/>
        <v/>
      </c>
      <c r="P45" s="489"/>
      <c r="Q45" s="489"/>
      <c r="R45" s="592" t="str">
        <f t="shared" si="4"/>
        <v/>
      </c>
      <c r="S45" s="487"/>
      <c r="T45" s="487"/>
      <c r="U45" s="488" t="str">
        <f t="shared" si="5"/>
        <v/>
      </c>
      <c r="V45" s="489"/>
      <c r="W45" s="489"/>
      <c r="X45" s="488" t="str">
        <f t="shared" si="6"/>
        <v/>
      </c>
      <c r="Y45" s="489"/>
      <c r="Z45" s="489"/>
      <c r="AA45" s="490" t="str">
        <f t="shared" si="13"/>
        <v>221</v>
      </c>
      <c r="AB45" s="489">
        <v>22</v>
      </c>
      <c r="AC45" s="489">
        <v>1</v>
      </c>
      <c r="AD45" s="27">
        <v>110134</v>
      </c>
      <c r="AE45" s="27" t="s">
        <v>279</v>
      </c>
      <c r="AF45" s="432">
        <f>VLOOKUP(AD45,[5]Hoja1!$A$10:$K$1393,11,0)</f>
        <v>52158955</v>
      </c>
      <c r="AG45" s="1507">
        <v>15047111</v>
      </c>
      <c r="AH45" s="432">
        <f t="shared" si="12"/>
        <v>67206</v>
      </c>
      <c r="AL45" s="448"/>
      <c r="AM45" s="467">
        <f>VLOOKUP(AD45,[6]BV201101!$A$10:$A$1236,1,0)</f>
        <v>110134</v>
      </c>
    </row>
    <row r="46" spans="1:39" s="467" customFormat="1" ht="12.75" customHeight="1">
      <c r="A46" s="487" t="str">
        <f t="shared" si="8"/>
        <v>1</v>
      </c>
      <c r="B46" s="487" t="str">
        <f t="shared" si="9"/>
        <v>10</v>
      </c>
      <c r="C46" s="487" t="str">
        <f t="shared" si="10"/>
        <v>13</v>
      </c>
      <c r="D46" s="487" t="str">
        <f t="shared" si="11"/>
        <v>0135</v>
      </c>
      <c r="E46" s="933">
        <v>523100000</v>
      </c>
      <c r="F46" s="488" t="str">
        <f t="shared" si="0"/>
        <v/>
      </c>
      <c r="G46" s="487"/>
      <c r="H46" s="487"/>
      <c r="I46" s="488" t="str">
        <f t="shared" si="1"/>
        <v/>
      </c>
      <c r="J46" s="487"/>
      <c r="K46" s="487"/>
      <c r="L46" s="488" t="str">
        <f t="shared" si="2"/>
        <v/>
      </c>
      <c r="M46" s="487"/>
      <c r="N46" s="487"/>
      <c r="O46" s="488" t="str">
        <f t="shared" si="3"/>
        <v/>
      </c>
      <c r="P46" s="489"/>
      <c r="Q46" s="489"/>
      <c r="R46" s="592" t="str">
        <f t="shared" si="4"/>
        <v/>
      </c>
      <c r="S46" s="487"/>
      <c r="T46" s="487"/>
      <c r="U46" s="488" t="str">
        <f t="shared" si="5"/>
        <v/>
      </c>
      <c r="V46" s="489"/>
      <c r="W46" s="489"/>
      <c r="X46" s="488" t="str">
        <f t="shared" si="6"/>
        <v/>
      </c>
      <c r="Y46" s="489"/>
      <c r="Z46" s="489"/>
      <c r="AA46" s="490" t="str">
        <f t="shared" si="13"/>
        <v>151</v>
      </c>
      <c r="AB46" s="489">
        <v>15</v>
      </c>
      <c r="AC46" s="489">
        <v>1</v>
      </c>
      <c r="AD46" s="27">
        <v>110135</v>
      </c>
      <c r="AE46" s="27" t="s">
        <v>280</v>
      </c>
      <c r="AF46" s="432">
        <f>VLOOKUP(AD46,[5]Hoja1!$A$10:$K$1393,11,0)</f>
        <v>-1</v>
      </c>
      <c r="AG46" s="1022"/>
      <c r="AH46" s="432">
        <f t="shared" si="12"/>
        <v>0</v>
      </c>
      <c r="AI46" s="467" t="s">
        <v>1443</v>
      </c>
      <c r="AL46" s="448"/>
      <c r="AM46" s="467">
        <f>VLOOKUP(AD46,[6]BV201101!$A$10:$A$1236,1,0)</f>
        <v>110135</v>
      </c>
    </row>
    <row r="47" spans="1:39" s="467" customFormat="1" ht="12.75" customHeight="1">
      <c r="A47" s="487" t="str">
        <f t="shared" si="8"/>
        <v>1</v>
      </c>
      <c r="B47" s="487" t="str">
        <f t="shared" si="9"/>
        <v>10</v>
      </c>
      <c r="C47" s="487" t="str">
        <f t="shared" si="10"/>
        <v>13</v>
      </c>
      <c r="D47" s="487" t="str">
        <f t="shared" si="11"/>
        <v>0136</v>
      </c>
      <c r="E47" s="933">
        <v>523100000</v>
      </c>
      <c r="F47" s="488" t="str">
        <f>+G47&amp;H47</f>
        <v/>
      </c>
      <c r="G47" s="487"/>
      <c r="H47" s="487"/>
      <c r="I47" s="488" t="str">
        <f>+J47&amp;K47</f>
        <v/>
      </c>
      <c r="J47" s="487"/>
      <c r="K47" s="487"/>
      <c r="L47" s="488" t="str">
        <f>+M47&amp;N47</f>
        <v/>
      </c>
      <c r="M47" s="487"/>
      <c r="N47" s="487"/>
      <c r="O47" s="488" t="str">
        <f>+P47&amp;Q47</f>
        <v/>
      </c>
      <c r="P47" s="489"/>
      <c r="Q47" s="489"/>
      <c r="R47" s="592" t="str">
        <f>+S47&amp;T47</f>
        <v/>
      </c>
      <c r="S47" s="487"/>
      <c r="T47" s="487"/>
      <c r="U47" s="488" t="str">
        <f>+V47&amp;W47</f>
        <v/>
      </c>
      <c r="V47" s="489"/>
      <c r="W47" s="489"/>
      <c r="X47" s="488" t="str">
        <f>+Y47&amp;Z47</f>
        <v/>
      </c>
      <c r="Y47" s="489"/>
      <c r="Z47" s="489"/>
      <c r="AA47" s="490" t="str">
        <f>+AB47&amp;AC47</f>
        <v>151</v>
      </c>
      <c r="AB47" s="489">
        <v>15</v>
      </c>
      <c r="AC47" s="489">
        <v>1</v>
      </c>
      <c r="AD47" s="27">
        <v>110136</v>
      </c>
      <c r="AE47" s="27" t="s">
        <v>1920</v>
      </c>
      <c r="AF47" s="432">
        <f>VLOOKUP(AD47,[5]Hoja1!$A$10:$K$1393,11,0)</f>
        <v>-300</v>
      </c>
      <c r="AG47" s="1022"/>
      <c r="AH47" s="432">
        <f t="shared" si="12"/>
        <v>0</v>
      </c>
      <c r="AL47" s="448"/>
      <c r="AM47" s="467">
        <f>VLOOKUP(AD47,[6]BV201101!$A$10:$A$1236,1,0)</f>
        <v>110136</v>
      </c>
    </row>
    <row r="48" spans="1:39" s="467" customFormat="1" ht="12.75" customHeight="1">
      <c r="A48" s="487" t="str">
        <f t="shared" si="8"/>
        <v>1</v>
      </c>
      <c r="B48" s="487" t="str">
        <f t="shared" si="9"/>
        <v>10</v>
      </c>
      <c r="C48" s="487" t="str">
        <f t="shared" si="10"/>
        <v>13</v>
      </c>
      <c r="D48" s="487" t="str">
        <f t="shared" si="11"/>
        <v>0137</v>
      </c>
      <c r="E48" s="487">
        <v>523100000</v>
      </c>
      <c r="F48" s="488" t="str">
        <f t="shared" si="0"/>
        <v/>
      </c>
      <c r="G48" s="487"/>
      <c r="H48" s="487"/>
      <c r="I48" s="488" t="str">
        <f t="shared" si="1"/>
        <v/>
      </c>
      <c r="J48" s="487"/>
      <c r="K48" s="487"/>
      <c r="L48" s="488" t="str">
        <f t="shared" si="2"/>
        <v/>
      </c>
      <c r="M48" s="487"/>
      <c r="N48" s="487"/>
      <c r="O48" s="488" t="str">
        <f t="shared" si="3"/>
        <v/>
      </c>
      <c r="P48" s="489"/>
      <c r="Q48" s="489"/>
      <c r="R48" s="592" t="str">
        <f t="shared" si="4"/>
        <v/>
      </c>
      <c r="S48" s="487"/>
      <c r="T48" s="487"/>
      <c r="U48" s="488" t="str">
        <f t="shared" si="5"/>
        <v/>
      </c>
      <c r="V48" s="489"/>
      <c r="W48" s="489"/>
      <c r="X48" s="488" t="str">
        <f t="shared" si="6"/>
        <v/>
      </c>
      <c r="Y48" s="489"/>
      <c r="Z48" s="489"/>
      <c r="AA48" s="490" t="str">
        <f>+AB48&amp;AC48</f>
        <v>151</v>
      </c>
      <c r="AB48" s="489">
        <v>15</v>
      </c>
      <c r="AC48" s="489">
        <v>1</v>
      </c>
      <c r="AD48" s="27">
        <v>110137</v>
      </c>
      <c r="AE48" s="27" t="s">
        <v>1921</v>
      </c>
      <c r="AF48" s="432">
        <f>VLOOKUP(AD48,[5]Hoja1!$A$10:$K$1393,11,0)</f>
        <v>0</v>
      </c>
      <c r="AG48" s="1022"/>
      <c r="AH48" s="432">
        <f t="shared" si="12"/>
        <v>0</v>
      </c>
      <c r="AL48" s="448"/>
      <c r="AM48" s="467">
        <f>VLOOKUP(AD48,[6]BV201101!$A$10:$A$1236,1,0)</f>
        <v>110137</v>
      </c>
    </row>
    <row r="49" spans="1:39" s="467" customFormat="1" ht="12.75" customHeight="1">
      <c r="A49" s="487" t="str">
        <f t="shared" si="8"/>
        <v>1</v>
      </c>
      <c r="B49" s="487" t="str">
        <f t="shared" si="9"/>
        <v>10</v>
      </c>
      <c r="C49" s="487" t="str">
        <f t="shared" si="10"/>
        <v>13</v>
      </c>
      <c r="D49" s="487" t="str">
        <f t="shared" si="11"/>
        <v>0138</v>
      </c>
      <c r="E49" s="487">
        <v>523100000</v>
      </c>
      <c r="F49" s="488" t="str">
        <f t="shared" si="0"/>
        <v/>
      </c>
      <c r="G49" s="487"/>
      <c r="H49" s="487"/>
      <c r="I49" s="488" t="str">
        <f t="shared" si="1"/>
        <v/>
      </c>
      <c r="J49" s="487"/>
      <c r="K49" s="487"/>
      <c r="L49" s="488" t="str">
        <f t="shared" si="2"/>
        <v/>
      </c>
      <c r="M49" s="487"/>
      <c r="N49" s="487"/>
      <c r="O49" s="488" t="str">
        <f t="shared" si="3"/>
        <v/>
      </c>
      <c r="P49" s="489"/>
      <c r="Q49" s="489"/>
      <c r="R49" s="592" t="str">
        <f t="shared" si="4"/>
        <v/>
      </c>
      <c r="S49" s="487"/>
      <c r="T49" s="487"/>
      <c r="U49" s="488" t="str">
        <f t="shared" si="5"/>
        <v/>
      </c>
      <c r="V49" s="489"/>
      <c r="W49" s="489"/>
      <c r="X49" s="488" t="str">
        <f t="shared" si="6"/>
        <v/>
      </c>
      <c r="Y49" s="489"/>
      <c r="Z49" s="489"/>
      <c r="AA49" s="490" t="str">
        <f>+AB49&amp;AC49</f>
        <v>151</v>
      </c>
      <c r="AB49" s="489">
        <v>15</v>
      </c>
      <c r="AC49" s="489">
        <v>1</v>
      </c>
      <c r="AD49" s="27">
        <v>110138</v>
      </c>
      <c r="AE49" s="27" t="s">
        <v>1922</v>
      </c>
      <c r="AF49" s="432">
        <v>0</v>
      </c>
      <c r="AG49" s="1022"/>
      <c r="AH49" s="432">
        <f t="shared" si="12"/>
        <v>0</v>
      </c>
      <c r="AL49" s="448"/>
      <c r="AM49" s="467" t="e">
        <f>VLOOKUP(AD49,[6]BV201101!$A$10:$A$1236,1,0)</f>
        <v>#N/A</v>
      </c>
    </row>
    <row r="50" spans="1:39" s="467" customFormat="1" ht="12.75" customHeight="1">
      <c r="A50" s="487" t="str">
        <f t="shared" si="8"/>
        <v>1</v>
      </c>
      <c r="B50" s="487" t="str">
        <f t="shared" si="9"/>
        <v>10</v>
      </c>
      <c r="C50" s="487" t="str">
        <f t="shared" si="10"/>
        <v>13</v>
      </c>
      <c r="D50" s="487" t="str">
        <f t="shared" si="11"/>
        <v>0139</v>
      </c>
      <c r="E50" s="487">
        <v>511152000</v>
      </c>
      <c r="F50" s="488"/>
      <c r="G50" s="487"/>
      <c r="H50" s="487"/>
      <c r="I50" s="488"/>
      <c r="J50" s="487"/>
      <c r="K50" s="487"/>
      <c r="L50" s="488"/>
      <c r="M50" s="487"/>
      <c r="N50" s="487"/>
      <c r="O50" s="488"/>
      <c r="P50" s="489"/>
      <c r="Q50" s="489"/>
      <c r="R50" s="592"/>
      <c r="S50" s="487"/>
      <c r="T50" s="487"/>
      <c r="U50" s="488"/>
      <c r="V50" s="489"/>
      <c r="W50" s="489"/>
      <c r="X50" s="488"/>
      <c r="Y50" s="489"/>
      <c r="Z50" s="489"/>
      <c r="AA50" s="490" t="str">
        <f>+AB50&amp;AC50</f>
        <v>221</v>
      </c>
      <c r="AB50" s="489">
        <v>22</v>
      </c>
      <c r="AC50" s="489">
        <v>1</v>
      </c>
      <c r="AD50" s="27">
        <v>110139</v>
      </c>
      <c r="AE50" s="27" t="s">
        <v>1923</v>
      </c>
      <c r="AF50" s="432">
        <f>VLOOKUP(AD50,[5]Hoja1!$A$10:$K$1393,11,0)</f>
        <v>0</v>
      </c>
      <c r="AG50" s="1022"/>
      <c r="AH50" s="432">
        <f t="shared" si="12"/>
        <v>0</v>
      </c>
      <c r="AL50" s="448"/>
      <c r="AM50" s="467" t="e">
        <f>VLOOKUP(AD50,[6]BV201101!$A$10:$A$1236,1,0)</f>
        <v>#N/A</v>
      </c>
    </row>
    <row r="51" spans="1:39" s="467" customFormat="1" ht="12.75" customHeight="1">
      <c r="A51" s="487" t="str">
        <f t="shared" si="8"/>
        <v>1</v>
      </c>
      <c r="B51" s="487" t="str">
        <f t="shared" si="9"/>
        <v>10</v>
      </c>
      <c r="C51" s="487" t="str">
        <f t="shared" si="10"/>
        <v>14</v>
      </c>
      <c r="D51" s="487" t="str">
        <f t="shared" si="11"/>
        <v>0140</v>
      </c>
      <c r="E51" s="933">
        <v>523100000</v>
      </c>
      <c r="F51" s="488" t="str">
        <f t="shared" si="0"/>
        <v/>
      </c>
      <c r="G51" s="487"/>
      <c r="H51" s="487"/>
      <c r="I51" s="488" t="str">
        <f t="shared" si="1"/>
        <v/>
      </c>
      <c r="J51" s="487"/>
      <c r="K51" s="487"/>
      <c r="L51" s="488" t="str">
        <f t="shared" si="2"/>
        <v/>
      </c>
      <c r="M51" s="487"/>
      <c r="N51" s="487"/>
      <c r="O51" s="488" t="str">
        <f t="shared" si="3"/>
        <v/>
      </c>
      <c r="P51" s="489"/>
      <c r="Q51" s="489"/>
      <c r="R51" s="592" t="str">
        <f t="shared" si="4"/>
        <v/>
      </c>
      <c r="S51" s="487"/>
      <c r="T51" s="487"/>
      <c r="U51" s="488" t="str">
        <f t="shared" si="5"/>
        <v/>
      </c>
      <c r="V51" s="489"/>
      <c r="W51" s="489"/>
      <c r="X51" s="488" t="str">
        <f t="shared" si="6"/>
        <v/>
      </c>
      <c r="Y51" s="489"/>
      <c r="Z51" s="489"/>
      <c r="AA51" s="490" t="str">
        <f>+AB51&amp;AC51</f>
        <v>151</v>
      </c>
      <c r="AB51" s="489">
        <v>15</v>
      </c>
      <c r="AC51" s="489">
        <v>1</v>
      </c>
      <c r="AD51" s="27">
        <v>110140</v>
      </c>
      <c r="AE51" s="27" t="s">
        <v>1924</v>
      </c>
      <c r="AF51" s="432">
        <f>VLOOKUP(AD51,[5]Hoja1!$A$10:$K$1393,11,0)</f>
        <v>-1</v>
      </c>
      <c r="AG51" s="1022"/>
      <c r="AH51" s="432">
        <f t="shared" si="12"/>
        <v>0</v>
      </c>
      <c r="AL51" s="448"/>
      <c r="AM51" s="467">
        <f>VLOOKUP(AD51,[6]BV201101!$A$10:$A$1236,1,0)</f>
        <v>110140</v>
      </c>
    </row>
    <row r="52" spans="1:39" s="467" customFormat="1" ht="12.75" customHeight="1">
      <c r="A52" s="487" t="str">
        <f t="shared" si="8"/>
        <v>1</v>
      </c>
      <c r="B52" s="487" t="str">
        <f t="shared" si="9"/>
        <v>10</v>
      </c>
      <c r="C52" s="487" t="str">
        <f t="shared" si="10"/>
        <v>14</v>
      </c>
      <c r="D52" s="487" t="str">
        <f t="shared" si="11"/>
        <v>0141</v>
      </c>
      <c r="E52" s="487">
        <v>511152000</v>
      </c>
      <c r="F52" s="488"/>
      <c r="G52" s="487"/>
      <c r="H52" s="487"/>
      <c r="I52" s="488"/>
      <c r="J52" s="487"/>
      <c r="K52" s="487"/>
      <c r="L52" s="488"/>
      <c r="M52" s="487"/>
      <c r="N52" s="487"/>
      <c r="O52" s="488"/>
      <c r="P52" s="489"/>
      <c r="Q52" s="489"/>
      <c r="R52" s="592"/>
      <c r="S52" s="487"/>
      <c r="T52" s="487"/>
      <c r="U52" s="488"/>
      <c r="V52" s="489"/>
      <c r="W52" s="489"/>
      <c r="X52" s="488"/>
      <c r="Y52" s="489"/>
      <c r="Z52" s="489"/>
      <c r="AA52" s="490" t="str">
        <f t="shared" ref="AA52:AA58" si="14">+AB52&amp;AC52</f>
        <v>221</v>
      </c>
      <c r="AB52" s="489">
        <v>22</v>
      </c>
      <c r="AC52" s="489">
        <v>1</v>
      </c>
      <c r="AD52" s="27">
        <v>110141</v>
      </c>
      <c r="AE52" s="27" t="s">
        <v>318</v>
      </c>
      <c r="AF52" s="432">
        <v>0</v>
      </c>
      <c r="AG52" s="1022"/>
      <c r="AH52" s="432">
        <f t="shared" si="12"/>
        <v>0</v>
      </c>
      <c r="AL52" s="448"/>
      <c r="AM52" s="467" t="e">
        <f>VLOOKUP(AD52,[6]BV201101!$A$10:$A$1236,1,0)</f>
        <v>#N/A</v>
      </c>
    </row>
    <row r="53" spans="1:39" s="467" customFormat="1" ht="12.75" customHeight="1">
      <c r="A53" s="487" t="str">
        <f t="shared" si="8"/>
        <v>1</v>
      </c>
      <c r="B53" s="487" t="str">
        <f t="shared" si="9"/>
        <v>10</v>
      </c>
      <c r="C53" s="487" t="str">
        <f t="shared" si="10"/>
        <v>14</v>
      </c>
      <c r="D53" s="487" t="str">
        <f t="shared" si="11"/>
        <v>0142</v>
      </c>
      <c r="E53" s="487">
        <v>511152000</v>
      </c>
      <c r="F53" s="488"/>
      <c r="G53" s="487"/>
      <c r="H53" s="487"/>
      <c r="I53" s="488"/>
      <c r="J53" s="487"/>
      <c r="K53" s="487"/>
      <c r="L53" s="488"/>
      <c r="M53" s="487"/>
      <c r="N53" s="487"/>
      <c r="O53" s="488"/>
      <c r="P53" s="489"/>
      <c r="Q53" s="489"/>
      <c r="R53" s="592"/>
      <c r="S53" s="487"/>
      <c r="T53" s="487"/>
      <c r="U53" s="488"/>
      <c r="V53" s="489"/>
      <c r="W53" s="489"/>
      <c r="X53" s="488"/>
      <c r="Y53" s="489"/>
      <c r="Z53" s="489"/>
      <c r="AA53" s="490" t="str">
        <f t="shared" si="14"/>
        <v>221</v>
      </c>
      <c r="AB53" s="489">
        <v>22</v>
      </c>
      <c r="AC53" s="489">
        <v>1</v>
      </c>
      <c r="AD53" s="27">
        <v>110142</v>
      </c>
      <c r="AE53" s="27" t="s">
        <v>1925</v>
      </c>
      <c r="AF53" s="432">
        <f>VLOOKUP(AD53,[5]Hoja1!$A$10:$K$1393,11,0)</f>
        <v>0</v>
      </c>
      <c r="AG53" s="1022"/>
      <c r="AH53" s="432">
        <f t="shared" si="12"/>
        <v>0</v>
      </c>
      <c r="AL53" s="448"/>
      <c r="AM53" s="467">
        <f>VLOOKUP(AD53,[6]BV201101!$A$10:$A$1236,1,0)</f>
        <v>110142</v>
      </c>
    </row>
    <row r="54" spans="1:39" s="467" customFormat="1" ht="12.75" customHeight="1">
      <c r="A54" s="487" t="str">
        <f t="shared" si="8"/>
        <v>1</v>
      </c>
      <c r="B54" s="487" t="str">
        <f t="shared" si="9"/>
        <v>10</v>
      </c>
      <c r="C54" s="487" t="str">
        <f t="shared" si="10"/>
        <v>14</v>
      </c>
      <c r="D54" s="487" t="str">
        <f t="shared" si="11"/>
        <v>0143</v>
      </c>
      <c r="E54" s="487">
        <v>511152000</v>
      </c>
      <c r="F54" s="488"/>
      <c r="G54" s="487"/>
      <c r="H54" s="487"/>
      <c r="I54" s="488"/>
      <c r="J54" s="487"/>
      <c r="K54" s="487"/>
      <c r="L54" s="488"/>
      <c r="M54" s="487"/>
      <c r="N54" s="487"/>
      <c r="O54" s="488"/>
      <c r="P54" s="489"/>
      <c r="Q54" s="489"/>
      <c r="R54" s="592"/>
      <c r="S54" s="487"/>
      <c r="T54" s="487"/>
      <c r="U54" s="488"/>
      <c r="V54" s="489"/>
      <c r="W54" s="489"/>
      <c r="X54" s="488"/>
      <c r="Y54" s="489"/>
      <c r="Z54" s="489"/>
      <c r="AA54" s="490" t="str">
        <f t="shared" si="14"/>
        <v>221</v>
      </c>
      <c r="AB54" s="489">
        <v>22</v>
      </c>
      <c r="AC54" s="489">
        <v>1</v>
      </c>
      <c r="AD54" s="27">
        <v>110143</v>
      </c>
      <c r="AE54" s="27" t="s">
        <v>1926</v>
      </c>
      <c r="AF54" s="432">
        <f>VLOOKUP(AD54,[5]Hoja1!$A$10:$K$1393,11,0)</f>
        <v>5105515</v>
      </c>
      <c r="AG54" s="1022"/>
      <c r="AH54" s="432">
        <f t="shared" si="12"/>
        <v>5106</v>
      </c>
      <c r="AL54" s="448"/>
      <c r="AM54" s="467">
        <f>VLOOKUP(AD54,[6]BV201101!$A$10:$A$1236,1,0)</f>
        <v>110143</v>
      </c>
    </row>
    <row r="55" spans="1:39" s="467" customFormat="1" ht="12.75" customHeight="1">
      <c r="A55" s="487" t="str">
        <f t="shared" si="8"/>
        <v>1</v>
      </c>
      <c r="B55" s="487" t="str">
        <f t="shared" si="9"/>
        <v>10</v>
      </c>
      <c r="C55" s="487" t="str">
        <f t="shared" si="10"/>
        <v>14</v>
      </c>
      <c r="D55" s="487" t="str">
        <f t="shared" si="11"/>
        <v>0144</v>
      </c>
      <c r="E55" s="487">
        <v>511152000</v>
      </c>
      <c r="F55" s="488"/>
      <c r="G55" s="487"/>
      <c r="H55" s="487"/>
      <c r="I55" s="488"/>
      <c r="J55" s="487"/>
      <c r="K55" s="487"/>
      <c r="L55" s="488"/>
      <c r="M55" s="487"/>
      <c r="N55" s="487"/>
      <c r="O55" s="488"/>
      <c r="P55" s="489"/>
      <c r="Q55" s="489"/>
      <c r="R55" s="592"/>
      <c r="S55" s="487"/>
      <c r="T55" s="487"/>
      <c r="U55" s="488"/>
      <c r="V55" s="489"/>
      <c r="W55" s="489"/>
      <c r="X55" s="488"/>
      <c r="Y55" s="489"/>
      <c r="Z55" s="489"/>
      <c r="AA55" s="490" t="str">
        <f t="shared" si="14"/>
        <v>221</v>
      </c>
      <c r="AB55" s="489">
        <v>22</v>
      </c>
      <c r="AC55" s="489">
        <v>1</v>
      </c>
      <c r="AD55" s="27">
        <v>110144</v>
      </c>
      <c r="AE55" s="27" t="s">
        <v>723</v>
      </c>
      <c r="AF55" s="432">
        <v>0</v>
      </c>
      <c r="AG55" s="1022"/>
      <c r="AH55" s="432">
        <f t="shared" si="12"/>
        <v>0</v>
      </c>
      <c r="AL55" s="448"/>
      <c r="AM55" s="467" t="e">
        <f>VLOOKUP(AD55,[6]BV201101!$A$10:$A$1236,1,0)</f>
        <v>#N/A</v>
      </c>
    </row>
    <row r="56" spans="1:39" s="467" customFormat="1" ht="12.75" customHeight="1">
      <c r="A56" s="487" t="str">
        <f t="shared" si="8"/>
        <v>1</v>
      </c>
      <c r="B56" s="487" t="str">
        <f t="shared" si="9"/>
        <v>10</v>
      </c>
      <c r="C56" s="487" t="str">
        <f t="shared" si="10"/>
        <v>14</v>
      </c>
      <c r="D56" s="487" t="str">
        <f t="shared" si="11"/>
        <v>0145</v>
      </c>
      <c r="E56" s="487">
        <v>511152000</v>
      </c>
      <c r="F56" s="488"/>
      <c r="G56" s="487"/>
      <c r="H56" s="487"/>
      <c r="I56" s="488"/>
      <c r="J56" s="487"/>
      <c r="K56" s="487"/>
      <c r="L56" s="488"/>
      <c r="M56" s="487"/>
      <c r="N56" s="487"/>
      <c r="O56" s="488"/>
      <c r="P56" s="489"/>
      <c r="Q56" s="489"/>
      <c r="R56" s="592"/>
      <c r="S56" s="487"/>
      <c r="T56" s="487"/>
      <c r="U56" s="488"/>
      <c r="V56" s="489"/>
      <c r="W56" s="489"/>
      <c r="X56" s="488"/>
      <c r="Y56" s="489"/>
      <c r="Z56" s="489"/>
      <c r="AA56" s="490" t="str">
        <f t="shared" si="14"/>
        <v>221</v>
      </c>
      <c r="AB56" s="489">
        <v>22</v>
      </c>
      <c r="AC56" s="489">
        <v>1</v>
      </c>
      <c r="AD56" s="27">
        <v>110145</v>
      </c>
      <c r="AE56" s="27" t="s">
        <v>722</v>
      </c>
      <c r="AF56" s="432">
        <v>0</v>
      </c>
      <c r="AG56" s="1022"/>
      <c r="AH56" s="432">
        <f t="shared" si="12"/>
        <v>0</v>
      </c>
      <c r="AL56" s="448"/>
      <c r="AM56" s="467" t="e">
        <f>VLOOKUP(AD56,[6]BV201101!$A$10:$A$1236,1,0)</f>
        <v>#N/A</v>
      </c>
    </row>
    <row r="57" spans="1:39" s="467" customFormat="1" ht="12.75" customHeight="1">
      <c r="A57" s="487" t="str">
        <f t="shared" si="8"/>
        <v>1</v>
      </c>
      <c r="B57" s="487" t="str">
        <f t="shared" si="9"/>
        <v>10</v>
      </c>
      <c r="C57" s="487" t="str">
        <f t="shared" si="10"/>
        <v>14</v>
      </c>
      <c r="D57" s="487" t="str">
        <f t="shared" si="11"/>
        <v>0146</v>
      </c>
      <c r="E57" s="487">
        <v>511152000</v>
      </c>
      <c r="F57" s="488"/>
      <c r="G57" s="487"/>
      <c r="H57" s="487"/>
      <c r="I57" s="488"/>
      <c r="J57" s="487"/>
      <c r="K57" s="487"/>
      <c r="L57" s="488"/>
      <c r="M57" s="487"/>
      <c r="N57" s="487"/>
      <c r="O57" s="488"/>
      <c r="P57" s="489"/>
      <c r="Q57" s="489"/>
      <c r="R57" s="592"/>
      <c r="S57" s="487"/>
      <c r="T57" s="487"/>
      <c r="U57" s="488"/>
      <c r="V57" s="489"/>
      <c r="W57" s="489"/>
      <c r="X57" s="488"/>
      <c r="Y57" s="489"/>
      <c r="Z57" s="489"/>
      <c r="AA57" s="490" t="str">
        <f t="shared" si="14"/>
        <v>221</v>
      </c>
      <c r="AB57" s="489">
        <v>22</v>
      </c>
      <c r="AC57" s="489">
        <v>1</v>
      </c>
      <c r="AD57" s="27">
        <v>110146</v>
      </c>
      <c r="AE57" s="27" t="s">
        <v>724</v>
      </c>
      <c r="AF57" s="432">
        <v>0</v>
      </c>
      <c r="AG57" s="1022"/>
      <c r="AH57" s="432">
        <f t="shared" si="12"/>
        <v>0</v>
      </c>
      <c r="AL57" s="448"/>
      <c r="AM57" s="467" t="e">
        <f>VLOOKUP(AD57,[6]BV201101!$A$10:$A$1236,1,0)</f>
        <v>#N/A</v>
      </c>
    </row>
    <row r="58" spans="1:39" s="467" customFormat="1" ht="12.75" customHeight="1">
      <c r="A58" s="487" t="str">
        <f t="shared" si="8"/>
        <v>1</v>
      </c>
      <c r="B58" s="487" t="str">
        <f t="shared" si="9"/>
        <v>10</v>
      </c>
      <c r="C58" s="487" t="str">
        <f t="shared" si="10"/>
        <v>14</v>
      </c>
      <c r="D58" s="487" t="str">
        <f t="shared" si="11"/>
        <v>0147</v>
      </c>
      <c r="E58" s="487">
        <v>511152000</v>
      </c>
      <c r="F58" s="488"/>
      <c r="G58" s="487"/>
      <c r="H58" s="487"/>
      <c r="I58" s="488"/>
      <c r="J58" s="487"/>
      <c r="K58" s="487"/>
      <c r="L58" s="488"/>
      <c r="M58" s="487"/>
      <c r="N58" s="487"/>
      <c r="O58" s="488"/>
      <c r="P58" s="489"/>
      <c r="Q58" s="489"/>
      <c r="R58" s="592"/>
      <c r="S58" s="487"/>
      <c r="T58" s="487"/>
      <c r="U58" s="488"/>
      <c r="V58" s="489"/>
      <c r="W58" s="489"/>
      <c r="X58" s="488"/>
      <c r="Y58" s="489"/>
      <c r="Z58" s="489"/>
      <c r="AA58" s="490" t="str">
        <f t="shared" si="14"/>
        <v>221</v>
      </c>
      <c r="AB58" s="489">
        <v>22</v>
      </c>
      <c r="AC58" s="489">
        <v>1</v>
      </c>
      <c r="AD58" s="27">
        <v>110147</v>
      </c>
      <c r="AE58" s="27" t="s">
        <v>725</v>
      </c>
      <c r="AF58" s="432">
        <v>0</v>
      </c>
      <c r="AG58" s="1022"/>
      <c r="AH58" s="432">
        <f t="shared" si="12"/>
        <v>0</v>
      </c>
      <c r="AL58" s="448"/>
      <c r="AM58" s="467" t="e">
        <f>VLOOKUP(AD58,[6]BV201101!$A$10:$A$1236,1,0)</f>
        <v>#N/A</v>
      </c>
    </row>
    <row r="59" spans="1:39" s="467" customFormat="1" ht="12.75" customHeight="1">
      <c r="A59" s="487" t="str">
        <f t="shared" si="8"/>
        <v>1</v>
      </c>
      <c r="B59" s="487" t="str">
        <f t="shared" si="9"/>
        <v>10</v>
      </c>
      <c r="C59" s="487" t="str">
        <f t="shared" si="10"/>
        <v>15</v>
      </c>
      <c r="D59" s="487" t="str">
        <f t="shared" si="11"/>
        <v>0150</v>
      </c>
      <c r="E59" s="487">
        <v>511151000</v>
      </c>
      <c r="F59" s="488" t="str">
        <f t="shared" si="0"/>
        <v/>
      </c>
      <c r="G59" s="487"/>
      <c r="H59" s="487"/>
      <c r="I59" s="488" t="str">
        <f t="shared" si="1"/>
        <v/>
      </c>
      <c r="J59" s="487"/>
      <c r="K59" s="487"/>
      <c r="L59" s="488" t="str">
        <f t="shared" si="2"/>
        <v/>
      </c>
      <c r="M59" s="487"/>
      <c r="N59" s="487"/>
      <c r="O59" s="488" t="str">
        <f t="shared" si="3"/>
        <v/>
      </c>
      <c r="P59" s="489"/>
      <c r="Q59" s="489"/>
      <c r="R59" s="592" t="str">
        <f t="shared" si="4"/>
        <v/>
      </c>
      <c r="S59" s="487"/>
      <c r="T59" s="487"/>
      <c r="U59" s="488" t="str">
        <f t="shared" si="5"/>
        <v/>
      </c>
      <c r="V59" s="489"/>
      <c r="W59" s="489"/>
      <c r="X59" s="488" t="str">
        <f t="shared" si="6"/>
        <v/>
      </c>
      <c r="Y59" s="489"/>
      <c r="Z59" s="489"/>
      <c r="AA59" s="490" t="str">
        <f t="shared" ref="AA59:AA70" si="15">+AB59&amp;AC59</f>
        <v>221</v>
      </c>
      <c r="AB59" s="489">
        <v>22</v>
      </c>
      <c r="AC59" s="489">
        <v>1</v>
      </c>
      <c r="AD59" s="27">
        <v>110150</v>
      </c>
      <c r="AE59" s="27" t="s">
        <v>281</v>
      </c>
      <c r="AF59" s="432">
        <v>0</v>
      </c>
      <c r="AG59" s="1022"/>
      <c r="AH59" s="432">
        <f t="shared" si="12"/>
        <v>0</v>
      </c>
      <c r="AL59" s="448"/>
      <c r="AM59" s="467" t="e">
        <f>VLOOKUP(AD59,[6]BV201101!$A$10:$A$1236,1,0)</f>
        <v>#N/A</v>
      </c>
    </row>
    <row r="60" spans="1:39" s="467" customFormat="1" ht="12.75" customHeight="1">
      <c r="A60" s="487" t="str">
        <f t="shared" si="8"/>
        <v>1</v>
      </c>
      <c r="B60" s="487" t="str">
        <f t="shared" si="9"/>
        <v>10</v>
      </c>
      <c r="C60" s="487" t="str">
        <f t="shared" si="10"/>
        <v>15</v>
      </c>
      <c r="D60" s="487" t="str">
        <f t="shared" si="11"/>
        <v>0151</v>
      </c>
      <c r="E60" s="487">
        <v>511152000</v>
      </c>
      <c r="F60" s="488" t="str">
        <f>+G60&amp;H60</f>
        <v/>
      </c>
      <c r="G60" s="487"/>
      <c r="H60" s="487"/>
      <c r="I60" s="488" t="str">
        <f>+J60&amp;K60</f>
        <v/>
      </c>
      <c r="J60" s="487"/>
      <c r="K60" s="487"/>
      <c r="L60" s="488" t="str">
        <f>+M60&amp;N60</f>
        <v/>
      </c>
      <c r="M60" s="487"/>
      <c r="N60" s="487"/>
      <c r="O60" s="488" t="str">
        <f>+P60&amp;Q60</f>
        <v/>
      </c>
      <c r="P60" s="489"/>
      <c r="Q60" s="489"/>
      <c r="R60" s="592" t="str">
        <f>+S60&amp;T60</f>
        <v/>
      </c>
      <c r="S60" s="487"/>
      <c r="T60" s="487"/>
      <c r="U60" s="488" t="str">
        <f>+V60&amp;W60</f>
        <v/>
      </c>
      <c r="V60" s="489"/>
      <c r="W60" s="489"/>
      <c r="X60" s="488" t="str">
        <f>+Y60&amp;Z60</f>
        <v/>
      </c>
      <c r="Y60" s="489"/>
      <c r="Z60" s="489"/>
      <c r="AA60" s="490" t="str">
        <f t="shared" si="15"/>
        <v>151</v>
      </c>
      <c r="AB60" s="489">
        <v>15</v>
      </c>
      <c r="AC60" s="489">
        <v>1</v>
      </c>
      <c r="AD60" s="27">
        <v>110151</v>
      </c>
      <c r="AE60" s="27" t="s">
        <v>1927</v>
      </c>
      <c r="AF60" s="432">
        <f>VLOOKUP(AD60,[5]Hoja1!$A$10:$K$1393,11,0)</f>
        <v>0</v>
      </c>
      <c r="AG60" s="1022"/>
      <c r="AH60" s="432">
        <f t="shared" si="12"/>
        <v>0</v>
      </c>
      <c r="AL60" s="448"/>
      <c r="AM60" s="467">
        <f>VLOOKUP(AD60,[6]BV201101!$A$10:$A$1236,1,0)</f>
        <v>110151</v>
      </c>
    </row>
    <row r="61" spans="1:39" s="467" customFormat="1" ht="12.75" customHeight="1">
      <c r="A61" s="487" t="str">
        <f t="shared" si="8"/>
        <v>1</v>
      </c>
      <c r="B61" s="487" t="str">
        <f t="shared" si="9"/>
        <v>10</v>
      </c>
      <c r="C61" s="487" t="str">
        <f t="shared" si="10"/>
        <v>15</v>
      </c>
      <c r="D61" s="487" t="str">
        <f t="shared" si="11"/>
        <v>0154</v>
      </c>
      <c r="E61" s="487">
        <v>511152000</v>
      </c>
      <c r="F61" s="488" t="str">
        <f>+G61&amp;H61</f>
        <v/>
      </c>
      <c r="G61" s="487"/>
      <c r="H61" s="487"/>
      <c r="I61" s="488" t="str">
        <f>+J61&amp;K61</f>
        <v/>
      </c>
      <c r="J61" s="487"/>
      <c r="K61" s="487"/>
      <c r="L61" s="488" t="str">
        <f>+M61&amp;N61</f>
        <v/>
      </c>
      <c r="M61" s="487"/>
      <c r="N61" s="487"/>
      <c r="O61" s="488" t="str">
        <f>+P61&amp;Q61</f>
        <v/>
      </c>
      <c r="P61" s="489"/>
      <c r="Q61" s="489"/>
      <c r="R61" s="592" t="str">
        <f>+S61&amp;T61</f>
        <v/>
      </c>
      <c r="S61" s="487"/>
      <c r="T61" s="487"/>
      <c r="U61" s="488" t="str">
        <f>+V61&amp;W61</f>
        <v/>
      </c>
      <c r="V61" s="489"/>
      <c r="W61" s="489"/>
      <c r="X61" s="488" t="str">
        <f>+Y61&amp;Z61</f>
        <v/>
      </c>
      <c r="Y61" s="489"/>
      <c r="Z61" s="489"/>
      <c r="AA61" s="490" t="str">
        <f t="shared" si="15"/>
        <v>151</v>
      </c>
      <c r="AB61" s="489">
        <v>15</v>
      </c>
      <c r="AC61" s="489">
        <v>1</v>
      </c>
      <c r="AD61" s="27">
        <v>110154</v>
      </c>
      <c r="AE61" s="27" t="s">
        <v>1928</v>
      </c>
      <c r="AF61" s="432">
        <f>VLOOKUP(AD61,[5]Hoja1!$A$10:$K$1393,11,0)</f>
        <v>5410169</v>
      </c>
      <c r="AG61" s="1022">
        <v>0</v>
      </c>
      <c r="AH61" s="432">
        <f t="shared" si="12"/>
        <v>5410</v>
      </c>
      <c r="AL61" s="448"/>
      <c r="AM61" s="467">
        <f>VLOOKUP(AD61,[6]BV201101!$A$10:$A$1236,1,0)</f>
        <v>110154</v>
      </c>
    </row>
    <row r="62" spans="1:39" s="467" customFormat="1" ht="12.75" customHeight="1">
      <c r="A62" s="487" t="str">
        <f t="shared" si="8"/>
        <v>1</v>
      </c>
      <c r="B62" s="487" t="str">
        <f t="shared" si="9"/>
        <v>10</v>
      </c>
      <c r="C62" s="487" t="str">
        <f t="shared" si="10"/>
        <v>15</v>
      </c>
      <c r="D62" s="487" t="str">
        <f t="shared" si="11"/>
        <v>0155</v>
      </c>
      <c r="E62" s="487">
        <v>511152000</v>
      </c>
      <c r="F62" s="488" t="str">
        <f>+G62&amp;H62</f>
        <v/>
      </c>
      <c r="G62" s="487"/>
      <c r="H62" s="487"/>
      <c r="I62" s="488" t="str">
        <f>+J62&amp;K62</f>
        <v/>
      </c>
      <c r="J62" s="487"/>
      <c r="K62" s="487"/>
      <c r="L62" s="488" t="str">
        <f>+M62&amp;N62</f>
        <v/>
      </c>
      <c r="M62" s="487"/>
      <c r="N62" s="487"/>
      <c r="O62" s="488" t="str">
        <f>+P62&amp;Q62</f>
        <v/>
      </c>
      <c r="P62" s="489"/>
      <c r="Q62" s="489"/>
      <c r="R62" s="592" t="str">
        <f>+S62&amp;T62</f>
        <v/>
      </c>
      <c r="S62" s="487"/>
      <c r="T62" s="487"/>
      <c r="U62" s="488" t="str">
        <f>+V62&amp;W62</f>
        <v/>
      </c>
      <c r="V62" s="489"/>
      <c r="W62" s="489"/>
      <c r="X62" s="488" t="str">
        <f>+Y62&amp;Z62</f>
        <v/>
      </c>
      <c r="Y62" s="489"/>
      <c r="Z62" s="489"/>
      <c r="AA62" s="490" t="str">
        <f t="shared" si="15"/>
        <v>221</v>
      </c>
      <c r="AB62" s="489">
        <v>22</v>
      </c>
      <c r="AC62" s="489">
        <v>1</v>
      </c>
      <c r="AD62" s="27">
        <v>110155</v>
      </c>
      <c r="AE62" s="27" t="s">
        <v>1929</v>
      </c>
      <c r="AF62" s="432">
        <f>VLOOKUP(AD62,[5]Hoja1!$A$10:$K$1393,11,0)</f>
        <v>17090584</v>
      </c>
      <c r="AG62" s="1022"/>
      <c r="AH62" s="432">
        <f t="shared" si="12"/>
        <v>17091</v>
      </c>
      <c r="AL62" s="448"/>
      <c r="AM62" s="467">
        <f>VLOOKUP(AD62,[6]BV201101!$A$10:$A$1236,1,0)</f>
        <v>110155</v>
      </c>
    </row>
    <row r="63" spans="1:39" s="467" customFormat="1" ht="12.75" customHeight="1">
      <c r="A63" s="487" t="str">
        <f t="shared" si="8"/>
        <v>1</v>
      </c>
      <c r="B63" s="487" t="str">
        <f t="shared" si="9"/>
        <v>10</v>
      </c>
      <c r="C63" s="487" t="str">
        <f t="shared" si="10"/>
        <v>15</v>
      </c>
      <c r="D63" s="487" t="str">
        <f t="shared" si="11"/>
        <v>0157</v>
      </c>
      <c r="E63" s="487">
        <v>511152000</v>
      </c>
      <c r="F63" s="488"/>
      <c r="G63" s="487"/>
      <c r="H63" s="487"/>
      <c r="I63" s="488"/>
      <c r="J63" s="487"/>
      <c r="K63" s="487"/>
      <c r="L63" s="488"/>
      <c r="M63" s="487"/>
      <c r="N63" s="487"/>
      <c r="O63" s="488"/>
      <c r="P63" s="489"/>
      <c r="Q63" s="489"/>
      <c r="R63" s="592"/>
      <c r="S63" s="487"/>
      <c r="T63" s="487"/>
      <c r="U63" s="488"/>
      <c r="V63" s="489"/>
      <c r="W63" s="489"/>
      <c r="X63" s="488"/>
      <c r="Y63" s="489"/>
      <c r="Z63" s="489"/>
      <c r="AA63" s="490" t="str">
        <f t="shared" si="15"/>
        <v>221</v>
      </c>
      <c r="AB63" s="489">
        <v>22</v>
      </c>
      <c r="AC63" s="489">
        <v>1</v>
      </c>
      <c r="AD63" s="27">
        <v>110157</v>
      </c>
      <c r="AE63" s="27" t="s">
        <v>1514</v>
      </c>
      <c r="AF63" s="432">
        <f>VLOOKUP(AD63,[5]Hoja1!$A$10:$K$1393,11,0)</f>
        <v>3593401</v>
      </c>
      <c r="AG63" s="1022"/>
      <c r="AH63" s="432">
        <f t="shared" si="12"/>
        <v>3593</v>
      </c>
      <c r="AL63" s="448"/>
      <c r="AM63" s="467">
        <f>VLOOKUP(AD63,[6]BV201101!$A$10:$A$1236,1,0)</f>
        <v>110157</v>
      </c>
    </row>
    <row r="64" spans="1:39" s="467" customFormat="1" ht="12.75" customHeight="1">
      <c r="A64" s="487" t="str">
        <f t="shared" si="8"/>
        <v>1</v>
      </c>
      <c r="B64" s="487" t="str">
        <f t="shared" si="9"/>
        <v>10</v>
      </c>
      <c r="C64" s="487" t="str">
        <f t="shared" si="10"/>
        <v>15</v>
      </c>
      <c r="D64" s="487" t="str">
        <f t="shared" si="11"/>
        <v>0158</v>
      </c>
      <c r="E64" s="487">
        <v>511152000</v>
      </c>
      <c r="F64" s="488"/>
      <c r="G64" s="487"/>
      <c r="H64" s="487"/>
      <c r="I64" s="488"/>
      <c r="J64" s="487"/>
      <c r="K64" s="487"/>
      <c r="L64" s="488"/>
      <c r="M64" s="487"/>
      <c r="N64" s="487"/>
      <c r="O64" s="488"/>
      <c r="P64" s="489"/>
      <c r="Q64" s="489"/>
      <c r="R64" s="592"/>
      <c r="S64" s="487"/>
      <c r="T64" s="487"/>
      <c r="U64" s="488"/>
      <c r="V64" s="489"/>
      <c r="W64" s="489"/>
      <c r="X64" s="488"/>
      <c r="Y64" s="489"/>
      <c r="Z64" s="489"/>
      <c r="AA64" s="490" t="str">
        <f t="shared" ref="AA64:AA69" si="16">+AB64&amp;AC64</f>
        <v>221</v>
      </c>
      <c r="AB64" s="489">
        <v>22</v>
      </c>
      <c r="AC64" s="489">
        <v>1</v>
      </c>
      <c r="AD64" s="27">
        <v>110158</v>
      </c>
      <c r="AE64" s="27" t="s">
        <v>1930</v>
      </c>
      <c r="AF64" s="432">
        <f>VLOOKUP(AD64,[5]Hoja1!$A$10:$K$1393,11,0)</f>
        <v>2999940</v>
      </c>
      <c r="AG64" s="1022"/>
      <c r="AH64" s="432">
        <f t="shared" si="12"/>
        <v>3000</v>
      </c>
      <c r="AL64" s="448"/>
      <c r="AM64" s="467">
        <f>VLOOKUP(AD64,[6]BV201101!$A$10:$A$1236,1,0)</f>
        <v>110158</v>
      </c>
    </row>
    <row r="65" spans="1:39" s="467" customFormat="1" ht="12.75" customHeight="1">
      <c r="A65" s="487" t="str">
        <f t="shared" si="8"/>
        <v>1</v>
      </c>
      <c r="B65" s="487" t="str">
        <f t="shared" si="9"/>
        <v>10</v>
      </c>
      <c r="C65" s="487" t="str">
        <f t="shared" si="10"/>
        <v>15</v>
      </c>
      <c r="D65" s="487" t="str">
        <f t="shared" si="11"/>
        <v>0159</v>
      </c>
      <c r="E65" s="487">
        <v>511152000</v>
      </c>
      <c r="F65" s="488"/>
      <c r="G65" s="487"/>
      <c r="H65" s="487"/>
      <c r="I65" s="488"/>
      <c r="J65" s="487"/>
      <c r="K65" s="487"/>
      <c r="L65" s="488"/>
      <c r="M65" s="487"/>
      <c r="N65" s="487"/>
      <c r="O65" s="488"/>
      <c r="P65" s="489"/>
      <c r="Q65" s="489"/>
      <c r="R65" s="592"/>
      <c r="S65" s="487"/>
      <c r="T65" s="487"/>
      <c r="U65" s="488"/>
      <c r="V65" s="489"/>
      <c r="W65" s="489"/>
      <c r="X65" s="488"/>
      <c r="Y65" s="489"/>
      <c r="Z65" s="489"/>
      <c r="AA65" s="490" t="str">
        <f t="shared" si="16"/>
        <v>221</v>
      </c>
      <c r="AB65" s="489">
        <v>22</v>
      </c>
      <c r="AC65" s="489">
        <v>1</v>
      </c>
      <c r="AD65" s="27">
        <v>110159</v>
      </c>
      <c r="AE65" s="27" t="s">
        <v>1931</v>
      </c>
      <c r="AF65" s="432">
        <f>VLOOKUP(AD65,[5]Hoja1!$A$10:$K$1393,11,0)</f>
        <v>21493433</v>
      </c>
      <c r="AG65" s="1507">
        <v>3979369</v>
      </c>
      <c r="AH65" s="432">
        <f t="shared" si="12"/>
        <v>25473</v>
      </c>
      <c r="AL65" s="448"/>
      <c r="AM65" s="467">
        <f>VLOOKUP(AD65,[6]BV201101!$A$10:$A$1236,1,0)</f>
        <v>110159</v>
      </c>
    </row>
    <row r="66" spans="1:39" s="467" customFormat="1" ht="12.75" customHeight="1">
      <c r="A66" s="487" t="str">
        <f t="shared" si="8"/>
        <v>1</v>
      </c>
      <c r="B66" s="487" t="str">
        <f t="shared" si="9"/>
        <v>10</v>
      </c>
      <c r="C66" s="487" t="str">
        <f t="shared" si="10"/>
        <v>16</v>
      </c>
      <c r="D66" s="487" t="str">
        <f t="shared" si="11"/>
        <v>0160</v>
      </c>
      <c r="E66" s="487">
        <v>511152000</v>
      </c>
      <c r="F66" s="488"/>
      <c r="G66" s="487"/>
      <c r="H66" s="487"/>
      <c r="I66" s="488"/>
      <c r="J66" s="487"/>
      <c r="K66" s="487"/>
      <c r="L66" s="488"/>
      <c r="M66" s="487"/>
      <c r="N66" s="487"/>
      <c r="O66" s="488"/>
      <c r="P66" s="489"/>
      <c r="Q66" s="489"/>
      <c r="R66" s="592"/>
      <c r="S66" s="487"/>
      <c r="T66" s="487"/>
      <c r="U66" s="488"/>
      <c r="V66" s="489"/>
      <c r="W66" s="489"/>
      <c r="X66" s="488"/>
      <c r="Y66" s="489"/>
      <c r="Z66" s="489"/>
      <c r="AA66" s="490" t="str">
        <f t="shared" si="16"/>
        <v>221</v>
      </c>
      <c r="AB66" s="489">
        <v>22</v>
      </c>
      <c r="AC66" s="489">
        <v>1</v>
      </c>
      <c r="AD66" s="27">
        <v>110160</v>
      </c>
      <c r="AE66" s="27" t="s">
        <v>1932</v>
      </c>
      <c r="AF66" s="432">
        <f>VLOOKUP(AD66,[5]Hoja1!$A$10:$K$1393,11,0)</f>
        <v>47877370</v>
      </c>
      <c r="AG66" s="432"/>
      <c r="AH66" s="432">
        <f t="shared" si="12"/>
        <v>47877</v>
      </c>
      <c r="AL66" s="448"/>
      <c r="AM66" s="467">
        <f>VLOOKUP(AD66,[6]BV201101!$A$10:$A$1236,1,0)</f>
        <v>110160</v>
      </c>
    </row>
    <row r="67" spans="1:39" s="467" customFormat="1" ht="12.75" customHeight="1">
      <c r="A67" s="487" t="str">
        <f t="shared" si="8"/>
        <v>1</v>
      </c>
      <c r="B67" s="487" t="str">
        <f t="shared" si="9"/>
        <v>10</v>
      </c>
      <c r="C67" s="487" t="str">
        <f t="shared" si="10"/>
        <v>16</v>
      </c>
      <c r="D67" s="487" t="str">
        <f t="shared" si="11"/>
        <v>0161</v>
      </c>
      <c r="E67" s="487">
        <v>511152000</v>
      </c>
      <c r="F67" s="488"/>
      <c r="G67" s="487"/>
      <c r="H67" s="487"/>
      <c r="I67" s="488"/>
      <c r="J67" s="487"/>
      <c r="K67" s="487"/>
      <c r="L67" s="488"/>
      <c r="M67" s="487"/>
      <c r="N67" s="487"/>
      <c r="O67" s="488"/>
      <c r="P67" s="489"/>
      <c r="Q67" s="489"/>
      <c r="R67" s="592"/>
      <c r="S67" s="487"/>
      <c r="T67" s="487"/>
      <c r="U67" s="488"/>
      <c r="V67" s="489"/>
      <c r="W67" s="489"/>
      <c r="X67" s="488"/>
      <c r="Y67" s="489"/>
      <c r="Z67" s="489"/>
      <c r="AA67" s="490" t="str">
        <f t="shared" si="16"/>
        <v>221</v>
      </c>
      <c r="AB67" s="489">
        <v>22</v>
      </c>
      <c r="AC67" s="489">
        <v>1</v>
      </c>
      <c r="AD67" s="27">
        <v>110161</v>
      </c>
      <c r="AE67" s="27" t="s">
        <v>1371</v>
      </c>
      <c r="AF67" s="432">
        <f>VLOOKUP(AD67,[5]Hoja1!$A$10:$K$1393,11,0)</f>
        <v>951916</v>
      </c>
      <c r="AG67" s="432"/>
      <c r="AH67" s="432">
        <f t="shared" si="12"/>
        <v>952</v>
      </c>
      <c r="AL67" s="448"/>
      <c r="AM67" s="467">
        <f>VLOOKUP(AD67,[6]BV201101!$A$10:$A$1236,1,0)</f>
        <v>110161</v>
      </c>
    </row>
    <row r="68" spans="1:39" s="467" customFormat="1" ht="12.75" customHeight="1">
      <c r="A68" s="487" t="str">
        <f t="shared" si="8"/>
        <v>1</v>
      </c>
      <c r="B68" s="487" t="str">
        <f t="shared" si="9"/>
        <v>10</v>
      </c>
      <c r="C68" s="487" t="str">
        <f t="shared" si="10"/>
        <v>16</v>
      </c>
      <c r="D68" s="487" t="str">
        <f t="shared" si="11"/>
        <v>0162</v>
      </c>
      <c r="E68" s="933">
        <v>523100000</v>
      </c>
      <c r="F68" s="488"/>
      <c r="G68" s="487"/>
      <c r="H68" s="487"/>
      <c r="I68" s="488"/>
      <c r="J68" s="487"/>
      <c r="K68" s="487"/>
      <c r="L68" s="488"/>
      <c r="M68" s="487"/>
      <c r="N68" s="487"/>
      <c r="O68" s="488"/>
      <c r="P68" s="489"/>
      <c r="Q68" s="489"/>
      <c r="R68" s="592"/>
      <c r="S68" s="487"/>
      <c r="T68" s="487"/>
      <c r="U68" s="488"/>
      <c r="V68" s="489"/>
      <c r="W68" s="489"/>
      <c r="X68" s="488"/>
      <c r="Y68" s="489"/>
      <c r="Z68" s="489"/>
      <c r="AA68" s="490" t="str">
        <f t="shared" si="16"/>
        <v>221</v>
      </c>
      <c r="AB68" s="489">
        <v>22</v>
      </c>
      <c r="AC68" s="489">
        <v>1</v>
      </c>
      <c r="AD68" s="27">
        <v>110162</v>
      </c>
      <c r="AE68" s="27" t="s">
        <v>3061</v>
      </c>
      <c r="AF68" s="432">
        <f>VLOOKUP(AD68,[5]Hoja1!$A$10:$K$1393,11,0)</f>
        <v>-1</v>
      </c>
      <c r="AG68" s="432"/>
      <c r="AH68" s="432">
        <f t="shared" si="12"/>
        <v>0</v>
      </c>
      <c r="AL68" s="448"/>
    </row>
    <row r="69" spans="1:39" s="467" customFormat="1" ht="12.75" customHeight="1">
      <c r="A69" s="487" t="str">
        <f t="shared" si="8"/>
        <v>1</v>
      </c>
      <c r="B69" s="487" t="str">
        <f t="shared" si="9"/>
        <v>10</v>
      </c>
      <c r="C69" s="487" t="str">
        <f t="shared" si="10"/>
        <v>16</v>
      </c>
      <c r="D69" s="487" t="str">
        <f t="shared" si="11"/>
        <v>0163</v>
      </c>
      <c r="E69" s="487">
        <v>511152000</v>
      </c>
      <c r="F69" s="488"/>
      <c r="G69" s="487"/>
      <c r="H69" s="487"/>
      <c r="I69" s="488"/>
      <c r="J69" s="487"/>
      <c r="K69" s="487"/>
      <c r="L69" s="488"/>
      <c r="M69" s="487"/>
      <c r="N69" s="487"/>
      <c r="O69" s="488"/>
      <c r="P69" s="489"/>
      <c r="Q69" s="489"/>
      <c r="R69" s="592"/>
      <c r="S69" s="487"/>
      <c r="T69" s="487"/>
      <c r="U69" s="488"/>
      <c r="V69" s="489"/>
      <c r="W69" s="489"/>
      <c r="X69" s="488"/>
      <c r="Y69" s="489"/>
      <c r="Z69" s="489"/>
      <c r="AA69" s="490" t="str">
        <f t="shared" si="16"/>
        <v>221</v>
      </c>
      <c r="AB69" s="489">
        <v>22</v>
      </c>
      <c r="AC69" s="489">
        <v>1</v>
      </c>
      <c r="AD69" s="27">
        <v>110163</v>
      </c>
      <c r="AE69" s="27" t="s">
        <v>3469</v>
      </c>
      <c r="AF69" s="432">
        <f>VLOOKUP(AD69,[5]Hoja1!$A$10:$K$1393,11,0)</f>
        <v>8432991</v>
      </c>
      <c r="AG69" s="432"/>
      <c r="AH69" s="432">
        <f t="shared" si="12"/>
        <v>8433</v>
      </c>
      <c r="AL69" s="448"/>
    </row>
    <row r="70" spans="1:39" s="467" customFormat="1" ht="12.75" customHeight="1">
      <c r="A70" s="487" t="str">
        <f t="shared" si="8"/>
        <v>1</v>
      </c>
      <c r="B70" s="487" t="str">
        <f t="shared" si="9"/>
        <v>10</v>
      </c>
      <c r="C70" s="487" t="str">
        <f t="shared" si="10"/>
        <v>20</v>
      </c>
      <c r="D70" s="487" t="str">
        <f t="shared" si="11"/>
        <v>0201</v>
      </c>
      <c r="E70" s="933">
        <v>523100000</v>
      </c>
      <c r="F70" s="488" t="str">
        <f t="shared" si="0"/>
        <v/>
      </c>
      <c r="G70" s="487"/>
      <c r="H70" s="487"/>
      <c r="I70" s="488" t="str">
        <f t="shared" si="1"/>
        <v/>
      </c>
      <c r="J70" s="487"/>
      <c r="K70" s="487"/>
      <c r="L70" s="488" t="str">
        <f t="shared" si="2"/>
        <v/>
      </c>
      <c r="M70" s="487"/>
      <c r="N70" s="487"/>
      <c r="O70" s="488" t="str">
        <f t="shared" si="3"/>
        <v/>
      </c>
      <c r="P70" s="489"/>
      <c r="Q70" s="489"/>
      <c r="R70" s="592" t="str">
        <f t="shared" si="4"/>
        <v/>
      </c>
      <c r="S70" s="487"/>
      <c r="T70" s="487"/>
      <c r="U70" s="488" t="str">
        <f t="shared" si="5"/>
        <v/>
      </c>
      <c r="V70" s="489"/>
      <c r="W70" s="489"/>
      <c r="X70" s="488" t="str">
        <f t="shared" si="6"/>
        <v/>
      </c>
      <c r="Y70" s="489"/>
      <c r="Z70" s="489"/>
      <c r="AA70" s="490" t="str">
        <f t="shared" si="15"/>
        <v>151</v>
      </c>
      <c r="AB70" s="489">
        <v>15</v>
      </c>
      <c r="AC70" s="489">
        <v>1</v>
      </c>
      <c r="AD70" s="27">
        <v>110201</v>
      </c>
      <c r="AE70" s="27" t="s">
        <v>282</v>
      </c>
      <c r="AF70" s="432">
        <f>VLOOKUP(AD70,[5]Hoja1!$A$10:$K$1393,11,0)</f>
        <v>-457366</v>
      </c>
      <c r="AG70" s="432"/>
      <c r="AH70" s="432">
        <f t="shared" si="12"/>
        <v>-457</v>
      </c>
      <c r="AL70" s="448"/>
      <c r="AM70" s="467">
        <f>VLOOKUP(AD70,[6]BV201101!$A$10:$A$1236,1,0)</f>
        <v>110201</v>
      </c>
    </row>
    <row r="71" spans="1:39" s="467" customFormat="1" ht="12.75" customHeight="1">
      <c r="A71" s="487" t="str">
        <f t="shared" si="8"/>
        <v>1</v>
      </c>
      <c r="B71" s="487" t="str">
        <f t="shared" si="9"/>
        <v>10</v>
      </c>
      <c r="C71" s="487" t="str">
        <f t="shared" si="10"/>
        <v>20</v>
      </c>
      <c r="D71" s="487" t="str">
        <f t="shared" si="11"/>
        <v>0202</v>
      </c>
      <c r="E71" s="487">
        <v>511152000</v>
      </c>
      <c r="F71" s="488" t="str">
        <f t="shared" si="0"/>
        <v/>
      </c>
      <c r="G71" s="487"/>
      <c r="H71" s="487"/>
      <c r="I71" s="488" t="str">
        <f t="shared" si="1"/>
        <v/>
      </c>
      <c r="J71" s="487"/>
      <c r="K71" s="487"/>
      <c r="L71" s="488" t="str">
        <f t="shared" si="2"/>
        <v/>
      </c>
      <c r="M71" s="487"/>
      <c r="N71" s="487"/>
      <c r="O71" s="488" t="str">
        <f t="shared" si="3"/>
        <v/>
      </c>
      <c r="P71" s="489"/>
      <c r="Q71" s="489"/>
      <c r="R71" s="592" t="str">
        <f t="shared" si="4"/>
        <v/>
      </c>
      <c r="S71" s="487"/>
      <c r="T71" s="487"/>
      <c r="U71" s="488" t="str">
        <f t="shared" si="5"/>
        <v/>
      </c>
      <c r="V71" s="489"/>
      <c r="W71" s="489"/>
      <c r="X71" s="488" t="str">
        <f t="shared" si="6"/>
        <v/>
      </c>
      <c r="Y71" s="489"/>
      <c r="Z71" s="489"/>
      <c r="AA71" s="490" t="str">
        <f>+AB71&amp;AC71</f>
        <v>221</v>
      </c>
      <c r="AB71" s="489">
        <v>22</v>
      </c>
      <c r="AC71" s="489">
        <v>1</v>
      </c>
      <c r="AD71" s="27">
        <v>110202</v>
      </c>
      <c r="AE71" s="27" t="s">
        <v>283</v>
      </c>
      <c r="AF71" s="432">
        <v>0</v>
      </c>
      <c r="AG71" s="432"/>
      <c r="AH71" s="432">
        <f t="shared" si="12"/>
        <v>0</v>
      </c>
      <c r="AL71" s="448"/>
      <c r="AM71" s="467" t="e">
        <f>VLOOKUP(AD71,[6]BV201101!$A$10:$A$1236,1,0)</f>
        <v>#N/A</v>
      </c>
    </row>
    <row r="72" spans="1:39" s="467" customFormat="1" ht="12.75" customHeight="1">
      <c r="A72" s="487" t="str">
        <f t="shared" si="8"/>
        <v>1</v>
      </c>
      <c r="B72" s="487" t="str">
        <f t="shared" si="9"/>
        <v>10</v>
      </c>
      <c r="C72" s="487" t="str">
        <f t="shared" si="10"/>
        <v>20</v>
      </c>
      <c r="D72" s="487" t="str">
        <f t="shared" si="11"/>
        <v>0203</v>
      </c>
      <c r="E72" s="487">
        <v>523100000</v>
      </c>
      <c r="F72" s="488" t="str">
        <f t="shared" ref="F72:F79" si="17">+G72&amp;H72</f>
        <v/>
      </c>
      <c r="G72" s="487"/>
      <c r="H72" s="487"/>
      <c r="I72" s="488" t="str">
        <f t="shared" ref="I72:I79" si="18">+J72&amp;K72</f>
        <v/>
      </c>
      <c r="J72" s="487"/>
      <c r="K72" s="487"/>
      <c r="L72" s="488" t="str">
        <f t="shared" ref="L72:L79" si="19">+M72&amp;N72</f>
        <v/>
      </c>
      <c r="M72" s="487"/>
      <c r="N72" s="487"/>
      <c r="O72" s="488" t="str">
        <f t="shared" ref="O72:O79" si="20">+P72&amp;Q72</f>
        <v/>
      </c>
      <c r="P72" s="489"/>
      <c r="Q72" s="489"/>
      <c r="R72" s="592" t="str">
        <f t="shared" ref="R72:R79" si="21">+S72&amp;T72</f>
        <v/>
      </c>
      <c r="S72" s="487"/>
      <c r="T72" s="487"/>
      <c r="U72" s="488" t="str">
        <f t="shared" ref="U72:U79" si="22">+V72&amp;W72</f>
        <v/>
      </c>
      <c r="V72" s="489"/>
      <c r="W72" s="489"/>
      <c r="X72" s="488" t="str">
        <f t="shared" ref="X72:X79" si="23">+Y72&amp;Z72</f>
        <v/>
      </c>
      <c r="Y72" s="489"/>
      <c r="Z72" s="489"/>
      <c r="AA72" s="490" t="str">
        <f t="shared" ref="AA72:AA78" si="24">+AB72&amp;AC72</f>
        <v>151</v>
      </c>
      <c r="AB72" s="489">
        <v>15</v>
      </c>
      <c r="AC72" s="489">
        <v>1</v>
      </c>
      <c r="AD72" s="27">
        <v>110203</v>
      </c>
      <c r="AE72" s="27" t="s">
        <v>1933</v>
      </c>
      <c r="AF72" s="432">
        <f>VLOOKUP(AD72,[5]Hoja1!$A$10:$K$1393,11,0)</f>
        <v>0</v>
      </c>
      <c r="AG72" s="432"/>
      <c r="AH72" s="432">
        <f t="shared" si="12"/>
        <v>0</v>
      </c>
      <c r="AJ72" s="491"/>
      <c r="AL72" s="448"/>
      <c r="AM72" s="467">
        <f>VLOOKUP(AD72,[6]BV201101!$A$10:$A$1236,1,0)</f>
        <v>110203</v>
      </c>
    </row>
    <row r="73" spans="1:39" s="467" customFormat="1" ht="12.75" customHeight="1">
      <c r="A73" s="487" t="str">
        <f t="shared" si="8"/>
        <v>1</v>
      </c>
      <c r="B73" s="487" t="str">
        <f t="shared" si="9"/>
        <v>10</v>
      </c>
      <c r="C73" s="487" t="str">
        <f t="shared" si="10"/>
        <v>20</v>
      </c>
      <c r="D73" s="487" t="str">
        <f t="shared" si="11"/>
        <v>0204</v>
      </c>
      <c r="E73" s="487">
        <v>511139000</v>
      </c>
      <c r="F73" s="488" t="str">
        <f t="shared" si="17"/>
        <v/>
      </c>
      <c r="G73" s="487"/>
      <c r="H73" s="487"/>
      <c r="I73" s="488" t="str">
        <f t="shared" si="18"/>
        <v/>
      </c>
      <c r="J73" s="487"/>
      <c r="K73" s="487"/>
      <c r="L73" s="488" t="str">
        <f t="shared" si="19"/>
        <v/>
      </c>
      <c r="M73" s="487"/>
      <c r="N73" s="487"/>
      <c r="O73" s="488" t="str">
        <f t="shared" si="20"/>
        <v/>
      </c>
      <c r="P73" s="489"/>
      <c r="Q73" s="489"/>
      <c r="R73" s="592" t="str">
        <f t="shared" si="21"/>
        <v/>
      </c>
      <c r="S73" s="487"/>
      <c r="T73" s="487"/>
      <c r="U73" s="488" t="str">
        <f t="shared" si="22"/>
        <v/>
      </c>
      <c r="V73" s="489"/>
      <c r="W73" s="489"/>
      <c r="X73" s="488" t="str">
        <f t="shared" si="23"/>
        <v/>
      </c>
      <c r="Y73" s="489"/>
      <c r="Z73" s="489"/>
      <c r="AA73" s="490" t="str">
        <f t="shared" si="24"/>
        <v>221</v>
      </c>
      <c r="AB73" s="489">
        <v>22</v>
      </c>
      <c r="AC73" s="489">
        <v>1</v>
      </c>
      <c r="AD73" s="27">
        <v>110204</v>
      </c>
      <c r="AE73" s="27" t="s">
        <v>372</v>
      </c>
      <c r="AF73" s="432">
        <f>VLOOKUP(AD73,[5]Hoja1!$A$10:$K$1393,11,0)</f>
        <v>0</v>
      </c>
      <c r="AG73" s="432"/>
      <c r="AH73" s="432">
        <f t="shared" si="12"/>
        <v>0</v>
      </c>
      <c r="AJ73" s="491"/>
      <c r="AL73" s="448"/>
      <c r="AM73" s="467">
        <f>VLOOKUP(AD73,[6]BV201101!$A$10:$A$1236,1,0)</f>
        <v>110204</v>
      </c>
    </row>
    <row r="74" spans="1:39" s="467" customFormat="1" ht="12.75" customHeight="1">
      <c r="A74" s="487" t="str">
        <f t="shared" si="8"/>
        <v>1</v>
      </c>
      <c r="B74" s="487" t="str">
        <f t="shared" si="9"/>
        <v>10</v>
      </c>
      <c r="C74" s="487" t="str">
        <f t="shared" si="10"/>
        <v>20</v>
      </c>
      <c r="D74" s="487" t="str">
        <f t="shared" si="11"/>
        <v>0205</v>
      </c>
      <c r="E74" s="487">
        <v>511152000</v>
      </c>
      <c r="F74" s="488" t="str">
        <f t="shared" si="17"/>
        <v/>
      </c>
      <c r="G74" s="487"/>
      <c r="H74" s="487"/>
      <c r="I74" s="488" t="str">
        <f t="shared" si="18"/>
        <v/>
      </c>
      <c r="J74" s="487"/>
      <c r="K74" s="487"/>
      <c r="L74" s="488" t="str">
        <f t="shared" si="19"/>
        <v/>
      </c>
      <c r="M74" s="487"/>
      <c r="N74" s="487"/>
      <c r="O74" s="488" t="str">
        <f t="shared" si="20"/>
        <v/>
      </c>
      <c r="P74" s="489"/>
      <c r="Q74" s="489"/>
      <c r="R74" s="592" t="str">
        <f t="shared" si="21"/>
        <v/>
      </c>
      <c r="S74" s="487"/>
      <c r="T74" s="487"/>
      <c r="U74" s="488" t="str">
        <f t="shared" si="22"/>
        <v/>
      </c>
      <c r="V74" s="489"/>
      <c r="W74" s="489"/>
      <c r="X74" s="488" t="str">
        <f t="shared" si="23"/>
        <v/>
      </c>
      <c r="Y74" s="489"/>
      <c r="Z74" s="489"/>
      <c r="AA74" s="490" t="str">
        <f t="shared" si="24"/>
        <v>221</v>
      </c>
      <c r="AB74" s="489">
        <v>22</v>
      </c>
      <c r="AC74" s="489">
        <v>1</v>
      </c>
      <c r="AD74" s="27">
        <v>110205</v>
      </c>
      <c r="AE74" s="27" t="s">
        <v>1934</v>
      </c>
      <c r="AF74" s="432">
        <f>VLOOKUP(AD74,[5]Hoja1!$A$10:$K$1393,11,0)</f>
        <v>0</v>
      </c>
      <c r="AG74" s="432"/>
      <c r="AH74" s="432">
        <f t="shared" ref="AH74:AH138" si="25">ROUND((AF74+AG74)/$AH$2,0)</f>
        <v>0</v>
      </c>
      <c r="AJ74" s="491"/>
      <c r="AL74" s="448"/>
      <c r="AM74" s="467">
        <f>VLOOKUP(AD74,[6]BV201101!$A$10:$A$1236,1,0)</f>
        <v>110205</v>
      </c>
    </row>
    <row r="75" spans="1:39" s="467" customFormat="1" ht="12.75" customHeight="1">
      <c r="A75" s="487" t="str">
        <f t="shared" si="8"/>
        <v>1</v>
      </c>
      <c r="B75" s="487" t="str">
        <f t="shared" si="9"/>
        <v>10</v>
      </c>
      <c r="C75" s="487" t="str">
        <f t="shared" si="10"/>
        <v>20</v>
      </c>
      <c r="D75" s="487" t="str">
        <f t="shared" si="11"/>
        <v>0206</v>
      </c>
      <c r="E75" s="487">
        <v>511139000</v>
      </c>
      <c r="F75" s="488" t="str">
        <f t="shared" si="17"/>
        <v/>
      </c>
      <c r="G75" s="487"/>
      <c r="H75" s="487"/>
      <c r="I75" s="488" t="str">
        <f t="shared" si="18"/>
        <v/>
      </c>
      <c r="J75" s="487"/>
      <c r="K75" s="487"/>
      <c r="L75" s="488" t="str">
        <f t="shared" si="19"/>
        <v/>
      </c>
      <c r="M75" s="487"/>
      <c r="N75" s="487"/>
      <c r="O75" s="488" t="str">
        <f t="shared" si="20"/>
        <v/>
      </c>
      <c r="P75" s="489"/>
      <c r="Q75" s="489"/>
      <c r="R75" s="592" t="str">
        <f t="shared" si="21"/>
        <v/>
      </c>
      <c r="S75" s="487"/>
      <c r="T75" s="487"/>
      <c r="U75" s="488" t="str">
        <f t="shared" si="22"/>
        <v/>
      </c>
      <c r="V75" s="489"/>
      <c r="W75" s="489"/>
      <c r="X75" s="488" t="str">
        <f t="shared" si="23"/>
        <v/>
      </c>
      <c r="Y75" s="489"/>
      <c r="Z75" s="489"/>
      <c r="AA75" s="490" t="str">
        <f t="shared" si="24"/>
        <v>221</v>
      </c>
      <c r="AB75" s="489">
        <v>22</v>
      </c>
      <c r="AC75" s="489">
        <v>1</v>
      </c>
      <c r="AD75" s="27">
        <v>110206</v>
      </c>
      <c r="AE75" s="27" t="s">
        <v>1935</v>
      </c>
      <c r="AF75" s="432">
        <f>VLOOKUP(AD75,[5]Hoja1!$A$10:$K$1393,11,0)</f>
        <v>81917</v>
      </c>
      <c r="AG75" s="432"/>
      <c r="AH75" s="432">
        <f t="shared" si="25"/>
        <v>82</v>
      </c>
      <c r="AJ75" s="491"/>
      <c r="AL75" s="448"/>
      <c r="AM75" s="467">
        <f>VLOOKUP(AD75,[6]BV201101!$A$10:$A$1236,1,0)</f>
        <v>110206</v>
      </c>
    </row>
    <row r="76" spans="1:39" s="467" customFormat="1" ht="12.75" customHeight="1">
      <c r="A76" s="487" t="str">
        <f t="shared" si="8"/>
        <v>1</v>
      </c>
      <c r="B76" s="487" t="str">
        <f t="shared" si="9"/>
        <v>10</v>
      </c>
      <c r="C76" s="487" t="str">
        <f t="shared" si="10"/>
        <v>20</v>
      </c>
      <c r="D76" s="487" t="str">
        <f t="shared" si="11"/>
        <v>0207</v>
      </c>
      <c r="E76" s="487">
        <v>511139000</v>
      </c>
      <c r="F76" s="488" t="str">
        <f t="shared" si="17"/>
        <v/>
      </c>
      <c r="G76" s="487"/>
      <c r="H76" s="487"/>
      <c r="I76" s="488" t="str">
        <f t="shared" si="18"/>
        <v/>
      </c>
      <c r="J76" s="487"/>
      <c r="K76" s="487"/>
      <c r="L76" s="488" t="str">
        <f t="shared" si="19"/>
        <v/>
      </c>
      <c r="M76" s="487"/>
      <c r="N76" s="487"/>
      <c r="O76" s="488" t="str">
        <f t="shared" si="20"/>
        <v/>
      </c>
      <c r="P76" s="489"/>
      <c r="Q76" s="489"/>
      <c r="R76" s="592" t="str">
        <f t="shared" si="21"/>
        <v/>
      </c>
      <c r="S76" s="487"/>
      <c r="T76" s="487"/>
      <c r="U76" s="488" t="str">
        <f t="shared" si="22"/>
        <v/>
      </c>
      <c r="V76" s="489"/>
      <c r="W76" s="489"/>
      <c r="X76" s="488" t="str">
        <f t="shared" si="23"/>
        <v/>
      </c>
      <c r="Y76" s="489"/>
      <c r="Z76" s="489"/>
      <c r="AA76" s="490" t="str">
        <f t="shared" si="24"/>
        <v>221</v>
      </c>
      <c r="AB76" s="489">
        <v>22</v>
      </c>
      <c r="AC76" s="489">
        <v>1</v>
      </c>
      <c r="AD76" s="27">
        <v>110207</v>
      </c>
      <c r="AE76" s="27" t="s">
        <v>1936</v>
      </c>
      <c r="AF76" s="432">
        <f>VLOOKUP(AD76,[5]Hoja1!$A$10:$K$1393,11,0)</f>
        <v>68984</v>
      </c>
      <c r="AG76" s="432"/>
      <c r="AH76" s="432">
        <f t="shared" si="25"/>
        <v>69</v>
      </c>
      <c r="AJ76" s="491"/>
      <c r="AL76" s="448"/>
      <c r="AM76" s="467">
        <f>VLOOKUP(AD76,[6]BV201101!$A$10:$A$1236,1,0)</f>
        <v>110207</v>
      </c>
    </row>
    <row r="77" spans="1:39" s="467" customFormat="1" ht="12.75" customHeight="1">
      <c r="A77" s="487" t="str">
        <f t="shared" si="8"/>
        <v>1</v>
      </c>
      <c r="B77" s="487" t="str">
        <f t="shared" si="9"/>
        <v>10</v>
      </c>
      <c r="C77" s="487" t="str">
        <f t="shared" si="10"/>
        <v>20</v>
      </c>
      <c r="D77" s="487" t="str">
        <f t="shared" si="11"/>
        <v>0208</v>
      </c>
      <c r="E77" s="487">
        <v>511139000</v>
      </c>
      <c r="F77" s="488"/>
      <c r="G77" s="487"/>
      <c r="H77" s="487"/>
      <c r="I77" s="488"/>
      <c r="J77" s="487"/>
      <c r="K77" s="487"/>
      <c r="L77" s="488"/>
      <c r="M77" s="487"/>
      <c r="N77" s="487"/>
      <c r="O77" s="488"/>
      <c r="P77" s="489"/>
      <c r="Q77" s="489"/>
      <c r="R77" s="592"/>
      <c r="S77" s="487"/>
      <c r="T77" s="487"/>
      <c r="U77" s="488"/>
      <c r="V77" s="489"/>
      <c r="W77" s="489"/>
      <c r="X77" s="488"/>
      <c r="Y77" s="489"/>
      <c r="Z77" s="489"/>
      <c r="AA77" s="490" t="str">
        <f t="shared" si="24"/>
        <v>151</v>
      </c>
      <c r="AB77" s="489">
        <v>15</v>
      </c>
      <c r="AC77" s="489">
        <v>1</v>
      </c>
      <c r="AD77" s="27">
        <v>110208</v>
      </c>
      <c r="AE77" s="27" t="s">
        <v>1937</v>
      </c>
      <c r="AF77" s="432">
        <f>VLOOKUP(AD77,[5]Hoja1!$A$10:$K$1393,11,0)</f>
        <v>1705126</v>
      </c>
      <c r="AG77" s="432"/>
      <c r="AH77" s="432">
        <f t="shared" si="25"/>
        <v>1705</v>
      </c>
      <c r="AJ77" s="491"/>
      <c r="AL77" s="448"/>
      <c r="AM77" s="467">
        <f>VLOOKUP(AD77,[6]BV201101!$A$10:$A$1236,1,0)</f>
        <v>110208</v>
      </c>
    </row>
    <row r="78" spans="1:39" s="467" customFormat="1" ht="12.75" customHeight="1">
      <c r="A78" s="487" t="str">
        <f t="shared" si="8"/>
        <v>1</v>
      </c>
      <c r="B78" s="487" t="str">
        <f t="shared" si="9"/>
        <v>10</v>
      </c>
      <c r="C78" s="487" t="str">
        <f t="shared" si="10"/>
        <v>20</v>
      </c>
      <c r="D78" s="487" t="str">
        <f t="shared" si="11"/>
        <v>0209</v>
      </c>
      <c r="E78" s="487">
        <v>511139000</v>
      </c>
      <c r="F78" s="488"/>
      <c r="G78" s="487"/>
      <c r="H78" s="487"/>
      <c r="I78" s="488"/>
      <c r="J78" s="487"/>
      <c r="K78" s="487"/>
      <c r="L78" s="488"/>
      <c r="M78" s="487"/>
      <c r="N78" s="487"/>
      <c r="O78" s="488"/>
      <c r="P78" s="489"/>
      <c r="Q78" s="489"/>
      <c r="R78" s="592"/>
      <c r="S78" s="487"/>
      <c r="T78" s="487"/>
      <c r="U78" s="488"/>
      <c r="V78" s="489"/>
      <c r="W78" s="489"/>
      <c r="X78" s="488"/>
      <c r="Y78" s="489"/>
      <c r="Z78" s="489"/>
      <c r="AA78" s="490" t="str">
        <f t="shared" si="24"/>
        <v>151</v>
      </c>
      <c r="AB78" s="489">
        <v>15</v>
      </c>
      <c r="AC78" s="489">
        <v>1</v>
      </c>
      <c r="AD78" s="27">
        <v>110209</v>
      </c>
      <c r="AE78" s="27" t="s">
        <v>2606</v>
      </c>
      <c r="AF78" s="432">
        <f>VLOOKUP(AD78,[5]Hoja1!$A$10:$K$1393,11,0)</f>
        <v>15837</v>
      </c>
      <c r="AG78" s="432"/>
      <c r="AH78" s="432">
        <f t="shared" si="25"/>
        <v>16</v>
      </c>
      <c r="AJ78" s="491"/>
      <c r="AL78" s="448"/>
    </row>
    <row r="79" spans="1:39" s="467" customFormat="1" ht="12.75" customHeight="1">
      <c r="A79" s="487" t="str">
        <f t="shared" si="8"/>
        <v>1</v>
      </c>
      <c r="B79" s="487" t="str">
        <f t="shared" si="9"/>
        <v>10</v>
      </c>
      <c r="C79" s="487" t="str">
        <f t="shared" si="10"/>
        <v>21</v>
      </c>
      <c r="D79" s="487" t="str">
        <f t="shared" si="11"/>
        <v>0210</v>
      </c>
      <c r="E79" s="487">
        <v>511152000</v>
      </c>
      <c r="F79" s="488" t="str">
        <f t="shared" si="17"/>
        <v/>
      </c>
      <c r="G79" s="487"/>
      <c r="H79" s="487"/>
      <c r="I79" s="488" t="str">
        <f t="shared" si="18"/>
        <v/>
      </c>
      <c r="J79" s="487"/>
      <c r="K79" s="487"/>
      <c r="L79" s="488" t="str">
        <f t="shared" si="19"/>
        <v/>
      </c>
      <c r="M79" s="487"/>
      <c r="N79" s="487"/>
      <c r="O79" s="488" t="str">
        <f t="shared" si="20"/>
        <v/>
      </c>
      <c r="P79" s="489"/>
      <c r="Q79" s="489"/>
      <c r="R79" s="592" t="str">
        <f t="shared" si="21"/>
        <v/>
      </c>
      <c r="S79" s="487"/>
      <c r="T79" s="487"/>
      <c r="U79" s="488" t="str">
        <f t="shared" si="22"/>
        <v/>
      </c>
      <c r="V79" s="489"/>
      <c r="W79" s="489"/>
      <c r="X79" s="488" t="str">
        <f t="shared" si="23"/>
        <v/>
      </c>
      <c r="Y79" s="489"/>
      <c r="Z79" s="489"/>
      <c r="AA79" s="490" t="str">
        <f t="shared" ref="AA79:AA85" si="26">+AB79&amp;AC79</f>
        <v>221</v>
      </c>
      <c r="AB79" s="489">
        <v>22</v>
      </c>
      <c r="AC79" s="489">
        <v>1</v>
      </c>
      <c r="AD79" s="27">
        <v>110210</v>
      </c>
      <c r="AE79" s="27" t="s">
        <v>1938</v>
      </c>
      <c r="AF79" s="432">
        <v>0</v>
      </c>
      <c r="AG79" s="432"/>
      <c r="AH79" s="432">
        <f t="shared" si="25"/>
        <v>0</v>
      </c>
      <c r="AJ79" s="491"/>
      <c r="AL79" s="448"/>
      <c r="AM79" s="467" t="e">
        <f>VLOOKUP(AD79,[6]BV201101!$A$10:$A$1236,1,0)</f>
        <v>#N/A</v>
      </c>
    </row>
    <row r="80" spans="1:39" s="467" customFormat="1" ht="12.75" customHeight="1">
      <c r="A80" s="487" t="str">
        <f t="shared" si="8"/>
        <v>1</v>
      </c>
      <c r="B80" s="487" t="str">
        <f t="shared" si="9"/>
        <v>10</v>
      </c>
      <c r="C80" s="487" t="str">
        <f t="shared" si="10"/>
        <v>21</v>
      </c>
      <c r="D80" s="487" t="str">
        <f t="shared" si="11"/>
        <v>0211</v>
      </c>
      <c r="E80" s="487">
        <v>511152000</v>
      </c>
      <c r="F80" s="488"/>
      <c r="G80" s="487"/>
      <c r="H80" s="487"/>
      <c r="I80" s="488"/>
      <c r="J80" s="487"/>
      <c r="K80" s="487"/>
      <c r="L80" s="488"/>
      <c r="M80" s="487"/>
      <c r="N80" s="487"/>
      <c r="O80" s="488"/>
      <c r="P80" s="489"/>
      <c r="Q80" s="489"/>
      <c r="R80" s="592"/>
      <c r="S80" s="487"/>
      <c r="T80" s="487"/>
      <c r="U80" s="488"/>
      <c r="V80" s="489"/>
      <c r="W80" s="489"/>
      <c r="X80" s="488"/>
      <c r="Y80" s="489"/>
      <c r="Z80" s="489"/>
      <c r="AA80" s="490" t="str">
        <f t="shared" si="26"/>
        <v>221</v>
      </c>
      <c r="AB80" s="489">
        <v>22</v>
      </c>
      <c r="AC80" s="489">
        <v>1</v>
      </c>
      <c r="AD80" s="27">
        <v>110211</v>
      </c>
      <c r="AE80" s="27" t="s">
        <v>1939</v>
      </c>
      <c r="AF80" s="432">
        <v>0</v>
      </c>
      <c r="AG80" s="432"/>
      <c r="AH80" s="432">
        <f t="shared" si="25"/>
        <v>0</v>
      </c>
      <c r="AJ80" s="491"/>
      <c r="AL80" s="448"/>
      <c r="AM80" s="467" t="e">
        <f>VLOOKUP(AD80,[6]BV201101!$A$10:$A$1236,1,0)</f>
        <v>#N/A</v>
      </c>
    </row>
    <row r="81" spans="1:39" s="467" customFormat="1" ht="12.75" customHeight="1">
      <c r="A81" s="487" t="str">
        <f t="shared" si="8"/>
        <v>1</v>
      </c>
      <c r="B81" s="487" t="str">
        <f t="shared" si="9"/>
        <v>10</v>
      </c>
      <c r="C81" s="487" t="str">
        <f t="shared" si="10"/>
        <v>21</v>
      </c>
      <c r="D81" s="487" t="str">
        <f t="shared" si="11"/>
        <v>0212</v>
      </c>
      <c r="E81" s="487">
        <v>511152000</v>
      </c>
      <c r="F81" s="488"/>
      <c r="G81" s="487"/>
      <c r="H81" s="487"/>
      <c r="I81" s="488"/>
      <c r="J81" s="487"/>
      <c r="K81" s="487"/>
      <c r="L81" s="488"/>
      <c r="M81" s="487"/>
      <c r="N81" s="487"/>
      <c r="O81" s="488"/>
      <c r="P81" s="489"/>
      <c r="Q81" s="489"/>
      <c r="R81" s="592"/>
      <c r="S81" s="487"/>
      <c r="T81" s="487"/>
      <c r="U81" s="488"/>
      <c r="V81" s="489"/>
      <c r="W81" s="489"/>
      <c r="X81" s="488"/>
      <c r="Y81" s="489"/>
      <c r="Z81" s="489"/>
      <c r="AA81" s="490" t="str">
        <f t="shared" si="26"/>
        <v>221</v>
      </c>
      <c r="AB81" s="489">
        <v>22</v>
      </c>
      <c r="AC81" s="489">
        <v>1</v>
      </c>
      <c r="AD81" s="27">
        <v>110212</v>
      </c>
      <c r="AE81" s="27" t="s">
        <v>1940</v>
      </c>
      <c r="AF81" s="432">
        <v>0</v>
      </c>
      <c r="AG81" s="432"/>
      <c r="AH81" s="432">
        <f t="shared" si="25"/>
        <v>0</v>
      </c>
      <c r="AJ81" s="491"/>
      <c r="AL81" s="448"/>
      <c r="AM81" s="467" t="e">
        <f>VLOOKUP(AD81,[6]BV201101!$A$10:$A$1236,1,0)</f>
        <v>#N/A</v>
      </c>
    </row>
    <row r="82" spans="1:39" s="467" customFormat="1" ht="12.75" customHeight="1">
      <c r="A82" s="487" t="str">
        <f t="shared" si="8"/>
        <v>1</v>
      </c>
      <c r="B82" s="487" t="str">
        <f t="shared" si="9"/>
        <v>10</v>
      </c>
      <c r="C82" s="487" t="str">
        <f t="shared" si="10"/>
        <v>21</v>
      </c>
      <c r="D82" s="487" t="str">
        <f t="shared" si="11"/>
        <v>0213</v>
      </c>
      <c r="E82" s="487">
        <v>511152000</v>
      </c>
      <c r="F82" s="488"/>
      <c r="G82" s="487"/>
      <c r="H82" s="487"/>
      <c r="I82" s="488"/>
      <c r="J82" s="487"/>
      <c r="K82" s="487"/>
      <c r="L82" s="488"/>
      <c r="M82" s="487"/>
      <c r="N82" s="487"/>
      <c r="O82" s="488"/>
      <c r="P82" s="489"/>
      <c r="Q82" s="489"/>
      <c r="R82" s="592"/>
      <c r="S82" s="487"/>
      <c r="T82" s="487"/>
      <c r="U82" s="488"/>
      <c r="V82" s="489"/>
      <c r="W82" s="489"/>
      <c r="X82" s="488"/>
      <c r="Y82" s="489"/>
      <c r="Z82" s="489"/>
      <c r="AA82" s="490" t="str">
        <f t="shared" si="26"/>
        <v>221</v>
      </c>
      <c r="AB82" s="489">
        <v>22</v>
      </c>
      <c r="AC82" s="489">
        <v>1</v>
      </c>
      <c r="AD82" s="27">
        <v>110213</v>
      </c>
      <c r="AE82" s="27" t="s">
        <v>726</v>
      </c>
      <c r="AF82" s="432">
        <v>0</v>
      </c>
      <c r="AG82" s="432"/>
      <c r="AH82" s="432">
        <f t="shared" si="25"/>
        <v>0</v>
      </c>
      <c r="AJ82" s="491"/>
      <c r="AL82" s="448"/>
      <c r="AM82" s="467" t="e">
        <f>VLOOKUP(AD82,[6]BV201101!$A$10:$A$1236,1,0)</f>
        <v>#N/A</v>
      </c>
    </row>
    <row r="83" spans="1:39" s="467" customFormat="1" ht="12.75" customHeight="1">
      <c r="A83" s="487" t="str">
        <f t="shared" si="8"/>
        <v>1</v>
      </c>
      <c r="B83" s="487" t="str">
        <f t="shared" si="9"/>
        <v>10</v>
      </c>
      <c r="C83" s="487" t="str">
        <f t="shared" si="10"/>
        <v>21</v>
      </c>
      <c r="D83" s="487" t="str">
        <f t="shared" si="11"/>
        <v>0214</v>
      </c>
      <c r="E83" s="487">
        <v>511152000</v>
      </c>
      <c r="F83" s="488"/>
      <c r="G83" s="487"/>
      <c r="H83" s="487"/>
      <c r="I83" s="488"/>
      <c r="J83" s="487"/>
      <c r="K83" s="487"/>
      <c r="L83" s="488"/>
      <c r="M83" s="487"/>
      <c r="N83" s="487"/>
      <c r="O83" s="488"/>
      <c r="P83" s="489"/>
      <c r="Q83" s="489"/>
      <c r="R83" s="592"/>
      <c r="S83" s="487"/>
      <c r="T83" s="487"/>
      <c r="U83" s="488"/>
      <c r="V83" s="489"/>
      <c r="W83" s="489"/>
      <c r="X83" s="488"/>
      <c r="Y83" s="489"/>
      <c r="Z83" s="489"/>
      <c r="AA83" s="490" t="str">
        <f t="shared" si="26"/>
        <v>221</v>
      </c>
      <c r="AB83" s="489">
        <v>22</v>
      </c>
      <c r="AC83" s="489">
        <v>1</v>
      </c>
      <c r="AD83" s="27">
        <v>110214</v>
      </c>
      <c r="AE83" s="27" t="s">
        <v>1941</v>
      </c>
      <c r="AF83" s="432">
        <v>0</v>
      </c>
      <c r="AG83" s="432"/>
      <c r="AH83" s="432">
        <f t="shared" si="25"/>
        <v>0</v>
      </c>
      <c r="AJ83" s="491"/>
      <c r="AL83" s="448"/>
      <c r="AM83" s="467" t="e">
        <f>VLOOKUP(AD83,[6]BV201101!$A$10:$A$1236,1,0)</f>
        <v>#N/A</v>
      </c>
    </row>
    <row r="84" spans="1:39" s="467" customFormat="1" ht="12.75" customHeight="1">
      <c r="A84" s="487" t="str">
        <f t="shared" si="8"/>
        <v>1</v>
      </c>
      <c r="B84" s="487" t="str">
        <f t="shared" si="9"/>
        <v>10</v>
      </c>
      <c r="C84" s="487" t="str">
        <f t="shared" si="10"/>
        <v>21</v>
      </c>
      <c r="D84" s="487" t="str">
        <f t="shared" si="11"/>
        <v>0215</v>
      </c>
      <c r="E84" s="487">
        <v>511152000</v>
      </c>
      <c r="F84" s="488"/>
      <c r="G84" s="487"/>
      <c r="H84" s="487"/>
      <c r="I84" s="488"/>
      <c r="J84" s="487"/>
      <c r="K84" s="487"/>
      <c r="L84" s="488"/>
      <c r="M84" s="487"/>
      <c r="N84" s="487"/>
      <c r="O84" s="488"/>
      <c r="P84" s="489"/>
      <c r="Q84" s="489"/>
      <c r="R84" s="592"/>
      <c r="S84" s="487"/>
      <c r="T84" s="487"/>
      <c r="U84" s="488"/>
      <c r="V84" s="489"/>
      <c r="W84" s="489"/>
      <c r="X84" s="488"/>
      <c r="Y84" s="489"/>
      <c r="Z84" s="489"/>
      <c r="AA84" s="490" t="str">
        <f t="shared" si="26"/>
        <v>221</v>
      </c>
      <c r="AB84" s="489">
        <v>22</v>
      </c>
      <c r="AC84" s="489">
        <v>1</v>
      </c>
      <c r="AD84" s="27">
        <v>110215</v>
      </c>
      <c r="AE84" s="27" t="s">
        <v>727</v>
      </c>
      <c r="AF84" s="432">
        <v>0</v>
      </c>
      <c r="AG84" s="432"/>
      <c r="AH84" s="432">
        <f t="shared" si="25"/>
        <v>0</v>
      </c>
      <c r="AJ84" s="491"/>
      <c r="AL84" s="448"/>
      <c r="AM84" s="467" t="e">
        <f>VLOOKUP(AD84,[6]BV201101!$A$10:$A$1236,1,0)</f>
        <v>#N/A</v>
      </c>
    </row>
    <row r="85" spans="1:39" s="467" customFormat="1" ht="12.75" customHeight="1">
      <c r="A85" s="487" t="str">
        <f t="shared" si="8"/>
        <v>1</v>
      </c>
      <c r="B85" s="487" t="str">
        <f t="shared" si="9"/>
        <v>10</v>
      </c>
      <c r="C85" s="487" t="str">
        <f t="shared" si="10"/>
        <v>21</v>
      </c>
      <c r="D85" s="487" t="str">
        <f t="shared" si="11"/>
        <v>0218</v>
      </c>
      <c r="E85" s="487">
        <v>511139000</v>
      </c>
      <c r="F85" s="488"/>
      <c r="G85" s="487"/>
      <c r="H85" s="487"/>
      <c r="I85" s="488"/>
      <c r="J85" s="487"/>
      <c r="K85" s="487"/>
      <c r="L85" s="488"/>
      <c r="M85" s="487"/>
      <c r="N85" s="487"/>
      <c r="O85" s="488"/>
      <c r="P85" s="489"/>
      <c r="Q85" s="489"/>
      <c r="R85" s="592"/>
      <c r="S85" s="487"/>
      <c r="T85" s="487"/>
      <c r="U85" s="488"/>
      <c r="V85" s="489"/>
      <c r="W85" s="489"/>
      <c r="X85" s="488"/>
      <c r="Y85" s="489"/>
      <c r="Z85" s="489"/>
      <c r="AA85" s="490" t="str">
        <f t="shared" si="26"/>
        <v>151</v>
      </c>
      <c r="AB85" s="489">
        <v>15</v>
      </c>
      <c r="AC85" s="489">
        <v>1</v>
      </c>
      <c r="AD85" s="27">
        <v>110218</v>
      </c>
      <c r="AE85" s="27" t="s">
        <v>2606</v>
      </c>
      <c r="AF85" s="432">
        <f>VLOOKUP(AD85,[5]Hoja1!$A$10:$K$1393,11,0)</f>
        <v>0</v>
      </c>
      <c r="AG85" s="432"/>
      <c r="AH85" s="432">
        <f t="shared" si="25"/>
        <v>0</v>
      </c>
      <c r="AJ85" s="491"/>
      <c r="AL85" s="448"/>
    </row>
    <row r="86" spans="1:39" s="467" customFormat="1" ht="12.75" customHeight="1">
      <c r="A86" s="487" t="str">
        <f t="shared" si="8"/>
        <v>1</v>
      </c>
      <c r="B86" s="487" t="str">
        <f t="shared" si="9"/>
        <v>10</v>
      </c>
      <c r="C86" s="487" t="str">
        <f t="shared" si="10"/>
        <v>21</v>
      </c>
      <c r="D86" s="487" t="str">
        <f t="shared" si="11"/>
        <v>0219</v>
      </c>
      <c r="E86" s="487">
        <v>511139000</v>
      </c>
      <c r="F86" s="488"/>
      <c r="G86" s="487"/>
      <c r="H86" s="487"/>
      <c r="I86" s="488"/>
      <c r="J86" s="487"/>
      <c r="K86" s="487"/>
      <c r="L86" s="488"/>
      <c r="M86" s="487"/>
      <c r="N86" s="487"/>
      <c r="O86" s="488"/>
      <c r="P86" s="489"/>
      <c r="Q86" s="489"/>
      <c r="R86" s="592"/>
      <c r="S86" s="487"/>
      <c r="T86" s="487"/>
      <c r="U86" s="488"/>
      <c r="V86" s="489"/>
      <c r="W86" s="489"/>
      <c r="X86" s="488"/>
      <c r="Y86" s="489"/>
      <c r="Z86" s="489"/>
      <c r="AA86" s="490"/>
      <c r="AB86" s="489"/>
      <c r="AC86" s="489"/>
      <c r="AD86" s="27">
        <v>110219</v>
      </c>
      <c r="AE86" s="27" t="s">
        <v>3083</v>
      </c>
      <c r="AF86" s="432">
        <f>VLOOKUP(AD86,[5]Hoja1!$A$10:$K$1393,11,0)</f>
        <v>0</v>
      </c>
      <c r="AG86" s="432"/>
      <c r="AH86" s="432">
        <f t="shared" si="25"/>
        <v>0</v>
      </c>
      <c r="AJ86" s="491"/>
      <c r="AL86" s="448"/>
    </row>
    <row r="87" spans="1:39" s="467" customFormat="1" ht="12.75" customHeight="1">
      <c r="A87" s="487" t="str">
        <f t="shared" si="8"/>
        <v>1</v>
      </c>
      <c r="B87" s="487" t="str">
        <f t="shared" si="9"/>
        <v>10</v>
      </c>
      <c r="C87" s="487" t="str">
        <f t="shared" si="10"/>
        <v>30</v>
      </c>
      <c r="D87" s="487" t="str">
        <f t="shared" si="11"/>
        <v>0301</v>
      </c>
      <c r="E87" s="487"/>
      <c r="F87" s="488" t="str">
        <f t="shared" si="0"/>
        <v/>
      </c>
      <c r="G87" s="487"/>
      <c r="H87" s="487"/>
      <c r="I87" s="488" t="str">
        <f t="shared" si="1"/>
        <v/>
      </c>
      <c r="J87" s="487"/>
      <c r="K87" s="487"/>
      <c r="L87" s="488" t="str">
        <f t="shared" si="2"/>
        <v/>
      </c>
      <c r="M87" s="487"/>
      <c r="N87" s="487"/>
      <c r="O87" s="488" t="str">
        <f t="shared" si="3"/>
        <v/>
      </c>
      <c r="P87" s="489"/>
      <c r="Q87" s="489"/>
      <c r="R87" s="592" t="str">
        <f t="shared" si="4"/>
        <v/>
      </c>
      <c r="S87" s="487"/>
      <c r="T87" s="487"/>
      <c r="U87" s="488" t="str">
        <f t="shared" si="5"/>
        <v/>
      </c>
      <c r="V87" s="489"/>
      <c r="W87" s="489"/>
      <c r="X87" s="488" t="str">
        <f t="shared" si="6"/>
        <v/>
      </c>
      <c r="Y87" s="489"/>
      <c r="Z87" s="489"/>
      <c r="AA87" s="490" t="str">
        <f t="shared" ref="AA87:AA103" si="27">+AB87&amp;AC87</f>
        <v/>
      </c>
      <c r="AB87" s="489"/>
      <c r="AC87" s="489"/>
      <c r="AD87" s="27">
        <v>110301</v>
      </c>
      <c r="AE87" s="27" t="s">
        <v>882</v>
      </c>
      <c r="AF87" s="432">
        <v>0</v>
      </c>
      <c r="AG87" s="432"/>
      <c r="AH87" s="432">
        <f t="shared" si="25"/>
        <v>0</v>
      </c>
      <c r="AL87" s="448"/>
      <c r="AM87" s="467" t="e">
        <f>VLOOKUP(AD87,[6]BV201101!$A$10:$A$1236,1,0)</f>
        <v>#N/A</v>
      </c>
    </row>
    <row r="88" spans="1:39" s="467" customFormat="1" ht="12.75" customHeight="1">
      <c r="A88" s="487" t="str">
        <f t="shared" si="8"/>
        <v>1</v>
      </c>
      <c r="B88" s="487" t="str">
        <f t="shared" si="9"/>
        <v>10</v>
      </c>
      <c r="C88" s="487" t="str">
        <f t="shared" si="10"/>
        <v>30</v>
      </c>
      <c r="D88" s="487" t="str">
        <f t="shared" si="11"/>
        <v>0302</v>
      </c>
      <c r="E88" s="487"/>
      <c r="F88" s="488" t="str">
        <f t="shared" si="0"/>
        <v/>
      </c>
      <c r="G88" s="487"/>
      <c r="H88" s="487"/>
      <c r="I88" s="488" t="str">
        <f t="shared" si="1"/>
        <v/>
      </c>
      <c r="J88" s="487"/>
      <c r="K88" s="487"/>
      <c r="L88" s="488" t="str">
        <f t="shared" si="2"/>
        <v/>
      </c>
      <c r="M88" s="487"/>
      <c r="N88" s="487"/>
      <c r="O88" s="488" t="str">
        <f t="shared" si="3"/>
        <v/>
      </c>
      <c r="P88" s="489"/>
      <c r="Q88" s="489"/>
      <c r="R88" s="592" t="str">
        <f t="shared" si="4"/>
        <v/>
      </c>
      <c r="S88" s="487"/>
      <c r="T88" s="487"/>
      <c r="U88" s="488" t="str">
        <f t="shared" si="5"/>
        <v/>
      </c>
      <c r="V88" s="489"/>
      <c r="W88" s="489"/>
      <c r="X88" s="488" t="str">
        <f t="shared" si="6"/>
        <v/>
      </c>
      <c r="Y88" s="489"/>
      <c r="Z88" s="489"/>
      <c r="AA88" s="490" t="str">
        <f t="shared" si="27"/>
        <v/>
      </c>
      <c r="AB88" s="489"/>
      <c r="AC88" s="489"/>
      <c r="AD88" s="27">
        <v>110302</v>
      </c>
      <c r="AE88" s="27" t="s">
        <v>883</v>
      </c>
      <c r="AF88" s="432">
        <v>0</v>
      </c>
      <c r="AG88" s="432"/>
      <c r="AH88" s="432">
        <f t="shared" si="25"/>
        <v>0</v>
      </c>
      <c r="AJ88" s="445"/>
      <c r="AL88" s="448"/>
      <c r="AM88" s="467" t="e">
        <f>VLOOKUP(AD88,[6]BV201101!$A$10:$A$1236,1,0)</f>
        <v>#N/A</v>
      </c>
    </row>
    <row r="89" spans="1:39" s="467" customFormat="1" ht="12.75" customHeight="1">
      <c r="A89" s="487" t="str">
        <f t="shared" si="8"/>
        <v>1</v>
      </c>
      <c r="B89" s="487" t="str">
        <f t="shared" si="9"/>
        <v>10</v>
      </c>
      <c r="C89" s="487" t="str">
        <f t="shared" si="10"/>
        <v>30</v>
      </c>
      <c r="D89" s="487" t="str">
        <f t="shared" si="11"/>
        <v>0303</v>
      </c>
      <c r="E89" s="487"/>
      <c r="F89" s="488" t="str">
        <f t="shared" si="0"/>
        <v/>
      </c>
      <c r="G89" s="487"/>
      <c r="H89" s="487"/>
      <c r="I89" s="488" t="str">
        <f t="shared" si="1"/>
        <v/>
      </c>
      <c r="J89" s="487"/>
      <c r="K89" s="487"/>
      <c r="L89" s="488" t="str">
        <f t="shared" si="2"/>
        <v/>
      </c>
      <c r="M89" s="487"/>
      <c r="N89" s="487"/>
      <c r="O89" s="488" t="str">
        <f t="shared" si="3"/>
        <v/>
      </c>
      <c r="P89" s="489"/>
      <c r="Q89" s="489"/>
      <c r="R89" s="592" t="str">
        <f t="shared" si="4"/>
        <v/>
      </c>
      <c r="S89" s="487"/>
      <c r="T89" s="487"/>
      <c r="U89" s="488" t="str">
        <f t="shared" si="5"/>
        <v/>
      </c>
      <c r="V89" s="489"/>
      <c r="W89" s="489"/>
      <c r="X89" s="488" t="str">
        <f t="shared" si="6"/>
        <v/>
      </c>
      <c r="Y89" s="489"/>
      <c r="Z89" s="489"/>
      <c r="AA89" s="490" t="str">
        <f t="shared" si="27"/>
        <v/>
      </c>
      <c r="AB89" s="489"/>
      <c r="AC89" s="489"/>
      <c r="AD89" s="27">
        <v>110303</v>
      </c>
      <c r="AE89" s="27" t="s">
        <v>884</v>
      </c>
      <c r="AF89" s="432">
        <v>0</v>
      </c>
      <c r="AG89" s="432"/>
      <c r="AH89" s="432">
        <f t="shared" si="25"/>
        <v>0</v>
      </c>
      <c r="AL89" s="448"/>
      <c r="AM89" s="467" t="e">
        <f>VLOOKUP(AD89,[6]BV201101!$A$10:$A$1236,1,0)</f>
        <v>#N/A</v>
      </c>
    </row>
    <row r="90" spans="1:39" s="467" customFormat="1" ht="12.75" customHeight="1">
      <c r="A90" s="487" t="str">
        <f t="shared" si="8"/>
        <v>1</v>
      </c>
      <c r="B90" s="487" t="str">
        <f t="shared" si="9"/>
        <v>10</v>
      </c>
      <c r="C90" s="487" t="str">
        <f t="shared" si="10"/>
        <v>40</v>
      </c>
      <c r="D90" s="487" t="str">
        <f t="shared" si="11"/>
        <v>0401</v>
      </c>
      <c r="E90" s="487">
        <v>511112000</v>
      </c>
      <c r="F90" s="488" t="str">
        <f t="shared" si="0"/>
        <v/>
      </c>
      <c r="G90" s="487"/>
      <c r="H90" s="487"/>
      <c r="I90" s="488" t="str">
        <f t="shared" si="1"/>
        <v/>
      </c>
      <c r="J90" s="487"/>
      <c r="K90" s="487"/>
      <c r="L90" s="488" t="str">
        <f t="shared" si="2"/>
        <v/>
      </c>
      <c r="M90" s="487"/>
      <c r="N90" s="487"/>
      <c r="O90" s="488" t="str">
        <f t="shared" si="3"/>
        <v/>
      </c>
      <c r="P90" s="489"/>
      <c r="Q90" s="489"/>
      <c r="R90" s="592" t="str">
        <f t="shared" si="4"/>
        <v/>
      </c>
      <c r="S90" s="487"/>
      <c r="T90" s="487"/>
      <c r="U90" s="488" t="str">
        <f t="shared" si="5"/>
        <v/>
      </c>
      <c r="V90" s="489"/>
      <c r="W90" s="489"/>
      <c r="X90" s="488" t="str">
        <f t="shared" si="6"/>
        <v/>
      </c>
      <c r="Y90" s="489"/>
      <c r="Z90" s="489"/>
      <c r="AA90" s="490" t="str">
        <f t="shared" si="27"/>
        <v>131</v>
      </c>
      <c r="AB90" s="489">
        <v>13</v>
      </c>
      <c r="AC90" s="489">
        <v>1</v>
      </c>
      <c r="AD90" s="27">
        <v>110401</v>
      </c>
      <c r="AE90" s="27" t="s">
        <v>1942</v>
      </c>
      <c r="AF90" s="432">
        <f>VLOOKUP(AD90,[5]Hoja1!$A$10:$K$1393,11,0)</f>
        <v>4577842053</v>
      </c>
      <c r="AG90" s="1203">
        <v>0</v>
      </c>
      <c r="AH90" s="432">
        <f t="shared" si="25"/>
        <v>4577842</v>
      </c>
      <c r="AI90" s="445">
        <f>+AG90+AG100+AG109+AG124</f>
        <v>30783870441</v>
      </c>
      <c r="AL90" s="448"/>
      <c r="AM90" s="467">
        <f>VLOOKUP(AD90,[6]BV201101!$A$10:$A$1236,1,0)</f>
        <v>110401</v>
      </c>
    </row>
    <row r="91" spans="1:39" s="467" customFormat="1" ht="12.75" customHeight="1">
      <c r="A91" s="487" t="str">
        <f t="shared" si="8"/>
        <v>1</v>
      </c>
      <c r="B91" s="487" t="str">
        <f t="shared" si="9"/>
        <v>10</v>
      </c>
      <c r="C91" s="487" t="str">
        <f t="shared" si="10"/>
        <v>40</v>
      </c>
      <c r="D91" s="487" t="str">
        <f t="shared" si="11"/>
        <v>0402</v>
      </c>
      <c r="E91" s="487">
        <v>511112000</v>
      </c>
      <c r="F91" s="488"/>
      <c r="G91" s="487"/>
      <c r="H91" s="487"/>
      <c r="I91" s="488"/>
      <c r="J91" s="487"/>
      <c r="K91" s="487"/>
      <c r="L91" s="488"/>
      <c r="M91" s="487"/>
      <c r="N91" s="487"/>
      <c r="O91" s="488"/>
      <c r="P91" s="489"/>
      <c r="Q91" s="489"/>
      <c r="R91" s="592"/>
      <c r="S91" s="487"/>
      <c r="T91" s="487"/>
      <c r="U91" s="488"/>
      <c r="V91" s="489"/>
      <c r="W91" s="489"/>
      <c r="X91" s="488"/>
      <c r="Y91" s="489"/>
      <c r="Z91" s="489"/>
      <c r="AA91" s="490" t="str">
        <f t="shared" si="27"/>
        <v>131</v>
      </c>
      <c r="AB91" s="489">
        <v>13</v>
      </c>
      <c r="AC91" s="489">
        <v>1</v>
      </c>
      <c r="AD91" s="27">
        <v>110402</v>
      </c>
      <c r="AE91" s="27" t="s">
        <v>689</v>
      </c>
      <c r="AF91" s="432">
        <f>VLOOKUP(AD91,[5]Hoja1!$A$10:$K$1393,11,0)</f>
        <v>4329545707</v>
      </c>
      <c r="AG91" s="432">
        <v>0</v>
      </c>
      <c r="AH91" s="432">
        <f t="shared" si="25"/>
        <v>4329546</v>
      </c>
      <c r="AL91" s="448"/>
      <c r="AM91" s="467">
        <f>VLOOKUP(AD91,[6]BV201101!$A$10:$A$1236,1,0)</f>
        <v>110402</v>
      </c>
    </row>
    <row r="92" spans="1:39" s="467" customFormat="1" ht="12.75" customHeight="1">
      <c r="A92" s="487" t="str">
        <f t="shared" si="8"/>
        <v>1</v>
      </c>
      <c r="B92" s="487" t="str">
        <f t="shared" si="9"/>
        <v>10</v>
      </c>
      <c r="C92" s="487" t="str">
        <f t="shared" si="10"/>
        <v>50</v>
      </c>
      <c r="D92" s="487" t="str">
        <f t="shared" si="11"/>
        <v>0501</v>
      </c>
      <c r="E92" s="487">
        <v>511112000</v>
      </c>
      <c r="F92" s="488" t="str">
        <f t="shared" si="0"/>
        <v/>
      </c>
      <c r="G92" s="487"/>
      <c r="H92" s="487"/>
      <c r="I92" s="488" t="str">
        <f t="shared" si="1"/>
        <v/>
      </c>
      <c r="J92" s="487"/>
      <c r="K92" s="487"/>
      <c r="L92" s="488" t="str">
        <f t="shared" si="2"/>
        <v/>
      </c>
      <c r="M92" s="487"/>
      <c r="N92" s="487"/>
      <c r="O92" s="488" t="str">
        <f t="shared" si="3"/>
        <v/>
      </c>
      <c r="P92" s="489"/>
      <c r="Q92" s="489"/>
      <c r="R92" s="592" t="str">
        <f t="shared" si="4"/>
        <v/>
      </c>
      <c r="S92" s="487"/>
      <c r="T92" s="487"/>
      <c r="U92" s="488" t="str">
        <f t="shared" si="5"/>
        <v/>
      </c>
      <c r="V92" s="489"/>
      <c r="W92" s="489"/>
      <c r="X92" s="488" t="str">
        <f t="shared" si="6"/>
        <v/>
      </c>
      <c r="Y92" s="489"/>
      <c r="Z92" s="489"/>
      <c r="AA92" s="490" t="str">
        <f t="shared" si="27"/>
        <v>131</v>
      </c>
      <c r="AB92" s="489">
        <v>13</v>
      </c>
      <c r="AC92" s="489">
        <v>1</v>
      </c>
      <c r="AD92" s="27">
        <v>110501</v>
      </c>
      <c r="AE92" s="27" t="s">
        <v>909</v>
      </c>
      <c r="AF92" s="432">
        <f>VLOOKUP(AD92,[5]Hoja1!$A$10:$K$1393,11,0)</f>
        <v>29117681111</v>
      </c>
      <c r="AG92" s="432">
        <v>0</v>
      </c>
      <c r="AH92" s="432">
        <f t="shared" si="25"/>
        <v>29117681</v>
      </c>
      <c r="AL92" s="448"/>
      <c r="AM92" s="467">
        <f>VLOOKUP(AD92,[6]BV201101!$A$10:$A$1236,1,0)</f>
        <v>110501</v>
      </c>
    </row>
    <row r="93" spans="1:39" s="467" customFormat="1" ht="12.75" customHeight="1">
      <c r="A93" s="487" t="str">
        <f t="shared" si="8"/>
        <v>1</v>
      </c>
      <c r="B93" s="487" t="str">
        <f t="shared" si="9"/>
        <v>10</v>
      </c>
      <c r="C93" s="487" t="str">
        <f t="shared" si="10"/>
        <v>50</v>
      </c>
      <c r="D93" s="487" t="str">
        <f t="shared" si="11"/>
        <v>0502</v>
      </c>
      <c r="E93" s="487">
        <v>511112000</v>
      </c>
      <c r="F93" s="488" t="str">
        <f t="shared" si="0"/>
        <v/>
      </c>
      <c r="G93" s="487"/>
      <c r="H93" s="487"/>
      <c r="I93" s="488" t="str">
        <f t="shared" si="1"/>
        <v/>
      </c>
      <c r="J93" s="487"/>
      <c r="K93" s="487"/>
      <c r="L93" s="488" t="str">
        <f t="shared" si="2"/>
        <v/>
      </c>
      <c r="M93" s="487"/>
      <c r="N93" s="487"/>
      <c r="O93" s="488" t="str">
        <f t="shared" si="3"/>
        <v/>
      </c>
      <c r="P93" s="489"/>
      <c r="Q93" s="489"/>
      <c r="R93" s="592" t="str">
        <f t="shared" si="4"/>
        <v/>
      </c>
      <c r="S93" s="487"/>
      <c r="T93" s="487"/>
      <c r="U93" s="488" t="str">
        <f t="shared" si="5"/>
        <v/>
      </c>
      <c r="V93" s="489"/>
      <c r="W93" s="489"/>
      <c r="X93" s="488" t="str">
        <f t="shared" si="6"/>
        <v/>
      </c>
      <c r="Y93" s="489"/>
      <c r="Z93" s="489"/>
      <c r="AA93" s="490" t="str">
        <f t="shared" si="27"/>
        <v>131</v>
      </c>
      <c r="AB93" s="489">
        <v>13</v>
      </c>
      <c r="AC93" s="489">
        <v>1</v>
      </c>
      <c r="AD93" s="27">
        <v>110502</v>
      </c>
      <c r="AE93" s="27" t="s">
        <v>1476</v>
      </c>
      <c r="AF93" s="432">
        <f>VLOOKUP(AD93,[5]Hoja1!$A$10:$K$1393,11,0)</f>
        <v>315826233</v>
      </c>
      <c r="AG93" s="432">
        <v>0</v>
      </c>
      <c r="AH93" s="432">
        <f t="shared" si="25"/>
        <v>315826</v>
      </c>
      <c r="AI93" s="445"/>
      <c r="AK93" s="445">
        <f>+AJ93-AI93</f>
        <v>0</v>
      </c>
      <c r="AL93" s="448"/>
      <c r="AM93" s="467">
        <f>VLOOKUP(AD93,[6]BV201101!$A$10:$A$1236,1,0)</f>
        <v>110502</v>
      </c>
    </row>
    <row r="94" spans="1:39" s="467" customFormat="1" ht="12.75" customHeight="1">
      <c r="A94" s="487" t="str">
        <f t="shared" si="8"/>
        <v>1</v>
      </c>
      <c r="B94" s="487" t="str">
        <f t="shared" si="9"/>
        <v>10</v>
      </c>
      <c r="C94" s="487" t="str">
        <f t="shared" si="10"/>
        <v>50</v>
      </c>
      <c r="D94" s="487" t="str">
        <f t="shared" si="11"/>
        <v>0503</v>
      </c>
      <c r="E94" s="487">
        <v>511112000</v>
      </c>
      <c r="F94" s="488" t="str">
        <f t="shared" si="0"/>
        <v/>
      </c>
      <c r="G94" s="487"/>
      <c r="H94" s="487"/>
      <c r="I94" s="488" t="str">
        <f t="shared" si="1"/>
        <v/>
      </c>
      <c r="J94" s="487"/>
      <c r="K94" s="487"/>
      <c r="L94" s="488" t="str">
        <f t="shared" si="2"/>
        <v/>
      </c>
      <c r="M94" s="487"/>
      <c r="N94" s="487"/>
      <c r="O94" s="488" t="str">
        <f t="shared" si="3"/>
        <v/>
      </c>
      <c r="P94" s="489"/>
      <c r="Q94" s="489"/>
      <c r="R94" s="592" t="str">
        <f t="shared" si="4"/>
        <v/>
      </c>
      <c r="S94" s="487"/>
      <c r="T94" s="487"/>
      <c r="U94" s="488" t="str">
        <f t="shared" si="5"/>
        <v/>
      </c>
      <c r="V94" s="489"/>
      <c r="W94" s="489"/>
      <c r="X94" s="488" t="str">
        <f t="shared" si="6"/>
        <v/>
      </c>
      <c r="Y94" s="489"/>
      <c r="Z94" s="489"/>
      <c r="AA94" s="490" t="str">
        <f t="shared" si="27"/>
        <v>131</v>
      </c>
      <c r="AB94" s="489">
        <v>13</v>
      </c>
      <c r="AC94" s="489">
        <v>1</v>
      </c>
      <c r="AD94" s="27">
        <v>110503</v>
      </c>
      <c r="AE94" s="27" t="s">
        <v>1477</v>
      </c>
      <c r="AF94" s="432">
        <f>VLOOKUP(AD94,[5]Hoja1!$A$10:$K$1393,11,0)</f>
        <v>82428830268</v>
      </c>
      <c r="AG94" s="1188">
        <f>-AG96</f>
        <v>1756278228</v>
      </c>
      <c r="AH94" s="432">
        <f t="shared" si="25"/>
        <v>84185108</v>
      </c>
      <c r="AL94" s="473">
        <f>+AG94</f>
        <v>1756278228</v>
      </c>
      <c r="AM94" s="467">
        <f>VLOOKUP(AD94,[6]BV201101!$A$10:$A$1236,1,0)</f>
        <v>110503</v>
      </c>
    </row>
    <row r="95" spans="1:39" s="467" customFormat="1" ht="12.75" customHeight="1">
      <c r="A95" s="487" t="str">
        <f t="shared" si="8"/>
        <v>1</v>
      </c>
      <c r="B95" s="487" t="str">
        <f t="shared" si="9"/>
        <v>10</v>
      </c>
      <c r="C95" s="487" t="str">
        <f t="shared" si="10"/>
        <v>50</v>
      </c>
      <c r="D95" s="487" t="str">
        <f t="shared" si="11"/>
        <v>0504</v>
      </c>
      <c r="E95" s="487">
        <v>511112000</v>
      </c>
      <c r="F95" s="488" t="str">
        <f t="shared" si="0"/>
        <v/>
      </c>
      <c r="G95" s="487"/>
      <c r="H95" s="487"/>
      <c r="I95" s="488" t="str">
        <f t="shared" si="1"/>
        <v/>
      </c>
      <c r="J95" s="487"/>
      <c r="K95" s="487"/>
      <c r="L95" s="488" t="str">
        <f t="shared" si="2"/>
        <v/>
      </c>
      <c r="M95" s="487"/>
      <c r="N95" s="487"/>
      <c r="O95" s="488" t="str">
        <f t="shared" si="3"/>
        <v/>
      </c>
      <c r="P95" s="489"/>
      <c r="Q95" s="489"/>
      <c r="R95" s="592" t="str">
        <f t="shared" si="4"/>
        <v/>
      </c>
      <c r="S95" s="487"/>
      <c r="T95" s="487"/>
      <c r="U95" s="488" t="str">
        <f t="shared" si="5"/>
        <v/>
      </c>
      <c r="V95" s="489"/>
      <c r="W95" s="489"/>
      <c r="X95" s="488" t="str">
        <f t="shared" si="6"/>
        <v/>
      </c>
      <c r="Y95" s="489"/>
      <c r="Z95" s="489"/>
      <c r="AA95" s="490" t="str">
        <f t="shared" si="27"/>
        <v>131</v>
      </c>
      <c r="AB95" s="489">
        <v>13</v>
      </c>
      <c r="AC95" s="489">
        <v>1</v>
      </c>
      <c r="AD95" s="27">
        <v>110504</v>
      </c>
      <c r="AE95" s="27" t="s">
        <v>1478</v>
      </c>
      <c r="AF95" s="432">
        <f>VLOOKUP(AD95,[5]Hoja1!$A$10:$K$1393,11,0)</f>
        <v>74295146706</v>
      </c>
      <c r="AG95" s="432">
        <v>0</v>
      </c>
      <c r="AH95" s="432">
        <f t="shared" si="25"/>
        <v>74295147</v>
      </c>
      <c r="AJ95" s="445"/>
      <c r="AL95" s="473">
        <f>+AG95</f>
        <v>0</v>
      </c>
      <c r="AM95" s="467">
        <f>VLOOKUP(AD95,[6]BV201101!$A$10:$A$1236,1,0)</f>
        <v>110504</v>
      </c>
    </row>
    <row r="96" spans="1:39" s="467" customFormat="1" ht="12.75">
      <c r="A96" s="487" t="str">
        <f t="shared" si="8"/>
        <v>1</v>
      </c>
      <c r="B96" s="487" t="str">
        <f t="shared" si="9"/>
        <v>10</v>
      </c>
      <c r="C96" s="487" t="str">
        <f t="shared" si="10"/>
        <v>50</v>
      </c>
      <c r="D96" s="487" t="str">
        <f t="shared" si="11"/>
        <v>0505</v>
      </c>
      <c r="E96" s="487">
        <v>511113000</v>
      </c>
      <c r="F96" s="488" t="str">
        <f t="shared" si="0"/>
        <v/>
      </c>
      <c r="G96" s="487"/>
      <c r="H96" s="487"/>
      <c r="I96" s="488" t="str">
        <f t="shared" si="1"/>
        <v/>
      </c>
      <c r="J96" s="487"/>
      <c r="K96" s="487"/>
      <c r="L96" s="488" t="str">
        <f t="shared" si="2"/>
        <v/>
      </c>
      <c r="M96" s="487"/>
      <c r="N96" s="487"/>
      <c r="O96" s="488" t="str">
        <f t="shared" si="3"/>
        <v/>
      </c>
      <c r="P96" s="489"/>
      <c r="Q96" s="489"/>
      <c r="R96" s="592" t="str">
        <f t="shared" si="4"/>
        <v/>
      </c>
      <c r="S96" s="487"/>
      <c r="T96" s="487"/>
      <c r="U96" s="488" t="str">
        <f t="shared" si="5"/>
        <v/>
      </c>
      <c r="V96" s="489"/>
      <c r="W96" s="489"/>
      <c r="X96" s="488" t="str">
        <f t="shared" si="6"/>
        <v/>
      </c>
      <c r="Y96" s="489"/>
      <c r="Z96" s="489"/>
      <c r="AA96" s="490" t="str">
        <f t="shared" si="27"/>
        <v>131</v>
      </c>
      <c r="AB96" s="489">
        <v>13</v>
      </c>
      <c r="AC96" s="489">
        <v>1</v>
      </c>
      <c r="AD96" s="27">
        <v>110505</v>
      </c>
      <c r="AE96" s="27" t="s">
        <v>1943</v>
      </c>
      <c r="AF96" s="432">
        <f>VLOOKUP(AD96,[5]Hoja1!$A$10:$K$1393,11,0)</f>
        <v>595323872430</v>
      </c>
      <c r="AG96" s="1427">
        <v>-1756278228</v>
      </c>
      <c r="AH96" s="432">
        <f t="shared" si="25"/>
        <v>593567594</v>
      </c>
      <c r="AL96" s="448"/>
      <c r="AM96" s="467">
        <f>VLOOKUP(AD96,[6]BV201101!$A$10:$A$1236,1,0)</f>
        <v>110505</v>
      </c>
    </row>
    <row r="97" spans="1:39" s="467" customFormat="1" ht="12.75" customHeight="1">
      <c r="A97" s="487" t="str">
        <f t="shared" si="8"/>
        <v>1</v>
      </c>
      <c r="B97" s="487" t="str">
        <f t="shared" si="9"/>
        <v>10</v>
      </c>
      <c r="C97" s="487" t="str">
        <f t="shared" si="10"/>
        <v>50</v>
      </c>
      <c r="D97" s="487" t="str">
        <f t="shared" si="11"/>
        <v>0506</v>
      </c>
      <c r="E97" s="487">
        <v>511112000</v>
      </c>
      <c r="F97" s="488" t="str">
        <f t="shared" si="0"/>
        <v/>
      </c>
      <c r="G97" s="487"/>
      <c r="H97" s="487"/>
      <c r="I97" s="488" t="str">
        <f t="shared" si="1"/>
        <v/>
      </c>
      <c r="J97" s="487"/>
      <c r="K97" s="487"/>
      <c r="L97" s="488" t="str">
        <f t="shared" si="2"/>
        <v/>
      </c>
      <c r="M97" s="487"/>
      <c r="N97" s="487"/>
      <c r="O97" s="488" t="str">
        <f t="shared" si="3"/>
        <v/>
      </c>
      <c r="P97" s="489"/>
      <c r="Q97" s="489"/>
      <c r="R97" s="592" t="str">
        <f t="shared" si="4"/>
        <v/>
      </c>
      <c r="S97" s="487"/>
      <c r="T97" s="487"/>
      <c r="U97" s="488" t="str">
        <f t="shared" si="5"/>
        <v/>
      </c>
      <c r="V97" s="489"/>
      <c r="W97" s="489"/>
      <c r="X97" s="488" t="str">
        <f t="shared" si="6"/>
        <v/>
      </c>
      <c r="Y97" s="489"/>
      <c r="Z97" s="489"/>
      <c r="AA97" s="490" t="str">
        <f t="shared" si="27"/>
        <v>131</v>
      </c>
      <c r="AB97" s="489">
        <v>13</v>
      </c>
      <c r="AC97" s="489">
        <v>1</v>
      </c>
      <c r="AD97" s="27">
        <v>110506</v>
      </c>
      <c r="AE97" s="27" t="s">
        <v>1400</v>
      </c>
      <c r="AF97" s="432">
        <f>VLOOKUP(AD97,[5]Hoja1!$A$10:$K$1393,11,0)</f>
        <v>2442902894</v>
      </c>
      <c r="AG97" s="432">
        <v>0</v>
      </c>
      <c r="AH97" s="432">
        <f t="shared" si="25"/>
        <v>2442903</v>
      </c>
      <c r="AL97" s="448"/>
      <c r="AM97" s="467">
        <f>VLOOKUP(AD97,[6]BV201101!$A$10:$A$1236,1,0)</f>
        <v>110506</v>
      </c>
    </row>
    <row r="98" spans="1:39" s="467" customFormat="1" ht="12.75" customHeight="1">
      <c r="A98" s="487" t="str">
        <f t="shared" si="8"/>
        <v>1</v>
      </c>
      <c r="B98" s="487" t="str">
        <f t="shared" si="9"/>
        <v>10</v>
      </c>
      <c r="C98" s="487" t="str">
        <f t="shared" si="10"/>
        <v>50</v>
      </c>
      <c r="D98" s="487" t="str">
        <f t="shared" si="11"/>
        <v>0507</v>
      </c>
      <c r="E98" s="487">
        <v>511114000</v>
      </c>
      <c r="F98" s="488" t="str">
        <f t="shared" si="0"/>
        <v/>
      </c>
      <c r="G98" s="487"/>
      <c r="H98" s="487"/>
      <c r="I98" s="488" t="str">
        <f t="shared" si="1"/>
        <v/>
      </c>
      <c r="J98" s="487"/>
      <c r="K98" s="487"/>
      <c r="L98" s="488" t="str">
        <f t="shared" si="2"/>
        <v/>
      </c>
      <c r="M98" s="487"/>
      <c r="N98" s="487"/>
      <c r="O98" s="488" t="str">
        <f t="shared" si="3"/>
        <v/>
      </c>
      <c r="P98" s="489"/>
      <c r="Q98" s="489"/>
      <c r="R98" s="592" t="str">
        <f t="shared" si="4"/>
        <v/>
      </c>
      <c r="S98" s="487"/>
      <c r="T98" s="487"/>
      <c r="U98" s="488" t="str">
        <f t="shared" si="5"/>
        <v/>
      </c>
      <c r="V98" s="489"/>
      <c r="W98" s="489"/>
      <c r="X98" s="488" t="str">
        <f t="shared" si="6"/>
        <v/>
      </c>
      <c r="Y98" s="489"/>
      <c r="Z98" s="489"/>
      <c r="AA98" s="490" t="str">
        <f t="shared" si="27"/>
        <v>131</v>
      </c>
      <c r="AB98" s="489">
        <v>13</v>
      </c>
      <c r="AC98" s="489">
        <v>1</v>
      </c>
      <c r="AD98" s="27">
        <v>110507</v>
      </c>
      <c r="AE98" s="27" t="s">
        <v>1401</v>
      </c>
      <c r="AF98" s="432">
        <f>VLOOKUP(AD98,[5]Hoja1!$A$10:$K$1393,11,0)</f>
        <v>302797341527</v>
      </c>
      <c r="AG98" s="432">
        <v>0</v>
      </c>
      <c r="AH98" s="432">
        <f t="shared" si="25"/>
        <v>302797342</v>
      </c>
      <c r="AL98" s="473">
        <f>+AG98</f>
        <v>0</v>
      </c>
      <c r="AM98" s="467">
        <f>VLOOKUP(AD98,[6]BV201101!$A$10:$A$1236,1,0)</f>
        <v>110507</v>
      </c>
    </row>
    <row r="99" spans="1:39" s="467" customFormat="1" ht="12.75" customHeight="1">
      <c r="A99" s="487" t="str">
        <f t="shared" si="8"/>
        <v>1</v>
      </c>
      <c r="B99" s="487" t="str">
        <f t="shared" si="9"/>
        <v>10</v>
      </c>
      <c r="C99" s="487" t="str">
        <f t="shared" si="10"/>
        <v>50</v>
      </c>
      <c r="D99" s="487" t="str">
        <f t="shared" si="11"/>
        <v>0508</v>
      </c>
      <c r="E99" s="487">
        <v>511111000</v>
      </c>
      <c r="F99" s="488" t="str">
        <f t="shared" si="0"/>
        <v/>
      </c>
      <c r="G99" s="487"/>
      <c r="H99" s="487"/>
      <c r="I99" s="488" t="str">
        <f t="shared" si="1"/>
        <v/>
      </c>
      <c r="J99" s="487"/>
      <c r="K99" s="487"/>
      <c r="L99" s="488" t="str">
        <f t="shared" si="2"/>
        <v/>
      </c>
      <c r="M99" s="487"/>
      <c r="N99" s="487"/>
      <c r="O99" s="488" t="str">
        <f t="shared" si="3"/>
        <v/>
      </c>
      <c r="P99" s="489"/>
      <c r="Q99" s="489"/>
      <c r="R99" s="592" t="str">
        <f t="shared" si="4"/>
        <v/>
      </c>
      <c r="S99" s="487"/>
      <c r="T99" s="487"/>
      <c r="U99" s="488" t="str">
        <f t="shared" si="5"/>
        <v/>
      </c>
      <c r="V99" s="489"/>
      <c r="W99" s="489"/>
      <c r="X99" s="488" t="str">
        <f t="shared" si="6"/>
        <v/>
      </c>
      <c r="Y99" s="489"/>
      <c r="Z99" s="489"/>
      <c r="AA99" s="490" t="str">
        <f t="shared" si="27"/>
        <v>131</v>
      </c>
      <c r="AB99" s="489">
        <v>13</v>
      </c>
      <c r="AC99" s="489">
        <v>1</v>
      </c>
      <c r="AD99" s="27">
        <v>110508</v>
      </c>
      <c r="AE99" s="27" t="s">
        <v>1402</v>
      </c>
      <c r="AF99" s="432">
        <f>VLOOKUP(AD99,[5]Hoja1!$A$10:$K$1393,11,0)</f>
        <v>101613807</v>
      </c>
      <c r="AG99" s="432">
        <v>0</v>
      </c>
      <c r="AH99" s="432">
        <f t="shared" si="25"/>
        <v>101614</v>
      </c>
      <c r="AJ99" s="445"/>
      <c r="AL99" s="448"/>
      <c r="AM99" s="467">
        <f>VLOOKUP(AD99,[6]BV201101!$A$10:$A$1236,1,0)</f>
        <v>110508</v>
      </c>
    </row>
    <row r="100" spans="1:39" s="467" customFormat="1" ht="12.75" customHeight="1">
      <c r="A100" s="487" t="str">
        <f t="shared" si="8"/>
        <v>1</v>
      </c>
      <c r="B100" s="487" t="str">
        <f t="shared" si="9"/>
        <v>10</v>
      </c>
      <c r="C100" s="487" t="str">
        <f t="shared" si="10"/>
        <v>50</v>
      </c>
      <c r="D100" s="487" t="str">
        <f t="shared" si="11"/>
        <v>0509</v>
      </c>
      <c r="E100" s="487">
        <v>511111000</v>
      </c>
      <c r="F100" s="488" t="str">
        <f t="shared" si="0"/>
        <v/>
      </c>
      <c r="G100" s="487"/>
      <c r="H100" s="487"/>
      <c r="I100" s="488" t="str">
        <f t="shared" si="1"/>
        <v/>
      </c>
      <c r="J100" s="487"/>
      <c r="K100" s="487"/>
      <c r="L100" s="488" t="str">
        <f t="shared" si="2"/>
        <v/>
      </c>
      <c r="M100" s="487"/>
      <c r="N100" s="487"/>
      <c r="O100" s="488" t="str">
        <f t="shared" si="3"/>
        <v/>
      </c>
      <c r="P100" s="489"/>
      <c r="Q100" s="489"/>
      <c r="R100" s="592" t="str">
        <f t="shared" si="4"/>
        <v/>
      </c>
      <c r="S100" s="487"/>
      <c r="T100" s="487"/>
      <c r="U100" s="488" t="str">
        <f t="shared" si="5"/>
        <v/>
      </c>
      <c r="V100" s="489"/>
      <c r="W100" s="489"/>
      <c r="X100" s="488" t="str">
        <f t="shared" si="6"/>
        <v/>
      </c>
      <c r="Y100" s="489"/>
      <c r="Z100" s="489"/>
      <c r="AA100" s="490" t="str">
        <f t="shared" si="27"/>
        <v>131</v>
      </c>
      <c r="AB100" s="489">
        <v>13</v>
      </c>
      <c r="AC100" s="489">
        <v>1</v>
      </c>
      <c r="AD100" s="27">
        <v>110509</v>
      </c>
      <c r="AE100" s="27" t="s">
        <v>76</v>
      </c>
      <c r="AF100" s="432">
        <f>VLOOKUP(AD100,[5]Hoja1!$A$10:$K$1393,11,0)</f>
        <v>475986005</v>
      </c>
      <c r="AG100" s="1203">
        <v>0</v>
      </c>
      <c r="AH100" s="432">
        <f t="shared" si="25"/>
        <v>475986</v>
      </c>
      <c r="AI100" s="445">
        <f>+AH100+AH101+AH102+AH124+AH129+AH186+AH225+AH553</f>
        <v>55655242</v>
      </c>
      <c r="AJ100" s="467">
        <v>140255231</v>
      </c>
      <c r="AK100" s="445">
        <f>+AJ100-AI100</f>
        <v>84599989</v>
      </c>
      <c r="AL100" s="448"/>
      <c r="AM100" s="467">
        <f>VLOOKUP(AD100,[6]BV201101!$A$10:$A$1236,1,0)</f>
        <v>110509</v>
      </c>
    </row>
    <row r="101" spans="1:39" s="467" customFormat="1" ht="12.75" customHeight="1">
      <c r="A101" s="487" t="str">
        <f t="shared" si="8"/>
        <v>1</v>
      </c>
      <c r="B101" s="487" t="str">
        <f t="shared" si="9"/>
        <v>10</v>
      </c>
      <c r="C101" s="487" t="str">
        <f t="shared" si="10"/>
        <v>51</v>
      </c>
      <c r="D101" s="487" t="str">
        <f t="shared" si="11"/>
        <v>0510</v>
      </c>
      <c r="E101" s="487">
        <v>511111000</v>
      </c>
      <c r="F101" s="488" t="str">
        <f t="shared" si="0"/>
        <v/>
      </c>
      <c r="G101" s="487"/>
      <c r="H101" s="487"/>
      <c r="I101" s="488" t="str">
        <f t="shared" si="1"/>
        <v/>
      </c>
      <c r="J101" s="487"/>
      <c r="K101" s="487"/>
      <c r="L101" s="488" t="str">
        <f t="shared" si="2"/>
        <v/>
      </c>
      <c r="M101" s="487"/>
      <c r="N101" s="487"/>
      <c r="O101" s="488" t="str">
        <f t="shared" si="3"/>
        <v/>
      </c>
      <c r="P101" s="489"/>
      <c r="Q101" s="489"/>
      <c r="R101" s="592" t="str">
        <f t="shared" si="4"/>
        <v/>
      </c>
      <c r="S101" s="487"/>
      <c r="T101" s="487"/>
      <c r="U101" s="488" t="str">
        <f t="shared" si="5"/>
        <v/>
      </c>
      <c r="V101" s="489"/>
      <c r="W101" s="489"/>
      <c r="X101" s="488" t="str">
        <f t="shared" si="6"/>
        <v/>
      </c>
      <c r="Y101" s="489"/>
      <c r="Z101" s="489"/>
      <c r="AA101" s="490" t="str">
        <f t="shared" si="27"/>
        <v>131</v>
      </c>
      <c r="AB101" s="489">
        <v>13</v>
      </c>
      <c r="AC101" s="489">
        <v>1</v>
      </c>
      <c r="AD101" s="27">
        <v>110510</v>
      </c>
      <c r="AE101" s="27" t="s">
        <v>1944</v>
      </c>
      <c r="AF101" s="432">
        <f>VLOOKUP(AD101,[5]Hoja1!$A$10:$K$1393,11,0)</f>
        <v>446517962</v>
      </c>
      <c r="AG101" s="432"/>
      <c r="AH101" s="432">
        <f t="shared" si="25"/>
        <v>446518</v>
      </c>
      <c r="AI101" s="445"/>
      <c r="AL101" s="448"/>
      <c r="AM101" s="467">
        <f>VLOOKUP(AD101,[6]BV201101!$A$10:$A$1236,1,0)</f>
        <v>110510</v>
      </c>
    </row>
    <row r="102" spans="1:39" s="467" customFormat="1" ht="12.75" customHeight="1">
      <c r="A102" s="487" t="str">
        <f t="shared" si="8"/>
        <v>1</v>
      </c>
      <c r="B102" s="487" t="str">
        <f t="shared" si="9"/>
        <v>10</v>
      </c>
      <c r="C102" s="487" t="str">
        <f t="shared" si="10"/>
        <v>51</v>
      </c>
      <c r="D102" s="487" t="str">
        <f t="shared" si="11"/>
        <v>0511</v>
      </c>
      <c r="E102" s="487">
        <v>511111000</v>
      </c>
      <c r="F102" s="488" t="str">
        <f t="shared" si="0"/>
        <v/>
      </c>
      <c r="G102" s="487"/>
      <c r="H102" s="487"/>
      <c r="I102" s="488" t="str">
        <f t="shared" si="1"/>
        <v/>
      </c>
      <c r="J102" s="487"/>
      <c r="K102" s="487"/>
      <c r="L102" s="488" t="str">
        <f t="shared" si="2"/>
        <v/>
      </c>
      <c r="M102" s="487"/>
      <c r="N102" s="487"/>
      <c r="O102" s="488" t="str">
        <f t="shared" si="3"/>
        <v/>
      </c>
      <c r="P102" s="489"/>
      <c r="Q102" s="489"/>
      <c r="R102" s="592" t="str">
        <f t="shared" si="4"/>
        <v/>
      </c>
      <c r="S102" s="487"/>
      <c r="T102" s="487"/>
      <c r="U102" s="488" t="str">
        <f t="shared" si="5"/>
        <v/>
      </c>
      <c r="V102" s="489"/>
      <c r="W102" s="489"/>
      <c r="X102" s="488" t="str">
        <f t="shared" si="6"/>
        <v/>
      </c>
      <c r="Y102" s="489"/>
      <c r="Z102" s="489"/>
      <c r="AA102" s="490" t="str">
        <f t="shared" si="27"/>
        <v>131</v>
      </c>
      <c r="AB102" s="489">
        <v>13</v>
      </c>
      <c r="AC102" s="489">
        <v>1</v>
      </c>
      <c r="AD102" s="27">
        <v>110511</v>
      </c>
      <c r="AE102" s="27" t="s">
        <v>194</v>
      </c>
      <c r="AF102" s="432">
        <f>VLOOKUP(AD102,[5]Hoja1!$A$10:$K$1393,11,0)</f>
        <v>46426580032</v>
      </c>
      <c r="AG102" s="1191">
        <v>1592934885</v>
      </c>
      <c r="AH102" s="432">
        <f t="shared" si="25"/>
        <v>48019515</v>
      </c>
      <c r="AL102" s="473">
        <f>+AG102</f>
        <v>1592934885</v>
      </c>
      <c r="AM102" s="467">
        <f>VLOOKUP(AD102,[6]BV201101!$A$10:$A$1236,1,0)</f>
        <v>110511</v>
      </c>
    </row>
    <row r="103" spans="1:39" s="467" customFormat="1" ht="12.75" customHeight="1">
      <c r="A103" s="487" t="str">
        <f t="shared" si="8"/>
        <v>1</v>
      </c>
      <c r="B103" s="487" t="str">
        <f t="shared" si="9"/>
        <v>10</v>
      </c>
      <c r="C103" s="487" t="str">
        <f t="shared" si="10"/>
        <v>51</v>
      </c>
      <c r="D103" s="487" t="str">
        <f t="shared" si="11"/>
        <v>0512</v>
      </c>
      <c r="E103" s="487">
        <v>511214000</v>
      </c>
      <c r="F103" s="488" t="str">
        <f t="shared" si="0"/>
        <v/>
      </c>
      <c r="G103" s="487"/>
      <c r="H103" s="487"/>
      <c r="I103" s="488" t="str">
        <f t="shared" si="1"/>
        <v/>
      </c>
      <c r="J103" s="487"/>
      <c r="K103" s="487"/>
      <c r="L103" s="488" t="str">
        <f t="shared" si="2"/>
        <v/>
      </c>
      <c r="M103" s="487"/>
      <c r="N103" s="487"/>
      <c r="O103" s="488" t="str">
        <f t="shared" si="3"/>
        <v/>
      </c>
      <c r="P103" s="489"/>
      <c r="Q103" s="489"/>
      <c r="R103" s="592" t="str">
        <f t="shared" si="4"/>
        <v/>
      </c>
      <c r="S103" s="487"/>
      <c r="T103" s="487"/>
      <c r="U103" s="488" t="str">
        <f t="shared" si="5"/>
        <v/>
      </c>
      <c r="V103" s="489"/>
      <c r="W103" s="489"/>
      <c r="X103" s="488" t="str">
        <f t="shared" si="6"/>
        <v/>
      </c>
      <c r="Y103" s="489"/>
      <c r="Z103" s="489"/>
      <c r="AA103" s="490" t="str">
        <f t="shared" si="27"/>
        <v>81</v>
      </c>
      <c r="AB103" s="489">
        <v>8</v>
      </c>
      <c r="AC103" s="489">
        <v>1</v>
      </c>
      <c r="AD103" s="27">
        <v>110512</v>
      </c>
      <c r="AE103" s="27" t="s">
        <v>828</v>
      </c>
      <c r="AF103" s="432">
        <f>VLOOKUP(AD103,[5]Hoja1!$A$10:$K$1393,11,0)</f>
        <v>115304106535</v>
      </c>
      <c r="AG103" s="1022">
        <v>0</v>
      </c>
      <c r="AH103" s="432">
        <f t="shared" si="25"/>
        <v>115304107</v>
      </c>
      <c r="AL103" s="473">
        <f>+AG103</f>
        <v>0</v>
      </c>
      <c r="AM103" s="467">
        <f>VLOOKUP(AD103,[6]BV201101!$A$10:$A$1236,1,0)</f>
        <v>110512</v>
      </c>
    </row>
    <row r="104" spans="1:39" s="467" customFormat="1" ht="12.75" customHeight="1">
      <c r="A104" s="487" t="str">
        <f t="shared" si="8"/>
        <v>1</v>
      </c>
      <c r="B104" s="487" t="str">
        <f t="shared" si="9"/>
        <v>10</v>
      </c>
      <c r="C104" s="487" t="str">
        <f t="shared" si="10"/>
        <v>51</v>
      </c>
      <c r="D104" s="487" t="str">
        <f t="shared" si="11"/>
        <v>0513</v>
      </c>
      <c r="E104" s="487">
        <v>511132000</v>
      </c>
      <c r="F104" s="488" t="str">
        <f t="shared" si="0"/>
        <v/>
      </c>
      <c r="G104" s="487"/>
      <c r="H104" s="487"/>
      <c r="I104" s="488" t="str">
        <f t="shared" si="1"/>
        <v/>
      </c>
      <c r="J104" s="487"/>
      <c r="K104" s="487"/>
      <c r="L104" s="488" t="str">
        <f t="shared" si="2"/>
        <v/>
      </c>
      <c r="M104" s="487"/>
      <c r="N104" s="487"/>
      <c r="O104" s="488" t="str">
        <f t="shared" si="3"/>
        <v/>
      </c>
      <c r="P104" s="489"/>
      <c r="Q104" s="489"/>
      <c r="R104" s="592" t="str">
        <f t="shared" si="4"/>
        <v/>
      </c>
      <c r="S104" s="487"/>
      <c r="T104" s="487"/>
      <c r="U104" s="488" t="str">
        <f t="shared" si="5"/>
        <v/>
      </c>
      <c r="V104" s="489"/>
      <c r="W104" s="489"/>
      <c r="X104" s="488" t="str">
        <f t="shared" si="6"/>
        <v/>
      </c>
      <c r="Y104" s="489"/>
      <c r="Z104" s="489"/>
      <c r="AA104" s="490"/>
      <c r="AB104" s="489"/>
      <c r="AC104" s="489"/>
      <c r="AD104" s="27">
        <v>110513</v>
      </c>
      <c r="AE104" s="27" t="s">
        <v>195</v>
      </c>
      <c r="AF104" s="432">
        <f>VLOOKUP(AD104,[5]Hoja1!$A$10:$K$1393,11,0)</f>
        <v>0</v>
      </c>
      <c r="AG104" s="1428">
        <f>-AG105</f>
        <v>39872664288</v>
      </c>
      <c r="AH104" s="432">
        <f t="shared" si="25"/>
        <v>39872664</v>
      </c>
      <c r="AJ104" s="467">
        <v>2858163822</v>
      </c>
      <c r="AL104" s="473">
        <f>+AG104</f>
        <v>39872664288</v>
      </c>
      <c r="AM104" s="467">
        <f>VLOOKUP(AD104,[6]BV201101!$A$10:$A$1236,1,0)</f>
        <v>110513</v>
      </c>
    </row>
    <row r="105" spans="1:39" s="467" customFormat="1" ht="12.75" customHeight="1">
      <c r="A105" s="487" t="str">
        <f t="shared" si="8"/>
        <v>1</v>
      </c>
      <c r="B105" s="487" t="str">
        <f t="shared" si="9"/>
        <v>10</v>
      </c>
      <c r="C105" s="487" t="str">
        <f t="shared" si="10"/>
        <v>51</v>
      </c>
      <c r="D105" s="487" t="str">
        <f t="shared" si="11"/>
        <v>0514</v>
      </c>
      <c r="E105" s="487">
        <v>511134000</v>
      </c>
      <c r="F105" s="488" t="str">
        <f t="shared" ref="F105:F219" si="28">+G105&amp;H105</f>
        <v/>
      </c>
      <c r="G105" s="487"/>
      <c r="H105" s="487"/>
      <c r="I105" s="488" t="str">
        <f t="shared" ref="I105:I219" si="29">+J105&amp;K105</f>
        <v/>
      </c>
      <c r="J105" s="487"/>
      <c r="K105" s="487"/>
      <c r="L105" s="488" t="str">
        <f t="shared" ref="L105:L219" si="30">+M105&amp;N105</f>
        <v/>
      </c>
      <c r="M105" s="487"/>
      <c r="N105" s="487"/>
      <c r="O105" s="488" t="str">
        <f t="shared" ref="O105:O219" si="31">+P105&amp;Q105</f>
        <v/>
      </c>
      <c r="P105" s="489"/>
      <c r="Q105" s="489"/>
      <c r="R105" s="592" t="str">
        <f t="shared" ref="R105:R219" si="32">+S105&amp;T105</f>
        <v/>
      </c>
      <c r="S105" s="487"/>
      <c r="T105" s="487"/>
      <c r="U105" s="488" t="str">
        <f t="shared" ref="U105:U219" si="33">+V105&amp;W105</f>
        <v/>
      </c>
      <c r="V105" s="489"/>
      <c r="W105" s="489"/>
      <c r="X105" s="488" t="str">
        <f t="shared" ref="X105:X219" si="34">+Y105&amp;Z105</f>
        <v/>
      </c>
      <c r="Y105" s="489"/>
      <c r="Z105" s="489"/>
      <c r="AA105" s="490" t="str">
        <f t="shared" ref="AA105:AA110" si="35">+AB105&amp;AC105</f>
        <v/>
      </c>
      <c r="AB105" s="489"/>
      <c r="AC105" s="489"/>
      <c r="AD105" s="27">
        <v>110514</v>
      </c>
      <c r="AE105" s="27" t="s">
        <v>1945</v>
      </c>
      <c r="AF105" s="432">
        <f>VLOOKUP(AD105,[5]Hoja1!$A$10:$K$1393,11,0)</f>
        <v>128406776119</v>
      </c>
      <c r="AG105" s="1427">
        <v>-39872664288</v>
      </c>
      <c r="AH105" s="432">
        <f t="shared" si="25"/>
        <v>88534112</v>
      </c>
      <c r="AI105" s="445"/>
      <c r="AL105" s="473">
        <f>+AG105</f>
        <v>-39872664288</v>
      </c>
      <c r="AM105" s="467">
        <f>VLOOKUP(AD105,[6]BV201101!$A$10:$A$1236,1,0)</f>
        <v>110514</v>
      </c>
    </row>
    <row r="106" spans="1:39" s="467" customFormat="1" ht="12.75">
      <c r="A106" s="487" t="str">
        <f t="shared" ref="A106:A220" si="36">+LEFT($AD106,1)</f>
        <v>1</v>
      </c>
      <c r="B106" s="487" t="str">
        <f t="shared" ref="B106:B220" si="37">RIGHT(LEFT($AD106,3),2)</f>
        <v>10</v>
      </c>
      <c r="C106" s="487" t="str">
        <f t="shared" ref="C106:C220" si="38">RIGHT(LEFT($AD106,5),2)</f>
        <v>51</v>
      </c>
      <c r="D106" s="487" t="str">
        <f t="shared" ref="D106:D220" si="39">RIGHT(LEFT($AD106,9),4)</f>
        <v>0515</v>
      </c>
      <c r="E106" s="487">
        <v>511113000</v>
      </c>
      <c r="F106" s="488" t="str">
        <f t="shared" si="28"/>
        <v/>
      </c>
      <c r="G106" s="487"/>
      <c r="H106" s="487"/>
      <c r="I106" s="488" t="str">
        <f t="shared" si="29"/>
        <v/>
      </c>
      <c r="J106" s="487"/>
      <c r="K106" s="487"/>
      <c r="L106" s="488" t="str">
        <f t="shared" si="30"/>
        <v/>
      </c>
      <c r="M106" s="487"/>
      <c r="N106" s="487"/>
      <c r="O106" s="488" t="str">
        <f t="shared" si="31"/>
        <v/>
      </c>
      <c r="P106" s="489"/>
      <c r="Q106" s="489"/>
      <c r="R106" s="592" t="str">
        <f t="shared" si="32"/>
        <v/>
      </c>
      <c r="S106" s="487"/>
      <c r="T106" s="487"/>
      <c r="U106" s="488" t="str">
        <f t="shared" si="33"/>
        <v/>
      </c>
      <c r="V106" s="489"/>
      <c r="W106" s="489"/>
      <c r="X106" s="488" t="str">
        <f t="shared" si="34"/>
        <v/>
      </c>
      <c r="Y106" s="489"/>
      <c r="Z106" s="489"/>
      <c r="AA106" s="490" t="str">
        <f t="shared" si="35"/>
        <v>301</v>
      </c>
      <c r="AB106" s="489">
        <v>30</v>
      </c>
      <c r="AC106" s="489">
        <v>1</v>
      </c>
      <c r="AD106" s="27">
        <v>110515</v>
      </c>
      <c r="AE106" s="27" t="s">
        <v>1752</v>
      </c>
      <c r="AF106" s="432">
        <f>VLOOKUP(AD106,[5]Hoja1!$A$10:$K$1393,11,0)</f>
        <v>11520380112</v>
      </c>
      <c r="AG106" s="432">
        <v>0</v>
      </c>
      <c r="AH106" s="432">
        <f t="shared" si="25"/>
        <v>11520380</v>
      </c>
      <c r="AI106" s="445">
        <f>+AH96+AH106</f>
        <v>605087974</v>
      </c>
      <c r="AL106" s="473">
        <f>+AG106</f>
        <v>0</v>
      </c>
      <c r="AM106" s="467">
        <f>VLOOKUP(AD106,[6]BV201101!$A$10:$A$1236,1,0)</f>
        <v>110515</v>
      </c>
    </row>
    <row r="107" spans="1:39" s="467" customFormat="1" ht="12.75" customHeight="1">
      <c r="A107" s="487" t="str">
        <f t="shared" si="36"/>
        <v>1</v>
      </c>
      <c r="B107" s="487" t="str">
        <f t="shared" si="37"/>
        <v>10</v>
      </c>
      <c r="C107" s="487" t="str">
        <f t="shared" si="38"/>
        <v>51</v>
      </c>
      <c r="D107" s="487" t="str">
        <f t="shared" si="39"/>
        <v>0516</v>
      </c>
      <c r="E107" s="487">
        <v>511140000</v>
      </c>
      <c r="F107" s="488" t="str">
        <f t="shared" si="28"/>
        <v/>
      </c>
      <c r="G107" s="487"/>
      <c r="H107" s="487"/>
      <c r="I107" s="488" t="str">
        <f t="shared" si="29"/>
        <v/>
      </c>
      <c r="J107" s="487"/>
      <c r="K107" s="487"/>
      <c r="L107" s="488" t="str">
        <f t="shared" si="30"/>
        <v/>
      </c>
      <c r="M107" s="487"/>
      <c r="N107" s="487"/>
      <c r="O107" s="488" t="str">
        <f t="shared" si="31"/>
        <v/>
      </c>
      <c r="P107" s="489"/>
      <c r="Q107" s="489"/>
      <c r="R107" s="592" t="str">
        <f t="shared" si="32"/>
        <v/>
      </c>
      <c r="S107" s="487"/>
      <c r="T107" s="487"/>
      <c r="U107" s="488" t="str">
        <f t="shared" si="33"/>
        <v/>
      </c>
      <c r="V107" s="489"/>
      <c r="W107" s="489"/>
      <c r="X107" s="488" t="str">
        <f t="shared" si="34"/>
        <v/>
      </c>
      <c r="Y107" s="489"/>
      <c r="Z107" s="489"/>
      <c r="AA107" s="490" t="str">
        <f t="shared" si="35"/>
        <v/>
      </c>
      <c r="AB107" s="489"/>
      <c r="AC107" s="489"/>
      <c r="AD107" s="27">
        <v>110516</v>
      </c>
      <c r="AE107" s="27" t="s">
        <v>1753</v>
      </c>
      <c r="AF107" s="432">
        <f>VLOOKUP(AD107,[5]Hoja1!$A$10:$K$1393,11,0)</f>
        <v>3332716513</v>
      </c>
      <c r="AG107" s="432"/>
      <c r="AH107" s="432">
        <f t="shared" si="25"/>
        <v>3332717</v>
      </c>
      <c r="AL107" s="448"/>
      <c r="AM107" s="467">
        <f>VLOOKUP(AD107,[6]BV201101!$A$10:$A$1236,1,0)</f>
        <v>110516</v>
      </c>
    </row>
    <row r="108" spans="1:39" s="467" customFormat="1" ht="12.75">
      <c r="A108" s="487" t="str">
        <f t="shared" si="36"/>
        <v>1</v>
      </c>
      <c r="B108" s="487" t="str">
        <f t="shared" si="37"/>
        <v>10</v>
      </c>
      <c r="C108" s="487" t="str">
        <f t="shared" si="38"/>
        <v>51</v>
      </c>
      <c r="D108" s="487" t="str">
        <f t="shared" si="39"/>
        <v>0517</v>
      </c>
      <c r="E108" s="487">
        <v>511113000</v>
      </c>
      <c r="F108" s="488" t="str">
        <f t="shared" si="28"/>
        <v/>
      </c>
      <c r="G108" s="487"/>
      <c r="H108" s="487"/>
      <c r="I108" s="488" t="str">
        <f t="shared" si="29"/>
        <v/>
      </c>
      <c r="J108" s="487"/>
      <c r="K108" s="487"/>
      <c r="L108" s="488" t="str">
        <f t="shared" si="30"/>
        <v/>
      </c>
      <c r="M108" s="487"/>
      <c r="N108" s="487"/>
      <c r="O108" s="488" t="str">
        <f t="shared" si="31"/>
        <v/>
      </c>
      <c r="P108" s="489"/>
      <c r="Q108" s="489"/>
      <c r="R108" s="592" t="str">
        <f t="shared" si="32"/>
        <v/>
      </c>
      <c r="S108" s="487"/>
      <c r="T108" s="487"/>
      <c r="U108" s="488" t="str">
        <f t="shared" si="33"/>
        <v/>
      </c>
      <c r="V108" s="489"/>
      <c r="W108" s="489"/>
      <c r="X108" s="488" t="str">
        <f t="shared" si="34"/>
        <v/>
      </c>
      <c r="Y108" s="489"/>
      <c r="Z108" s="489"/>
      <c r="AA108" s="490" t="str">
        <f t="shared" si="35"/>
        <v>131</v>
      </c>
      <c r="AB108" s="489">
        <v>13</v>
      </c>
      <c r="AC108" s="489">
        <v>1</v>
      </c>
      <c r="AD108" s="27">
        <v>110517</v>
      </c>
      <c r="AE108" s="27" t="s">
        <v>1754</v>
      </c>
      <c r="AF108" s="432">
        <f>VLOOKUP(AD108,[5]Hoja1!$A$10:$K$1393,11,0)</f>
        <v>57113184413</v>
      </c>
      <c r="AG108" s="1191">
        <v>-1019157265</v>
      </c>
      <c r="AH108" s="432">
        <f t="shared" si="25"/>
        <v>56094027</v>
      </c>
      <c r="AI108" s="467" t="s">
        <v>474</v>
      </c>
      <c r="AJ108" s="445"/>
      <c r="AL108" s="448"/>
      <c r="AM108" s="467">
        <f>VLOOKUP(AD108,[6]BV201101!$A$10:$A$1236,1,0)</f>
        <v>110517</v>
      </c>
    </row>
    <row r="109" spans="1:39" s="467" customFormat="1" ht="12.75">
      <c r="A109" s="487" t="str">
        <f t="shared" si="36"/>
        <v>1</v>
      </c>
      <c r="B109" s="487" t="str">
        <f t="shared" si="37"/>
        <v>10</v>
      </c>
      <c r="C109" s="487" t="str">
        <f t="shared" si="38"/>
        <v>51</v>
      </c>
      <c r="D109" s="487" t="str">
        <f t="shared" si="39"/>
        <v>0518</v>
      </c>
      <c r="E109" s="487">
        <v>511113000</v>
      </c>
      <c r="F109" s="488" t="str">
        <f t="shared" si="28"/>
        <v/>
      </c>
      <c r="G109" s="487"/>
      <c r="H109" s="487"/>
      <c r="I109" s="488" t="str">
        <f t="shared" si="29"/>
        <v/>
      </c>
      <c r="J109" s="487"/>
      <c r="K109" s="487"/>
      <c r="L109" s="488" t="str">
        <f t="shared" si="30"/>
        <v/>
      </c>
      <c r="M109" s="487"/>
      <c r="N109" s="487"/>
      <c r="O109" s="488" t="str">
        <f t="shared" si="31"/>
        <v/>
      </c>
      <c r="P109" s="489"/>
      <c r="Q109" s="489"/>
      <c r="R109" s="592" t="str">
        <f t="shared" si="32"/>
        <v/>
      </c>
      <c r="S109" s="487"/>
      <c r="T109" s="487"/>
      <c r="U109" s="488" t="str">
        <f t="shared" si="33"/>
        <v/>
      </c>
      <c r="V109" s="489"/>
      <c r="W109" s="489"/>
      <c r="X109" s="488" t="str">
        <f t="shared" si="34"/>
        <v/>
      </c>
      <c r="Y109" s="489"/>
      <c r="Z109" s="489"/>
      <c r="AA109" s="490" t="str">
        <f t="shared" si="35"/>
        <v>131</v>
      </c>
      <c r="AB109" s="489">
        <v>13</v>
      </c>
      <c r="AC109" s="489">
        <v>1</v>
      </c>
      <c r="AD109" s="27">
        <v>110518</v>
      </c>
      <c r="AE109" s="27" t="s">
        <v>1215</v>
      </c>
      <c r="AF109" s="432">
        <f>VLOOKUP(AD109,[5]Hoja1!$A$10:$K$1393,11,0)</f>
        <v>11244416850</v>
      </c>
      <c r="AG109" s="1507">
        <f>-AG628</f>
        <v>30783870441</v>
      </c>
      <c r="AH109" s="432">
        <f t="shared" si="25"/>
        <v>42028287</v>
      </c>
      <c r="AI109" s="445"/>
      <c r="AL109" s="448"/>
      <c r="AM109" s="467">
        <f>VLOOKUP(AD109,[6]BV201101!$A$10:$A$1236,1,0)</f>
        <v>110518</v>
      </c>
    </row>
    <row r="110" spans="1:39" s="467" customFormat="1" ht="12.75" customHeight="1">
      <c r="A110" s="487" t="str">
        <f t="shared" si="36"/>
        <v>1</v>
      </c>
      <c r="B110" s="487" t="str">
        <f t="shared" si="37"/>
        <v>10</v>
      </c>
      <c r="C110" s="487" t="str">
        <f t="shared" si="38"/>
        <v>51</v>
      </c>
      <c r="D110" s="487" t="str">
        <f t="shared" si="39"/>
        <v>0519</v>
      </c>
      <c r="E110" s="487">
        <v>511160000</v>
      </c>
      <c r="F110" s="488" t="str">
        <f>+G110&amp;H110</f>
        <v/>
      </c>
      <c r="G110" s="487"/>
      <c r="H110" s="487"/>
      <c r="I110" s="488" t="str">
        <f>+J110&amp;K110</f>
        <v/>
      </c>
      <c r="J110" s="487"/>
      <c r="K110" s="487"/>
      <c r="L110" s="488" t="str">
        <f>+M110&amp;N110</f>
        <v/>
      </c>
      <c r="M110" s="487"/>
      <c r="N110" s="487"/>
      <c r="O110" s="488" t="str">
        <f>+P110&amp;Q110</f>
        <v/>
      </c>
      <c r="P110" s="489"/>
      <c r="Q110" s="489"/>
      <c r="R110" s="592" t="str">
        <f>+S110&amp;T110</f>
        <v/>
      </c>
      <c r="S110" s="487"/>
      <c r="T110" s="487"/>
      <c r="U110" s="488" t="str">
        <f>+V110&amp;W110</f>
        <v/>
      </c>
      <c r="V110" s="489"/>
      <c r="W110" s="489"/>
      <c r="X110" s="488" t="str">
        <f>+Y110&amp;Z110</f>
        <v/>
      </c>
      <c r="Y110" s="489"/>
      <c r="Z110" s="489"/>
      <c r="AA110" s="490" t="str">
        <f t="shared" si="35"/>
        <v>301</v>
      </c>
      <c r="AB110" s="489">
        <v>30</v>
      </c>
      <c r="AC110" s="489">
        <v>1</v>
      </c>
      <c r="AD110" s="27">
        <v>110519</v>
      </c>
      <c r="AE110" s="27" t="s">
        <v>1946</v>
      </c>
      <c r="AF110" s="432">
        <f>VLOOKUP(AD110,[5]Hoja1!$A$10:$K$1393,11,0)</f>
        <v>49066343994</v>
      </c>
      <c r="AG110" s="432">
        <v>0</v>
      </c>
      <c r="AH110" s="432">
        <f t="shared" si="25"/>
        <v>49066344</v>
      </c>
      <c r="AL110" s="448"/>
      <c r="AM110" s="467">
        <f>VLOOKUP(AD110,[6]BV201101!$A$10:$A$1236,1,0)</f>
        <v>110519</v>
      </c>
    </row>
    <row r="111" spans="1:39" s="467" customFormat="1" ht="12.75" customHeight="1">
      <c r="A111" s="487" t="str">
        <f t="shared" si="36"/>
        <v>1</v>
      </c>
      <c r="B111" s="487"/>
      <c r="C111" s="487"/>
      <c r="D111" s="487"/>
      <c r="E111" s="487"/>
      <c r="F111" s="488"/>
      <c r="G111" s="487"/>
      <c r="H111" s="487"/>
      <c r="I111" s="488"/>
      <c r="J111" s="487"/>
      <c r="K111" s="487"/>
      <c r="L111" s="488"/>
      <c r="M111" s="487"/>
      <c r="N111" s="487"/>
      <c r="O111" s="488"/>
      <c r="P111" s="489"/>
      <c r="Q111" s="489"/>
      <c r="R111" s="592"/>
      <c r="S111" s="487"/>
      <c r="T111" s="487"/>
      <c r="U111" s="488"/>
      <c r="V111" s="489"/>
      <c r="W111" s="489"/>
      <c r="X111" s="488"/>
      <c r="Y111" s="489"/>
      <c r="Z111" s="489"/>
      <c r="AA111" s="490"/>
      <c r="AB111" s="489"/>
      <c r="AC111" s="489"/>
      <c r="AD111" s="27">
        <v>110520</v>
      </c>
      <c r="AE111" s="27" t="s">
        <v>728</v>
      </c>
      <c r="AF111" s="432">
        <f>VLOOKUP(AD111,[5]Hoja1!$A$10:$K$1393,11,0)</f>
        <v>0</v>
      </c>
      <c r="AG111" s="432"/>
      <c r="AH111" s="432">
        <f t="shared" si="25"/>
        <v>0</v>
      </c>
      <c r="AL111" s="448"/>
      <c r="AM111" s="467">
        <f>VLOOKUP(AD111,[6]BV201101!$A$10:$A$1236,1,0)</f>
        <v>110520</v>
      </c>
    </row>
    <row r="112" spans="1:39" s="467" customFormat="1" ht="12.75" customHeight="1">
      <c r="A112" s="487" t="str">
        <f t="shared" si="36"/>
        <v>1</v>
      </c>
      <c r="B112" s="487"/>
      <c r="C112" s="487"/>
      <c r="D112" s="487"/>
      <c r="E112" s="487"/>
      <c r="F112" s="488"/>
      <c r="G112" s="487"/>
      <c r="H112" s="487"/>
      <c r="I112" s="488"/>
      <c r="J112" s="487"/>
      <c r="K112" s="487"/>
      <c r="L112" s="488"/>
      <c r="M112" s="487"/>
      <c r="N112" s="487"/>
      <c r="O112" s="488"/>
      <c r="P112" s="489"/>
      <c r="Q112" s="489"/>
      <c r="R112" s="592"/>
      <c r="S112" s="487"/>
      <c r="T112" s="487"/>
      <c r="U112" s="488"/>
      <c r="V112" s="489"/>
      <c r="W112" s="489"/>
      <c r="X112" s="488"/>
      <c r="Y112" s="489"/>
      <c r="Z112" s="489"/>
      <c r="AA112" s="490"/>
      <c r="AB112" s="489"/>
      <c r="AC112" s="489"/>
      <c r="AD112" s="27">
        <v>110521</v>
      </c>
      <c r="AE112" s="27" t="s">
        <v>1947</v>
      </c>
      <c r="AF112" s="432">
        <v>0</v>
      </c>
      <c r="AG112" s="432"/>
      <c r="AH112" s="432">
        <f t="shared" si="25"/>
        <v>0</v>
      </c>
      <c r="AL112" s="448"/>
      <c r="AM112" s="467" t="e">
        <f>VLOOKUP(AD112,[6]BV201101!$A$10:$A$1236,1,0)</f>
        <v>#N/A</v>
      </c>
    </row>
    <row r="113" spans="1:39" s="467" customFormat="1" ht="12.75" customHeight="1">
      <c r="A113" s="487" t="str">
        <f t="shared" si="36"/>
        <v>1</v>
      </c>
      <c r="B113" s="487"/>
      <c r="C113" s="487"/>
      <c r="D113" s="487"/>
      <c r="E113" s="487"/>
      <c r="F113" s="488"/>
      <c r="G113" s="487"/>
      <c r="H113" s="487"/>
      <c r="I113" s="488"/>
      <c r="J113" s="487"/>
      <c r="K113" s="487"/>
      <c r="L113" s="488"/>
      <c r="M113" s="487"/>
      <c r="N113" s="487"/>
      <c r="O113" s="488"/>
      <c r="P113" s="489"/>
      <c r="Q113" s="489"/>
      <c r="R113" s="592"/>
      <c r="S113" s="487"/>
      <c r="T113" s="487"/>
      <c r="U113" s="488"/>
      <c r="V113" s="489"/>
      <c r="W113" s="489"/>
      <c r="X113" s="488"/>
      <c r="Y113" s="489"/>
      <c r="Z113" s="489"/>
      <c r="AA113" s="490"/>
      <c r="AB113" s="489"/>
      <c r="AC113" s="489"/>
      <c r="AD113" s="27">
        <v>110522</v>
      </c>
      <c r="AE113" s="27" t="s">
        <v>1948</v>
      </c>
      <c r="AF113" s="432">
        <f>VLOOKUP(AD113,[5]Hoja1!$A$10:$K$1393,11,0)</f>
        <v>0</v>
      </c>
      <c r="AG113" s="432"/>
      <c r="AH113" s="432">
        <f t="shared" si="25"/>
        <v>0</v>
      </c>
      <c r="AL113" s="448"/>
      <c r="AM113" s="467">
        <f>VLOOKUP(AD113,[6]BV201101!$A$10:$A$1236,1,0)</f>
        <v>110522</v>
      </c>
    </row>
    <row r="114" spans="1:39" s="467" customFormat="1" ht="12.75" customHeight="1">
      <c r="A114" s="487" t="str">
        <f t="shared" si="36"/>
        <v>1</v>
      </c>
      <c r="B114" s="487"/>
      <c r="C114" s="487"/>
      <c r="D114" s="487"/>
      <c r="E114" s="487"/>
      <c r="F114" s="488"/>
      <c r="G114" s="487"/>
      <c r="H114" s="487"/>
      <c r="I114" s="488"/>
      <c r="J114" s="487"/>
      <c r="K114" s="487"/>
      <c r="L114" s="488"/>
      <c r="M114" s="487"/>
      <c r="N114" s="487"/>
      <c r="O114" s="488"/>
      <c r="P114" s="489"/>
      <c r="Q114" s="489"/>
      <c r="R114" s="592"/>
      <c r="S114" s="487"/>
      <c r="T114" s="487"/>
      <c r="U114" s="488"/>
      <c r="V114" s="489"/>
      <c r="W114" s="489"/>
      <c r="X114" s="488"/>
      <c r="Y114" s="489"/>
      <c r="Z114" s="489"/>
      <c r="AA114" s="490"/>
      <c r="AB114" s="489"/>
      <c r="AC114" s="489"/>
      <c r="AD114" s="27">
        <v>110523</v>
      </c>
      <c r="AE114" s="27" t="s">
        <v>1949</v>
      </c>
      <c r="AF114" s="432">
        <v>0</v>
      </c>
      <c r="AG114" s="432"/>
      <c r="AH114" s="432">
        <f t="shared" si="25"/>
        <v>0</v>
      </c>
      <c r="AL114" s="448"/>
      <c r="AM114" s="467" t="e">
        <f>VLOOKUP(AD114,[6]BV201101!$A$10:$A$1236,1,0)</f>
        <v>#N/A</v>
      </c>
    </row>
    <row r="115" spans="1:39" s="467" customFormat="1" ht="12.75" customHeight="1">
      <c r="A115" s="487" t="str">
        <f t="shared" si="36"/>
        <v>1</v>
      </c>
      <c r="B115" s="487" t="str">
        <f t="shared" si="37"/>
        <v>10</v>
      </c>
      <c r="C115" s="487" t="str">
        <f t="shared" si="38"/>
        <v>52</v>
      </c>
      <c r="D115" s="487" t="str">
        <f t="shared" si="39"/>
        <v>0524</v>
      </c>
      <c r="E115" s="448">
        <v>511300000</v>
      </c>
      <c r="F115" s="488" t="str">
        <f>+G115&amp;H115</f>
        <v/>
      </c>
      <c r="G115" s="487"/>
      <c r="H115" s="487"/>
      <c r="I115" s="488" t="str">
        <f>+J115&amp;K115</f>
        <v/>
      </c>
      <c r="J115" s="487"/>
      <c r="K115" s="487"/>
      <c r="L115" s="488" t="str">
        <f>+M115&amp;N115</f>
        <v/>
      </c>
      <c r="M115" s="487"/>
      <c r="N115" s="487"/>
      <c r="O115" s="488" t="str">
        <f>+P115&amp;Q115</f>
        <v/>
      </c>
      <c r="P115" s="489"/>
      <c r="Q115" s="489"/>
      <c r="R115" s="592" t="str">
        <f>+S115&amp;T115</f>
        <v/>
      </c>
      <c r="S115" s="487"/>
      <c r="T115" s="487"/>
      <c r="U115" s="488" t="str">
        <f>+V115&amp;W115</f>
        <v/>
      </c>
      <c r="V115" s="489"/>
      <c r="W115" s="489"/>
      <c r="X115" s="488" t="str">
        <f>+Y115&amp;Z115</f>
        <v/>
      </c>
      <c r="Y115" s="489"/>
      <c r="Z115" s="489"/>
      <c r="AA115" s="490"/>
      <c r="AB115" s="489"/>
      <c r="AC115" s="489"/>
      <c r="AD115" s="27">
        <v>110524</v>
      </c>
      <c r="AE115" s="27" t="s">
        <v>1950</v>
      </c>
      <c r="AF115" s="432">
        <f>VLOOKUP(AD115,[5]Hoja1!$A$10:$K$1393,11,0)</f>
        <v>0</v>
      </c>
      <c r="AG115" s="432"/>
      <c r="AH115" s="432">
        <f t="shared" si="25"/>
        <v>0</v>
      </c>
      <c r="AL115" s="448"/>
      <c r="AM115" s="467">
        <f>VLOOKUP(AD115,[6]BV201101!$A$10:$A$1236,1,0)</f>
        <v>110524</v>
      </c>
    </row>
    <row r="116" spans="1:39" s="467" customFormat="1" ht="12.75" customHeight="1">
      <c r="A116" s="487" t="str">
        <f t="shared" si="36"/>
        <v>1</v>
      </c>
      <c r="B116" s="487" t="str">
        <f t="shared" si="37"/>
        <v>10</v>
      </c>
      <c r="C116" s="487" t="str">
        <f t="shared" si="38"/>
        <v>52</v>
      </c>
      <c r="D116" s="487" t="str">
        <f t="shared" si="39"/>
        <v>0525</v>
      </c>
      <c r="E116" s="487">
        <v>511134000</v>
      </c>
      <c r="F116" s="488"/>
      <c r="G116" s="487"/>
      <c r="H116" s="487"/>
      <c r="I116" s="488"/>
      <c r="J116" s="487"/>
      <c r="K116" s="487"/>
      <c r="L116" s="488"/>
      <c r="M116" s="487"/>
      <c r="N116" s="487"/>
      <c r="O116" s="488"/>
      <c r="P116" s="489"/>
      <c r="Q116" s="489"/>
      <c r="R116" s="592"/>
      <c r="S116" s="487"/>
      <c r="T116" s="487"/>
      <c r="U116" s="488"/>
      <c r="V116" s="489"/>
      <c r="W116" s="489"/>
      <c r="X116" s="488"/>
      <c r="Y116" s="489"/>
      <c r="Z116" s="489"/>
      <c r="AA116" s="490"/>
      <c r="AB116" s="489"/>
      <c r="AC116" s="489"/>
      <c r="AD116" s="27">
        <v>110525</v>
      </c>
      <c r="AE116" s="27" t="s">
        <v>987</v>
      </c>
      <c r="AF116" s="432">
        <f>VLOOKUP(AD116,[5]Hoja1!$A$10:$K$1393,11,0)</f>
        <v>0</v>
      </c>
      <c r="AG116" s="432">
        <v>0</v>
      </c>
      <c r="AH116" s="432">
        <f t="shared" si="25"/>
        <v>0</v>
      </c>
      <c r="AL116" s="448"/>
      <c r="AM116" s="467">
        <f>VLOOKUP(AD116,[6]BV201101!$A$10:$A$1236,1,0)</f>
        <v>110525</v>
      </c>
    </row>
    <row r="117" spans="1:39" s="467" customFormat="1" ht="12.75" customHeight="1">
      <c r="A117" s="487" t="str">
        <f t="shared" si="36"/>
        <v>1</v>
      </c>
      <c r="B117" s="487" t="str">
        <f t="shared" si="37"/>
        <v>10</v>
      </c>
      <c r="C117" s="487" t="str">
        <f t="shared" si="38"/>
        <v>52</v>
      </c>
      <c r="D117" s="487" t="str">
        <f t="shared" si="39"/>
        <v>0526</v>
      </c>
      <c r="E117" s="487">
        <v>511139000</v>
      </c>
      <c r="F117" s="488" t="str">
        <f>+G117&amp;H117</f>
        <v/>
      </c>
      <c r="G117" s="487"/>
      <c r="H117" s="487"/>
      <c r="I117" s="488" t="str">
        <f>+J117&amp;K117</f>
        <v/>
      </c>
      <c r="J117" s="487"/>
      <c r="K117" s="487"/>
      <c r="L117" s="488" t="str">
        <f>+M117&amp;N117</f>
        <v/>
      </c>
      <c r="M117" s="489"/>
      <c r="N117" s="489"/>
      <c r="O117" s="488" t="str">
        <f>+P117&amp;Q117</f>
        <v/>
      </c>
      <c r="P117" s="489"/>
      <c r="Q117" s="489"/>
      <c r="R117" s="592" t="str">
        <f>+S117&amp;T117</f>
        <v/>
      </c>
      <c r="S117" s="489"/>
      <c r="T117" s="487"/>
      <c r="U117" s="488" t="str">
        <f>+V117&amp;W117</f>
        <v/>
      </c>
      <c r="V117" s="489"/>
      <c r="W117" s="489"/>
      <c r="X117" s="488" t="str">
        <f>+Y117&amp;Z117</f>
        <v/>
      </c>
      <c r="Y117" s="489"/>
      <c r="Z117" s="489"/>
      <c r="AA117" s="490" t="str">
        <f>+AB117&amp;AC117</f>
        <v xml:space="preserve"> </v>
      </c>
      <c r="AB117" s="489" t="s">
        <v>1805</v>
      </c>
      <c r="AC117" s="489"/>
      <c r="AD117" s="27">
        <v>110526</v>
      </c>
      <c r="AE117" s="27" t="s">
        <v>1951</v>
      </c>
      <c r="AF117" s="432">
        <f>VLOOKUP(AD117,[5]Hoja1!$A$10:$K$1393,11,0)</f>
        <v>369732566</v>
      </c>
      <c r="AG117" s="432"/>
      <c r="AH117" s="432">
        <f t="shared" si="25"/>
        <v>369733</v>
      </c>
      <c r="AL117" s="448"/>
      <c r="AM117" s="467">
        <f>VLOOKUP(AD117,[6]BV201101!$A$10:$A$1236,1,0)</f>
        <v>110526</v>
      </c>
    </row>
    <row r="118" spans="1:39" s="467" customFormat="1" ht="12.75" customHeight="1">
      <c r="A118" s="487" t="str">
        <f t="shared" si="36"/>
        <v>1</v>
      </c>
      <c r="B118" s="487" t="str">
        <f t="shared" si="37"/>
        <v>10</v>
      </c>
      <c r="C118" s="487" t="str">
        <f t="shared" si="38"/>
        <v>52</v>
      </c>
      <c r="D118" s="487" t="str">
        <f t="shared" si="39"/>
        <v>0527</v>
      </c>
      <c r="E118" s="487">
        <v>514340000</v>
      </c>
      <c r="F118" s="488" t="str">
        <f>+G118&amp;H118</f>
        <v/>
      </c>
      <c r="G118" s="487"/>
      <c r="H118" s="487"/>
      <c r="I118" s="488" t="str">
        <f>+J118&amp;K118</f>
        <v/>
      </c>
      <c r="J118" s="487"/>
      <c r="K118" s="487"/>
      <c r="L118" s="488" t="str">
        <f>+M118&amp;N118</f>
        <v/>
      </c>
      <c r="M118" s="487"/>
      <c r="N118" s="487"/>
      <c r="O118" s="488" t="str">
        <f>+P118&amp;Q118</f>
        <v/>
      </c>
      <c r="P118" s="489"/>
      <c r="Q118" s="489"/>
      <c r="R118" s="592" t="str">
        <f>+S118&amp;T118</f>
        <v/>
      </c>
      <c r="S118" s="487"/>
      <c r="T118" s="487"/>
      <c r="U118" s="488" t="str">
        <f>+V118&amp;W118</f>
        <v/>
      </c>
      <c r="V118" s="489"/>
      <c r="W118" s="489"/>
      <c r="X118" s="488" t="str">
        <f>+Y118&amp;Z118</f>
        <v/>
      </c>
      <c r="Y118" s="489"/>
      <c r="Z118" s="489"/>
      <c r="AA118" s="490" t="str">
        <f>+AB118&amp;AC118</f>
        <v>229</v>
      </c>
      <c r="AB118" s="489">
        <v>22</v>
      </c>
      <c r="AC118" s="489">
        <v>9</v>
      </c>
      <c r="AD118" s="27">
        <v>110527</v>
      </c>
      <c r="AE118" s="27" t="s">
        <v>1952</v>
      </c>
      <c r="AF118" s="432">
        <f>VLOOKUP(AD118,[5]Hoja1!$A$10:$K$1393,11,0)</f>
        <v>0</v>
      </c>
      <c r="AG118" s="432"/>
      <c r="AH118" s="432">
        <f t="shared" si="25"/>
        <v>0</v>
      </c>
      <c r="AL118" s="448"/>
      <c r="AM118" s="467">
        <f>VLOOKUP(AD118,[6]BV201101!$A$10:$A$1236,1,0)</f>
        <v>110527</v>
      </c>
    </row>
    <row r="119" spans="1:39" s="467" customFormat="1" ht="12.75" customHeight="1">
      <c r="A119" s="487" t="str">
        <f t="shared" si="36"/>
        <v>1</v>
      </c>
      <c r="B119" s="487" t="str">
        <f t="shared" si="37"/>
        <v>10</v>
      </c>
      <c r="C119" s="487" t="str">
        <f t="shared" si="38"/>
        <v>52</v>
      </c>
      <c r="D119" s="487" t="str">
        <f t="shared" si="39"/>
        <v>0528</v>
      </c>
      <c r="E119" s="487">
        <v>511134000</v>
      </c>
      <c r="F119" s="488"/>
      <c r="G119" s="487"/>
      <c r="H119" s="487"/>
      <c r="I119" s="488"/>
      <c r="J119" s="487"/>
      <c r="K119" s="487"/>
      <c r="L119" s="488"/>
      <c r="M119" s="489"/>
      <c r="N119" s="489"/>
      <c r="O119" s="488"/>
      <c r="P119" s="489"/>
      <c r="Q119" s="489"/>
      <c r="R119" s="592"/>
      <c r="S119" s="489"/>
      <c r="T119" s="487"/>
      <c r="U119" s="488"/>
      <c r="V119" s="489"/>
      <c r="W119" s="489"/>
      <c r="X119" s="488"/>
      <c r="Y119" s="489"/>
      <c r="Z119" s="489"/>
      <c r="AA119" s="490"/>
      <c r="AB119" s="489"/>
      <c r="AC119" s="489"/>
      <c r="AD119" s="27">
        <v>110528</v>
      </c>
      <c r="AE119" s="27" t="s">
        <v>1953</v>
      </c>
      <c r="AF119" s="432">
        <f>VLOOKUP(AD119,[5]Hoja1!$A$10:$K$1393,11,0)</f>
        <v>6559171581</v>
      </c>
      <c r="AG119" s="432"/>
      <c r="AH119" s="432">
        <f t="shared" si="25"/>
        <v>6559172</v>
      </c>
      <c r="AL119" s="448"/>
      <c r="AM119" s="467">
        <f>VLOOKUP(AD119,[6]BV201101!$A$10:$A$1236,1,0)</f>
        <v>110528</v>
      </c>
    </row>
    <row r="120" spans="1:39" s="467" customFormat="1" ht="12.75" customHeight="1">
      <c r="A120" s="487" t="str">
        <f t="shared" si="36"/>
        <v>1</v>
      </c>
      <c r="B120" s="487" t="str">
        <f t="shared" si="37"/>
        <v>10</v>
      </c>
      <c r="C120" s="487" t="str">
        <f t="shared" si="38"/>
        <v>55</v>
      </c>
      <c r="D120" s="487" t="str">
        <f t="shared" si="39"/>
        <v>0550</v>
      </c>
      <c r="E120" s="487">
        <v>511114000</v>
      </c>
      <c r="F120" s="488" t="str">
        <f t="shared" si="28"/>
        <v/>
      </c>
      <c r="G120" s="487"/>
      <c r="H120" s="487"/>
      <c r="I120" s="488" t="str">
        <f t="shared" si="29"/>
        <v/>
      </c>
      <c r="J120" s="487"/>
      <c r="K120" s="487"/>
      <c r="L120" s="488" t="str">
        <f t="shared" si="30"/>
        <v/>
      </c>
      <c r="M120" s="487"/>
      <c r="N120" s="487"/>
      <c r="O120" s="488" t="str">
        <f t="shared" si="31"/>
        <v/>
      </c>
      <c r="P120" s="489"/>
      <c r="Q120" s="489"/>
      <c r="R120" s="592" t="str">
        <f t="shared" si="32"/>
        <v/>
      </c>
      <c r="S120" s="487"/>
      <c r="T120" s="487"/>
      <c r="U120" s="488" t="str">
        <f t="shared" si="33"/>
        <v/>
      </c>
      <c r="V120" s="489"/>
      <c r="W120" s="489"/>
      <c r="X120" s="488" t="str">
        <f t="shared" si="34"/>
        <v/>
      </c>
      <c r="Y120" s="489"/>
      <c r="Z120" s="489"/>
      <c r="AA120" s="490" t="str">
        <f t="shared" ref="AA120:AA129" si="40">+AB120&amp;AC120</f>
        <v>131</v>
      </c>
      <c r="AB120" s="489">
        <v>13</v>
      </c>
      <c r="AC120" s="489">
        <v>1</v>
      </c>
      <c r="AD120" s="27">
        <v>110550</v>
      </c>
      <c r="AE120" s="27" t="s">
        <v>1755</v>
      </c>
      <c r="AF120" s="432">
        <f>VLOOKUP(AD120,[5]Hoja1!$A$10:$K$1393,11,0)</f>
        <v>-6535387178</v>
      </c>
      <c r="AG120" s="432">
        <v>0</v>
      </c>
      <c r="AH120" s="432">
        <f t="shared" si="25"/>
        <v>-6535387</v>
      </c>
      <c r="AL120" s="448"/>
      <c r="AM120" s="467">
        <f>VLOOKUP(AD120,[6]BV201101!$A$10:$A$1236,1,0)</f>
        <v>110550</v>
      </c>
    </row>
    <row r="121" spans="1:39" s="467" customFormat="1" ht="12.75" customHeight="1">
      <c r="A121" s="487" t="str">
        <f t="shared" si="36"/>
        <v>1</v>
      </c>
      <c r="B121" s="487" t="str">
        <f t="shared" si="37"/>
        <v>10</v>
      </c>
      <c r="C121" s="487" t="str">
        <f t="shared" si="38"/>
        <v>55</v>
      </c>
      <c r="D121" s="487" t="str">
        <f t="shared" si="39"/>
        <v>0551</v>
      </c>
      <c r="E121" s="487">
        <v>511114000</v>
      </c>
      <c r="F121" s="488" t="str">
        <f t="shared" si="28"/>
        <v/>
      </c>
      <c r="G121" s="489"/>
      <c r="H121" s="489"/>
      <c r="I121" s="488" t="str">
        <f t="shared" si="29"/>
        <v/>
      </c>
      <c r="J121" s="487"/>
      <c r="K121" s="487"/>
      <c r="L121" s="488" t="str">
        <f t="shared" si="30"/>
        <v/>
      </c>
      <c r="M121" s="487"/>
      <c r="N121" s="487"/>
      <c r="O121" s="488" t="str">
        <f t="shared" si="31"/>
        <v/>
      </c>
      <c r="P121" s="489"/>
      <c r="Q121" s="489"/>
      <c r="R121" s="592" t="str">
        <f t="shared" si="32"/>
        <v/>
      </c>
      <c r="S121" s="487"/>
      <c r="T121" s="487"/>
      <c r="U121" s="488" t="str">
        <f t="shared" si="33"/>
        <v/>
      </c>
      <c r="V121" s="489"/>
      <c r="W121" s="489"/>
      <c r="X121" s="488" t="str">
        <f t="shared" si="34"/>
        <v/>
      </c>
      <c r="Y121" s="489"/>
      <c r="Z121" s="489"/>
      <c r="AA121" s="490" t="str">
        <f t="shared" si="40"/>
        <v>22222</v>
      </c>
      <c r="AB121" s="489">
        <v>22</v>
      </c>
      <c r="AC121" s="489">
        <v>222</v>
      </c>
      <c r="AD121" s="27">
        <v>110551</v>
      </c>
      <c r="AE121" s="27" t="s">
        <v>1954</v>
      </c>
      <c r="AF121" s="432">
        <f>VLOOKUP(AD121,[5]Hoja1!$A$10:$K$1393,11,0)</f>
        <v>-595455873</v>
      </c>
      <c r="AG121" s="432"/>
      <c r="AH121" s="432">
        <f t="shared" si="25"/>
        <v>-595456</v>
      </c>
      <c r="AL121" s="448"/>
      <c r="AM121" s="467">
        <f>VLOOKUP(AD121,[6]BV201101!$A$10:$A$1236,1,0)</f>
        <v>110551</v>
      </c>
    </row>
    <row r="122" spans="1:39" s="467" customFormat="1" ht="12.75" customHeight="1">
      <c r="A122" s="487" t="str">
        <f t="shared" si="36"/>
        <v>1</v>
      </c>
      <c r="B122" s="487" t="str">
        <f t="shared" si="37"/>
        <v>10</v>
      </c>
      <c r="C122" s="487" t="str">
        <f t="shared" si="38"/>
        <v>55</v>
      </c>
      <c r="D122" s="487" t="str">
        <f t="shared" si="39"/>
        <v>0559</v>
      </c>
      <c r="E122" s="487">
        <v>511214000</v>
      </c>
      <c r="F122" s="488" t="str">
        <f>+G122&amp;H122</f>
        <v/>
      </c>
      <c r="G122" s="487"/>
      <c r="H122" s="487"/>
      <c r="I122" s="488" t="str">
        <f>+J122&amp;K122</f>
        <v/>
      </c>
      <c r="J122" s="487"/>
      <c r="K122" s="487"/>
      <c r="L122" s="488" t="str">
        <f>+M122&amp;N122</f>
        <v/>
      </c>
      <c r="M122" s="487"/>
      <c r="N122" s="487"/>
      <c r="O122" s="488" t="str">
        <f>+P122&amp;Q122</f>
        <v/>
      </c>
      <c r="P122" s="489"/>
      <c r="Q122" s="489"/>
      <c r="R122" s="592" t="str">
        <f>+S122&amp;T122</f>
        <v/>
      </c>
      <c r="S122" s="487"/>
      <c r="T122" s="487"/>
      <c r="U122" s="488" t="str">
        <f>+V122&amp;W122</f>
        <v/>
      </c>
      <c r="V122" s="489"/>
      <c r="W122" s="489"/>
      <c r="X122" s="488" t="str">
        <f>+Y122&amp;Z122</f>
        <v/>
      </c>
      <c r="Y122" s="489"/>
      <c r="Z122" s="489"/>
      <c r="AA122" s="490" t="str">
        <f t="shared" si="40"/>
        <v>81</v>
      </c>
      <c r="AB122" s="489">
        <v>8</v>
      </c>
      <c r="AC122" s="489">
        <v>1</v>
      </c>
      <c r="AD122" s="27">
        <v>110559</v>
      </c>
      <c r="AE122" s="27" t="s">
        <v>1588</v>
      </c>
      <c r="AF122" s="432">
        <f>VLOOKUP(AD122,[5]Hoja1!$A$10:$K$1393,11,0)</f>
        <v>0</v>
      </c>
      <c r="AG122" s="432">
        <v>0</v>
      </c>
      <c r="AH122" s="432">
        <f t="shared" si="25"/>
        <v>0</v>
      </c>
      <c r="AL122" s="448"/>
      <c r="AM122" s="467">
        <f>VLOOKUP(AD122,[6]BV201101!$A$10:$A$1236,1,0)</f>
        <v>110559</v>
      </c>
    </row>
    <row r="123" spans="1:39" s="467" customFormat="1" ht="12.75" customHeight="1">
      <c r="A123" s="487" t="str">
        <f t="shared" si="36"/>
        <v>1</v>
      </c>
      <c r="B123" s="487" t="str">
        <f t="shared" si="37"/>
        <v>10</v>
      </c>
      <c r="C123" s="487" t="str">
        <f t="shared" si="38"/>
        <v>56</v>
      </c>
      <c r="D123" s="487" t="str">
        <f t="shared" si="39"/>
        <v>0560</v>
      </c>
      <c r="E123" s="487">
        <v>511214000</v>
      </c>
      <c r="F123" s="488" t="str">
        <f t="shared" si="28"/>
        <v/>
      </c>
      <c r="G123" s="487"/>
      <c r="H123" s="487"/>
      <c r="I123" s="488" t="str">
        <f t="shared" si="29"/>
        <v/>
      </c>
      <c r="J123" s="487"/>
      <c r="K123" s="487"/>
      <c r="L123" s="488" t="str">
        <f t="shared" si="30"/>
        <v/>
      </c>
      <c r="M123" s="487"/>
      <c r="N123" s="487"/>
      <c r="O123" s="488" t="str">
        <f t="shared" si="31"/>
        <v/>
      </c>
      <c r="P123" s="489"/>
      <c r="Q123" s="489"/>
      <c r="R123" s="592" t="str">
        <f t="shared" si="32"/>
        <v/>
      </c>
      <c r="S123" s="487"/>
      <c r="T123" s="487"/>
      <c r="U123" s="488" t="str">
        <f t="shared" si="33"/>
        <v/>
      </c>
      <c r="V123" s="489"/>
      <c r="W123" s="489"/>
      <c r="X123" s="488" t="str">
        <f t="shared" si="34"/>
        <v/>
      </c>
      <c r="Y123" s="489"/>
      <c r="Z123" s="489"/>
      <c r="AA123" s="490" t="str">
        <f t="shared" si="40"/>
        <v>81</v>
      </c>
      <c r="AB123" s="489">
        <v>8</v>
      </c>
      <c r="AC123" s="489">
        <v>1</v>
      </c>
      <c r="AD123" s="27">
        <v>110560</v>
      </c>
      <c r="AE123" s="27" t="s">
        <v>1955</v>
      </c>
      <c r="AF123" s="432">
        <f>VLOOKUP(AD123,[5]Hoja1!$A$10:$K$1393,11,0)</f>
        <v>-612651483</v>
      </c>
      <c r="AG123" s="432">
        <v>0</v>
      </c>
      <c r="AH123" s="432">
        <f t="shared" si="25"/>
        <v>-612651</v>
      </c>
      <c r="AL123" s="448"/>
      <c r="AM123" s="467">
        <f>VLOOKUP(AD123,[6]BV201101!$A$10:$A$1236,1,0)</f>
        <v>110560</v>
      </c>
    </row>
    <row r="124" spans="1:39" s="467" customFormat="1" ht="12.75" customHeight="1">
      <c r="A124" s="487" t="str">
        <f t="shared" si="36"/>
        <v>1</v>
      </c>
      <c r="B124" s="487" t="str">
        <f t="shared" si="37"/>
        <v>10</v>
      </c>
      <c r="C124" s="487" t="str">
        <f t="shared" si="38"/>
        <v>56</v>
      </c>
      <c r="D124" s="487" t="str">
        <f t="shared" si="39"/>
        <v>0561</v>
      </c>
      <c r="E124" s="487">
        <v>511111000</v>
      </c>
      <c r="F124" s="488" t="str">
        <f t="shared" si="28"/>
        <v/>
      </c>
      <c r="G124" s="487"/>
      <c r="H124" s="487"/>
      <c r="I124" s="488" t="str">
        <f t="shared" si="29"/>
        <v/>
      </c>
      <c r="J124" s="487"/>
      <c r="K124" s="487"/>
      <c r="L124" s="488" t="str">
        <f t="shared" si="30"/>
        <v/>
      </c>
      <c r="M124" s="487"/>
      <c r="N124" s="487"/>
      <c r="O124" s="488" t="str">
        <f t="shared" si="31"/>
        <v/>
      </c>
      <c r="P124" s="489"/>
      <c r="Q124" s="489"/>
      <c r="R124" s="592" t="str">
        <f t="shared" si="32"/>
        <v/>
      </c>
      <c r="S124" s="487"/>
      <c r="T124" s="487"/>
      <c r="U124" s="488" t="str">
        <f t="shared" si="33"/>
        <v/>
      </c>
      <c r="V124" s="489"/>
      <c r="W124" s="489"/>
      <c r="X124" s="488" t="str">
        <f t="shared" si="34"/>
        <v/>
      </c>
      <c r="Y124" s="489"/>
      <c r="Z124" s="489"/>
      <c r="AA124" s="490" t="str">
        <f t="shared" si="40"/>
        <v>131</v>
      </c>
      <c r="AB124" s="489">
        <v>13</v>
      </c>
      <c r="AC124" s="489">
        <v>1</v>
      </c>
      <c r="AD124" s="27">
        <v>110561</v>
      </c>
      <c r="AE124" s="27" t="s">
        <v>1756</v>
      </c>
      <c r="AF124" s="432">
        <f>VLOOKUP(AD124,[5]Hoja1!$A$10:$K$1393,11,0)</f>
        <v>1485931650</v>
      </c>
      <c r="AG124" s="1203">
        <v>0</v>
      </c>
      <c r="AH124" s="432">
        <f t="shared" si="25"/>
        <v>1485932</v>
      </c>
      <c r="AL124" s="448"/>
      <c r="AM124" s="467">
        <f>VLOOKUP(AD124,[6]BV201101!$A$10:$A$1236,1,0)</f>
        <v>110561</v>
      </c>
    </row>
    <row r="125" spans="1:39" s="467" customFormat="1" ht="12.75" customHeight="1">
      <c r="A125" s="487" t="str">
        <f t="shared" si="36"/>
        <v>1</v>
      </c>
      <c r="B125" s="487" t="str">
        <f t="shared" si="37"/>
        <v>10</v>
      </c>
      <c r="C125" s="487" t="str">
        <f t="shared" si="38"/>
        <v>56</v>
      </c>
      <c r="D125" s="487" t="str">
        <f t="shared" si="39"/>
        <v>0562</v>
      </c>
      <c r="E125" s="487">
        <v>511135000</v>
      </c>
      <c r="F125" s="488" t="str">
        <f t="shared" si="28"/>
        <v/>
      </c>
      <c r="G125" s="487"/>
      <c r="H125" s="487"/>
      <c r="I125" s="488" t="str">
        <f t="shared" si="29"/>
        <v/>
      </c>
      <c r="J125" s="487"/>
      <c r="K125" s="487"/>
      <c r="L125" s="488" t="str">
        <f t="shared" si="30"/>
        <v/>
      </c>
      <c r="M125" s="487"/>
      <c r="N125" s="487"/>
      <c r="O125" s="488" t="str">
        <f t="shared" si="31"/>
        <v/>
      </c>
      <c r="P125" s="489"/>
      <c r="Q125" s="489"/>
      <c r="R125" s="592" t="str">
        <f t="shared" si="32"/>
        <v/>
      </c>
      <c r="S125" s="487"/>
      <c r="T125" s="487"/>
      <c r="U125" s="488" t="str">
        <f t="shared" si="33"/>
        <v/>
      </c>
      <c r="V125" s="489"/>
      <c r="W125" s="489"/>
      <c r="X125" s="488" t="str">
        <f t="shared" si="34"/>
        <v/>
      </c>
      <c r="Y125" s="489"/>
      <c r="Z125" s="489"/>
      <c r="AA125" s="490" t="str">
        <f t="shared" si="40"/>
        <v/>
      </c>
      <c r="AB125" s="489"/>
      <c r="AC125" s="489"/>
      <c r="AD125" s="27">
        <v>110562</v>
      </c>
      <c r="AE125" s="27" t="s">
        <v>1956</v>
      </c>
      <c r="AF125" s="432">
        <f>VLOOKUP(AD125,[5]Hoja1!$A$10:$K$1393,11,0)</f>
        <v>-6</v>
      </c>
      <c r="AG125" s="432">
        <v>0</v>
      </c>
      <c r="AH125" s="432">
        <f t="shared" si="25"/>
        <v>0</v>
      </c>
      <c r="AL125" s="448"/>
      <c r="AM125" s="467">
        <f>VLOOKUP(AD125,[6]BV201101!$A$10:$A$1236,1,0)</f>
        <v>110562</v>
      </c>
    </row>
    <row r="126" spans="1:39" s="467" customFormat="1" ht="12.75" customHeight="1">
      <c r="A126" s="487" t="str">
        <f t="shared" si="36"/>
        <v>1</v>
      </c>
      <c r="B126" s="487" t="str">
        <f t="shared" si="37"/>
        <v>10</v>
      </c>
      <c r="C126" s="487" t="str">
        <f t="shared" si="38"/>
        <v>56</v>
      </c>
      <c r="D126" s="487" t="str">
        <f t="shared" si="39"/>
        <v>0563</v>
      </c>
      <c r="E126" s="487">
        <v>511135000</v>
      </c>
      <c r="F126" s="488" t="str">
        <f t="shared" si="28"/>
        <v/>
      </c>
      <c r="G126" s="487"/>
      <c r="H126" s="487"/>
      <c r="I126" s="488" t="str">
        <f t="shared" si="29"/>
        <v/>
      </c>
      <c r="J126" s="487"/>
      <c r="K126" s="487"/>
      <c r="L126" s="488" t="str">
        <f t="shared" si="30"/>
        <v/>
      </c>
      <c r="M126" s="487"/>
      <c r="N126" s="487"/>
      <c r="O126" s="488" t="str">
        <f t="shared" si="31"/>
        <v/>
      </c>
      <c r="P126" s="489"/>
      <c r="Q126" s="489"/>
      <c r="R126" s="592" t="str">
        <f t="shared" si="32"/>
        <v/>
      </c>
      <c r="S126" s="487"/>
      <c r="T126" s="487"/>
      <c r="U126" s="488" t="str">
        <f t="shared" si="33"/>
        <v/>
      </c>
      <c r="V126" s="489"/>
      <c r="W126" s="489"/>
      <c r="X126" s="488" t="str">
        <f t="shared" si="34"/>
        <v/>
      </c>
      <c r="Y126" s="489"/>
      <c r="Z126" s="489"/>
      <c r="AA126" s="490" t="str">
        <f t="shared" si="40"/>
        <v/>
      </c>
      <c r="AB126" s="489"/>
      <c r="AC126" s="489"/>
      <c r="AD126" s="27">
        <v>110563</v>
      </c>
      <c r="AE126" s="27" t="s">
        <v>1957</v>
      </c>
      <c r="AF126" s="432">
        <f>VLOOKUP(AD126,[5]Hoja1!$A$10:$K$1393,11,0)</f>
        <v>0</v>
      </c>
      <c r="AG126" s="432">
        <v>0</v>
      </c>
      <c r="AH126" s="432">
        <f t="shared" si="25"/>
        <v>0</v>
      </c>
      <c r="AJ126" s="491"/>
      <c r="AK126" s="491"/>
      <c r="AL126" s="448"/>
      <c r="AM126" s="467">
        <f>VLOOKUP(AD126,[6]BV201101!$A$10:$A$1236,1,0)</f>
        <v>110563</v>
      </c>
    </row>
    <row r="127" spans="1:39" s="467" customFormat="1" ht="12.75" customHeight="1">
      <c r="A127" s="487" t="str">
        <f t="shared" si="36"/>
        <v>1</v>
      </c>
      <c r="B127" s="487" t="str">
        <f t="shared" si="37"/>
        <v>10</v>
      </c>
      <c r="C127" s="487" t="str">
        <f t="shared" si="38"/>
        <v>56</v>
      </c>
      <c r="D127" s="487" t="str">
        <f t="shared" si="39"/>
        <v>0564</v>
      </c>
      <c r="E127" s="487">
        <v>511160000</v>
      </c>
      <c r="F127" s="488" t="str">
        <f t="shared" si="28"/>
        <v/>
      </c>
      <c r="G127" s="487"/>
      <c r="H127" s="487"/>
      <c r="I127" s="488" t="str">
        <f t="shared" si="29"/>
        <v/>
      </c>
      <c r="J127" s="487"/>
      <c r="K127" s="487"/>
      <c r="L127" s="488" t="str">
        <f t="shared" si="30"/>
        <v/>
      </c>
      <c r="M127" s="487"/>
      <c r="N127" s="487"/>
      <c r="O127" s="488" t="str">
        <f t="shared" si="31"/>
        <v/>
      </c>
      <c r="P127" s="489"/>
      <c r="Q127" s="489"/>
      <c r="R127" s="592" t="str">
        <f t="shared" si="32"/>
        <v/>
      </c>
      <c r="S127" s="487"/>
      <c r="T127" s="487"/>
      <c r="U127" s="488" t="str">
        <f t="shared" si="33"/>
        <v/>
      </c>
      <c r="V127" s="489"/>
      <c r="W127" s="489"/>
      <c r="X127" s="488" t="str">
        <f t="shared" si="34"/>
        <v/>
      </c>
      <c r="Y127" s="489"/>
      <c r="Z127" s="489"/>
      <c r="AA127" s="490" t="str">
        <f t="shared" si="40"/>
        <v>303</v>
      </c>
      <c r="AB127" s="489">
        <v>30</v>
      </c>
      <c r="AC127" s="489">
        <v>3</v>
      </c>
      <c r="AD127" s="27">
        <v>110564</v>
      </c>
      <c r="AE127" s="27" t="s">
        <v>1958</v>
      </c>
      <c r="AF127" s="432">
        <f>VLOOKUP(AD127,[5]Hoja1!$A$10:$K$1393,11,0)</f>
        <v>0</v>
      </c>
      <c r="AG127" s="432">
        <v>0</v>
      </c>
      <c r="AH127" s="432">
        <f t="shared" si="25"/>
        <v>0</v>
      </c>
      <c r="AK127" s="445"/>
      <c r="AL127" s="473">
        <f>+AG127</f>
        <v>0</v>
      </c>
      <c r="AM127" s="467">
        <f>VLOOKUP(AD127,[6]BV201101!$A$10:$A$1236,1,0)</f>
        <v>110564</v>
      </c>
    </row>
    <row r="128" spans="1:39" s="467" customFormat="1" ht="12.75">
      <c r="A128" s="487" t="str">
        <f t="shared" si="36"/>
        <v>1</v>
      </c>
      <c r="B128" s="487" t="str">
        <f t="shared" si="37"/>
        <v>10</v>
      </c>
      <c r="C128" s="487" t="str">
        <f t="shared" si="38"/>
        <v>56</v>
      </c>
      <c r="D128" s="487" t="str">
        <f t="shared" si="39"/>
        <v>0565</v>
      </c>
      <c r="E128" s="487">
        <v>511113000</v>
      </c>
      <c r="F128" s="488" t="str">
        <f t="shared" si="28"/>
        <v/>
      </c>
      <c r="G128" s="487"/>
      <c r="H128" s="487"/>
      <c r="I128" s="488" t="str">
        <f t="shared" si="29"/>
        <v/>
      </c>
      <c r="J128" s="487"/>
      <c r="K128" s="487"/>
      <c r="L128" s="488" t="str">
        <f t="shared" si="30"/>
        <v/>
      </c>
      <c r="M128" s="487"/>
      <c r="N128" s="487"/>
      <c r="O128" s="488" t="str">
        <f t="shared" si="31"/>
        <v/>
      </c>
      <c r="P128" s="489"/>
      <c r="Q128" s="489"/>
      <c r="R128" s="592" t="str">
        <f t="shared" si="32"/>
        <v/>
      </c>
      <c r="S128" s="487"/>
      <c r="T128" s="487"/>
      <c r="U128" s="488" t="str">
        <f t="shared" si="33"/>
        <v/>
      </c>
      <c r="V128" s="489"/>
      <c r="W128" s="489"/>
      <c r="X128" s="488" t="str">
        <f t="shared" si="34"/>
        <v/>
      </c>
      <c r="Y128" s="489"/>
      <c r="Z128" s="489"/>
      <c r="AA128" s="490" t="str">
        <f t="shared" si="40"/>
        <v>131</v>
      </c>
      <c r="AB128" s="489">
        <v>13</v>
      </c>
      <c r="AC128" s="489">
        <v>1</v>
      </c>
      <c r="AD128" s="27">
        <v>110565</v>
      </c>
      <c r="AE128" s="27" t="s">
        <v>759</v>
      </c>
      <c r="AF128" s="432">
        <f>VLOOKUP(AD128,[5]Hoja1!$A$10:$K$1393,11,0)</f>
        <v>0</v>
      </c>
      <c r="AG128" s="432">
        <v>0</v>
      </c>
      <c r="AH128" s="432">
        <f t="shared" si="25"/>
        <v>0</v>
      </c>
      <c r="AJ128" s="491"/>
      <c r="AL128" s="448"/>
      <c r="AM128" s="467">
        <f>VLOOKUP(AD128,[6]BV201101!$A$10:$A$1236,1,0)</f>
        <v>110565</v>
      </c>
    </row>
    <row r="129" spans="1:39" s="467" customFormat="1" ht="12.75" customHeight="1">
      <c r="A129" s="487" t="str">
        <f t="shared" si="36"/>
        <v>1</v>
      </c>
      <c r="B129" s="487" t="str">
        <f t="shared" si="37"/>
        <v>10</v>
      </c>
      <c r="C129" s="487" t="str">
        <f t="shared" si="38"/>
        <v>56</v>
      </c>
      <c r="D129" s="487" t="str">
        <f t="shared" si="39"/>
        <v>0566</v>
      </c>
      <c r="E129" s="487">
        <v>511111000</v>
      </c>
      <c r="F129" s="488"/>
      <c r="G129" s="487"/>
      <c r="H129" s="487"/>
      <c r="I129" s="488"/>
      <c r="J129" s="487"/>
      <c r="K129" s="487"/>
      <c r="L129" s="488"/>
      <c r="M129" s="487"/>
      <c r="N129" s="487"/>
      <c r="O129" s="488"/>
      <c r="P129" s="489"/>
      <c r="Q129" s="489"/>
      <c r="R129" s="592"/>
      <c r="S129" s="487"/>
      <c r="T129" s="487"/>
      <c r="U129" s="488"/>
      <c r="V129" s="489"/>
      <c r="W129" s="489"/>
      <c r="X129" s="488"/>
      <c r="Y129" s="489"/>
      <c r="Z129" s="489"/>
      <c r="AA129" s="490" t="str">
        <f t="shared" si="40"/>
        <v>131</v>
      </c>
      <c r="AB129" s="489">
        <v>13</v>
      </c>
      <c r="AC129" s="489">
        <v>1</v>
      </c>
      <c r="AD129" s="27">
        <v>110566</v>
      </c>
      <c r="AE129" s="27" t="s">
        <v>1959</v>
      </c>
      <c r="AF129" s="432">
        <f>VLOOKUP(AD129,[5]Hoja1!$A$10:$K$1393,11,0)</f>
        <v>4865273244</v>
      </c>
      <c r="AG129" s="432">
        <v>0</v>
      </c>
      <c r="AH129" s="432">
        <f t="shared" si="25"/>
        <v>4865273</v>
      </c>
      <c r="AJ129" s="491"/>
      <c r="AL129" s="448"/>
      <c r="AM129" s="467">
        <f>VLOOKUP(AD129,[6]BV201101!$A$10:$A$1236,1,0)</f>
        <v>110566</v>
      </c>
    </row>
    <row r="130" spans="1:39" s="467" customFormat="1" ht="12.75" customHeight="1">
      <c r="A130" s="487" t="str">
        <f t="shared" si="36"/>
        <v>1</v>
      </c>
      <c r="B130" s="487" t="str">
        <f t="shared" si="37"/>
        <v>10</v>
      </c>
      <c r="C130" s="487" t="str">
        <f t="shared" si="38"/>
        <v>56</v>
      </c>
      <c r="D130" s="487" t="str">
        <f t="shared" si="39"/>
        <v>0567</v>
      </c>
      <c r="E130" s="487">
        <v>511134000</v>
      </c>
      <c r="F130" s="488"/>
      <c r="G130" s="487"/>
      <c r="H130" s="487"/>
      <c r="I130" s="488"/>
      <c r="J130" s="487"/>
      <c r="K130" s="487"/>
      <c r="L130" s="488"/>
      <c r="M130" s="487"/>
      <c r="N130" s="487"/>
      <c r="O130" s="488"/>
      <c r="P130" s="489"/>
      <c r="Q130" s="489"/>
      <c r="R130" s="592"/>
      <c r="S130" s="487"/>
      <c r="T130" s="487"/>
      <c r="U130" s="488"/>
      <c r="V130" s="489"/>
      <c r="W130" s="489"/>
      <c r="X130" s="488"/>
      <c r="Y130" s="489"/>
      <c r="Z130" s="489"/>
      <c r="AA130" s="490"/>
      <c r="AB130" s="489"/>
      <c r="AC130" s="489"/>
      <c r="AD130" s="27">
        <v>110567</v>
      </c>
      <c r="AE130" s="27" t="s">
        <v>1541</v>
      </c>
      <c r="AF130" s="432">
        <f>VLOOKUP(AD130,[5]Hoja1!$A$10:$K$1393,11,0)</f>
        <v>16398632954</v>
      </c>
      <c r="AG130" s="432">
        <v>0</v>
      </c>
      <c r="AH130" s="432">
        <f t="shared" si="25"/>
        <v>16398633</v>
      </c>
      <c r="AJ130" s="491"/>
      <c r="AL130" s="473">
        <f>+AG130</f>
        <v>0</v>
      </c>
      <c r="AM130" s="467">
        <f>VLOOKUP(AD130,[6]BV201101!$A$10:$A$1236,1,0)</f>
        <v>110567</v>
      </c>
    </row>
    <row r="131" spans="1:39" s="467" customFormat="1" ht="12.75" customHeight="1">
      <c r="A131" s="487" t="str">
        <f t="shared" si="36"/>
        <v>1</v>
      </c>
      <c r="B131" s="487" t="str">
        <f t="shared" si="37"/>
        <v>10</v>
      </c>
      <c r="C131" s="487" t="str">
        <f t="shared" si="38"/>
        <v>56</v>
      </c>
      <c r="D131" s="487" t="str">
        <f t="shared" si="39"/>
        <v>0568</v>
      </c>
      <c r="E131" s="487">
        <v>511111000</v>
      </c>
      <c r="F131" s="488"/>
      <c r="G131" s="487"/>
      <c r="H131" s="487"/>
      <c r="I131" s="488"/>
      <c r="J131" s="487"/>
      <c r="K131" s="487"/>
      <c r="L131" s="488"/>
      <c r="M131" s="487"/>
      <c r="N131" s="487"/>
      <c r="O131" s="488"/>
      <c r="P131" s="489"/>
      <c r="Q131" s="489"/>
      <c r="R131" s="592"/>
      <c r="S131" s="487"/>
      <c r="T131" s="487"/>
      <c r="U131" s="488"/>
      <c r="V131" s="489"/>
      <c r="W131" s="489"/>
      <c r="X131" s="488"/>
      <c r="Y131" s="489"/>
      <c r="Z131" s="489"/>
      <c r="AA131" s="490" t="str">
        <f>+AB131&amp;AC131</f>
        <v>131</v>
      </c>
      <c r="AB131" s="489">
        <v>13</v>
      </c>
      <c r="AC131" s="489">
        <v>1</v>
      </c>
      <c r="AD131" s="27">
        <v>110568</v>
      </c>
      <c r="AE131" s="27" t="s">
        <v>1280</v>
      </c>
      <c r="AF131" s="432">
        <f>VLOOKUP(AD131,[5]Hoja1!$A$10:$K$1393,11,0)</f>
        <v>0</v>
      </c>
      <c r="AG131" s="432">
        <v>0</v>
      </c>
      <c r="AH131" s="432">
        <f t="shared" si="25"/>
        <v>0</v>
      </c>
      <c r="AJ131" s="491"/>
      <c r="AL131" s="448"/>
      <c r="AM131" s="467">
        <f>VLOOKUP(AD131,[6]BV201101!$A$10:$A$1236,1,0)</f>
        <v>110568</v>
      </c>
    </row>
    <row r="132" spans="1:39" s="467" customFormat="1" ht="12.75">
      <c r="A132" s="487" t="str">
        <f t="shared" si="36"/>
        <v>1</v>
      </c>
      <c r="B132" s="487" t="str">
        <f t="shared" si="37"/>
        <v>10</v>
      </c>
      <c r="C132" s="487" t="str">
        <f t="shared" si="38"/>
        <v>56</v>
      </c>
      <c r="D132" s="487" t="str">
        <f t="shared" si="39"/>
        <v>0569</v>
      </c>
      <c r="E132" s="487">
        <v>511113000</v>
      </c>
      <c r="F132" s="488" t="str">
        <f>+G132&amp;H132</f>
        <v/>
      </c>
      <c r="G132" s="487"/>
      <c r="H132" s="487"/>
      <c r="I132" s="488" t="str">
        <f>+J132&amp;K132</f>
        <v/>
      </c>
      <c r="J132" s="487"/>
      <c r="K132" s="487"/>
      <c r="L132" s="488" t="str">
        <f>+M132&amp;N132</f>
        <v/>
      </c>
      <c r="M132" s="487"/>
      <c r="N132" s="487"/>
      <c r="O132" s="488" t="str">
        <f>+P132&amp;Q132</f>
        <v/>
      </c>
      <c r="P132" s="489"/>
      <c r="Q132" s="489"/>
      <c r="R132" s="592" t="str">
        <f>+S132&amp;T132</f>
        <v/>
      </c>
      <c r="S132" s="487"/>
      <c r="T132" s="487"/>
      <c r="U132" s="488" t="str">
        <f>+V132&amp;W132</f>
        <v/>
      </c>
      <c r="V132" s="489"/>
      <c r="W132" s="489"/>
      <c r="X132" s="488" t="str">
        <f>+Y132&amp;Z132</f>
        <v/>
      </c>
      <c r="Y132" s="489"/>
      <c r="Z132" s="489"/>
      <c r="AA132" s="490" t="str">
        <f>+AB132&amp;AC132</f>
        <v>131</v>
      </c>
      <c r="AB132" s="489">
        <v>13</v>
      </c>
      <c r="AC132" s="489">
        <v>1</v>
      </c>
      <c r="AD132" s="27">
        <v>110569</v>
      </c>
      <c r="AE132" s="27" t="s">
        <v>1960</v>
      </c>
      <c r="AF132" s="432">
        <f>VLOOKUP(AD132,[5]Hoja1!$A$10:$K$1393,11,0)</f>
        <v>9015496187</v>
      </c>
      <c r="AG132" s="432"/>
      <c r="AH132" s="432">
        <f t="shared" si="25"/>
        <v>9015496</v>
      </c>
      <c r="AJ132" s="491"/>
      <c r="AL132" s="448"/>
      <c r="AM132" s="467">
        <f>VLOOKUP(AD132,[6]BV201101!$A$10:$A$1236,1,0)</f>
        <v>110569</v>
      </c>
    </row>
    <row r="133" spans="1:39" s="467" customFormat="1" ht="12.75" customHeight="1">
      <c r="A133" s="487" t="str">
        <f t="shared" si="36"/>
        <v>1</v>
      </c>
      <c r="B133" s="487" t="str">
        <f t="shared" si="37"/>
        <v>10</v>
      </c>
      <c r="C133" s="487" t="str">
        <f t="shared" si="38"/>
        <v>57</v>
      </c>
      <c r="D133" s="487" t="str">
        <f t="shared" si="39"/>
        <v>0570</v>
      </c>
      <c r="E133" s="487">
        <v>511111000</v>
      </c>
      <c r="F133" s="488" t="str">
        <f>+G133&amp;H133</f>
        <v/>
      </c>
      <c r="G133" s="487"/>
      <c r="H133" s="487"/>
      <c r="I133" s="488" t="str">
        <f>+J133&amp;K133</f>
        <v/>
      </c>
      <c r="J133" s="487"/>
      <c r="K133" s="487"/>
      <c r="L133" s="488" t="str">
        <f>+M133&amp;N133</f>
        <v/>
      </c>
      <c r="M133" s="487"/>
      <c r="N133" s="487"/>
      <c r="O133" s="488" t="str">
        <f>+P133&amp;Q133</f>
        <v/>
      </c>
      <c r="P133" s="489"/>
      <c r="Q133" s="489"/>
      <c r="R133" s="592" t="str">
        <f>+S133&amp;T133</f>
        <v/>
      </c>
      <c r="S133" s="487"/>
      <c r="T133" s="487"/>
      <c r="U133" s="488" t="str">
        <f>+V133&amp;W133</f>
        <v/>
      </c>
      <c r="V133" s="489"/>
      <c r="W133" s="489"/>
      <c r="X133" s="488" t="str">
        <f>+Y133&amp;Z133</f>
        <v/>
      </c>
      <c r="Y133" s="489"/>
      <c r="Z133" s="489"/>
      <c r="AA133" s="490" t="str">
        <f>+AB133&amp;AC133</f>
        <v>131</v>
      </c>
      <c r="AB133" s="489">
        <v>13</v>
      </c>
      <c r="AC133" s="489">
        <v>1</v>
      </c>
      <c r="AD133" s="27">
        <v>110570</v>
      </c>
      <c r="AE133" s="27" t="s">
        <v>1961</v>
      </c>
      <c r="AF133" s="432">
        <f>VLOOKUP(AD133,[5]Hoja1!$A$10:$K$1393,11,0)</f>
        <v>0</v>
      </c>
      <c r="AG133" s="432">
        <v>0</v>
      </c>
      <c r="AH133" s="432">
        <f t="shared" si="25"/>
        <v>0</v>
      </c>
      <c r="AJ133" s="491"/>
      <c r="AL133" s="448"/>
      <c r="AM133" s="467">
        <f>VLOOKUP(AD133,[6]BV201101!$A$10:$A$1236,1,0)</f>
        <v>110570</v>
      </c>
    </row>
    <row r="134" spans="1:39" s="467" customFormat="1" ht="12.75" customHeight="1">
      <c r="A134" s="487">
        <v>1</v>
      </c>
      <c r="B134" s="487"/>
      <c r="C134" s="487"/>
      <c r="D134" s="487"/>
      <c r="E134" s="487">
        <v>511113000</v>
      </c>
      <c r="F134" s="488"/>
      <c r="G134" s="487"/>
      <c r="H134" s="487"/>
      <c r="I134" s="488"/>
      <c r="J134" s="487"/>
      <c r="K134" s="487"/>
      <c r="L134" s="488"/>
      <c r="M134" s="487"/>
      <c r="N134" s="487"/>
      <c r="O134" s="488"/>
      <c r="P134" s="489"/>
      <c r="Q134" s="489"/>
      <c r="R134" s="592"/>
      <c r="S134" s="487"/>
      <c r="T134" s="487"/>
      <c r="U134" s="488"/>
      <c r="V134" s="489"/>
      <c r="W134" s="489"/>
      <c r="X134" s="488"/>
      <c r="Y134" s="489"/>
      <c r="Z134" s="489"/>
      <c r="AA134" s="490"/>
      <c r="AB134" s="489"/>
      <c r="AC134" s="489"/>
      <c r="AD134" s="927">
        <v>110573</v>
      </c>
      <c r="AE134" s="27" t="s">
        <v>2666</v>
      </c>
      <c r="AF134" s="432">
        <f>VLOOKUP(AD134,[5]Hoja1!$A$10:$K$1393,11,0)</f>
        <v>223975618</v>
      </c>
      <c r="AG134" s="432"/>
      <c r="AH134" s="432">
        <f t="shared" si="25"/>
        <v>223976</v>
      </c>
      <c r="AJ134" s="491"/>
      <c r="AL134" s="448"/>
    </row>
    <row r="135" spans="1:39" s="467" customFormat="1" ht="12.75" customHeight="1">
      <c r="A135" s="487">
        <v>1</v>
      </c>
      <c r="B135" s="487"/>
      <c r="C135" s="487"/>
      <c r="D135" s="487"/>
      <c r="E135" s="487">
        <v>511112000</v>
      </c>
      <c r="F135" s="488"/>
      <c r="G135" s="487"/>
      <c r="H135" s="487"/>
      <c r="I135" s="488"/>
      <c r="J135" s="487"/>
      <c r="K135" s="487"/>
      <c r="L135" s="488"/>
      <c r="M135" s="487"/>
      <c r="N135" s="487"/>
      <c r="O135" s="488"/>
      <c r="P135" s="489"/>
      <c r="Q135" s="489"/>
      <c r="R135" s="592"/>
      <c r="S135" s="487"/>
      <c r="T135" s="487"/>
      <c r="U135" s="488"/>
      <c r="V135" s="489"/>
      <c r="W135" s="489"/>
      <c r="X135" s="488"/>
      <c r="Y135" s="489"/>
      <c r="Z135" s="489"/>
      <c r="AA135" s="490"/>
      <c r="AB135" s="489"/>
      <c r="AC135" s="489"/>
      <c r="AD135" s="927">
        <v>110574</v>
      </c>
      <c r="AE135" s="27" t="s">
        <v>2667</v>
      </c>
      <c r="AF135" s="432">
        <f>VLOOKUP(AD135,[5]Hoja1!$A$10:$K$1393,11,0)</f>
        <v>223215030</v>
      </c>
      <c r="AG135" s="432"/>
      <c r="AH135" s="432">
        <f t="shared" si="25"/>
        <v>223215</v>
      </c>
      <c r="AJ135" s="491"/>
      <c r="AL135" s="448"/>
    </row>
    <row r="136" spans="1:39" s="467" customFormat="1" ht="12.75" customHeight="1">
      <c r="A136" s="487">
        <v>1</v>
      </c>
      <c r="B136" s="487"/>
      <c r="C136" s="487"/>
      <c r="D136" s="487"/>
      <c r="E136" s="487">
        <v>511111000</v>
      </c>
      <c r="F136" s="488"/>
      <c r="G136" s="487"/>
      <c r="H136" s="487"/>
      <c r="I136" s="488"/>
      <c r="J136" s="487"/>
      <c r="K136" s="487"/>
      <c r="L136" s="488"/>
      <c r="M136" s="487"/>
      <c r="N136" s="487"/>
      <c r="O136" s="488"/>
      <c r="P136" s="489"/>
      <c r="Q136" s="489"/>
      <c r="R136" s="592"/>
      <c r="S136" s="487"/>
      <c r="T136" s="487"/>
      <c r="U136" s="488"/>
      <c r="V136" s="489"/>
      <c r="W136" s="489"/>
      <c r="X136" s="488"/>
      <c r="Y136" s="489"/>
      <c r="Z136" s="489"/>
      <c r="AA136" s="490"/>
      <c r="AB136" s="489"/>
      <c r="AC136" s="489"/>
      <c r="AD136" s="927">
        <v>110575</v>
      </c>
      <c r="AE136" s="27" t="s">
        <v>2668</v>
      </c>
      <c r="AF136" s="432">
        <f>VLOOKUP(AD136,[5]Hoja1!$A$10:$K$1393,11,0)</f>
        <v>569319946</v>
      </c>
      <c r="AG136" s="1191">
        <v>2209255</v>
      </c>
      <c r="AH136" s="432">
        <f t="shared" si="25"/>
        <v>571529</v>
      </c>
      <c r="AJ136" s="491"/>
      <c r="AL136" s="448"/>
    </row>
    <row r="137" spans="1:39" s="467" customFormat="1" ht="12.75" customHeight="1">
      <c r="A137" s="487">
        <v>1</v>
      </c>
      <c r="B137" s="487"/>
      <c r="C137" s="487"/>
      <c r="D137" s="487"/>
      <c r="E137" s="487">
        <v>511122200</v>
      </c>
      <c r="F137" s="488"/>
      <c r="G137" s="487"/>
      <c r="H137" s="487"/>
      <c r="I137" s="488"/>
      <c r="J137" s="487"/>
      <c r="K137" s="487"/>
      <c r="L137" s="488"/>
      <c r="M137" s="487"/>
      <c r="N137" s="487"/>
      <c r="O137" s="488"/>
      <c r="P137" s="489"/>
      <c r="Q137" s="489"/>
      <c r="R137" s="592"/>
      <c r="S137" s="487"/>
      <c r="T137" s="487"/>
      <c r="U137" s="488"/>
      <c r="V137" s="489"/>
      <c r="W137" s="489"/>
      <c r="X137" s="488"/>
      <c r="Y137" s="489"/>
      <c r="Z137" s="489"/>
      <c r="AA137" s="490"/>
      <c r="AB137" s="489"/>
      <c r="AC137" s="489"/>
      <c r="AD137" s="927">
        <v>110576</v>
      </c>
      <c r="AE137" s="27" t="s">
        <v>2669</v>
      </c>
      <c r="AF137" s="432">
        <f>VLOOKUP(AD137,[5]Hoja1!$A$10:$K$1393,11,0)</f>
        <v>62638708</v>
      </c>
      <c r="AG137" s="432"/>
      <c r="AH137" s="432">
        <f t="shared" si="25"/>
        <v>62639</v>
      </c>
      <c r="AJ137" s="491"/>
      <c r="AL137" s="448"/>
    </row>
    <row r="138" spans="1:39" s="467" customFormat="1" ht="12.75" customHeight="1">
      <c r="A138" s="487">
        <v>1</v>
      </c>
      <c r="B138" s="487"/>
      <c r="C138" s="487"/>
      <c r="D138" s="487"/>
      <c r="E138" s="487">
        <v>511112000</v>
      </c>
      <c r="F138" s="488"/>
      <c r="G138" s="487"/>
      <c r="H138" s="487"/>
      <c r="I138" s="488"/>
      <c r="J138" s="487"/>
      <c r="K138" s="487"/>
      <c r="L138" s="488"/>
      <c r="M138" s="487"/>
      <c r="N138" s="487"/>
      <c r="O138" s="488"/>
      <c r="P138" s="489"/>
      <c r="Q138" s="489"/>
      <c r="R138" s="592"/>
      <c r="S138" s="487"/>
      <c r="T138" s="487"/>
      <c r="U138" s="488"/>
      <c r="V138" s="489"/>
      <c r="W138" s="489"/>
      <c r="X138" s="488"/>
      <c r="Y138" s="489"/>
      <c r="Z138" s="489"/>
      <c r="AA138" s="490"/>
      <c r="AB138" s="489"/>
      <c r="AC138" s="489"/>
      <c r="AD138" s="927">
        <v>110577</v>
      </c>
      <c r="AE138" s="27" t="s">
        <v>2670</v>
      </c>
      <c r="AF138" s="432">
        <f>VLOOKUP(AD138,[5]Hoja1!$A$10:$K$1393,11,0)</f>
        <v>6498602194</v>
      </c>
      <c r="AG138" s="432"/>
      <c r="AH138" s="432">
        <f t="shared" si="25"/>
        <v>6498602</v>
      </c>
      <c r="AJ138" s="491"/>
      <c r="AL138" s="448"/>
    </row>
    <row r="139" spans="1:39" s="467" customFormat="1" ht="12.75" customHeight="1">
      <c r="A139" s="487">
        <v>1</v>
      </c>
      <c r="B139" s="487"/>
      <c r="C139" s="487"/>
      <c r="D139" s="487"/>
      <c r="E139" s="487">
        <v>511112000</v>
      </c>
      <c r="F139" s="488"/>
      <c r="G139" s="487"/>
      <c r="H139" s="487"/>
      <c r="I139" s="488"/>
      <c r="J139" s="487"/>
      <c r="K139" s="487"/>
      <c r="L139" s="488"/>
      <c r="M139" s="487"/>
      <c r="N139" s="487"/>
      <c r="O139" s="488"/>
      <c r="P139" s="489"/>
      <c r="Q139" s="489"/>
      <c r="R139" s="592"/>
      <c r="S139" s="487"/>
      <c r="T139" s="487"/>
      <c r="U139" s="488"/>
      <c r="V139" s="489"/>
      <c r="W139" s="489"/>
      <c r="X139" s="488"/>
      <c r="Y139" s="489"/>
      <c r="Z139" s="489"/>
      <c r="AA139" s="490"/>
      <c r="AB139" s="489"/>
      <c r="AC139" s="489"/>
      <c r="AD139" s="927">
        <v>110578</v>
      </c>
      <c r="AE139" s="27" t="s">
        <v>2671</v>
      </c>
      <c r="AF139" s="432">
        <f>VLOOKUP(AD139,[5]Hoja1!$A$10:$K$1393,11,0)</f>
        <v>332748871</v>
      </c>
      <c r="AG139" s="432"/>
      <c r="AH139" s="432">
        <f t="shared" ref="AH139:AH202" si="41">ROUND((AF139+AG139)/$AH$2,0)</f>
        <v>332749</v>
      </c>
      <c r="AJ139" s="491"/>
      <c r="AL139" s="448"/>
    </row>
    <row r="140" spans="1:39" s="467" customFormat="1" ht="12.75" customHeight="1">
      <c r="A140" s="487">
        <v>1</v>
      </c>
      <c r="B140" s="487"/>
      <c r="C140" s="487"/>
      <c r="D140" s="487"/>
      <c r="E140" s="487">
        <v>511112000</v>
      </c>
      <c r="F140" s="488"/>
      <c r="G140" s="487"/>
      <c r="H140" s="487"/>
      <c r="I140" s="488"/>
      <c r="J140" s="487"/>
      <c r="K140" s="487"/>
      <c r="L140" s="488"/>
      <c r="M140" s="487"/>
      <c r="N140" s="487"/>
      <c r="O140" s="488"/>
      <c r="P140" s="489"/>
      <c r="Q140" s="489"/>
      <c r="R140" s="592"/>
      <c r="S140" s="487"/>
      <c r="T140" s="487"/>
      <c r="U140" s="488"/>
      <c r="V140" s="489"/>
      <c r="W140" s="489"/>
      <c r="X140" s="488"/>
      <c r="Y140" s="489"/>
      <c r="Z140" s="489"/>
      <c r="AA140" s="490"/>
      <c r="AB140" s="489"/>
      <c r="AC140" s="489"/>
      <c r="AD140" s="927">
        <v>110579</v>
      </c>
      <c r="AE140" s="27" t="s">
        <v>2672</v>
      </c>
      <c r="AF140" s="432">
        <f>VLOOKUP(AD140,[5]Hoja1!$A$10:$K$1393,11,0)</f>
        <v>4685531</v>
      </c>
      <c r="AG140" s="432"/>
      <c r="AH140" s="432">
        <f t="shared" si="41"/>
        <v>4686</v>
      </c>
      <c r="AJ140" s="491"/>
      <c r="AL140" s="448"/>
    </row>
    <row r="141" spans="1:39" s="467" customFormat="1" ht="12.75" customHeight="1">
      <c r="A141" s="934">
        <v>1</v>
      </c>
      <c r="B141" s="487"/>
      <c r="C141" s="487"/>
      <c r="D141" s="487"/>
      <c r="E141" s="487">
        <v>511111000</v>
      </c>
      <c r="F141" s="488"/>
      <c r="G141" s="487"/>
      <c r="H141" s="487"/>
      <c r="I141" s="488"/>
      <c r="J141" s="487"/>
      <c r="K141" s="487"/>
      <c r="L141" s="488"/>
      <c r="M141" s="487"/>
      <c r="N141" s="487"/>
      <c r="O141" s="488"/>
      <c r="P141" s="489"/>
      <c r="Q141" s="489"/>
      <c r="R141" s="592"/>
      <c r="S141" s="487"/>
      <c r="T141" s="487"/>
      <c r="U141" s="488"/>
      <c r="V141" s="489"/>
      <c r="W141" s="489"/>
      <c r="X141" s="488"/>
      <c r="Y141" s="489"/>
      <c r="Z141" s="489"/>
      <c r="AA141" s="490"/>
      <c r="AB141" s="489"/>
      <c r="AC141" s="489"/>
      <c r="AD141" s="927">
        <v>110580</v>
      </c>
      <c r="AE141" s="27" t="s">
        <v>2673</v>
      </c>
      <c r="AF141" s="432">
        <f>VLOOKUP(AD141,[5]Hoja1!$A$10:$K$1393,11,0)</f>
        <v>751484582</v>
      </c>
      <c r="AG141" s="432"/>
      <c r="AH141" s="432">
        <f t="shared" si="41"/>
        <v>751485</v>
      </c>
      <c r="AJ141" s="491"/>
      <c r="AL141" s="448"/>
    </row>
    <row r="142" spans="1:39" s="467" customFormat="1" ht="12.75" customHeight="1">
      <c r="A142" s="934">
        <v>1</v>
      </c>
      <c r="B142" s="487"/>
      <c r="C142" s="487"/>
      <c r="D142" s="487"/>
      <c r="E142" s="487">
        <v>511111000</v>
      </c>
      <c r="F142" s="488"/>
      <c r="G142" s="487"/>
      <c r="H142" s="487"/>
      <c r="I142" s="488"/>
      <c r="J142" s="487"/>
      <c r="K142" s="487"/>
      <c r="L142" s="488"/>
      <c r="M142" s="487"/>
      <c r="N142" s="487"/>
      <c r="O142" s="488"/>
      <c r="P142" s="489"/>
      <c r="Q142" s="489"/>
      <c r="R142" s="592"/>
      <c r="S142" s="487"/>
      <c r="T142" s="487"/>
      <c r="U142" s="488"/>
      <c r="V142" s="489"/>
      <c r="W142" s="489"/>
      <c r="X142" s="488"/>
      <c r="Y142" s="489"/>
      <c r="Z142" s="489"/>
      <c r="AA142" s="490"/>
      <c r="AB142" s="489"/>
      <c r="AC142" s="489"/>
      <c r="AD142" s="927">
        <v>110581</v>
      </c>
      <c r="AE142" s="27" t="s">
        <v>2674</v>
      </c>
      <c r="AF142" s="432">
        <f>VLOOKUP(AD142,[5]Hoja1!$A$10:$K$1393,11,0)</f>
        <v>682452101</v>
      </c>
      <c r="AG142" s="432"/>
      <c r="AH142" s="432">
        <f t="shared" si="41"/>
        <v>682452</v>
      </c>
      <c r="AJ142" s="491"/>
      <c r="AL142" s="448"/>
    </row>
    <row r="143" spans="1:39" s="467" customFormat="1" ht="12.75" customHeight="1">
      <c r="A143" s="934">
        <v>1</v>
      </c>
      <c r="B143" s="487"/>
      <c r="C143" s="487"/>
      <c r="D143" s="487"/>
      <c r="E143" s="487">
        <v>511111000</v>
      </c>
      <c r="F143" s="488"/>
      <c r="G143" s="487"/>
      <c r="H143" s="487"/>
      <c r="I143" s="488"/>
      <c r="J143" s="487"/>
      <c r="K143" s="487"/>
      <c r="L143" s="488"/>
      <c r="M143" s="487"/>
      <c r="N143" s="487"/>
      <c r="O143" s="488"/>
      <c r="P143" s="489"/>
      <c r="Q143" s="489"/>
      <c r="R143" s="592"/>
      <c r="S143" s="487"/>
      <c r="T143" s="487"/>
      <c r="U143" s="488"/>
      <c r="V143" s="489"/>
      <c r="W143" s="489"/>
      <c r="X143" s="488"/>
      <c r="Y143" s="489"/>
      <c r="Z143" s="489"/>
      <c r="AA143" s="490"/>
      <c r="AB143" s="489"/>
      <c r="AC143" s="489"/>
      <c r="AD143" s="927">
        <v>110582</v>
      </c>
      <c r="AE143" s="27" t="s">
        <v>2675</v>
      </c>
      <c r="AF143" s="432">
        <f>VLOOKUP(AD143,[5]Hoja1!$A$10:$K$1393,11,0)</f>
        <v>0</v>
      </c>
      <c r="AG143" s="432">
        <v>0</v>
      </c>
      <c r="AH143" s="432">
        <f t="shared" si="41"/>
        <v>0</v>
      </c>
      <c r="AJ143" s="491"/>
      <c r="AL143" s="448"/>
    </row>
    <row r="144" spans="1:39" s="467" customFormat="1" ht="12.75" customHeight="1">
      <c r="A144" s="934">
        <v>1</v>
      </c>
      <c r="B144" s="487"/>
      <c r="C144" s="487"/>
      <c r="D144" s="487"/>
      <c r="E144" s="487"/>
      <c r="F144" s="488"/>
      <c r="G144" s="487"/>
      <c r="H144" s="487"/>
      <c r="I144" s="488"/>
      <c r="J144" s="487"/>
      <c r="K144" s="487"/>
      <c r="L144" s="488"/>
      <c r="M144" s="487"/>
      <c r="N144" s="487"/>
      <c r="O144" s="488"/>
      <c r="P144" s="489"/>
      <c r="Q144" s="489"/>
      <c r="R144" s="592"/>
      <c r="S144" s="487"/>
      <c r="T144" s="487"/>
      <c r="U144" s="488"/>
      <c r="V144" s="489"/>
      <c r="W144" s="489"/>
      <c r="X144" s="488"/>
      <c r="Y144" s="489"/>
      <c r="Z144" s="489"/>
      <c r="AA144" s="490"/>
      <c r="AB144" s="489"/>
      <c r="AC144" s="489"/>
      <c r="AD144" s="927">
        <v>110587</v>
      </c>
      <c r="AE144" s="27" t="s">
        <v>2676</v>
      </c>
      <c r="AF144" s="432">
        <f>VLOOKUP(AD144,[5]Hoja1!$A$10:$K$1393,11,0)</f>
        <v>0</v>
      </c>
      <c r="AG144" s="432"/>
      <c r="AH144" s="432">
        <f t="shared" si="41"/>
        <v>0</v>
      </c>
      <c r="AJ144" s="491"/>
      <c r="AL144" s="448"/>
    </row>
    <row r="145" spans="1:39" s="467" customFormat="1" ht="12.75" customHeight="1">
      <c r="A145" s="487" t="str">
        <f t="shared" si="36"/>
        <v>1</v>
      </c>
      <c r="B145" s="487" t="str">
        <f t="shared" si="37"/>
        <v>10</v>
      </c>
      <c r="C145" s="487" t="str">
        <f t="shared" si="38"/>
        <v>60</v>
      </c>
      <c r="D145" s="487" t="str">
        <f t="shared" si="39"/>
        <v>0601</v>
      </c>
      <c r="E145" s="487">
        <v>511121100</v>
      </c>
      <c r="F145" s="488" t="str">
        <f t="shared" si="28"/>
        <v/>
      </c>
      <c r="G145" s="487"/>
      <c r="H145" s="487"/>
      <c r="I145" s="488" t="str">
        <f t="shared" si="29"/>
        <v/>
      </c>
      <c r="J145" s="487"/>
      <c r="K145" s="487"/>
      <c r="L145" s="488" t="str">
        <f t="shared" si="30"/>
        <v/>
      </c>
      <c r="M145" s="487"/>
      <c r="N145" s="487"/>
      <c r="O145" s="488" t="str">
        <f t="shared" si="31"/>
        <v/>
      </c>
      <c r="P145" s="489"/>
      <c r="Q145" s="489"/>
      <c r="R145" s="592" t="str">
        <f t="shared" si="32"/>
        <v/>
      </c>
      <c r="S145" s="487"/>
      <c r="T145" s="487"/>
      <c r="U145" s="488" t="str">
        <f t="shared" si="33"/>
        <v/>
      </c>
      <c r="V145" s="489"/>
      <c r="W145" s="489"/>
      <c r="X145" s="488" t="str">
        <f t="shared" si="34"/>
        <v/>
      </c>
      <c r="Y145" s="489"/>
      <c r="Z145" s="489"/>
      <c r="AA145" s="490" t="str">
        <f t="shared" ref="AA145:AA150" si="42">+AB145&amp;AC145</f>
        <v>222</v>
      </c>
      <c r="AB145" s="489">
        <v>22</v>
      </c>
      <c r="AC145" s="489">
        <v>2</v>
      </c>
      <c r="AD145" s="27">
        <v>110601</v>
      </c>
      <c r="AE145" s="27" t="s">
        <v>1962</v>
      </c>
      <c r="AF145" s="432">
        <f>VLOOKUP(AD145,[5]Hoja1!$A$10:$K$1393,11,0)</f>
        <v>46421005787</v>
      </c>
      <c r="AG145" s="432">
        <v>0</v>
      </c>
      <c r="AH145" s="432">
        <f t="shared" si="41"/>
        <v>46421006</v>
      </c>
      <c r="AL145" s="473">
        <f>+AG145</f>
        <v>0</v>
      </c>
      <c r="AM145" s="467">
        <f>VLOOKUP(AD145,[6]BV201101!$A$10:$A$1236,1,0)</f>
        <v>110601</v>
      </c>
    </row>
    <row r="146" spans="1:39" s="467" customFormat="1" ht="12.75" customHeight="1">
      <c r="A146" s="487" t="str">
        <f t="shared" si="36"/>
        <v>1</v>
      </c>
      <c r="B146" s="487" t="str">
        <f t="shared" si="37"/>
        <v>10</v>
      </c>
      <c r="C146" s="487" t="str">
        <f t="shared" si="38"/>
        <v>60</v>
      </c>
      <c r="D146" s="487" t="str">
        <f t="shared" si="39"/>
        <v>0602</v>
      </c>
      <c r="E146" s="487">
        <v>511121100</v>
      </c>
      <c r="F146" s="488" t="str">
        <f t="shared" si="28"/>
        <v/>
      </c>
      <c r="G146" s="487"/>
      <c r="H146" s="487"/>
      <c r="I146" s="488" t="str">
        <f t="shared" si="29"/>
        <v/>
      </c>
      <c r="J146" s="487"/>
      <c r="K146" s="487"/>
      <c r="L146" s="488" t="str">
        <f t="shared" si="30"/>
        <v/>
      </c>
      <c r="M146" s="487"/>
      <c r="N146" s="487"/>
      <c r="O146" s="488" t="str">
        <f t="shared" si="31"/>
        <v/>
      </c>
      <c r="P146" s="489"/>
      <c r="Q146" s="489"/>
      <c r="R146" s="592" t="str">
        <f t="shared" si="32"/>
        <v/>
      </c>
      <c r="S146" s="489"/>
      <c r="T146" s="487"/>
      <c r="U146" s="488" t="str">
        <f t="shared" si="33"/>
        <v/>
      </c>
      <c r="V146" s="489"/>
      <c r="W146" s="489"/>
      <c r="X146" s="488" t="str">
        <f t="shared" si="34"/>
        <v/>
      </c>
      <c r="Y146" s="489"/>
      <c r="Z146" s="489"/>
      <c r="AA146" s="490" t="str">
        <f t="shared" si="42"/>
        <v>222</v>
      </c>
      <c r="AB146" s="489">
        <v>22</v>
      </c>
      <c r="AC146" s="489">
        <v>2</v>
      </c>
      <c r="AD146" s="27">
        <v>110602</v>
      </c>
      <c r="AE146" s="27" t="s">
        <v>1963</v>
      </c>
      <c r="AF146" s="432">
        <f>VLOOKUP(AD146,[5]Hoja1!$A$10:$K$1393,11,0)</f>
        <v>3253941464</v>
      </c>
      <c r="AG146" s="432">
        <v>0</v>
      </c>
      <c r="AH146" s="432">
        <f t="shared" si="41"/>
        <v>3253941</v>
      </c>
      <c r="AL146" s="448"/>
      <c r="AM146" s="467">
        <f>VLOOKUP(AD146,[6]BV201101!$A$10:$A$1236,1,0)</f>
        <v>110602</v>
      </c>
    </row>
    <row r="147" spans="1:39" s="467" customFormat="1" ht="12.75" customHeight="1">
      <c r="A147" s="487" t="str">
        <f t="shared" si="36"/>
        <v>1</v>
      </c>
      <c r="B147" s="487" t="str">
        <f t="shared" si="37"/>
        <v>10</v>
      </c>
      <c r="C147" s="487" t="str">
        <f t="shared" si="38"/>
        <v>60</v>
      </c>
      <c r="D147" s="487" t="str">
        <f t="shared" si="39"/>
        <v>0603</v>
      </c>
      <c r="E147" s="487">
        <v>511122100</v>
      </c>
      <c r="F147" s="488" t="str">
        <f t="shared" si="28"/>
        <v/>
      </c>
      <c r="G147" s="487"/>
      <c r="H147" s="487"/>
      <c r="I147" s="488" t="str">
        <f t="shared" si="29"/>
        <v/>
      </c>
      <c r="J147" s="487"/>
      <c r="K147" s="487"/>
      <c r="L147" s="488" t="str">
        <f t="shared" si="30"/>
        <v/>
      </c>
      <c r="M147" s="487"/>
      <c r="N147" s="487"/>
      <c r="O147" s="488" t="str">
        <f t="shared" si="31"/>
        <v/>
      </c>
      <c r="P147" s="489"/>
      <c r="Q147" s="489"/>
      <c r="R147" s="592" t="str">
        <f t="shared" si="32"/>
        <v/>
      </c>
      <c r="S147" s="489"/>
      <c r="T147" s="487"/>
      <c r="U147" s="488" t="str">
        <f t="shared" si="33"/>
        <v/>
      </c>
      <c r="V147" s="489"/>
      <c r="W147" s="489"/>
      <c r="X147" s="488" t="str">
        <f t="shared" si="34"/>
        <v/>
      </c>
      <c r="Y147" s="489"/>
      <c r="Z147" s="489"/>
      <c r="AA147" s="490" t="str">
        <f t="shared" si="42"/>
        <v>222</v>
      </c>
      <c r="AB147" s="489">
        <v>22</v>
      </c>
      <c r="AC147" s="489">
        <v>2</v>
      </c>
      <c r="AD147" s="27">
        <v>110603</v>
      </c>
      <c r="AE147" s="27" t="s">
        <v>1964</v>
      </c>
      <c r="AF147" s="432">
        <f>VLOOKUP(AD147,[5]Hoja1!$A$10:$K$1393,11,0)</f>
        <v>33560959157</v>
      </c>
      <c r="AG147" s="1427">
        <v>-3483781807</v>
      </c>
      <c r="AH147" s="432">
        <f t="shared" si="41"/>
        <v>30077177</v>
      </c>
      <c r="AI147" s="445">
        <f>+AH147+AH148+AH521+AH525+AH530+AH531+AH532+AH533+AH534+AH535</f>
        <v>39707582</v>
      </c>
      <c r="AJ147" s="467">
        <v>27748916</v>
      </c>
      <c r="AK147" s="445">
        <f>+AJ147-AI147</f>
        <v>-11958666</v>
      </c>
      <c r="AL147" s="448"/>
      <c r="AM147" s="467">
        <f>VLOOKUP(AD147,[6]BV201101!$A$10:$A$1236,1,0)</f>
        <v>110603</v>
      </c>
    </row>
    <row r="148" spans="1:39" s="467" customFormat="1" ht="12.75" customHeight="1">
      <c r="A148" s="487" t="str">
        <f t="shared" si="36"/>
        <v>1</v>
      </c>
      <c r="B148" s="487" t="str">
        <f t="shared" si="37"/>
        <v>10</v>
      </c>
      <c r="C148" s="487" t="str">
        <f t="shared" si="38"/>
        <v>60</v>
      </c>
      <c r="D148" s="487" t="str">
        <f t="shared" si="39"/>
        <v>0604</v>
      </c>
      <c r="E148" s="487">
        <v>511122100</v>
      </c>
      <c r="F148" s="488" t="str">
        <f t="shared" si="28"/>
        <v/>
      </c>
      <c r="G148" s="487"/>
      <c r="H148" s="487"/>
      <c r="I148" s="488" t="str">
        <f t="shared" si="29"/>
        <v/>
      </c>
      <c r="J148" s="487"/>
      <c r="K148" s="487"/>
      <c r="L148" s="488" t="str">
        <f t="shared" si="30"/>
        <v/>
      </c>
      <c r="M148" s="487"/>
      <c r="N148" s="487"/>
      <c r="O148" s="488" t="str">
        <f t="shared" si="31"/>
        <v/>
      </c>
      <c r="P148" s="489"/>
      <c r="Q148" s="489"/>
      <c r="R148" s="592" t="str">
        <f t="shared" si="32"/>
        <v/>
      </c>
      <c r="S148" s="487"/>
      <c r="T148" s="487"/>
      <c r="U148" s="488" t="str">
        <f t="shared" si="33"/>
        <v/>
      </c>
      <c r="V148" s="489"/>
      <c r="W148" s="489"/>
      <c r="X148" s="488" t="str">
        <f t="shared" si="34"/>
        <v/>
      </c>
      <c r="Y148" s="489"/>
      <c r="Z148" s="489"/>
      <c r="AA148" s="490" t="str">
        <f t="shared" si="42"/>
        <v>222</v>
      </c>
      <c r="AB148" s="489">
        <v>22</v>
      </c>
      <c r="AC148" s="489">
        <v>2</v>
      </c>
      <c r="AD148" s="27">
        <v>110604</v>
      </c>
      <c r="AE148" s="27" t="s">
        <v>1965</v>
      </c>
      <c r="AF148" s="432">
        <f>VLOOKUP(AD148,[5]Hoja1!$A$10:$K$1393,11,0)</f>
        <v>8912413754</v>
      </c>
      <c r="AG148" s="432">
        <v>0</v>
      </c>
      <c r="AH148" s="432">
        <f t="shared" si="41"/>
        <v>8912414</v>
      </c>
      <c r="AL148" s="448"/>
      <c r="AM148" s="467">
        <f>VLOOKUP(AD148,[6]BV201101!$A$10:$A$1236,1,0)</f>
        <v>110604</v>
      </c>
    </row>
    <row r="149" spans="1:39" s="467" customFormat="1" ht="12.75" customHeight="1">
      <c r="A149" s="487" t="str">
        <f t="shared" si="36"/>
        <v>1</v>
      </c>
      <c r="B149" s="487" t="str">
        <f t="shared" si="37"/>
        <v>10</v>
      </c>
      <c r="C149" s="487" t="str">
        <f t="shared" si="38"/>
        <v>60</v>
      </c>
      <c r="D149" s="487" t="str">
        <f t="shared" si="39"/>
        <v>0605</v>
      </c>
      <c r="E149" s="487">
        <v>511122200</v>
      </c>
      <c r="F149" s="488" t="str">
        <f t="shared" si="28"/>
        <v/>
      </c>
      <c r="G149" s="487"/>
      <c r="H149" s="487"/>
      <c r="I149" s="488" t="str">
        <f t="shared" si="29"/>
        <v/>
      </c>
      <c r="J149" s="487"/>
      <c r="K149" s="487"/>
      <c r="L149" s="488" t="str">
        <f t="shared" si="30"/>
        <v/>
      </c>
      <c r="M149" s="487"/>
      <c r="N149" s="487"/>
      <c r="O149" s="488" t="str">
        <f t="shared" si="31"/>
        <v/>
      </c>
      <c r="P149" s="489"/>
      <c r="Q149" s="489"/>
      <c r="R149" s="592" t="str">
        <f t="shared" si="32"/>
        <v/>
      </c>
      <c r="S149" s="489"/>
      <c r="T149" s="487"/>
      <c r="U149" s="488" t="str">
        <f t="shared" si="33"/>
        <v/>
      </c>
      <c r="V149" s="489"/>
      <c r="W149" s="489"/>
      <c r="X149" s="488" t="str">
        <f t="shared" si="34"/>
        <v/>
      </c>
      <c r="Y149" s="489"/>
      <c r="Z149" s="489"/>
      <c r="AA149" s="490" t="str">
        <f t="shared" si="42"/>
        <v>222</v>
      </c>
      <c r="AB149" s="489">
        <v>22</v>
      </c>
      <c r="AC149" s="489">
        <v>2</v>
      </c>
      <c r="AD149" s="27">
        <v>110605</v>
      </c>
      <c r="AE149" s="27" t="s">
        <v>1966</v>
      </c>
      <c r="AF149" s="432">
        <f>VLOOKUP(AD149,[5]Hoja1!$A$10:$K$1393,11,0)</f>
        <v>84417114</v>
      </c>
      <c r="AG149" s="432">
        <v>0</v>
      </c>
      <c r="AH149" s="432">
        <f t="shared" si="41"/>
        <v>84417</v>
      </c>
      <c r="AL149" s="473">
        <f>+AG149</f>
        <v>0</v>
      </c>
      <c r="AM149" s="467">
        <f>VLOOKUP(AD149,[6]BV201101!$A$10:$A$1236,1,0)</f>
        <v>110605</v>
      </c>
    </row>
    <row r="150" spans="1:39" s="467" customFormat="1" ht="12.75" customHeight="1">
      <c r="A150" s="487" t="str">
        <f t="shared" si="36"/>
        <v>1</v>
      </c>
      <c r="B150" s="487" t="str">
        <f t="shared" si="37"/>
        <v>10</v>
      </c>
      <c r="C150" s="487" t="str">
        <f t="shared" si="38"/>
        <v>60</v>
      </c>
      <c r="D150" s="487" t="str">
        <f>RIGHT(LEFT($AD150,9),4)</f>
        <v>0606</v>
      </c>
      <c r="E150" s="487">
        <v>511122200</v>
      </c>
      <c r="F150" s="488" t="str">
        <f>+G150&amp;H150</f>
        <v/>
      </c>
      <c r="G150" s="487"/>
      <c r="H150" s="487"/>
      <c r="I150" s="488" t="str">
        <f>+J150&amp;K150</f>
        <v/>
      </c>
      <c r="J150" s="487"/>
      <c r="K150" s="487"/>
      <c r="L150" s="488" t="str">
        <f>+M150&amp;N150</f>
        <v/>
      </c>
      <c r="M150" s="487"/>
      <c r="N150" s="487"/>
      <c r="O150" s="488" t="str">
        <f>+P150&amp;Q150</f>
        <v/>
      </c>
      <c r="P150" s="489"/>
      <c r="Q150" s="489"/>
      <c r="R150" s="592" t="str">
        <f>+S150&amp;T150</f>
        <v/>
      </c>
      <c r="S150" s="489"/>
      <c r="T150" s="487"/>
      <c r="U150" s="488" t="str">
        <f>+V150&amp;W150</f>
        <v/>
      </c>
      <c r="V150" s="489"/>
      <c r="W150" s="489"/>
      <c r="X150" s="488" t="str">
        <f>+Y150&amp;Z150</f>
        <v/>
      </c>
      <c r="Y150" s="489"/>
      <c r="Z150" s="489"/>
      <c r="AA150" s="490" t="str">
        <f t="shared" si="42"/>
        <v>222</v>
      </c>
      <c r="AB150" s="489">
        <v>22</v>
      </c>
      <c r="AC150" s="489">
        <v>2</v>
      </c>
      <c r="AD150" s="27">
        <v>110606</v>
      </c>
      <c r="AE150" s="27" t="s">
        <v>2550</v>
      </c>
      <c r="AF150" s="432">
        <f>VLOOKUP(AD150,[5]Hoja1!$A$10:$K$1393,11,0)</f>
        <v>0</v>
      </c>
      <c r="AG150" s="432"/>
      <c r="AH150" s="432">
        <f t="shared" si="41"/>
        <v>0</v>
      </c>
      <c r="AL150" s="473"/>
      <c r="AM150" s="467">
        <f>VLOOKUP(AD150,[6]BV201101!$A$10:$A$1236,1,0)</f>
        <v>110606</v>
      </c>
    </row>
    <row r="151" spans="1:39" s="467" customFormat="1" ht="12.75" customHeight="1">
      <c r="A151" s="487" t="str">
        <f t="shared" si="36"/>
        <v>1</v>
      </c>
      <c r="B151" s="487" t="str">
        <f t="shared" si="37"/>
        <v>10</v>
      </c>
      <c r="C151" s="487" t="str">
        <f t="shared" si="38"/>
        <v>60</v>
      </c>
      <c r="D151" s="487" t="str">
        <f t="shared" si="39"/>
        <v>0607</v>
      </c>
      <c r="E151" s="448">
        <v>511137000</v>
      </c>
      <c r="F151" s="488" t="str">
        <f t="shared" si="28"/>
        <v/>
      </c>
      <c r="G151" s="487"/>
      <c r="H151" s="487"/>
      <c r="I151" s="488" t="str">
        <f t="shared" si="29"/>
        <v/>
      </c>
      <c r="J151" s="487"/>
      <c r="K151" s="487"/>
      <c r="L151" s="488" t="str">
        <f t="shared" si="30"/>
        <v/>
      </c>
      <c r="M151" s="487"/>
      <c r="N151" s="487"/>
      <c r="O151" s="488" t="str">
        <f t="shared" si="31"/>
        <v/>
      </c>
      <c r="P151" s="489"/>
      <c r="Q151" s="489"/>
      <c r="R151" s="592" t="str">
        <f t="shared" si="32"/>
        <v/>
      </c>
      <c r="S151" s="489"/>
      <c r="T151" s="487"/>
      <c r="U151" s="488" t="str">
        <f t="shared" si="33"/>
        <v/>
      </c>
      <c r="V151" s="489"/>
      <c r="W151" s="489"/>
      <c r="X151" s="488" t="str">
        <f t="shared" si="34"/>
        <v/>
      </c>
      <c r="Y151" s="489"/>
      <c r="Z151" s="489"/>
      <c r="AA151" s="490" t="s">
        <v>1805</v>
      </c>
      <c r="AB151" s="489" t="s">
        <v>1805</v>
      </c>
      <c r="AC151" s="489"/>
      <c r="AD151" s="27">
        <v>110607</v>
      </c>
      <c r="AE151" s="599" t="s">
        <v>1967</v>
      </c>
      <c r="AF151" s="432">
        <f>VLOOKUP(AD151,[5]Hoja1!$A$10:$K$1393,11,0)</f>
        <v>11828025823</v>
      </c>
      <c r="AG151" s="432">
        <v>0</v>
      </c>
      <c r="AH151" s="432">
        <f t="shared" si="41"/>
        <v>11828026</v>
      </c>
      <c r="AL151" s="448"/>
      <c r="AM151" s="467">
        <f>VLOOKUP(AD151,[6]BV201101!$A$10:$A$1236,1,0)</f>
        <v>110607</v>
      </c>
    </row>
    <row r="152" spans="1:39" s="467" customFormat="1" ht="12.75" customHeight="1">
      <c r="A152" s="487" t="str">
        <f t="shared" si="36"/>
        <v>1</v>
      </c>
      <c r="B152" s="487" t="str">
        <f t="shared" si="37"/>
        <v>10</v>
      </c>
      <c r="C152" s="487" t="str">
        <f t="shared" si="38"/>
        <v>60</v>
      </c>
      <c r="D152" s="487" t="str">
        <f t="shared" si="39"/>
        <v>0607</v>
      </c>
      <c r="E152" s="448">
        <v>511136000</v>
      </c>
      <c r="F152" s="488" t="str">
        <f t="shared" si="28"/>
        <v/>
      </c>
      <c r="G152" s="487"/>
      <c r="H152" s="487"/>
      <c r="I152" s="488" t="str">
        <f t="shared" si="29"/>
        <v/>
      </c>
      <c r="J152" s="487"/>
      <c r="K152" s="487"/>
      <c r="L152" s="488" t="str">
        <f t="shared" si="30"/>
        <v/>
      </c>
      <c r="M152" s="487"/>
      <c r="N152" s="487"/>
      <c r="O152" s="488" t="str">
        <f t="shared" si="31"/>
        <v/>
      </c>
      <c r="P152" s="489"/>
      <c r="Q152" s="489"/>
      <c r="R152" s="592" t="str">
        <f t="shared" si="32"/>
        <v/>
      </c>
      <c r="S152" s="489"/>
      <c r="T152" s="487"/>
      <c r="U152" s="488" t="str">
        <f t="shared" si="33"/>
        <v/>
      </c>
      <c r="V152" s="489"/>
      <c r="W152" s="489"/>
      <c r="X152" s="488" t="str">
        <f t="shared" si="34"/>
        <v/>
      </c>
      <c r="Y152" s="489"/>
      <c r="Z152" s="489"/>
      <c r="AA152" s="490" t="str">
        <f t="shared" ref="AA152:AA157" si="43">+AB152&amp;AC152</f>
        <v/>
      </c>
      <c r="AB152" s="489"/>
      <c r="AC152" s="489"/>
      <c r="AD152" s="27">
        <v>110607</v>
      </c>
      <c r="AE152" s="599" t="s">
        <v>1967</v>
      </c>
      <c r="AF152" s="432">
        <v>0</v>
      </c>
      <c r="AG152" s="432">
        <v>0</v>
      </c>
      <c r="AH152" s="432">
        <f t="shared" si="41"/>
        <v>0</v>
      </c>
      <c r="AL152" s="448"/>
      <c r="AM152" s="467">
        <f>VLOOKUP(AD152,[6]BV201101!$A$10:$A$1236,1,0)</f>
        <v>110607</v>
      </c>
    </row>
    <row r="153" spans="1:39" s="467" customFormat="1" ht="12.75" customHeight="1">
      <c r="A153" s="487" t="str">
        <f t="shared" si="36"/>
        <v>1</v>
      </c>
      <c r="B153" s="487" t="str">
        <f t="shared" si="37"/>
        <v>10</v>
      </c>
      <c r="C153" s="487" t="str">
        <f t="shared" si="38"/>
        <v>60</v>
      </c>
      <c r="D153" s="487" t="str">
        <f t="shared" si="39"/>
        <v>0608</v>
      </c>
      <c r="E153" s="448">
        <v>511122100</v>
      </c>
      <c r="F153" s="488" t="str">
        <f t="shared" si="28"/>
        <v/>
      </c>
      <c r="G153" s="487"/>
      <c r="H153" s="487"/>
      <c r="I153" s="488" t="str">
        <f t="shared" si="29"/>
        <v/>
      </c>
      <c r="J153" s="487"/>
      <c r="K153" s="487"/>
      <c r="L153" s="488" t="str">
        <f t="shared" si="30"/>
        <v/>
      </c>
      <c r="M153" s="487"/>
      <c r="N153" s="487"/>
      <c r="O153" s="488" t="str">
        <f t="shared" si="31"/>
        <v/>
      </c>
      <c r="P153" s="489"/>
      <c r="Q153" s="489"/>
      <c r="R153" s="592" t="str">
        <f t="shared" si="32"/>
        <v/>
      </c>
      <c r="S153" s="489"/>
      <c r="T153" s="487"/>
      <c r="U153" s="488" t="str">
        <f t="shared" si="33"/>
        <v/>
      </c>
      <c r="V153" s="489"/>
      <c r="W153" s="489"/>
      <c r="X153" s="488" t="str">
        <f t="shared" si="34"/>
        <v/>
      </c>
      <c r="Y153" s="489"/>
      <c r="Z153" s="489"/>
      <c r="AA153" s="490" t="str">
        <f t="shared" si="43"/>
        <v>222</v>
      </c>
      <c r="AB153" s="489">
        <v>22</v>
      </c>
      <c r="AC153" s="489">
        <v>2</v>
      </c>
      <c r="AD153" s="27">
        <v>110608</v>
      </c>
      <c r="AE153" s="27" t="s">
        <v>1968</v>
      </c>
      <c r="AF153" s="432">
        <v>0</v>
      </c>
      <c r="AG153" s="432"/>
      <c r="AH153" s="432">
        <f t="shared" si="41"/>
        <v>0</v>
      </c>
      <c r="AL153" s="448"/>
      <c r="AM153" s="467" t="e">
        <f>VLOOKUP(AD153,[6]BV201101!$A$10:$A$1236,1,0)</f>
        <v>#N/A</v>
      </c>
    </row>
    <row r="154" spans="1:39" s="467" customFormat="1" ht="12.75" customHeight="1">
      <c r="A154" s="487" t="str">
        <f t="shared" si="36"/>
        <v>1</v>
      </c>
      <c r="B154" s="487" t="str">
        <f t="shared" si="37"/>
        <v>10</v>
      </c>
      <c r="C154" s="487" t="str">
        <f t="shared" si="38"/>
        <v>60</v>
      </c>
      <c r="D154" s="487" t="str">
        <f t="shared" si="39"/>
        <v>0609</v>
      </c>
      <c r="E154" s="448">
        <v>511137000</v>
      </c>
      <c r="F154" s="488" t="str">
        <f t="shared" si="28"/>
        <v/>
      </c>
      <c r="G154" s="487"/>
      <c r="H154" s="487"/>
      <c r="I154" s="488" t="str">
        <f t="shared" si="29"/>
        <v/>
      </c>
      <c r="J154" s="487"/>
      <c r="K154" s="487"/>
      <c r="L154" s="488" t="str">
        <f t="shared" si="30"/>
        <v/>
      </c>
      <c r="M154" s="487"/>
      <c r="N154" s="487"/>
      <c r="O154" s="488" t="str">
        <f t="shared" si="31"/>
        <v/>
      </c>
      <c r="P154" s="489"/>
      <c r="Q154" s="489"/>
      <c r="R154" s="592" t="str">
        <f t="shared" si="32"/>
        <v/>
      </c>
      <c r="S154" s="489"/>
      <c r="T154" s="487"/>
      <c r="U154" s="488" t="str">
        <f t="shared" si="33"/>
        <v/>
      </c>
      <c r="V154" s="489"/>
      <c r="W154" s="489"/>
      <c r="X154" s="488" t="str">
        <f t="shared" si="34"/>
        <v/>
      </c>
      <c r="Y154" s="489"/>
      <c r="Z154" s="489"/>
      <c r="AA154" s="490" t="str">
        <f t="shared" si="43"/>
        <v/>
      </c>
      <c r="AB154" s="489"/>
      <c r="AC154" s="489"/>
      <c r="AD154" s="27">
        <v>110609</v>
      </c>
      <c r="AE154" s="27" t="s">
        <v>1969</v>
      </c>
      <c r="AF154" s="432">
        <f>VLOOKUP(AD154,[5]Hoja1!$A$10:$K$1393,11,0)</f>
        <v>80647800</v>
      </c>
      <c r="AG154" s="432">
        <v>0</v>
      </c>
      <c r="AH154" s="432">
        <f t="shared" si="41"/>
        <v>80648</v>
      </c>
      <c r="AL154" s="448"/>
      <c r="AM154" s="467">
        <f>VLOOKUP(AD154,[6]BV201101!$A$10:$A$1236,1,0)</f>
        <v>110609</v>
      </c>
    </row>
    <row r="155" spans="1:39" s="467" customFormat="1" ht="12.75" customHeight="1">
      <c r="A155" s="487" t="str">
        <f t="shared" si="36"/>
        <v>1</v>
      </c>
      <c r="B155" s="487" t="str">
        <f t="shared" si="37"/>
        <v>10</v>
      </c>
      <c r="C155" s="487" t="str">
        <f t="shared" si="38"/>
        <v>61</v>
      </c>
      <c r="D155" s="487" t="str">
        <f t="shared" si="39"/>
        <v>0610</v>
      </c>
      <c r="E155" s="448">
        <v>511300000</v>
      </c>
      <c r="F155" s="488" t="str">
        <f t="shared" si="28"/>
        <v/>
      </c>
      <c r="G155" s="487"/>
      <c r="H155" s="487"/>
      <c r="I155" s="488" t="str">
        <f t="shared" si="29"/>
        <v/>
      </c>
      <c r="J155" s="487"/>
      <c r="K155" s="487"/>
      <c r="L155" s="488" t="str">
        <f t="shared" si="30"/>
        <v/>
      </c>
      <c r="M155" s="487"/>
      <c r="N155" s="487"/>
      <c r="O155" s="488" t="str">
        <f t="shared" si="31"/>
        <v/>
      </c>
      <c r="P155" s="489"/>
      <c r="Q155" s="489"/>
      <c r="R155" s="592" t="str">
        <f t="shared" si="32"/>
        <v/>
      </c>
      <c r="S155" s="489"/>
      <c r="T155" s="487"/>
      <c r="U155" s="488" t="str">
        <f t="shared" si="33"/>
        <v/>
      </c>
      <c r="V155" s="489"/>
      <c r="W155" s="489"/>
      <c r="X155" s="488" t="str">
        <f t="shared" si="34"/>
        <v/>
      </c>
      <c r="Y155" s="489"/>
      <c r="Z155" s="489"/>
      <c r="AA155" s="490" t="str">
        <f t="shared" si="43"/>
        <v/>
      </c>
      <c r="AB155" s="489"/>
      <c r="AC155" s="489"/>
      <c r="AD155" s="27">
        <v>110610</v>
      </c>
      <c r="AE155" s="27" t="s">
        <v>930</v>
      </c>
      <c r="AF155" s="432">
        <v>0</v>
      </c>
      <c r="AG155" s="432"/>
      <c r="AH155" s="432">
        <f t="shared" si="41"/>
        <v>0</v>
      </c>
      <c r="AL155" s="448"/>
      <c r="AM155" s="467" t="e">
        <f>VLOOKUP(AD155,[6]BV201101!$A$10:$A$1236,1,0)</f>
        <v>#N/A</v>
      </c>
    </row>
    <row r="156" spans="1:39" s="467" customFormat="1" ht="12.75" customHeight="1">
      <c r="A156" s="487" t="str">
        <f t="shared" si="36"/>
        <v>1</v>
      </c>
      <c r="B156" s="487" t="str">
        <f t="shared" si="37"/>
        <v>10</v>
      </c>
      <c r="C156" s="487" t="str">
        <f t="shared" si="38"/>
        <v>61</v>
      </c>
      <c r="D156" s="487" t="str">
        <f t="shared" si="39"/>
        <v>0611</v>
      </c>
      <c r="E156" s="448">
        <v>511300000</v>
      </c>
      <c r="F156" s="488" t="str">
        <f t="shared" si="28"/>
        <v/>
      </c>
      <c r="G156" s="487"/>
      <c r="H156" s="487"/>
      <c r="I156" s="488" t="str">
        <f t="shared" si="29"/>
        <v/>
      </c>
      <c r="J156" s="487"/>
      <c r="K156" s="487"/>
      <c r="L156" s="488" t="str">
        <f t="shared" si="30"/>
        <v/>
      </c>
      <c r="M156" s="487"/>
      <c r="N156" s="487"/>
      <c r="O156" s="488" t="str">
        <f t="shared" si="31"/>
        <v/>
      </c>
      <c r="P156" s="489"/>
      <c r="Q156" s="489"/>
      <c r="R156" s="592" t="str">
        <f t="shared" si="32"/>
        <v/>
      </c>
      <c r="S156" s="489"/>
      <c r="T156" s="487"/>
      <c r="U156" s="488" t="str">
        <f t="shared" si="33"/>
        <v/>
      </c>
      <c r="V156" s="489"/>
      <c r="W156" s="489"/>
      <c r="X156" s="488" t="str">
        <f t="shared" si="34"/>
        <v/>
      </c>
      <c r="Y156" s="489"/>
      <c r="Z156" s="489"/>
      <c r="AA156" s="490" t="str">
        <f t="shared" si="43"/>
        <v/>
      </c>
      <c r="AB156" s="489"/>
      <c r="AC156" s="489"/>
      <c r="AD156" s="27">
        <v>110611</v>
      </c>
      <c r="AE156" s="27" t="s">
        <v>1970</v>
      </c>
      <c r="AF156" s="432">
        <v>0</v>
      </c>
      <c r="AG156" s="432"/>
      <c r="AH156" s="432">
        <f t="shared" si="41"/>
        <v>0</v>
      </c>
      <c r="AL156" s="448"/>
      <c r="AM156" s="467" t="e">
        <f>VLOOKUP(AD156,[6]BV201101!$A$10:$A$1236,1,0)</f>
        <v>#N/A</v>
      </c>
    </row>
    <row r="157" spans="1:39" s="467" customFormat="1" ht="12.75" customHeight="1">
      <c r="A157" s="487" t="str">
        <f t="shared" si="36"/>
        <v>1</v>
      </c>
      <c r="B157" s="487" t="str">
        <f t="shared" si="37"/>
        <v>10</v>
      </c>
      <c r="C157" s="487" t="str">
        <f t="shared" si="38"/>
        <v>61</v>
      </c>
      <c r="D157" s="487" t="str">
        <f t="shared" si="39"/>
        <v>0612</v>
      </c>
      <c r="E157" s="448">
        <v>511300000</v>
      </c>
      <c r="F157" s="488" t="str">
        <f t="shared" si="28"/>
        <v/>
      </c>
      <c r="G157" s="487"/>
      <c r="H157" s="487"/>
      <c r="I157" s="488" t="str">
        <f t="shared" si="29"/>
        <v/>
      </c>
      <c r="J157" s="487"/>
      <c r="K157" s="487"/>
      <c r="L157" s="488" t="str">
        <f t="shared" si="30"/>
        <v/>
      </c>
      <c r="M157" s="487"/>
      <c r="N157" s="487"/>
      <c r="O157" s="488" t="str">
        <f t="shared" si="31"/>
        <v/>
      </c>
      <c r="P157" s="489"/>
      <c r="Q157" s="489"/>
      <c r="R157" s="592" t="str">
        <f t="shared" si="32"/>
        <v/>
      </c>
      <c r="S157" s="489"/>
      <c r="T157" s="487"/>
      <c r="U157" s="488" t="str">
        <f t="shared" si="33"/>
        <v/>
      </c>
      <c r="V157" s="489"/>
      <c r="W157" s="489"/>
      <c r="X157" s="488" t="str">
        <f t="shared" si="34"/>
        <v/>
      </c>
      <c r="Y157" s="489"/>
      <c r="Z157" s="489"/>
      <c r="AA157" s="490" t="str">
        <f t="shared" si="43"/>
        <v/>
      </c>
      <c r="AB157" s="489"/>
      <c r="AC157" s="489"/>
      <c r="AD157" s="27">
        <v>110612</v>
      </c>
      <c r="AE157" s="27" t="s">
        <v>931</v>
      </c>
      <c r="AF157" s="432">
        <v>0</v>
      </c>
      <c r="AG157" s="432"/>
      <c r="AH157" s="432">
        <f t="shared" si="41"/>
        <v>0</v>
      </c>
      <c r="AL157" s="448"/>
      <c r="AM157" s="467" t="e">
        <f>VLOOKUP(AD157,[6]BV201101!$A$10:$A$1236,1,0)</f>
        <v>#N/A</v>
      </c>
    </row>
    <row r="158" spans="1:39" s="467" customFormat="1" ht="12.75" customHeight="1">
      <c r="A158" s="487" t="str">
        <f t="shared" si="36"/>
        <v>1</v>
      </c>
      <c r="B158" s="487" t="str">
        <f t="shared" si="37"/>
        <v>10</v>
      </c>
      <c r="C158" s="487" t="str">
        <f t="shared" si="38"/>
        <v>61</v>
      </c>
      <c r="D158" s="487" t="str">
        <f t="shared" si="39"/>
        <v>0613</v>
      </c>
      <c r="E158" s="448"/>
      <c r="F158" s="488"/>
      <c r="G158" s="487"/>
      <c r="H158" s="487"/>
      <c r="I158" s="488"/>
      <c r="J158" s="487"/>
      <c r="K158" s="487"/>
      <c r="L158" s="488"/>
      <c r="M158" s="487"/>
      <c r="N158" s="487"/>
      <c r="O158" s="488"/>
      <c r="P158" s="489"/>
      <c r="Q158" s="489"/>
      <c r="R158" s="592"/>
      <c r="S158" s="489"/>
      <c r="T158" s="487"/>
      <c r="U158" s="488"/>
      <c r="V158" s="489"/>
      <c r="W158" s="489"/>
      <c r="X158" s="488"/>
      <c r="Y158" s="489"/>
      <c r="Z158" s="489"/>
      <c r="AA158" s="490"/>
      <c r="AB158" s="489"/>
      <c r="AC158" s="489"/>
      <c r="AD158" s="27">
        <v>110613</v>
      </c>
      <c r="AE158" s="27" t="s">
        <v>1971</v>
      </c>
      <c r="AF158" s="432">
        <v>0</v>
      </c>
      <c r="AG158" s="432"/>
      <c r="AH158" s="432">
        <f t="shared" si="41"/>
        <v>0</v>
      </c>
      <c r="AL158" s="448"/>
      <c r="AM158" s="467" t="e">
        <f>VLOOKUP(AD158,[6]BV201101!$A$10:$A$1236,1,0)</f>
        <v>#N/A</v>
      </c>
    </row>
    <row r="159" spans="1:39" s="467" customFormat="1" ht="12.75" customHeight="1">
      <c r="A159" s="487" t="str">
        <f t="shared" si="36"/>
        <v>1</v>
      </c>
      <c r="B159" s="487" t="str">
        <f t="shared" si="37"/>
        <v>10</v>
      </c>
      <c r="C159" s="487" t="str">
        <f t="shared" si="38"/>
        <v>61</v>
      </c>
      <c r="D159" s="487" t="str">
        <f t="shared" si="39"/>
        <v>0614</v>
      </c>
      <c r="E159" s="448"/>
      <c r="F159" s="488"/>
      <c r="G159" s="487"/>
      <c r="H159" s="487"/>
      <c r="I159" s="488"/>
      <c r="J159" s="487"/>
      <c r="K159" s="487"/>
      <c r="L159" s="488"/>
      <c r="M159" s="487"/>
      <c r="N159" s="487"/>
      <c r="O159" s="488"/>
      <c r="P159" s="489"/>
      <c r="Q159" s="489"/>
      <c r="R159" s="592"/>
      <c r="S159" s="489"/>
      <c r="T159" s="487"/>
      <c r="U159" s="488"/>
      <c r="V159" s="489"/>
      <c r="W159" s="489"/>
      <c r="X159" s="488"/>
      <c r="Y159" s="489"/>
      <c r="Z159" s="489"/>
      <c r="AA159" s="490"/>
      <c r="AB159" s="489"/>
      <c r="AC159" s="489"/>
      <c r="AD159" s="27">
        <v>110614</v>
      </c>
      <c r="AE159" s="27" t="s">
        <v>1972</v>
      </c>
      <c r="AF159" s="432">
        <v>0</v>
      </c>
      <c r="AG159" s="432"/>
      <c r="AH159" s="432">
        <f t="shared" si="41"/>
        <v>0</v>
      </c>
      <c r="AL159" s="448"/>
      <c r="AM159" s="467" t="e">
        <f>VLOOKUP(AD159,[6]BV201101!$A$10:$A$1236,1,0)</f>
        <v>#N/A</v>
      </c>
    </row>
    <row r="160" spans="1:39" s="467" customFormat="1" ht="12.75" customHeight="1">
      <c r="A160" s="487" t="str">
        <f t="shared" si="36"/>
        <v>1</v>
      </c>
      <c r="B160" s="487" t="str">
        <f t="shared" si="37"/>
        <v>10</v>
      </c>
      <c r="C160" s="487" t="str">
        <f t="shared" si="38"/>
        <v>61</v>
      </c>
      <c r="D160" s="487" t="str">
        <f t="shared" si="39"/>
        <v>0615</v>
      </c>
      <c r="E160" s="448">
        <v>511300000</v>
      </c>
      <c r="F160" s="488" t="str">
        <f t="shared" si="28"/>
        <v/>
      </c>
      <c r="G160" s="487"/>
      <c r="H160" s="487"/>
      <c r="I160" s="488" t="str">
        <f t="shared" si="29"/>
        <v/>
      </c>
      <c r="J160" s="487"/>
      <c r="K160" s="487"/>
      <c r="L160" s="488" t="str">
        <f t="shared" si="30"/>
        <v/>
      </c>
      <c r="M160" s="487"/>
      <c r="N160" s="487"/>
      <c r="O160" s="488" t="str">
        <f t="shared" si="31"/>
        <v/>
      </c>
      <c r="P160" s="489"/>
      <c r="Q160" s="489"/>
      <c r="R160" s="592" t="str">
        <f t="shared" si="32"/>
        <v/>
      </c>
      <c r="S160" s="489"/>
      <c r="T160" s="487"/>
      <c r="U160" s="488" t="str">
        <f t="shared" si="33"/>
        <v/>
      </c>
      <c r="V160" s="489"/>
      <c r="W160" s="489"/>
      <c r="X160" s="488" t="str">
        <f t="shared" si="34"/>
        <v/>
      </c>
      <c r="Y160" s="489"/>
      <c r="Z160" s="489"/>
      <c r="AA160" s="490" t="str">
        <f>+AB160&amp;AC160</f>
        <v/>
      </c>
      <c r="AB160" s="489"/>
      <c r="AC160" s="489"/>
      <c r="AD160" s="27">
        <v>110615</v>
      </c>
      <c r="AE160" s="27" t="s">
        <v>587</v>
      </c>
      <c r="AF160" s="432">
        <f>VLOOKUP(AD160,[5]Hoja1!$A$10:$K$1393,11,0)</f>
        <v>0</v>
      </c>
      <c r="AG160" s="432"/>
      <c r="AH160" s="432">
        <f>ROUND((AF160+AG160)/$AH$2,0)-16</f>
        <v>-16</v>
      </c>
      <c r="AL160" s="448"/>
      <c r="AM160" s="467">
        <f>VLOOKUP(AD160,[6]BV201101!$A$10:$A$1236,1,0)</f>
        <v>110615</v>
      </c>
    </row>
    <row r="161" spans="1:39" s="467" customFormat="1" ht="12.75" customHeight="1">
      <c r="A161" s="487" t="str">
        <f t="shared" si="36"/>
        <v>1</v>
      </c>
      <c r="B161" s="487" t="str">
        <f t="shared" si="37"/>
        <v>10</v>
      </c>
      <c r="C161" s="487" t="str">
        <f t="shared" si="38"/>
        <v>61</v>
      </c>
      <c r="D161" s="487" t="str">
        <f t="shared" si="39"/>
        <v>0616</v>
      </c>
      <c r="E161" s="487">
        <v>511135000</v>
      </c>
      <c r="F161" s="488" t="str">
        <f t="shared" si="28"/>
        <v/>
      </c>
      <c r="G161" s="487"/>
      <c r="H161" s="487"/>
      <c r="I161" s="488" t="str">
        <f t="shared" si="29"/>
        <v/>
      </c>
      <c r="J161" s="487"/>
      <c r="K161" s="487"/>
      <c r="L161" s="488" t="str">
        <f t="shared" si="30"/>
        <v/>
      </c>
      <c r="M161" s="487"/>
      <c r="N161" s="487"/>
      <c r="O161" s="488" t="str">
        <f t="shared" si="31"/>
        <v/>
      </c>
      <c r="P161" s="489"/>
      <c r="Q161" s="489"/>
      <c r="R161" s="592" t="str">
        <f t="shared" si="32"/>
        <v/>
      </c>
      <c r="S161" s="489"/>
      <c r="T161" s="487"/>
      <c r="U161" s="488" t="str">
        <f t="shared" si="33"/>
        <v/>
      </c>
      <c r="V161" s="489"/>
      <c r="W161" s="489"/>
      <c r="X161" s="488" t="str">
        <f t="shared" si="34"/>
        <v/>
      </c>
      <c r="Y161" s="489"/>
      <c r="Z161" s="489"/>
      <c r="AA161" s="490"/>
      <c r="AB161" s="489"/>
      <c r="AC161" s="489"/>
      <c r="AD161" s="27">
        <v>110616</v>
      </c>
      <c r="AE161" s="27" t="s">
        <v>817</v>
      </c>
      <c r="AF161" s="432">
        <f>VLOOKUP(AD161,[5]Hoja1!$A$10:$K$1393,11,0)</f>
        <v>0</v>
      </c>
      <c r="AG161" s="432">
        <v>0</v>
      </c>
      <c r="AH161" s="432">
        <f t="shared" si="41"/>
        <v>0</v>
      </c>
      <c r="AL161" s="448"/>
      <c r="AM161" s="467">
        <f>VLOOKUP(AD161,[6]BV201101!$A$10:$A$1236,1,0)</f>
        <v>110616</v>
      </c>
    </row>
    <row r="162" spans="1:39" s="467" customFormat="1" ht="12.75" customHeight="1">
      <c r="A162" s="487" t="str">
        <f t="shared" si="36"/>
        <v>1</v>
      </c>
      <c r="B162" s="487" t="str">
        <f t="shared" si="37"/>
        <v>10</v>
      </c>
      <c r="C162" s="487" t="str">
        <f t="shared" si="38"/>
        <v>61</v>
      </c>
      <c r="D162" s="487" t="str">
        <f t="shared" si="39"/>
        <v>0617</v>
      </c>
      <c r="E162" s="487">
        <v>511135000</v>
      </c>
      <c r="F162" s="488" t="str">
        <f t="shared" si="28"/>
        <v/>
      </c>
      <c r="G162" s="487"/>
      <c r="H162" s="487"/>
      <c r="I162" s="488" t="str">
        <f t="shared" si="29"/>
        <v/>
      </c>
      <c r="J162" s="487"/>
      <c r="K162" s="487"/>
      <c r="L162" s="488" t="str">
        <f t="shared" si="30"/>
        <v/>
      </c>
      <c r="M162" s="487"/>
      <c r="N162" s="487"/>
      <c r="O162" s="488" t="str">
        <f t="shared" si="31"/>
        <v/>
      </c>
      <c r="P162" s="489"/>
      <c r="Q162" s="489"/>
      <c r="R162" s="592" t="str">
        <f t="shared" si="32"/>
        <v/>
      </c>
      <c r="S162" s="489"/>
      <c r="T162" s="487"/>
      <c r="U162" s="488" t="str">
        <f t="shared" si="33"/>
        <v/>
      </c>
      <c r="V162" s="489"/>
      <c r="W162" s="489"/>
      <c r="X162" s="488" t="str">
        <f t="shared" si="34"/>
        <v/>
      </c>
      <c r="Y162" s="489"/>
      <c r="Z162" s="489"/>
      <c r="AA162" s="490"/>
      <c r="AB162" s="489"/>
      <c r="AC162" s="489"/>
      <c r="AD162" s="27">
        <v>110617</v>
      </c>
      <c r="AE162" s="27" t="s">
        <v>818</v>
      </c>
      <c r="AF162" s="432">
        <f>VLOOKUP(AD162,[5]Hoja1!$A$10:$K$1393,11,0)</f>
        <v>-1</v>
      </c>
      <c r="AG162" s="432"/>
      <c r="AH162" s="432">
        <f t="shared" si="41"/>
        <v>0</v>
      </c>
      <c r="AL162" s="448"/>
      <c r="AM162" s="467">
        <f>VLOOKUP(AD162,[6]BV201101!$A$10:$A$1236,1,0)</f>
        <v>110617</v>
      </c>
    </row>
    <row r="163" spans="1:39" s="467" customFormat="1" ht="12.75" customHeight="1">
      <c r="A163" s="487" t="str">
        <f t="shared" si="36"/>
        <v>1</v>
      </c>
      <c r="B163" s="487" t="str">
        <f t="shared" si="37"/>
        <v>10</v>
      </c>
      <c r="C163" s="487" t="str">
        <f t="shared" si="38"/>
        <v>61</v>
      </c>
      <c r="D163" s="487" t="str">
        <f t="shared" si="39"/>
        <v>0618</v>
      </c>
      <c r="E163" s="487">
        <v>511136000</v>
      </c>
      <c r="F163" s="488"/>
      <c r="G163" s="487"/>
      <c r="H163" s="487"/>
      <c r="I163" s="488"/>
      <c r="J163" s="487"/>
      <c r="K163" s="487"/>
      <c r="L163" s="488"/>
      <c r="M163" s="487"/>
      <c r="N163" s="487"/>
      <c r="O163" s="488"/>
      <c r="P163" s="489"/>
      <c r="Q163" s="489"/>
      <c r="R163" s="592"/>
      <c r="S163" s="489"/>
      <c r="T163" s="487"/>
      <c r="U163" s="488"/>
      <c r="V163" s="489"/>
      <c r="W163" s="489"/>
      <c r="X163" s="488"/>
      <c r="Y163" s="489"/>
      <c r="Z163" s="489"/>
      <c r="AA163" s="490"/>
      <c r="AB163" s="489"/>
      <c r="AC163" s="489"/>
      <c r="AD163" s="27">
        <v>110618</v>
      </c>
      <c r="AE163" s="27" t="s">
        <v>26</v>
      </c>
      <c r="AF163" s="432">
        <f>VLOOKUP(AD163,[5]Hoja1!$A$10:$K$1393,11,0)</f>
        <v>6525582547</v>
      </c>
      <c r="AG163" s="1427">
        <f>-AG147</f>
        <v>3483781807</v>
      </c>
      <c r="AH163" s="432">
        <f t="shared" si="41"/>
        <v>10009364</v>
      </c>
      <c r="AL163" s="448"/>
      <c r="AM163" s="467">
        <f>VLOOKUP(AD163,[6]BV201101!$A$10:$A$1236,1,0)</f>
        <v>110618</v>
      </c>
    </row>
    <row r="164" spans="1:39" s="467" customFormat="1" ht="12.75" customHeight="1">
      <c r="A164" s="487" t="str">
        <f t="shared" si="36"/>
        <v>1</v>
      </c>
      <c r="B164" s="487" t="str">
        <f t="shared" si="37"/>
        <v>10</v>
      </c>
      <c r="C164" s="487" t="str">
        <f t="shared" si="38"/>
        <v>61</v>
      </c>
      <c r="D164" s="487" t="str">
        <f t="shared" si="39"/>
        <v>0619</v>
      </c>
      <c r="E164" s="487">
        <v>511136000</v>
      </c>
      <c r="F164" s="488"/>
      <c r="G164" s="487"/>
      <c r="H164" s="487"/>
      <c r="I164" s="488"/>
      <c r="J164" s="487"/>
      <c r="K164" s="487"/>
      <c r="L164" s="488"/>
      <c r="M164" s="487"/>
      <c r="N164" s="487"/>
      <c r="O164" s="488"/>
      <c r="P164" s="489"/>
      <c r="Q164" s="489"/>
      <c r="R164" s="592"/>
      <c r="S164" s="489"/>
      <c r="T164" s="487"/>
      <c r="U164" s="488"/>
      <c r="V164" s="489"/>
      <c r="W164" s="489"/>
      <c r="X164" s="488"/>
      <c r="Y164" s="489"/>
      <c r="Z164" s="489"/>
      <c r="AA164" s="490"/>
      <c r="AB164" s="489"/>
      <c r="AC164" s="489"/>
      <c r="AD164" s="27">
        <v>110619</v>
      </c>
      <c r="AE164" s="27" t="s">
        <v>27</v>
      </c>
      <c r="AF164" s="432">
        <f>VLOOKUP(AD164,[5]Hoja1!$A$10:$K$1393,11,0)</f>
        <v>20433099</v>
      </c>
      <c r="AG164" s="432">
        <v>0</v>
      </c>
      <c r="AH164" s="432">
        <f t="shared" si="41"/>
        <v>20433</v>
      </c>
      <c r="AL164" s="448"/>
      <c r="AM164" s="467">
        <f>VLOOKUP(AD164,[6]BV201101!$A$10:$A$1236,1,0)</f>
        <v>110619</v>
      </c>
    </row>
    <row r="165" spans="1:39" s="467" customFormat="1" ht="12.75" customHeight="1">
      <c r="A165" s="487" t="str">
        <f t="shared" si="36"/>
        <v>1</v>
      </c>
      <c r="B165" s="487" t="str">
        <f t="shared" si="37"/>
        <v>10</v>
      </c>
      <c r="C165" s="487" t="str">
        <f t="shared" si="38"/>
        <v>62</v>
      </c>
      <c r="D165" s="487" t="str">
        <f t="shared" si="39"/>
        <v>0620</v>
      </c>
      <c r="E165" s="448">
        <v>511300000</v>
      </c>
      <c r="F165" s="488" t="str">
        <f t="shared" si="28"/>
        <v/>
      </c>
      <c r="G165" s="487"/>
      <c r="H165" s="487"/>
      <c r="I165" s="488" t="str">
        <f t="shared" si="29"/>
        <v/>
      </c>
      <c r="J165" s="487"/>
      <c r="K165" s="487"/>
      <c r="L165" s="488" t="str">
        <f t="shared" si="30"/>
        <v/>
      </c>
      <c r="M165" s="487"/>
      <c r="N165" s="487"/>
      <c r="O165" s="488" t="str">
        <f t="shared" si="31"/>
        <v/>
      </c>
      <c r="P165" s="489"/>
      <c r="Q165" s="489"/>
      <c r="R165" s="592" t="str">
        <f t="shared" si="32"/>
        <v/>
      </c>
      <c r="S165" s="489"/>
      <c r="T165" s="487"/>
      <c r="U165" s="488" t="str">
        <f t="shared" si="33"/>
        <v/>
      </c>
      <c r="V165" s="489"/>
      <c r="W165" s="489"/>
      <c r="X165" s="488" t="str">
        <f t="shared" si="34"/>
        <v/>
      </c>
      <c r="Y165" s="489"/>
      <c r="Z165" s="489"/>
      <c r="AA165" s="490" t="str">
        <f>+AB165&amp;AC165</f>
        <v/>
      </c>
      <c r="AB165" s="489"/>
      <c r="AC165" s="489"/>
      <c r="AD165" s="27">
        <v>110620</v>
      </c>
      <c r="AE165" s="27" t="s">
        <v>1350</v>
      </c>
      <c r="AF165" s="432">
        <v>0</v>
      </c>
      <c r="AG165" s="432"/>
      <c r="AH165" s="432">
        <f t="shared" si="41"/>
        <v>0</v>
      </c>
      <c r="AL165" s="448"/>
      <c r="AM165" s="467" t="e">
        <f>VLOOKUP(AD165,[6]BV201101!$A$10:$A$1236,1,0)</f>
        <v>#N/A</v>
      </c>
    </row>
    <row r="166" spans="1:39" s="467" customFormat="1" ht="12.75" customHeight="1">
      <c r="A166" s="487" t="str">
        <f t="shared" si="36"/>
        <v>1</v>
      </c>
      <c r="B166" s="487" t="str">
        <f t="shared" si="37"/>
        <v>10</v>
      </c>
      <c r="C166" s="487" t="str">
        <f t="shared" si="38"/>
        <v>62</v>
      </c>
      <c r="D166" s="487" t="str">
        <f t="shared" si="39"/>
        <v>0621</v>
      </c>
      <c r="E166" s="448">
        <v>511137000</v>
      </c>
      <c r="F166" s="488"/>
      <c r="G166" s="487"/>
      <c r="H166" s="487"/>
      <c r="I166" s="488"/>
      <c r="J166" s="487"/>
      <c r="K166" s="487"/>
      <c r="L166" s="488"/>
      <c r="M166" s="487"/>
      <c r="N166" s="487"/>
      <c r="O166" s="488"/>
      <c r="P166" s="489"/>
      <c r="Q166" s="489"/>
      <c r="R166" s="592"/>
      <c r="S166" s="489"/>
      <c r="T166" s="487"/>
      <c r="U166" s="488"/>
      <c r="V166" s="489"/>
      <c r="W166" s="489"/>
      <c r="X166" s="488"/>
      <c r="Y166" s="489"/>
      <c r="Z166" s="489"/>
      <c r="AA166" s="490"/>
      <c r="AB166" s="489"/>
      <c r="AC166" s="489"/>
      <c r="AD166" s="27">
        <v>110621</v>
      </c>
      <c r="AE166" s="27" t="s">
        <v>1866</v>
      </c>
      <c r="AF166" s="432">
        <f>VLOOKUP(AD166,[5]Hoja1!$A$10:$K$1393,11,0)</f>
        <v>40637021833</v>
      </c>
      <c r="AG166" s="432">
        <v>0</v>
      </c>
      <c r="AH166" s="432">
        <f t="shared" si="41"/>
        <v>40637022</v>
      </c>
      <c r="AL166" s="448"/>
      <c r="AM166" s="467">
        <f>VLOOKUP(AD166,[6]BV201101!$A$10:$A$1236,1,0)</f>
        <v>110621</v>
      </c>
    </row>
    <row r="167" spans="1:39" s="467" customFormat="1" ht="12.75" customHeight="1">
      <c r="A167" s="487" t="str">
        <f t="shared" si="36"/>
        <v>1</v>
      </c>
      <c r="B167" s="487" t="str">
        <f t="shared" si="37"/>
        <v>10</v>
      </c>
      <c r="C167" s="487" t="str">
        <f t="shared" si="38"/>
        <v>62</v>
      </c>
      <c r="D167" s="487" t="str">
        <f t="shared" si="39"/>
        <v>0622</v>
      </c>
      <c r="E167" s="448">
        <v>511137000</v>
      </c>
      <c r="F167" s="488"/>
      <c r="G167" s="487"/>
      <c r="H167" s="487"/>
      <c r="I167" s="488"/>
      <c r="J167" s="487"/>
      <c r="K167" s="487"/>
      <c r="L167" s="488"/>
      <c r="M167" s="487"/>
      <c r="N167" s="487"/>
      <c r="O167" s="488"/>
      <c r="P167" s="489"/>
      <c r="Q167" s="489"/>
      <c r="R167" s="592"/>
      <c r="S167" s="489"/>
      <c r="T167" s="487"/>
      <c r="U167" s="488"/>
      <c r="V167" s="489"/>
      <c r="W167" s="489"/>
      <c r="X167" s="488"/>
      <c r="Y167" s="489"/>
      <c r="Z167" s="489"/>
      <c r="AA167" s="490"/>
      <c r="AB167" s="489"/>
      <c r="AC167" s="489"/>
      <c r="AD167" s="27">
        <v>110622</v>
      </c>
      <c r="AE167" s="27" t="s">
        <v>1867</v>
      </c>
      <c r="AF167" s="432">
        <f>VLOOKUP(AD167,[5]Hoja1!$A$10:$K$1393,11,0)</f>
        <v>459060827</v>
      </c>
      <c r="AG167" s="432">
        <v>0</v>
      </c>
      <c r="AH167" s="432">
        <f t="shared" si="41"/>
        <v>459061</v>
      </c>
      <c r="AL167" s="448"/>
      <c r="AM167" s="467">
        <f>VLOOKUP(AD167,[6]BV201101!$A$10:$A$1236,1,0)</f>
        <v>110622</v>
      </c>
    </row>
    <row r="168" spans="1:39" s="467" customFormat="1" ht="12.75" customHeight="1">
      <c r="A168" s="487" t="str">
        <f t="shared" si="36"/>
        <v>1</v>
      </c>
      <c r="B168" s="487" t="str">
        <f t="shared" si="37"/>
        <v>10</v>
      </c>
      <c r="C168" s="487" t="str">
        <f t="shared" si="38"/>
        <v>62</v>
      </c>
      <c r="D168" s="487" t="str">
        <f t="shared" si="39"/>
        <v>0623</v>
      </c>
      <c r="E168" s="448">
        <v>511300000</v>
      </c>
      <c r="F168" s="488"/>
      <c r="G168" s="487"/>
      <c r="H168" s="487"/>
      <c r="I168" s="488"/>
      <c r="J168" s="487"/>
      <c r="K168" s="487"/>
      <c r="L168" s="488"/>
      <c r="M168" s="487"/>
      <c r="N168" s="487"/>
      <c r="O168" s="488"/>
      <c r="P168" s="489"/>
      <c r="Q168" s="489"/>
      <c r="R168" s="592"/>
      <c r="S168" s="489"/>
      <c r="T168" s="487"/>
      <c r="U168" s="488"/>
      <c r="V168" s="489"/>
      <c r="W168" s="489"/>
      <c r="X168" s="488"/>
      <c r="Y168" s="489"/>
      <c r="Z168" s="489"/>
      <c r="AA168" s="490"/>
      <c r="AB168" s="489"/>
      <c r="AC168" s="489"/>
      <c r="AD168" s="27">
        <v>110623</v>
      </c>
      <c r="AE168" s="27" t="s">
        <v>1973</v>
      </c>
      <c r="AF168" s="432">
        <v>0</v>
      </c>
      <c r="AG168" s="432"/>
      <c r="AH168" s="432">
        <f t="shared" si="41"/>
        <v>0</v>
      </c>
      <c r="AL168" s="448"/>
      <c r="AM168" s="467" t="e">
        <f>VLOOKUP(AD168,[6]BV201101!$A$10:$A$1236,1,0)</f>
        <v>#N/A</v>
      </c>
    </row>
    <row r="169" spans="1:39" s="467" customFormat="1" ht="12.75" customHeight="1">
      <c r="A169" s="487" t="str">
        <f t="shared" si="36"/>
        <v>1</v>
      </c>
      <c r="B169" s="487" t="str">
        <f t="shared" si="37"/>
        <v>10</v>
      </c>
      <c r="C169" s="487" t="str">
        <f t="shared" si="38"/>
        <v>62</v>
      </c>
      <c r="D169" s="487" t="str">
        <f t="shared" si="39"/>
        <v>0624</v>
      </c>
      <c r="E169" s="448">
        <v>511300000</v>
      </c>
      <c r="F169" s="488"/>
      <c r="G169" s="487"/>
      <c r="H169" s="487"/>
      <c r="I169" s="488"/>
      <c r="J169" s="487"/>
      <c r="K169" s="487"/>
      <c r="L169" s="488"/>
      <c r="M169" s="487"/>
      <c r="N169" s="487"/>
      <c r="O169" s="488"/>
      <c r="P169" s="489"/>
      <c r="Q169" s="489"/>
      <c r="R169" s="592"/>
      <c r="S169" s="489"/>
      <c r="T169" s="487"/>
      <c r="U169" s="488"/>
      <c r="V169" s="489"/>
      <c r="W169" s="489"/>
      <c r="X169" s="488"/>
      <c r="Y169" s="489"/>
      <c r="Z169" s="489"/>
      <c r="AA169" s="490"/>
      <c r="AB169" s="489"/>
      <c r="AC169" s="489"/>
      <c r="AD169" s="27">
        <v>110624</v>
      </c>
      <c r="AE169" s="27" t="s">
        <v>800</v>
      </c>
      <c r="AF169" s="432">
        <v>0</v>
      </c>
      <c r="AG169" s="432"/>
      <c r="AH169" s="432">
        <f t="shared" si="41"/>
        <v>0</v>
      </c>
      <c r="AL169" s="448"/>
      <c r="AM169" s="467" t="e">
        <f>VLOOKUP(AD169,[6]BV201101!$A$10:$A$1236,1,0)</f>
        <v>#N/A</v>
      </c>
    </row>
    <row r="170" spans="1:39" s="467" customFormat="1" ht="12.75" customHeight="1">
      <c r="A170" s="487" t="str">
        <f t="shared" si="36"/>
        <v>1</v>
      </c>
      <c r="B170" s="487" t="str">
        <f t="shared" si="37"/>
        <v>10</v>
      </c>
      <c r="C170" s="487" t="str">
        <f t="shared" si="38"/>
        <v>62</v>
      </c>
      <c r="D170" s="487" t="str">
        <f t="shared" si="39"/>
        <v>0625</v>
      </c>
      <c r="E170" s="448">
        <v>511300000</v>
      </c>
      <c r="F170" s="488"/>
      <c r="G170" s="487"/>
      <c r="H170" s="487"/>
      <c r="I170" s="488"/>
      <c r="J170" s="487"/>
      <c r="K170" s="487"/>
      <c r="L170" s="488"/>
      <c r="M170" s="487"/>
      <c r="N170" s="487"/>
      <c r="O170" s="488"/>
      <c r="P170" s="489"/>
      <c r="Q170" s="489"/>
      <c r="R170" s="592"/>
      <c r="S170" s="489"/>
      <c r="T170" s="487"/>
      <c r="U170" s="488"/>
      <c r="V170" s="489"/>
      <c r="W170" s="489"/>
      <c r="X170" s="488"/>
      <c r="Y170" s="489"/>
      <c r="Z170" s="489"/>
      <c r="AA170" s="490"/>
      <c r="AB170" s="489"/>
      <c r="AC170" s="489"/>
      <c r="AD170" s="27">
        <v>110625</v>
      </c>
      <c r="AE170" s="27" t="s">
        <v>801</v>
      </c>
      <c r="AF170" s="432">
        <f>VLOOKUP(AD170,[5]Hoja1!$A$10:$K$1393,11,0)</f>
        <v>0</v>
      </c>
      <c r="AG170" s="432"/>
      <c r="AH170" s="432">
        <f t="shared" si="41"/>
        <v>0</v>
      </c>
      <c r="AL170" s="448"/>
      <c r="AM170" s="467" t="e">
        <f>VLOOKUP(AD170,[6]BV201101!$A$10:$A$1236,1,0)</f>
        <v>#N/A</v>
      </c>
    </row>
    <row r="171" spans="1:39" s="467" customFormat="1" ht="12.75" customHeight="1">
      <c r="A171" s="487" t="str">
        <f t="shared" si="36"/>
        <v>1</v>
      </c>
      <c r="B171" s="487" t="str">
        <f t="shared" si="37"/>
        <v>10</v>
      </c>
      <c r="C171" s="487" t="str">
        <f t="shared" si="38"/>
        <v>62</v>
      </c>
      <c r="D171" s="487" t="str">
        <f t="shared" si="39"/>
        <v>0626</v>
      </c>
      <c r="E171" s="448">
        <v>511300000</v>
      </c>
      <c r="F171" s="488"/>
      <c r="G171" s="487"/>
      <c r="H171" s="487"/>
      <c r="I171" s="488"/>
      <c r="J171" s="487"/>
      <c r="K171" s="487"/>
      <c r="L171" s="488"/>
      <c r="M171" s="487"/>
      <c r="N171" s="487"/>
      <c r="O171" s="488"/>
      <c r="P171" s="489"/>
      <c r="Q171" s="489"/>
      <c r="R171" s="592"/>
      <c r="S171" s="489"/>
      <c r="T171" s="487"/>
      <c r="U171" s="488"/>
      <c r="V171" s="489"/>
      <c r="W171" s="489"/>
      <c r="X171" s="488"/>
      <c r="Y171" s="489"/>
      <c r="Z171" s="489"/>
      <c r="AA171" s="490"/>
      <c r="AB171" s="489"/>
      <c r="AC171" s="489"/>
      <c r="AD171" s="27">
        <v>110626</v>
      </c>
      <c r="AE171" s="27" t="s">
        <v>802</v>
      </c>
      <c r="AF171" s="432">
        <v>0</v>
      </c>
      <c r="AG171" s="432"/>
      <c r="AH171" s="432">
        <f t="shared" si="41"/>
        <v>0</v>
      </c>
      <c r="AL171" s="448"/>
      <c r="AM171" s="467" t="e">
        <f>VLOOKUP(AD171,[6]BV201101!$A$10:$A$1236,1,0)</f>
        <v>#N/A</v>
      </c>
    </row>
    <row r="172" spans="1:39" s="467" customFormat="1" ht="12.75" customHeight="1">
      <c r="A172" s="487" t="str">
        <f t="shared" si="36"/>
        <v>1</v>
      </c>
      <c r="B172" s="487" t="str">
        <f t="shared" si="37"/>
        <v>10</v>
      </c>
      <c r="C172" s="487" t="str">
        <f t="shared" si="38"/>
        <v>62</v>
      </c>
      <c r="D172" s="487" t="str">
        <f t="shared" si="39"/>
        <v>0627</v>
      </c>
      <c r="E172" s="448">
        <v>511300000</v>
      </c>
      <c r="F172" s="488"/>
      <c r="G172" s="487"/>
      <c r="H172" s="487"/>
      <c r="I172" s="488"/>
      <c r="J172" s="487"/>
      <c r="K172" s="487"/>
      <c r="L172" s="488"/>
      <c r="M172" s="487"/>
      <c r="N172" s="487"/>
      <c r="O172" s="488"/>
      <c r="P172" s="489"/>
      <c r="Q172" s="489"/>
      <c r="R172" s="592"/>
      <c r="S172" s="489"/>
      <c r="T172" s="487"/>
      <c r="U172" s="488"/>
      <c r="V172" s="489"/>
      <c r="W172" s="489"/>
      <c r="X172" s="488"/>
      <c r="Y172" s="489"/>
      <c r="Z172" s="489"/>
      <c r="AA172" s="490"/>
      <c r="AB172" s="489"/>
      <c r="AC172" s="489"/>
      <c r="AD172" s="27">
        <v>110627</v>
      </c>
      <c r="AE172" s="27" t="s">
        <v>803</v>
      </c>
      <c r="AF172" s="432">
        <v>0</v>
      </c>
      <c r="AG172" s="432"/>
      <c r="AH172" s="432">
        <f t="shared" si="41"/>
        <v>0</v>
      </c>
      <c r="AL172" s="448"/>
      <c r="AM172" s="467" t="e">
        <f>VLOOKUP(AD172,[6]BV201101!$A$10:$A$1236,1,0)</f>
        <v>#N/A</v>
      </c>
    </row>
    <row r="173" spans="1:39" s="467" customFormat="1" ht="12.75" customHeight="1">
      <c r="A173" s="487" t="str">
        <f t="shared" si="36"/>
        <v>1</v>
      </c>
      <c r="B173" s="487" t="str">
        <f t="shared" si="37"/>
        <v>10</v>
      </c>
      <c r="C173" s="487" t="str">
        <f t="shared" si="38"/>
        <v>62</v>
      </c>
      <c r="D173" s="487" t="str">
        <f t="shared" si="39"/>
        <v>0628</v>
      </c>
      <c r="E173" s="448">
        <v>511300000</v>
      </c>
      <c r="F173" s="488"/>
      <c r="G173" s="487"/>
      <c r="H173" s="487"/>
      <c r="I173" s="488"/>
      <c r="J173" s="487"/>
      <c r="K173" s="487"/>
      <c r="L173" s="488"/>
      <c r="M173" s="487"/>
      <c r="N173" s="487"/>
      <c r="O173" s="488"/>
      <c r="P173" s="489"/>
      <c r="Q173" s="489"/>
      <c r="R173" s="592"/>
      <c r="S173" s="489"/>
      <c r="T173" s="487"/>
      <c r="U173" s="488"/>
      <c r="V173" s="489"/>
      <c r="W173" s="489"/>
      <c r="X173" s="488"/>
      <c r="Y173" s="489"/>
      <c r="Z173" s="489"/>
      <c r="AA173" s="490"/>
      <c r="AB173" s="489"/>
      <c r="AC173" s="489"/>
      <c r="AD173" s="27">
        <v>110628</v>
      </c>
      <c r="AE173" s="27" t="s">
        <v>992</v>
      </c>
      <c r="AF173" s="432">
        <v>0</v>
      </c>
      <c r="AG173" s="432"/>
      <c r="AH173" s="432">
        <f t="shared" si="41"/>
        <v>0</v>
      </c>
      <c r="AL173" s="448"/>
      <c r="AM173" s="467" t="e">
        <f>VLOOKUP(AD173,[6]BV201101!$A$10:$A$1236,1,0)</f>
        <v>#N/A</v>
      </c>
    </row>
    <row r="174" spans="1:39" s="467" customFormat="1" ht="12.75" customHeight="1">
      <c r="A174" s="487" t="str">
        <f t="shared" si="36"/>
        <v>1</v>
      </c>
      <c r="B174" s="487" t="str">
        <f t="shared" si="37"/>
        <v>10</v>
      </c>
      <c r="C174" s="487" t="str">
        <f t="shared" si="38"/>
        <v>62</v>
      </c>
      <c r="D174" s="487" t="str">
        <f t="shared" si="39"/>
        <v>0629</v>
      </c>
      <c r="E174" s="448">
        <v>511300000</v>
      </c>
      <c r="F174" s="488"/>
      <c r="G174" s="487"/>
      <c r="H174" s="487"/>
      <c r="I174" s="488"/>
      <c r="J174" s="487"/>
      <c r="K174" s="487"/>
      <c r="L174" s="488"/>
      <c r="M174" s="487"/>
      <c r="N174" s="487"/>
      <c r="O174" s="488"/>
      <c r="P174" s="489"/>
      <c r="Q174" s="489"/>
      <c r="R174" s="592"/>
      <c r="S174" s="489"/>
      <c r="T174" s="487"/>
      <c r="U174" s="488"/>
      <c r="V174" s="489"/>
      <c r="W174" s="489"/>
      <c r="X174" s="488"/>
      <c r="Y174" s="489"/>
      <c r="Z174" s="489"/>
      <c r="AA174" s="490"/>
      <c r="AB174" s="489"/>
      <c r="AC174" s="489"/>
      <c r="AD174" s="27">
        <v>110629</v>
      </c>
      <c r="AE174" s="27" t="s">
        <v>1281</v>
      </c>
      <c r="AF174" s="432">
        <f>VLOOKUP(AD174,[5]Hoja1!$A$10:$K$1393,11,0)</f>
        <v>0</v>
      </c>
      <c r="AG174" s="432"/>
      <c r="AH174" s="432">
        <f t="shared" si="41"/>
        <v>0</v>
      </c>
      <c r="AL174" s="448"/>
      <c r="AM174" s="467">
        <f>VLOOKUP(AD174,[6]BV201101!$A$10:$A$1236,1,0)</f>
        <v>110629</v>
      </c>
    </row>
    <row r="175" spans="1:39" s="467" customFormat="1" ht="12.75" customHeight="1">
      <c r="A175" s="487" t="str">
        <f t="shared" si="36"/>
        <v>1</v>
      </c>
      <c r="B175" s="487" t="str">
        <f t="shared" si="37"/>
        <v>10</v>
      </c>
      <c r="C175" s="487" t="str">
        <f t="shared" si="38"/>
        <v>63</v>
      </c>
      <c r="D175" s="487" t="str">
        <f t="shared" si="39"/>
        <v>0630</v>
      </c>
      <c r="E175" s="448">
        <v>511300000</v>
      </c>
      <c r="F175" s="488" t="str">
        <f t="shared" si="28"/>
        <v/>
      </c>
      <c r="G175" s="487"/>
      <c r="H175" s="487"/>
      <c r="I175" s="488" t="str">
        <f t="shared" si="29"/>
        <v/>
      </c>
      <c r="J175" s="487"/>
      <c r="K175" s="487"/>
      <c r="L175" s="488" t="str">
        <f t="shared" si="30"/>
        <v/>
      </c>
      <c r="M175" s="487"/>
      <c r="N175" s="487"/>
      <c r="O175" s="488" t="str">
        <f t="shared" si="31"/>
        <v/>
      </c>
      <c r="P175" s="489"/>
      <c r="Q175" s="489"/>
      <c r="R175" s="592" t="str">
        <f t="shared" si="32"/>
        <v/>
      </c>
      <c r="S175" s="489"/>
      <c r="T175" s="487"/>
      <c r="U175" s="488" t="str">
        <f t="shared" si="33"/>
        <v/>
      </c>
      <c r="V175" s="489"/>
      <c r="W175" s="489"/>
      <c r="X175" s="488" t="str">
        <f t="shared" si="34"/>
        <v/>
      </c>
      <c r="Y175" s="489"/>
      <c r="Z175" s="489"/>
      <c r="AA175" s="490" t="str">
        <f t="shared" ref="AA175:AA190" si="44">+AB175&amp;AC175</f>
        <v/>
      </c>
      <c r="AB175" s="489"/>
      <c r="AC175" s="489"/>
      <c r="AD175" s="27">
        <v>110630</v>
      </c>
      <c r="AE175" s="27" t="s">
        <v>1351</v>
      </c>
      <c r="AF175" s="432">
        <f>VLOOKUP(AD175,[5]Hoja1!$A$10:$K$1393,11,0)</f>
        <v>0</v>
      </c>
      <c r="AG175" s="432"/>
      <c r="AH175" s="432">
        <f t="shared" si="41"/>
        <v>0</v>
      </c>
      <c r="AJ175" s="467">
        <v>435</v>
      </c>
      <c r="AL175" s="448"/>
      <c r="AM175" s="467">
        <f>VLOOKUP(AD175,[6]BV201101!$A$10:$A$1236,1,0)</f>
        <v>110630</v>
      </c>
    </row>
    <row r="176" spans="1:39" s="467" customFormat="1" ht="12.75" customHeight="1">
      <c r="A176" s="487" t="str">
        <f t="shared" si="36"/>
        <v>1</v>
      </c>
      <c r="B176" s="487" t="str">
        <f t="shared" si="37"/>
        <v>10</v>
      </c>
      <c r="C176" s="487" t="str">
        <f t="shared" si="38"/>
        <v>63</v>
      </c>
      <c r="D176" s="487" t="str">
        <f t="shared" si="39"/>
        <v>0631</v>
      </c>
      <c r="E176" s="448">
        <v>511300000</v>
      </c>
      <c r="F176" s="488" t="str">
        <f t="shared" si="28"/>
        <v/>
      </c>
      <c r="G176" s="487"/>
      <c r="H176" s="487"/>
      <c r="I176" s="488" t="str">
        <f t="shared" si="29"/>
        <v/>
      </c>
      <c r="J176" s="487"/>
      <c r="K176" s="487"/>
      <c r="L176" s="488" t="str">
        <f t="shared" si="30"/>
        <v/>
      </c>
      <c r="M176" s="487"/>
      <c r="N176" s="487"/>
      <c r="O176" s="488" t="str">
        <f t="shared" si="31"/>
        <v/>
      </c>
      <c r="P176" s="489"/>
      <c r="Q176" s="489"/>
      <c r="R176" s="592" t="str">
        <f t="shared" si="32"/>
        <v/>
      </c>
      <c r="S176" s="489"/>
      <c r="T176" s="487"/>
      <c r="U176" s="488" t="str">
        <f t="shared" si="33"/>
        <v/>
      </c>
      <c r="V176" s="489"/>
      <c r="W176" s="489"/>
      <c r="X176" s="488" t="str">
        <f t="shared" si="34"/>
        <v/>
      </c>
      <c r="Y176" s="489"/>
      <c r="Z176" s="489"/>
      <c r="AA176" s="490" t="str">
        <f t="shared" si="44"/>
        <v/>
      </c>
      <c r="AB176" s="489"/>
      <c r="AC176" s="489"/>
      <c r="AD176" s="27">
        <v>110631</v>
      </c>
      <c r="AE176" s="27" t="s">
        <v>1352</v>
      </c>
      <c r="AF176" s="432">
        <v>0</v>
      </c>
      <c r="AG176" s="432"/>
      <c r="AH176" s="432">
        <f t="shared" si="41"/>
        <v>0</v>
      </c>
      <c r="AL176" s="448"/>
      <c r="AM176" s="467" t="e">
        <f>VLOOKUP(AD176,[6]BV201101!$A$10:$A$1236,1,0)</f>
        <v>#N/A</v>
      </c>
    </row>
    <row r="177" spans="1:39" s="467" customFormat="1" ht="12.75" customHeight="1">
      <c r="A177" s="487" t="str">
        <f t="shared" si="36"/>
        <v>1</v>
      </c>
      <c r="B177" s="487" t="str">
        <f t="shared" si="37"/>
        <v>10</v>
      </c>
      <c r="C177" s="487" t="str">
        <f t="shared" si="38"/>
        <v>63</v>
      </c>
      <c r="D177" s="487" t="str">
        <f t="shared" si="39"/>
        <v>0632</v>
      </c>
      <c r="E177" s="448">
        <v>511300000</v>
      </c>
      <c r="F177" s="488" t="str">
        <f t="shared" si="28"/>
        <v/>
      </c>
      <c r="G177" s="487"/>
      <c r="H177" s="487"/>
      <c r="I177" s="488" t="str">
        <f t="shared" si="29"/>
        <v/>
      </c>
      <c r="J177" s="487"/>
      <c r="K177" s="487"/>
      <c r="L177" s="488" t="str">
        <f t="shared" si="30"/>
        <v/>
      </c>
      <c r="M177" s="487"/>
      <c r="N177" s="487"/>
      <c r="O177" s="488" t="str">
        <f t="shared" si="31"/>
        <v/>
      </c>
      <c r="P177" s="489"/>
      <c r="Q177" s="489"/>
      <c r="R177" s="592" t="str">
        <f t="shared" si="32"/>
        <v/>
      </c>
      <c r="S177" s="489"/>
      <c r="T177" s="487"/>
      <c r="U177" s="488" t="str">
        <f t="shared" si="33"/>
        <v/>
      </c>
      <c r="V177" s="489"/>
      <c r="W177" s="489"/>
      <c r="X177" s="488" t="str">
        <f t="shared" si="34"/>
        <v/>
      </c>
      <c r="Y177" s="489"/>
      <c r="Z177" s="489"/>
      <c r="AA177" s="490" t="str">
        <f t="shared" si="44"/>
        <v/>
      </c>
      <c r="AB177" s="489"/>
      <c r="AC177" s="489"/>
      <c r="AD177" s="27">
        <v>110632</v>
      </c>
      <c r="AE177" s="27" t="s">
        <v>1353</v>
      </c>
      <c r="AF177" s="432">
        <v>0</v>
      </c>
      <c r="AG177" s="432"/>
      <c r="AH177" s="432">
        <f t="shared" si="41"/>
        <v>0</v>
      </c>
      <c r="AL177" s="448"/>
      <c r="AM177" s="467">
        <f>VLOOKUP(AD177,[6]BV201101!$A$10:$A$1236,1,0)</f>
        <v>110632</v>
      </c>
    </row>
    <row r="178" spans="1:39" s="467" customFormat="1" ht="12.75" customHeight="1">
      <c r="A178" s="487" t="str">
        <f t="shared" si="36"/>
        <v>1</v>
      </c>
      <c r="B178" s="487" t="str">
        <f t="shared" si="37"/>
        <v>10</v>
      </c>
      <c r="C178" s="487" t="str">
        <f t="shared" si="38"/>
        <v>63</v>
      </c>
      <c r="D178" s="487" t="str">
        <f t="shared" si="39"/>
        <v>0633</v>
      </c>
      <c r="E178" s="448">
        <v>511300000</v>
      </c>
      <c r="F178" s="488" t="str">
        <f t="shared" si="28"/>
        <v/>
      </c>
      <c r="G178" s="487"/>
      <c r="H178" s="487"/>
      <c r="I178" s="488" t="str">
        <f t="shared" si="29"/>
        <v/>
      </c>
      <c r="J178" s="487"/>
      <c r="K178" s="487"/>
      <c r="L178" s="488" t="str">
        <f t="shared" si="30"/>
        <v/>
      </c>
      <c r="M178" s="487"/>
      <c r="N178" s="487"/>
      <c r="O178" s="488" t="str">
        <f t="shared" si="31"/>
        <v/>
      </c>
      <c r="P178" s="489"/>
      <c r="Q178" s="489"/>
      <c r="R178" s="592" t="str">
        <f t="shared" si="32"/>
        <v/>
      </c>
      <c r="S178" s="489"/>
      <c r="T178" s="487"/>
      <c r="U178" s="488" t="str">
        <f t="shared" si="33"/>
        <v/>
      </c>
      <c r="V178" s="489"/>
      <c r="W178" s="489"/>
      <c r="X178" s="488" t="str">
        <f t="shared" si="34"/>
        <v/>
      </c>
      <c r="Y178" s="489"/>
      <c r="Z178" s="489"/>
      <c r="AA178" s="490" t="str">
        <f t="shared" si="44"/>
        <v/>
      </c>
      <c r="AB178" s="489"/>
      <c r="AC178" s="489"/>
      <c r="AD178" s="27">
        <v>110633</v>
      </c>
      <c r="AE178" s="27" t="s">
        <v>1354</v>
      </c>
      <c r="AF178" s="432">
        <v>0</v>
      </c>
      <c r="AG178" s="432"/>
      <c r="AH178" s="432">
        <f t="shared" si="41"/>
        <v>0</v>
      </c>
      <c r="AL178" s="448"/>
      <c r="AM178" s="467" t="e">
        <f>VLOOKUP(AD178,[6]BV201101!$A$10:$A$1236,1,0)</f>
        <v>#N/A</v>
      </c>
    </row>
    <row r="179" spans="1:39" s="467" customFormat="1" ht="12.75" customHeight="1">
      <c r="A179" s="487" t="str">
        <f t="shared" si="36"/>
        <v>1</v>
      </c>
      <c r="B179" s="487" t="str">
        <f t="shared" si="37"/>
        <v>10</v>
      </c>
      <c r="C179" s="487" t="str">
        <f t="shared" si="38"/>
        <v>63</v>
      </c>
      <c r="D179" s="487" t="str">
        <f t="shared" si="39"/>
        <v>0634</v>
      </c>
      <c r="E179" s="448">
        <v>511300000</v>
      </c>
      <c r="F179" s="488" t="str">
        <f t="shared" si="28"/>
        <v/>
      </c>
      <c r="G179" s="487"/>
      <c r="H179" s="487"/>
      <c r="I179" s="488" t="str">
        <f t="shared" si="29"/>
        <v/>
      </c>
      <c r="J179" s="487"/>
      <c r="K179" s="487"/>
      <c r="L179" s="488" t="str">
        <f t="shared" si="30"/>
        <v/>
      </c>
      <c r="M179" s="487"/>
      <c r="N179" s="487"/>
      <c r="O179" s="488" t="str">
        <f t="shared" si="31"/>
        <v/>
      </c>
      <c r="P179" s="489"/>
      <c r="Q179" s="489"/>
      <c r="R179" s="592" t="str">
        <f t="shared" si="32"/>
        <v/>
      </c>
      <c r="S179" s="489"/>
      <c r="T179" s="487"/>
      <c r="U179" s="488" t="str">
        <f t="shared" si="33"/>
        <v/>
      </c>
      <c r="V179" s="489"/>
      <c r="W179" s="489"/>
      <c r="X179" s="488" t="str">
        <f t="shared" si="34"/>
        <v/>
      </c>
      <c r="Y179" s="489"/>
      <c r="Z179" s="489"/>
      <c r="AA179" s="490" t="str">
        <f t="shared" si="44"/>
        <v/>
      </c>
      <c r="AB179" s="489"/>
      <c r="AC179" s="489"/>
      <c r="AD179" s="27">
        <v>110634</v>
      </c>
      <c r="AE179" s="27" t="s">
        <v>1355</v>
      </c>
      <c r="AF179" s="432">
        <v>0</v>
      </c>
      <c r="AG179" s="432"/>
      <c r="AH179" s="432">
        <f t="shared" si="41"/>
        <v>0</v>
      </c>
      <c r="AL179" s="448"/>
      <c r="AM179" s="467" t="e">
        <f>VLOOKUP(AD179,[6]BV201101!$A$10:$A$1236,1,0)</f>
        <v>#N/A</v>
      </c>
    </row>
    <row r="180" spans="1:39" s="467" customFormat="1" ht="12.75" customHeight="1">
      <c r="A180" s="487" t="str">
        <f t="shared" si="36"/>
        <v>1</v>
      </c>
      <c r="B180" s="487" t="str">
        <f t="shared" si="37"/>
        <v>10</v>
      </c>
      <c r="C180" s="487" t="str">
        <f t="shared" si="38"/>
        <v>63</v>
      </c>
      <c r="D180" s="487" t="str">
        <f t="shared" si="39"/>
        <v>0635</v>
      </c>
      <c r="E180" s="448">
        <v>511300000</v>
      </c>
      <c r="F180" s="488" t="str">
        <f t="shared" si="28"/>
        <v/>
      </c>
      <c r="G180" s="487"/>
      <c r="H180" s="487"/>
      <c r="I180" s="488" t="str">
        <f t="shared" si="29"/>
        <v/>
      </c>
      <c r="J180" s="487"/>
      <c r="K180" s="487"/>
      <c r="L180" s="488" t="str">
        <f t="shared" si="30"/>
        <v/>
      </c>
      <c r="M180" s="487"/>
      <c r="N180" s="487"/>
      <c r="O180" s="488" t="str">
        <f t="shared" si="31"/>
        <v/>
      </c>
      <c r="P180" s="489"/>
      <c r="Q180" s="489"/>
      <c r="R180" s="592" t="str">
        <f t="shared" si="32"/>
        <v/>
      </c>
      <c r="S180" s="489"/>
      <c r="T180" s="487"/>
      <c r="U180" s="488" t="str">
        <f t="shared" si="33"/>
        <v/>
      </c>
      <c r="V180" s="489"/>
      <c r="W180" s="489"/>
      <c r="X180" s="488" t="str">
        <f t="shared" si="34"/>
        <v/>
      </c>
      <c r="Y180" s="489"/>
      <c r="Z180" s="489"/>
      <c r="AA180" s="490" t="str">
        <f t="shared" si="44"/>
        <v/>
      </c>
      <c r="AB180" s="489"/>
      <c r="AC180" s="489"/>
      <c r="AD180" s="27">
        <v>110635</v>
      </c>
      <c r="AE180" s="27" t="s">
        <v>957</v>
      </c>
      <c r="AF180" s="432">
        <v>0</v>
      </c>
      <c r="AG180" s="432"/>
      <c r="AH180" s="432">
        <f t="shared" si="41"/>
        <v>0</v>
      </c>
      <c r="AL180" s="448"/>
      <c r="AM180" s="467" t="e">
        <f>VLOOKUP(AD180,[6]BV201101!$A$10:$A$1236,1,0)</f>
        <v>#N/A</v>
      </c>
    </row>
    <row r="181" spans="1:39" s="467" customFormat="1" ht="12.75" customHeight="1">
      <c r="A181" s="487" t="str">
        <f t="shared" si="36"/>
        <v>1</v>
      </c>
      <c r="B181" s="487" t="str">
        <f t="shared" si="37"/>
        <v>10</v>
      </c>
      <c r="C181" s="487" t="str">
        <f t="shared" si="38"/>
        <v>63</v>
      </c>
      <c r="D181" s="487" t="str">
        <f t="shared" si="39"/>
        <v>0636</v>
      </c>
      <c r="E181" s="448">
        <v>511300000</v>
      </c>
      <c r="F181" s="488" t="str">
        <f t="shared" si="28"/>
        <v/>
      </c>
      <c r="G181" s="487"/>
      <c r="H181" s="487"/>
      <c r="I181" s="488" t="str">
        <f t="shared" si="29"/>
        <v/>
      </c>
      <c r="J181" s="487"/>
      <c r="K181" s="487"/>
      <c r="L181" s="488" t="str">
        <f t="shared" si="30"/>
        <v/>
      </c>
      <c r="M181" s="487"/>
      <c r="N181" s="487"/>
      <c r="O181" s="488" t="str">
        <f t="shared" si="31"/>
        <v/>
      </c>
      <c r="P181" s="489"/>
      <c r="Q181" s="489"/>
      <c r="R181" s="592" t="str">
        <f t="shared" si="32"/>
        <v/>
      </c>
      <c r="S181" s="489"/>
      <c r="T181" s="487"/>
      <c r="U181" s="488" t="str">
        <f t="shared" si="33"/>
        <v/>
      </c>
      <c r="V181" s="489"/>
      <c r="W181" s="489"/>
      <c r="X181" s="488" t="str">
        <f t="shared" si="34"/>
        <v/>
      </c>
      <c r="Y181" s="489"/>
      <c r="Z181" s="489"/>
      <c r="AA181" s="490" t="str">
        <f t="shared" si="44"/>
        <v/>
      </c>
      <c r="AB181" s="489"/>
      <c r="AC181" s="489"/>
      <c r="AD181" s="27">
        <v>110636</v>
      </c>
      <c r="AE181" s="27" t="s">
        <v>958</v>
      </c>
      <c r="AF181" s="432">
        <v>0</v>
      </c>
      <c r="AG181" s="432"/>
      <c r="AH181" s="432">
        <f t="shared" si="41"/>
        <v>0</v>
      </c>
      <c r="AL181" s="448"/>
      <c r="AM181" s="467" t="e">
        <f>VLOOKUP(AD181,[6]BV201101!$A$10:$A$1236,1,0)</f>
        <v>#N/A</v>
      </c>
    </row>
    <row r="182" spans="1:39" s="467" customFormat="1" ht="12.75" customHeight="1">
      <c r="A182" s="487" t="str">
        <f t="shared" si="36"/>
        <v>1</v>
      </c>
      <c r="B182" s="487" t="str">
        <f t="shared" si="37"/>
        <v>10</v>
      </c>
      <c r="C182" s="487" t="str">
        <f t="shared" si="38"/>
        <v>63</v>
      </c>
      <c r="D182" s="487" t="str">
        <f t="shared" si="39"/>
        <v>0637</v>
      </c>
      <c r="E182" s="448">
        <v>511300000</v>
      </c>
      <c r="F182" s="488" t="str">
        <f t="shared" si="28"/>
        <v/>
      </c>
      <c r="G182" s="487"/>
      <c r="H182" s="487"/>
      <c r="I182" s="488" t="str">
        <f t="shared" si="29"/>
        <v/>
      </c>
      <c r="J182" s="487"/>
      <c r="K182" s="487"/>
      <c r="L182" s="488" t="str">
        <f t="shared" si="30"/>
        <v/>
      </c>
      <c r="M182" s="487"/>
      <c r="N182" s="487"/>
      <c r="O182" s="488" t="str">
        <f t="shared" si="31"/>
        <v/>
      </c>
      <c r="P182" s="489"/>
      <c r="Q182" s="489"/>
      <c r="R182" s="592" t="str">
        <f t="shared" si="32"/>
        <v/>
      </c>
      <c r="S182" s="489"/>
      <c r="T182" s="487"/>
      <c r="U182" s="488" t="str">
        <f t="shared" si="33"/>
        <v/>
      </c>
      <c r="V182" s="489"/>
      <c r="W182" s="489"/>
      <c r="X182" s="488" t="str">
        <f t="shared" si="34"/>
        <v/>
      </c>
      <c r="Y182" s="489"/>
      <c r="Z182" s="489"/>
      <c r="AA182" s="490" t="str">
        <f t="shared" si="44"/>
        <v/>
      </c>
      <c r="AB182" s="489"/>
      <c r="AC182" s="489"/>
      <c r="AD182" s="27">
        <v>110637</v>
      </c>
      <c r="AE182" s="27" t="s">
        <v>1974</v>
      </c>
      <c r="AF182" s="432">
        <v>0</v>
      </c>
      <c r="AG182" s="432"/>
      <c r="AH182" s="432">
        <f t="shared" si="41"/>
        <v>0</v>
      </c>
      <c r="AL182" s="448"/>
      <c r="AM182" s="467" t="e">
        <f>VLOOKUP(AD182,[6]BV201101!$A$10:$A$1236,1,0)</f>
        <v>#N/A</v>
      </c>
    </row>
    <row r="183" spans="1:39" s="467" customFormat="1" ht="12.75" customHeight="1">
      <c r="A183" s="487" t="str">
        <f t="shared" si="36"/>
        <v>1</v>
      </c>
      <c r="B183" s="487" t="str">
        <f t="shared" si="37"/>
        <v>10</v>
      </c>
      <c r="C183" s="487" t="str">
        <f t="shared" si="38"/>
        <v>63</v>
      </c>
      <c r="D183" s="487" t="str">
        <f t="shared" si="39"/>
        <v>0638</v>
      </c>
      <c r="E183" s="448">
        <v>511300000</v>
      </c>
      <c r="F183" s="488" t="str">
        <f t="shared" si="28"/>
        <v/>
      </c>
      <c r="G183" s="487"/>
      <c r="H183" s="487"/>
      <c r="I183" s="488" t="str">
        <f t="shared" si="29"/>
        <v/>
      </c>
      <c r="J183" s="487"/>
      <c r="K183" s="487"/>
      <c r="L183" s="488" t="str">
        <f t="shared" si="30"/>
        <v/>
      </c>
      <c r="M183" s="487"/>
      <c r="N183" s="487"/>
      <c r="O183" s="488" t="str">
        <f t="shared" si="31"/>
        <v/>
      </c>
      <c r="P183" s="489"/>
      <c r="Q183" s="489"/>
      <c r="R183" s="592" t="str">
        <f t="shared" si="32"/>
        <v/>
      </c>
      <c r="S183" s="489"/>
      <c r="T183" s="487"/>
      <c r="U183" s="488" t="str">
        <f t="shared" si="33"/>
        <v/>
      </c>
      <c r="V183" s="489"/>
      <c r="W183" s="489"/>
      <c r="X183" s="488" t="str">
        <f t="shared" si="34"/>
        <v/>
      </c>
      <c r="Y183" s="489"/>
      <c r="Z183" s="489"/>
      <c r="AA183" s="490" t="str">
        <f t="shared" si="44"/>
        <v/>
      </c>
      <c r="AB183" s="489"/>
      <c r="AC183" s="489"/>
      <c r="AD183" s="27">
        <v>110638</v>
      </c>
      <c r="AE183" s="27" t="s">
        <v>510</v>
      </c>
      <c r="AF183" s="432">
        <v>0</v>
      </c>
      <c r="AG183" s="432"/>
      <c r="AH183" s="432">
        <f t="shared" si="41"/>
        <v>0</v>
      </c>
      <c r="AL183" s="448"/>
      <c r="AM183" s="467" t="e">
        <f>VLOOKUP(AD183,[6]BV201101!$A$10:$A$1236,1,0)</f>
        <v>#N/A</v>
      </c>
    </row>
    <row r="184" spans="1:39" s="467" customFormat="1" ht="12.75" customHeight="1">
      <c r="A184" s="487" t="str">
        <f t="shared" si="36"/>
        <v>1</v>
      </c>
      <c r="B184" s="487" t="str">
        <f t="shared" si="37"/>
        <v>10</v>
      </c>
      <c r="C184" s="487" t="str">
        <f t="shared" si="38"/>
        <v>63</v>
      </c>
      <c r="D184" s="487" t="str">
        <f t="shared" si="39"/>
        <v>0639</v>
      </c>
      <c r="E184" s="448">
        <v>511300000</v>
      </c>
      <c r="F184" s="488" t="str">
        <f t="shared" si="28"/>
        <v/>
      </c>
      <c r="G184" s="487"/>
      <c r="H184" s="487"/>
      <c r="I184" s="488" t="str">
        <f t="shared" si="29"/>
        <v/>
      </c>
      <c r="J184" s="487"/>
      <c r="K184" s="487"/>
      <c r="L184" s="488" t="str">
        <f t="shared" si="30"/>
        <v/>
      </c>
      <c r="M184" s="487"/>
      <c r="N184" s="487"/>
      <c r="O184" s="488" t="str">
        <f t="shared" si="31"/>
        <v/>
      </c>
      <c r="P184" s="489"/>
      <c r="Q184" s="489"/>
      <c r="R184" s="592" t="str">
        <f t="shared" si="32"/>
        <v/>
      </c>
      <c r="S184" s="489"/>
      <c r="T184" s="487"/>
      <c r="U184" s="488" t="str">
        <f t="shared" si="33"/>
        <v/>
      </c>
      <c r="V184" s="489"/>
      <c r="W184" s="489"/>
      <c r="X184" s="488" t="str">
        <f t="shared" si="34"/>
        <v/>
      </c>
      <c r="Y184" s="489"/>
      <c r="Z184" s="489"/>
      <c r="AA184" s="490" t="str">
        <f t="shared" si="44"/>
        <v/>
      </c>
      <c r="AB184" s="489"/>
      <c r="AC184" s="489"/>
      <c r="AD184" s="27">
        <v>110639</v>
      </c>
      <c r="AE184" s="27" t="s">
        <v>511</v>
      </c>
      <c r="AF184" s="432">
        <v>0</v>
      </c>
      <c r="AG184" s="432"/>
      <c r="AH184" s="432">
        <f t="shared" si="41"/>
        <v>0</v>
      </c>
      <c r="AL184" s="448"/>
      <c r="AM184" s="467" t="e">
        <f>VLOOKUP(AD184,[6]BV201101!$A$10:$A$1236,1,0)</f>
        <v>#N/A</v>
      </c>
    </row>
    <row r="185" spans="1:39" s="467" customFormat="1" ht="12.75" customHeight="1">
      <c r="A185" s="487" t="str">
        <f t="shared" si="36"/>
        <v>1</v>
      </c>
      <c r="B185" s="487" t="str">
        <f t="shared" si="37"/>
        <v>10</v>
      </c>
      <c r="C185" s="487" t="str">
        <f t="shared" si="38"/>
        <v>64</v>
      </c>
      <c r="D185" s="487" t="str">
        <f t="shared" si="39"/>
        <v>0640</v>
      </c>
      <c r="E185" s="448">
        <v>511300000</v>
      </c>
      <c r="F185" s="488" t="str">
        <f t="shared" si="28"/>
        <v/>
      </c>
      <c r="G185" s="487"/>
      <c r="H185" s="487"/>
      <c r="I185" s="488" t="str">
        <f t="shared" si="29"/>
        <v/>
      </c>
      <c r="J185" s="487"/>
      <c r="K185" s="487"/>
      <c r="L185" s="488" t="str">
        <f t="shared" si="30"/>
        <v/>
      </c>
      <c r="M185" s="487"/>
      <c r="N185" s="487"/>
      <c r="O185" s="488" t="str">
        <f t="shared" si="31"/>
        <v/>
      </c>
      <c r="P185" s="489"/>
      <c r="Q185" s="489"/>
      <c r="R185" s="592" t="str">
        <f t="shared" si="32"/>
        <v/>
      </c>
      <c r="S185" s="489"/>
      <c r="T185" s="487"/>
      <c r="U185" s="488" t="str">
        <f t="shared" si="33"/>
        <v/>
      </c>
      <c r="V185" s="489"/>
      <c r="W185" s="489"/>
      <c r="X185" s="488" t="str">
        <f t="shared" si="34"/>
        <v/>
      </c>
      <c r="Y185" s="489"/>
      <c r="Z185" s="489"/>
      <c r="AA185" s="490" t="str">
        <f t="shared" si="44"/>
        <v/>
      </c>
      <c r="AB185" s="489"/>
      <c r="AC185" s="489"/>
      <c r="AD185" s="27">
        <v>110640</v>
      </c>
      <c r="AE185" s="27" t="s">
        <v>1975</v>
      </c>
      <c r="AF185" s="432">
        <v>0</v>
      </c>
      <c r="AG185" s="432"/>
      <c r="AH185" s="432">
        <f t="shared" si="41"/>
        <v>0</v>
      </c>
      <c r="AL185" s="448"/>
      <c r="AM185" s="467" t="e">
        <f>VLOOKUP(AD185,[6]BV201101!$A$10:$A$1236,1,0)</f>
        <v>#N/A</v>
      </c>
    </row>
    <row r="186" spans="1:39" s="467" customFormat="1" ht="12.75" customHeight="1">
      <c r="A186" s="487" t="str">
        <f t="shared" si="36"/>
        <v>1</v>
      </c>
      <c r="B186" s="487" t="str">
        <f t="shared" si="37"/>
        <v>10</v>
      </c>
      <c r="C186" s="487" t="str">
        <f t="shared" si="38"/>
        <v>64</v>
      </c>
      <c r="D186" s="487" t="str">
        <f t="shared" si="39"/>
        <v>0641</v>
      </c>
      <c r="E186" s="448">
        <v>511300000</v>
      </c>
      <c r="F186" s="488" t="str">
        <f t="shared" si="28"/>
        <v/>
      </c>
      <c r="G186" s="487"/>
      <c r="H186" s="487"/>
      <c r="I186" s="488" t="str">
        <f t="shared" si="29"/>
        <v/>
      </c>
      <c r="J186" s="487"/>
      <c r="K186" s="487"/>
      <c r="L186" s="488" t="str">
        <f t="shared" si="30"/>
        <v/>
      </c>
      <c r="M186" s="487"/>
      <c r="N186" s="487"/>
      <c r="O186" s="488" t="str">
        <f t="shared" si="31"/>
        <v/>
      </c>
      <c r="P186" s="489"/>
      <c r="Q186" s="489"/>
      <c r="R186" s="592" t="str">
        <f t="shared" si="32"/>
        <v/>
      </c>
      <c r="S186" s="489"/>
      <c r="T186" s="487"/>
      <c r="U186" s="488" t="str">
        <f t="shared" si="33"/>
        <v/>
      </c>
      <c r="V186" s="489"/>
      <c r="W186" s="489"/>
      <c r="X186" s="488" t="str">
        <f t="shared" si="34"/>
        <v/>
      </c>
      <c r="Y186" s="489"/>
      <c r="Z186" s="489"/>
      <c r="AA186" s="490" t="str">
        <f t="shared" si="44"/>
        <v/>
      </c>
      <c r="AB186" s="489"/>
      <c r="AC186" s="489"/>
      <c r="AD186" s="27">
        <v>110641</v>
      </c>
      <c r="AE186" s="27" t="s">
        <v>512</v>
      </c>
      <c r="AF186" s="432">
        <f>VLOOKUP(AD186,[5]Hoja1!$A$10:$K$1393,11,0)</f>
        <v>0</v>
      </c>
      <c r="AG186" s="432">
        <v>0</v>
      </c>
      <c r="AH186" s="432">
        <f t="shared" si="41"/>
        <v>0</v>
      </c>
      <c r="AI186" s="445">
        <f>+AH186+AH225</f>
        <v>362018</v>
      </c>
      <c r="AJ186" s="467">
        <v>8120</v>
      </c>
      <c r="AK186" s="445">
        <f>+AJ186-AH186</f>
        <v>8120</v>
      </c>
      <c r="AL186" s="448"/>
      <c r="AM186" s="467">
        <f>VLOOKUP(AD186,[6]BV201101!$A$10:$A$1236,1,0)</f>
        <v>110641</v>
      </c>
    </row>
    <row r="187" spans="1:39" s="467" customFormat="1" ht="12.75" customHeight="1">
      <c r="A187" s="487" t="str">
        <f t="shared" si="36"/>
        <v>1</v>
      </c>
      <c r="B187" s="487" t="str">
        <f t="shared" si="37"/>
        <v>10</v>
      </c>
      <c r="C187" s="487" t="str">
        <f t="shared" si="38"/>
        <v>64</v>
      </c>
      <c r="D187" s="487" t="str">
        <f t="shared" si="39"/>
        <v>0642</v>
      </c>
      <c r="E187" s="448">
        <v>511300000</v>
      </c>
      <c r="F187" s="488" t="str">
        <f t="shared" si="28"/>
        <v/>
      </c>
      <c r="G187" s="487"/>
      <c r="H187" s="487"/>
      <c r="I187" s="488" t="str">
        <f t="shared" si="29"/>
        <v/>
      </c>
      <c r="J187" s="487"/>
      <c r="K187" s="487"/>
      <c r="L187" s="488" t="str">
        <f t="shared" si="30"/>
        <v/>
      </c>
      <c r="M187" s="487"/>
      <c r="N187" s="487"/>
      <c r="O187" s="488" t="str">
        <f t="shared" si="31"/>
        <v/>
      </c>
      <c r="P187" s="489"/>
      <c r="Q187" s="489"/>
      <c r="R187" s="592" t="str">
        <f t="shared" si="32"/>
        <v/>
      </c>
      <c r="S187" s="489"/>
      <c r="T187" s="487"/>
      <c r="U187" s="488" t="str">
        <f t="shared" si="33"/>
        <v/>
      </c>
      <c r="V187" s="489"/>
      <c r="W187" s="489"/>
      <c r="X187" s="488" t="str">
        <f t="shared" si="34"/>
        <v/>
      </c>
      <c r="Y187" s="489"/>
      <c r="Z187" s="489"/>
      <c r="AA187" s="490" t="str">
        <f t="shared" si="44"/>
        <v/>
      </c>
      <c r="AB187" s="489"/>
      <c r="AC187" s="489"/>
      <c r="AD187" s="27">
        <v>110642</v>
      </c>
      <c r="AE187" s="27" t="s">
        <v>513</v>
      </c>
      <c r="AF187" s="432">
        <v>0</v>
      </c>
      <c r="AG187" s="432">
        <v>0</v>
      </c>
      <c r="AH187" s="432">
        <f t="shared" si="41"/>
        <v>0</v>
      </c>
      <c r="AL187" s="448"/>
      <c r="AM187" s="467" t="e">
        <f>VLOOKUP(AD187,[6]BV201101!$A$10:$A$1236,1,0)</f>
        <v>#N/A</v>
      </c>
    </row>
    <row r="188" spans="1:39" s="467" customFormat="1" ht="12.75" customHeight="1">
      <c r="A188" s="487" t="str">
        <f t="shared" si="36"/>
        <v>1</v>
      </c>
      <c r="B188" s="487" t="str">
        <f t="shared" si="37"/>
        <v>10</v>
      </c>
      <c r="C188" s="487" t="str">
        <f t="shared" si="38"/>
        <v>64</v>
      </c>
      <c r="D188" s="487" t="str">
        <f t="shared" si="39"/>
        <v>0643</v>
      </c>
      <c r="E188" s="448">
        <v>511300000</v>
      </c>
      <c r="F188" s="488" t="str">
        <f t="shared" si="28"/>
        <v/>
      </c>
      <c r="G188" s="487"/>
      <c r="H188" s="487"/>
      <c r="I188" s="488" t="str">
        <f t="shared" si="29"/>
        <v/>
      </c>
      <c r="J188" s="487"/>
      <c r="K188" s="487"/>
      <c r="L188" s="488" t="str">
        <f t="shared" si="30"/>
        <v/>
      </c>
      <c r="M188" s="487"/>
      <c r="N188" s="487"/>
      <c r="O188" s="488" t="str">
        <f t="shared" si="31"/>
        <v/>
      </c>
      <c r="P188" s="489"/>
      <c r="Q188" s="489"/>
      <c r="R188" s="592" t="str">
        <f t="shared" si="32"/>
        <v/>
      </c>
      <c r="S188" s="489"/>
      <c r="T188" s="487"/>
      <c r="U188" s="488" t="str">
        <f t="shared" si="33"/>
        <v/>
      </c>
      <c r="V188" s="489"/>
      <c r="W188" s="489"/>
      <c r="X188" s="488" t="str">
        <f t="shared" si="34"/>
        <v/>
      </c>
      <c r="Y188" s="489"/>
      <c r="Z188" s="489"/>
      <c r="AA188" s="490" t="str">
        <f t="shared" si="44"/>
        <v/>
      </c>
      <c r="AB188" s="489"/>
      <c r="AC188" s="489"/>
      <c r="AD188" s="27">
        <v>110643</v>
      </c>
      <c r="AE188" s="27" t="s">
        <v>984</v>
      </c>
      <c r="AF188" s="432">
        <v>0</v>
      </c>
      <c r="AG188" s="432"/>
      <c r="AH188" s="432">
        <f t="shared" si="41"/>
        <v>0</v>
      </c>
      <c r="AL188" s="448"/>
      <c r="AM188" s="467" t="e">
        <f>VLOOKUP(AD188,[6]BV201101!$A$10:$A$1236,1,0)</f>
        <v>#N/A</v>
      </c>
    </row>
    <row r="189" spans="1:39" s="467" customFormat="1" ht="12.75" customHeight="1">
      <c r="A189" s="487" t="str">
        <f t="shared" si="36"/>
        <v>1</v>
      </c>
      <c r="B189" s="487" t="str">
        <f t="shared" si="37"/>
        <v>10</v>
      </c>
      <c r="C189" s="487" t="str">
        <f t="shared" si="38"/>
        <v>64</v>
      </c>
      <c r="D189" s="487" t="str">
        <f t="shared" si="39"/>
        <v>0644</v>
      </c>
      <c r="E189" s="448">
        <v>511300000</v>
      </c>
      <c r="F189" s="488" t="str">
        <f t="shared" si="28"/>
        <v/>
      </c>
      <c r="G189" s="487"/>
      <c r="H189" s="487"/>
      <c r="I189" s="488" t="str">
        <f t="shared" si="29"/>
        <v/>
      </c>
      <c r="J189" s="487"/>
      <c r="K189" s="487"/>
      <c r="L189" s="488" t="str">
        <f t="shared" si="30"/>
        <v/>
      </c>
      <c r="M189" s="487"/>
      <c r="N189" s="487"/>
      <c r="O189" s="488" t="str">
        <f t="shared" si="31"/>
        <v/>
      </c>
      <c r="P189" s="489"/>
      <c r="Q189" s="489"/>
      <c r="R189" s="592" t="str">
        <f t="shared" si="32"/>
        <v/>
      </c>
      <c r="S189" s="489"/>
      <c r="T189" s="487"/>
      <c r="U189" s="488" t="str">
        <f t="shared" si="33"/>
        <v/>
      </c>
      <c r="V189" s="489"/>
      <c r="W189" s="489"/>
      <c r="X189" s="488" t="str">
        <f t="shared" si="34"/>
        <v/>
      </c>
      <c r="Y189" s="489"/>
      <c r="Z189" s="489"/>
      <c r="AA189" s="490" t="str">
        <f t="shared" si="44"/>
        <v/>
      </c>
      <c r="AB189" s="489"/>
      <c r="AC189" s="489"/>
      <c r="AD189" s="27">
        <v>110644</v>
      </c>
      <c r="AE189" s="27" t="s">
        <v>985</v>
      </c>
      <c r="AF189" s="432">
        <v>0</v>
      </c>
      <c r="AG189" s="432"/>
      <c r="AH189" s="432">
        <f t="shared" si="41"/>
        <v>0</v>
      </c>
      <c r="AL189" s="448"/>
      <c r="AM189" s="467" t="e">
        <f>VLOOKUP(AD189,[6]BV201101!$A$10:$A$1236,1,0)</f>
        <v>#N/A</v>
      </c>
    </row>
    <row r="190" spans="1:39" s="467" customFormat="1" ht="12.75" customHeight="1">
      <c r="A190" s="487" t="str">
        <f t="shared" si="36"/>
        <v>1</v>
      </c>
      <c r="B190" s="487" t="str">
        <f t="shared" si="37"/>
        <v>10</v>
      </c>
      <c r="C190" s="487" t="str">
        <f t="shared" si="38"/>
        <v>64</v>
      </c>
      <c r="D190" s="487" t="str">
        <f t="shared" si="39"/>
        <v>0645</v>
      </c>
      <c r="E190" s="448">
        <v>511300000</v>
      </c>
      <c r="F190" s="488" t="str">
        <f t="shared" si="28"/>
        <v/>
      </c>
      <c r="G190" s="487"/>
      <c r="H190" s="487"/>
      <c r="I190" s="488" t="str">
        <f t="shared" si="29"/>
        <v/>
      </c>
      <c r="J190" s="487"/>
      <c r="K190" s="487"/>
      <c r="L190" s="488" t="str">
        <f t="shared" si="30"/>
        <v/>
      </c>
      <c r="M190" s="487"/>
      <c r="N190" s="487"/>
      <c r="O190" s="488" t="str">
        <f t="shared" si="31"/>
        <v/>
      </c>
      <c r="P190" s="489"/>
      <c r="Q190" s="489"/>
      <c r="R190" s="592" t="str">
        <f t="shared" si="32"/>
        <v/>
      </c>
      <c r="S190" s="489"/>
      <c r="T190" s="487"/>
      <c r="U190" s="488" t="str">
        <f t="shared" si="33"/>
        <v/>
      </c>
      <c r="V190" s="489"/>
      <c r="W190" s="489"/>
      <c r="X190" s="488" t="str">
        <f t="shared" si="34"/>
        <v/>
      </c>
      <c r="Y190" s="489"/>
      <c r="Z190" s="489"/>
      <c r="AA190" s="490" t="str">
        <f t="shared" si="44"/>
        <v/>
      </c>
      <c r="AB190" s="489"/>
      <c r="AC190" s="489"/>
      <c r="AD190" s="27">
        <v>110645</v>
      </c>
      <c r="AE190" s="27" t="s">
        <v>1976</v>
      </c>
      <c r="AF190" s="432">
        <f>VLOOKUP(AD190,[5]Hoja1!$A$10:$K$1393,11,0)</f>
        <v>0</v>
      </c>
      <c r="AG190" s="432"/>
      <c r="AH190" s="432">
        <f t="shared" si="41"/>
        <v>0</v>
      </c>
      <c r="AL190" s="448"/>
      <c r="AM190" s="467" t="e">
        <f>VLOOKUP(AD190,[6]BV201101!$A$10:$A$1236,1,0)</f>
        <v>#N/A</v>
      </c>
    </row>
    <row r="191" spans="1:39" s="467" customFormat="1" ht="12.75" customHeight="1">
      <c r="A191" s="487" t="str">
        <f t="shared" si="36"/>
        <v>1</v>
      </c>
      <c r="B191" s="487" t="str">
        <f t="shared" si="37"/>
        <v>10</v>
      </c>
      <c r="C191" s="487" t="str">
        <f t="shared" si="38"/>
        <v>64</v>
      </c>
      <c r="D191" s="487" t="str">
        <f t="shared" si="39"/>
        <v>0646</v>
      </c>
      <c r="E191" s="448">
        <v>511300000</v>
      </c>
      <c r="F191" s="488"/>
      <c r="G191" s="487"/>
      <c r="H191" s="487"/>
      <c r="I191" s="488"/>
      <c r="J191" s="487"/>
      <c r="K191" s="487"/>
      <c r="L191" s="488"/>
      <c r="M191" s="487"/>
      <c r="N191" s="487"/>
      <c r="O191" s="488"/>
      <c r="P191" s="489"/>
      <c r="Q191" s="489"/>
      <c r="R191" s="592"/>
      <c r="S191" s="489"/>
      <c r="T191" s="487"/>
      <c r="U191" s="488"/>
      <c r="V191" s="489"/>
      <c r="W191" s="489"/>
      <c r="X191" s="488"/>
      <c r="Y191" s="489"/>
      <c r="Z191" s="489"/>
      <c r="AA191" s="490"/>
      <c r="AB191" s="489"/>
      <c r="AC191" s="489"/>
      <c r="AD191" s="27">
        <v>110646</v>
      </c>
      <c r="AE191" s="27" t="s">
        <v>1977</v>
      </c>
      <c r="AF191" s="432">
        <v>0</v>
      </c>
      <c r="AG191" s="432"/>
      <c r="AH191" s="432">
        <f t="shared" si="41"/>
        <v>0</v>
      </c>
      <c r="AL191" s="448"/>
      <c r="AM191" s="467" t="e">
        <f>VLOOKUP(AD191,[6]BV201101!$A$10:$A$1236,1,0)</f>
        <v>#N/A</v>
      </c>
    </row>
    <row r="192" spans="1:39" s="467" customFormat="1" ht="12.75" customHeight="1">
      <c r="A192" s="487" t="str">
        <f t="shared" si="36"/>
        <v>1</v>
      </c>
      <c r="B192" s="487" t="str">
        <f t="shared" si="37"/>
        <v>10</v>
      </c>
      <c r="C192" s="487" t="str">
        <f t="shared" si="38"/>
        <v>64</v>
      </c>
      <c r="D192" s="487" t="str">
        <f t="shared" si="39"/>
        <v>0647</v>
      </c>
      <c r="E192" s="448">
        <v>511300000</v>
      </c>
      <c r="F192" s="488"/>
      <c r="G192" s="487"/>
      <c r="H192" s="487"/>
      <c r="I192" s="488"/>
      <c r="J192" s="487"/>
      <c r="K192" s="487"/>
      <c r="L192" s="488"/>
      <c r="M192" s="487"/>
      <c r="N192" s="487"/>
      <c r="O192" s="488"/>
      <c r="P192" s="489"/>
      <c r="Q192" s="489"/>
      <c r="R192" s="592"/>
      <c r="S192" s="489"/>
      <c r="T192" s="487"/>
      <c r="U192" s="488"/>
      <c r="V192" s="489"/>
      <c r="W192" s="489"/>
      <c r="X192" s="488"/>
      <c r="Y192" s="489"/>
      <c r="Z192" s="489"/>
      <c r="AA192" s="490"/>
      <c r="AB192" s="489"/>
      <c r="AC192" s="489"/>
      <c r="AD192" s="27">
        <v>110647</v>
      </c>
      <c r="AE192" s="27" t="s">
        <v>993</v>
      </c>
      <c r="AF192" s="432">
        <v>0</v>
      </c>
      <c r="AG192" s="432"/>
      <c r="AH192" s="432">
        <f t="shared" si="41"/>
        <v>0</v>
      </c>
      <c r="AL192" s="448"/>
      <c r="AM192" s="467" t="e">
        <f>VLOOKUP(AD192,[6]BV201101!$A$10:$A$1236,1,0)</f>
        <v>#N/A</v>
      </c>
    </row>
    <row r="193" spans="1:39" s="467" customFormat="1" ht="12.75" customHeight="1">
      <c r="A193" s="487" t="str">
        <f t="shared" si="36"/>
        <v>1</v>
      </c>
      <c r="B193" s="487" t="str">
        <f t="shared" si="37"/>
        <v>10</v>
      </c>
      <c r="C193" s="487" t="str">
        <f t="shared" si="38"/>
        <v>64</v>
      </c>
      <c r="D193" s="487" t="str">
        <f t="shared" si="39"/>
        <v>0648</v>
      </c>
      <c r="E193" s="448">
        <v>511300000</v>
      </c>
      <c r="F193" s="488"/>
      <c r="G193" s="487"/>
      <c r="H193" s="487"/>
      <c r="I193" s="488"/>
      <c r="J193" s="487"/>
      <c r="K193" s="487"/>
      <c r="L193" s="488"/>
      <c r="M193" s="487"/>
      <c r="N193" s="487"/>
      <c r="O193" s="488"/>
      <c r="P193" s="489"/>
      <c r="Q193" s="489"/>
      <c r="R193" s="592"/>
      <c r="S193" s="489"/>
      <c r="T193" s="487"/>
      <c r="U193" s="488"/>
      <c r="V193" s="489"/>
      <c r="W193" s="489"/>
      <c r="X193" s="488"/>
      <c r="Y193" s="489"/>
      <c r="Z193" s="489"/>
      <c r="AA193" s="490"/>
      <c r="AB193" s="489"/>
      <c r="AC193" s="489"/>
      <c r="AD193" s="27">
        <v>110648</v>
      </c>
      <c r="AE193" s="27" t="s">
        <v>994</v>
      </c>
      <c r="AF193" s="432">
        <v>0</v>
      </c>
      <c r="AG193" s="432"/>
      <c r="AH193" s="432">
        <f t="shared" si="41"/>
        <v>0</v>
      </c>
      <c r="AL193" s="448"/>
      <c r="AM193" s="467" t="e">
        <f>VLOOKUP(AD193,[6]BV201101!$A$10:$A$1236,1,0)</f>
        <v>#N/A</v>
      </c>
    </row>
    <row r="194" spans="1:39" s="467" customFormat="1" ht="12.75" customHeight="1">
      <c r="A194" s="487" t="str">
        <f t="shared" si="36"/>
        <v>1</v>
      </c>
      <c r="B194" s="487" t="str">
        <f t="shared" si="37"/>
        <v>10</v>
      </c>
      <c r="C194" s="487" t="str">
        <f t="shared" si="38"/>
        <v>64</v>
      </c>
      <c r="D194" s="487" t="str">
        <f t="shared" si="39"/>
        <v>0649</v>
      </c>
      <c r="E194" s="448">
        <v>511300000</v>
      </c>
      <c r="F194" s="488"/>
      <c r="G194" s="487"/>
      <c r="H194" s="487"/>
      <c r="I194" s="488"/>
      <c r="J194" s="487"/>
      <c r="K194" s="487"/>
      <c r="L194" s="488"/>
      <c r="M194" s="487"/>
      <c r="N194" s="487"/>
      <c r="O194" s="488"/>
      <c r="P194" s="489"/>
      <c r="Q194" s="489"/>
      <c r="R194" s="592"/>
      <c r="S194" s="489"/>
      <c r="T194" s="487"/>
      <c r="U194" s="488"/>
      <c r="V194" s="489"/>
      <c r="W194" s="489"/>
      <c r="X194" s="488"/>
      <c r="Y194" s="489"/>
      <c r="Z194" s="489"/>
      <c r="AA194" s="490"/>
      <c r="AB194" s="489"/>
      <c r="AC194" s="489"/>
      <c r="AD194" s="27">
        <v>110649</v>
      </c>
      <c r="AE194" s="27" t="s">
        <v>995</v>
      </c>
      <c r="AF194" s="432">
        <v>0</v>
      </c>
      <c r="AG194" s="432"/>
      <c r="AH194" s="432">
        <f t="shared" si="41"/>
        <v>0</v>
      </c>
      <c r="AL194" s="448"/>
      <c r="AM194" s="467" t="e">
        <f>VLOOKUP(AD194,[6]BV201101!$A$10:$A$1236,1,0)</f>
        <v>#N/A</v>
      </c>
    </row>
    <row r="195" spans="1:39" s="467" customFormat="1" ht="12.75" customHeight="1">
      <c r="A195" s="487" t="str">
        <f t="shared" si="36"/>
        <v>1</v>
      </c>
      <c r="B195" s="487" t="str">
        <f t="shared" si="37"/>
        <v>10</v>
      </c>
      <c r="C195" s="487" t="str">
        <f t="shared" si="38"/>
        <v>65</v>
      </c>
      <c r="D195" s="487" t="str">
        <f t="shared" si="39"/>
        <v>0650</v>
      </c>
      <c r="E195" s="448">
        <v>511300000</v>
      </c>
      <c r="F195" s="488" t="str">
        <f t="shared" si="28"/>
        <v/>
      </c>
      <c r="G195" s="487"/>
      <c r="H195" s="487"/>
      <c r="I195" s="488" t="str">
        <f t="shared" si="29"/>
        <v/>
      </c>
      <c r="J195" s="487"/>
      <c r="K195" s="487"/>
      <c r="L195" s="488" t="str">
        <f t="shared" si="30"/>
        <v/>
      </c>
      <c r="M195" s="487"/>
      <c r="N195" s="487"/>
      <c r="O195" s="488" t="str">
        <f t="shared" si="31"/>
        <v/>
      </c>
      <c r="P195" s="489"/>
      <c r="Q195" s="489"/>
      <c r="R195" s="592" t="str">
        <f t="shared" si="32"/>
        <v/>
      </c>
      <c r="S195" s="489"/>
      <c r="T195" s="487"/>
      <c r="U195" s="488" t="str">
        <f t="shared" si="33"/>
        <v/>
      </c>
      <c r="V195" s="489"/>
      <c r="W195" s="489"/>
      <c r="X195" s="488" t="str">
        <f t="shared" si="34"/>
        <v/>
      </c>
      <c r="Y195" s="489"/>
      <c r="Z195" s="489"/>
      <c r="AA195" s="490" t="str">
        <f t="shared" ref="AA195:AA276" si="45">+AB195&amp;AC195</f>
        <v/>
      </c>
      <c r="AB195" s="489"/>
      <c r="AC195" s="489"/>
      <c r="AD195" s="27">
        <v>110650</v>
      </c>
      <c r="AE195" s="27" t="s">
        <v>1978</v>
      </c>
      <c r="AF195" s="432">
        <v>0</v>
      </c>
      <c r="AG195" s="432"/>
      <c r="AH195" s="432">
        <f t="shared" si="41"/>
        <v>0</v>
      </c>
      <c r="AL195" s="448"/>
      <c r="AM195" s="467" t="e">
        <f>VLOOKUP(AD195,[6]BV201101!$A$10:$A$1236,1,0)</f>
        <v>#N/A</v>
      </c>
    </row>
    <row r="196" spans="1:39" s="467" customFormat="1" ht="12.75" customHeight="1">
      <c r="A196" s="487" t="str">
        <f t="shared" si="36"/>
        <v>1</v>
      </c>
      <c r="B196" s="487" t="str">
        <f t="shared" si="37"/>
        <v>10</v>
      </c>
      <c r="C196" s="487" t="str">
        <f t="shared" si="38"/>
        <v>65</v>
      </c>
      <c r="D196" s="487" t="str">
        <f t="shared" si="39"/>
        <v>0651</v>
      </c>
      <c r="E196" s="448">
        <v>511300000</v>
      </c>
      <c r="F196" s="488" t="str">
        <f t="shared" si="28"/>
        <v/>
      </c>
      <c r="G196" s="487"/>
      <c r="H196" s="487"/>
      <c r="I196" s="488" t="str">
        <f t="shared" si="29"/>
        <v/>
      </c>
      <c r="J196" s="487"/>
      <c r="K196" s="487"/>
      <c r="L196" s="488" t="str">
        <f t="shared" si="30"/>
        <v/>
      </c>
      <c r="M196" s="487"/>
      <c r="N196" s="487"/>
      <c r="O196" s="488" t="str">
        <f t="shared" si="31"/>
        <v/>
      </c>
      <c r="P196" s="489"/>
      <c r="Q196" s="489"/>
      <c r="R196" s="592" t="str">
        <f t="shared" si="32"/>
        <v/>
      </c>
      <c r="S196" s="489"/>
      <c r="T196" s="487"/>
      <c r="U196" s="488" t="str">
        <f t="shared" si="33"/>
        <v/>
      </c>
      <c r="V196" s="489"/>
      <c r="W196" s="489"/>
      <c r="X196" s="488" t="str">
        <f t="shared" si="34"/>
        <v/>
      </c>
      <c r="Y196" s="489"/>
      <c r="Z196" s="489"/>
      <c r="AA196" s="490" t="str">
        <f t="shared" si="45"/>
        <v/>
      </c>
      <c r="AB196" s="489"/>
      <c r="AC196" s="489"/>
      <c r="AD196" s="27">
        <v>110651</v>
      </c>
      <c r="AE196" s="27" t="s">
        <v>1979</v>
      </c>
      <c r="AF196" s="432">
        <v>0</v>
      </c>
      <c r="AG196" s="432"/>
      <c r="AH196" s="432">
        <f t="shared" si="41"/>
        <v>0</v>
      </c>
      <c r="AL196" s="448"/>
      <c r="AM196" s="467" t="e">
        <f>VLOOKUP(AD196,[6]BV201101!$A$10:$A$1236,1,0)</f>
        <v>#N/A</v>
      </c>
    </row>
    <row r="197" spans="1:39" s="467" customFormat="1" ht="12.75" customHeight="1">
      <c r="A197" s="487" t="str">
        <f t="shared" si="36"/>
        <v>1</v>
      </c>
      <c r="B197" s="487" t="str">
        <f t="shared" si="37"/>
        <v>10</v>
      </c>
      <c r="C197" s="487" t="str">
        <f t="shared" si="38"/>
        <v>65</v>
      </c>
      <c r="D197" s="487" t="str">
        <f t="shared" si="39"/>
        <v>0652</v>
      </c>
      <c r="E197" s="448">
        <v>511300000</v>
      </c>
      <c r="F197" s="488" t="str">
        <f t="shared" si="28"/>
        <v/>
      </c>
      <c r="G197" s="487"/>
      <c r="H197" s="487"/>
      <c r="I197" s="488" t="str">
        <f t="shared" si="29"/>
        <v/>
      </c>
      <c r="J197" s="487"/>
      <c r="K197" s="487"/>
      <c r="L197" s="488" t="str">
        <f t="shared" si="30"/>
        <v/>
      </c>
      <c r="M197" s="487"/>
      <c r="N197" s="487"/>
      <c r="O197" s="488" t="str">
        <f t="shared" si="31"/>
        <v/>
      </c>
      <c r="P197" s="489"/>
      <c r="Q197" s="489"/>
      <c r="R197" s="592" t="str">
        <f t="shared" si="32"/>
        <v/>
      </c>
      <c r="S197" s="489"/>
      <c r="T197" s="487"/>
      <c r="U197" s="488" t="str">
        <f t="shared" si="33"/>
        <v/>
      </c>
      <c r="V197" s="489"/>
      <c r="W197" s="489"/>
      <c r="X197" s="488" t="str">
        <f t="shared" si="34"/>
        <v/>
      </c>
      <c r="Y197" s="489"/>
      <c r="Z197" s="489"/>
      <c r="AA197" s="490" t="str">
        <f t="shared" si="45"/>
        <v/>
      </c>
      <c r="AB197" s="489"/>
      <c r="AC197" s="489"/>
      <c r="AD197" s="27">
        <v>110652</v>
      </c>
      <c r="AE197" s="27" t="s">
        <v>1980</v>
      </c>
      <c r="AF197" s="432">
        <v>0</v>
      </c>
      <c r="AG197" s="432"/>
      <c r="AH197" s="432">
        <f t="shared" si="41"/>
        <v>0</v>
      </c>
      <c r="AL197" s="448"/>
      <c r="AM197" s="467" t="e">
        <f>VLOOKUP(AD197,[6]BV201101!$A$10:$A$1236,1,0)</f>
        <v>#N/A</v>
      </c>
    </row>
    <row r="198" spans="1:39" s="467" customFormat="1" ht="12.75" customHeight="1">
      <c r="A198" s="487" t="str">
        <f t="shared" si="36"/>
        <v>1</v>
      </c>
      <c r="B198" s="487" t="str">
        <f t="shared" si="37"/>
        <v>10</v>
      </c>
      <c r="C198" s="487" t="str">
        <f t="shared" si="38"/>
        <v>65</v>
      </c>
      <c r="D198" s="487" t="str">
        <f t="shared" si="39"/>
        <v>0653</v>
      </c>
      <c r="E198" s="448">
        <v>511300000</v>
      </c>
      <c r="F198" s="488" t="str">
        <f t="shared" si="28"/>
        <v/>
      </c>
      <c r="G198" s="487"/>
      <c r="H198" s="487"/>
      <c r="I198" s="488" t="str">
        <f t="shared" si="29"/>
        <v/>
      </c>
      <c r="J198" s="487"/>
      <c r="K198" s="487"/>
      <c r="L198" s="488" t="str">
        <f t="shared" si="30"/>
        <v/>
      </c>
      <c r="M198" s="487"/>
      <c r="N198" s="487"/>
      <c r="O198" s="488" t="str">
        <f t="shared" si="31"/>
        <v/>
      </c>
      <c r="P198" s="489"/>
      <c r="Q198" s="489"/>
      <c r="R198" s="592" t="str">
        <f t="shared" si="32"/>
        <v/>
      </c>
      <c r="S198" s="489"/>
      <c r="T198" s="487"/>
      <c r="U198" s="488" t="str">
        <f t="shared" si="33"/>
        <v/>
      </c>
      <c r="V198" s="489"/>
      <c r="W198" s="489"/>
      <c r="X198" s="488" t="str">
        <f t="shared" si="34"/>
        <v/>
      </c>
      <c r="Y198" s="489"/>
      <c r="Z198" s="489"/>
      <c r="AA198" s="490" t="str">
        <f t="shared" si="45"/>
        <v/>
      </c>
      <c r="AB198" s="489"/>
      <c r="AC198" s="489"/>
      <c r="AD198" s="27">
        <v>110653</v>
      </c>
      <c r="AE198" s="27" t="s">
        <v>1981</v>
      </c>
      <c r="AF198" s="432">
        <v>0</v>
      </c>
      <c r="AG198" s="432"/>
      <c r="AH198" s="432">
        <f t="shared" si="41"/>
        <v>0</v>
      </c>
      <c r="AL198" s="448"/>
      <c r="AM198" s="467" t="e">
        <f>VLOOKUP(AD198,[6]BV201101!$A$10:$A$1236,1,0)</f>
        <v>#N/A</v>
      </c>
    </row>
    <row r="199" spans="1:39" s="467" customFormat="1" ht="12.75" customHeight="1">
      <c r="A199" s="487" t="str">
        <f t="shared" si="36"/>
        <v>1</v>
      </c>
      <c r="B199" s="487" t="str">
        <f t="shared" si="37"/>
        <v>10</v>
      </c>
      <c r="C199" s="487" t="str">
        <f t="shared" si="38"/>
        <v>65</v>
      </c>
      <c r="D199" s="487" t="str">
        <f t="shared" si="39"/>
        <v>0654</v>
      </c>
      <c r="E199" s="448">
        <v>511300000</v>
      </c>
      <c r="F199" s="488" t="str">
        <f t="shared" si="28"/>
        <v/>
      </c>
      <c r="G199" s="487"/>
      <c r="H199" s="487"/>
      <c r="I199" s="488" t="str">
        <f t="shared" si="29"/>
        <v/>
      </c>
      <c r="J199" s="487"/>
      <c r="K199" s="487"/>
      <c r="L199" s="488" t="str">
        <f t="shared" si="30"/>
        <v/>
      </c>
      <c r="M199" s="487"/>
      <c r="N199" s="487"/>
      <c r="O199" s="488" t="str">
        <f t="shared" si="31"/>
        <v/>
      </c>
      <c r="P199" s="489"/>
      <c r="Q199" s="489"/>
      <c r="R199" s="592" t="str">
        <f t="shared" si="32"/>
        <v/>
      </c>
      <c r="S199" s="489"/>
      <c r="T199" s="487"/>
      <c r="U199" s="488" t="str">
        <f t="shared" si="33"/>
        <v/>
      </c>
      <c r="V199" s="489"/>
      <c r="W199" s="489"/>
      <c r="X199" s="488" t="str">
        <f t="shared" si="34"/>
        <v/>
      </c>
      <c r="Y199" s="489"/>
      <c r="Z199" s="489"/>
      <c r="AA199" s="490" t="str">
        <f t="shared" si="45"/>
        <v/>
      </c>
      <c r="AB199" s="489"/>
      <c r="AC199" s="489"/>
      <c r="AD199" s="27">
        <v>110654</v>
      </c>
      <c r="AE199" s="27" t="s">
        <v>1490</v>
      </c>
      <c r="AF199" s="432">
        <v>0</v>
      </c>
      <c r="AG199" s="432"/>
      <c r="AH199" s="432">
        <f t="shared" si="41"/>
        <v>0</v>
      </c>
      <c r="AL199" s="448"/>
      <c r="AM199" s="467" t="e">
        <f>VLOOKUP(AD199,[6]BV201101!$A$10:$A$1236,1,0)</f>
        <v>#N/A</v>
      </c>
    </row>
    <row r="200" spans="1:39" s="467" customFormat="1" ht="12.75" customHeight="1">
      <c r="A200" s="487" t="str">
        <f t="shared" si="36"/>
        <v>1</v>
      </c>
      <c r="B200" s="487" t="str">
        <f t="shared" si="37"/>
        <v>10</v>
      </c>
      <c r="C200" s="487" t="str">
        <f t="shared" si="38"/>
        <v>65</v>
      </c>
      <c r="D200" s="487" t="str">
        <f t="shared" si="39"/>
        <v>0655</v>
      </c>
      <c r="E200" s="448">
        <v>511300000</v>
      </c>
      <c r="F200" s="488" t="str">
        <f t="shared" si="28"/>
        <v/>
      </c>
      <c r="G200" s="487"/>
      <c r="H200" s="487"/>
      <c r="I200" s="488" t="str">
        <f t="shared" si="29"/>
        <v/>
      </c>
      <c r="J200" s="487"/>
      <c r="K200" s="487"/>
      <c r="L200" s="488" t="str">
        <f t="shared" si="30"/>
        <v/>
      </c>
      <c r="M200" s="487"/>
      <c r="N200" s="487"/>
      <c r="O200" s="488" t="str">
        <f t="shared" si="31"/>
        <v/>
      </c>
      <c r="P200" s="489"/>
      <c r="Q200" s="489"/>
      <c r="R200" s="592" t="str">
        <f t="shared" si="32"/>
        <v/>
      </c>
      <c r="S200" s="489"/>
      <c r="T200" s="487"/>
      <c r="U200" s="488" t="str">
        <f t="shared" si="33"/>
        <v/>
      </c>
      <c r="V200" s="489"/>
      <c r="W200" s="489"/>
      <c r="X200" s="488" t="str">
        <f t="shared" si="34"/>
        <v/>
      </c>
      <c r="Y200" s="489"/>
      <c r="Z200" s="489"/>
      <c r="AA200" s="490" t="str">
        <f t="shared" si="45"/>
        <v/>
      </c>
      <c r="AB200" s="489"/>
      <c r="AC200" s="489"/>
      <c r="AD200" s="27">
        <v>110655</v>
      </c>
      <c r="AE200" s="27" t="s">
        <v>1491</v>
      </c>
      <c r="AF200" s="432">
        <v>0</v>
      </c>
      <c r="AG200" s="432"/>
      <c r="AH200" s="432">
        <f t="shared" si="41"/>
        <v>0</v>
      </c>
      <c r="AL200" s="448"/>
      <c r="AM200" s="467" t="e">
        <f>VLOOKUP(AD200,[6]BV201101!$A$10:$A$1236,1,0)</f>
        <v>#N/A</v>
      </c>
    </row>
    <row r="201" spans="1:39" s="467" customFormat="1" ht="12.75" customHeight="1">
      <c r="A201" s="487" t="str">
        <f t="shared" si="36"/>
        <v>1</v>
      </c>
      <c r="B201" s="487" t="str">
        <f t="shared" si="37"/>
        <v>10</v>
      </c>
      <c r="C201" s="487" t="str">
        <f t="shared" si="38"/>
        <v>65</v>
      </c>
      <c r="D201" s="487" t="str">
        <f t="shared" si="39"/>
        <v>0656</v>
      </c>
      <c r="E201" s="448">
        <v>511300000</v>
      </c>
      <c r="F201" s="488" t="str">
        <f t="shared" si="28"/>
        <v/>
      </c>
      <c r="G201" s="487"/>
      <c r="H201" s="487"/>
      <c r="I201" s="488" t="str">
        <f t="shared" si="29"/>
        <v/>
      </c>
      <c r="J201" s="487"/>
      <c r="K201" s="487"/>
      <c r="L201" s="488" t="str">
        <f t="shared" si="30"/>
        <v/>
      </c>
      <c r="M201" s="487"/>
      <c r="N201" s="487"/>
      <c r="O201" s="488" t="str">
        <f t="shared" si="31"/>
        <v/>
      </c>
      <c r="P201" s="489"/>
      <c r="Q201" s="489"/>
      <c r="R201" s="592" t="str">
        <f t="shared" si="32"/>
        <v/>
      </c>
      <c r="S201" s="489"/>
      <c r="T201" s="487"/>
      <c r="U201" s="488" t="str">
        <f t="shared" si="33"/>
        <v/>
      </c>
      <c r="V201" s="489"/>
      <c r="W201" s="489"/>
      <c r="X201" s="488" t="str">
        <f t="shared" si="34"/>
        <v/>
      </c>
      <c r="Y201" s="489"/>
      <c r="Z201" s="489"/>
      <c r="AA201" s="490" t="str">
        <f t="shared" si="45"/>
        <v/>
      </c>
      <c r="AB201" s="489"/>
      <c r="AC201" s="489"/>
      <c r="AD201" s="27">
        <v>110656</v>
      </c>
      <c r="AE201" s="27" t="s">
        <v>1982</v>
      </c>
      <c r="AF201" s="432">
        <v>0</v>
      </c>
      <c r="AG201" s="432"/>
      <c r="AH201" s="432">
        <f t="shared" si="41"/>
        <v>0</v>
      </c>
      <c r="AL201" s="448"/>
      <c r="AM201" s="467" t="e">
        <f>VLOOKUP(AD201,[6]BV201101!$A$10:$A$1236,1,0)</f>
        <v>#N/A</v>
      </c>
    </row>
    <row r="202" spans="1:39" s="467" customFormat="1" ht="12.75" customHeight="1">
      <c r="A202" s="487" t="str">
        <f t="shared" si="36"/>
        <v>1</v>
      </c>
      <c r="B202" s="487" t="str">
        <f t="shared" si="37"/>
        <v>10</v>
      </c>
      <c r="C202" s="487" t="str">
        <f t="shared" si="38"/>
        <v>65</v>
      </c>
      <c r="D202" s="487" t="str">
        <f t="shared" si="39"/>
        <v>0657</v>
      </c>
      <c r="E202" s="448">
        <v>511300000</v>
      </c>
      <c r="F202" s="488" t="str">
        <f t="shared" si="28"/>
        <v/>
      </c>
      <c r="G202" s="487"/>
      <c r="H202" s="487"/>
      <c r="I202" s="488" t="str">
        <f t="shared" si="29"/>
        <v/>
      </c>
      <c r="J202" s="487"/>
      <c r="K202" s="487"/>
      <c r="L202" s="488" t="str">
        <f t="shared" si="30"/>
        <v/>
      </c>
      <c r="M202" s="487"/>
      <c r="N202" s="487"/>
      <c r="O202" s="488" t="str">
        <f t="shared" si="31"/>
        <v/>
      </c>
      <c r="P202" s="489"/>
      <c r="Q202" s="489"/>
      <c r="R202" s="592" t="str">
        <f t="shared" si="32"/>
        <v/>
      </c>
      <c r="S202" s="489"/>
      <c r="T202" s="487"/>
      <c r="U202" s="488" t="str">
        <f t="shared" si="33"/>
        <v/>
      </c>
      <c r="V202" s="489"/>
      <c r="W202" s="489"/>
      <c r="X202" s="488" t="str">
        <f t="shared" si="34"/>
        <v/>
      </c>
      <c r="Y202" s="489"/>
      <c r="Z202" s="489"/>
      <c r="AA202" s="490" t="str">
        <f t="shared" si="45"/>
        <v/>
      </c>
      <c r="AB202" s="489"/>
      <c r="AC202" s="489"/>
      <c r="AD202" s="27">
        <v>110657</v>
      </c>
      <c r="AE202" s="27" t="s">
        <v>1983</v>
      </c>
      <c r="AF202" s="432">
        <v>0</v>
      </c>
      <c r="AG202" s="432"/>
      <c r="AH202" s="432">
        <f t="shared" si="41"/>
        <v>0</v>
      </c>
      <c r="AL202" s="448"/>
      <c r="AM202" s="467" t="e">
        <f>VLOOKUP(AD202,[6]BV201101!$A$10:$A$1236,1,0)</f>
        <v>#N/A</v>
      </c>
    </row>
    <row r="203" spans="1:39" s="467" customFormat="1" ht="12.75" customHeight="1">
      <c r="A203" s="487" t="str">
        <f t="shared" si="36"/>
        <v>1</v>
      </c>
      <c r="B203" s="487" t="str">
        <f t="shared" si="37"/>
        <v>10</v>
      </c>
      <c r="C203" s="487" t="str">
        <f t="shared" si="38"/>
        <v>65</v>
      </c>
      <c r="D203" s="487" t="str">
        <f t="shared" si="39"/>
        <v>0658</v>
      </c>
      <c r="E203" s="448">
        <v>511300000</v>
      </c>
      <c r="F203" s="488" t="str">
        <f t="shared" si="28"/>
        <v/>
      </c>
      <c r="G203" s="487"/>
      <c r="H203" s="487"/>
      <c r="I203" s="488" t="str">
        <f t="shared" si="29"/>
        <v/>
      </c>
      <c r="J203" s="487"/>
      <c r="K203" s="487"/>
      <c r="L203" s="488" t="str">
        <f t="shared" si="30"/>
        <v/>
      </c>
      <c r="M203" s="487"/>
      <c r="N203" s="487"/>
      <c r="O203" s="488" t="str">
        <f t="shared" si="31"/>
        <v/>
      </c>
      <c r="P203" s="489"/>
      <c r="Q203" s="489"/>
      <c r="R203" s="592" t="str">
        <f t="shared" si="32"/>
        <v/>
      </c>
      <c r="S203" s="489"/>
      <c r="T203" s="487"/>
      <c r="U203" s="488" t="str">
        <f t="shared" si="33"/>
        <v/>
      </c>
      <c r="V203" s="489"/>
      <c r="W203" s="489"/>
      <c r="X203" s="488" t="str">
        <f t="shared" si="34"/>
        <v/>
      </c>
      <c r="Y203" s="489"/>
      <c r="Z203" s="489"/>
      <c r="AA203" s="490" t="str">
        <f t="shared" si="45"/>
        <v/>
      </c>
      <c r="AB203" s="489"/>
      <c r="AC203" s="489"/>
      <c r="AD203" s="27">
        <v>110658</v>
      </c>
      <c r="AE203" s="27" t="s">
        <v>1984</v>
      </c>
      <c r="AF203" s="432">
        <v>0</v>
      </c>
      <c r="AG203" s="432"/>
      <c r="AH203" s="432">
        <f t="shared" ref="AH203:AH267" si="46">ROUND((AF203+AG203)/$AH$2,0)</f>
        <v>0</v>
      </c>
      <c r="AL203" s="448"/>
      <c r="AM203" s="467" t="e">
        <f>VLOOKUP(AD203,[6]BV201101!$A$10:$A$1236,1,0)</f>
        <v>#N/A</v>
      </c>
    </row>
    <row r="204" spans="1:39" s="467" customFormat="1" ht="12.75" customHeight="1">
      <c r="A204" s="487" t="str">
        <f t="shared" si="36"/>
        <v>1</v>
      </c>
      <c r="B204" s="487" t="str">
        <f t="shared" si="37"/>
        <v>10</v>
      </c>
      <c r="C204" s="487" t="str">
        <f t="shared" si="38"/>
        <v>66</v>
      </c>
      <c r="D204" s="487" t="str">
        <f t="shared" si="39"/>
        <v>0660</v>
      </c>
      <c r="E204" s="448">
        <v>511300000</v>
      </c>
      <c r="F204" s="488" t="str">
        <f t="shared" si="28"/>
        <v/>
      </c>
      <c r="G204" s="487"/>
      <c r="H204" s="487"/>
      <c r="I204" s="488" t="str">
        <f t="shared" si="29"/>
        <v/>
      </c>
      <c r="J204" s="487"/>
      <c r="K204" s="487"/>
      <c r="L204" s="488" t="str">
        <f t="shared" si="30"/>
        <v/>
      </c>
      <c r="M204" s="487"/>
      <c r="N204" s="487"/>
      <c r="O204" s="488" t="str">
        <f t="shared" si="31"/>
        <v/>
      </c>
      <c r="P204" s="489"/>
      <c r="Q204" s="489"/>
      <c r="R204" s="592" t="str">
        <f t="shared" si="32"/>
        <v/>
      </c>
      <c r="S204" s="489"/>
      <c r="T204" s="487"/>
      <c r="U204" s="488" t="str">
        <f t="shared" si="33"/>
        <v/>
      </c>
      <c r="V204" s="489"/>
      <c r="W204" s="489"/>
      <c r="X204" s="488" t="str">
        <f t="shared" si="34"/>
        <v/>
      </c>
      <c r="Y204" s="489"/>
      <c r="Z204" s="489"/>
      <c r="AA204" s="490" t="str">
        <f t="shared" si="45"/>
        <v/>
      </c>
      <c r="AB204" s="489"/>
      <c r="AC204" s="489"/>
      <c r="AD204" s="27">
        <v>110660</v>
      </c>
      <c r="AE204" s="27" t="s">
        <v>1361</v>
      </c>
      <c r="AF204" s="432">
        <v>0</v>
      </c>
      <c r="AG204" s="432"/>
      <c r="AH204" s="432">
        <f t="shared" si="46"/>
        <v>0</v>
      </c>
      <c r="AL204" s="448"/>
      <c r="AM204" s="467" t="e">
        <f>VLOOKUP(AD204,[6]BV201101!$A$10:$A$1236,1,0)</f>
        <v>#N/A</v>
      </c>
    </row>
    <row r="205" spans="1:39" s="467" customFormat="1" ht="12.75" customHeight="1">
      <c r="A205" s="487" t="str">
        <f t="shared" si="36"/>
        <v>1</v>
      </c>
      <c r="B205" s="487" t="str">
        <f t="shared" si="37"/>
        <v>10</v>
      </c>
      <c r="C205" s="487" t="str">
        <f t="shared" si="38"/>
        <v>66</v>
      </c>
      <c r="D205" s="487" t="str">
        <f t="shared" si="39"/>
        <v>0661</v>
      </c>
      <c r="E205" s="448">
        <v>511300000</v>
      </c>
      <c r="F205" s="488" t="str">
        <f t="shared" si="28"/>
        <v/>
      </c>
      <c r="G205" s="487"/>
      <c r="H205" s="487"/>
      <c r="I205" s="488" t="str">
        <f t="shared" si="29"/>
        <v/>
      </c>
      <c r="J205" s="487"/>
      <c r="K205" s="487"/>
      <c r="L205" s="488" t="str">
        <f t="shared" si="30"/>
        <v/>
      </c>
      <c r="M205" s="487"/>
      <c r="N205" s="487"/>
      <c r="O205" s="488" t="str">
        <f t="shared" si="31"/>
        <v/>
      </c>
      <c r="P205" s="489"/>
      <c r="Q205" s="489"/>
      <c r="R205" s="592" t="str">
        <f t="shared" si="32"/>
        <v/>
      </c>
      <c r="S205" s="489"/>
      <c r="T205" s="487"/>
      <c r="U205" s="488" t="str">
        <f t="shared" si="33"/>
        <v/>
      </c>
      <c r="V205" s="489"/>
      <c r="W205" s="489"/>
      <c r="X205" s="488" t="str">
        <f t="shared" si="34"/>
        <v/>
      </c>
      <c r="Y205" s="489"/>
      <c r="Z205" s="489"/>
      <c r="AA205" s="490" t="str">
        <f t="shared" si="45"/>
        <v/>
      </c>
      <c r="AB205" s="489"/>
      <c r="AC205" s="489"/>
      <c r="AD205" s="27">
        <v>110661</v>
      </c>
      <c r="AE205" s="27" t="s">
        <v>1362</v>
      </c>
      <c r="AF205" s="432">
        <v>0</v>
      </c>
      <c r="AG205" s="432"/>
      <c r="AH205" s="432">
        <f t="shared" si="46"/>
        <v>0</v>
      </c>
      <c r="AL205" s="448"/>
      <c r="AM205" s="467" t="e">
        <f>VLOOKUP(AD205,[6]BV201101!$A$10:$A$1236,1,0)</f>
        <v>#N/A</v>
      </c>
    </row>
    <row r="206" spans="1:39" s="467" customFormat="1" ht="12.75" customHeight="1">
      <c r="A206" s="487" t="str">
        <f t="shared" si="36"/>
        <v>1</v>
      </c>
      <c r="B206" s="487" t="str">
        <f t="shared" si="37"/>
        <v>10</v>
      </c>
      <c r="C206" s="487" t="str">
        <f t="shared" si="38"/>
        <v>66</v>
      </c>
      <c r="D206" s="487" t="str">
        <f t="shared" si="39"/>
        <v>0662</v>
      </c>
      <c r="E206" s="448">
        <v>511300000</v>
      </c>
      <c r="F206" s="488" t="str">
        <f t="shared" si="28"/>
        <v/>
      </c>
      <c r="G206" s="487"/>
      <c r="H206" s="487"/>
      <c r="I206" s="488" t="str">
        <f t="shared" si="29"/>
        <v/>
      </c>
      <c r="J206" s="487"/>
      <c r="K206" s="487"/>
      <c r="L206" s="488" t="str">
        <f t="shared" si="30"/>
        <v/>
      </c>
      <c r="M206" s="487"/>
      <c r="N206" s="487"/>
      <c r="O206" s="488" t="str">
        <f t="shared" si="31"/>
        <v/>
      </c>
      <c r="P206" s="489"/>
      <c r="Q206" s="489"/>
      <c r="R206" s="592" t="str">
        <f t="shared" si="32"/>
        <v/>
      </c>
      <c r="S206" s="489"/>
      <c r="T206" s="487"/>
      <c r="U206" s="488" t="str">
        <f t="shared" si="33"/>
        <v/>
      </c>
      <c r="V206" s="489"/>
      <c r="W206" s="489"/>
      <c r="X206" s="488" t="str">
        <f t="shared" si="34"/>
        <v/>
      </c>
      <c r="Y206" s="489"/>
      <c r="Z206" s="489"/>
      <c r="AA206" s="490" t="str">
        <f t="shared" si="45"/>
        <v/>
      </c>
      <c r="AB206" s="489"/>
      <c r="AC206" s="489"/>
      <c r="AD206" s="27">
        <v>110662</v>
      </c>
      <c r="AE206" s="27" t="s">
        <v>1363</v>
      </c>
      <c r="AF206" s="432">
        <v>0</v>
      </c>
      <c r="AG206" s="432"/>
      <c r="AH206" s="432">
        <f t="shared" si="46"/>
        <v>0</v>
      </c>
      <c r="AL206" s="448"/>
      <c r="AM206" s="467" t="e">
        <f>VLOOKUP(AD206,[6]BV201101!$A$10:$A$1236,1,0)</f>
        <v>#N/A</v>
      </c>
    </row>
    <row r="207" spans="1:39" s="467" customFormat="1" ht="12.75" customHeight="1">
      <c r="A207" s="487" t="str">
        <f t="shared" si="36"/>
        <v>1</v>
      </c>
      <c r="B207" s="487" t="str">
        <f t="shared" si="37"/>
        <v>10</v>
      </c>
      <c r="C207" s="487" t="str">
        <f t="shared" si="38"/>
        <v>66</v>
      </c>
      <c r="D207" s="487" t="str">
        <f t="shared" si="39"/>
        <v>0663</v>
      </c>
      <c r="E207" s="448">
        <v>511300000</v>
      </c>
      <c r="F207" s="488"/>
      <c r="G207" s="487"/>
      <c r="H207" s="487"/>
      <c r="I207" s="488"/>
      <c r="J207" s="487"/>
      <c r="K207" s="487"/>
      <c r="L207" s="488"/>
      <c r="M207" s="487"/>
      <c r="N207" s="487"/>
      <c r="O207" s="488"/>
      <c r="P207" s="489"/>
      <c r="Q207" s="489"/>
      <c r="R207" s="592"/>
      <c r="S207" s="489"/>
      <c r="T207" s="487"/>
      <c r="U207" s="488"/>
      <c r="V207" s="489"/>
      <c r="W207" s="489"/>
      <c r="X207" s="488"/>
      <c r="Y207" s="489"/>
      <c r="Z207" s="489"/>
      <c r="AA207" s="490"/>
      <c r="AB207" s="489"/>
      <c r="AC207" s="489"/>
      <c r="AD207" s="27">
        <v>110663</v>
      </c>
      <c r="AE207" s="27" t="s">
        <v>996</v>
      </c>
      <c r="AF207" s="432">
        <v>0</v>
      </c>
      <c r="AG207" s="432"/>
      <c r="AH207" s="432">
        <f t="shared" si="46"/>
        <v>0</v>
      </c>
      <c r="AL207" s="448"/>
      <c r="AM207" s="467" t="e">
        <f>VLOOKUP(AD207,[6]BV201101!$A$10:$A$1236,1,0)</f>
        <v>#N/A</v>
      </c>
    </row>
    <row r="208" spans="1:39" s="467" customFormat="1" ht="12.75" customHeight="1">
      <c r="A208" s="487" t="str">
        <f t="shared" si="36"/>
        <v>1</v>
      </c>
      <c r="B208" s="487" t="str">
        <f t="shared" si="37"/>
        <v>10</v>
      </c>
      <c r="C208" s="487" t="str">
        <f t="shared" si="38"/>
        <v>66</v>
      </c>
      <c r="D208" s="487" t="str">
        <f t="shared" si="39"/>
        <v>0664</v>
      </c>
      <c r="E208" s="448">
        <v>511300000</v>
      </c>
      <c r="F208" s="488"/>
      <c r="G208" s="487"/>
      <c r="H208" s="487"/>
      <c r="I208" s="488"/>
      <c r="J208" s="487"/>
      <c r="K208" s="487"/>
      <c r="L208" s="488"/>
      <c r="M208" s="487"/>
      <c r="N208" s="487"/>
      <c r="O208" s="488"/>
      <c r="P208" s="489"/>
      <c r="Q208" s="489"/>
      <c r="R208" s="592"/>
      <c r="S208" s="489"/>
      <c r="T208" s="487"/>
      <c r="U208" s="488"/>
      <c r="V208" s="489"/>
      <c r="W208" s="489"/>
      <c r="X208" s="488"/>
      <c r="Y208" s="489"/>
      <c r="Z208" s="489"/>
      <c r="AA208" s="490"/>
      <c r="AB208" s="489"/>
      <c r="AC208" s="489"/>
      <c r="AD208" s="27">
        <v>110664</v>
      </c>
      <c r="AE208" s="27" t="s">
        <v>538</v>
      </c>
      <c r="AF208" s="432">
        <v>0</v>
      </c>
      <c r="AG208" s="432"/>
      <c r="AH208" s="432">
        <f t="shared" si="46"/>
        <v>0</v>
      </c>
      <c r="AL208" s="448"/>
      <c r="AM208" s="467" t="e">
        <f>VLOOKUP(AD208,[6]BV201101!$A$10:$A$1236,1,0)</f>
        <v>#N/A</v>
      </c>
    </row>
    <row r="209" spans="1:39" s="467" customFormat="1" ht="12.75" customHeight="1">
      <c r="A209" s="487" t="str">
        <f t="shared" si="36"/>
        <v>1</v>
      </c>
      <c r="B209" s="487" t="str">
        <f t="shared" si="37"/>
        <v>10</v>
      </c>
      <c r="C209" s="487" t="str">
        <f t="shared" si="38"/>
        <v>66</v>
      </c>
      <c r="D209" s="487" t="str">
        <f t="shared" si="39"/>
        <v>0665</v>
      </c>
      <c r="E209" s="448">
        <v>511300000</v>
      </c>
      <c r="F209" s="488" t="str">
        <f t="shared" si="28"/>
        <v/>
      </c>
      <c r="G209" s="487"/>
      <c r="H209" s="487"/>
      <c r="I209" s="488" t="str">
        <f t="shared" si="29"/>
        <v/>
      </c>
      <c r="J209" s="487"/>
      <c r="K209" s="487"/>
      <c r="L209" s="488" t="str">
        <f t="shared" si="30"/>
        <v/>
      </c>
      <c r="M209" s="487"/>
      <c r="N209" s="487"/>
      <c r="O209" s="488" t="str">
        <f t="shared" si="31"/>
        <v/>
      </c>
      <c r="P209" s="489"/>
      <c r="Q209" s="489"/>
      <c r="R209" s="592" t="str">
        <f t="shared" si="32"/>
        <v/>
      </c>
      <c r="S209" s="489"/>
      <c r="T209" s="487"/>
      <c r="U209" s="488" t="str">
        <f t="shared" si="33"/>
        <v/>
      </c>
      <c r="V209" s="489"/>
      <c r="W209" s="489"/>
      <c r="X209" s="488" t="str">
        <f t="shared" si="34"/>
        <v/>
      </c>
      <c r="Y209" s="489"/>
      <c r="Z209" s="489"/>
      <c r="AA209" s="490" t="str">
        <f t="shared" si="45"/>
        <v/>
      </c>
      <c r="AB209" s="489"/>
      <c r="AC209" s="489"/>
      <c r="AD209" s="27">
        <v>110665</v>
      </c>
      <c r="AE209" s="27" t="s">
        <v>1364</v>
      </c>
      <c r="AF209" s="432">
        <f>VLOOKUP(AD209,[5]Hoja1!$A$10:$K$1393,11,0)</f>
        <v>12800595898</v>
      </c>
      <c r="AG209" s="432">
        <v>0</v>
      </c>
      <c r="AH209" s="432">
        <f t="shared" si="46"/>
        <v>12800596</v>
      </c>
      <c r="AJ209" s="467">
        <v>1388236</v>
      </c>
      <c r="AK209" s="445">
        <f>+AJ209-AH209</f>
        <v>-11412360</v>
      </c>
      <c r="AL209" s="473">
        <f>+AG209</f>
        <v>0</v>
      </c>
      <c r="AM209" s="467">
        <f>VLOOKUP(AD209,[6]BV201101!$A$10:$A$1236,1,0)</f>
        <v>110665</v>
      </c>
    </row>
    <row r="210" spans="1:39" s="467" customFormat="1" ht="12.75" customHeight="1">
      <c r="A210" s="487" t="str">
        <f t="shared" si="36"/>
        <v>1</v>
      </c>
      <c r="B210" s="487" t="str">
        <f t="shared" si="37"/>
        <v>10</v>
      </c>
      <c r="C210" s="487" t="str">
        <f t="shared" si="38"/>
        <v>66</v>
      </c>
      <c r="D210" s="487" t="str">
        <f t="shared" si="39"/>
        <v>0666</v>
      </c>
      <c r="E210" s="448">
        <v>511300000</v>
      </c>
      <c r="F210" s="488"/>
      <c r="G210" s="487"/>
      <c r="H210" s="487"/>
      <c r="I210" s="488"/>
      <c r="J210" s="487"/>
      <c r="K210" s="487"/>
      <c r="L210" s="488"/>
      <c r="M210" s="487"/>
      <c r="N210" s="487"/>
      <c r="O210" s="488"/>
      <c r="P210" s="489"/>
      <c r="Q210" s="489"/>
      <c r="R210" s="592"/>
      <c r="S210" s="489"/>
      <c r="T210" s="487"/>
      <c r="U210" s="488"/>
      <c r="V210" s="489"/>
      <c r="W210" s="489"/>
      <c r="X210" s="488"/>
      <c r="Y210" s="489"/>
      <c r="Z210" s="489"/>
      <c r="AA210" s="490"/>
      <c r="AB210" s="489"/>
      <c r="AC210" s="489"/>
      <c r="AD210" s="27">
        <v>110666</v>
      </c>
      <c r="AE210" s="27" t="s">
        <v>539</v>
      </c>
      <c r="AF210" s="432">
        <f>VLOOKUP(AD210,[5]Hoja1!$A$10:$K$1393,11,0)</f>
        <v>0</v>
      </c>
      <c r="AG210" s="432">
        <v>0</v>
      </c>
      <c r="AH210" s="432">
        <f t="shared" si="46"/>
        <v>0</v>
      </c>
      <c r="AL210" s="448"/>
      <c r="AM210" s="467">
        <f>VLOOKUP(AD210,[6]BV201101!$A$10:$A$1236,1,0)</f>
        <v>110666</v>
      </c>
    </row>
    <row r="211" spans="1:39" s="467" customFormat="1" ht="12.75" customHeight="1">
      <c r="A211" s="487" t="str">
        <f t="shared" si="36"/>
        <v>1</v>
      </c>
      <c r="B211" s="487" t="str">
        <f t="shared" si="37"/>
        <v>10</v>
      </c>
      <c r="C211" s="487" t="str">
        <f t="shared" si="38"/>
        <v>66</v>
      </c>
      <c r="D211" s="487" t="str">
        <f t="shared" si="39"/>
        <v>0667</v>
      </c>
      <c r="E211" s="448">
        <v>511300000</v>
      </c>
      <c r="F211" s="488"/>
      <c r="G211" s="487"/>
      <c r="H211" s="487"/>
      <c r="I211" s="488"/>
      <c r="J211" s="487"/>
      <c r="K211" s="487"/>
      <c r="L211" s="488"/>
      <c r="M211" s="487"/>
      <c r="N211" s="487"/>
      <c r="O211" s="488"/>
      <c r="P211" s="489"/>
      <c r="Q211" s="489"/>
      <c r="R211" s="592"/>
      <c r="S211" s="489"/>
      <c r="T211" s="487"/>
      <c r="U211" s="488"/>
      <c r="V211" s="489"/>
      <c r="W211" s="489"/>
      <c r="X211" s="488"/>
      <c r="Y211" s="489"/>
      <c r="Z211" s="489"/>
      <c r="AA211" s="490"/>
      <c r="AB211" s="489"/>
      <c r="AC211" s="489"/>
      <c r="AD211" s="27">
        <v>110667</v>
      </c>
      <c r="AE211" s="27" t="s">
        <v>1985</v>
      </c>
      <c r="AF211" s="432">
        <f>VLOOKUP(AD211,[5]Hoja1!$A$10:$K$1393,11,0)</f>
        <v>1742986293</v>
      </c>
      <c r="AG211" s="432"/>
      <c r="AH211" s="432">
        <f t="shared" si="46"/>
        <v>1742986</v>
      </c>
      <c r="AL211" s="448"/>
      <c r="AM211" s="467" t="e">
        <f>VLOOKUP(AD211,[6]BV201101!$A$10:$A$1236,1,0)</f>
        <v>#N/A</v>
      </c>
    </row>
    <row r="212" spans="1:39" s="467" customFormat="1" ht="12.75" customHeight="1">
      <c r="A212" s="487" t="str">
        <f t="shared" si="36"/>
        <v>1</v>
      </c>
      <c r="B212" s="487" t="str">
        <f t="shared" si="37"/>
        <v>10</v>
      </c>
      <c r="C212" s="487" t="str">
        <f t="shared" si="38"/>
        <v>66</v>
      </c>
      <c r="D212" s="487" t="str">
        <f t="shared" si="39"/>
        <v>0668</v>
      </c>
      <c r="E212" s="448">
        <v>511300000</v>
      </c>
      <c r="F212" s="488"/>
      <c r="G212" s="487"/>
      <c r="H212" s="487"/>
      <c r="I212" s="488"/>
      <c r="J212" s="487"/>
      <c r="K212" s="487"/>
      <c r="L212" s="488"/>
      <c r="M212" s="487"/>
      <c r="N212" s="487"/>
      <c r="O212" s="488"/>
      <c r="P212" s="489"/>
      <c r="Q212" s="489"/>
      <c r="R212" s="592"/>
      <c r="S212" s="489"/>
      <c r="T212" s="487"/>
      <c r="U212" s="488"/>
      <c r="V212" s="489"/>
      <c r="W212" s="489"/>
      <c r="X212" s="488"/>
      <c r="Y212" s="489"/>
      <c r="Z212" s="489"/>
      <c r="AA212" s="490"/>
      <c r="AB212" s="489"/>
      <c r="AC212" s="489"/>
      <c r="AD212" s="27">
        <v>110668</v>
      </c>
      <c r="AE212" s="27" t="s">
        <v>540</v>
      </c>
      <c r="AF212" s="432">
        <v>0</v>
      </c>
      <c r="AG212" s="432"/>
      <c r="AH212" s="432">
        <f t="shared" si="46"/>
        <v>0</v>
      </c>
      <c r="AL212" s="448"/>
      <c r="AM212" s="467" t="e">
        <f>VLOOKUP(AD212,[6]BV201101!$A$10:$A$1236,1,0)</f>
        <v>#N/A</v>
      </c>
    </row>
    <row r="213" spans="1:39" s="467" customFormat="1" ht="12.75" customHeight="1">
      <c r="A213" s="487" t="str">
        <f t="shared" si="36"/>
        <v>1</v>
      </c>
      <c r="B213" s="487" t="str">
        <f t="shared" si="37"/>
        <v>10</v>
      </c>
      <c r="C213" s="487" t="str">
        <f t="shared" si="38"/>
        <v>66</v>
      </c>
      <c r="D213" s="487" t="str">
        <f t="shared" si="39"/>
        <v>0669</v>
      </c>
      <c r="E213" s="448">
        <v>511300000</v>
      </c>
      <c r="F213" s="488"/>
      <c r="G213" s="487"/>
      <c r="H213" s="487"/>
      <c r="I213" s="488"/>
      <c r="J213" s="487"/>
      <c r="K213" s="487"/>
      <c r="L213" s="488"/>
      <c r="M213" s="487"/>
      <c r="N213" s="487"/>
      <c r="O213" s="488"/>
      <c r="P213" s="489"/>
      <c r="Q213" s="489"/>
      <c r="R213" s="592"/>
      <c r="S213" s="489"/>
      <c r="T213" s="487"/>
      <c r="U213" s="488"/>
      <c r="V213" s="489"/>
      <c r="W213" s="489"/>
      <c r="X213" s="488"/>
      <c r="Y213" s="489"/>
      <c r="Z213" s="489"/>
      <c r="AA213" s="490"/>
      <c r="AB213" s="489"/>
      <c r="AC213" s="489"/>
      <c r="AD213" s="27">
        <v>110669</v>
      </c>
      <c r="AE213" s="27" t="s">
        <v>1334</v>
      </c>
      <c r="AF213" s="432">
        <v>0</v>
      </c>
      <c r="AG213" s="432"/>
      <c r="AH213" s="432">
        <f t="shared" si="46"/>
        <v>0</v>
      </c>
      <c r="AL213" s="448"/>
      <c r="AM213" s="467" t="e">
        <f>VLOOKUP(AD213,[6]BV201101!$A$10:$A$1236,1,0)</f>
        <v>#N/A</v>
      </c>
    </row>
    <row r="214" spans="1:39" s="467" customFormat="1" ht="12.75" customHeight="1">
      <c r="A214" s="487" t="str">
        <f t="shared" si="36"/>
        <v>1</v>
      </c>
      <c r="B214" s="487" t="str">
        <f t="shared" si="37"/>
        <v>10</v>
      </c>
      <c r="C214" s="487" t="str">
        <f t="shared" si="38"/>
        <v>67</v>
      </c>
      <c r="D214" s="487" t="str">
        <f t="shared" si="39"/>
        <v>0670</v>
      </c>
      <c r="E214" s="448">
        <v>511300000</v>
      </c>
      <c r="F214" s="488" t="str">
        <f t="shared" si="28"/>
        <v/>
      </c>
      <c r="G214" s="487"/>
      <c r="H214" s="487"/>
      <c r="I214" s="488" t="str">
        <f t="shared" si="29"/>
        <v/>
      </c>
      <c r="J214" s="487"/>
      <c r="K214" s="487"/>
      <c r="L214" s="488" t="str">
        <f t="shared" si="30"/>
        <v/>
      </c>
      <c r="M214" s="487"/>
      <c r="N214" s="487"/>
      <c r="O214" s="488" t="str">
        <f t="shared" si="31"/>
        <v/>
      </c>
      <c r="P214" s="489"/>
      <c r="Q214" s="489"/>
      <c r="R214" s="592" t="str">
        <f t="shared" si="32"/>
        <v/>
      </c>
      <c r="S214" s="489"/>
      <c r="T214" s="487"/>
      <c r="U214" s="488" t="str">
        <f t="shared" si="33"/>
        <v/>
      </c>
      <c r="V214" s="489"/>
      <c r="W214" s="489"/>
      <c r="X214" s="488" t="str">
        <f t="shared" si="34"/>
        <v/>
      </c>
      <c r="Y214" s="489"/>
      <c r="Z214" s="489"/>
      <c r="AA214" s="490" t="str">
        <f t="shared" si="45"/>
        <v/>
      </c>
      <c r="AB214" s="489"/>
      <c r="AC214" s="489"/>
      <c r="AD214" s="27">
        <v>110670</v>
      </c>
      <c r="AE214" s="27" t="s">
        <v>270</v>
      </c>
      <c r="AF214" s="432">
        <f>VLOOKUP(AD214,[5]Hoja1!$A$10:$K$1393,11,0)</f>
        <v>293499215</v>
      </c>
      <c r="AG214" s="432">
        <v>0</v>
      </c>
      <c r="AH214" s="432">
        <f t="shared" si="46"/>
        <v>293499</v>
      </c>
      <c r="AI214" s="467" t="s">
        <v>1449</v>
      </c>
      <c r="AJ214" s="467">
        <v>1378730</v>
      </c>
      <c r="AK214" s="445">
        <f>+AJ214-AH214</f>
        <v>1085231</v>
      </c>
      <c r="AL214" s="448"/>
      <c r="AM214" s="467">
        <f>VLOOKUP(AD214,[6]BV201101!$A$10:$A$1236,1,0)</f>
        <v>110670</v>
      </c>
    </row>
    <row r="215" spans="1:39" s="467" customFormat="1" ht="12.75" customHeight="1">
      <c r="A215" s="487" t="str">
        <f t="shared" si="36"/>
        <v>1</v>
      </c>
      <c r="B215" s="487" t="str">
        <f t="shared" si="37"/>
        <v>10</v>
      </c>
      <c r="C215" s="487" t="str">
        <f t="shared" si="38"/>
        <v>67</v>
      </c>
      <c r="D215" s="487" t="str">
        <f t="shared" si="39"/>
        <v>0671</v>
      </c>
      <c r="E215" s="448">
        <v>511300000</v>
      </c>
      <c r="F215" s="488" t="str">
        <f t="shared" si="28"/>
        <v/>
      </c>
      <c r="G215" s="487"/>
      <c r="H215" s="487"/>
      <c r="I215" s="488" t="str">
        <f t="shared" si="29"/>
        <v/>
      </c>
      <c r="J215" s="487"/>
      <c r="K215" s="487"/>
      <c r="L215" s="488" t="str">
        <f t="shared" si="30"/>
        <v/>
      </c>
      <c r="M215" s="487"/>
      <c r="N215" s="487"/>
      <c r="O215" s="488" t="str">
        <f t="shared" si="31"/>
        <v/>
      </c>
      <c r="P215" s="489"/>
      <c r="Q215" s="489"/>
      <c r="R215" s="592" t="str">
        <f t="shared" si="32"/>
        <v/>
      </c>
      <c r="S215" s="489"/>
      <c r="T215" s="487"/>
      <c r="U215" s="488" t="str">
        <f t="shared" si="33"/>
        <v/>
      </c>
      <c r="V215" s="489"/>
      <c r="W215" s="489"/>
      <c r="X215" s="488" t="str">
        <f t="shared" si="34"/>
        <v/>
      </c>
      <c r="Y215" s="489"/>
      <c r="Z215" s="489"/>
      <c r="AA215" s="490" t="str">
        <f t="shared" si="45"/>
        <v/>
      </c>
      <c r="AB215" s="489"/>
      <c r="AC215" s="489"/>
      <c r="AD215" s="27">
        <v>110671</v>
      </c>
      <c r="AE215" s="27" t="s">
        <v>271</v>
      </c>
      <c r="AF215" s="432">
        <f>VLOOKUP(AD215,[5]Hoja1!$A$10:$K$1393,11,0)</f>
        <v>0</v>
      </c>
      <c r="AG215" s="432"/>
      <c r="AH215" s="432">
        <f t="shared" si="46"/>
        <v>0</v>
      </c>
      <c r="AL215" s="448"/>
      <c r="AM215" s="467" t="e">
        <f>VLOOKUP(AD215,[6]BV201101!$A$10:$A$1236,1,0)</f>
        <v>#N/A</v>
      </c>
    </row>
    <row r="216" spans="1:39" s="467" customFormat="1" ht="12.75" customHeight="1">
      <c r="A216" s="487" t="str">
        <f t="shared" si="36"/>
        <v>1</v>
      </c>
      <c r="B216" s="487" t="str">
        <f t="shared" si="37"/>
        <v>10</v>
      </c>
      <c r="C216" s="487" t="str">
        <f t="shared" si="38"/>
        <v>67</v>
      </c>
      <c r="D216" s="487" t="str">
        <f t="shared" si="39"/>
        <v>0672</v>
      </c>
      <c r="E216" s="448">
        <v>511300000</v>
      </c>
      <c r="F216" s="488" t="str">
        <f t="shared" si="28"/>
        <v/>
      </c>
      <c r="G216" s="487"/>
      <c r="H216" s="487"/>
      <c r="I216" s="488" t="str">
        <f t="shared" si="29"/>
        <v/>
      </c>
      <c r="J216" s="487"/>
      <c r="K216" s="487"/>
      <c r="L216" s="488" t="str">
        <f t="shared" si="30"/>
        <v/>
      </c>
      <c r="M216" s="487"/>
      <c r="N216" s="487"/>
      <c r="O216" s="488" t="str">
        <f t="shared" si="31"/>
        <v/>
      </c>
      <c r="P216" s="489"/>
      <c r="Q216" s="489"/>
      <c r="R216" s="592" t="str">
        <f t="shared" si="32"/>
        <v/>
      </c>
      <c r="S216" s="489"/>
      <c r="T216" s="487"/>
      <c r="U216" s="488" t="str">
        <f t="shared" si="33"/>
        <v/>
      </c>
      <c r="V216" s="489"/>
      <c r="W216" s="489"/>
      <c r="X216" s="488" t="str">
        <f t="shared" si="34"/>
        <v/>
      </c>
      <c r="Y216" s="489"/>
      <c r="Z216" s="489"/>
      <c r="AA216" s="490" t="str">
        <f t="shared" si="45"/>
        <v/>
      </c>
      <c r="AB216" s="489"/>
      <c r="AC216" s="489"/>
      <c r="AD216" s="27">
        <v>110672</v>
      </c>
      <c r="AE216" s="27" t="s">
        <v>272</v>
      </c>
      <c r="AF216" s="432">
        <f>VLOOKUP(AD216,[5]Hoja1!$A$10:$K$1393,11,0)</f>
        <v>4088882240</v>
      </c>
      <c r="AG216" s="432">
        <v>0</v>
      </c>
      <c r="AH216" s="432">
        <f t="shared" si="46"/>
        <v>4088882</v>
      </c>
      <c r="AI216" s="445">
        <f>+AH216+AH214+AH209+AH175</f>
        <v>17182977</v>
      </c>
      <c r="AL216" s="448"/>
      <c r="AM216" s="467">
        <f>VLOOKUP(AD216,[6]BV201101!$A$10:$A$1236,1,0)</f>
        <v>110672</v>
      </c>
    </row>
    <row r="217" spans="1:39" s="467" customFormat="1" ht="12.75" customHeight="1">
      <c r="A217" s="487" t="str">
        <f t="shared" si="36"/>
        <v>1</v>
      </c>
      <c r="B217" s="487" t="str">
        <f t="shared" si="37"/>
        <v>10</v>
      </c>
      <c r="C217" s="487" t="str">
        <f t="shared" si="38"/>
        <v>67</v>
      </c>
      <c r="D217" s="487" t="str">
        <f t="shared" si="39"/>
        <v>0673</v>
      </c>
      <c r="E217" s="448">
        <v>511300000</v>
      </c>
      <c r="F217" s="488" t="str">
        <f t="shared" si="28"/>
        <v/>
      </c>
      <c r="G217" s="487"/>
      <c r="H217" s="487"/>
      <c r="I217" s="488" t="str">
        <f t="shared" si="29"/>
        <v/>
      </c>
      <c r="J217" s="487"/>
      <c r="K217" s="487"/>
      <c r="L217" s="488" t="str">
        <f t="shared" si="30"/>
        <v/>
      </c>
      <c r="M217" s="487"/>
      <c r="N217" s="487"/>
      <c r="O217" s="488" t="str">
        <f t="shared" si="31"/>
        <v/>
      </c>
      <c r="P217" s="489"/>
      <c r="Q217" s="489"/>
      <c r="R217" s="592" t="str">
        <f t="shared" si="32"/>
        <v/>
      </c>
      <c r="S217" s="489"/>
      <c r="T217" s="487"/>
      <c r="U217" s="488" t="str">
        <f t="shared" si="33"/>
        <v/>
      </c>
      <c r="V217" s="489"/>
      <c r="W217" s="489"/>
      <c r="X217" s="488" t="str">
        <f t="shared" si="34"/>
        <v/>
      </c>
      <c r="Y217" s="489"/>
      <c r="Z217" s="489"/>
      <c r="AA217" s="490" t="str">
        <f t="shared" si="45"/>
        <v/>
      </c>
      <c r="AB217" s="489"/>
      <c r="AC217" s="489"/>
      <c r="AD217" s="27">
        <v>110673</v>
      </c>
      <c r="AE217" s="27" t="s">
        <v>1492</v>
      </c>
      <c r="AF217" s="432">
        <v>0</v>
      </c>
      <c r="AG217" s="432">
        <v>0</v>
      </c>
      <c r="AH217" s="432">
        <f t="shared" si="46"/>
        <v>0</v>
      </c>
      <c r="AL217" s="448"/>
      <c r="AM217" s="467" t="e">
        <f>VLOOKUP(AD217,[6]BV201101!$A$10:$A$1236,1,0)</f>
        <v>#N/A</v>
      </c>
    </row>
    <row r="218" spans="1:39" s="467" customFormat="1" ht="12.75" customHeight="1">
      <c r="A218" s="487" t="str">
        <f t="shared" si="36"/>
        <v>1</v>
      </c>
      <c r="B218" s="487" t="str">
        <f t="shared" si="37"/>
        <v>10</v>
      </c>
      <c r="C218" s="487" t="str">
        <f t="shared" si="38"/>
        <v>67</v>
      </c>
      <c r="D218" s="487" t="str">
        <f t="shared" si="39"/>
        <v>0674</v>
      </c>
      <c r="E218" s="448">
        <v>511300000</v>
      </c>
      <c r="F218" s="488" t="str">
        <f t="shared" si="28"/>
        <v/>
      </c>
      <c r="G218" s="487"/>
      <c r="H218" s="487"/>
      <c r="I218" s="488" t="str">
        <f t="shared" si="29"/>
        <v/>
      </c>
      <c r="J218" s="487"/>
      <c r="K218" s="487"/>
      <c r="L218" s="488" t="str">
        <f t="shared" si="30"/>
        <v/>
      </c>
      <c r="M218" s="487"/>
      <c r="N218" s="487"/>
      <c r="O218" s="488" t="str">
        <f t="shared" si="31"/>
        <v/>
      </c>
      <c r="P218" s="489"/>
      <c r="Q218" s="489"/>
      <c r="R218" s="592" t="str">
        <f t="shared" si="32"/>
        <v/>
      </c>
      <c r="S218" s="489"/>
      <c r="T218" s="487"/>
      <c r="U218" s="488" t="str">
        <f t="shared" si="33"/>
        <v/>
      </c>
      <c r="V218" s="489"/>
      <c r="W218" s="489"/>
      <c r="X218" s="488" t="str">
        <f t="shared" si="34"/>
        <v/>
      </c>
      <c r="Y218" s="489"/>
      <c r="Z218" s="489"/>
      <c r="AA218" s="490" t="str">
        <f t="shared" si="45"/>
        <v/>
      </c>
      <c r="AB218" s="489"/>
      <c r="AC218" s="489"/>
      <c r="AD218" s="27">
        <v>110674</v>
      </c>
      <c r="AE218" s="27" t="s">
        <v>705</v>
      </c>
      <c r="AF218" s="432">
        <f>VLOOKUP(AD218,[5]Hoja1!$A$10:$K$1393,11,0)</f>
        <v>3822710687</v>
      </c>
      <c r="AG218" s="432">
        <v>0</v>
      </c>
      <c r="AH218" s="432">
        <f t="shared" si="46"/>
        <v>3822711</v>
      </c>
      <c r="AI218" s="467" t="s">
        <v>1449</v>
      </c>
      <c r="AJ218" s="467">
        <v>3601337</v>
      </c>
      <c r="AK218" s="445">
        <f>+AJ218-AH218</f>
        <v>-221374</v>
      </c>
      <c r="AL218" s="448"/>
      <c r="AM218" s="467">
        <f>VLOOKUP(AD218,[6]BV201101!$A$10:$A$1236,1,0)</f>
        <v>110674</v>
      </c>
    </row>
    <row r="219" spans="1:39" s="467" customFormat="1" ht="12.75" customHeight="1">
      <c r="A219" s="487" t="str">
        <f t="shared" si="36"/>
        <v>1</v>
      </c>
      <c r="B219" s="487" t="str">
        <f t="shared" si="37"/>
        <v>10</v>
      </c>
      <c r="C219" s="487" t="str">
        <f t="shared" si="38"/>
        <v>67</v>
      </c>
      <c r="D219" s="487" t="str">
        <f t="shared" si="39"/>
        <v>0675</v>
      </c>
      <c r="E219" s="448">
        <v>511300000</v>
      </c>
      <c r="F219" s="488" t="str">
        <f t="shared" si="28"/>
        <v/>
      </c>
      <c r="G219" s="487"/>
      <c r="H219" s="487"/>
      <c r="I219" s="488" t="str">
        <f t="shared" si="29"/>
        <v/>
      </c>
      <c r="J219" s="487"/>
      <c r="K219" s="487"/>
      <c r="L219" s="488" t="str">
        <f t="shared" si="30"/>
        <v/>
      </c>
      <c r="M219" s="487"/>
      <c r="N219" s="487"/>
      <c r="O219" s="488" t="str">
        <f t="shared" si="31"/>
        <v/>
      </c>
      <c r="P219" s="489"/>
      <c r="Q219" s="489"/>
      <c r="R219" s="592" t="str">
        <f t="shared" si="32"/>
        <v/>
      </c>
      <c r="S219" s="489"/>
      <c r="T219" s="487"/>
      <c r="U219" s="488" t="str">
        <f t="shared" si="33"/>
        <v/>
      </c>
      <c r="V219" s="489"/>
      <c r="W219" s="489"/>
      <c r="X219" s="488" t="str">
        <f t="shared" si="34"/>
        <v/>
      </c>
      <c r="Y219" s="489"/>
      <c r="Z219" s="489"/>
      <c r="AA219" s="490" t="str">
        <f t="shared" si="45"/>
        <v/>
      </c>
      <c r="AB219" s="489"/>
      <c r="AC219" s="489"/>
      <c r="AD219" s="27">
        <v>110675</v>
      </c>
      <c r="AE219" s="27" t="s">
        <v>706</v>
      </c>
      <c r="AF219" s="432">
        <v>0</v>
      </c>
      <c r="AG219" s="432"/>
      <c r="AH219" s="432">
        <f t="shared" si="46"/>
        <v>0</v>
      </c>
      <c r="AL219" s="448"/>
      <c r="AM219" s="467" t="e">
        <f>VLOOKUP(AD219,[6]BV201101!$A$10:$A$1236,1,0)</f>
        <v>#N/A</v>
      </c>
    </row>
    <row r="220" spans="1:39" s="467" customFormat="1" ht="12.75" customHeight="1">
      <c r="A220" s="487" t="str">
        <f t="shared" si="36"/>
        <v>1</v>
      </c>
      <c r="B220" s="487" t="str">
        <f t="shared" si="37"/>
        <v>10</v>
      </c>
      <c r="C220" s="487" t="str">
        <f t="shared" si="38"/>
        <v>67</v>
      </c>
      <c r="D220" s="487" t="str">
        <f t="shared" si="39"/>
        <v>0676</v>
      </c>
      <c r="E220" s="448">
        <v>511300000</v>
      </c>
      <c r="F220" s="488" t="str">
        <f t="shared" ref="F220:F329" si="47">+G220&amp;H220</f>
        <v/>
      </c>
      <c r="G220" s="487"/>
      <c r="H220" s="487"/>
      <c r="I220" s="488" t="str">
        <f t="shared" ref="I220:I329" si="48">+J220&amp;K220</f>
        <v/>
      </c>
      <c r="J220" s="487"/>
      <c r="K220" s="487"/>
      <c r="L220" s="488" t="str">
        <f t="shared" ref="L220:L329" si="49">+M220&amp;N220</f>
        <v/>
      </c>
      <c r="M220" s="487"/>
      <c r="N220" s="487"/>
      <c r="O220" s="488" t="str">
        <f t="shared" ref="O220:O329" si="50">+P220&amp;Q220</f>
        <v/>
      </c>
      <c r="P220" s="489"/>
      <c r="Q220" s="489"/>
      <c r="R220" s="592" t="str">
        <f t="shared" ref="R220:R329" si="51">+S220&amp;T220</f>
        <v/>
      </c>
      <c r="S220" s="489"/>
      <c r="T220" s="487"/>
      <c r="U220" s="488" t="str">
        <f t="shared" ref="U220:U329" si="52">+V220&amp;W220</f>
        <v/>
      </c>
      <c r="V220" s="489"/>
      <c r="W220" s="489"/>
      <c r="X220" s="488" t="str">
        <f t="shared" ref="X220:X329" si="53">+Y220&amp;Z220</f>
        <v/>
      </c>
      <c r="Y220" s="489"/>
      <c r="Z220" s="489"/>
      <c r="AA220" s="490" t="str">
        <f t="shared" si="45"/>
        <v/>
      </c>
      <c r="AB220" s="489"/>
      <c r="AC220" s="489"/>
      <c r="AD220" s="27">
        <v>110676</v>
      </c>
      <c r="AE220" s="27" t="s">
        <v>707</v>
      </c>
      <c r="AF220" s="432">
        <f>VLOOKUP(AD220,[5]Hoja1!$A$10:$K$1393,11,0)</f>
        <v>0</v>
      </c>
      <c r="AG220" s="432"/>
      <c r="AH220" s="432">
        <f t="shared" si="46"/>
        <v>0</v>
      </c>
      <c r="AJ220" s="467">
        <v>116861</v>
      </c>
      <c r="AK220" s="445">
        <f>+AJ220-AH220</f>
        <v>116861</v>
      </c>
      <c r="AL220" s="448"/>
      <c r="AM220" s="467">
        <f>VLOOKUP(AD220,[6]BV201101!$A$10:$A$1236,1,0)</f>
        <v>110676</v>
      </c>
    </row>
    <row r="221" spans="1:39" s="467" customFormat="1" ht="12.75" customHeight="1">
      <c r="A221" s="487" t="str">
        <f t="shared" ref="A221:A285" si="54">+LEFT($AD221,1)</f>
        <v>1</v>
      </c>
      <c r="B221" s="487" t="str">
        <f t="shared" ref="B221:B330" si="55">RIGHT(LEFT($AD221,3),2)</f>
        <v>10</v>
      </c>
      <c r="C221" s="487" t="str">
        <f t="shared" ref="C221:C330" si="56">RIGHT(LEFT($AD221,5),2)</f>
        <v>67</v>
      </c>
      <c r="D221" s="487" t="str">
        <f t="shared" ref="D221:D330" si="57">RIGHT(LEFT($AD221,9),4)</f>
        <v>0677</v>
      </c>
      <c r="E221" s="448">
        <v>511300000</v>
      </c>
      <c r="F221" s="488" t="str">
        <f t="shared" si="47"/>
        <v/>
      </c>
      <c r="G221" s="487"/>
      <c r="H221" s="487"/>
      <c r="I221" s="488" t="str">
        <f t="shared" si="48"/>
        <v/>
      </c>
      <c r="J221" s="487"/>
      <c r="K221" s="487"/>
      <c r="L221" s="488" t="str">
        <f t="shared" si="49"/>
        <v/>
      </c>
      <c r="M221" s="487"/>
      <c r="N221" s="487"/>
      <c r="O221" s="488" t="str">
        <f t="shared" si="50"/>
        <v/>
      </c>
      <c r="P221" s="489"/>
      <c r="Q221" s="489"/>
      <c r="R221" s="592" t="str">
        <f t="shared" si="51"/>
        <v/>
      </c>
      <c r="S221" s="489"/>
      <c r="T221" s="487"/>
      <c r="U221" s="488" t="str">
        <f t="shared" si="52"/>
        <v/>
      </c>
      <c r="V221" s="489"/>
      <c r="W221" s="489"/>
      <c r="X221" s="488" t="str">
        <f t="shared" si="53"/>
        <v/>
      </c>
      <c r="Y221" s="489"/>
      <c r="Z221" s="489"/>
      <c r="AA221" s="490" t="str">
        <f t="shared" si="45"/>
        <v/>
      </c>
      <c r="AB221" s="489"/>
      <c r="AC221" s="489"/>
      <c r="AD221" s="27">
        <v>110677</v>
      </c>
      <c r="AE221" s="27" t="s">
        <v>1986</v>
      </c>
      <c r="AF221" s="432">
        <v>0</v>
      </c>
      <c r="AG221" s="432"/>
      <c r="AH221" s="432">
        <f t="shared" si="46"/>
        <v>0</v>
      </c>
      <c r="AL221" s="448"/>
      <c r="AM221" s="467" t="e">
        <f>VLOOKUP(AD221,[6]BV201101!$A$10:$A$1236,1,0)</f>
        <v>#N/A</v>
      </c>
    </row>
    <row r="222" spans="1:39" s="467" customFormat="1" ht="12.75" customHeight="1">
      <c r="A222" s="487" t="str">
        <f t="shared" si="54"/>
        <v>1</v>
      </c>
      <c r="B222" s="487" t="str">
        <f t="shared" si="55"/>
        <v>10</v>
      </c>
      <c r="C222" s="487" t="str">
        <f t="shared" si="56"/>
        <v>67</v>
      </c>
      <c r="D222" s="487" t="str">
        <f t="shared" si="57"/>
        <v>0678</v>
      </c>
      <c r="E222" s="448">
        <v>511300000</v>
      </c>
      <c r="F222" s="488" t="str">
        <f t="shared" si="47"/>
        <v/>
      </c>
      <c r="G222" s="487"/>
      <c r="H222" s="487"/>
      <c r="I222" s="488" t="str">
        <f t="shared" si="48"/>
        <v/>
      </c>
      <c r="J222" s="487"/>
      <c r="K222" s="487"/>
      <c r="L222" s="488" t="str">
        <f t="shared" si="49"/>
        <v/>
      </c>
      <c r="M222" s="487"/>
      <c r="N222" s="487"/>
      <c r="O222" s="488" t="str">
        <f t="shared" si="50"/>
        <v/>
      </c>
      <c r="P222" s="489"/>
      <c r="Q222" s="489"/>
      <c r="R222" s="592" t="str">
        <f t="shared" si="51"/>
        <v/>
      </c>
      <c r="S222" s="489"/>
      <c r="T222" s="487"/>
      <c r="U222" s="488" t="str">
        <f t="shared" si="52"/>
        <v/>
      </c>
      <c r="V222" s="489"/>
      <c r="W222" s="489"/>
      <c r="X222" s="488" t="str">
        <f t="shared" si="53"/>
        <v/>
      </c>
      <c r="Y222" s="489"/>
      <c r="Z222" s="489"/>
      <c r="AA222" s="490" t="str">
        <f t="shared" si="45"/>
        <v/>
      </c>
      <c r="AB222" s="489"/>
      <c r="AC222" s="489"/>
      <c r="AD222" s="27">
        <v>110678</v>
      </c>
      <c r="AE222" s="27" t="s">
        <v>708</v>
      </c>
      <c r="AF222" s="432">
        <f>VLOOKUP(AD222,[5]Hoja1!$A$10:$K$1393,11,0)</f>
        <v>210831144</v>
      </c>
      <c r="AG222" s="432"/>
      <c r="AH222" s="432">
        <f t="shared" si="46"/>
        <v>210831</v>
      </c>
      <c r="AL222" s="448"/>
      <c r="AM222" s="467">
        <f>VLOOKUP(AD222,[6]BV201101!$A$10:$A$1236,1,0)</f>
        <v>110678</v>
      </c>
    </row>
    <row r="223" spans="1:39" s="467" customFormat="1" ht="12.75" customHeight="1">
      <c r="A223" s="487" t="str">
        <f t="shared" si="54"/>
        <v>1</v>
      </c>
      <c r="B223" s="487" t="str">
        <f t="shared" si="55"/>
        <v>10</v>
      </c>
      <c r="C223" s="487" t="str">
        <f t="shared" si="56"/>
        <v>67</v>
      </c>
      <c r="D223" s="487" t="str">
        <f t="shared" si="57"/>
        <v>0679</v>
      </c>
      <c r="E223" s="448">
        <v>511300000</v>
      </c>
      <c r="F223" s="488" t="str">
        <f t="shared" si="47"/>
        <v/>
      </c>
      <c r="G223" s="487"/>
      <c r="H223" s="487"/>
      <c r="I223" s="488" t="str">
        <f t="shared" si="48"/>
        <v/>
      </c>
      <c r="J223" s="487"/>
      <c r="K223" s="487"/>
      <c r="L223" s="488" t="str">
        <f t="shared" si="49"/>
        <v/>
      </c>
      <c r="M223" s="487"/>
      <c r="N223" s="487"/>
      <c r="O223" s="488" t="str">
        <f t="shared" si="50"/>
        <v/>
      </c>
      <c r="P223" s="489"/>
      <c r="Q223" s="489"/>
      <c r="R223" s="592" t="str">
        <f t="shared" si="51"/>
        <v/>
      </c>
      <c r="S223" s="489"/>
      <c r="T223" s="487"/>
      <c r="U223" s="488" t="str">
        <f t="shared" si="52"/>
        <v/>
      </c>
      <c r="V223" s="489"/>
      <c r="W223" s="489"/>
      <c r="X223" s="488" t="str">
        <f t="shared" si="53"/>
        <v/>
      </c>
      <c r="Y223" s="489"/>
      <c r="Z223" s="489"/>
      <c r="AA223" s="490" t="str">
        <f t="shared" si="45"/>
        <v/>
      </c>
      <c r="AB223" s="489"/>
      <c r="AC223" s="489"/>
      <c r="AD223" s="27">
        <v>110679</v>
      </c>
      <c r="AE223" s="27" t="s">
        <v>709</v>
      </c>
      <c r="AF223" s="432">
        <f>VLOOKUP(AD223,[5]Hoja1!$A$10:$K$1393,11,0)</f>
        <v>3650445641</v>
      </c>
      <c r="AG223" s="432"/>
      <c r="AH223" s="432">
        <f t="shared" si="46"/>
        <v>3650446</v>
      </c>
      <c r="AI223" s="445">
        <f>+AH225+AH186</f>
        <v>362018</v>
      </c>
      <c r="AL223" s="448"/>
      <c r="AM223" s="467">
        <f>VLOOKUP(AD223,[6]BV201101!$A$10:$A$1236,1,0)</f>
        <v>110679</v>
      </c>
    </row>
    <row r="224" spans="1:39" s="467" customFormat="1" ht="12.75" customHeight="1">
      <c r="A224" s="487" t="str">
        <f t="shared" si="54"/>
        <v>1</v>
      </c>
      <c r="B224" s="487" t="str">
        <f t="shared" si="55"/>
        <v>10</v>
      </c>
      <c r="C224" s="487" t="str">
        <f t="shared" si="56"/>
        <v>68</v>
      </c>
      <c r="D224" s="487" t="str">
        <f t="shared" si="57"/>
        <v>0680</v>
      </c>
      <c r="E224" s="448">
        <v>511300000</v>
      </c>
      <c r="F224" s="488" t="str">
        <f t="shared" si="47"/>
        <v/>
      </c>
      <c r="G224" s="487"/>
      <c r="H224" s="487"/>
      <c r="I224" s="488" t="str">
        <f t="shared" si="48"/>
        <v/>
      </c>
      <c r="J224" s="487"/>
      <c r="K224" s="487"/>
      <c r="L224" s="488" t="str">
        <f t="shared" si="49"/>
        <v/>
      </c>
      <c r="M224" s="487"/>
      <c r="N224" s="487"/>
      <c r="O224" s="488" t="str">
        <f t="shared" si="50"/>
        <v/>
      </c>
      <c r="P224" s="489"/>
      <c r="Q224" s="489"/>
      <c r="R224" s="592" t="str">
        <f t="shared" si="51"/>
        <v/>
      </c>
      <c r="S224" s="489"/>
      <c r="T224" s="487"/>
      <c r="U224" s="488" t="str">
        <f t="shared" si="52"/>
        <v/>
      </c>
      <c r="V224" s="489"/>
      <c r="W224" s="489"/>
      <c r="X224" s="488" t="str">
        <f t="shared" si="53"/>
        <v/>
      </c>
      <c r="Y224" s="489"/>
      <c r="Z224" s="489"/>
      <c r="AA224" s="490" t="str">
        <f t="shared" si="45"/>
        <v/>
      </c>
      <c r="AB224" s="489"/>
      <c r="AC224" s="489"/>
      <c r="AD224" s="27">
        <v>110680</v>
      </c>
      <c r="AE224" s="27" t="s">
        <v>1987</v>
      </c>
      <c r="AF224" s="432">
        <v>0</v>
      </c>
      <c r="AG224" s="432"/>
      <c r="AH224" s="432">
        <f t="shared" si="46"/>
        <v>0</v>
      </c>
      <c r="AL224" s="448"/>
      <c r="AM224" s="467" t="e">
        <f>VLOOKUP(AD224,[6]BV201101!$A$10:$A$1236,1,0)</f>
        <v>#N/A</v>
      </c>
    </row>
    <row r="225" spans="1:39" s="467" customFormat="1" ht="12.75" customHeight="1">
      <c r="A225" s="487" t="str">
        <f t="shared" si="54"/>
        <v>1</v>
      </c>
      <c r="B225" s="487" t="str">
        <f t="shared" si="55"/>
        <v>10</v>
      </c>
      <c r="C225" s="487" t="str">
        <f t="shared" si="56"/>
        <v>68</v>
      </c>
      <c r="D225" s="487" t="str">
        <f t="shared" si="57"/>
        <v>0681</v>
      </c>
      <c r="E225" s="448">
        <v>511300000</v>
      </c>
      <c r="F225" s="488" t="str">
        <f t="shared" si="47"/>
        <v/>
      </c>
      <c r="G225" s="487"/>
      <c r="H225" s="487"/>
      <c r="I225" s="488" t="str">
        <f t="shared" si="48"/>
        <v/>
      </c>
      <c r="J225" s="487"/>
      <c r="K225" s="487"/>
      <c r="L225" s="488" t="str">
        <f t="shared" si="49"/>
        <v/>
      </c>
      <c r="M225" s="487"/>
      <c r="N225" s="487"/>
      <c r="O225" s="488" t="str">
        <f t="shared" si="50"/>
        <v/>
      </c>
      <c r="P225" s="489"/>
      <c r="Q225" s="489"/>
      <c r="R225" s="592" t="str">
        <f t="shared" si="51"/>
        <v/>
      </c>
      <c r="S225" s="489"/>
      <c r="T225" s="487"/>
      <c r="U225" s="488" t="str">
        <f t="shared" si="52"/>
        <v/>
      </c>
      <c r="V225" s="489"/>
      <c r="W225" s="489"/>
      <c r="X225" s="488" t="str">
        <f t="shared" si="53"/>
        <v/>
      </c>
      <c r="Y225" s="489"/>
      <c r="Z225" s="489"/>
      <c r="AA225" s="490" t="str">
        <f t="shared" si="45"/>
        <v/>
      </c>
      <c r="AB225" s="489"/>
      <c r="AC225" s="489"/>
      <c r="AD225" s="27">
        <v>110681</v>
      </c>
      <c r="AE225" s="27" t="s">
        <v>710</v>
      </c>
      <c r="AF225" s="432">
        <f>VLOOKUP(AD225,[5]Hoja1!$A$10:$K$1393,11,0)</f>
        <v>362017796</v>
      </c>
      <c r="AG225" s="1022">
        <v>0</v>
      </c>
      <c r="AH225" s="432">
        <f t="shared" si="46"/>
        <v>362018</v>
      </c>
      <c r="AI225" s="445"/>
      <c r="AJ225" s="445">
        <f>+AH225+AH210</f>
        <v>362018</v>
      </c>
      <c r="AK225" s="445">
        <f>+AJ226-AH225-AH210</f>
        <v>7426901</v>
      </c>
      <c r="AL225" s="473">
        <f>+AG225</f>
        <v>0</v>
      </c>
      <c r="AM225" s="467">
        <f>VLOOKUP(AD225,[6]BV201101!$A$10:$A$1236,1,0)</f>
        <v>110681</v>
      </c>
    </row>
    <row r="226" spans="1:39" s="467" customFormat="1" ht="12.75" customHeight="1">
      <c r="A226" s="487" t="str">
        <f t="shared" si="54"/>
        <v>1</v>
      </c>
      <c r="B226" s="487" t="str">
        <f t="shared" si="55"/>
        <v>10</v>
      </c>
      <c r="C226" s="487" t="str">
        <f t="shared" si="56"/>
        <v>68</v>
      </c>
      <c r="D226" s="487" t="str">
        <f t="shared" si="57"/>
        <v>0682</v>
      </c>
      <c r="E226" s="448">
        <v>511300000</v>
      </c>
      <c r="F226" s="488" t="str">
        <f t="shared" si="47"/>
        <v/>
      </c>
      <c r="G226" s="487"/>
      <c r="H226" s="487"/>
      <c r="I226" s="488" t="str">
        <f t="shared" si="48"/>
        <v/>
      </c>
      <c r="J226" s="487"/>
      <c r="K226" s="487"/>
      <c r="L226" s="488" t="str">
        <f t="shared" si="49"/>
        <v/>
      </c>
      <c r="M226" s="487"/>
      <c r="N226" s="487"/>
      <c r="O226" s="488" t="str">
        <f t="shared" si="50"/>
        <v/>
      </c>
      <c r="P226" s="489"/>
      <c r="Q226" s="489"/>
      <c r="R226" s="592" t="str">
        <f t="shared" si="51"/>
        <v/>
      </c>
      <c r="S226" s="489"/>
      <c r="T226" s="487"/>
      <c r="U226" s="488" t="str">
        <f t="shared" si="52"/>
        <v/>
      </c>
      <c r="V226" s="489"/>
      <c r="W226" s="489"/>
      <c r="X226" s="488" t="str">
        <f t="shared" si="53"/>
        <v/>
      </c>
      <c r="Y226" s="489"/>
      <c r="Z226" s="489"/>
      <c r="AA226" s="490" t="str">
        <f t="shared" si="45"/>
        <v/>
      </c>
      <c r="AB226" s="489"/>
      <c r="AC226" s="489"/>
      <c r="AD226" s="27">
        <v>110682</v>
      </c>
      <c r="AE226" s="27" t="s">
        <v>711</v>
      </c>
      <c r="AF226" s="432">
        <v>0</v>
      </c>
      <c r="AG226" s="432"/>
      <c r="AH226" s="432">
        <f t="shared" si="46"/>
        <v>0</v>
      </c>
      <c r="AJ226" s="445">
        <v>7788919</v>
      </c>
      <c r="AL226" s="448"/>
      <c r="AM226" s="467" t="e">
        <f>VLOOKUP(AD226,[6]BV201101!$A$10:$A$1236,1,0)</f>
        <v>#N/A</v>
      </c>
    </row>
    <row r="227" spans="1:39" s="467" customFormat="1" ht="12.75" customHeight="1">
      <c r="A227" s="487" t="str">
        <f t="shared" si="54"/>
        <v>1</v>
      </c>
      <c r="B227" s="487" t="str">
        <f t="shared" si="55"/>
        <v>10</v>
      </c>
      <c r="C227" s="487" t="str">
        <f t="shared" si="56"/>
        <v>68</v>
      </c>
      <c r="D227" s="487" t="str">
        <f t="shared" si="57"/>
        <v>0683</v>
      </c>
      <c r="E227" s="448">
        <v>511300000</v>
      </c>
      <c r="F227" s="488" t="str">
        <f t="shared" si="47"/>
        <v/>
      </c>
      <c r="G227" s="487"/>
      <c r="H227" s="487"/>
      <c r="I227" s="488" t="str">
        <f t="shared" si="48"/>
        <v/>
      </c>
      <c r="J227" s="487"/>
      <c r="K227" s="487"/>
      <c r="L227" s="488" t="str">
        <f t="shared" si="49"/>
        <v/>
      </c>
      <c r="M227" s="487"/>
      <c r="N227" s="487"/>
      <c r="O227" s="488" t="str">
        <f t="shared" si="50"/>
        <v/>
      </c>
      <c r="P227" s="489"/>
      <c r="Q227" s="489"/>
      <c r="R227" s="592" t="str">
        <f t="shared" si="51"/>
        <v/>
      </c>
      <c r="S227" s="489"/>
      <c r="T227" s="487"/>
      <c r="U227" s="488" t="str">
        <f t="shared" si="52"/>
        <v/>
      </c>
      <c r="V227" s="489"/>
      <c r="W227" s="489"/>
      <c r="X227" s="488" t="str">
        <f t="shared" si="53"/>
        <v/>
      </c>
      <c r="Y227" s="489"/>
      <c r="Z227" s="489"/>
      <c r="AA227" s="490" t="str">
        <f t="shared" si="45"/>
        <v/>
      </c>
      <c r="AB227" s="489"/>
      <c r="AC227" s="489"/>
      <c r="AD227" s="27">
        <v>110683</v>
      </c>
      <c r="AE227" s="27" t="s">
        <v>1988</v>
      </c>
      <c r="AF227" s="432">
        <f>VLOOKUP(AD227,[5]Hoja1!$A$10:$K$1393,11,0)</f>
        <v>0</v>
      </c>
      <c r="AG227" s="432">
        <v>0</v>
      </c>
      <c r="AH227" s="432">
        <f t="shared" si="46"/>
        <v>0</v>
      </c>
      <c r="AJ227" s="445">
        <f>+AJ226-AJ225</f>
        <v>7426901</v>
      </c>
      <c r="AL227" s="448"/>
      <c r="AM227" s="467">
        <f>VLOOKUP(AD227,[6]BV201101!$A$10:$A$1236,1,0)</f>
        <v>110683</v>
      </c>
    </row>
    <row r="228" spans="1:39" s="467" customFormat="1" ht="12.75" customHeight="1">
      <c r="A228" s="487" t="str">
        <f t="shared" si="54"/>
        <v>1</v>
      </c>
      <c r="B228" s="487" t="str">
        <f t="shared" si="55"/>
        <v>10</v>
      </c>
      <c r="C228" s="487" t="str">
        <f t="shared" si="56"/>
        <v>68</v>
      </c>
      <c r="D228" s="487" t="str">
        <f t="shared" si="57"/>
        <v>0684</v>
      </c>
      <c r="E228" s="448">
        <v>511300000</v>
      </c>
      <c r="F228" s="488" t="str">
        <f t="shared" si="47"/>
        <v/>
      </c>
      <c r="G228" s="487"/>
      <c r="H228" s="487"/>
      <c r="I228" s="488" t="str">
        <f t="shared" si="48"/>
        <v/>
      </c>
      <c r="J228" s="487"/>
      <c r="K228" s="487"/>
      <c r="L228" s="488" t="str">
        <f t="shared" si="49"/>
        <v/>
      </c>
      <c r="M228" s="487"/>
      <c r="N228" s="487"/>
      <c r="O228" s="488" t="str">
        <f t="shared" si="50"/>
        <v/>
      </c>
      <c r="P228" s="489"/>
      <c r="Q228" s="489"/>
      <c r="R228" s="592" t="str">
        <f t="shared" si="51"/>
        <v/>
      </c>
      <c r="S228" s="489"/>
      <c r="T228" s="487"/>
      <c r="U228" s="488" t="str">
        <f t="shared" si="52"/>
        <v/>
      </c>
      <c r="V228" s="489"/>
      <c r="W228" s="489"/>
      <c r="X228" s="488" t="str">
        <f t="shared" si="53"/>
        <v/>
      </c>
      <c r="Y228" s="489"/>
      <c r="Z228" s="489"/>
      <c r="AA228" s="490" t="str">
        <f t="shared" si="45"/>
        <v/>
      </c>
      <c r="AB228" s="489"/>
      <c r="AC228" s="489"/>
      <c r="AD228" s="27">
        <v>110684</v>
      </c>
      <c r="AE228" s="27" t="s">
        <v>713</v>
      </c>
      <c r="AF228" s="432">
        <v>0</v>
      </c>
      <c r="AG228" s="432"/>
      <c r="AH228" s="432">
        <f t="shared" si="46"/>
        <v>0</v>
      </c>
      <c r="AL228" s="448"/>
      <c r="AM228" s="467" t="e">
        <f>VLOOKUP(AD228,[6]BV201101!$A$10:$A$1236,1,0)</f>
        <v>#N/A</v>
      </c>
    </row>
    <row r="229" spans="1:39" s="467" customFormat="1" ht="12.75" customHeight="1">
      <c r="A229" s="487" t="str">
        <f t="shared" si="54"/>
        <v>1</v>
      </c>
      <c r="B229" s="487" t="str">
        <f t="shared" si="55"/>
        <v>10</v>
      </c>
      <c r="C229" s="487" t="str">
        <f t="shared" si="56"/>
        <v>68</v>
      </c>
      <c r="D229" s="487" t="str">
        <f t="shared" si="57"/>
        <v>0685</v>
      </c>
      <c r="E229" s="448">
        <v>511300000</v>
      </c>
      <c r="F229" s="488" t="str">
        <f t="shared" si="47"/>
        <v/>
      </c>
      <c r="G229" s="487"/>
      <c r="H229" s="487"/>
      <c r="I229" s="488" t="str">
        <f t="shared" si="48"/>
        <v/>
      </c>
      <c r="J229" s="487"/>
      <c r="K229" s="487"/>
      <c r="L229" s="488" t="str">
        <f t="shared" si="49"/>
        <v/>
      </c>
      <c r="M229" s="487"/>
      <c r="N229" s="487"/>
      <c r="O229" s="488" t="str">
        <f t="shared" si="50"/>
        <v/>
      </c>
      <c r="P229" s="489"/>
      <c r="Q229" s="489"/>
      <c r="R229" s="592" t="str">
        <f t="shared" si="51"/>
        <v/>
      </c>
      <c r="S229" s="489"/>
      <c r="T229" s="487"/>
      <c r="U229" s="488" t="str">
        <f t="shared" si="52"/>
        <v/>
      </c>
      <c r="V229" s="489"/>
      <c r="W229" s="489"/>
      <c r="X229" s="488" t="str">
        <f t="shared" si="53"/>
        <v/>
      </c>
      <c r="Y229" s="489"/>
      <c r="Z229" s="489"/>
      <c r="AA229" s="490" t="str">
        <f t="shared" si="45"/>
        <v/>
      </c>
      <c r="AB229" s="489"/>
      <c r="AC229" s="489"/>
      <c r="AD229" s="27">
        <v>110685</v>
      </c>
      <c r="AE229" s="27" t="s">
        <v>1989</v>
      </c>
      <c r="AF229" s="432">
        <f>VLOOKUP(AD229,[5]Hoja1!$A$10:$K$1393,11,0)</f>
        <v>0</v>
      </c>
      <c r="AG229" s="432">
        <v>0</v>
      </c>
      <c r="AH229" s="432">
        <f t="shared" si="46"/>
        <v>0</v>
      </c>
      <c r="AI229" s="445" t="s">
        <v>1449</v>
      </c>
      <c r="AJ229" s="467">
        <v>553882</v>
      </c>
      <c r="AK229" s="445">
        <f>+AJ229-AH229</f>
        <v>553882</v>
      </c>
      <c r="AL229" s="448"/>
      <c r="AM229" s="467">
        <f>VLOOKUP(AD229,[6]BV201101!$A$10:$A$1236,1,0)</f>
        <v>110685</v>
      </c>
    </row>
    <row r="230" spans="1:39" s="467" customFormat="1" ht="12.75" customHeight="1">
      <c r="A230" s="487" t="str">
        <f t="shared" si="54"/>
        <v>1</v>
      </c>
      <c r="B230" s="487"/>
      <c r="C230" s="487"/>
      <c r="D230" s="487"/>
      <c r="E230" s="448"/>
      <c r="F230" s="488"/>
      <c r="G230" s="487"/>
      <c r="H230" s="487"/>
      <c r="I230" s="488"/>
      <c r="J230" s="487"/>
      <c r="K230" s="487"/>
      <c r="L230" s="488"/>
      <c r="M230" s="487"/>
      <c r="N230" s="487"/>
      <c r="O230" s="488"/>
      <c r="P230" s="489"/>
      <c r="Q230" s="489"/>
      <c r="R230" s="592"/>
      <c r="S230" s="489"/>
      <c r="T230" s="487"/>
      <c r="U230" s="488"/>
      <c r="V230" s="489"/>
      <c r="W230" s="489"/>
      <c r="X230" s="488"/>
      <c r="Y230" s="489"/>
      <c r="Z230" s="489"/>
      <c r="AA230" s="490"/>
      <c r="AB230" s="489"/>
      <c r="AC230" s="489"/>
      <c r="AD230" s="27">
        <v>110686</v>
      </c>
      <c r="AE230" s="27" t="s">
        <v>1990</v>
      </c>
      <c r="AF230" s="432">
        <v>0</v>
      </c>
      <c r="AG230" s="432"/>
      <c r="AH230" s="432">
        <f t="shared" si="46"/>
        <v>0</v>
      </c>
      <c r="AI230" s="445"/>
      <c r="AL230" s="448"/>
      <c r="AM230" s="467" t="e">
        <f>VLOOKUP(AD230,[6]BV201101!$A$10:$A$1236,1,0)</f>
        <v>#N/A</v>
      </c>
    </row>
    <row r="231" spans="1:39" s="467" customFormat="1" ht="12.75" customHeight="1">
      <c r="A231" s="487" t="str">
        <f t="shared" si="54"/>
        <v>1</v>
      </c>
      <c r="B231" s="487" t="str">
        <f t="shared" si="55"/>
        <v>10</v>
      </c>
      <c r="C231" s="487" t="str">
        <f t="shared" si="56"/>
        <v>68</v>
      </c>
      <c r="D231" s="487" t="str">
        <f t="shared" si="57"/>
        <v>0687</v>
      </c>
      <c r="E231" s="448">
        <v>511300000</v>
      </c>
      <c r="F231" s="488"/>
      <c r="G231" s="487"/>
      <c r="H231" s="487"/>
      <c r="I231" s="488"/>
      <c r="J231" s="487"/>
      <c r="K231" s="487"/>
      <c r="L231" s="488"/>
      <c r="M231" s="487"/>
      <c r="N231" s="487"/>
      <c r="O231" s="488"/>
      <c r="P231" s="489"/>
      <c r="Q231" s="489"/>
      <c r="R231" s="592"/>
      <c r="S231" s="489"/>
      <c r="T231" s="487"/>
      <c r="U231" s="488"/>
      <c r="V231" s="489"/>
      <c r="W231" s="489"/>
      <c r="X231" s="488"/>
      <c r="Y231" s="489"/>
      <c r="Z231" s="489"/>
      <c r="AA231" s="490"/>
      <c r="AB231" s="489"/>
      <c r="AC231" s="489"/>
      <c r="AD231" s="27">
        <v>110687</v>
      </c>
      <c r="AE231" s="27" t="s">
        <v>1991</v>
      </c>
      <c r="AF231" s="432">
        <v>0</v>
      </c>
      <c r="AG231" s="432"/>
      <c r="AH231" s="432">
        <f t="shared" si="46"/>
        <v>0</v>
      </c>
      <c r="AI231" s="445"/>
      <c r="AL231" s="448"/>
      <c r="AM231" s="467" t="e">
        <f>VLOOKUP(AD231,[6]BV201101!$A$10:$A$1236,1,0)</f>
        <v>#N/A</v>
      </c>
    </row>
    <row r="232" spans="1:39" s="467" customFormat="1" ht="12.75" customHeight="1">
      <c r="A232" s="487" t="str">
        <f t="shared" si="54"/>
        <v>1</v>
      </c>
      <c r="B232" s="487" t="str">
        <f t="shared" si="55"/>
        <v>10</v>
      </c>
      <c r="C232" s="487" t="str">
        <f t="shared" si="56"/>
        <v>68</v>
      </c>
      <c r="D232" s="487" t="str">
        <f t="shared" si="57"/>
        <v>0688</v>
      </c>
      <c r="E232" s="448">
        <v>511300000</v>
      </c>
      <c r="F232" s="488"/>
      <c r="G232" s="487"/>
      <c r="H232" s="487"/>
      <c r="I232" s="488"/>
      <c r="J232" s="487"/>
      <c r="K232" s="487"/>
      <c r="L232" s="488"/>
      <c r="M232" s="487"/>
      <c r="N232" s="487"/>
      <c r="O232" s="488"/>
      <c r="P232" s="489"/>
      <c r="Q232" s="489"/>
      <c r="R232" s="592"/>
      <c r="S232" s="489"/>
      <c r="T232" s="487"/>
      <c r="U232" s="488"/>
      <c r="V232" s="489"/>
      <c r="W232" s="489"/>
      <c r="X232" s="488"/>
      <c r="Y232" s="489"/>
      <c r="Z232" s="489"/>
      <c r="AA232" s="490"/>
      <c r="AB232" s="489"/>
      <c r="AC232" s="489"/>
      <c r="AD232" s="27">
        <v>110688</v>
      </c>
      <c r="AE232" s="27" t="s">
        <v>1992</v>
      </c>
      <c r="AF232" s="432">
        <f>VLOOKUP(AD232,[5]Hoja1!$A$10:$K$1393,11,0)</f>
        <v>0</v>
      </c>
      <c r="AG232" s="432"/>
      <c r="AH232" s="432">
        <f t="shared" si="46"/>
        <v>0</v>
      </c>
      <c r="AI232" s="445" t="s">
        <v>1449</v>
      </c>
      <c r="AL232" s="448"/>
      <c r="AM232" s="467">
        <f>VLOOKUP(AD232,[6]BV201101!$A$10:$A$1236,1,0)</f>
        <v>110688</v>
      </c>
    </row>
    <row r="233" spans="1:39" s="467" customFormat="1" ht="12.75" customHeight="1">
      <c r="A233" s="487" t="str">
        <f t="shared" si="54"/>
        <v>1</v>
      </c>
      <c r="B233" s="487" t="str">
        <f t="shared" si="55"/>
        <v>10</v>
      </c>
      <c r="C233" s="487" t="str">
        <f t="shared" si="56"/>
        <v>68</v>
      </c>
      <c r="D233" s="487" t="str">
        <f t="shared" si="57"/>
        <v>0689</v>
      </c>
      <c r="E233" s="448">
        <v>511300000</v>
      </c>
      <c r="F233" s="488"/>
      <c r="G233" s="487"/>
      <c r="H233" s="487"/>
      <c r="I233" s="488"/>
      <c r="J233" s="487"/>
      <c r="K233" s="487"/>
      <c r="L233" s="488"/>
      <c r="M233" s="487"/>
      <c r="N233" s="487"/>
      <c r="O233" s="488"/>
      <c r="P233" s="489"/>
      <c r="Q233" s="489"/>
      <c r="R233" s="592"/>
      <c r="S233" s="489"/>
      <c r="T233" s="487"/>
      <c r="U233" s="488"/>
      <c r="V233" s="489"/>
      <c r="W233" s="489"/>
      <c r="X233" s="488"/>
      <c r="Y233" s="489"/>
      <c r="Z233" s="489"/>
      <c r="AA233" s="490"/>
      <c r="AB233" s="489"/>
      <c r="AC233" s="489"/>
      <c r="AD233" s="27">
        <v>110689</v>
      </c>
      <c r="AE233" s="27" t="s">
        <v>1993</v>
      </c>
      <c r="AF233" s="432">
        <f>VLOOKUP(AD233,[5]Hoja1!$A$10:$K$1393,11,0)</f>
        <v>0</v>
      </c>
      <c r="AG233" s="432">
        <v>0</v>
      </c>
      <c r="AH233" s="432">
        <f t="shared" si="46"/>
        <v>0</v>
      </c>
      <c r="AI233" s="445"/>
      <c r="AL233" s="448"/>
      <c r="AM233" s="467">
        <f>VLOOKUP(AD233,[6]BV201101!$A$10:$A$1236,1,0)</f>
        <v>110689</v>
      </c>
    </row>
    <row r="234" spans="1:39" s="467" customFormat="1" ht="12.75" customHeight="1">
      <c r="A234" s="487" t="str">
        <f t="shared" si="54"/>
        <v>1</v>
      </c>
      <c r="B234" s="487" t="str">
        <f t="shared" si="55"/>
        <v>10</v>
      </c>
      <c r="C234" s="487" t="str">
        <f t="shared" si="56"/>
        <v>69</v>
      </c>
      <c r="D234" s="487" t="str">
        <f t="shared" si="57"/>
        <v>0690</v>
      </c>
      <c r="E234" s="448">
        <v>511300000</v>
      </c>
      <c r="F234" s="488" t="str">
        <f t="shared" si="47"/>
        <v/>
      </c>
      <c r="G234" s="487"/>
      <c r="H234" s="487"/>
      <c r="I234" s="488" t="str">
        <f t="shared" si="48"/>
        <v/>
      </c>
      <c r="J234" s="487"/>
      <c r="K234" s="487"/>
      <c r="L234" s="488" t="str">
        <f t="shared" si="49"/>
        <v/>
      </c>
      <c r="M234" s="487"/>
      <c r="N234" s="487"/>
      <c r="O234" s="488" t="str">
        <f t="shared" si="50"/>
        <v/>
      </c>
      <c r="P234" s="489"/>
      <c r="Q234" s="489"/>
      <c r="R234" s="592" t="str">
        <f t="shared" si="51"/>
        <v/>
      </c>
      <c r="S234" s="489"/>
      <c r="T234" s="487"/>
      <c r="U234" s="488" t="str">
        <f t="shared" si="52"/>
        <v/>
      </c>
      <c r="V234" s="489"/>
      <c r="W234" s="489"/>
      <c r="X234" s="488" t="str">
        <f t="shared" si="53"/>
        <v/>
      </c>
      <c r="Y234" s="489"/>
      <c r="Z234" s="489"/>
      <c r="AA234" s="490" t="str">
        <f t="shared" si="45"/>
        <v/>
      </c>
      <c r="AB234" s="489"/>
      <c r="AC234" s="489"/>
      <c r="AD234" s="27">
        <v>110690</v>
      </c>
      <c r="AE234" s="27" t="s">
        <v>1994</v>
      </c>
      <c r="AF234" s="432">
        <f>VLOOKUP(AD234,[5]Hoja1!$A$10:$K$1393,11,0)</f>
        <v>5359455174</v>
      </c>
      <c r="AG234" s="432">
        <v>0</v>
      </c>
      <c r="AH234" s="432">
        <f t="shared" si="46"/>
        <v>5359455</v>
      </c>
      <c r="AI234" s="467" t="s">
        <v>1449</v>
      </c>
      <c r="AJ234" s="467">
        <v>3304601</v>
      </c>
      <c r="AK234" s="445">
        <f>+AJ234-AH234-AH235</f>
        <v>-1960269</v>
      </c>
      <c r="AL234" s="448"/>
      <c r="AM234" s="467">
        <f>VLOOKUP(AD234,[6]BV201101!$A$10:$A$1236,1,0)</f>
        <v>110690</v>
      </c>
    </row>
    <row r="235" spans="1:39" s="467" customFormat="1" ht="12.75" customHeight="1">
      <c r="A235" s="487" t="str">
        <f t="shared" si="54"/>
        <v>1</v>
      </c>
      <c r="B235" s="487" t="str">
        <f t="shared" si="55"/>
        <v>10</v>
      </c>
      <c r="C235" s="487" t="str">
        <f t="shared" si="56"/>
        <v>69</v>
      </c>
      <c r="D235" s="487" t="str">
        <f t="shared" si="57"/>
        <v>0691</v>
      </c>
      <c r="E235" s="448">
        <v>511300000</v>
      </c>
      <c r="F235" s="488" t="str">
        <f t="shared" si="47"/>
        <v/>
      </c>
      <c r="G235" s="487"/>
      <c r="H235" s="487"/>
      <c r="I235" s="488" t="str">
        <f t="shared" si="48"/>
        <v/>
      </c>
      <c r="J235" s="487"/>
      <c r="K235" s="487"/>
      <c r="L235" s="488" t="str">
        <f t="shared" si="49"/>
        <v/>
      </c>
      <c r="M235" s="487"/>
      <c r="N235" s="487"/>
      <c r="O235" s="488" t="str">
        <f t="shared" si="50"/>
        <v/>
      </c>
      <c r="P235" s="489"/>
      <c r="Q235" s="489"/>
      <c r="R235" s="592" t="str">
        <f t="shared" si="51"/>
        <v/>
      </c>
      <c r="S235" s="489"/>
      <c r="T235" s="487"/>
      <c r="U235" s="488" t="str">
        <f t="shared" si="52"/>
        <v/>
      </c>
      <c r="V235" s="489"/>
      <c r="W235" s="489"/>
      <c r="X235" s="488" t="str">
        <f t="shared" si="53"/>
        <v/>
      </c>
      <c r="Y235" s="489"/>
      <c r="Z235" s="489"/>
      <c r="AA235" s="490" t="str">
        <f t="shared" si="45"/>
        <v/>
      </c>
      <c r="AB235" s="489"/>
      <c r="AC235" s="489"/>
      <c r="AD235" s="27">
        <v>110691</v>
      </c>
      <c r="AE235" s="27" t="s">
        <v>1995</v>
      </c>
      <c r="AF235" s="432">
        <f>VLOOKUP(AD235,[5]Hoja1!$A$10:$K$1393,11,0)</f>
        <v>-94584627</v>
      </c>
      <c r="AG235" s="432"/>
      <c r="AH235" s="432">
        <f t="shared" si="46"/>
        <v>-94585</v>
      </c>
      <c r="AI235" s="467" t="s">
        <v>1449</v>
      </c>
      <c r="AL235" s="448"/>
      <c r="AM235" s="467">
        <f>VLOOKUP(AD235,[6]BV201101!$A$10:$A$1236,1,0)</f>
        <v>110691</v>
      </c>
    </row>
    <row r="236" spans="1:39" s="467" customFormat="1" ht="12.75" customHeight="1">
      <c r="A236" s="487" t="str">
        <f t="shared" si="54"/>
        <v>1</v>
      </c>
      <c r="B236" s="487" t="str">
        <f t="shared" si="55"/>
        <v>10</v>
      </c>
      <c r="C236" s="487" t="str">
        <f t="shared" si="56"/>
        <v>69</v>
      </c>
      <c r="D236" s="487" t="str">
        <f t="shared" si="57"/>
        <v>0692</v>
      </c>
      <c r="E236" s="487">
        <v>511300000</v>
      </c>
      <c r="F236" s="488" t="str">
        <f t="shared" si="47"/>
        <v/>
      </c>
      <c r="G236" s="487"/>
      <c r="H236" s="487"/>
      <c r="I236" s="488" t="str">
        <f t="shared" si="48"/>
        <v/>
      </c>
      <c r="J236" s="487"/>
      <c r="K236" s="487"/>
      <c r="L236" s="488" t="str">
        <f t="shared" si="49"/>
        <v/>
      </c>
      <c r="M236" s="487"/>
      <c r="N236" s="487"/>
      <c r="O236" s="488" t="str">
        <f t="shared" si="50"/>
        <v/>
      </c>
      <c r="P236" s="489"/>
      <c r="Q236" s="489"/>
      <c r="R236" s="592" t="str">
        <f t="shared" si="51"/>
        <v/>
      </c>
      <c r="S236" s="487"/>
      <c r="T236" s="487"/>
      <c r="U236" s="488" t="str">
        <f t="shared" si="52"/>
        <v/>
      </c>
      <c r="V236" s="489"/>
      <c r="W236" s="489"/>
      <c r="X236" s="488" t="str">
        <f t="shared" si="53"/>
        <v/>
      </c>
      <c r="Y236" s="489"/>
      <c r="Z236" s="489"/>
      <c r="AA236" s="490" t="str">
        <f t="shared" si="45"/>
        <v/>
      </c>
      <c r="AB236" s="489"/>
      <c r="AC236" s="489"/>
      <c r="AD236" s="27">
        <v>110692</v>
      </c>
      <c r="AE236" s="27" t="s">
        <v>1996</v>
      </c>
      <c r="AF236" s="432">
        <v>0</v>
      </c>
      <c r="AG236" s="432"/>
      <c r="AH236" s="432">
        <f t="shared" si="46"/>
        <v>0</v>
      </c>
      <c r="AL236" s="448"/>
      <c r="AM236" s="467" t="e">
        <f>VLOOKUP(AD236,[6]BV201101!$A$10:$A$1236,1,0)</f>
        <v>#N/A</v>
      </c>
    </row>
    <row r="237" spans="1:39" s="467" customFormat="1" ht="12.75" customHeight="1">
      <c r="A237" s="487" t="str">
        <f t="shared" si="54"/>
        <v>1</v>
      </c>
      <c r="B237" s="487" t="str">
        <f t="shared" si="55"/>
        <v>10</v>
      </c>
      <c r="C237" s="487" t="str">
        <f t="shared" si="56"/>
        <v>69</v>
      </c>
      <c r="D237" s="487" t="str">
        <f t="shared" si="57"/>
        <v>0693</v>
      </c>
      <c r="E237" s="487">
        <v>511300000</v>
      </c>
      <c r="F237" s="488" t="str">
        <f t="shared" si="47"/>
        <v/>
      </c>
      <c r="G237" s="487"/>
      <c r="H237" s="487"/>
      <c r="I237" s="488" t="str">
        <f t="shared" si="48"/>
        <v/>
      </c>
      <c r="J237" s="487"/>
      <c r="K237" s="487"/>
      <c r="L237" s="488" t="str">
        <f t="shared" si="49"/>
        <v/>
      </c>
      <c r="M237" s="487"/>
      <c r="N237" s="487"/>
      <c r="O237" s="488" t="str">
        <f t="shared" si="50"/>
        <v/>
      </c>
      <c r="P237" s="489"/>
      <c r="Q237" s="489"/>
      <c r="R237" s="592" t="str">
        <f t="shared" si="51"/>
        <v/>
      </c>
      <c r="S237" s="487"/>
      <c r="T237" s="487"/>
      <c r="U237" s="488" t="str">
        <f t="shared" si="52"/>
        <v/>
      </c>
      <c r="V237" s="489"/>
      <c r="W237" s="489"/>
      <c r="X237" s="488" t="str">
        <f t="shared" si="53"/>
        <v/>
      </c>
      <c r="Y237" s="489"/>
      <c r="Z237" s="489"/>
      <c r="AA237" s="490" t="str">
        <f t="shared" si="45"/>
        <v/>
      </c>
      <c r="AB237" s="489"/>
      <c r="AC237" s="489"/>
      <c r="AD237" s="27">
        <v>110693</v>
      </c>
      <c r="AE237" s="27" t="s">
        <v>1997</v>
      </c>
      <c r="AF237" s="432">
        <v>0</v>
      </c>
      <c r="AG237" s="432"/>
      <c r="AH237" s="432">
        <f t="shared" si="46"/>
        <v>0</v>
      </c>
      <c r="AL237" s="448"/>
      <c r="AM237" s="467" t="e">
        <f>VLOOKUP(AD237,[6]BV201101!$A$10:$A$1236,1,0)</f>
        <v>#N/A</v>
      </c>
    </row>
    <row r="238" spans="1:39" s="467" customFormat="1" ht="12.75" customHeight="1">
      <c r="A238" s="487" t="str">
        <f t="shared" si="54"/>
        <v>1</v>
      </c>
      <c r="B238" s="487" t="str">
        <f t="shared" si="55"/>
        <v>10</v>
      </c>
      <c r="C238" s="487" t="str">
        <f t="shared" si="56"/>
        <v>69</v>
      </c>
      <c r="D238" s="487" t="str">
        <f t="shared" si="57"/>
        <v>0694</v>
      </c>
      <c r="E238" s="487">
        <v>511300000</v>
      </c>
      <c r="F238" s="488" t="str">
        <f t="shared" si="47"/>
        <v/>
      </c>
      <c r="G238" s="487"/>
      <c r="H238" s="487"/>
      <c r="I238" s="488" t="str">
        <f t="shared" si="48"/>
        <v/>
      </c>
      <c r="J238" s="487"/>
      <c r="K238" s="487"/>
      <c r="L238" s="488" t="str">
        <f t="shared" si="49"/>
        <v/>
      </c>
      <c r="M238" s="487"/>
      <c r="N238" s="487"/>
      <c r="O238" s="488" t="str">
        <f t="shared" si="50"/>
        <v/>
      </c>
      <c r="P238" s="489"/>
      <c r="Q238" s="489"/>
      <c r="R238" s="592" t="str">
        <f t="shared" si="51"/>
        <v/>
      </c>
      <c r="S238" s="487"/>
      <c r="T238" s="487"/>
      <c r="U238" s="488" t="str">
        <f t="shared" si="52"/>
        <v/>
      </c>
      <c r="V238" s="489"/>
      <c r="W238" s="489"/>
      <c r="X238" s="488" t="str">
        <f t="shared" si="53"/>
        <v/>
      </c>
      <c r="Y238" s="489"/>
      <c r="Z238" s="489"/>
      <c r="AA238" s="490" t="str">
        <f t="shared" si="45"/>
        <v/>
      </c>
      <c r="AB238" s="489"/>
      <c r="AC238" s="489"/>
      <c r="AD238" s="27">
        <v>110694</v>
      </c>
      <c r="AE238" s="27" t="s">
        <v>714</v>
      </c>
      <c r="AF238" s="432">
        <f>VLOOKUP(AD238,[5]Hoja1!$A$10:$K$1393,11,0)</f>
        <v>540048378</v>
      </c>
      <c r="AG238" s="432"/>
      <c r="AH238" s="432">
        <f t="shared" si="46"/>
        <v>540048</v>
      </c>
      <c r="AI238" s="445">
        <f>+AF238+AG238</f>
        <v>540048378</v>
      </c>
      <c r="AL238" s="448"/>
      <c r="AM238" s="467">
        <f>VLOOKUP(AD238,[6]BV201101!$A$10:$A$1236,1,0)</f>
        <v>110694</v>
      </c>
    </row>
    <row r="239" spans="1:39" s="467" customFormat="1" ht="12.75" customHeight="1">
      <c r="A239" s="487" t="str">
        <f t="shared" si="54"/>
        <v>1</v>
      </c>
      <c r="B239" s="487" t="str">
        <f t="shared" si="55"/>
        <v>10</v>
      </c>
      <c r="C239" s="487" t="str">
        <f t="shared" si="56"/>
        <v>69</v>
      </c>
      <c r="D239" s="487" t="str">
        <f t="shared" si="57"/>
        <v>0695</v>
      </c>
      <c r="E239" s="487">
        <v>511300000</v>
      </c>
      <c r="F239" s="488" t="str">
        <f t="shared" si="47"/>
        <v/>
      </c>
      <c r="G239" s="487"/>
      <c r="H239" s="487"/>
      <c r="I239" s="488" t="str">
        <f t="shared" si="48"/>
        <v/>
      </c>
      <c r="J239" s="487"/>
      <c r="K239" s="487"/>
      <c r="L239" s="488" t="str">
        <f t="shared" si="49"/>
        <v/>
      </c>
      <c r="M239" s="487"/>
      <c r="N239" s="487"/>
      <c r="O239" s="488" t="str">
        <f t="shared" si="50"/>
        <v/>
      </c>
      <c r="P239" s="489"/>
      <c r="Q239" s="489"/>
      <c r="R239" s="592" t="str">
        <f t="shared" si="51"/>
        <v/>
      </c>
      <c r="S239" s="487"/>
      <c r="T239" s="487"/>
      <c r="U239" s="488" t="str">
        <f t="shared" si="52"/>
        <v/>
      </c>
      <c r="V239" s="489"/>
      <c r="W239" s="489"/>
      <c r="X239" s="488" t="str">
        <f t="shared" si="53"/>
        <v/>
      </c>
      <c r="Y239" s="489"/>
      <c r="Z239" s="489"/>
      <c r="AA239" s="490" t="str">
        <f t="shared" si="45"/>
        <v/>
      </c>
      <c r="AB239" s="489"/>
      <c r="AC239" s="489"/>
      <c r="AD239" s="27">
        <v>110695</v>
      </c>
      <c r="AE239" s="27" t="s">
        <v>715</v>
      </c>
      <c r="AF239" s="432">
        <v>0</v>
      </c>
      <c r="AG239" s="432"/>
      <c r="AH239" s="432">
        <f t="shared" si="46"/>
        <v>0</v>
      </c>
      <c r="AL239" s="448"/>
      <c r="AM239" s="467" t="e">
        <f>VLOOKUP(AD239,[6]BV201101!$A$10:$A$1236,1,0)</f>
        <v>#N/A</v>
      </c>
    </row>
    <row r="240" spans="1:39" s="467" customFormat="1" ht="12.75" customHeight="1">
      <c r="A240" s="487" t="str">
        <f t="shared" si="54"/>
        <v>1</v>
      </c>
      <c r="B240" s="487" t="str">
        <f t="shared" si="55"/>
        <v>10</v>
      </c>
      <c r="C240" s="487" t="str">
        <f t="shared" si="56"/>
        <v>69</v>
      </c>
      <c r="D240" s="487" t="str">
        <f t="shared" si="57"/>
        <v>0696</v>
      </c>
      <c r="E240" s="487">
        <v>511300000</v>
      </c>
      <c r="F240" s="488" t="str">
        <f t="shared" si="47"/>
        <v/>
      </c>
      <c r="G240" s="487"/>
      <c r="H240" s="487"/>
      <c r="I240" s="488" t="str">
        <f t="shared" si="48"/>
        <v/>
      </c>
      <c r="J240" s="487"/>
      <c r="K240" s="487"/>
      <c r="L240" s="488" t="str">
        <f t="shared" si="49"/>
        <v/>
      </c>
      <c r="M240" s="487"/>
      <c r="N240" s="487"/>
      <c r="O240" s="488" t="str">
        <f t="shared" si="50"/>
        <v/>
      </c>
      <c r="P240" s="489"/>
      <c r="Q240" s="489"/>
      <c r="R240" s="592" t="str">
        <f t="shared" si="51"/>
        <v/>
      </c>
      <c r="S240" s="487"/>
      <c r="T240" s="487"/>
      <c r="U240" s="488" t="str">
        <f t="shared" si="52"/>
        <v/>
      </c>
      <c r="V240" s="489"/>
      <c r="W240" s="489"/>
      <c r="X240" s="488" t="str">
        <f t="shared" si="53"/>
        <v/>
      </c>
      <c r="Y240" s="489"/>
      <c r="Z240" s="489"/>
      <c r="AA240" s="490" t="str">
        <f t="shared" si="45"/>
        <v/>
      </c>
      <c r="AB240" s="489"/>
      <c r="AC240" s="489"/>
      <c r="AD240" s="27">
        <v>110696</v>
      </c>
      <c r="AE240" s="27" t="s">
        <v>1998</v>
      </c>
      <c r="AF240" s="432">
        <v>0</v>
      </c>
      <c r="AG240" s="432"/>
      <c r="AH240" s="432">
        <f t="shared" si="46"/>
        <v>0</v>
      </c>
      <c r="AL240" s="448"/>
      <c r="AM240" s="467" t="e">
        <f>VLOOKUP(AD240,[6]BV201101!$A$10:$A$1236,1,0)</f>
        <v>#N/A</v>
      </c>
    </row>
    <row r="241" spans="1:39" s="467" customFormat="1" ht="12.75" customHeight="1">
      <c r="A241" s="487" t="str">
        <f t="shared" si="54"/>
        <v>1</v>
      </c>
      <c r="B241" s="487" t="str">
        <f t="shared" si="55"/>
        <v>10</v>
      </c>
      <c r="C241" s="487" t="str">
        <f t="shared" si="56"/>
        <v>69</v>
      </c>
      <c r="D241" s="487" t="str">
        <f t="shared" si="57"/>
        <v>0697</v>
      </c>
      <c r="E241" s="487">
        <v>511300000</v>
      </c>
      <c r="F241" s="488" t="str">
        <f t="shared" si="47"/>
        <v/>
      </c>
      <c r="G241" s="487"/>
      <c r="H241" s="487"/>
      <c r="I241" s="488" t="str">
        <f t="shared" si="48"/>
        <v/>
      </c>
      <c r="J241" s="487"/>
      <c r="K241" s="487"/>
      <c r="L241" s="488" t="str">
        <f t="shared" si="49"/>
        <v/>
      </c>
      <c r="M241" s="487"/>
      <c r="N241" s="487"/>
      <c r="O241" s="488" t="str">
        <f t="shared" si="50"/>
        <v/>
      </c>
      <c r="P241" s="489"/>
      <c r="Q241" s="489"/>
      <c r="R241" s="592" t="str">
        <f t="shared" si="51"/>
        <v/>
      </c>
      <c r="S241" s="487"/>
      <c r="T241" s="487"/>
      <c r="U241" s="488" t="str">
        <f t="shared" si="52"/>
        <v/>
      </c>
      <c r="V241" s="489"/>
      <c r="W241" s="489"/>
      <c r="X241" s="488" t="str">
        <f t="shared" si="53"/>
        <v/>
      </c>
      <c r="Y241" s="489"/>
      <c r="Z241" s="489"/>
      <c r="AA241" s="490" t="str">
        <f t="shared" si="45"/>
        <v/>
      </c>
      <c r="AB241" s="489"/>
      <c r="AC241" s="489"/>
      <c r="AD241" s="27">
        <v>110697</v>
      </c>
      <c r="AE241" s="27" t="s">
        <v>1999</v>
      </c>
      <c r="AF241" s="432">
        <v>0</v>
      </c>
      <c r="AG241" s="432"/>
      <c r="AH241" s="432">
        <f t="shared" si="46"/>
        <v>0</v>
      </c>
      <c r="AK241" s="445"/>
      <c r="AL241" s="448"/>
      <c r="AM241" s="467" t="e">
        <f>VLOOKUP(AD241,[6]BV201101!$A$10:$A$1236,1,0)</f>
        <v>#N/A</v>
      </c>
    </row>
    <row r="242" spans="1:39" s="467" customFormat="1" ht="12.75" customHeight="1">
      <c r="A242" s="487" t="str">
        <f t="shared" si="54"/>
        <v>1</v>
      </c>
      <c r="B242" s="487" t="str">
        <f t="shared" si="55"/>
        <v>10</v>
      </c>
      <c r="C242" s="487" t="str">
        <f t="shared" si="56"/>
        <v>69</v>
      </c>
      <c r="D242" s="487" t="str">
        <f t="shared" si="57"/>
        <v>0698</v>
      </c>
      <c r="E242" s="487">
        <v>511300000</v>
      </c>
      <c r="F242" s="488" t="str">
        <f t="shared" si="47"/>
        <v/>
      </c>
      <c r="G242" s="487"/>
      <c r="H242" s="487"/>
      <c r="I242" s="488" t="str">
        <f t="shared" si="48"/>
        <v/>
      </c>
      <c r="J242" s="487"/>
      <c r="K242" s="487"/>
      <c r="L242" s="488" t="str">
        <f t="shared" si="49"/>
        <v/>
      </c>
      <c r="M242" s="487"/>
      <c r="N242" s="487"/>
      <c r="O242" s="488" t="str">
        <f t="shared" si="50"/>
        <v/>
      </c>
      <c r="P242" s="489"/>
      <c r="Q242" s="489"/>
      <c r="R242" s="592" t="str">
        <f t="shared" si="51"/>
        <v/>
      </c>
      <c r="S242" s="487"/>
      <c r="T242" s="487"/>
      <c r="U242" s="488" t="str">
        <f t="shared" si="52"/>
        <v/>
      </c>
      <c r="V242" s="489"/>
      <c r="W242" s="489"/>
      <c r="X242" s="488" t="str">
        <f t="shared" si="53"/>
        <v/>
      </c>
      <c r="Y242" s="489"/>
      <c r="Z242" s="489"/>
      <c r="AA242" s="490" t="str">
        <f t="shared" si="45"/>
        <v/>
      </c>
      <c r="AB242" s="489"/>
      <c r="AC242" s="489"/>
      <c r="AD242" s="27">
        <v>110698</v>
      </c>
      <c r="AE242" s="27" t="s">
        <v>2000</v>
      </c>
      <c r="AF242" s="432">
        <v>0</v>
      </c>
      <c r="AG242" s="432"/>
      <c r="AH242" s="432">
        <f t="shared" si="46"/>
        <v>0</v>
      </c>
      <c r="AJ242" s="445"/>
      <c r="AL242" s="448"/>
      <c r="AM242" s="467" t="e">
        <f>VLOOKUP(AD242,[6]BV201101!$A$10:$A$1236,1,0)</f>
        <v>#N/A</v>
      </c>
    </row>
    <row r="243" spans="1:39" s="467" customFormat="1" ht="12.75" customHeight="1">
      <c r="A243" s="487" t="str">
        <f t="shared" si="54"/>
        <v>1</v>
      </c>
      <c r="B243" s="487" t="str">
        <f t="shared" si="55"/>
        <v>10</v>
      </c>
      <c r="C243" s="487" t="str">
        <f t="shared" si="56"/>
        <v>69</v>
      </c>
      <c r="D243" s="487" t="str">
        <f t="shared" si="57"/>
        <v>0699</v>
      </c>
      <c r="E243" s="448">
        <v>511122200</v>
      </c>
      <c r="F243" s="488" t="str">
        <f t="shared" si="47"/>
        <v/>
      </c>
      <c r="G243" s="487"/>
      <c r="H243" s="487"/>
      <c r="I243" s="488" t="str">
        <f t="shared" si="48"/>
        <v/>
      </c>
      <c r="J243" s="487"/>
      <c r="K243" s="487"/>
      <c r="L243" s="488" t="str">
        <f t="shared" si="49"/>
        <v/>
      </c>
      <c r="M243" s="487"/>
      <c r="N243" s="487"/>
      <c r="O243" s="488" t="str">
        <f t="shared" si="50"/>
        <v/>
      </c>
      <c r="P243" s="489"/>
      <c r="Q243" s="489"/>
      <c r="R243" s="592" t="str">
        <f t="shared" si="51"/>
        <v/>
      </c>
      <c r="S243" s="487"/>
      <c r="T243" s="487"/>
      <c r="U243" s="488" t="str">
        <f t="shared" si="52"/>
        <v/>
      </c>
      <c r="V243" s="489"/>
      <c r="W243" s="489"/>
      <c r="X243" s="488" t="str">
        <f t="shared" si="53"/>
        <v/>
      </c>
      <c r="Y243" s="489"/>
      <c r="Z243" s="489"/>
      <c r="AA243" s="490" t="str">
        <f t="shared" si="45"/>
        <v/>
      </c>
      <c r="AB243" s="489"/>
      <c r="AC243" s="489"/>
      <c r="AD243" s="27">
        <v>110699</v>
      </c>
      <c r="AE243" s="1021" t="s">
        <v>2977</v>
      </c>
      <c r="AF243" s="432">
        <f>VLOOKUP(AD243,[5]Hoja1!$A$10:$K$1393,11,0)</f>
        <v>1482830000</v>
      </c>
      <c r="AG243" s="432"/>
      <c r="AH243" s="432">
        <f t="shared" si="46"/>
        <v>1482830</v>
      </c>
      <c r="AL243" s="448"/>
      <c r="AM243" s="467" t="e">
        <f>VLOOKUP(AD243,[6]BV201101!$A$10:$A$1236,1,0)</f>
        <v>#N/A</v>
      </c>
    </row>
    <row r="244" spans="1:39" s="467" customFormat="1" ht="12.75" customHeight="1">
      <c r="A244" s="487" t="str">
        <f t="shared" si="54"/>
        <v>1</v>
      </c>
      <c r="B244" s="487" t="str">
        <f t="shared" si="55"/>
        <v>10</v>
      </c>
      <c r="C244" s="487" t="str">
        <f t="shared" si="56"/>
        <v>70</v>
      </c>
      <c r="D244" s="487" t="str">
        <f t="shared" si="57"/>
        <v>0700</v>
      </c>
      <c r="E244" s="487">
        <v>514340000</v>
      </c>
      <c r="F244" s="488" t="str">
        <f t="shared" si="47"/>
        <v/>
      </c>
      <c r="G244" s="487"/>
      <c r="H244" s="487"/>
      <c r="I244" s="488" t="str">
        <f t="shared" si="48"/>
        <v/>
      </c>
      <c r="J244" s="487"/>
      <c r="K244" s="487"/>
      <c r="L244" s="488" t="str">
        <f t="shared" si="49"/>
        <v/>
      </c>
      <c r="M244" s="487"/>
      <c r="N244" s="487"/>
      <c r="O244" s="488" t="str">
        <f t="shared" si="50"/>
        <v/>
      </c>
      <c r="P244" s="489"/>
      <c r="Q244" s="489"/>
      <c r="R244" s="592" t="str">
        <f t="shared" si="51"/>
        <v/>
      </c>
      <c r="S244" s="487"/>
      <c r="T244" s="487"/>
      <c r="U244" s="488" t="str">
        <f t="shared" si="52"/>
        <v/>
      </c>
      <c r="V244" s="489"/>
      <c r="W244" s="489"/>
      <c r="X244" s="488" t="str">
        <f t="shared" si="53"/>
        <v/>
      </c>
      <c r="Y244" s="489"/>
      <c r="Z244" s="489"/>
      <c r="AA244" s="490" t="str">
        <f t="shared" si="45"/>
        <v>229</v>
      </c>
      <c r="AB244" s="489">
        <v>22</v>
      </c>
      <c r="AC244" s="489">
        <v>9</v>
      </c>
      <c r="AD244" s="27">
        <v>110700</v>
      </c>
      <c r="AE244" s="27" t="s">
        <v>2001</v>
      </c>
      <c r="AF244" s="432">
        <v>0</v>
      </c>
      <c r="AG244" s="432"/>
      <c r="AH244" s="432">
        <f t="shared" si="46"/>
        <v>0</v>
      </c>
      <c r="AL244" s="448"/>
      <c r="AM244" s="467" t="e">
        <f>VLOOKUP(AD244,[6]BV201101!$A$10:$A$1236,1,0)</f>
        <v>#N/A</v>
      </c>
    </row>
    <row r="245" spans="1:39" s="467" customFormat="1" ht="12.75" customHeight="1">
      <c r="A245" s="487" t="str">
        <f t="shared" si="54"/>
        <v>1</v>
      </c>
      <c r="B245" s="487" t="str">
        <f t="shared" si="55"/>
        <v>10</v>
      </c>
      <c r="C245" s="487" t="str">
        <f t="shared" si="56"/>
        <v>70</v>
      </c>
      <c r="D245" s="487" t="str">
        <f t="shared" si="57"/>
        <v>0701</v>
      </c>
      <c r="E245" s="487"/>
      <c r="F245" s="488" t="str">
        <f t="shared" si="47"/>
        <v/>
      </c>
      <c r="G245" s="487"/>
      <c r="H245" s="487"/>
      <c r="I245" s="488" t="str">
        <f t="shared" si="48"/>
        <v/>
      </c>
      <c r="J245" s="487"/>
      <c r="K245" s="487"/>
      <c r="L245" s="488" t="str">
        <f t="shared" si="49"/>
        <v/>
      </c>
      <c r="M245" s="487"/>
      <c r="N245" s="487"/>
      <c r="O245" s="488" t="str">
        <f t="shared" si="50"/>
        <v/>
      </c>
      <c r="P245" s="489"/>
      <c r="Q245" s="489"/>
      <c r="R245" s="592" t="str">
        <f t="shared" si="51"/>
        <v/>
      </c>
      <c r="S245" s="487"/>
      <c r="T245" s="487"/>
      <c r="U245" s="488" t="str">
        <f t="shared" si="52"/>
        <v/>
      </c>
      <c r="V245" s="489"/>
      <c r="W245" s="489"/>
      <c r="X245" s="488" t="str">
        <f t="shared" si="53"/>
        <v/>
      </c>
      <c r="Y245" s="489"/>
      <c r="Z245" s="489"/>
      <c r="AA245" s="490" t="str">
        <f t="shared" si="45"/>
        <v/>
      </c>
      <c r="AB245" s="489"/>
      <c r="AC245" s="489"/>
      <c r="AD245" s="27">
        <v>110701</v>
      </c>
      <c r="AE245" s="27" t="s">
        <v>829</v>
      </c>
      <c r="AF245" s="432">
        <v>0</v>
      </c>
      <c r="AG245" s="432"/>
      <c r="AH245" s="432">
        <f t="shared" si="46"/>
        <v>0</v>
      </c>
      <c r="AL245" s="448"/>
      <c r="AM245" s="467" t="e">
        <f>VLOOKUP(AD245,[6]BV201101!$A$10:$A$1236,1,0)</f>
        <v>#N/A</v>
      </c>
    </row>
    <row r="246" spans="1:39" s="467" customFormat="1" ht="12.75" customHeight="1">
      <c r="A246" s="487" t="str">
        <f t="shared" si="54"/>
        <v>1</v>
      </c>
      <c r="B246" s="487" t="str">
        <f t="shared" si="55"/>
        <v>10</v>
      </c>
      <c r="C246" s="487" t="str">
        <f t="shared" si="56"/>
        <v>70</v>
      </c>
      <c r="D246" s="487" t="str">
        <f t="shared" si="57"/>
        <v>0702</v>
      </c>
      <c r="E246" s="487"/>
      <c r="F246" s="488" t="str">
        <f t="shared" si="47"/>
        <v/>
      </c>
      <c r="G246" s="487"/>
      <c r="H246" s="487"/>
      <c r="I246" s="488" t="str">
        <f t="shared" si="48"/>
        <v/>
      </c>
      <c r="J246" s="487"/>
      <c r="K246" s="487"/>
      <c r="L246" s="488" t="str">
        <f t="shared" si="49"/>
        <v/>
      </c>
      <c r="M246" s="487"/>
      <c r="N246" s="487"/>
      <c r="O246" s="488" t="str">
        <f t="shared" si="50"/>
        <v/>
      </c>
      <c r="P246" s="489"/>
      <c r="Q246" s="489"/>
      <c r="R246" s="592" t="str">
        <f t="shared" si="51"/>
        <v/>
      </c>
      <c r="S246" s="487"/>
      <c r="T246" s="487"/>
      <c r="U246" s="488" t="str">
        <f t="shared" si="52"/>
        <v/>
      </c>
      <c r="V246" s="489"/>
      <c r="W246" s="489"/>
      <c r="X246" s="488" t="str">
        <f t="shared" si="53"/>
        <v/>
      </c>
      <c r="Y246" s="489"/>
      <c r="Z246" s="489"/>
      <c r="AA246" s="490" t="str">
        <f t="shared" si="45"/>
        <v/>
      </c>
      <c r="AB246" s="489"/>
      <c r="AC246" s="489"/>
      <c r="AD246" s="27">
        <v>110702</v>
      </c>
      <c r="AE246" s="27" t="s">
        <v>830</v>
      </c>
      <c r="AF246" s="432">
        <v>0</v>
      </c>
      <c r="AG246" s="432"/>
      <c r="AH246" s="432">
        <f t="shared" si="46"/>
        <v>0</v>
      </c>
      <c r="AL246" s="448"/>
      <c r="AM246" s="467" t="e">
        <f>VLOOKUP(AD246,[6]BV201101!$A$10:$A$1236,1,0)</f>
        <v>#N/A</v>
      </c>
    </row>
    <row r="247" spans="1:39" s="467" customFormat="1" ht="12.75" customHeight="1">
      <c r="A247" s="487" t="str">
        <f t="shared" si="54"/>
        <v>1</v>
      </c>
      <c r="B247" s="487" t="str">
        <f t="shared" si="55"/>
        <v>10</v>
      </c>
      <c r="C247" s="487" t="str">
        <f t="shared" si="56"/>
        <v>70</v>
      </c>
      <c r="D247" s="487" t="str">
        <f t="shared" si="57"/>
        <v>0703</v>
      </c>
      <c r="E247" s="487"/>
      <c r="F247" s="488" t="str">
        <f t="shared" si="47"/>
        <v/>
      </c>
      <c r="G247" s="487"/>
      <c r="H247" s="487"/>
      <c r="I247" s="488" t="str">
        <f t="shared" si="48"/>
        <v/>
      </c>
      <c r="J247" s="487"/>
      <c r="K247" s="487"/>
      <c r="L247" s="488" t="str">
        <f t="shared" si="49"/>
        <v/>
      </c>
      <c r="M247" s="487"/>
      <c r="N247" s="487"/>
      <c r="O247" s="488" t="str">
        <f t="shared" si="50"/>
        <v/>
      </c>
      <c r="P247" s="489"/>
      <c r="Q247" s="489"/>
      <c r="R247" s="592" t="str">
        <f t="shared" si="51"/>
        <v/>
      </c>
      <c r="S247" s="487"/>
      <c r="T247" s="487"/>
      <c r="U247" s="488" t="str">
        <f t="shared" si="52"/>
        <v/>
      </c>
      <c r="V247" s="489"/>
      <c r="W247" s="489"/>
      <c r="X247" s="488" t="str">
        <f t="shared" si="53"/>
        <v/>
      </c>
      <c r="Y247" s="489"/>
      <c r="Z247" s="489"/>
      <c r="AA247" s="490" t="str">
        <f t="shared" si="45"/>
        <v/>
      </c>
      <c r="AB247" s="489"/>
      <c r="AC247" s="489"/>
      <c r="AD247" s="27">
        <v>110703</v>
      </c>
      <c r="AE247" s="27" t="s">
        <v>1777</v>
      </c>
      <c r="AF247" s="432">
        <v>0</v>
      </c>
      <c r="AG247" s="432"/>
      <c r="AH247" s="432">
        <f t="shared" si="46"/>
        <v>0</v>
      </c>
      <c r="AL247" s="448"/>
      <c r="AM247" s="467" t="e">
        <f>VLOOKUP(AD247,[6]BV201101!$A$10:$A$1236,1,0)</f>
        <v>#N/A</v>
      </c>
    </row>
    <row r="248" spans="1:39" s="467" customFormat="1" ht="12.75" customHeight="1">
      <c r="A248" s="487" t="str">
        <f t="shared" si="54"/>
        <v>1</v>
      </c>
      <c r="B248" s="487" t="str">
        <f t="shared" si="55"/>
        <v>10</v>
      </c>
      <c r="C248" s="487" t="str">
        <f t="shared" si="56"/>
        <v>70</v>
      </c>
      <c r="D248" s="487" t="str">
        <f t="shared" si="57"/>
        <v>0704</v>
      </c>
      <c r="E248" s="487"/>
      <c r="F248" s="488" t="str">
        <f t="shared" si="47"/>
        <v/>
      </c>
      <c r="G248" s="487"/>
      <c r="H248" s="487"/>
      <c r="I248" s="488" t="str">
        <f t="shared" si="48"/>
        <v/>
      </c>
      <c r="J248" s="487"/>
      <c r="K248" s="487"/>
      <c r="L248" s="488" t="str">
        <f t="shared" si="49"/>
        <v/>
      </c>
      <c r="M248" s="487"/>
      <c r="N248" s="487"/>
      <c r="O248" s="488" t="str">
        <f t="shared" si="50"/>
        <v/>
      </c>
      <c r="P248" s="489"/>
      <c r="Q248" s="489"/>
      <c r="R248" s="592" t="str">
        <f t="shared" si="51"/>
        <v/>
      </c>
      <c r="S248" s="487"/>
      <c r="T248" s="487"/>
      <c r="U248" s="488" t="str">
        <f t="shared" si="52"/>
        <v/>
      </c>
      <c r="V248" s="489"/>
      <c r="W248" s="489"/>
      <c r="X248" s="488" t="str">
        <f t="shared" si="53"/>
        <v/>
      </c>
      <c r="Y248" s="489"/>
      <c r="Z248" s="489"/>
      <c r="AA248" s="490" t="str">
        <f t="shared" si="45"/>
        <v/>
      </c>
      <c r="AB248" s="489"/>
      <c r="AC248" s="489"/>
      <c r="AD248" s="27">
        <v>110704</v>
      </c>
      <c r="AE248" s="27" t="s">
        <v>1778</v>
      </c>
      <c r="AF248" s="432">
        <v>0</v>
      </c>
      <c r="AG248" s="432"/>
      <c r="AH248" s="432">
        <f t="shared" si="46"/>
        <v>0</v>
      </c>
      <c r="AL248" s="448"/>
      <c r="AM248" s="467" t="e">
        <f>VLOOKUP(AD248,[6]BV201101!$A$10:$A$1236,1,0)</f>
        <v>#N/A</v>
      </c>
    </row>
    <row r="249" spans="1:39" s="467" customFormat="1" ht="12.75" customHeight="1">
      <c r="A249" s="487" t="str">
        <f t="shared" si="54"/>
        <v>1</v>
      </c>
      <c r="B249" s="487" t="str">
        <f t="shared" si="55"/>
        <v>10</v>
      </c>
      <c r="C249" s="487" t="str">
        <f t="shared" si="56"/>
        <v>70</v>
      </c>
      <c r="D249" s="487" t="str">
        <f t="shared" si="57"/>
        <v>0705</v>
      </c>
      <c r="E249" s="487"/>
      <c r="F249" s="488" t="str">
        <f t="shared" si="47"/>
        <v/>
      </c>
      <c r="G249" s="487"/>
      <c r="H249" s="487"/>
      <c r="I249" s="488" t="str">
        <f t="shared" si="48"/>
        <v/>
      </c>
      <c r="J249" s="487"/>
      <c r="K249" s="487"/>
      <c r="L249" s="488" t="str">
        <f t="shared" si="49"/>
        <v/>
      </c>
      <c r="M249" s="487"/>
      <c r="N249" s="487"/>
      <c r="O249" s="488" t="str">
        <f t="shared" si="50"/>
        <v/>
      </c>
      <c r="P249" s="489"/>
      <c r="Q249" s="489"/>
      <c r="R249" s="592" t="str">
        <f t="shared" si="51"/>
        <v/>
      </c>
      <c r="S249" s="487"/>
      <c r="T249" s="487"/>
      <c r="U249" s="488" t="str">
        <f t="shared" si="52"/>
        <v/>
      </c>
      <c r="V249" s="489"/>
      <c r="W249" s="489"/>
      <c r="X249" s="488" t="str">
        <f t="shared" si="53"/>
        <v/>
      </c>
      <c r="Y249" s="489"/>
      <c r="Z249" s="489"/>
      <c r="AA249" s="490" t="str">
        <f t="shared" si="45"/>
        <v/>
      </c>
      <c r="AB249" s="489"/>
      <c r="AC249" s="489"/>
      <c r="AD249" s="27">
        <v>110705</v>
      </c>
      <c r="AE249" s="27" t="s">
        <v>1779</v>
      </c>
      <c r="AF249" s="432">
        <v>0</v>
      </c>
      <c r="AG249" s="432"/>
      <c r="AH249" s="432">
        <f t="shared" si="46"/>
        <v>0</v>
      </c>
      <c r="AL249" s="448"/>
      <c r="AM249" s="467" t="e">
        <f>VLOOKUP(AD249,[6]BV201101!$A$10:$A$1236,1,0)</f>
        <v>#N/A</v>
      </c>
    </row>
    <row r="250" spans="1:39" s="467" customFormat="1" ht="12.75" customHeight="1">
      <c r="A250" s="487" t="str">
        <f t="shared" si="54"/>
        <v>1</v>
      </c>
      <c r="B250" s="487" t="str">
        <f t="shared" si="55"/>
        <v>10</v>
      </c>
      <c r="C250" s="487" t="str">
        <f t="shared" si="56"/>
        <v>70</v>
      </c>
      <c r="D250" s="487" t="str">
        <f t="shared" si="57"/>
        <v>0706</v>
      </c>
      <c r="E250" s="487"/>
      <c r="F250" s="488" t="str">
        <f t="shared" si="47"/>
        <v/>
      </c>
      <c r="G250" s="487"/>
      <c r="H250" s="487"/>
      <c r="I250" s="488" t="str">
        <f t="shared" si="48"/>
        <v/>
      </c>
      <c r="J250" s="487"/>
      <c r="K250" s="487"/>
      <c r="L250" s="488" t="str">
        <f t="shared" si="49"/>
        <v/>
      </c>
      <c r="M250" s="487"/>
      <c r="N250" s="487"/>
      <c r="O250" s="488" t="str">
        <f t="shared" si="50"/>
        <v/>
      </c>
      <c r="P250" s="489"/>
      <c r="Q250" s="489"/>
      <c r="R250" s="592" t="str">
        <f t="shared" si="51"/>
        <v/>
      </c>
      <c r="S250" s="487"/>
      <c r="T250" s="487"/>
      <c r="U250" s="488" t="str">
        <f t="shared" si="52"/>
        <v/>
      </c>
      <c r="V250" s="489"/>
      <c r="W250" s="489"/>
      <c r="X250" s="488" t="str">
        <f t="shared" si="53"/>
        <v/>
      </c>
      <c r="Y250" s="489"/>
      <c r="Z250" s="489"/>
      <c r="AA250" s="490" t="str">
        <f t="shared" si="45"/>
        <v/>
      </c>
      <c r="AB250" s="489"/>
      <c r="AC250" s="489"/>
      <c r="AD250" s="27">
        <v>110706</v>
      </c>
      <c r="AE250" s="27" t="s">
        <v>1780</v>
      </c>
      <c r="AF250" s="432">
        <v>0</v>
      </c>
      <c r="AG250" s="432"/>
      <c r="AH250" s="432">
        <f t="shared" si="46"/>
        <v>0</v>
      </c>
      <c r="AL250" s="448"/>
      <c r="AM250" s="467" t="e">
        <f>VLOOKUP(AD250,[6]BV201101!$A$10:$A$1236,1,0)</f>
        <v>#N/A</v>
      </c>
    </row>
    <row r="251" spans="1:39" s="467" customFormat="1" ht="12.75" customHeight="1">
      <c r="A251" s="487" t="str">
        <f t="shared" si="54"/>
        <v>1</v>
      </c>
      <c r="B251" s="487" t="str">
        <f t="shared" si="55"/>
        <v>10</v>
      </c>
      <c r="C251" s="487" t="str">
        <f t="shared" si="56"/>
        <v>70</v>
      </c>
      <c r="D251" s="487" t="str">
        <f t="shared" si="57"/>
        <v>0707</v>
      </c>
      <c r="E251" s="487"/>
      <c r="F251" s="488" t="str">
        <f t="shared" si="47"/>
        <v/>
      </c>
      <c r="G251" s="487"/>
      <c r="H251" s="487"/>
      <c r="I251" s="488" t="str">
        <f t="shared" si="48"/>
        <v/>
      </c>
      <c r="J251" s="487"/>
      <c r="K251" s="487"/>
      <c r="L251" s="488" t="str">
        <f t="shared" si="49"/>
        <v/>
      </c>
      <c r="M251" s="487"/>
      <c r="N251" s="487"/>
      <c r="O251" s="488" t="str">
        <f t="shared" si="50"/>
        <v/>
      </c>
      <c r="P251" s="489"/>
      <c r="Q251" s="489"/>
      <c r="R251" s="592" t="str">
        <f t="shared" si="51"/>
        <v/>
      </c>
      <c r="S251" s="487"/>
      <c r="T251" s="487"/>
      <c r="U251" s="488" t="str">
        <f t="shared" si="52"/>
        <v/>
      </c>
      <c r="V251" s="489"/>
      <c r="W251" s="489"/>
      <c r="X251" s="488" t="str">
        <f t="shared" si="53"/>
        <v/>
      </c>
      <c r="Y251" s="489"/>
      <c r="Z251" s="489"/>
      <c r="AA251" s="490" t="str">
        <f t="shared" si="45"/>
        <v/>
      </c>
      <c r="AB251" s="489"/>
      <c r="AC251" s="489"/>
      <c r="AD251" s="27">
        <v>110707</v>
      </c>
      <c r="AE251" s="27" t="s">
        <v>2002</v>
      </c>
      <c r="AF251" s="432">
        <v>0</v>
      </c>
      <c r="AG251" s="432"/>
      <c r="AH251" s="432">
        <f t="shared" si="46"/>
        <v>0</v>
      </c>
      <c r="AL251" s="448"/>
      <c r="AM251" s="467" t="e">
        <f>VLOOKUP(AD251,[6]BV201101!$A$10:$A$1236,1,0)</f>
        <v>#N/A</v>
      </c>
    </row>
    <row r="252" spans="1:39" s="467" customFormat="1" ht="12.75" customHeight="1">
      <c r="A252" s="487" t="str">
        <f t="shared" si="54"/>
        <v>1</v>
      </c>
      <c r="B252" s="487" t="str">
        <f t="shared" si="55"/>
        <v>10</v>
      </c>
      <c r="C252" s="487" t="str">
        <f t="shared" si="56"/>
        <v>70</v>
      </c>
      <c r="D252" s="487" t="str">
        <f t="shared" si="57"/>
        <v>0708</v>
      </c>
      <c r="E252" s="487"/>
      <c r="F252" s="488" t="str">
        <f t="shared" si="47"/>
        <v/>
      </c>
      <c r="G252" s="487"/>
      <c r="H252" s="487"/>
      <c r="I252" s="488" t="str">
        <f t="shared" si="48"/>
        <v/>
      </c>
      <c r="J252" s="487"/>
      <c r="K252" s="487"/>
      <c r="L252" s="488" t="str">
        <f t="shared" si="49"/>
        <v/>
      </c>
      <c r="M252" s="487"/>
      <c r="N252" s="487"/>
      <c r="O252" s="488" t="str">
        <f t="shared" si="50"/>
        <v/>
      </c>
      <c r="P252" s="489"/>
      <c r="Q252" s="489"/>
      <c r="R252" s="592" t="str">
        <f t="shared" si="51"/>
        <v/>
      </c>
      <c r="S252" s="487"/>
      <c r="T252" s="487"/>
      <c r="U252" s="488" t="str">
        <f t="shared" si="52"/>
        <v/>
      </c>
      <c r="V252" s="489"/>
      <c r="W252" s="489"/>
      <c r="X252" s="488" t="str">
        <f t="shared" si="53"/>
        <v/>
      </c>
      <c r="Y252" s="489"/>
      <c r="Z252" s="489"/>
      <c r="AA252" s="490" t="str">
        <f t="shared" si="45"/>
        <v/>
      </c>
      <c r="AB252" s="489"/>
      <c r="AC252" s="489"/>
      <c r="AD252" s="27">
        <v>110708</v>
      </c>
      <c r="AE252" s="27" t="s">
        <v>1718</v>
      </c>
      <c r="AF252" s="432">
        <v>0</v>
      </c>
      <c r="AG252" s="432"/>
      <c r="AH252" s="432">
        <f t="shared" si="46"/>
        <v>0</v>
      </c>
      <c r="AJ252" s="491"/>
      <c r="AL252" s="448"/>
      <c r="AM252" s="467" t="e">
        <f>VLOOKUP(AD252,[6]BV201101!$A$10:$A$1236,1,0)</f>
        <v>#N/A</v>
      </c>
    </row>
    <row r="253" spans="1:39" s="467" customFormat="1" ht="12.75" customHeight="1">
      <c r="A253" s="487" t="str">
        <f t="shared" si="54"/>
        <v>1</v>
      </c>
      <c r="B253" s="487" t="str">
        <f t="shared" si="55"/>
        <v>10</v>
      </c>
      <c r="C253" s="487" t="str">
        <f t="shared" si="56"/>
        <v>70</v>
      </c>
      <c r="D253" s="487" t="str">
        <f t="shared" si="57"/>
        <v>0709</v>
      </c>
      <c r="E253" s="487"/>
      <c r="F253" s="488" t="str">
        <f t="shared" si="47"/>
        <v/>
      </c>
      <c r="G253" s="487"/>
      <c r="H253" s="487"/>
      <c r="I253" s="488" t="str">
        <f t="shared" si="48"/>
        <v/>
      </c>
      <c r="J253" s="487"/>
      <c r="K253" s="487"/>
      <c r="L253" s="488" t="str">
        <f t="shared" si="49"/>
        <v/>
      </c>
      <c r="M253" s="487"/>
      <c r="N253" s="487"/>
      <c r="O253" s="488" t="str">
        <f t="shared" si="50"/>
        <v/>
      </c>
      <c r="P253" s="489"/>
      <c r="Q253" s="489"/>
      <c r="R253" s="592" t="str">
        <f t="shared" si="51"/>
        <v/>
      </c>
      <c r="S253" s="487"/>
      <c r="T253" s="487"/>
      <c r="U253" s="488" t="str">
        <f t="shared" si="52"/>
        <v/>
      </c>
      <c r="V253" s="489"/>
      <c r="W253" s="489"/>
      <c r="X253" s="488" t="str">
        <f t="shared" si="53"/>
        <v/>
      </c>
      <c r="Y253" s="489"/>
      <c r="Z253" s="489"/>
      <c r="AA253" s="490" t="str">
        <f t="shared" si="45"/>
        <v/>
      </c>
      <c r="AB253" s="489"/>
      <c r="AC253" s="489"/>
      <c r="AD253" s="27">
        <v>110709</v>
      </c>
      <c r="AE253" s="27" t="s">
        <v>1440</v>
      </c>
      <c r="AF253" s="432">
        <v>0</v>
      </c>
      <c r="AG253" s="432"/>
      <c r="AH253" s="432">
        <f t="shared" si="46"/>
        <v>0</v>
      </c>
      <c r="AJ253" s="491"/>
      <c r="AL253" s="448"/>
      <c r="AM253" s="467" t="e">
        <f>VLOOKUP(AD253,[6]BV201101!$A$10:$A$1236,1,0)</f>
        <v>#N/A</v>
      </c>
    </row>
    <row r="254" spans="1:39" s="467" customFormat="1" ht="12.75" customHeight="1">
      <c r="A254" s="487" t="str">
        <f t="shared" si="54"/>
        <v>1</v>
      </c>
      <c r="B254" s="487" t="str">
        <f t="shared" si="55"/>
        <v>10</v>
      </c>
      <c r="C254" s="487" t="str">
        <f t="shared" si="56"/>
        <v>71</v>
      </c>
      <c r="D254" s="487" t="str">
        <f t="shared" si="57"/>
        <v>0710</v>
      </c>
      <c r="E254" s="487">
        <v>514340000</v>
      </c>
      <c r="F254" s="488" t="str">
        <f>+G254&amp;H254</f>
        <v/>
      </c>
      <c r="G254" s="487"/>
      <c r="H254" s="487"/>
      <c r="I254" s="488" t="str">
        <f>+J254&amp;K254</f>
        <v/>
      </c>
      <c r="J254" s="487"/>
      <c r="K254" s="487"/>
      <c r="L254" s="488" t="str">
        <f>+M254&amp;N254</f>
        <v/>
      </c>
      <c r="M254" s="487"/>
      <c r="N254" s="487"/>
      <c r="O254" s="488" t="str">
        <f>+P254&amp;Q254</f>
        <v/>
      </c>
      <c r="P254" s="489"/>
      <c r="Q254" s="489"/>
      <c r="R254" s="592" t="str">
        <f>+S254&amp;T254</f>
        <v/>
      </c>
      <c r="S254" s="487"/>
      <c r="T254" s="487"/>
      <c r="U254" s="488" t="str">
        <f>+V254&amp;W254</f>
        <v/>
      </c>
      <c r="V254" s="489"/>
      <c r="W254" s="489"/>
      <c r="X254" s="488" t="str">
        <f>+Y254&amp;Z254</f>
        <v/>
      </c>
      <c r="Y254" s="489"/>
      <c r="Z254" s="489"/>
      <c r="AA254" s="490" t="str">
        <f>+AB254&amp;AC254</f>
        <v>229</v>
      </c>
      <c r="AB254" s="489">
        <v>22</v>
      </c>
      <c r="AC254" s="489">
        <v>9</v>
      </c>
      <c r="AD254" s="27">
        <v>110710</v>
      </c>
      <c r="AE254" s="27" t="s">
        <v>222</v>
      </c>
      <c r="AF254" s="432">
        <f>VLOOKUP(AD254,[5]Hoja1!$A$10:$K$1393,11,0)</f>
        <v>0</v>
      </c>
      <c r="AG254" s="432"/>
      <c r="AH254" s="432">
        <f t="shared" si="46"/>
        <v>0</v>
      </c>
      <c r="AL254" s="448"/>
      <c r="AM254" s="467">
        <f>VLOOKUP(AD254,[6]BV201101!$A$10:$A$1236,1,0)</f>
        <v>110710</v>
      </c>
    </row>
    <row r="255" spans="1:39" s="467" customFormat="1" ht="12.75" customHeight="1">
      <c r="A255" s="487" t="str">
        <f t="shared" si="54"/>
        <v>1</v>
      </c>
      <c r="B255" s="487"/>
      <c r="C255" s="487"/>
      <c r="D255" s="487"/>
      <c r="E255" s="487"/>
      <c r="F255" s="488"/>
      <c r="G255" s="487"/>
      <c r="H255" s="487"/>
      <c r="I255" s="488"/>
      <c r="J255" s="487"/>
      <c r="K255" s="487"/>
      <c r="L255" s="488"/>
      <c r="M255" s="487"/>
      <c r="N255" s="487"/>
      <c r="O255" s="488"/>
      <c r="P255" s="489"/>
      <c r="Q255" s="489"/>
      <c r="R255" s="592"/>
      <c r="S255" s="487"/>
      <c r="T255" s="487"/>
      <c r="U255" s="488"/>
      <c r="V255" s="489"/>
      <c r="W255" s="489"/>
      <c r="X255" s="488"/>
      <c r="Y255" s="489"/>
      <c r="Z255" s="489"/>
      <c r="AA255" s="490"/>
      <c r="AB255" s="489"/>
      <c r="AC255" s="489"/>
      <c r="AD255" s="27">
        <v>110715</v>
      </c>
      <c r="AE255" s="27" t="s">
        <v>2003</v>
      </c>
      <c r="AF255" s="432">
        <v>0</v>
      </c>
      <c r="AG255" s="432"/>
      <c r="AH255" s="432">
        <f t="shared" si="46"/>
        <v>0</v>
      </c>
      <c r="AL255" s="448"/>
      <c r="AM255" s="467" t="e">
        <f>VLOOKUP(AD255,[6]BV201101!$A$10:$A$1236,1,0)</f>
        <v>#N/A</v>
      </c>
    </row>
    <row r="256" spans="1:39" s="467" customFormat="1" ht="12.75" customHeight="1">
      <c r="A256" s="487" t="str">
        <f t="shared" si="54"/>
        <v>1</v>
      </c>
      <c r="B256" s="487" t="str">
        <f t="shared" si="55"/>
        <v>10</v>
      </c>
      <c r="C256" s="487" t="str">
        <f t="shared" si="56"/>
        <v>73</v>
      </c>
      <c r="D256" s="487" t="str">
        <f t="shared" si="57"/>
        <v>0730</v>
      </c>
      <c r="E256" s="487">
        <v>511300000</v>
      </c>
      <c r="F256" s="488"/>
      <c r="G256" s="487"/>
      <c r="H256" s="487"/>
      <c r="I256" s="488"/>
      <c r="J256" s="487"/>
      <c r="K256" s="487"/>
      <c r="L256" s="488"/>
      <c r="M256" s="487"/>
      <c r="N256" s="487"/>
      <c r="O256" s="488"/>
      <c r="P256" s="489"/>
      <c r="Q256" s="489"/>
      <c r="R256" s="592"/>
      <c r="S256" s="487"/>
      <c r="T256" s="487"/>
      <c r="U256" s="488"/>
      <c r="V256" s="489"/>
      <c r="W256" s="489"/>
      <c r="X256" s="488"/>
      <c r="Y256" s="489"/>
      <c r="Z256" s="489"/>
      <c r="AA256" s="490"/>
      <c r="AB256" s="489"/>
      <c r="AC256" s="489"/>
      <c r="AD256" s="27">
        <v>110730</v>
      </c>
      <c r="AE256" s="27" t="s">
        <v>910</v>
      </c>
      <c r="AF256" s="432">
        <v>0</v>
      </c>
      <c r="AG256" s="432"/>
      <c r="AH256" s="432">
        <f t="shared" si="46"/>
        <v>0</v>
      </c>
      <c r="AL256" s="448"/>
      <c r="AM256" s="467" t="e">
        <f>VLOOKUP(AD256,[6]BV201101!$A$10:$A$1236,1,0)</f>
        <v>#N/A</v>
      </c>
    </row>
    <row r="257" spans="1:39" s="467" customFormat="1" ht="12.75" customHeight="1">
      <c r="A257" s="487" t="str">
        <f t="shared" si="54"/>
        <v>1</v>
      </c>
      <c r="B257" s="487" t="str">
        <f t="shared" si="55"/>
        <v>10</v>
      </c>
      <c r="C257" s="487" t="str">
        <f t="shared" si="56"/>
        <v>73</v>
      </c>
      <c r="D257" s="487" t="str">
        <f t="shared" si="57"/>
        <v>0731</v>
      </c>
      <c r="E257" s="487">
        <v>511300000</v>
      </c>
      <c r="F257" s="488"/>
      <c r="G257" s="487"/>
      <c r="H257" s="487"/>
      <c r="I257" s="488"/>
      <c r="J257" s="487"/>
      <c r="K257" s="487"/>
      <c r="L257" s="488"/>
      <c r="M257" s="487"/>
      <c r="N257" s="487"/>
      <c r="O257" s="488"/>
      <c r="P257" s="489"/>
      <c r="Q257" s="489"/>
      <c r="R257" s="592"/>
      <c r="S257" s="487"/>
      <c r="T257" s="487"/>
      <c r="U257" s="488"/>
      <c r="V257" s="489"/>
      <c r="W257" s="489"/>
      <c r="X257" s="488"/>
      <c r="Y257" s="489"/>
      <c r="Z257" s="489"/>
      <c r="AA257" s="490"/>
      <c r="AB257" s="489"/>
      <c r="AC257" s="489"/>
      <c r="AD257" s="27">
        <v>110731</v>
      </c>
      <c r="AE257" s="27" t="s">
        <v>911</v>
      </c>
      <c r="AF257" s="432">
        <v>0</v>
      </c>
      <c r="AG257" s="432"/>
      <c r="AH257" s="432">
        <f t="shared" si="46"/>
        <v>0</v>
      </c>
      <c r="AL257" s="448"/>
      <c r="AM257" s="467" t="e">
        <f>VLOOKUP(AD257,[6]BV201101!$A$10:$A$1236,1,0)</f>
        <v>#N/A</v>
      </c>
    </row>
    <row r="258" spans="1:39" s="467" customFormat="1" ht="12.75" customHeight="1">
      <c r="A258" s="487" t="str">
        <f t="shared" si="54"/>
        <v>1</v>
      </c>
      <c r="B258" s="487" t="str">
        <f t="shared" si="55"/>
        <v>10</v>
      </c>
      <c r="C258" s="487" t="str">
        <f t="shared" si="56"/>
        <v>75</v>
      </c>
      <c r="D258" s="487" t="str">
        <f t="shared" si="57"/>
        <v>0751</v>
      </c>
      <c r="E258" s="448">
        <v>511300000</v>
      </c>
      <c r="F258" s="488"/>
      <c r="G258" s="487"/>
      <c r="H258" s="487"/>
      <c r="I258" s="488"/>
      <c r="J258" s="487"/>
      <c r="K258" s="487"/>
      <c r="L258" s="488"/>
      <c r="M258" s="487"/>
      <c r="N258" s="487"/>
      <c r="O258" s="488"/>
      <c r="P258" s="489"/>
      <c r="Q258" s="489"/>
      <c r="R258" s="592"/>
      <c r="S258" s="487"/>
      <c r="T258" s="487"/>
      <c r="U258" s="488"/>
      <c r="V258" s="489"/>
      <c r="W258" s="489"/>
      <c r="X258" s="488"/>
      <c r="Y258" s="489"/>
      <c r="Z258" s="489"/>
      <c r="AA258" s="490"/>
      <c r="AB258" s="489"/>
      <c r="AC258" s="489"/>
      <c r="AD258" s="27">
        <v>110751</v>
      </c>
      <c r="AE258" s="27" t="s">
        <v>2004</v>
      </c>
      <c r="AF258" s="432">
        <f>VLOOKUP(AD258,[5]Hoja1!$A$10:$K$1393,11,0)</f>
        <v>0</v>
      </c>
      <c r="AG258" s="432">
        <v>0</v>
      </c>
      <c r="AH258" s="432">
        <f t="shared" si="46"/>
        <v>0</v>
      </c>
      <c r="AL258" s="448"/>
      <c r="AM258" s="467">
        <f>VLOOKUP(AD258,[6]BV201101!$A$10:$A$1236,1,0)</f>
        <v>110751</v>
      </c>
    </row>
    <row r="259" spans="1:39" s="467" customFormat="1" ht="12.75" customHeight="1">
      <c r="A259" s="487" t="str">
        <f t="shared" si="54"/>
        <v>1</v>
      </c>
      <c r="B259" s="487" t="str">
        <f t="shared" si="55"/>
        <v>10</v>
      </c>
      <c r="C259" s="487" t="str">
        <f t="shared" si="56"/>
        <v>75</v>
      </c>
      <c r="D259" s="487" t="str">
        <f t="shared" si="57"/>
        <v>0752</v>
      </c>
      <c r="E259" s="448">
        <v>511300000</v>
      </c>
      <c r="F259" s="488"/>
      <c r="G259" s="487"/>
      <c r="H259" s="487"/>
      <c r="I259" s="488"/>
      <c r="J259" s="487"/>
      <c r="K259" s="487"/>
      <c r="L259" s="488"/>
      <c r="M259" s="487"/>
      <c r="N259" s="487"/>
      <c r="O259" s="488"/>
      <c r="P259" s="489"/>
      <c r="Q259" s="489"/>
      <c r="R259" s="592"/>
      <c r="S259" s="487"/>
      <c r="T259" s="487"/>
      <c r="U259" s="488"/>
      <c r="V259" s="489"/>
      <c r="W259" s="489"/>
      <c r="X259" s="488"/>
      <c r="Y259" s="489"/>
      <c r="Z259" s="489"/>
      <c r="AA259" s="490"/>
      <c r="AB259" s="489"/>
      <c r="AC259" s="489"/>
      <c r="AD259" s="27">
        <v>110752</v>
      </c>
      <c r="AE259" s="27" t="s">
        <v>2005</v>
      </c>
      <c r="AF259" s="432">
        <f>VLOOKUP(AD259,[5]Hoja1!$A$10:$K$1393,11,0)</f>
        <v>0</v>
      </c>
      <c r="AG259" s="432"/>
      <c r="AH259" s="432">
        <f t="shared" si="46"/>
        <v>0</v>
      </c>
      <c r="AL259" s="448"/>
      <c r="AM259" s="467">
        <f>VLOOKUP(AD259,[6]BV201101!$A$10:$A$1236,1,0)</f>
        <v>110752</v>
      </c>
    </row>
    <row r="260" spans="1:39" s="467" customFormat="1" ht="12.75" customHeight="1">
      <c r="A260" s="487" t="str">
        <f t="shared" si="54"/>
        <v>1</v>
      </c>
      <c r="B260" s="487" t="str">
        <f t="shared" si="55"/>
        <v>10</v>
      </c>
      <c r="C260" s="487" t="str">
        <f t="shared" si="56"/>
        <v>75</v>
      </c>
      <c r="D260" s="487" t="str">
        <f t="shared" si="57"/>
        <v>0753</v>
      </c>
      <c r="E260" s="448">
        <v>511300000</v>
      </c>
      <c r="F260" s="488"/>
      <c r="G260" s="487"/>
      <c r="H260" s="487"/>
      <c r="I260" s="488"/>
      <c r="J260" s="487"/>
      <c r="K260" s="487"/>
      <c r="L260" s="488"/>
      <c r="M260" s="487"/>
      <c r="N260" s="487"/>
      <c r="O260" s="488"/>
      <c r="P260" s="489"/>
      <c r="Q260" s="489"/>
      <c r="R260" s="592"/>
      <c r="S260" s="487"/>
      <c r="T260" s="487"/>
      <c r="U260" s="488"/>
      <c r="V260" s="489"/>
      <c r="W260" s="489"/>
      <c r="X260" s="488"/>
      <c r="Y260" s="489"/>
      <c r="Z260" s="489"/>
      <c r="AA260" s="490"/>
      <c r="AB260" s="489"/>
      <c r="AC260" s="489"/>
      <c r="AD260" s="27">
        <v>110753</v>
      </c>
      <c r="AE260" s="27" t="s">
        <v>2006</v>
      </c>
      <c r="AF260" s="432">
        <f>VLOOKUP(AD260,[5]Hoja1!$A$10:$K$1393,11,0)</f>
        <v>0</v>
      </c>
      <c r="AG260" s="432"/>
      <c r="AH260" s="432">
        <f t="shared" si="46"/>
        <v>0</v>
      </c>
      <c r="AL260" s="448"/>
      <c r="AM260" s="467">
        <f>VLOOKUP(AD260,[6]BV201101!$A$10:$A$1236,1,0)</f>
        <v>110753</v>
      </c>
    </row>
    <row r="261" spans="1:39" s="467" customFormat="1" ht="12.75" customHeight="1">
      <c r="A261" s="487" t="str">
        <f t="shared" si="54"/>
        <v>1</v>
      </c>
      <c r="B261" s="487" t="str">
        <f t="shared" si="55"/>
        <v>10</v>
      </c>
      <c r="C261" s="487" t="str">
        <f t="shared" si="56"/>
        <v>75</v>
      </c>
      <c r="D261" s="487" t="str">
        <f t="shared" si="57"/>
        <v>0754</v>
      </c>
      <c r="E261" s="448">
        <v>511122200</v>
      </c>
      <c r="F261" s="488"/>
      <c r="G261" s="487"/>
      <c r="H261" s="487"/>
      <c r="I261" s="488"/>
      <c r="J261" s="487"/>
      <c r="K261" s="487"/>
      <c r="L261" s="488"/>
      <c r="M261" s="487"/>
      <c r="N261" s="487"/>
      <c r="O261" s="488"/>
      <c r="P261" s="489"/>
      <c r="Q261" s="489"/>
      <c r="R261" s="592"/>
      <c r="S261" s="487"/>
      <c r="T261" s="487"/>
      <c r="U261" s="488"/>
      <c r="V261" s="489"/>
      <c r="W261" s="489"/>
      <c r="X261" s="488"/>
      <c r="Y261" s="489"/>
      <c r="Z261" s="489"/>
      <c r="AA261" s="490"/>
      <c r="AB261" s="489"/>
      <c r="AC261" s="489"/>
      <c r="AD261" s="27">
        <v>110754</v>
      </c>
      <c r="AE261" s="27" t="s">
        <v>2935</v>
      </c>
      <c r="AF261" s="432">
        <f>VLOOKUP(AD261,[5]Hoja1!$A$10:$K$1393,11,0)</f>
        <v>-25192752</v>
      </c>
      <c r="AG261" s="432"/>
      <c r="AH261" s="432">
        <f t="shared" si="46"/>
        <v>-25193</v>
      </c>
      <c r="AL261" s="448"/>
    </row>
    <row r="262" spans="1:39" s="467" customFormat="1" ht="12.75" customHeight="1">
      <c r="A262" s="487" t="str">
        <f t="shared" si="54"/>
        <v>1</v>
      </c>
      <c r="B262" s="487" t="str">
        <f t="shared" si="55"/>
        <v>10</v>
      </c>
      <c r="C262" s="487" t="str">
        <f t="shared" si="56"/>
        <v>75</v>
      </c>
      <c r="D262" s="487" t="str">
        <f t="shared" si="57"/>
        <v>0755</v>
      </c>
      <c r="E262" s="487">
        <v>511122200</v>
      </c>
      <c r="F262" s="488"/>
      <c r="G262" s="487"/>
      <c r="H262" s="487"/>
      <c r="I262" s="488"/>
      <c r="J262" s="487"/>
      <c r="K262" s="487"/>
      <c r="L262" s="488"/>
      <c r="M262" s="487"/>
      <c r="N262" s="487"/>
      <c r="O262" s="488"/>
      <c r="P262" s="489"/>
      <c r="Q262" s="489"/>
      <c r="R262" s="592"/>
      <c r="S262" s="487"/>
      <c r="T262" s="487"/>
      <c r="U262" s="488"/>
      <c r="V262" s="489"/>
      <c r="W262" s="489"/>
      <c r="X262" s="488"/>
      <c r="Y262" s="489"/>
      <c r="Z262" s="489"/>
      <c r="AA262" s="490"/>
      <c r="AB262" s="489"/>
      <c r="AC262" s="489"/>
      <c r="AD262" s="27">
        <v>110755</v>
      </c>
      <c r="AE262" s="27" t="s">
        <v>3521</v>
      </c>
      <c r="AF262" s="432">
        <f>VLOOKUP(AD262,[5]Hoja1!$A$10:$K$1393,11,0)</f>
        <v>112895800</v>
      </c>
      <c r="AG262" s="432"/>
      <c r="AH262" s="432">
        <f t="shared" si="46"/>
        <v>112896</v>
      </c>
      <c r="AL262" s="448"/>
    </row>
    <row r="263" spans="1:39" s="467" customFormat="1" ht="12.75" customHeight="1">
      <c r="A263" s="487" t="str">
        <f t="shared" si="54"/>
        <v>1</v>
      </c>
      <c r="B263" s="487" t="str">
        <f t="shared" si="55"/>
        <v>10</v>
      </c>
      <c r="C263" s="487" t="str">
        <f t="shared" si="56"/>
        <v>80</v>
      </c>
      <c r="D263" s="487" t="str">
        <f t="shared" si="57"/>
        <v>0801</v>
      </c>
      <c r="E263" s="448"/>
      <c r="F263" s="488" t="str">
        <f t="shared" si="47"/>
        <v/>
      </c>
      <c r="G263" s="487"/>
      <c r="H263" s="487"/>
      <c r="I263" s="488" t="str">
        <f t="shared" si="48"/>
        <v/>
      </c>
      <c r="J263" s="487"/>
      <c r="K263" s="487"/>
      <c r="L263" s="488" t="str">
        <f t="shared" si="49"/>
        <v/>
      </c>
      <c r="M263" s="487"/>
      <c r="N263" s="487"/>
      <c r="O263" s="488" t="str">
        <f t="shared" si="50"/>
        <v/>
      </c>
      <c r="P263" s="489"/>
      <c r="Q263" s="489"/>
      <c r="R263" s="592" t="str">
        <f t="shared" si="51"/>
        <v/>
      </c>
      <c r="S263" s="487"/>
      <c r="T263" s="487"/>
      <c r="U263" s="488" t="str">
        <f t="shared" si="52"/>
        <v/>
      </c>
      <c r="V263" s="489"/>
      <c r="W263" s="489"/>
      <c r="X263" s="488" t="str">
        <f t="shared" si="53"/>
        <v/>
      </c>
      <c r="Y263" s="489"/>
      <c r="Z263" s="489"/>
      <c r="AA263" s="490" t="str">
        <f t="shared" si="45"/>
        <v/>
      </c>
      <c r="AB263" s="489"/>
      <c r="AC263" s="489"/>
      <c r="AD263" s="27">
        <v>110801</v>
      </c>
      <c r="AE263" s="27" t="s">
        <v>1719</v>
      </c>
      <c r="AF263" s="432">
        <f>VLOOKUP(AD263,[5]Hoja1!$A$10:$K$1393,11,0)</f>
        <v>0</v>
      </c>
      <c r="AG263" s="432"/>
      <c r="AH263" s="432">
        <f t="shared" si="46"/>
        <v>0</v>
      </c>
      <c r="AL263" s="448"/>
      <c r="AM263" s="467">
        <f>VLOOKUP(AD263,[6]BV201101!$A$10:$A$1236,1,0)</f>
        <v>110801</v>
      </c>
    </row>
    <row r="264" spans="1:39" s="467" customFormat="1" ht="12.75" customHeight="1">
      <c r="A264" s="487" t="str">
        <f t="shared" si="54"/>
        <v>1</v>
      </c>
      <c r="B264" s="487" t="str">
        <f t="shared" si="55"/>
        <v>10</v>
      </c>
      <c r="C264" s="487" t="str">
        <f t="shared" si="56"/>
        <v>80</v>
      </c>
      <c r="D264" s="487" t="str">
        <f t="shared" si="57"/>
        <v>0802</v>
      </c>
      <c r="E264" s="487">
        <v>512202000</v>
      </c>
      <c r="F264" s="488" t="str">
        <f t="shared" si="47"/>
        <v/>
      </c>
      <c r="G264" s="487"/>
      <c r="H264" s="487"/>
      <c r="I264" s="488" t="str">
        <f t="shared" si="48"/>
        <v/>
      </c>
      <c r="J264" s="487"/>
      <c r="K264" s="487"/>
      <c r="L264" s="488" t="str">
        <f t="shared" si="49"/>
        <v/>
      </c>
      <c r="M264" s="487"/>
      <c r="N264" s="487"/>
      <c r="O264" s="488" t="str">
        <f t="shared" si="50"/>
        <v/>
      </c>
      <c r="P264" s="489"/>
      <c r="Q264" s="489"/>
      <c r="R264" s="592" t="str">
        <f t="shared" si="51"/>
        <v/>
      </c>
      <c r="S264" s="487"/>
      <c r="T264" s="487"/>
      <c r="U264" s="488" t="str">
        <f t="shared" si="52"/>
        <v/>
      </c>
      <c r="V264" s="489"/>
      <c r="W264" s="489"/>
      <c r="X264" s="488" t="str">
        <f t="shared" si="53"/>
        <v/>
      </c>
      <c r="Y264" s="489"/>
      <c r="Z264" s="489"/>
      <c r="AA264" s="490" t="str">
        <f t="shared" si="45"/>
        <v/>
      </c>
      <c r="AB264" s="489"/>
      <c r="AC264" s="489"/>
      <c r="AD264" s="27">
        <v>110802</v>
      </c>
      <c r="AE264" s="27" t="s">
        <v>2007</v>
      </c>
      <c r="AF264" s="432">
        <f>VLOOKUP(AD264,[5]Hoja1!$A$10:$K$1393,11,0)</f>
        <v>21500232</v>
      </c>
      <c r="AG264" s="432"/>
      <c r="AH264" s="432">
        <f t="shared" si="46"/>
        <v>21500</v>
      </c>
      <c r="AL264" s="448"/>
      <c r="AM264" s="467">
        <f>VLOOKUP(AD264,[6]BV201101!$A$10:$A$1236,1,0)</f>
        <v>110802</v>
      </c>
    </row>
    <row r="265" spans="1:39" s="467" customFormat="1" ht="12.75" customHeight="1">
      <c r="A265" s="487" t="str">
        <f t="shared" si="54"/>
        <v>1</v>
      </c>
      <c r="B265" s="487" t="str">
        <f t="shared" si="55"/>
        <v>10</v>
      </c>
      <c r="C265" s="487" t="str">
        <f t="shared" si="56"/>
        <v>80</v>
      </c>
      <c r="D265" s="487" t="str">
        <f t="shared" si="57"/>
        <v>0803</v>
      </c>
      <c r="E265" s="487">
        <v>512202000</v>
      </c>
      <c r="F265" s="488" t="str">
        <f t="shared" si="47"/>
        <v/>
      </c>
      <c r="G265" s="487"/>
      <c r="H265" s="487"/>
      <c r="I265" s="488" t="str">
        <f t="shared" si="48"/>
        <v/>
      </c>
      <c r="J265" s="487"/>
      <c r="K265" s="487"/>
      <c r="L265" s="488" t="str">
        <f t="shared" si="49"/>
        <v/>
      </c>
      <c r="M265" s="487"/>
      <c r="N265" s="487"/>
      <c r="O265" s="488" t="str">
        <f t="shared" si="50"/>
        <v/>
      </c>
      <c r="P265" s="489"/>
      <c r="Q265" s="489"/>
      <c r="R265" s="592" t="str">
        <f t="shared" si="51"/>
        <v/>
      </c>
      <c r="S265" s="487"/>
      <c r="T265" s="487"/>
      <c r="U265" s="488" t="str">
        <f t="shared" si="52"/>
        <v/>
      </c>
      <c r="V265" s="489"/>
      <c r="W265" s="489"/>
      <c r="X265" s="488" t="str">
        <f t="shared" si="53"/>
        <v/>
      </c>
      <c r="Y265" s="489"/>
      <c r="Z265" s="489"/>
      <c r="AA265" s="490" t="str">
        <f t="shared" si="45"/>
        <v/>
      </c>
      <c r="AB265" s="489"/>
      <c r="AC265" s="489"/>
      <c r="AD265" s="27">
        <v>110803</v>
      </c>
      <c r="AE265" s="27" t="s">
        <v>630</v>
      </c>
      <c r="AF265" s="432">
        <f>VLOOKUP(AD265,[5]Hoja1!$A$10:$K$1393,11,0)</f>
        <v>0</v>
      </c>
      <c r="AG265" s="432"/>
      <c r="AH265" s="432">
        <f t="shared" si="46"/>
        <v>0</v>
      </c>
      <c r="AL265" s="448"/>
      <c r="AM265" s="467" t="e">
        <f>VLOOKUP(AD265,[6]BV201101!$A$10:$A$1236,1,0)</f>
        <v>#N/A</v>
      </c>
    </row>
    <row r="266" spans="1:39" s="467" customFormat="1" ht="12.75" customHeight="1">
      <c r="A266" s="487" t="str">
        <f t="shared" si="54"/>
        <v>1</v>
      </c>
      <c r="B266" s="487" t="str">
        <f t="shared" si="55"/>
        <v>10</v>
      </c>
      <c r="C266" s="487" t="str">
        <f t="shared" si="56"/>
        <v>80</v>
      </c>
      <c r="D266" s="487" t="str">
        <f t="shared" si="57"/>
        <v>0804</v>
      </c>
      <c r="E266" s="487">
        <v>512202000</v>
      </c>
      <c r="F266" s="488" t="str">
        <f t="shared" si="47"/>
        <v/>
      </c>
      <c r="G266" s="487"/>
      <c r="H266" s="487"/>
      <c r="I266" s="488" t="str">
        <f t="shared" si="48"/>
        <v/>
      </c>
      <c r="J266" s="487"/>
      <c r="K266" s="487"/>
      <c r="L266" s="488" t="str">
        <f t="shared" si="49"/>
        <v/>
      </c>
      <c r="M266" s="487"/>
      <c r="N266" s="487"/>
      <c r="O266" s="488" t="str">
        <f t="shared" si="50"/>
        <v/>
      </c>
      <c r="P266" s="489"/>
      <c r="Q266" s="489"/>
      <c r="R266" s="592" t="str">
        <f t="shared" si="51"/>
        <v/>
      </c>
      <c r="S266" s="487"/>
      <c r="T266" s="487"/>
      <c r="U266" s="488" t="str">
        <f t="shared" si="52"/>
        <v/>
      </c>
      <c r="V266" s="489"/>
      <c r="W266" s="489"/>
      <c r="X266" s="488" t="str">
        <f t="shared" si="53"/>
        <v/>
      </c>
      <c r="Y266" s="489"/>
      <c r="Z266" s="489"/>
      <c r="AA266" s="490" t="str">
        <f t="shared" si="45"/>
        <v/>
      </c>
      <c r="AB266" s="489"/>
      <c r="AC266" s="489"/>
      <c r="AD266" s="27">
        <v>110804</v>
      </c>
      <c r="AE266" s="27" t="s">
        <v>2008</v>
      </c>
      <c r="AF266" s="432">
        <f>VLOOKUP(AD266,[5]Hoja1!$A$10:$K$1393,11,0)</f>
        <v>0</v>
      </c>
      <c r="AG266" s="432"/>
      <c r="AH266" s="432">
        <f t="shared" si="46"/>
        <v>0</v>
      </c>
      <c r="AL266" s="448"/>
      <c r="AM266" s="467">
        <f>VLOOKUP(AD266,[6]BV201101!$A$10:$A$1236,1,0)</f>
        <v>110804</v>
      </c>
    </row>
    <row r="267" spans="1:39" s="467" customFormat="1" ht="12.75" customHeight="1">
      <c r="A267" s="487" t="str">
        <f t="shared" si="54"/>
        <v>1</v>
      </c>
      <c r="B267" s="487" t="str">
        <f t="shared" si="55"/>
        <v>10</v>
      </c>
      <c r="C267" s="487" t="str">
        <f t="shared" si="56"/>
        <v>80</v>
      </c>
      <c r="D267" s="487" t="str">
        <f t="shared" si="57"/>
        <v>0805</v>
      </c>
      <c r="E267" s="487">
        <v>512202000</v>
      </c>
      <c r="F267" s="488" t="str">
        <f t="shared" si="47"/>
        <v/>
      </c>
      <c r="G267" s="487"/>
      <c r="H267" s="487"/>
      <c r="I267" s="488" t="str">
        <f t="shared" si="48"/>
        <v/>
      </c>
      <c r="J267" s="487"/>
      <c r="K267" s="487"/>
      <c r="L267" s="488" t="str">
        <f t="shared" si="49"/>
        <v/>
      </c>
      <c r="M267" s="487"/>
      <c r="N267" s="487"/>
      <c r="O267" s="488" t="str">
        <f t="shared" si="50"/>
        <v/>
      </c>
      <c r="P267" s="489"/>
      <c r="Q267" s="489"/>
      <c r="R267" s="592" t="str">
        <f t="shared" si="51"/>
        <v/>
      </c>
      <c r="S267" s="487"/>
      <c r="T267" s="487"/>
      <c r="U267" s="488" t="str">
        <f t="shared" si="52"/>
        <v/>
      </c>
      <c r="V267" s="489"/>
      <c r="W267" s="489"/>
      <c r="X267" s="488" t="str">
        <f t="shared" si="53"/>
        <v/>
      </c>
      <c r="Y267" s="489"/>
      <c r="Z267" s="489"/>
      <c r="AA267" s="490" t="str">
        <f t="shared" si="45"/>
        <v/>
      </c>
      <c r="AB267" s="489"/>
      <c r="AC267" s="489"/>
      <c r="AD267" s="27">
        <v>110805</v>
      </c>
      <c r="AE267" s="27" t="s">
        <v>631</v>
      </c>
      <c r="AF267" s="432">
        <f>VLOOKUP(AD267,[5]Hoja1!$A$10:$K$1393,11,0)</f>
        <v>175184545</v>
      </c>
      <c r="AG267" s="432"/>
      <c r="AH267" s="432">
        <f t="shared" si="46"/>
        <v>175185</v>
      </c>
      <c r="AL267" s="448"/>
      <c r="AM267" s="467">
        <f>VLOOKUP(AD267,[6]BV201101!$A$10:$A$1236,1,0)</f>
        <v>110805</v>
      </c>
    </row>
    <row r="268" spans="1:39" s="467" customFormat="1" ht="12.75" customHeight="1">
      <c r="A268" s="487" t="str">
        <f t="shared" si="54"/>
        <v>1</v>
      </c>
      <c r="B268" s="487" t="str">
        <f t="shared" si="55"/>
        <v>10</v>
      </c>
      <c r="C268" s="487" t="str">
        <f t="shared" si="56"/>
        <v>80</v>
      </c>
      <c r="D268" s="487" t="str">
        <f t="shared" si="57"/>
        <v>0806</v>
      </c>
      <c r="E268" s="487">
        <v>512202000</v>
      </c>
      <c r="F268" s="488" t="str">
        <f t="shared" si="47"/>
        <v/>
      </c>
      <c r="G268" s="487"/>
      <c r="H268" s="487"/>
      <c r="I268" s="488" t="str">
        <f t="shared" si="48"/>
        <v/>
      </c>
      <c r="J268" s="487"/>
      <c r="K268" s="487"/>
      <c r="L268" s="488" t="str">
        <f t="shared" si="49"/>
        <v/>
      </c>
      <c r="M268" s="487"/>
      <c r="N268" s="487"/>
      <c r="O268" s="488" t="str">
        <f t="shared" si="50"/>
        <v/>
      </c>
      <c r="P268" s="489"/>
      <c r="Q268" s="489"/>
      <c r="R268" s="592" t="str">
        <f t="shared" si="51"/>
        <v/>
      </c>
      <c r="S268" s="487"/>
      <c r="T268" s="487"/>
      <c r="U268" s="488" t="str">
        <f t="shared" si="52"/>
        <v/>
      </c>
      <c r="V268" s="489"/>
      <c r="W268" s="489"/>
      <c r="X268" s="488" t="str">
        <f t="shared" si="53"/>
        <v/>
      </c>
      <c r="Y268" s="489"/>
      <c r="Z268" s="489"/>
      <c r="AA268" s="490" t="str">
        <f t="shared" si="45"/>
        <v/>
      </c>
      <c r="AB268" s="489"/>
      <c r="AC268" s="489"/>
      <c r="AD268" s="27">
        <v>110806</v>
      </c>
      <c r="AE268" s="27" t="s">
        <v>2009</v>
      </c>
      <c r="AF268" s="432">
        <f>VLOOKUP(AD268,[5]Hoja1!$A$10:$K$1393,11,0)</f>
        <v>584632256</v>
      </c>
      <c r="AG268" s="432"/>
      <c r="AH268" s="432">
        <f t="shared" ref="AH268:AH333" si="58">ROUND((AF268+AG268)/$AH$2,0)</f>
        <v>584632</v>
      </c>
      <c r="AL268" s="448"/>
      <c r="AM268" s="467">
        <f>VLOOKUP(AD268,[6]BV201101!$A$10:$A$1236,1,0)</f>
        <v>110806</v>
      </c>
    </row>
    <row r="269" spans="1:39" s="467" customFormat="1" ht="12.75" customHeight="1">
      <c r="A269" s="487" t="str">
        <f t="shared" si="54"/>
        <v>1</v>
      </c>
      <c r="B269" s="487" t="str">
        <f t="shared" si="55"/>
        <v>10</v>
      </c>
      <c r="C269" s="487" t="str">
        <f t="shared" si="56"/>
        <v>80</v>
      </c>
      <c r="D269" s="487" t="str">
        <f t="shared" si="57"/>
        <v>0807</v>
      </c>
      <c r="E269" s="487">
        <v>512202000</v>
      </c>
      <c r="F269" s="488" t="str">
        <f t="shared" si="47"/>
        <v/>
      </c>
      <c r="G269" s="487"/>
      <c r="H269" s="487"/>
      <c r="I269" s="488" t="str">
        <f t="shared" si="48"/>
        <v/>
      </c>
      <c r="J269" s="487"/>
      <c r="K269" s="487"/>
      <c r="L269" s="488" t="str">
        <f t="shared" si="49"/>
        <v/>
      </c>
      <c r="M269" s="487"/>
      <c r="N269" s="487"/>
      <c r="O269" s="488" t="str">
        <f t="shared" si="50"/>
        <v/>
      </c>
      <c r="P269" s="489"/>
      <c r="Q269" s="489"/>
      <c r="R269" s="592" t="str">
        <f t="shared" si="51"/>
        <v/>
      </c>
      <c r="S269" s="487"/>
      <c r="T269" s="487"/>
      <c r="U269" s="488" t="str">
        <f t="shared" si="52"/>
        <v/>
      </c>
      <c r="V269" s="489"/>
      <c r="W269" s="489"/>
      <c r="X269" s="488" t="str">
        <f t="shared" si="53"/>
        <v/>
      </c>
      <c r="Y269" s="489"/>
      <c r="Z269" s="489"/>
      <c r="AA269" s="490" t="str">
        <f t="shared" si="45"/>
        <v/>
      </c>
      <c r="AB269" s="489"/>
      <c r="AC269" s="489"/>
      <c r="AD269" s="27">
        <v>110807</v>
      </c>
      <c r="AE269" s="27" t="s">
        <v>1807</v>
      </c>
      <c r="AF269" s="432">
        <f>VLOOKUP(AD269,[5]Hoja1!$A$10:$K$1393,11,0)</f>
        <v>0</v>
      </c>
      <c r="AG269" s="432"/>
      <c r="AH269" s="432">
        <f t="shared" si="58"/>
        <v>0</v>
      </c>
      <c r="AL269" s="448"/>
      <c r="AM269" s="467">
        <f>VLOOKUP(AD269,[6]BV201101!$A$10:$A$1236,1,0)</f>
        <v>110807</v>
      </c>
    </row>
    <row r="270" spans="1:39" s="467" customFormat="1" ht="12.75" customHeight="1">
      <c r="A270" s="487" t="str">
        <f t="shared" si="54"/>
        <v>1</v>
      </c>
      <c r="B270" s="487" t="str">
        <f t="shared" si="55"/>
        <v>10</v>
      </c>
      <c r="C270" s="487" t="str">
        <f t="shared" si="56"/>
        <v>80</v>
      </c>
      <c r="D270" s="487" t="str">
        <f t="shared" si="57"/>
        <v>0808</v>
      </c>
      <c r="E270" s="487">
        <v>512202000</v>
      </c>
      <c r="F270" s="488" t="str">
        <f t="shared" si="47"/>
        <v/>
      </c>
      <c r="G270" s="487"/>
      <c r="H270" s="487"/>
      <c r="I270" s="488" t="str">
        <f t="shared" si="48"/>
        <v/>
      </c>
      <c r="J270" s="487"/>
      <c r="K270" s="487"/>
      <c r="L270" s="488" t="str">
        <f t="shared" si="49"/>
        <v/>
      </c>
      <c r="M270" s="487"/>
      <c r="N270" s="487"/>
      <c r="O270" s="488" t="str">
        <f t="shared" si="50"/>
        <v/>
      </c>
      <c r="P270" s="489"/>
      <c r="Q270" s="489"/>
      <c r="R270" s="592" t="str">
        <f t="shared" si="51"/>
        <v/>
      </c>
      <c r="S270" s="487"/>
      <c r="T270" s="487"/>
      <c r="U270" s="488" t="str">
        <f t="shared" si="52"/>
        <v/>
      </c>
      <c r="V270" s="489"/>
      <c r="W270" s="489"/>
      <c r="X270" s="488" t="str">
        <f t="shared" si="53"/>
        <v/>
      </c>
      <c r="Y270" s="489"/>
      <c r="Z270" s="489"/>
      <c r="AA270" s="490" t="str">
        <f t="shared" si="45"/>
        <v/>
      </c>
      <c r="AB270" s="489"/>
      <c r="AC270" s="489"/>
      <c r="AD270" s="27">
        <v>110808</v>
      </c>
      <c r="AE270" s="27" t="s">
        <v>1728</v>
      </c>
      <c r="AF270" s="432">
        <f>VLOOKUP(AD270,[5]Hoja1!$A$10:$K$1393,11,0)</f>
        <v>-142209046</v>
      </c>
      <c r="AG270" s="432"/>
      <c r="AH270" s="432">
        <f t="shared" si="58"/>
        <v>-142209</v>
      </c>
      <c r="AL270" s="448"/>
      <c r="AM270" s="467">
        <f>VLOOKUP(AD270,[6]BV201101!$A$10:$A$1236,1,0)</f>
        <v>110808</v>
      </c>
    </row>
    <row r="271" spans="1:39" s="467" customFormat="1" ht="12.75" customHeight="1">
      <c r="A271" s="487" t="str">
        <f t="shared" si="54"/>
        <v>1</v>
      </c>
      <c r="B271" s="487" t="str">
        <f t="shared" si="55"/>
        <v>10</v>
      </c>
      <c r="C271" s="487" t="str">
        <f t="shared" si="56"/>
        <v>80</v>
      </c>
      <c r="D271" s="487" t="str">
        <f t="shared" si="57"/>
        <v>0809</v>
      </c>
      <c r="E271" s="487">
        <v>512202000</v>
      </c>
      <c r="F271" s="488" t="str">
        <f t="shared" si="47"/>
        <v/>
      </c>
      <c r="G271" s="487"/>
      <c r="H271" s="487"/>
      <c r="I271" s="488" t="str">
        <f t="shared" si="48"/>
        <v/>
      </c>
      <c r="J271" s="487"/>
      <c r="K271" s="487"/>
      <c r="L271" s="488" t="str">
        <f t="shared" si="49"/>
        <v/>
      </c>
      <c r="M271" s="487"/>
      <c r="N271" s="487"/>
      <c r="O271" s="488" t="str">
        <f t="shared" si="50"/>
        <v/>
      </c>
      <c r="P271" s="489"/>
      <c r="Q271" s="489"/>
      <c r="R271" s="592" t="str">
        <f t="shared" si="51"/>
        <v/>
      </c>
      <c r="S271" s="487"/>
      <c r="T271" s="487"/>
      <c r="U271" s="488" t="str">
        <f t="shared" si="52"/>
        <v/>
      </c>
      <c r="V271" s="489"/>
      <c r="W271" s="489"/>
      <c r="X271" s="488" t="str">
        <f t="shared" si="53"/>
        <v/>
      </c>
      <c r="Y271" s="489"/>
      <c r="Z271" s="489"/>
      <c r="AA271" s="490" t="str">
        <f t="shared" si="45"/>
        <v/>
      </c>
      <c r="AB271" s="489"/>
      <c r="AC271" s="489"/>
      <c r="AD271" s="27">
        <v>110809</v>
      </c>
      <c r="AE271" s="27" t="s">
        <v>1806</v>
      </c>
      <c r="AF271" s="432">
        <f>VLOOKUP(AD271,[5]Hoja1!$A$10:$K$1393,11,0)</f>
        <v>0</v>
      </c>
      <c r="AG271" s="432"/>
      <c r="AH271" s="432">
        <f t="shared" si="58"/>
        <v>0</v>
      </c>
      <c r="AL271" s="448"/>
      <c r="AM271" s="467">
        <f>VLOOKUP(AD271,[6]BV201101!$A$10:$A$1236,1,0)</f>
        <v>110809</v>
      </c>
    </row>
    <row r="272" spans="1:39" s="467" customFormat="1" ht="12.75" customHeight="1">
      <c r="A272" s="487" t="str">
        <f t="shared" si="54"/>
        <v>1</v>
      </c>
      <c r="B272" s="487" t="str">
        <f t="shared" si="55"/>
        <v>10</v>
      </c>
      <c r="C272" s="487" t="str">
        <f t="shared" si="56"/>
        <v>81</v>
      </c>
      <c r="D272" s="487" t="str">
        <f t="shared" si="57"/>
        <v>0810</v>
      </c>
      <c r="E272" s="487">
        <v>512202000</v>
      </c>
      <c r="F272" s="488" t="str">
        <f t="shared" si="47"/>
        <v/>
      </c>
      <c r="G272" s="487"/>
      <c r="H272" s="487"/>
      <c r="I272" s="488" t="str">
        <f t="shared" si="48"/>
        <v/>
      </c>
      <c r="J272" s="487"/>
      <c r="K272" s="487"/>
      <c r="L272" s="488" t="str">
        <f t="shared" si="49"/>
        <v/>
      </c>
      <c r="M272" s="487"/>
      <c r="N272" s="487"/>
      <c r="O272" s="488" t="str">
        <f t="shared" si="50"/>
        <v/>
      </c>
      <c r="P272" s="489"/>
      <c r="Q272" s="489"/>
      <c r="R272" s="592" t="str">
        <f t="shared" si="51"/>
        <v/>
      </c>
      <c r="S272" s="487"/>
      <c r="T272" s="487"/>
      <c r="U272" s="488" t="str">
        <f t="shared" si="52"/>
        <v/>
      </c>
      <c r="V272" s="489"/>
      <c r="W272" s="489"/>
      <c r="X272" s="488" t="str">
        <f t="shared" si="53"/>
        <v/>
      </c>
      <c r="Y272" s="489"/>
      <c r="Z272" s="489"/>
      <c r="AA272" s="490" t="str">
        <f t="shared" si="45"/>
        <v/>
      </c>
      <c r="AB272" s="489"/>
      <c r="AC272" s="489"/>
      <c r="AD272" s="27">
        <v>110810</v>
      </c>
      <c r="AE272" s="27" t="s">
        <v>2010</v>
      </c>
      <c r="AF272" s="432">
        <f>VLOOKUP(AD272,[5]Hoja1!$A$10:$K$1393,11,0)</f>
        <v>0</v>
      </c>
      <c r="AG272" s="432"/>
      <c r="AH272" s="432">
        <f t="shared" si="58"/>
        <v>0</v>
      </c>
      <c r="AL272" s="448"/>
      <c r="AM272" s="467">
        <f>VLOOKUP(AD272,[6]BV201101!$A$10:$A$1236,1,0)</f>
        <v>110810</v>
      </c>
    </row>
    <row r="273" spans="1:39" s="467" customFormat="1" ht="12.75" customHeight="1">
      <c r="A273" s="487" t="str">
        <f t="shared" si="54"/>
        <v>1</v>
      </c>
      <c r="B273" s="487" t="str">
        <f t="shared" si="55"/>
        <v>10</v>
      </c>
      <c r="C273" s="487" t="str">
        <f t="shared" si="56"/>
        <v>81</v>
      </c>
      <c r="D273" s="487" t="str">
        <f t="shared" si="57"/>
        <v>0811</v>
      </c>
      <c r="E273" s="487">
        <v>512202000</v>
      </c>
      <c r="F273" s="488" t="str">
        <f t="shared" si="47"/>
        <v/>
      </c>
      <c r="G273" s="487"/>
      <c r="H273" s="487"/>
      <c r="I273" s="488" t="str">
        <f t="shared" si="48"/>
        <v/>
      </c>
      <c r="J273" s="487"/>
      <c r="K273" s="487"/>
      <c r="L273" s="488" t="str">
        <f t="shared" si="49"/>
        <v/>
      </c>
      <c r="M273" s="487"/>
      <c r="N273" s="487"/>
      <c r="O273" s="488" t="str">
        <f t="shared" si="50"/>
        <v/>
      </c>
      <c r="P273" s="489"/>
      <c r="Q273" s="489"/>
      <c r="R273" s="592" t="str">
        <f t="shared" si="51"/>
        <v/>
      </c>
      <c r="S273" s="487"/>
      <c r="T273" s="487"/>
      <c r="U273" s="488" t="str">
        <f t="shared" si="52"/>
        <v/>
      </c>
      <c r="V273" s="489"/>
      <c r="W273" s="489"/>
      <c r="X273" s="488" t="str">
        <f t="shared" si="53"/>
        <v/>
      </c>
      <c r="Y273" s="489"/>
      <c r="Z273" s="489"/>
      <c r="AA273" s="490" t="str">
        <f t="shared" si="45"/>
        <v/>
      </c>
      <c r="AB273" s="489"/>
      <c r="AC273" s="489"/>
      <c r="AD273" s="27">
        <v>110811</v>
      </c>
      <c r="AE273" s="27" t="s">
        <v>223</v>
      </c>
      <c r="AF273" s="432">
        <v>0</v>
      </c>
      <c r="AG273" s="432"/>
      <c r="AH273" s="432">
        <f t="shared" si="58"/>
        <v>0</v>
      </c>
      <c r="AL273" s="448"/>
      <c r="AM273" s="467" t="e">
        <f>VLOOKUP(AD273,[6]BV201101!$A$10:$A$1236,1,0)</f>
        <v>#N/A</v>
      </c>
    </row>
    <row r="274" spans="1:39" s="467" customFormat="1" ht="12.75" customHeight="1">
      <c r="A274" s="487" t="str">
        <f t="shared" si="54"/>
        <v>1</v>
      </c>
      <c r="B274" s="487" t="str">
        <f t="shared" si="55"/>
        <v>10</v>
      </c>
      <c r="C274" s="487" t="str">
        <f t="shared" si="56"/>
        <v>81</v>
      </c>
      <c r="D274" s="487" t="str">
        <f t="shared" si="57"/>
        <v>0812</v>
      </c>
      <c r="E274" s="487">
        <v>512202000</v>
      </c>
      <c r="F274" s="488" t="str">
        <f t="shared" si="47"/>
        <v/>
      </c>
      <c r="G274" s="487"/>
      <c r="H274" s="487"/>
      <c r="I274" s="488" t="str">
        <f t="shared" si="48"/>
        <v/>
      </c>
      <c r="J274" s="487"/>
      <c r="K274" s="487"/>
      <c r="L274" s="488" t="str">
        <f t="shared" si="49"/>
        <v/>
      </c>
      <c r="M274" s="487"/>
      <c r="N274" s="487"/>
      <c r="O274" s="488" t="str">
        <f t="shared" si="50"/>
        <v/>
      </c>
      <c r="P274" s="489"/>
      <c r="Q274" s="489"/>
      <c r="R274" s="592" t="str">
        <f t="shared" si="51"/>
        <v/>
      </c>
      <c r="S274" s="487"/>
      <c r="T274" s="487"/>
      <c r="U274" s="488" t="str">
        <f t="shared" si="52"/>
        <v/>
      </c>
      <c r="V274" s="489"/>
      <c r="W274" s="489"/>
      <c r="X274" s="488" t="str">
        <f t="shared" si="53"/>
        <v/>
      </c>
      <c r="Y274" s="489"/>
      <c r="Z274" s="489"/>
      <c r="AA274" s="490" t="str">
        <f t="shared" si="45"/>
        <v/>
      </c>
      <c r="AB274" s="489"/>
      <c r="AC274" s="489"/>
      <c r="AD274" s="27">
        <v>110812</v>
      </c>
      <c r="AE274" s="27" t="s">
        <v>2011</v>
      </c>
      <c r="AF274" s="432">
        <f>VLOOKUP(AD274,[5]Hoja1!$A$10:$K$1393,11,0)</f>
        <v>1430354338</v>
      </c>
      <c r="AG274" s="432"/>
      <c r="AH274" s="432">
        <f t="shared" si="58"/>
        <v>1430354</v>
      </c>
      <c r="AL274" s="448"/>
      <c r="AM274" s="467">
        <f>VLOOKUP(AD274,[6]BV201101!$A$10:$A$1236,1,0)</f>
        <v>110812</v>
      </c>
    </row>
    <row r="275" spans="1:39" s="467" customFormat="1" ht="12.75" customHeight="1">
      <c r="A275" s="487" t="str">
        <f t="shared" si="54"/>
        <v>1</v>
      </c>
      <c r="B275" s="487" t="str">
        <f t="shared" si="55"/>
        <v>10</v>
      </c>
      <c r="C275" s="487" t="str">
        <f t="shared" si="56"/>
        <v>81</v>
      </c>
      <c r="D275" s="487" t="str">
        <f t="shared" si="57"/>
        <v>0813</v>
      </c>
      <c r="E275" s="487">
        <v>512202000</v>
      </c>
      <c r="F275" s="488" t="str">
        <f t="shared" si="47"/>
        <v/>
      </c>
      <c r="G275" s="487"/>
      <c r="H275" s="487"/>
      <c r="I275" s="488" t="str">
        <f t="shared" si="48"/>
        <v/>
      </c>
      <c r="J275" s="487"/>
      <c r="K275" s="487"/>
      <c r="L275" s="488" t="str">
        <f t="shared" si="49"/>
        <v/>
      </c>
      <c r="M275" s="487"/>
      <c r="N275" s="487"/>
      <c r="O275" s="488" t="str">
        <f t="shared" si="50"/>
        <v/>
      </c>
      <c r="P275" s="489"/>
      <c r="Q275" s="489"/>
      <c r="R275" s="592" t="str">
        <f t="shared" si="51"/>
        <v/>
      </c>
      <c r="S275" s="489"/>
      <c r="T275" s="487"/>
      <c r="U275" s="488" t="str">
        <f t="shared" si="52"/>
        <v/>
      </c>
      <c r="V275" s="489"/>
      <c r="W275" s="489"/>
      <c r="X275" s="488" t="str">
        <f t="shared" si="53"/>
        <v/>
      </c>
      <c r="Y275" s="489"/>
      <c r="Z275" s="489"/>
      <c r="AA275" s="490" t="str">
        <f t="shared" si="45"/>
        <v/>
      </c>
      <c r="AB275" s="489"/>
      <c r="AC275" s="489"/>
      <c r="AD275" s="27">
        <v>110813</v>
      </c>
      <c r="AE275" s="27" t="s">
        <v>2012</v>
      </c>
      <c r="AF275" s="432">
        <f>VLOOKUP(AD275,[5]Hoja1!$A$10:$K$1393,11,0)</f>
        <v>0</v>
      </c>
      <c r="AG275" s="432"/>
      <c r="AH275" s="432">
        <f t="shared" si="58"/>
        <v>0</v>
      </c>
      <c r="AI275" s="491"/>
      <c r="AJ275" s="445"/>
      <c r="AL275" s="418"/>
      <c r="AM275" s="467">
        <f>VLOOKUP(AD275,[6]BV201101!$A$10:$A$1236,1,0)</f>
        <v>110813</v>
      </c>
    </row>
    <row r="276" spans="1:39" s="467" customFormat="1" ht="12.75" customHeight="1">
      <c r="A276" s="487" t="str">
        <f t="shared" si="54"/>
        <v>1</v>
      </c>
      <c r="B276" s="487" t="str">
        <f t="shared" si="55"/>
        <v>10</v>
      </c>
      <c r="C276" s="487" t="str">
        <f t="shared" si="56"/>
        <v>81</v>
      </c>
      <c r="D276" s="487" t="str">
        <f t="shared" si="57"/>
        <v>0814</v>
      </c>
      <c r="E276" s="487">
        <v>512100000</v>
      </c>
      <c r="F276" s="488" t="str">
        <f t="shared" si="47"/>
        <v/>
      </c>
      <c r="G276" s="487"/>
      <c r="H276" s="487"/>
      <c r="I276" s="488" t="str">
        <f t="shared" si="48"/>
        <v/>
      </c>
      <c r="J276" s="487"/>
      <c r="K276" s="487"/>
      <c r="L276" s="488" t="str">
        <f t="shared" si="49"/>
        <v/>
      </c>
      <c r="M276" s="487"/>
      <c r="N276" s="487"/>
      <c r="O276" s="488" t="str">
        <f t="shared" si="50"/>
        <v/>
      </c>
      <c r="P276" s="489"/>
      <c r="Q276" s="489"/>
      <c r="R276" s="592" t="str">
        <f t="shared" si="51"/>
        <v/>
      </c>
      <c r="S276" s="487"/>
      <c r="T276" s="487"/>
      <c r="U276" s="488" t="str">
        <f t="shared" si="52"/>
        <v/>
      </c>
      <c r="V276" s="489"/>
      <c r="W276" s="489"/>
      <c r="X276" s="488" t="str">
        <f t="shared" si="53"/>
        <v/>
      </c>
      <c r="Y276" s="489"/>
      <c r="Z276" s="489"/>
      <c r="AA276" s="490" t="str">
        <f t="shared" si="45"/>
        <v/>
      </c>
      <c r="AB276" s="489"/>
      <c r="AC276" s="489"/>
      <c r="AD276" s="27">
        <v>110814</v>
      </c>
      <c r="AE276" s="27" t="s">
        <v>224</v>
      </c>
      <c r="AF276" s="432">
        <f>VLOOKUP(AD276,[5]Hoja1!$A$10:$K$1393,11,0)</f>
        <v>11289580</v>
      </c>
      <c r="AG276" s="432"/>
      <c r="AH276" s="432">
        <f t="shared" si="58"/>
        <v>11290</v>
      </c>
      <c r="AL276" s="418"/>
      <c r="AM276" s="467">
        <f>VLOOKUP(AD276,[6]BV201101!$A$10:$A$1236,1,0)</f>
        <v>110814</v>
      </c>
    </row>
    <row r="277" spans="1:39" s="467" customFormat="1" ht="12.75" customHeight="1">
      <c r="A277" s="487" t="str">
        <f t="shared" si="54"/>
        <v>1</v>
      </c>
      <c r="B277" s="487" t="str">
        <f t="shared" si="55"/>
        <v>10</v>
      </c>
      <c r="C277" s="487" t="str">
        <f t="shared" si="56"/>
        <v>81</v>
      </c>
      <c r="D277" s="487" t="str">
        <f t="shared" si="57"/>
        <v>0815</v>
      </c>
      <c r="E277" s="487">
        <v>512202000</v>
      </c>
      <c r="F277" s="488" t="str">
        <f t="shared" si="47"/>
        <v/>
      </c>
      <c r="G277" s="487"/>
      <c r="H277" s="487"/>
      <c r="I277" s="488" t="str">
        <f t="shared" si="48"/>
        <v/>
      </c>
      <c r="J277" s="487"/>
      <c r="K277" s="487"/>
      <c r="L277" s="488" t="str">
        <f t="shared" si="49"/>
        <v/>
      </c>
      <c r="M277" s="487"/>
      <c r="N277" s="487"/>
      <c r="O277" s="488" t="str">
        <f t="shared" si="50"/>
        <v/>
      </c>
      <c r="P277" s="489"/>
      <c r="Q277" s="489"/>
      <c r="R277" s="592" t="str">
        <f t="shared" si="51"/>
        <v/>
      </c>
      <c r="S277" s="487"/>
      <c r="T277" s="487"/>
      <c r="U277" s="488" t="str">
        <f t="shared" si="52"/>
        <v/>
      </c>
      <c r="V277" s="489"/>
      <c r="W277" s="489"/>
      <c r="X277" s="488" t="str">
        <f t="shared" si="53"/>
        <v/>
      </c>
      <c r="Y277" s="489"/>
      <c r="Z277" s="489"/>
      <c r="AA277" s="490" t="str">
        <f t="shared" ref="AA277:AA401" si="59">+AB277&amp;AC277</f>
        <v/>
      </c>
      <c r="AB277" s="489"/>
      <c r="AC277" s="489"/>
      <c r="AD277" s="27">
        <v>110815</v>
      </c>
      <c r="AE277" s="27" t="s">
        <v>2013</v>
      </c>
      <c r="AF277" s="432">
        <f>VLOOKUP(AD277,[5]Hoja1!$A$10:$K$1393,11,0)</f>
        <v>-24293</v>
      </c>
      <c r="AG277" s="432"/>
      <c r="AH277" s="432">
        <f t="shared" si="58"/>
        <v>-24</v>
      </c>
      <c r="AL277" s="418"/>
      <c r="AM277" s="467">
        <f>VLOOKUP(AD277,[6]BV201101!$A$10:$A$1236,1,0)</f>
        <v>110815</v>
      </c>
    </row>
    <row r="278" spans="1:39" s="467" customFormat="1" ht="12.75" customHeight="1">
      <c r="A278" s="487" t="str">
        <f t="shared" si="54"/>
        <v>1</v>
      </c>
      <c r="B278" s="487" t="str">
        <f t="shared" si="55"/>
        <v>10</v>
      </c>
      <c r="C278" s="487" t="str">
        <f t="shared" si="56"/>
        <v>81</v>
      </c>
      <c r="D278" s="487" t="str">
        <f t="shared" si="57"/>
        <v>0816</v>
      </c>
      <c r="E278" s="487">
        <v>512202000</v>
      </c>
      <c r="F278" s="488" t="str">
        <f t="shared" si="47"/>
        <v/>
      </c>
      <c r="G278" s="487"/>
      <c r="H278" s="487"/>
      <c r="I278" s="488" t="str">
        <f t="shared" si="48"/>
        <v/>
      </c>
      <c r="J278" s="487"/>
      <c r="K278" s="487"/>
      <c r="L278" s="488" t="str">
        <f t="shared" si="49"/>
        <v/>
      </c>
      <c r="M278" s="487"/>
      <c r="N278" s="487"/>
      <c r="O278" s="488" t="str">
        <f t="shared" si="50"/>
        <v/>
      </c>
      <c r="P278" s="489"/>
      <c r="Q278" s="489"/>
      <c r="R278" s="592" t="str">
        <f t="shared" si="51"/>
        <v/>
      </c>
      <c r="S278" s="487"/>
      <c r="T278" s="487"/>
      <c r="U278" s="488" t="str">
        <f t="shared" si="52"/>
        <v/>
      </c>
      <c r="V278" s="489"/>
      <c r="W278" s="489"/>
      <c r="X278" s="488" t="str">
        <f t="shared" si="53"/>
        <v/>
      </c>
      <c r="Y278" s="489"/>
      <c r="Z278" s="489"/>
      <c r="AA278" s="490" t="str">
        <f t="shared" si="59"/>
        <v/>
      </c>
      <c r="AB278" s="489"/>
      <c r="AC278" s="489"/>
      <c r="AD278" s="27">
        <v>110816</v>
      </c>
      <c r="AE278" s="27" t="s">
        <v>225</v>
      </c>
      <c r="AF278" s="432">
        <f>VLOOKUP(AD278,[5]Hoja1!$A$10:$K$1393,11,0)</f>
        <v>0</v>
      </c>
      <c r="AG278" s="432"/>
      <c r="AH278" s="432">
        <f t="shared" si="58"/>
        <v>0</v>
      </c>
      <c r="AL278" s="418"/>
      <c r="AM278" s="467">
        <f>VLOOKUP(AD278,[6]BV201101!$A$10:$A$1236,1,0)</f>
        <v>110816</v>
      </c>
    </row>
    <row r="279" spans="1:39" s="467" customFormat="1" ht="12.75" customHeight="1">
      <c r="A279" s="487" t="str">
        <f t="shared" si="54"/>
        <v>1</v>
      </c>
      <c r="B279" s="487" t="str">
        <f t="shared" si="55"/>
        <v>10</v>
      </c>
      <c r="C279" s="487" t="str">
        <f t="shared" si="56"/>
        <v>81</v>
      </c>
      <c r="D279" s="487" t="str">
        <f t="shared" si="57"/>
        <v>0817</v>
      </c>
      <c r="E279" s="487">
        <v>512202000</v>
      </c>
      <c r="F279" s="488" t="str">
        <f t="shared" si="47"/>
        <v/>
      </c>
      <c r="G279" s="487"/>
      <c r="H279" s="487"/>
      <c r="I279" s="488" t="str">
        <f t="shared" si="48"/>
        <v/>
      </c>
      <c r="J279" s="487"/>
      <c r="K279" s="487"/>
      <c r="L279" s="488" t="str">
        <f t="shared" si="49"/>
        <v/>
      </c>
      <c r="M279" s="487"/>
      <c r="N279" s="487"/>
      <c r="O279" s="488" t="str">
        <f t="shared" si="50"/>
        <v/>
      </c>
      <c r="P279" s="489"/>
      <c r="Q279" s="489"/>
      <c r="R279" s="592" t="str">
        <f t="shared" si="51"/>
        <v/>
      </c>
      <c r="S279" s="487"/>
      <c r="T279" s="487"/>
      <c r="U279" s="488" t="str">
        <f t="shared" si="52"/>
        <v/>
      </c>
      <c r="V279" s="489"/>
      <c r="W279" s="489"/>
      <c r="X279" s="488" t="str">
        <f t="shared" si="53"/>
        <v/>
      </c>
      <c r="Y279" s="489"/>
      <c r="Z279" s="489"/>
      <c r="AA279" s="490" t="str">
        <f t="shared" si="59"/>
        <v/>
      </c>
      <c r="AB279" s="489"/>
      <c r="AC279" s="489"/>
      <c r="AD279" s="27">
        <v>110817</v>
      </c>
      <c r="AE279" s="27" t="s">
        <v>2014</v>
      </c>
      <c r="AF279" s="432">
        <f>VLOOKUP(AD279,[5]Hoja1!$A$10:$K$1393,11,0)</f>
        <v>0</v>
      </c>
      <c r="AG279" s="432"/>
      <c r="AH279" s="432">
        <f t="shared" si="58"/>
        <v>0</v>
      </c>
      <c r="AL279" s="448"/>
      <c r="AM279" s="467">
        <f>VLOOKUP(AD279,[6]BV201101!$A$10:$A$1236,1,0)</f>
        <v>110817</v>
      </c>
    </row>
    <row r="280" spans="1:39" s="467" customFormat="1" ht="12.75" customHeight="1">
      <c r="A280" s="487" t="str">
        <f t="shared" si="54"/>
        <v>1</v>
      </c>
      <c r="B280" s="487" t="str">
        <f t="shared" si="55"/>
        <v>10</v>
      </c>
      <c r="C280" s="487" t="str">
        <f t="shared" si="56"/>
        <v>81</v>
      </c>
      <c r="D280" s="487" t="str">
        <f t="shared" si="57"/>
        <v>0818</v>
      </c>
      <c r="E280" s="487">
        <v>512202000</v>
      </c>
      <c r="F280" s="488" t="str">
        <f t="shared" si="47"/>
        <v/>
      </c>
      <c r="G280" s="487"/>
      <c r="H280" s="487"/>
      <c r="I280" s="488" t="str">
        <f t="shared" si="48"/>
        <v/>
      </c>
      <c r="J280" s="487"/>
      <c r="K280" s="487"/>
      <c r="L280" s="488" t="str">
        <f t="shared" si="49"/>
        <v/>
      </c>
      <c r="M280" s="487"/>
      <c r="N280" s="487"/>
      <c r="O280" s="488" t="str">
        <f t="shared" si="50"/>
        <v/>
      </c>
      <c r="P280" s="489"/>
      <c r="Q280" s="489"/>
      <c r="R280" s="592" t="str">
        <f t="shared" si="51"/>
        <v/>
      </c>
      <c r="S280" s="487"/>
      <c r="T280" s="487"/>
      <c r="U280" s="488" t="str">
        <f t="shared" si="52"/>
        <v/>
      </c>
      <c r="V280" s="489"/>
      <c r="W280" s="489"/>
      <c r="X280" s="488" t="str">
        <f t="shared" si="53"/>
        <v/>
      </c>
      <c r="Y280" s="489"/>
      <c r="Z280" s="489"/>
      <c r="AA280" s="490" t="str">
        <f t="shared" si="59"/>
        <v/>
      </c>
      <c r="AB280" s="489"/>
      <c r="AC280" s="489"/>
      <c r="AD280" s="27">
        <v>110818</v>
      </c>
      <c r="AE280" s="27" t="s">
        <v>2015</v>
      </c>
      <c r="AF280" s="432">
        <f>VLOOKUP(AD280,[5]Hoja1!$A$10:$K$1393,11,0)</f>
        <v>0</v>
      </c>
      <c r="AG280" s="432"/>
      <c r="AH280" s="432">
        <f t="shared" si="58"/>
        <v>0</v>
      </c>
      <c r="AL280" s="448"/>
      <c r="AM280" s="467">
        <f>VLOOKUP(AD280,[6]BV201101!$A$10:$A$1236,1,0)</f>
        <v>110818</v>
      </c>
    </row>
    <row r="281" spans="1:39" s="467" customFormat="1" ht="12.75" customHeight="1">
      <c r="A281" s="487" t="str">
        <f t="shared" si="54"/>
        <v>1</v>
      </c>
      <c r="B281" s="487" t="str">
        <f t="shared" si="55"/>
        <v>10</v>
      </c>
      <c r="C281" s="487" t="str">
        <f t="shared" si="56"/>
        <v>81</v>
      </c>
      <c r="D281" s="487" t="str">
        <f t="shared" si="57"/>
        <v>0819</v>
      </c>
      <c r="E281" s="487">
        <v>512202000</v>
      </c>
      <c r="F281" s="488" t="str">
        <f t="shared" si="47"/>
        <v/>
      </c>
      <c r="G281" s="487"/>
      <c r="H281" s="487"/>
      <c r="I281" s="488" t="str">
        <f t="shared" si="48"/>
        <v/>
      </c>
      <c r="J281" s="487"/>
      <c r="K281" s="487"/>
      <c r="L281" s="488" t="str">
        <f t="shared" si="49"/>
        <v/>
      </c>
      <c r="M281" s="487"/>
      <c r="N281" s="487"/>
      <c r="O281" s="488" t="str">
        <f t="shared" si="50"/>
        <v/>
      </c>
      <c r="P281" s="489"/>
      <c r="Q281" s="489"/>
      <c r="R281" s="592" t="str">
        <f t="shared" si="51"/>
        <v/>
      </c>
      <c r="S281" s="487"/>
      <c r="T281" s="487"/>
      <c r="U281" s="488" t="str">
        <f t="shared" si="52"/>
        <v/>
      </c>
      <c r="V281" s="489"/>
      <c r="W281" s="489"/>
      <c r="X281" s="488" t="str">
        <f t="shared" si="53"/>
        <v/>
      </c>
      <c r="Y281" s="489"/>
      <c r="Z281" s="489"/>
      <c r="AA281" s="490" t="str">
        <f t="shared" si="59"/>
        <v/>
      </c>
      <c r="AB281" s="489"/>
      <c r="AC281" s="489"/>
      <c r="AD281" s="27">
        <v>110819</v>
      </c>
      <c r="AE281" s="27" t="s">
        <v>2016</v>
      </c>
      <c r="AF281" s="432">
        <f>VLOOKUP(AD281,[5]Hoja1!$A$10:$K$1393,11,0)</f>
        <v>0</v>
      </c>
      <c r="AG281" s="432"/>
      <c r="AH281" s="432">
        <f t="shared" si="58"/>
        <v>0</v>
      </c>
      <c r="AL281" s="448"/>
      <c r="AM281" s="467">
        <f>VLOOKUP(AD281,[6]BV201101!$A$10:$A$1236,1,0)</f>
        <v>110819</v>
      </c>
    </row>
    <row r="282" spans="1:39" s="467" customFormat="1" ht="12.75" customHeight="1">
      <c r="A282" s="487" t="str">
        <f t="shared" si="54"/>
        <v>1</v>
      </c>
      <c r="B282" s="487" t="str">
        <f t="shared" si="55"/>
        <v>10</v>
      </c>
      <c r="C282" s="487" t="str">
        <f t="shared" si="56"/>
        <v>82</v>
      </c>
      <c r="D282" s="487" t="str">
        <f t="shared" si="57"/>
        <v>0820</v>
      </c>
      <c r="E282" s="487">
        <v>512202000</v>
      </c>
      <c r="F282" s="488" t="str">
        <f t="shared" si="47"/>
        <v/>
      </c>
      <c r="G282" s="487"/>
      <c r="H282" s="487"/>
      <c r="I282" s="488" t="str">
        <f t="shared" si="48"/>
        <v/>
      </c>
      <c r="J282" s="487"/>
      <c r="K282" s="487"/>
      <c r="L282" s="488" t="str">
        <f t="shared" si="49"/>
        <v/>
      </c>
      <c r="M282" s="487"/>
      <c r="N282" s="487"/>
      <c r="O282" s="488" t="str">
        <f t="shared" si="50"/>
        <v/>
      </c>
      <c r="P282" s="489"/>
      <c r="Q282" s="489"/>
      <c r="R282" s="592" t="str">
        <f t="shared" si="51"/>
        <v/>
      </c>
      <c r="S282" s="487"/>
      <c r="T282" s="487"/>
      <c r="U282" s="488" t="str">
        <f t="shared" si="52"/>
        <v/>
      </c>
      <c r="V282" s="489"/>
      <c r="W282" s="489"/>
      <c r="X282" s="488" t="str">
        <f t="shared" si="53"/>
        <v/>
      </c>
      <c r="Y282" s="489"/>
      <c r="Z282" s="489"/>
      <c r="AA282" s="490" t="str">
        <f t="shared" si="59"/>
        <v/>
      </c>
      <c r="AB282" s="489"/>
      <c r="AC282" s="489"/>
      <c r="AD282" s="27">
        <v>110820</v>
      </c>
      <c r="AE282" s="27" t="s">
        <v>2017</v>
      </c>
      <c r="AF282" s="432">
        <f>VLOOKUP(AD282,[5]Hoja1!$A$10:$K$1393,11,0)</f>
        <v>531648692</v>
      </c>
      <c r="AG282" s="432"/>
      <c r="AH282" s="432">
        <f t="shared" si="58"/>
        <v>531649</v>
      </c>
      <c r="AL282" s="448"/>
      <c r="AM282" s="467">
        <f>VLOOKUP(AD282,[6]BV201101!$A$10:$A$1236,1,0)</f>
        <v>110820</v>
      </c>
    </row>
    <row r="283" spans="1:39" s="467" customFormat="1" ht="12.75" customHeight="1">
      <c r="A283" s="487" t="str">
        <f t="shared" si="54"/>
        <v>1</v>
      </c>
      <c r="B283" s="487" t="str">
        <f t="shared" si="55"/>
        <v>10</v>
      </c>
      <c r="C283" s="487" t="str">
        <f t="shared" si="56"/>
        <v>82</v>
      </c>
      <c r="D283" s="487" t="str">
        <f t="shared" si="57"/>
        <v>0821</v>
      </c>
      <c r="E283" s="487">
        <v>512202000</v>
      </c>
      <c r="F283" s="488" t="str">
        <f t="shared" si="47"/>
        <v/>
      </c>
      <c r="G283" s="487"/>
      <c r="H283" s="487"/>
      <c r="I283" s="488" t="str">
        <f t="shared" si="48"/>
        <v/>
      </c>
      <c r="J283" s="487"/>
      <c r="K283" s="487"/>
      <c r="L283" s="488" t="str">
        <f t="shared" si="49"/>
        <v/>
      </c>
      <c r="M283" s="487"/>
      <c r="N283" s="487"/>
      <c r="O283" s="488" t="str">
        <f t="shared" si="50"/>
        <v/>
      </c>
      <c r="P283" s="489"/>
      <c r="Q283" s="489"/>
      <c r="R283" s="592" t="str">
        <f t="shared" si="51"/>
        <v/>
      </c>
      <c r="S283" s="487"/>
      <c r="T283" s="487"/>
      <c r="U283" s="488" t="str">
        <f t="shared" si="52"/>
        <v/>
      </c>
      <c r="V283" s="489"/>
      <c r="W283" s="489"/>
      <c r="X283" s="488" t="str">
        <f t="shared" si="53"/>
        <v/>
      </c>
      <c r="Y283" s="489"/>
      <c r="Z283" s="489"/>
      <c r="AA283" s="490" t="str">
        <f t="shared" si="59"/>
        <v/>
      </c>
      <c r="AB283" s="489"/>
      <c r="AC283" s="489"/>
      <c r="AD283" s="27">
        <v>110821</v>
      </c>
      <c r="AE283" s="27" t="s">
        <v>2018</v>
      </c>
      <c r="AF283" s="432">
        <f>VLOOKUP(AD283,[5]Hoja1!$A$10:$K$1393,11,0)</f>
        <v>6645981745</v>
      </c>
      <c r="AG283" s="432"/>
      <c r="AH283" s="432">
        <f t="shared" si="58"/>
        <v>6645982</v>
      </c>
      <c r="AL283" s="448"/>
      <c r="AM283" s="467">
        <f>VLOOKUP(AD283,[6]BV201101!$A$10:$A$1236,1,0)</f>
        <v>110821</v>
      </c>
    </row>
    <row r="284" spans="1:39" s="467" customFormat="1" ht="12.75" customHeight="1">
      <c r="A284" s="487" t="str">
        <f t="shared" si="54"/>
        <v>1</v>
      </c>
      <c r="B284" s="487" t="str">
        <f t="shared" si="55"/>
        <v>10</v>
      </c>
      <c r="C284" s="487" t="str">
        <f t="shared" si="56"/>
        <v>82</v>
      </c>
      <c r="D284" s="487" t="str">
        <f t="shared" si="57"/>
        <v>0822</v>
      </c>
      <c r="E284" s="487">
        <v>512202000</v>
      </c>
      <c r="F284" s="488" t="str">
        <f t="shared" si="47"/>
        <v/>
      </c>
      <c r="G284" s="487"/>
      <c r="H284" s="487"/>
      <c r="I284" s="488" t="str">
        <f t="shared" si="48"/>
        <v/>
      </c>
      <c r="J284" s="487"/>
      <c r="K284" s="487"/>
      <c r="L284" s="488" t="str">
        <f t="shared" si="49"/>
        <v/>
      </c>
      <c r="M284" s="487"/>
      <c r="N284" s="487"/>
      <c r="O284" s="488" t="str">
        <f t="shared" si="50"/>
        <v/>
      </c>
      <c r="P284" s="489"/>
      <c r="Q284" s="489"/>
      <c r="R284" s="592" t="str">
        <f t="shared" si="51"/>
        <v/>
      </c>
      <c r="S284" s="487"/>
      <c r="T284" s="487"/>
      <c r="U284" s="488" t="str">
        <f t="shared" si="52"/>
        <v/>
      </c>
      <c r="V284" s="489"/>
      <c r="W284" s="489"/>
      <c r="X284" s="488" t="str">
        <f t="shared" si="53"/>
        <v/>
      </c>
      <c r="Y284" s="489"/>
      <c r="Z284" s="489"/>
      <c r="AA284" s="490" t="str">
        <f t="shared" si="59"/>
        <v/>
      </c>
      <c r="AB284" s="489"/>
      <c r="AC284" s="489"/>
      <c r="AD284" s="27">
        <v>110822</v>
      </c>
      <c r="AE284" s="27" t="s">
        <v>2019</v>
      </c>
      <c r="AF284" s="432">
        <f>VLOOKUP(AD284,[5]Hoja1!$A$10:$K$1393,11,0)</f>
        <v>0</v>
      </c>
      <c r="AG284" s="432"/>
      <c r="AH284" s="432">
        <f t="shared" si="58"/>
        <v>0</v>
      </c>
      <c r="AL284" s="448"/>
      <c r="AM284" s="467">
        <f>VLOOKUP(AD284,[6]BV201101!$A$10:$A$1236,1,0)</f>
        <v>110822</v>
      </c>
    </row>
    <row r="285" spans="1:39" s="467" customFormat="1" ht="12.75" customHeight="1">
      <c r="A285" s="487" t="str">
        <f t="shared" si="54"/>
        <v>1</v>
      </c>
      <c r="B285" s="487" t="str">
        <f t="shared" si="55"/>
        <v>10</v>
      </c>
      <c r="C285" s="487" t="str">
        <f t="shared" si="56"/>
        <v>82</v>
      </c>
      <c r="D285" s="487" t="str">
        <f t="shared" si="57"/>
        <v>0823</v>
      </c>
      <c r="E285" s="487">
        <v>512202000</v>
      </c>
      <c r="F285" s="488"/>
      <c r="G285" s="487"/>
      <c r="H285" s="487"/>
      <c r="I285" s="488"/>
      <c r="J285" s="487"/>
      <c r="K285" s="487"/>
      <c r="L285" s="488"/>
      <c r="M285" s="487"/>
      <c r="N285" s="487"/>
      <c r="O285" s="488"/>
      <c r="P285" s="489"/>
      <c r="Q285" s="489"/>
      <c r="R285" s="592"/>
      <c r="S285" s="487"/>
      <c r="T285" s="487"/>
      <c r="U285" s="488"/>
      <c r="V285" s="489"/>
      <c r="W285" s="489"/>
      <c r="X285" s="488"/>
      <c r="Y285" s="489"/>
      <c r="Z285" s="489"/>
      <c r="AA285" s="490"/>
      <c r="AB285" s="489"/>
      <c r="AC285" s="489"/>
      <c r="AD285" s="27">
        <v>110823</v>
      </c>
      <c r="AE285" s="27" t="s">
        <v>729</v>
      </c>
      <c r="AF285" s="432">
        <v>0</v>
      </c>
      <c r="AG285" s="432"/>
      <c r="AH285" s="432">
        <f t="shared" si="58"/>
        <v>0</v>
      </c>
      <c r="AL285" s="448"/>
      <c r="AM285" s="467" t="e">
        <f>VLOOKUP(AD285,[6]BV201101!$A$10:$A$1236,1,0)</f>
        <v>#N/A</v>
      </c>
    </row>
    <row r="286" spans="1:39" s="467" customFormat="1" ht="12.75" customHeight="1">
      <c r="A286" s="487" t="str">
        <f t="shared" ref="A286:A352" si="60">+LEFT($AD286,1)</f>
        <v>1</v>
      </c>
      <c r="B286" s="487" t="str">
        <f t="shared" si="55"/>
        <v>10</v>
      </c>
      <c r="C286" s="487" t="str">
        <f t="shared" si="56"/>
        <v>82</v>
      </c>
      <c r="D286" s="487" t="str">
        <f t="shared" si="57"/>
        <v>0824</v>
      </c>
      <c r="E286" s="487">
        <v>512202000</v>
      </c>
      <c r="F286" s="488"/>
      <c r="G286" s="487"/>
      <c r="H286" s="487"/>
      <c r="I286" s="488"/>
      <c r="J286" s="487"/>
      <c r="K286" s="487"/>
      <c r="L286" s="488"/>
      <c r="M286" s="487"/>
      <c r="N286" s="487"/>
      <c r="O286" s="488"/>
      <c r="P286" s="489"/>
      <c r="Q286" s="489"/>
      <c r="R286" s="592"/>
      <c r="S286" s="487"/>
      <c r="T286" s="487"/>
      <c r="U286" s="488"/>
      <c r="V286" s="489"/>
      <c r="W286" s="489"/>
      <c r="X286" s="488"/>
      <c r="Y286" s="489"/>
      <c r="Z286" s="489"/>
      <c r="AA286" s="490"/>
      <c r="AB286" s="489"/>
      <c r="AC286" s="489"/>
      <c r="AD286" s="27">
        <v>110824</v>
      </c>
      <c r="AE286" s="27" t="s">
        <v>730</v>
      </c>
      <c r="AF286" s="432">
        <v>0</v>
      </c>
      <c r="AG286" s="432"/>
      <c r="AH286" s="432">
        <f t="shared" si="58"/>
        <v>0</v>
      </c>
      <c r="AL286" s="448"/>
      <c r="AM286" s="467" t="e">
        <f>VLOOKUP(AD286,[6]BV201101!$A$10:$A$1236,1,0)</f>
        <v>#N/A</v>
      </c>
    </row>
    <row r="287" spans="1:39" s="467" customFormat="1" ht="12.75" customHeight="1">
      <c r="A287" s="487" t="str">
        <f t="shared" si="60"/>
        <v>1</v>
      </c>
      <c r="B287" s="487" t="str">
        <f t="shared" si="55"/>
        <v>10</v>
      </c>
      <c r="C287" s="487" t="str">
        <f t="shared" si="56"/>
        <v>82</v>
      </c>
      <c r="D287" s="487" t="str">
        <f t="shared" si="57"/>
        <v>0825</v>
      </c>
      <c r="E287" s="487">
        <v>514450000</v>
      </c>
      <c r="F287" s="488"/>
      <c r="G287" s="487"/>
      <c r="H287" s="487"/>
      <c r="I287" s="488"/>
      <c r="J287" s="487"/>
      <c r="K287" s="487"/>
      <c r="L287" s="488"/>
      <c r="M287" s="487"/>
      <c r="N287" s="487"/>
      <c r="O287" s="488"/>
      <c r="P287" s="489"/>
      <c r="Q287" s="489"/>
      <c r="R287" s="592"/>
      <c r="S287" s="487"/>
      <c r="T287" s="487"/>
      <c r="U287" s="488"/>
      <c r="V287" s="489"/>
      <c r="W287" s="489"/>
      <c r="X287" s="488"/>
      <c r="Y287" s="489"/>
      <c r="Z287" s="489"/>
      <c r="AA287" s="490"/>
      <c r="AB287" s="489"/>
      <c r="AC287" s="489"/>
      <c r="AD287" s="27">
        <v>110825</v>
      </c>
      <c r="AE287" s="27" t="s">
        <v>2020</v>
      </c>
      <c r="AF287" s="432">
        <f>VLOOKUP(AD287,[5]Hoja1!$A$10:$K$1393,11,0)</f>
        <v>-3983940</v>
      </c>
      <c r="AG287" s="432"/>
      <c r="AH287" s="432">
        <f t="shared" si="58"/>
        <v>-3984</v>
      </c>
      <c r="AL287" s="448"/>
      <c r="AM287" s="467">
        <f>VLOOKUP(AD287,[6]BV201101!$A$10:$A$1236,1,0)</f>
        <v>110825</v>
      </c>
    </row>
    <row r="288" spans="1:39" s="467" customFormat="1" ht="12.75" customHeight="1">
      <c r="A288" s="487" t="str">
        <f t="shared" si="60"/>
        <v>1</v>
      </c>
      <c r="B288" s="487" t="str">
        <f t="shared" si="55"/>
        <v>10</v>
      </c>
      <c r="C288" s="487" t="str">
        <f t="shared" si="56"/>
        <v>82</v>
      </c>
      <c r="D288" s="487" t="str">
        <f t="shared" si="57"/>
        <v>0827</v>
      </c>
      <c r="E288" s="487">
        <v>512202000</v>
      </c>
      <c r="F288" s="488"/>
      <c r="G288" s="487"/>
      <c r="H288" s="487"/>
      <c r="I288" s="488"/>
      <c r="J288" s="487"/>
      <c r="K288" s="487"/>
      <c r="L288" s="488"/>
      <c r="M288" s="487"/>
      <c r="N288" s="487"/>
      <c r="O288" s="488"/>
      <c r="P288" s="489"/>
      <c r="Q288" s="489"/>
      <c r="R288" s="592"/>
      <c r="S288" s="487"/>
      <c r="T288" s="487"/>
      <c r="U288" s="488"/>
      <c r="V288" s="489"/>
      <c r="W288" s="489"/>
      <c r="X288" s="488"/>
      <c r="Y288" s="489"/>
      <c r="Z288" s="489"/>
      <c r="AA288" s="490"/>
      <c r="AB288" s="489"/>
      <c r="AC288" s="489"/>
      <c r="AD288" s="27">
        <v>110827</v>
      </c>
      <c r="AE288" s="27" t="s">
        <v>1519</v>
      </c>
      <c r="AF288" s="432">
        <f>VLOOKUP(AD288,[5]Hoja1!$A$10:$K$1393,11,0)</f>
        <v>0</v>
      </c>
      <c r="AG288" s="432"/>
      <c r="AH288" s="432">
        <f t="shared" si="58"/>
        <v>0</v>
      </c>
      <c r="AL288" s="448"/>
      <c r="AM288" s="467">
        <f>VLOOKUP(AD288,[6]BV201101!$A$10:$A$1236,1,0)</f>
        <v>110827</v>
      </c>
    </row>
    <row r="289" spans="1:39" s="467" customFormat="1" ht="12.75" customHeight="1">
      <c r="A289" s="487" t="str">
        <f t="shared" si="60"/>
        <v>1</v>
      </c>
      <c r="B289" s="487" t="str">
        <f t="shared" si="55"/>
        <v>10</v>
      </c>
      <c r="C289" s="487" t="str">
        <f t="shared" si="56"/>
        <v>82</v>
      </c>
      <c r="D289" s="487" t="str">
        <f t="shared" si="57"/>
        <v>0829</v>
      </c>
      <c r="E289" s="487">
        <v>512202000</v>
      </c>
      <c r="F289" s="488"/>
      <c r="G289" s="487"/>
      <c r="H289" s="487"/>
      <c r="I289" s="488"/>
      <c r="J289" s="487"/>
      <c r="K289" s="487"/>
      <c r="L289" s="488"/>
      <c r="M289" s="487"/>
      <c r="N289" s="487"/>
      <c r="O289" s="488"/>
      <c r="P289" s="489"/>
      <c r="Q289" s="489"/>
      <c r="R289" s="592"/>
      <c r="S289" s="487"/>
      <c r="T289" s="487"/>
      <c r="U289" s="488"/>
      <c r="V289" s="489"/>
      <c r="W289" s="489"/>
      <c r="X289" s="488"/>
      <c r="Y289" s="489"/>
      <c r="Z289" s="489"/>
      <c r="AA289" s="490"/>
      <c r="AB289" s="489"/>
      <c r="AC289" s="489"/>
      <c r="AD289" s="27">
        <v>110829</v>
      </c>
      <c r="AE289" s="27" t="s">
        <v>2021</v>
      </c>
      <c r="AF289" s="432">
        <f>VLOOKUP(AD289,[5]Hoja1!$A$10:$K$1393,11,0)</f>
        <v>-93134593</v>
      </c>
      <c r="AG289" s="432"/>
      <c r="AH289" s="432">
        <f t="shared" si="58"/>
        <v>-93135</v>
      </c>
      <c r="AL289" s="448"/>
      <c r="AM289" s="467">
        <f>VLOOKUP(AD289,[6]BV201101!$A$10:$A$1236,1,0)</f>
        <v>110829</v>
      </c>
    </row>
    <row r="290" spans="1:39" s="467" customFormat="1" ht="12.75" customHeight="1">
      <c r="A290" s="487" t="str">
        <f t="shared" si="60"/>
        <v>1</v>
      </c>
      <c r="B290" s="487" t="str">
        <f t="shared" si="55"/>
        <v>10</v>
      </c>
      <c r="C290" s="487" t="str">
        <f t="shared" si="56"/>
        <v>83</v>
      </c>
      <c r="D290" s="487" t="str">
        <f t="shared" si="57"/>
        <v>0830</v>
      </c>
      <c r="E290" s="487">
        <v>512202000</v>
      </c>
      <c r="F290" s="488"/>
      <c r="G290" s="487"/>
      <c r="H290" s="487"/>
      <c r="I290" s="488"/>
      <c r="J290" s="487"/>
      <c r="K290" s="487"/>
      <c r="L290" s="488"/>
      <c r="M290" s="487"/>
      <c r="N290" s="487"/>
      <c r="O290" s="488"/>
      <c r="P290" s="489"/>
      <c r="Q290" s="489"/>
      <c r="R290" s="592"/>
      <c r="S290" s="487"/>
      <c r="T290" s="487"/>
      <c r="U290" s="488"/>
      <c r="V290" s="489"/>
      <c r="W290" s="489"/>
      <c r="X290" s="488"/>
      <c r="Y290" s="489"/>
      <c r="Z290" s="489"/>
      <c r="AA290" s="490"/>
      <c r="AB290" s="489"/>
      <c r="AC290" s="489"/>
      <c r="AD290" s="27">
        <v>110830</v>
      </c>
      <c r="AE290" s="27" t="s">
        <v>1548</v>
      </c>
      <c r="AF290" s="432">
        <v>0</v>
      </c>
      <c r="AG290" s="432"/>
      <c r="AH290" s="432">
        <f t="shared" si="58"/>
        <v>0</v>
      </c>
      <c r="AL290" s="448"/>
      <c r="AM290" s="467">
        <f>VLOOKUP(AD290,[6]BV201101!$A$10:$A$1236,1,0)</f>
        <v>110830</v>
      </c>
    </row>
    <row r="291" spans="1:39" s="467" customFormat="1" ht="12.75" customHeight="1">
      <c r="A291" s="487" t="str">
        <f t="shared" si="60"/>
        <v>1</v>
      </c>
      <c r="B291" s="487" t="str">
        <f t="shared" si="55"/>
        <v>10</v>
      </c>
      <c r="C291" s="487" t="str">
        <f t="shared" si="56"/>
        <v>83</v>
      </c>
      <c r="D291" s="487" t="str">
        <f t="shared" si="57"/>
        <v>0831</v>
      </c>
      <c r="E291" s="487">
        <v>512202000</v>
      </c>
      <c r="F291" s="488"/>
      <c r="G291" s="487"/>
      <c r="H291" s="487"/>
      <c r="I291" s="488"/>
      <c r="J291" s="487"/>
      <c r="K291" s="487"/>
      <c r="L291" s="488"/>
      <c r="M291" s="487"/>
      <c r="N291" s="487"/>
      <c r="O291" s="488"/>
      <c r="P291" s="489"/>
      <c r="Q291" s="489"/>
      <c r="R291" s="592"/>
      <c r="S291" s="487"/>
      <c r="T291" s="487"/>
      <c r="U291" s="488"/>
      <c r="V291" s="489"/>
      <c r="W291" s="489"/>
      <c r="X291" s="488"/>
      <c r="Y291" s="489"/>
      <c r="Z291" s="489"/>
      <c r="AA291" s="490"/>
      <c r="AB291" s="489"/>
      <c r="AC291" s="489"/>
      <c r="AD291" s="27">
        <v>110831</v>
      </c>
      <c r="AE291" s="27" t="s">
        <v>1096</v>
      </c>
      <c r="AF291" s="432">
        <v>0</v>
      </c>
      <c r="AG291" s="432"/>
      <c r="AH291" s="432">
        <f t="shared" si="58"/>
        <v>0</v>
      </c>
      <c r="AL291" s="448"/>
      <c r="AM291" s="467">
        <f>VLOOKUP(AD291,[6]BV201101!$A$10:$A$1236,1,0)</f>
        <v>110831</v>
      </c>
    </row>
    <row r="292" spans="1:39" s="467" customFormat="1" ht="12.75" customHeight="1">
      <c r="A292" s="487" t="str">
        <f t="shared" si="60"/>
        <v>1</v>
      </c>
      <c r="B292" s="487" t="str">
        <f t="shared" si="55"/>
        <v>10</v>
      </c>
      <c r="C292" s="487" t="str">
        <f t="shared" si="56"/>
        <v>83</v>
      </c>
      <c r="D292" s="487" t="str">
        <f t="shared" si="57"/>
        <v>0832</v>
      </c>
      <c r="E292" s="487">
        <v>512202000</v>
      </c>
      <c r="F292" s="488"/>
      <c r="G292" s="487"/>
      <c r="H292" s="487"/>
      <c r="I292" s="488"/>
      <c r="J292" s="487"/>
      <c r="K292" s="487"/>
      <c r="L292" s="488"/>
      <c r="M292" s="487"/>
      <c r="N292" s="487"/>
      <c r="O292" s="488"/>
      <c r="P292" s="489"/>
      <c r="Q292" s="489"/>
      <c r="R292" s="592"/>
      <c r="S292" s="487"/>
      <c r="T292" s="487"/>
      <c r="U292" s="488"/>
      <c r="V292" s="489"/>
      <c r="W292" s="489"/>
      <c r="X292" s="488"/>
      <c r="Y292" s="489"/>
      <c r="Z292" s="489"/>
      <c r="AA292" s="490"/>
      <c r="AB292" s="489"/>
      <c r="AC292" s="489"/>
      <c r="AD292" s="27">
        <v>110832</v>
      </c>
      <c r="AE292" s="27" t="s">
        <v>2604</v>
      </c>
      <c r="AF292" s="432">
        <f>VLOOKUP(AD292,[5]Hoja1!$A$10:$K$1393,11,0)</f>
        <v>0</v>
      </c>
      <c r="AG292" s="432"/>
      <c r="AH292" s="432">
        <f t="shared" si="58"/>
        <v>0</v>
      </c>
      <c r="AL292" s="448"/>
    </row>
    <row r="293" spans="1:39" s="467" customFormat="1" ht="12.75" customHeight="1">
      <c r="A293" s="487" t="str">
        <f t="shared" si="60"/>
        <v>1</v>
      </c>
      <c r="B293" s="487" t="str">
        <f t="shared" si="55"/>
        <v>10</v>
      </c>
      <c r="C293" s="487" t="str">
        <f t="shared" si="56"/>
        <v>83</v>
      </c>
      <c r="D293" s="487" t="str">
        <f t="shared" si="57"/>
        <v>0834</v>
      </c>
      <c r="E293" s="487">
        <v>512100000</v>
      </c>
      <c r="F293" s="488"/>
      <c r="G293" s="487"/>
      <c r="H293" s="487"/>
      <c r="I293" s="488"/>
      <c r="J293" s="487"/>
      <c r="K293" s="487"/>
      <c r="L293" s="488"/>
      <c r="M293" s="487"/>
      <c r="N293" s="487"/>
      <c r="O293" s="488"/>
      <c r="P293" s="489"/>
      <c r="Q293" s="489"/>
      <c r="R293" s="592"/>
      <c r="S293" s="487"/>
      <c r="T293" s="487"/>
      <c r="U293" s="488"/>
      <c r="V293" s="489"/>
      <c r="W293" s="489"/>
      <c r="X293" s="488"/>
      <c r="Y293" s="489"/>
      <c r="Z293" s="489"/>
      <c r="AA293" s="490"/>
      <c r="AB293" s="489"/>
      <c r="AC293" s="489"/>
      <c r="AD293" s="27">
        <v>110834</v>
      </c>
      <c r="AE293" s="1021" t="s">
        <v>3522</v>
      </c>
      <c r="AF293" s="432">
        <f>VLOOKUP(AD293,[5]Hoja1!$A$10:$K$1393,11,0)</f>
        <v>1323974205</v>
      </c>
      <c r="AG293" s="432"/>
      <c r="AH293" s="432">
        <f t="shared" si="58"/>
        <v>1323974</v>
      </c>
      <c r="AL293" s="448"/>
    </row>
    <row r="294" spans="1:39" s="467" customFormat="1" ht="12.75" customHeight="1">
      <c r="A294" s="487" t="str">
        <f t="shared" si="60"/>
        <v>1</v>
      </c>
      <c r="B294" s="487" t="str">
        <f t="shared" si="55"/>
        <v>10</v>
      </c>
      <c r="C294" s="487" t="str">
        <f t="shared" si="56"/>
        <v>84</v>
      </c>
      <c r="D294" s="487" t="str">
        <f t="shared" si="57"/>
        <v>0840</v>
      </c>
      <c r="E294" s="487">
        <v>524470000</v>
      </c>
      <c r="F294" s="488"/>
      <c r="G294" s="487"/>
      <c r="H294" s="487"/>
      <c r="I294" s="488"/>
      <c r="J294" s="487"/>
      <c r="K294" s="487"/>
      <c r="L294" s="488"/>
      <c r="M294" s="487"/>
      <c r="N294" s="487"/>
      <c r="O294" s="488"/>
      <c r="P294" s="489"/>
      <c r="Q294" s="489"/>
      <c r="R294" s="592"/>
      <c r="S294" s="487"/>
      <c r="T294" s="487"/>
      <c r="U294" s="488"/>
      <c r="V294" s="489"/>
      <c r="W294" s="489"/>
      <c r="X294" s="488"/>
      <c r="Y294" s="489"/>
      <c r="Z294" s="489"/>
      <c r="AA294" s="490"/>
      <c r="AB294" s="489"/>
      <c r="AC294" s="489"/>
      <c r="AD294" s="27">
        <v>110840</v>
      </c>
      <c r="AE294" s="27" t="s">
        <v>731</v>
      </c>
      <c r="AF294" s="432">
        <f>VLOOKUP(AD294,[5]Hoja1!$A$10:$K$1393,11,0)</f>
        <v>-16302813</v>
      </c>
      <c r="AG294" s="432"/>
      <c r="AH294" s="432">
        <f t="shared" si="58"/>
        <v>-16303</v>
      </c>
      <c r="AL294" s="448"/>
      <c r="AM294" s="467">
        <f>VLOOKUP(AD294,[6]BV201101!$A$10:$A$1236,1,0)</f>
        <v>110840</v>
      </c>
    </row>
    <row r="295" spans="1:39" s="467" customFormat="1" ht="12.75" customHeight="1">
      <c r="A295" s="487" t="str">
        <f t="shared" si="60"/>
        <v>1</v>
      </c>
      <c r="B295" s="487" t="str">
        <f t="shared" si="55"/>
        <v>10</v>
      </c>
      <c r="C295" s="487" t="str">
        <f t="shared" si="56"/>
        <v>84</v>
      </c>
      <c r="D295" s="487" t="str">
        <f t="shared" si="57"/>
        <v>0841</v>
      </c>
      <c r="E295" s="487">
        <v>524470000</v>
      </c>
      <c r="F295" s="488"/>
      <c r="G295" s="487"/>
      <c r="H295" s="487"/>
      <c r="I295" s="488"/>
      <c r="J295" s="487"/>
      <c r="K295" s="487"/>
      <c r="L295" s="488"/>
      <c r="M295" s="487"/>
      <c r="N295" s="487"/>
      <c r="O295" s="488"/>
      <c r="P295" s="489"/>
      <c r="Q295" s="489"/>
      <c r="R295" s="592"/>
      <c r="S295" s="487"/>
      <c r="T295" s="487"/>
      <c r="U295" s="488"/>
      <c r="V295" s="489"/>
      <c r="W295" s="489"/>
      <c r="X295" s="488"/>
      <c r="Y295" s="489"/>
      <c r="Z295" s="489"/>
      <c r="AA295" s="490"/>
      <c r="AB295" s="489"/>
      <c r="AC295" s="489"/>
      <c r="AD295" s="27">
        <v>110841</v>
      </c>
      <c r="AE295" s="27" t="s">
        <v>732</v>
      </c>
      <c r="AF295" s="432">
        <f>VLOOKUP(AD295,[5]Hoja1!$A$10:$K$1393,11,0)</f>
        <v>-11100116</v>
      </c>
      <c r="AG295" s="432"/>
      <c r="AH295" s="432">
        <f t="shared" si="58"/>
        <v>-11100</v>
      </c>
      <c r="AL295" s="448"/>
      <c r="AM295" s="467">
        <f>VLOOKUP(AD295,[6]BV201101!$A$10:$A$1236,1,0)</f>
        <v>110841</v>
      </c>
    </row>
    <row r="296" spans="1:39" s="467" customFormat="1" ht="12.75" customHeight="1">
      <c r="A296" s="487" t="str">
        <f t="shared" si="60"/>
        <v>1</v>
      </c>
      <c r="B296" s="487" t="str">
        <f t="shared" si="55"/>
        <v>10</v>
      </c>
      <c r="C296" s="487" t="str">
        <f t="shared" si="56"/>
        <v>84</v>
      </c>
      <c r="D296" s="487" t="str">
        <f t="shared" si="57"/>
        <v>0842</v>
      </c>
      <c r="E296" s="487">
        <v>512202000</v>
      </c>
      <c r="F296" s="488"/>
      <c r="G296" s="487"/>
      <c r="H296" s="487"/>
      <c r="I296" s="488"/>
      <c r="J296" s="487"/>
      <c r="K296" s="487"/>
      <c r="L296" s="488"/>
      <c r="M296" s="487"/>
      <c r="N296" s="487"/>
      <c r="O296" s="488"/>
      <c r="P296" s="489"/>
      <c r="Q296" s="489"/>
      <c r="R296" s="592"/>
      <c r="S296" s="487"/>
      <c r="T296" s="487"/>
      <c r="U296" s="488"/>
      <c r="V296" s="489"/>
      <c r="W296" s="489"/>
      <c r="X296" s="488"/>
      <c r="Y296" s="489"/>
      <c r="Z296" s="489"/>
      <c r="AA296" s="490"/>
      <c r="AB296" s="489"/>
      <c r="AC296" s="489"/>
      <c r="AD296" s="27">
        <v>110842</v>
      </c>
      <c r="AE296" s="27" t="s">
        <v>1304</v>
      </c>
      <c r="AF296" s="432">
        <f>VLOOKUP(AD296,[5]Hoja1!$A$10:$K$1393,11,0)</f>
        <v>0</v>
      </c>
      <c r="AG296" s="432"/>
      <c r="AH296" s="432">
        <f t="shared" si="58"/>
        <v>0</v>
      </c>
      <c r="AL296" s="448"/>
      <c r="AM296" s="467">
        <f>VLOOKUP(AD296,[6]BV201101!$A$10:$A$1236,1,0)</f>
        <v>110842</v>
      </c>
    </row>
    <row r="297" spans="1:39" s="467" customFormat="1" ht="12.75" customHeight="1">
      <c r="A297" s="487" t="str">
        <f t="shared" si="60"/>
        <v>1</v>
      </c>
      <c r="B297" s="487" t="str">
        <f t="shared" si="55"/>
        <v>10</v>
      </c>
      <c r="C297" s="487" t="str">
        <f t="shared" si="56"/>
        <v>84</v>
      </c>
      <c r="D297" s="487" t="str">
        <f t="shared" si="57"/>
        <v>0843</v>
      </c>
      <c r="E297" s="487">
        <v>524470000</v>
      </c>
      <c r="F297" s="488"/>
      <c r="G297" s="487"/>
      <c r="H297" s="487"/>
      <c r="I297" s="488"/>
      <c r="J297" s="487"/>
      <c r="K297" s="487"/>
      <c r="L297" s="488"/>
      <c r="M297" s="487"/>
      <c r="N297" s="487"/>
      <c r="O297" s="488"/>
      <c r="P297" s="489"/>
      <c r="Q297" s="489"/>
      <c r="R297" s="592"/>
      <c r="S297" s="487"/>
      <c r="T297" s="487"/>
      <c r="U297" s="488"/>
      <c r="V297" s="489"/>
      <c r="W297" s="489"/>
      <c r="X297" s="488"/>
      <c r="Y297" s="489"/>
      <c r="Z297" s="489"/>
      <c r="AA297" s="490"/>
      <c r="AB297" s="489"/>
      <c r="AC297" s="489"/>
      <c r="AD297" s="27">
        <v>110843</v>
      </c>
      <c r="AE297" s="27" t="s">
        <v>1305</v>
      </c>
      <c r="AF297" s="432">
        <f>VLOOKUP(AD297,[5]Hoja1!$A$10:$K$1393,11,0)</f>
        <v>-6852422</v>
      </c>
      <c r="AG297" s="432"/>
      <c r="AH297" s="432">
        <f t="shared" si="58"/>
        <v>-6852</v>
      </c>
      <c r="AL297" s="448"/>
      <c r="AM297" s="467">
        <f>VLOOKUP(AD297,[6]BV201101!$A$10:$A$1236,1,0)</f>
        <v>110843</v>
      </c>
    </row>
    <row r="298" spans="1:39" s="467" customFormat="1" ht="12.75" customHeight="1">
      <c r="A298" s="487" t="str">
        <f t="shared" si="60"/>
        <v>1</v>
      </c>
      <c r="B298" s="487" t="str">
        <f t="shared" si="55"/>
        <v>10</v>
      </c>
      <c r="C298" s="487" t="str">
        <f t="shared" si="56"/>
        <v>84</v>
      </c>
      <c r="D298" s="487" t="str">
        <f t="shared" si="57"/>
        <v>0845</v>
      </c>
      <c r="E298" s="487">
        <v>512202000</v>
      </c>
      <c r="F298" s="488"/>
      <c r="G298" s="487"/>
      <c r="H298" s="487"/>
      <c r="I298" s="488"/>
      <c r="J298" s="487"/>
      <c r="K298" s="487"/>
      <c r="L298" s="488"/>
      <c r="M298" s="487"/>
      <c r="N298" s="487"/>
      <c r="O298" s="488"/>
      <c r="P298" s="489"/>
      <c r="Q298" s="489"/>
      <c r="R298" s="592"/>
      <c r="S298" s="487"/>
      <c r="T298" s="487"/>
      <c r="U298" s="488"/>
      <c r="V298" s="489"/>
      <c r="W298" s="489"/>
      <c r="X298" s="488"/>
      <c r="Y298" s="489"/>
      <c r="Z298" s="489"/>
      <c r="AA298" s="490"/>
      <c r="AB298" s="489"/>
      <c r="AC298" s="489"/>
      <c r="AD298" s="27">
        <v>110845</v>
      </c>
      <c r="AE298" s="27" t="s">
        <v>2022</v>
      </c>
      <c r="AF298" s="432">
        <f>VLOOKUP(AD298,[5]Hoja1!$A$10:$K$1393,11,0)</f>
        <v>0</v>
      </c>
      <c r="AG298" s="432"/>
      <c r="AH298" s="432">
        <f t="shared" si="58"/>
        <v>0</v>
      </c>
      <c r="AL298" s="448"/>
      <c r="AM298" s="467">
        <f>VLOOKUP(AD298,[6]BV201101!$A$10:$A$1236,1,0)</f>
        <v>110845</v>
      </c>
    </row>
    <row r="299" spans="1:39" s="467" customFormat="1" ht="12.75" customHeight="1">
      <c r="A299" s="487" t="str">
        <f t="shared" si="60"/>
        <v>1</v>
      </c>
      <c r="B299" s="487" t="str">
        <f t="shared" si="55"/>
        <v>10</v>
      </c>
      <c r="C299" s="487" t="str">
        <f t="shared" si="56"/>
        <v>84</v>
      </c>
      <c r="D299" s="487" t="str">
        <f t="shared" si="57"/>
        <v>0846</v>
      </c>
      <c r="E299" s="487">
        <v>524470000</v>
      </c>
      <c r="F299" s="488"/>
      <c r="G299" s="487"/>
      <c r="H299" s="487"/>
      <c r="I299" s="488"/>
      <c r="J299" s="487"/>
      <c r="K299" s="487"/>
      <c r="L299" s="488"/>
      <c r="M299" s="487"/>
      <c r="N299" s="487"/>
      <c r="O299" s="488"/>
      <c r="P299" s="489"/>
      <c r="Q299" s="489"/>
      <c r="R299" s="592"/>
      <c r="S299" s="487"/>
      <c r="T299" s="487"/>
      <c r="U299" s="488"/>
      <c r="V299" s="489"/>
      <c r="W299" s="489"/>
      <c r="X299" s="488"/>
      <c r="Y299" s="489"/>
      <c r="Z299" s="489"/>
      <c r="AA299" s="490"/>
      <c r="AB299" s="489"/>
      <c r="AC299" s="489"/>
      <c r="AD299" s="27">
        <v>110846</v>
      </c>
      <c r="AE299" s="27" t="s">
        <v>2023</v>
      </c>
      <c r="AF299" s="432">
        <f>VLOOKUP(AD299,[5]Hoja1!$A$10:$K$1393,11,0)</f>
        <v>-94458</v>
      </c>
      <c r="AG299" s="432"/>
      <c r="AH299" s="432">
        <f t="shared" si="58"/>
        <v>-94</v>
      </c>
      <c r="AL299" s="448"/>
      <c r="AM299" s="467">
        <f>VLOOKUP(AD299,[6]BV201101!$A$10:$A$1236,1,0)</f>
        <v>110846</v>
      </c>
    </row>
    <row r="300" spans="1:39" s="467" customFormat="1" ht="12.75" customHeight="1">
      <c r="A300" s="487" t="str">
        <f t="shared" si="60"/>
        <v>1</v>
      </c>
      <c r="B300" s="487" t="str">
        <f t="shared" si="55"/>
        <v>10</v>
      </c>
      <c r="C300" s="487" t="str">
        <f t="shared" si="56"/>
        <v>84</v>
      </c>
      <c r="D300" s="487" t="str">
        <f t="shared" si="57"/>
        <v>0848</v>
      </c>
      <c r="E300" s="487">
        <v>512202000</v>
      </c>
      <c r="F300" s="488"/>
      <c r="G300" s="487"/>
      <c r="H300" s="487"/>
      <c r="I300" s="488"/>
      <c r="J300" s="487"/>
      <c r="K300" s="487"/>
      <c r="L300" s="488"/>
      <c r="M300" s="487"/>
      <c r="N300" s="487"/>
      <c r="O300" s="488"/>
      <c r="P300" s="489"/>
      <c r="Q300" s="489"/>
      <c r="R300" s="592"/>
      <c r="S300" s="487"/>
      <c r="T300" s="487"/>
      <c r="U300" s="488"/>
      <c r="V300" s="489"/>
      <c r="W300" s="489"/>
      <c r="X300" s="488"/>
      <c r="Y300" s="489"/>
      <c r="Z300" s="489"/>
      <c r="AA300" s="490"/>
      <c r="AB300" s="489"/>
      <c r="AC300" s="489"/>
      <c r="AD300" s="27">
        <v>110848</v>
      </c>
      <c r="AE300" s="27" t="s">
        <v>2024</v>
      </c>
      <c r="AF300" s="432">
        <v>0</v>
      </c>
      <c r="AG300" s="432"/>
      <c r="AH300" s="432">
        <f t="shared" si="58"/>
        <v>0</v>
      </c>
      <c r="AL300" s="448"/>
      <c r="AM300" s="467">
        <f>VLOOKUP(AD300,[6]BV201101!$A$10:$A$1236,1,0)</f>
        <v>110848</v>
      </c>
    </row>
    <row r="301" spans="1:39" s="467" customFormat="1" ht="12.75" customHeight="1">
      <c r="A301" s="487" t="str">
        <f t="shared" si="60"/>
        <v>1</v>
      </c>
      <c r="B301" s="487" t="str">
        <f t="shared" si="55"/>
        <v>10</v>
      </c>
      <c r="C301" s="487" t="str">
        <f t="shared" si="56"/>
        <v>84</v>
      </c>
      <c r="D301" s="487" t="str">
        <f t="shared" si="57"/>
        <v>0849</v>
      </c>
      <c r="E301" s="487">
        <v>512202000</v>
      </c>
      <c r="F301" s="488"/>
      <c r="G301" s="487"/>
      <c r="H301" s="487"/>
      <c r="I301" s="488"/>
      <c r="J301" s="487"/>
      <c r="K301" s="487"/>
      <c r="L301" s="488"/>
      <c r="M301" s="487"/>
      <c r="N301" s="487"/>
      <c r="O301" s="488"/>
      <c r="P301" s="489"/>
      <c r="Q301" s="489"/>
      <c r="R301" s="592"/>
      <c r="S301" s="487"/>
      <c r="T301" s="487"/>
      <c r="U301" s="488"/>
      <c r="V301" s="489"/>
      <c r="W301" s="489"/>
      <c r="X301" s="488"/>
      <c r="Y301" s="489"/>
      <c r="Z301" s="489"/>
      <c r="AA301" s="490"/>
      <c r="AB301" s="489"/>
      <c r="AC301" s="489"/>
      <c r="AD301" s="27">
        <v>110849</v>
      </c>
      <c r="AE301" s="27" t="s">
        <v>2025</v>
      </c>
      <c r="AF301" s="432">
        <f>VLOOKUP(AD301,[5]Hoja1!$A$10:$K$1393,11,0)</f>
        <v>0</v>
      </c>
      <c r="AG301" s="432"/>
      <c r="AH301" s="432">
        <f t="shared" si="58"/>
        <v>0</v>
      </c>
      <c r="AL301" s="448"/>
      <c r="AM301" s="467">
        <f>VLOOKUP(AD301,[6]BV201101!$A$10:$A$1236,1,0)</f>
        <v>110849</v>
      </c>
    </row>
    <row r="302" spans="1:39" s="467" customFormat="1" ht="12.75" customHeight="1">
      <c r="A302" s="487" t="str">
        <f t="shared" si="60"/>
        <v>1</v>
      </c>
      <c r="B302" s="487" t="str">
        <f t="shared" si="55"/>
        <v>10</v>
      </c>
      <c r="C302" s="487" t="str">
        <f t="shared" si="56"/>
        <v>85</v>
      </c>
      <c r="D302" s="487" t="str">
        <f t="shared" si="57"/>
        <v>0851</v>
      </c>
      <c r="E302" s="590">
        <v>512202000</v>
      </c>
      <c r="F302" s="488"/>
      <c r="G302" s="487"/>
      <c r="H302" s="487"/>
      <c r="I302" s="488"/>
      <c r="J302" s="487"/>
      <c r="K302" s="487"/>
      <c r="L302" s="488"/>
      <c r="M302" s="487"/>
      <c r="N302" s="487"/>
      <c r="O302" s="488"/>
      <c r="P302" s="489"/>
      <c r="Q302" s="489"/>
      <c r="R302" s="592"/>
      <c r="S302" s="487"/>
      <c r="T302" s="487"/>
      <c r="U302" s="488"/>
      <c r="V302" s="489"/>
      <c r="W302" s="489"/>
      <c r="X302" s="488"/>
      <c r="Y302" s="489"/>
      <c r="Z302" s="489"/>
      <c r="AA302" s="490"/>
      <c r="AB302" s="489"/>
      <c r="AC302" s="489"/>
      <c r="AD302" s="27">
        <v>110851</v>
      </c>
      <c r="AE302" s="27" t="s">
        <v>1897</v>
      </c>
      <c r="AF302" s="432">
        <f>VLOOKUP(AD302,[5]Hoja1!$A$10:$K$1393,11,0)</f>
        <v>0</v>
      </c>
      <c r="AG302" s="432"/>
      <c r="AH302" s="432">
        <f t="shared" si="58"/>
        <v>0</v>
      </c>
      <c r="AL302" s="448"/>
      <c r="AM302" s="467">
        <f>VLOOKUP(AD302,[6]BV201101!$A$10:$A$1236,1,0)</f>
        <v>110851</v>
      </c>
    </row>
    <row r="303" spans="1:39" s="467" customFormat="1" ht="12.75" customHeight="1">
      <c r="A303" s="487" t="str">
        <f t="shared" si="60"/>
        <v>1</v>
      </c>
      <c r="B303" s="487" t="str">
        <f t="shared" si="55"/>
        <v>10</v>
      </c>
      <c r="C303" s="487" t="str">
        <f t="shared" si="56"/>
        <v>85</v>
      </c>
      <c r="D303" s="487" t="str">
        <f t="shared" si="57"/>
        <v>0852</v>
      </c>
      <c r="E303" s="590">
        <v>512202000</v>
      </c>
      <c r="F303" s="488"/>
      <c r="G303" s="487"/>
      <c r="H303" s="487"/>
      <c r="I303" s="488"/>
      <c r="J303" s="487"/>
      <c r="K303" s="487"/>
      <c r="L303" s="488"/>
      <c r="M303" s="487"/>
      <c r="N303" s="487"/>
      <c r="O303" s="488"/>
      <c r="P303" s="489"/>
      <c r="Q303" s="489"/>
      <c r="R303" s="592"/>
      <c r="S303" s="487"/>
      <c r="T303" s="487"/>
      <c r="U303" s="488"/>
      <c r="V303" s="489"/>
      <c r="W303" s="489"/>
      <c r="X303" s="488"/>
      <c r="Y303" s="489"/>
      <c r="Z303" s="489"/>
      <c r="AA303" s="490"/>
      <c r="AB303" s="489"/>
      <c r="AC303" s="489"/>
      <c r="AD303" s="27">
        <v>110852</v>
      </c>
      <c r="AE303" s="27" t="s">
        <v>1898</v>
      </c>
      <c r="AF303" s="432">
        <f>VLOOKUP(AD303,[5]Hoja1!$A$10:$K$1393,11,0)</f>
        <v>0</v>
      </c>
      <c r="AG303" s="432"/>
      <c r="AH303" s="432">
        <f t="shared" si="58"/>
        <v>0</v>
      </c>
      <c r="AL303" s="448"/>
      <c r="AM303" s="467">
        <f>VLOOKUP(AD303,[6]BV201101!$A$10:$A$1236,1,0)</f>
        <v>110852</v>
      </c>
    </row>
    <row r="304" spans="1:39" s="467" customFormat="1" ht="12.75" customHeight="1">
      <c r="A304" s="487" t="str">
        <f t="shared" si="60"/>
        <v>1</v>
      </c>
      <c r="B304" s="487" t="str">
        <f t="shared" si="55"/>
        <v>10</v>
      </c>
      <c r="C304" s="487" t="str">
        <f t="shared" si="56"/>
        <v>85</v>
      </c>
      <c r="D304" s="487" t="str">
        <f t="shared" si="57"/>
        <v>0853</v>
      </c>
      <c r="E304" s="590">
        <v>514340000</v>
      </c>
      <c r="F304" s="488"/>
      <c r="G304" s="487"/>
      <c r="H304" s="487"/>
      <c r="I304" s="488"/>
      <c r="J304" s="487"/>
      <c r="K304" s="487"/>
      <c r="L304" s="488"/>
      <c r="M304" s="487"/>
      <c r="N304" s="487"/>
      <c r="O304" s="488"/>
      <c r="P304" s="489"/>
      <c r="Q304" s="489"/>
      <c r="R304" s="592"/>
      <c r="S304" s="487"/>
      <c r="T304" s="487"/>
      <c r="U304" s="488"/>
      <c r="V304" s="489"/>
      <c r="W304" s="489"/>
      <c r="X304" s="488"/>
      <c r="Y304" s="489"/>
      <c r="Z304" s="489"/>
      <c r="AA304" s="490"/>
      <c r="AB304" s="489"/>
      <c r="AC304" s="489"/>
      <c r="AD304" s="27">
        <v>110853</v>
      </c>
      <c r="AE304" s="27" t="s">
        <v>1899</v>
      </c>
      <c r="AF304" s="432">
        <f>VLOOKUP(AD304,[5]Hoja1!$A$10:$K$1393,11,0)</f>
        <v>0</v>
      </c>
      <c r="AG304" s="432"/>
      <c r="AH304" s="432">
        <f t="shared" si="58"/>
        <v>0</v>
      </c>
      <c r="AL304" s="448"/>
      <c r="AM304" s="467">
        <f>VLOOKUP(AD304,[6]BV201101!$A$10:$A$1236,1,0)</f>
        <v>110853</v>
      </c>
    </row>
    <row r="305" spans="1:39" s="467" customFormat="1" ht="12.75" customHeight="1">
      <c r="A305" s="487" t="str">
        <f t="shared" si="60"/>
        <v>1</v>
      </c>
      <c r="B305" s="487" t="str">
        <f t="shared" si="55"/>
        <v>10</v>
      </c>
      <c r="C305" s="487" t="str">
        <f t="shared" si="56"/>
        <v>86</v>
      </c>
      <c r="D305" s="487" t="str">
        <f t="shared" si="57"/>
        <v>0869</v>
      </c>
      <c r="E305" s="487">
        <v>524470000</v>
      </c>
      <c r="F305" s="488"/>
      <c r="G305" s="487"/>
      <c r="H305" s="487"/>
      <c r="I305" s="488"/>
      <c r="J305" s="487"/>
      <c r="K305" s="487"/>
      <c r="L305" s="488"/>
      <c r="M305" s="487"/>
      <c r="N305" s="487"/>
      <c r="O305" s="488"/>
      <c r="P305" s="489"/>
      <c r="Q305" s="489"/>
      <c r="R305" s="592"/>
      <c r="S305" s="487"/>
      <c r="T305" s="487"/>
      <c r="U305" s="488"/>
      <c r="V305" s="489"/>
      <c r="W305" s="489"/>
      <c r="X305" s="488"/>
      <c r="Y305" s="489"/>
      <c r="Z305" s="489"/>
      <c r="AA305" s="490"/>
      <c r="AB305" s="489"/>
      <c r="AC305" s="489"/>
      <c r="AD305" s="927">
        <v>110869</v>
      </c>
      <c r="AE305" s="27" t="s">
        <v>2677</v>
      </c>
      <c r="AF305" s="432">
        <f>VLOOKUP(AD305,[5]Hoja1!$A$10:$K$1393,11,0)</f>
        <v>0</v>
      </c>
      <c r="AG305" s="432"/>
      <c r="AH305" s="432">
        <f t="shared" si="58"/>
        <v>0</v>
      </c>
      <c r="AL305" s="448"/>
    </row>
    <row r="306" spans="1:39" s="467" customFormat="1" ht="12.75" customHeight="1">
      <c r="A306" s="487" t="str">
        <f t="shared" si="60"/>
        <v>1</v>
      </c>
      <c r="B306" s="487" t="str">
        <f t="shared" si="55"/>
        <v>10</v>
      </c>
      <c r="C306" s="487" t="str">
        <f t="shared" si="56"/>
        <v>78</v>
      </c>
      <c r="D306" s="487" t="str">
        <f t="shared" si="57"/>
        <v>0780</v>
      </c>
      <c r="E306" s="487">
        <v>524470000</v>
      </c>
      <c r="F306" s="488"/>
      <c r="G306" s="487"/>
      <c r="H306" s="487"/>
      <c r="I306" s="488"/>
      <c r="J306" s="487"/>
      <c r="K306" s="487"/>
      <c r="L306" s="488"/>
      <c r="M306" s="487"/>
      <c r="N306" s="487"/>
      <c r="O306" s="488"/>
      <c r="P306" s="489"/>
      <c r="Q306" s="489"/>
      <c r="R306" s="592"/>
      <c r="S306" s="487"/>
      <c r="T306" s="487"/>
      <c r="U306" s="488"/>
      <c r="V306" s="489"/>
      <c r="W306" s="489"/>
      <c r="X306" s="488"/>
      <c r="Y306" s="489"/>
      <c r="Z306" s="489"/>
      <c r="AA306" s="490"/>
      <c r="AB306" s="489"/>
      <c r="AC306" s="489"/>
      <c r="AD306" s="927">
        <v>110780</v>
      </c>
      <c r="AE306" s="27" t="s">
        <v>3063</v>
      </c>
      <c r="AF306" s="432">
        <v>0</v>
      </c>
      <c r="AG306" s="432"/>
      <c r="AH306" s="432">
        <f t="shared" si="58"/>
        <v>0</v>
      </c>
      <c r="AL306" s="448"/>
    </row>
    <row r="307" spans="1:39" s="467" customFormat="1" ht="12.75" customHeight="1">
      <c r="A307" s="487" t="str">
        <f t="shared" si="60"/>
        <v>1</v>
      </c>
      <c r="B307" s="487" t="str">
        <f t="shared" si="55"/>
        <v>10</v>
      </c>
      <c r="C307" s="487" t="str">
        <f t="shared" si="56"/>
        <v>90</v>
      </c>
      <c r="D307" s="487" t="str">
        <f t="shared" si="57"/>
        <v>0901</v>
      </c>
      <c r="E307" s="487">
        <v>513300000</v>
      </c>
      <c r="F307" s="488" t="str">
        <f t="shared" si="47"/>
        <v/>
      </c>
      <c r="G307" s="487"/>
      <c r="H307" s="487"/>
      <c r="I307" s="488" t="str">
        <f t="shared" si="48"/>
        <v/>
      </c>
      <c r="J307" s="487"/>
      <c r="K307" s="487"/>
      <c r="L307" s="488" t="str">
        <f t="shared" si="49"/>
        <v/>
      </c>
      <c r="M307" s="487"/>
      <c r="N307" s="487"/>
      <c r="O307" s="488" t="str">
        <f t="shared" si="50"/>
        <v/>
      </c>
      <c r="P307" s="489"/>
      <c r="Q307" s="489"/>
      <c r="R307" s="592" t="str">
        <f t="shared" si="51"/>
        <v>691213000202</v>
      </c>
      <c r="S307" s="487">
        <v>691213000</v>
      </c>
      <c r="T307" s="487">
        <v>202</v>
      </c>
      <c r="U307" s="488" t="str">
        <f t="shared" si="52"/>
        <v/>
      </c>
      <c r="V307" s="489"/>
      <c r="W307" s="489"/>
      <c r="X307" s="488" t="str">
        <f t="shared" si="53"/>
        <v/>
      </c>
      <c r="Y307" s="489"/>
      <c r="Z307" s="489"/>
      <c r="AA307" s="490" t="str">
        <f t="shared" si="59"/>
        <v>2216</v>
      </c>
      <c r="AB307" s="489">
        <v>22</v>
      </c>
      <c r="AC307" s="489">
        <v>16</v>
      </c>
      <c r="AD307" s="27">
        <v>110901</v>
      </c>
      <c r="AE307" s="27" t="s">
        <v>1729</v>
      </c>
      <c r="AF307" s="432">
        <f>VLOOKUP(AD307,[5]Hoja1!$A$10:$K$1393,11,0)</f>
        <v>831591366</v>
      </c>
      <c r="AG307" s="1508">
        <v>0</v>
      </c>
      <c r="AH307" s="432">
        <f t="shared" si="58"/>
        <v>831591</v>
      </c>
      <c r="AL307" s="448"/>
      <c r="AM307" s="467">
        <f>VLOOKUP(AD307,[6]BV201101!$A$10:$A$1236,1,0)</f>
        <v>110901</v>
      </c>
    </row>
    <row r="308" spans="1:39" s="467" customFormat="1" ht="12.75" customHeight="1">
      <c r="A308" s="487" t="str">
        <f t="shared" si="60"/>
        <v>1</v>
      </c>
      <c r="B308" s="487" t="str">
        <f t="shared" si="55"/>
        <v>11</v>
      </c>
      <c r="C308" s="487" t="str">
        <f t="shared" si="56"/>
        <v>00</v>
      </c>
      <c r="D308" s="487" t="str">
        <f t="shared" si="57"/>
        <v>1001</v>
      </c>
      <c r="E308" s="487">
        <v>513200000</v>
      </c>
      <c r="F308" s="488" t="str">
        <f t="shared" si="47"/>
        <v/>
      </c>
      <c r="G308" s="487"/>
      <c r="H308" s="487"/>
      <c r="I308" s="488" t="str">
        <f t="shared" si="48"/>
        <v/>
      </c>
      <c r="J308" s="487"/>
      <c r="K308" s="487"/>
      <c r="L308" s="488" t="str">
        <f t="shared" si="49"/>
        <v/>
      </c>
      <c r="M308" s="487"/>
      <c r="N308" s="487"/>
      <c r="O308" s="488" t="str">
        <f t="shared" si="50"/>
        <v/>
      </c>
      <c r="P308" s="489"/>
      <c r="Q308" s="489"/>
      <c r="R308" s="592" t="str">
        <f t="shared" si="51"/>
        <v/>
      </c>
      <c r="S308" s="487"/>
      <c r="T308" s="487"/>
      <c r="U308" s="488" t="str">
        <f t="shared" si="52"/>
        <v/>
      </c>
      <c r="V308" s="489"/>
      <c r="W308" s="489"/>
      <c r="X308" s="488" t="str">
        <f t="shared" si="53"/>
        <v/>
      </c>
      <c r="Y308" s="489"/>
      <c r="Z308" s="489"/>
      <c r="AA308" s="490" t="str">
        <f t="shared" si="59"/>
        <v>2218</v>
      </c>
      <c r="AB308" s="489">
        <v>22</v>
      </c>
      <c r="AC308" s="489">
        <v>18</v>
      </c>
      <c r="AD308" s="27">
        <v>111001</v>
      </c>
      <c r="AE308" s="27" t="s">
        <v>1169</v>
      </c>
      <c r="AF308" s="432">
        <f>VLOOKUP(AD308,[5]Hoja1!$A$10:$K$1393,11,0)</f>
        <v>1292930653</v>
      </c>
      <c r="AG308" s="432"/>
      <c r="AH308" s="432">
        <f t="shared" si="58"/>
        <v>1292931</v>
      </c>
      <c r="AL308" s="448"/>
      <c r="AM308" s="467">
        <f>VLOOKUP(AD308,[6]BV201101!$A$10:$A$1236,1,0)</f>
        <v>111001</v>
      </c>
    </row>
    <row r="309" spans="1:39" s="467" customFormat="1" ht="12.75" customHeight="1">
      <c r="A309" s="487" t="str">
        <f t="shared" si="60"/>
        <v>1</v>
      </c>
      <c r="B309" s="487" t="str">
        <f t="shared" si="55"/>
        <v>11</v>
      </c>
      <c r="C309" s="487" t="str">
        <f t="shared" si="56"/>
        <v>00</v>
      </c>
      <c r="D309" s="487" t="str">
        <f t="shared" si="57"/>
        <v>1002</v>
      </c>
      <c r="E309" s="487">
        <v>513300000</v>
      </c>
      <c r="F309" s="488" t="str">
        <f t="shared" si="47"/>
        <v/>
      </c>
      <c r="G309" s="487"/>
      <c r="H309" s="487"/>
      <c r="I309" s="488" t="str">
        <f t="shared" si="48"/>
        <v/>
      </c>
      <c r="J309" s="487"/>
      <c r="K309" s="487"/>
      <c r="L309" s="488" t="str">
        <f t="shared" si="49"/>
        <v/>
      </c>
      <c r="M309" s="487"/>
      <c r="N309" s="487"/>
      <c r="O309" s="488" t="str">
        <f t="shared" si="50"/>
        <v/>
      </c>
      <c r="P309" s="489"/>
      <c r="Q309" s="489"/>
      <c r="R309" s="592" t="str">
        <f t="shared" si="51"/>
        <v/>
      </c>
      <c r="S309" s="487"/>
      <c r="T309" s="487"/>
      <c r="U309" s="488" t="str">
        <f t="shared" si="52"/>
        <v/>
      </c>
      <c r="V309" s="489"/>
      <c r="W309" s="489"/>
      <c r="X309" s="488" t="str">
        <f t="shared" si="53"/>
        <v/>
      </c>
      <c r="Y309" s="489"/>
      <c r="Z309" s="489"/>
      <c r="AA309" s="490" t="str">
        <f t="shared" si="59"/>
        <v>2217</v>
      </c>
      <c r="AB309" s="489">
        <v>22</v>
      </c>
      <c r="AC309" s="489">
        <v>17</v>
      </c>
      <c r="AD309" s="27">
        <v>111002</v>
      </c>
      <c r="AE309" s="27" t="s">
        <v>838</v>
      </c>
      <c r="AF309" s="432">
        <f>VLOOKUP(AD309,[5]Hoja1!$A$10:$K$1393,11,0)</f>
        <v>452548233</v>
      </c>
      <c r="AG309" s="432"/>
      <c r="AH309" s="432">
        <f t="shared" si="58"/>
        <v>452548</v>
      </c>
      <c r="AL309" s="448"/>
      <c r="AM309" s="467">
        <f>VLOOKUP(AD309,[6]BV201101!$A$10:$A$1236,1,0)</f>
        <v>111002</v>
      </c>
    </row>
    <row r="310" spans="1:39" s="467" customFormat="1" ht="12.75" customHeight="1">
      <c r="A310" s="487" t="str">
        <f t="shared" si="60"/>
        <v>1</v>
      </c>
      <c r="B310" s="487" t="str">
        <f t="shared" si="55"/>
        <v>11</v>
      </c>
      <c r="C310" s="487" t="str">
        <f t="shared" si="56"/>
        <v>00</v>
      </c>
      <c r="D310" s="487" t="str">
        <f t="shared" si="57"/>
        <v>1003</v>
      </c>
      <c r="E310" s="487">
        <v>513200000</v>
      </c>
      <c r="F310" s="488" t="str">
        <f t="shared" si="47"/>
        <v/>
      </c>
      <c r="G310" s="487"/>
      <c r="H310" s="487"/>
      <c r="I310" s="488" t="str">
        <f t="shared" si="48"/>
        <v/>
      </c>
      <c r="J310" s="487"/>
      <c r="K310" s="487"/>
      <c r="L310" s="488" t="str">
        <f t="shared" si="49"/>
        <v/>
      </c>
      <c r="M310" s="487"/>
      <c r="N310" s="487"/>
      <c r="O310" s="488" t="str">
        <f t="shared" si="50"/>
        <v/>
      </c>
      <c r="P310" s="489"/>
      <c r="Q310" s="489"/>
      <c r="R310" s="592" t="str">
        <f t="shared" si="51"/>
        <v/>
      </c>
      <c r="S310" s="487"/>
      <c r="T310" s="487"/>
      <c r="U310" s="488" t="str">
        <f t="shared" si="52"/>
        <v/>
      </c>
      <c r="V310" s="489"/>
      <c r="W310" s="489"/>
      <c r="X310" s="488" t="str">
        <f t="shared" si="53"/>
        <v/>
      </c>
      <c r="Y310" s="489"/>
      <c r="Z310" s="489"/>
      <c r="AA310" s="490" t="str">
        <f t="shared" si="59"/>
        <v>2218</v>
      </c>
      <c r="AB310" s="489">
        <v>22</v>
      </c>
      <c r="AC310" s="489">
        <v>18</v>
      </c>
      <c r="AD310" s="27">
        <v>111003</v>
      </c>
      <c r="AE310" s="27" t="s">
        <v>2026</v>
      </c>
      <c r="AF310" s="432">
        <f>VLOOKUP(AD310,[5]Hoja1!$A$10:$K$1393,11,0)</f>
        <v>0</v>
      </c>
      <c r="AG310" s="432"/>
      <c r="AH310" s="432">
        <f t="shared" si="58"/>
        <v>0</v>
      </c>
      <c r="AL310" s="448"/>
      <c r="AM310" s="467">
        <f>VLOOKUP(AD310,[6]BV201101!$A$10:$A$1236,1,0)</f>
        <v>111003</v>
      </c>
    </row>
    <row r="311" spans="1:39" s="467" customFormat="1" ht="12.75" customHeight="1">
      <c r="A311" s="487" t="str">
        <f t="shared" si="60"/>
        <v>1</v>
      </c>
      <c r="B311" s="487" t="str">
        <f t="shared" si="55"/>
        <v>11</v>
      </c>
      <c r="C311" s="487" t="str">
        <f t="shared" si="56"/>
        <v>10</v>
      </c>
      <c r="D311" s="487" t="str">
        <f t="shared" si="57"/>
        <v>1101</v>
      </c>
      <c r="E311" s="487">
        <v>513300000</v>
      </c>
      <c r="F311" s="488" t="str">
        <f t="shared" si="47"/>
        <v/>
      </c>
      <c r="G311" s="487"/>
      <c r="H311" s="487"/>
      <c r="I311" s="488" t="str">
        <f t="shared" si="48"/>
        <v/>
      </c>
      <c r="J311" s="487"/>
      <c r="K311" s="487"/>
      <c r="L311" s="488" t="str">
        <f t="shared" si="49"/>
        <v/>
      </c>
      <c r="M311" s="487"/>
      <c r="N311" s="487"/>
      <c r="O311" s="488" t="str">
        <f t="shared" si="50"/>
        <v/>
      </c>
      <c r="P311" s="489"/>
      <c r="Q311" s="489"/>
      <c r="R311" s="592" t="str">
        <f t="shared" si="51"/>
        <v/>
      </c>
      <c r="S311" s="487"/>
      <c r="T311" s="487"/>
      <c r="U311" s="488" t="str">
        <f t="shared" si="52"/>
        <v/>
      </c>
      <c r="V311" s="489"/>
      <c r="W311" s="489"/>
      <c r="X311" s="488" t="str">
        <f t="shared" si="53"/>
        <v/>
      </c>
      <c r="Y311" s="489"/>
      <c r="Z311" s="489"/>
      <c r="AA311" s="490" t="str">
        <f t="shared" si="59"/>
        <v>2217</v>
      </c>
      <c r="AB311" s="489">
        <v>22</v>
      </c>
      <c r="AC311" s="489">
        <v>17</v>
      </c>
      <c r="AD311" s="27">
        <v>111101</v>
      </c>
      <c r="AE311" s="27" t="s">
        <v>2027</v>
      </c>
      <c r="AF311" s="432">
        <f>VLOOKUP(AD311,[5]Hoja1!$A$10:$K$1393,11,0)</f>
        <v>336860294</v>
      </c>
      <c r="AG311" s="432"/>
      <c r="AH311" s="432">
        <f t="shared" si="58"/>
        <v>336860</v>
      </c>
      <c r="AL311" s="448"/>
      <c r="AM311" s="467">
        <f>VLOOKUP(AD311,[6]BV201101!$A$10:$A$1236,1,0)</f>
        <v>111101</v>
      </c>
    </row>
    <row r="312" spans="1:39" s="467" customFormat="1" ht="12.75" customHeight="1">
      <c r="A312" s="487" t="str">
        <f t="shared" si="60"/>
        <v>1</v>
      </c>
      <c r="B312" s="487" t="str">
        <f t="shared" si="55"/>
        <v>11</v>
      </c>
      <c r="C312" s="487" t="str">
        <f t="shared" si="56"/>
        <v>10</v>
      </c>
      <c r="D312" s="487" t="str">
        <f t="shared" si="57"/>
        <v>1102</v>
      </c>
      <c r="E312" s="487">
        <v>513300000</v>
      </c>
      <c r="F312" s="488"/>
      <c r="G312" s="487"/>
      <c r="H312" s="487"/>
      <c r="I312" s="488"/>
      <c r="J312" s="487"/>
      <c r="K312" s="487"/>
      <c r="L312" s="488"/>
      <c r="M312" s="487"/>
      <c r="N312" s="487"/>
      <c r="O312" s="488"/>
      <c r="P312" s="489"/>
      <c r="Q312" s="489"/>
      <c r="R312" s="592"/>
      <c r="S312" s="487"/>
      <c r="T312" s="487"/>
      <c r="U312" s="488"/>
      <c r="V312" s="489"/>
      <c r="W312" s="489"/>
      <c r="X312" s="488"/>
      <c r="Y312" s="489"/>
      <c r="Z312" s="489"/>
      <c r="AA312" s="490" t="str">
        <f t="shared" si="59"/>
        <v>2217</v>
      </c>
      <c r="AB312" s="489">
        <v>22</v>
      </c>
      <c r="AC312" s="489">
        <v>17</v>
      </c>
      <c r="AD312" s="27">
        <v>111102</v>
      </c>
      <c r="AE312" s="27" t="s">
        <v>2028</v>
      </c>
      <c r="AF312" s="432">
        <f>VLOOKUP(AD312,[5]Hoja1!$A$10:$K$1393,11,0)</f>
        <v>-94084650</v>
      </c>
      <c r="AG312" s="432"/>
      <c r="AH312" s="432">
        <f t="shared" si="58"/>
        <v>-94085</v>
      </c>
      <c r="AL312" s="448"/>
      <c r="AM312" s="467">
        <f>VLOOKUP(AD312,[6]BV201101!$A$10:$A$1236,1,0)</f>
        <v>111102</v>
      </c>
    </row>
    <row r="313" spans="1:39" s="467" customFormat="1" ht="12.75" customHeight="1">
      <c r="A313" s="487" t="str">
        <f t="shared" si="60"/>
        <v>1</v>
      </c>
      <c r="B313" s="487" t="str">
        <f t="shared" si="55"/>
        <v>11</v>
      </c>
      <c r="C313" s="487" t="str">
        <f t="shared" si="56"/>
        <v>10</v>
      </c>
      <c r="D313" s="487" t="str">
        <f t="shared" si="57"/>
        <v>1103</v>
      </c>
      <c r="E313" s="487">
        <v>521110000</v>
      </c>
      <c r="F313" s="488"/>
      <c r="G313" s="487"/>
      <c r="H313" s="487"/>
      <c r="I313" s="488"/>
      <c r="J313" s="487"/>
      <c r="K313" s="487"/>
      <c r="L313" s="488"/>
      <c r="M313" s="487"/>
      <c r="N313" s="487"/>
      <c r="O313" s="488"/>
      <c r="P313" s="489"/>
      <c r="Q313" s="489"/>
      <c r="R313" s="592"/>
      <c r="S313" s="487"/>
      <c r="T313" s="487"/>
      <c r="U313" s="488"/>
      <c r="V313" s="489"/>
      <c r="W313" s="489"/>
      <c r="X313" s="488"/>
      <c r="Y313" s="489"/>
      <c r="Z313" s="489"/>
      <c r="AA313" s="490"/>
      <c r="AB313" s="489"/>
      <c r="AC313" s="489"/>
      <c r="AD313" s="927">
        <v>111103</v>
      </c>
      <c r="AE313" s="27" t="s">
        <v>2718</v>
      </c>
      <c r="AF313" s="432">
        <f>VLOOKUP(AD313,[5]Hoja1!$A$10:$K$1393,11,0)</f>
        <v>175727266</v>
      </c>
      <c r="AG313" s="432"/>
      <c r="AH313" s="432">
        <f t="shared" si="58"/>
        <v>175727</v>
      </c>
      <c r="AL313" s="448"/>
    </row>
    <row r="314" spans="1:39" s="467" customFormat="1" ht="12.75" customHeight="1">
      <c r="A314" s="487" t="str">
        <f t="shared" si="60"/>
        <v>1</v>
      </c>
      <c r="B314" s="487" t="str">
        <f t="shared" si="55"/>
        <v>11</v>
      </c>
      <c r="C314" s="487" t="str">
        <f t="shared" si="56"/>
        <v>10</v>
      </c>
      <c r="D314" s="487" t="str">
        <f t="shared" si="57"/>
        <v>1104</v>
      </c>
      <c r="E314" s="487">
        <v>521110000</v>
      </c>
      <c r="F314" s="488"/>
      <c r="G314" s="487"/>
      <c r="H314" s="487"/>
      <c r="I314" s="488"/>
      <c r="J314" s="487"/>
      <c r="K314" s="487"/>
      <c r="L314" s="488"/>
      <c r="M314" s="487"/>
      <c r="N314" s="487"/>
      <c r="O314" s="488"/>
      <c r="P314" s="489"/>
      <c r="Q314" s="489"/>
      <c r="R314" s="592"/>
      <c r="S314" s="487"/>
      <c r="T314" s="487"/>
      <c r="U314" s="488"/>
      <c r="V314" s="489"/>
      <c r="W314" s="489"/>
      <c r="X314" s="488"/>
      <c r="Y314" s="489"/>
      <c r="Z314" s="489"/>
      <c r="AA314" s="490"/>
      <c r="AB314" s="489"/>
      <c r="AC314" s="489"/>
      <c r="AD314" s="927">
        <v>111104</v>
      </c>
      <c r="AE314" s="27" t="s">
        <v>2717</v>
      </c>
      <c r="AF314" s="432">
        <f>VLOOKUP(AD314,[5]Hoja1!$A$10:$K$1393,11,0)</f>
        <v>6635660175</v>
      </c>
      <c r="AG314" s="1191">
        <v>-539109959</v>
      </c>
      <c r="AH314" s="432">
        <f t="shared" si="58"/>
        <v>6096550</v>
      </c>
      <c r="AL314" s="448"/>
    </row>
    <row r="315" spans="1:39" s="467" customFormat="1" ht="12.75" customHeight="1">
      <c r="A315" s="487" t="str">
        <f t="shared" si="60"/>
        <v>1</v>
      </c>
      <c r="B315" s="487" t="str">
        <f t="shared" si="55"/>
        <v>11</v>
      </c>
      <c r="C315" s="487" t="str">
        <f t="shared" si="56"/>
        <v>10</v>
      </c>
      <c r="D315" s="487" t="str">
        <f t="shared" si="57"/>
        <v>1105</v>
      </c>
      <c r="E315" s="487">
        <v>521110000</v>
      </c>
      <c r="F315" s="488"/>
      <c r="G315" s="487"/>
      <c r="H315" s="487"/>
      <c r="I315" s="488"/>
      <c r="J315" s="487"/>
      <c r="K315" s="487"/>
      <c r="L315" s="488"/>
      <c r="M315" s="487"/>
      <c r="N315" s="487"/>
      <c r="O315" s="488"/>
      <c r="P315" s="489"/>
      <c r="Q315" s="489"/>
      <c r="R315" s="592"/>
      <c r="S315" s="487"/>
      <c r="T315" s="487"/>
      <c r="U315" s="488"/>
      <c r="V315" s="489"/>
      <c r="W315" s="489"/>
      <c r="X315" s="488"/>
      <c r="Y315" s="489"/>
      <c r="Z315" s="489"/>
      <c r="AA315" s="490"/>
      <c r="AB315" s="489"/>
      <c r="AC315" s="489"/>
      <c r="AD315" s="927">
        <v>111105</v>
      </c>
      <c r="AE315" s="27" t="s">
        <v>2716</v>
      </c>
      <c r="AF315" s="432">
        <v>0</v>
      </c>
      <c r="AG315" s="432"/>
      <c r="AH315" s="432">
        <f t="shared" si="58"/>
        <v>0</v>
      </c>
      <c r="AL315" s="448"/>
    </row>
    <row r="316" spans="1:39" s="467" customFormat="1" ht="12.75" customHeight="1">
      <c r="A316" s="487" t="str">
        <f t="shared" si="60"/>
        <v>1</v>
      </c>
      <c r="B316" s="487" t="str">
        <f t="shared" si="55"/>
        <v>11</v>
      </c>
      <c r="C316" s="487" t="str">
        <f t="shared" si="56"/>
        <v>10</v>
      </c>
      <c r="D316" s="487" t="str">
        <f t="shared" si="57"/>
        <v>1106</v>
      </c>
      <c r="E316" s="487">
        <v>521110000</v>
      </c>
      <c r="F316" s="488"/>
      <c r="G316" s="487"/>
      <c r="H316" s="487"/>
      <c r="I316" s="488"/>
      <c r="J316" s="487"/>
      <c r="K316" s="487"/>
      <c r="L316" s="488"/>
      <c r="M316" s="487"/>
      <c r="N316" s="487"/>
      <c r="O316" s="488"/>
      <c r="P316" s="489"/>
      <c r="Q316" s="489"/>
      <c r="R316" s="592"/>
      <c r="S316" s="487"/>
      <c r="T316" s="487"/>
      <c r="U316" s="488"/>
      <c r="V316" s="489"/>
      <c r="W316" s="489"/>
      <c r="X316" s="488"/>
      <c r="Y316" s="489"/>
      <c r="Z316" s="489"/>
      <c r="AA316" s="490"/>
      <c r="AB316" s="489"/>
      <c r="AC316" s="489"/>
      <c r="AD316" s="927">
        <v>111106</v>
      </c>
      <c r="AE316" s="27" t="s">
        <v>2715</v>
      </c>
      <c r="AF316" s="432">
        <f>VLOOKUP(AD316,[5]Hoja1!$A$10:$K$1393,11,0)</f>
        <v>534363755</v>
      </c>
      <c r="AG316" s="432"/>
      <c r="AH316" s="432">
        <f t="shared" si="58"/>
        <v>534364</v>
      </c>
      <c r="AL316" s="448"/>
    </row>
    <row r="317" spans="1:39" s="467" customFormat="1" ht="12.75" customHeight="1">
      <c r="A317" s="487" t="str">
        <f t="shared" si="60"/>
        <v>1</v>
      </c>
      <c r="B317" s="487" t="str">
        <f t="shared" si="55"/>
        <v>11</v>
      </c>
      <c r="C317" s="487" t="str">
        <f t="shared" si="56"/>
        <v>10</v>
      </c>
      <c r="D317" s="487" t="str">
        <f t="shared" si="57"/>
        <v>1108</v>
      </c>
      <c r="E317" s="487">
        <v>521110000</v>
      </c>
      <c r="F317" s="488"/>
      <c r="G317" s="487"/>
      <c r="H317" s="487"/>
      <c r="I317" s="488"/>
      <c r="J317" s="487"/>
      <c r="K317" s="487"/>
      <c r="L317" s="488"/>
      <c r="M317" s="487"/>
      <c r="N317" s="487"/>
      <c r="O317" s="488"/>
      <c r="P317" s="489"/>
      <c r="Q317" s="489"/>
      <c r="R317" s="592"/>
      <c r="S317" s="487"/>
      <c r="T317" s="487"/>
      <c r="U317" s="488"/>
      <c r="V317" s="489"/>
      <c r="W317" s="489"/>
      <c r="X317" s="488"/>
      <c r="Y317" s="489"/>
      <c r="Z317" s="489"/>
      <c r="AA317" s="490"/>
      <c r="AB317" s="489"/>
      <c r="AC317" s="489"/>
      <c r="AD317" s="927">
        <v>111108</v>
      </c>
      <c r="AE317" s="27" t="s">
        <v>2720</v>
      </c>
      <c r="AF317" s="432">
        <f>VLOOKUP(AD317,[5]Hoja1!$A$10:$K$1393,11,0)</f>
        <v>108098961</v>
      </c>
      <c r="AG317" s="432"/>
      <c r="AH317" s="432">
        <f t="shared" si="58"/>
        <v>108099</v>
      </c>
      <c r="AL317" s="448"/>
    </row>
    <row r="318" spans="1:39" s="467" customFormat="1" ht="12.75" customHeight="1">
      <c r="A318" s="487" t="str">
        <f t="shared" si="60"/>
        <v>1</v>
      </c>
      <c r="B318" s="487" t="str">
        <f t="shared" si="55"/>
        <v>11</v>
      </c>
      <c r="C318" s="487" t="str">
        <f t="shared" si="56"/>
        <v>20</v>
      </c>
      <c r="D318" s="487" t="str">
        <f t="shared" si="57"/>
        <v>1201</v>
      </c>
      <c r="E318" s="487">
        <v>511151000</v>
      </c>
      <c r="F318" s="488" t="str">
        <f t="shared" si="47"/>
        <v/>
      </c>
      <c r="G318" s="487"/>
      <c r="H318" s="487"/>
      <c r="I318" s="488" t="str">
        <f t="shared" si="48"/>
        <v/>
      </c>
      <c r="J318" s="487"/>
      <c r="K318" s="487"/>
      <c r="L318" s="488" t="str">
        <f t="shared" si="49"/>
        <v/>
      </c>
      <c r="M318" s="487"/>
      <c r="N318" s="487"/>
      <c r="O318" s="488" t="str">
        <f t="shared" si="50"/>
        <v/>
      </c>
      <c r="P318" s="489"/>
      <c r="Q318" s="489"/>
      <c r="R318" s="592" t="str">
        <f t="shared" si="51"/>
        <v/>
      </c>
      <c r="S318" s="487"/>
      <c r="T318" s="487"/>
      <c r="U318" s="488" t="str">
        <f t="shared" si="52"/>
        <v/>
      </c>
      <c r="V318" s="489"/>
      <c r="W318" s="489"/>
      <c r="X318" s="488" t="str">
        <f t="shared" si="53"/>
        <v/>
      </c>
      <c r="Y318" s="489"/>
      <c r="Z318" s="489"/>
      <c r="AA318" s="490" t="str">
        <f t="shared" si="59"/>
        <v>221</v>
      </c>
      <c r="AB318" s="489">
        <v>22</v>
      </c>
      <c r="AC318" s="489">
        <v>1</v>
      </c>
      <c r="AD318" s="27">
        <v>111201</v>
      </c>
      <c r="AE318" s="27" t="s">
        <v>405</v>
      </c>
      <c r="AF318" s="432">
        <f>VLOOKUP(AD318,[5]Hoja1!$A$10:$K$1393,11,0)</f>
        <v>0</v>
      </c>
      <c r="AG318" s="432"/>
      <c r="AH318" s="432">
        <f t="shared" si="58"/>
        <v>0</v>
      </c>
      <c r="AL318" s="448"/>
      <c r="AM318" s="467">
        <f>VLOOKUP(AD318,[6]BV201101!$A$10:$A$1236,1,0)</f>
        <v>111201</v>
      </c>
    </row>
    <row r="319" spans="1:39" s="467" customFormat="1" ht="12.75" customHeight="1">
      <c r="A319" s="487" t="str">
        <f t="shared" si="60"/>
        <v>1</v>
      </c>
      <c r="B319" s="487" t="str">
        <f t="shared" si="55"/>
        <v>11</v>
      </c>
      <c r="C319" s="487" t="str">
        <f t="shared" si="56"/>
        <v>20</v>
      </c>
      <c r="D319" s="487" t="str">
        <f t="shared" si="57"/>
        <v>1202</v>
      </c>
      <c r="E319" s="487"/>
      <c r="F319" s="488" t="str">
        <f t="shared" si="47"/>
        <v/>
      </c>
      <c r="G319" s="487"/>
      <c r="H319" s="487"/>
      <c r="I319" s="488" t="str">
        <f t="shared" si="48"/>
        <v/>
      </c>
      <c r="J319" s="487"/>
      <c r="K319" s="487"/>
      <c r="L319" s="488" t="str">
        <f t="shared" si="49"/>
        <v/>
      </c>
      <c r="M319" s="487"/>
      <c r="N319" s="487"/>
      <c r="O319" s="488" t="str">
        <f t="shared" si="50"/>
        <v/>
      </c>
      <c r="P319" s="489"/>
      <c r="Q319" s="489"/>
      <c r="R319" s="592" t="str">
        <f t="shared" si="51"/>
        <v/>
      </c>
      <c r="S319" s="487"/>
      <c r="T319" s="487"/>
      <c r="U319" s="488" t="str">
        <f t="shared" si="52"/>
        <v/>
      </c>
      <c r="V319" s="489"/>
      <c r="W319" s="489"/>
      <c r="X319" s="488" t="str">
        <f t="shared" si="53"/>
        <v/>
      </c>
      <c r="Y319" s="489"/>
      <c r="Z319" s="489"/>
      <c r="AA319" s="490" t="str">
        <f t="shared" si="59"/>
        <v/>
      </c>
      <c r="AB319" s="489"/>
      <c r="AC319" s="489"/>
      <c r="AD319" s="27">
        <v>111202</v>
      </c>
      <c r="AE319" s="27" t="s">
        <v>1730</v>
      </c>
      <c r="AF319" s="432">
        <f>VLOOKUP(AD319,[5]Hoja1!$A$10:$K$1393,11,0)</f>
        <v>0</v>
      </c>
      <c r="AG319" s="432"/>
      <c r="AH319" s="432">
        <f t="shared" si="58"/>
        <v>0</v>
      </c>
      <c r="AL319" s="448"/>
      <c r="AM319" s="467">
        <f>VLOOKUP(AD319,[6]BV201101!$A$10:$A$1236,1,0)</f>
        <v>111202</v>
      </c>
    </row>
    <row r="320" spans="1:39" s="467" customFormat="1" ht="12.75" customHeight="1">
      <c r="A320" s="487" t="str">
        <f t="shared" si="60"/>
        <v>1</v>
      </c>
      <c r="B320" s="487" t="str">
        <f t="shared" si="55"/>
        <v>11</v>
      </c>
      <c r="C320" s="487" t="str">
        <f t="shared" si="56"/>
        <v>20</v>
      </c>
      <c r="D320" s="487" t="str">
        <f t="shared" si="57"/>
        <v>1203</v>
      </c>
      <c r="E320" s="487">
        <v>514340000</v>
      </c>
      <c r="F320" s="488" t="str">
        <f t="shared" si="47"/>
        <v/>
      </c>
      <c r="G320" s="487"/>
      <c r="H320" s="487"/>
      <c r="I320" s="488" t="str">
        <f t="shared" si="48"/>
        <v/>
      </c>
      <c r="J320" s="487"/>
      <c r="K320" s="487"/>
      <c r="L320" s="488" t="str">
        <f t="shared" si="49"/>
        <v/>
      </c>
      <c r="M320" s="487"/>
      <c r="N320" s="487"/>
      <c r="O320" s="488" t="str">
        <f t="shared" si="50"/>
        <v/>
      </c>
      <c r="P320" s="489"/>
      <c r="Q320" s="489"/>
      <c r="R320" s="592" t="str">
        <f t="shared" si="51"/>
        <v/>
      </c>
      <c r="S320" s="487"/>
      <c r="T320" s="487"/>
      <c r="U320" s="488" t="str">
        <f t="shared" si="52"/>
        <v/>
      </c>
      <c r="V320" s="489"/>
      <c r="W320" s="489"/>
      <c r="X320" s="488" t="str">
        <f t="shared" si="53"/>
        <v/>
      </c>
      <c r="Y320" s="489"/>
      <c r="Z320" s="489"/>
      <c r="AA320" s="490" t="str">
        <f t="shared" si="59"/>
        <v>229</v>
      </c>
      <c r="AB320" s="489">
        <v>22</v>
      </c>
      <c r="AC320" s="489">
        <v>9</v>
      </c>
      <c r="AD320" s="27">
        <v>111203</v>
      </c>
      <c r="AE320" s="27" t="s">
        <v>1731</v>
      </c>
      <c r="AF320" s="432">
        <f>VLOOKUP(AD320,[5]Hoja1!$A$10:$K$1393,11,0)</f>
        <v>88819538</v>
      </c>
      <c r="AG320" s="432"/>
      <c r="AH320" s="432">
        <f t="shared" si="58"/>
        <v>88820</v>
      </c>
      <c r="AI320" s="445">
        <f>+AH320+AH323+AH347+AH349+AH350+AH352+AH355+AH358+AH364+AH365+AH373+AH376+AH380+AH382+AH381+AH383+AH388+AH389+AH395+AH400+AH407+AH411+AH414+AH415+AH416+AH418+AH419+AH421+AH449+AH459+AH526+AH555+AH570+AH584+AH601+AH622+AH629+AH637+AH638+AH641+AH652+AH658+AH902+AH955</f>
        <v>11351499</v>
      </c>
      <c r="AL320" s="448"/>
      <c r="AM320" s="467">
        <f>VLOOKUP(AD320,[6]BV201101!$A$10:$A$1236,1,0)</f>
        <v>111203</v>
      </c>
    </row>
    <row r="321" spans="1:39" s="467" customFormat="1" ht="12.75" customHeight="1">
      <c r="A321" s="487" t="str">
        <f t="shared" si="60"/>
        <v>1</v>
      </c>
      <c r="B321" s="487" t="str">
        <f t="shared" si="55"/>
        <v>11</v>
      </c>
      <c r="C321" s="487" t="str">
        <f t="shared" si="56"/>
        <v>20</v>
      </c>
      <c r="D321" s="487" t="str">
        <f t="shared" si="57"/>
        <v>1204</v>
      </c>
      <c r="E321" s="487"/>
      <c r="F321" s="488" t="str">
        <f t="shared" si="47"/>
        <v/>
      </c>
      <c r="G321" s="487"/>
      <c r="H321" s="487"/>
      <c r="I321" s="488" t="str">
        <f t="shared" si="48"/>
        <v/>
      </c>
      <c r="J321" s="487"/>
      <c r="K321" s="487"/>
      <c r="L321" s="488" t="str">
        <f t="shared" si="49"/>
        <v/>
      </c>
      <c r="M321" s="487"/>
      <c r="N321" s="487"/>
      <c r="O321" s="488" t="str">
        <f t="shared" si="50"/>
        <v/>
      </c>
      <c r="P321" s="489"/>
      <c r="Q321" s="489"/>
      <c r="R321" s="592" t="str">
        <f t="shared" si="51"/>
        <v/>
      </c>
      <c r="S321" s="487"/>
      <c r="T321" s="487"/>
      <c r="U321" s="488" t="str">
        <f t="shared" si="52"/>
        <v/>
      </c>
      <c r="V321" s="489"/>
      <c r="W321" s="489"/>
      <c r="X321" s="488" t="str">
        <f t="shared" si="53"/>
        <v/>
      </c>
      <c r="Y321" s="489"/>
      <c r="Z321" s="489"/>
      <c r="AA321" s="490" t="str">
        <f t="shared" si="59"/>
        <v/>
      </c>
      <c r="AB321" s="489"/>
      <c r="AC321" s="489"/>
      <c r="AD321" s="27">
        <v>111204</v>
      </c>
      <c r="AE321" s="27" t="s">
        <v>607</v>
      </c>
      <c r="AF321" s="432">
        <v>0</v>
      </c>
      <c r="AG321" s="432"/>
      <c r="AH321" s="432">
        <f t="shared" si="58"/>
        <v>0</v>
      </c>
      <c r="AL321" s="448"/>
      <c r="AM321" s="467" t="e">
        <f>VLOOKUP(AD321,[6]BV201101!$A$10:$A$1236,1,0)</f>
        <v>#N/A</v>
      </c>
    </row>
    <row r="322" spans="1:39" s="467" customFormat="1" ht="12.75" customHeight="1">
      <c r="A322" s="487" t="str">
        <f t="shared" si="60"/>
        <v>1</v>
      </c>
      <c r="B322" s="487" t="str">
        <f t="shared" si="55"/>
        <v>11</v>
      </c>
      <c r="C322" s="487" t="str">
        <f t="shared" si="56"/>
        <v>20</v>
      </c>
      <c r="D322" s="487" t="str">
        <f t="shared" si="57"/>
        <v>1205</v>
      </c>
      <c r="E322" s="487">
        <v>514340000</v>
      </c>
      <c r="F322" s="488" t="str">
        <f t="shared" si="47"/>
        <v/>
      </c>
      <c r="G322" s="487"/>
      <c r="H322" s="487"/>
      <c r="I322" s="488" t="str">
        <f t="shared" si="48"/>
        <v/>
      </c>
      <c r="J322" s="487"/>
      <c r="K322" s="487"/>
      <c r="L322" s="488" t="str">
        <f t="shared" si="49"/>
        <v/>
      </c>
      <c r="M322" s="487"/>
      <c r="N322" s="487"/>
      <c r="O322" s="488" t="str">
        <f t="shared" si="50"/>
        <v/>
      </c>
      <c r="P322" s="489"/>
      <c r="Q322" s="489"/>
      <c r="R322" s="592" t="str">
        <f t="shared" si="51"/>
        <v/>
      </c>
      <c r="S322" s="487"/>
      <c r="T322" s="487"/>
      <c r="U322" s="488" t="str">
        <f t="shared" si="52"/>
        <v/>
      </c>
      <c r="V322" s="489"/>
      <c r="W322" s="489"/>
      <c r="X322" s="488" t="str">
        <f t="shared" si="53"/>
        <v/>
      </c>
      <c r="Y322" s="489"/>
      <c r="Z322" s="489"/>
      <c r="AA322" s="490" t="str">
        <f t="shared" si="59"/>
        <v>229</v>
      </c>
      <c r="AB322" s="489">
        <v>22</v>
      </c>
      <c r="AC322" s="489">
        <v>9</v>
      </c>
      <c r="AD322" s="27">
        <v>111205</v>
      </c>
      <c r="AE322" s="27" t="s">
        <v>879</v>
      </c>
      <c r="AF322" s="432">
        <f>VLOOKUP(AD322,[5]Hoja1!$A$10:$K$1393,11,0)</f>
        <v>90585585</v>
      </c>
      <c r="AG322" s="1507">
        <f>-AF322</f>
        <v>-90585585</v>
      </c>
      <c r="AH322" s="432">
        <f t="shared" si="58"/>
        <v>0</v>
      </c>
      <c r="AI322" s="467" t="s">
        <v>474</v>
      </c>
      <c r="AL322" s="448"/>
      <c r="AM322" s="467">
        <f>VLOOKUP(AD322,[6]BV201101!$A$10:$A$1236,1,0)</f>
        <v>111205</v>
      </c>
    </row>
    <row r="323" spans="1:39" s="467" customFormat="1" ht="12.75" customHeight="1">
      <c r="A323" s="487" t="str">
        <f t="shared" si="60"/>
        <v>1</v>
      </c>
      <c r="B323" s="487" t="str">
        <f t="shared" si="55"/>
        <v>11</v>
      </c>
      <c r="C323" s="487" t="str">
        <f t="shared" si="56"/>
        <v>20</v>
      </c>
      <c r="D323" s="487" t="str">
        <f t="shared" si="57"/>
        <v>1206</v>
      </c>
      <c r="E323" s="487">
        <v>514340000</v>
      </c>
      <c r="F323" s="488" t="str">
        <f t="shared" si="47"/>
        <v/>
      </c>
      <c r="G323" s="487"/>
      <c r="H323" s="487"/>
      <c r="I323" s="488" t="str">
        <f t="shared" si="48"/>
        <v/>
      </c>
      <c r="J323" s="487"/>
      <c r="K323" s="487"/>
      <c r="L323" s="488" t="str">
        <f t="shared" si="49"/>
        <v/>
      </c>
      <c r="M323" s="487"/>
      <c r="N323" s="487"/>
      <c r="O323" s="488" t="str">
        <f t="shared" si="50"/>
        <v/>
      </c>
      <c r="P323" s="489"/>
      <c r="Q323" s="489"/>
      <c r="R323" s="592" t="str">
        <f t="shared" si="51"/>
        <v/>
      </c>
      <c r="S323" s="487"/>
      <c r="T323" s="487"/>
      <c r="U323" s="488" t="str">
        <f t="shared" si="52"/>
        <v/>
      </c>
      <c r="V323" s="489"/>
      <c r="W323" s="489"/>
      <c r="X323" s="488" t="str">
        <f t="shared" si="53"/>
        <v/>
      </c>
      <c r="Y323" s="489"/>
      <c r="Z323" s="489"/>
      <c r="AA323" s="490" t="str">
        <f t="shared" si="59"/>
        <v>229</v>
      </c>
      <c r="AB323" s="489">
        <v>22</v>
      </c>
      <c r="AC323" s="489">
        <v>9</v>
      </c>
      <c r="AD323" s="27">
        <v>111206</v>
      </c>
      <c r="AE323" s="27" t="s">
        <v>2029</v>
      </c>
      <c r="AF323" s="432">
        <f>VLOOKUP(AD323,[5]Hoja1!$A$10:$K$1393,11,0)</f>
        <v>0</v>
      </c>
      <c r="AG323" s="1507">
        <v>179696463</v>
      </c>
      <c r="AH323" s="432">
        <f t="shared" si="58"/>
        <v>179696</v>
      </c>
      <c r="AL323" s="448"/>
      <c r="AM323" s="467">
        <f>VLOOKUP(AD323,[6]BV201101!$A$10:$A$1236,1,0)</f>
        <v>111206</v>
      </c>
    </row>
    <row r="324" spans="1:39" s="467" customFormat="1" ht="12.75" customHeight="1">
      <c r="A324" s="487" t="str">
        <f t="shared" si="60"/>
        <v>1</v>
      </c>
      <c r="B324" s="487" t="str">
        <f t="shared" si="55"/>
        <v>11</v>
      </c>
      <c r="C324" s="487" t="str">
        <f t="shared" si="56"/>
        <v>20</v>
      </c>
      <c r="D324" s="487" t="str">
        <f t="shared" si="57"/>
        <v>1207</v>
      </c>
      <c r="E324" s="487">
        <v>514340000</v>
      </c>
      <c r="F324" s="488"/>
      <c r="G324" s="487"/>
      <c r="H324" s="487"/>
      <c r="I324" s="488"/>
      <c r="J324" s="487"/>
      <c r="K324" s="487"/>
      <c r="L324" s="488"/>
      <c r="M324" s="487"/>
      <c r="N324" s="487"/>
      <c r="O324" s="488"/>
      <c r="P324" s="489"/>
      <c r="Q324" s="489"/>
      <c r="R324" s="592"/>
      <c r="S324" s="487"/>
      <c r="T324" s="487"/>
      <c r="U324" s="488"/>
      <c r="V324" s="489"/>
      <c r="W324" s="489"/>
      <c r="X324" s="488"/>
      <c r="Y324" s="489"/>
      <c r="Z324" s="489"/>
      <c r="AA324" s="490" t="str">
        <f t="shared" si="59"/>
        <v>229</v>
      </c>
      <c r="AB324" s="489">
        <v>22</v>
      </c>
      <c r="AC324" s="489">
        <v>9</v>
      </c>
      <c r="AD324" s="27">
        <v>111207</v>
      </c>
      <c r="AE324" s="27" t="s">
        <v>2030</v>
      </c>
      <c r="AF324" s="432">
        <f>VLOOKUP(AD324,[5]Hoja1!$A$10:$K$1393,11,0)</f>
        <v>5846197</v>
      </c>
      <c r="AG324" s="1507">
        <f>-AF324</f>
        <v>-5846197</v>
      </c>
      <c r="AH324" s="432">
        <f t="shared" si="58"/>
        <v>0</v>
      </c>
      <c r="AL324" s="448"/>
      <c r="AM324" s="467">
        <f>VLOOKUP(AD324,[6]BV201101!$A$10:$A$1236,1,0)</f>
        <v>111207</v>
      </c>
    </row>
    <row r="325" spans="1:39" s="467" customFormat="1" ht="12.75" customHeight="1">
      <c r="A325" s="487" t="str">
        <f t="shared" si="60"/>
        <v>1</v>
      </c>
      <c r="B325" s="487" t="str">
        <f t="shared" si="55"/>
        <v>11</v>
      </c>
      <c r="C325" s="487" t="str">
        <f t="shared" si="56"/>
        <v>20</v>
      </c>
      <c r="D325" s="487" t="str">
        <f t="shared" si="57"/>
        <v>1208</v>
      </c>
      <c r="E325" s="487">
        <v>514340000</v>
      </c>
      <c r="F325" s="488"/>
      <c r="G325" s="487"/>
      <c r="H325" s="487"/>
      <c r="I325" s="488"/>
      <c r="J325" s="487"/>
      <c r="K325" s="487"/>
      <c r="L325" s="488"/>
      <c r="M325" s="487"/>
      <c r="N325" s="487"/>
      <c r="O325" s="488"/>
      <c r="P325" s="489"/>
      <c r="Q325" s="489"/>
      <c r="R325" s="592"/>
      <c r="S325" s="487"/>
      <c r="T325" s="487"/>
      <c r="U325" s="488"/>
      <c r="V325" s="489"/>
      <c r="W325" s="489"/>
      <c r="X325" s="488"/>
      <c r="Y325" s="489"/>
      <c r="Z325" s="489"/>
      <c r="AA325" s="490" t="str">
        <f t="shared" si="59"/>
        <v>229</v>
      </c>
      <c r="AB325" s="489">
        <v>22</v>
      </c>
      <c r="AC325" s="489">
        <v>9</v>
      </c>
      <c r="AD325" s="27">
        <v>111208</v>
      </c>
      <c r="AE325" s="27" t="s">
        <v>1520</v>
      </c>
      <c r="AF325" s="432">
        <f>VLOOKUP(AD325,[5]Hoja1!$A$10:$K$1393,11,0)</f>
        <v>49003585</v>
      </c>
      <c r="AG325" s="1507">
        <f>-AF325</f>
        <v>-49003585</v>
      </c>
      <c r="AH325" s="432">
        <f t="shared" si="58"/>
        <v>0</v>
      </c>
      <c r="AL325" s="448"/>
      <c r="AM325" s="467">
        <f>VLOOKUP(AD325,[6]BV201101!$A$10:$A$1236,1,0)</f>
        <v>111208</v>
      </c>
    </row>
    <row r="326" spans="1:39" s="467" customFormat="1" ht="12.75" customHeight="1">
      <c r="A326" s="487" t="str">
        <f t="shared" si="60"/>
        <v>1</v>
      </c>
      <c r="B326" s="487" t="str">
        <f t="shared" si="55"/>
        <v>11</v>
      </c>
      <c r="C326" s="487" t="str">
        <f t="shared" si="56"/>
        <v>20</v>
      </c>
      <c r="D326" s="487" t="str">
        <f t="shared" si="57"/>
        <v>1209</v>
      </c>
      <c r="E326" s="487">
        <v>514340000</v>
      </c>
      <c r="F326" s="488"/>
      <c r="G326" s="487"/>
      <c r="H326" s="487"/>
      <c r="I326" s="488"/>
      <c r="J326" s="487"/>
      <c r="K326" s="487"/>
      <c r="L326" s="488"/>
      <c r="M326" s="487"/>
      <c r="N326" s="487"/>
      <c r="O326" s="488"/>
      <c r="P326" s="489"/>
      <c r="Q326" s="489"/>
      <c r="R326" s="592"/>
      <c r="S326" s="487"/>
      <c r="T326" s="487"/>
      <c r="U326" s="488"/>
      <c r="V326" s="489"/>
      <c r="W326" s="489"/>
      <c r="X326" s="488"/>
      <c r="Y326" s="489"/>
      <c r="Z326" s="489"/>
      <c r="AA326" s="490" t="str">
        <f>+AB326&amp;AC326</f>
        <v>229</v>
      </c>
      <c r="AB326" s="489">
        <v>22</v>
      </c>
      <c r="AC326" s="489">
        <v>9</v>
      </c>
      <c r="AD326" s="27">
        <v>111209</v>
      </c>
      <c r="AE326" s="27" t="s">
        <v>2031</v>
      </c>
      <c r="AF326" s="432">
        <f>VLOOKUP(AD326,[5]Hoja1!$A$10:$K$1393,11,0)</f>
        <v>17717670</v>
      </c>
      <c r="AG326" s="1507">
        <v>-17717670</v>
      </c>
      <c r="AH326" s="432">
        <f t="shared" si="58"/>
        <v>0</v>
      </c>
      <c r="AI326" s="467">
        <v>-17717670</v>
      </c>
      <c r="AL326" s="448"/>
      <c r="AM326" s="467">
        <f>VLOOKUP(AD326,[6]BV201101!$A$10:$A$1236,1,0)</f>
        <v>111209</v>
      </c>
    </row>
    <row r="327" spans="1:39" s="467" customFormat="1" ht="12.75" customHeight="1">
      <c r="A327" s="487" t="str">
        <f t="shared" si="60"/>
        <v>1</v>
      </c>
      <c r="B327" s="487" t="str">
        <f t="shared" si="55"/>
        <v>11</v>
      </c>
      <c r="C327" s="487" t="str">
        <f t="shared" si="56"/>
        <v>21</v>
      </c>
      <c r="D327" s="487" t="str">
        <f t="shared" si="57"/>
        <v>1213</v>
      </c>
      <c r="E327" s="487">
        <v>514340000</v>
      </c>
      <c r="F327" s="488"/>
      <c r="G327" s="487"/>
      <c r="H327" s="487"/>
      <c r="I327" s="488"/>
      <c r="J327" s="487"/>
      <c r="K327" s="487"/>
      <c r="L327" s="488"/>
      <c r="M327" s="487"/>
      <c r="N327" s="487"/>
      <c r="O327" s="488"/>
      <c r="P327" s="489"/>
      <c r="Q327" s="489"/>
      <c r="R327" s="592"/>
      <c r="S327" s="487"/>
      <c r="T327" s="487"/>
      <c r="U327" s="488"/>
      <c r="V327" s="489"/>
      <c r="W327" s="489"/>
      <c r="X327" s="488"/>
      <c r="Y327" s="489"/>
      <c r="Z327" s="489"/>
      <c r="AA327" s="490" t="str">
        <f>+AB327&amp;AC327</f>
        <v>229</v>
      </c>
      <c r="AB327" s="489">
        <v>22</v>
      </c>
      <c r="AC327" s="489">
        <v>9</v>
      </c>
      <c r="AD327" s="27">
        <v>111213</v>
      </c>
      <c r="AE327" s="27" t="s">
        <v>719</v>
      </c>
      <c r="AF327" s="432">
        <f>VLOOKUP(AD327,[5]Hoja1!$A$10:$K$1393,11,0)</f>
        <v>0</v>
      </c>
      <c r="AH327" s="432">
        <f t="shared" si="58"/>
        <v>0</v>
      </c>
      <c r="AL327" s="448"/>
      <c r="AM327" s="467">
        <f>VLOOKUP(AD327,[6]BV201101!$A$10:$A$1236,1,0)</f>
        <v>111213</v>
      </c>
    </row>
    <row r="328" spans="1:39" s="467" customFormat="1" ht="12.75" customHeight="1">
      <c r="A328" s="487" t="str">
        <f t="shared" si="60"/>
        <v>1</v>
      </c>
      <c r="B328" s="487" t="str">
        <f t="shared" si="55"/>
        <v>11</v>
      </c>
      <c r="C328" s="487" t="str">
        <f t="shared" si="56"/>
        <v>21</v>
      </c>
      <c r="D328" s="487" t="str">
        <f t="shared" si="57"/>
        <v>1214</v>
      </c>
      <c r="E328" s="487">
        <v>514340000</v>
      </c>
      <c r="F328" s="488"/>
      <c r="G328" s="487"/>
      <c r="H328" s="487"/>
      <c r="I328" s="488"/>
      <c r="J328" s="487"/>
      <c r="K328" s="487"/>
      <c r="L328" s="488"/>
      <c r="M328" s="487"/>
      <c r="N328" s="487"/>
      <c r="O328" s="488"/>
      <c r="P328" s="489"/>
      <c r="Q328" s="489"/>
      <c r="R328" s="592"/>
      <c r="S328" s="487"/>
      <c r="T328" s="487"/>
      <c r="U328" s="488"/>
      <c r="V328" s="489"/>
      <c r="W328" s="489"/>
      <c r="X328" s="488"/>
      <c r="Y328" s="489"/>
      <c r="Z328" s="489"/>
      <c r="AA328" s="490"/>
      <c r="AB328" s="489"/>
      <c r="AC328" s="489"/>
      <c r="AD328" s="927">
        <v>111214</v>
      </c>
      <c r="AE328" s="27" t="s">
        <v>2678</v>
      </c>
      <c r="AF328" s="432">
        <f>VLOOKUP(AD328,[5]Hoja1!$A$10:$K$1393,11,0)</f>
        <v>-50147106</v>
      </c>
      <c r="AH328" s="432">
        <f t="shared" si="58"/>
        <v>-50147</v>
      </c>
      <c r="AL328" s="448"/>
    </row>
    <row r="329" spans="1:39" s="467" customFormat="1" ht="12.75" customHeight="1">
      <c r="A329" s="487" t="str">
        <f t="shared" si="60"/>
        <v>1</v>
      </c>
      <c r="B329" s="487" t="str">
        <f t="shared" si="55"/>
        <v>11</v>
      </c>
      <c r="C329" s="487" t="str">
        <f t="shared" si="56"/>
        <v>30</v>
      </c>
      <c r="D329" s="487" t="str">
        <f t="shared" si="57"/>
        <v>1301</v>
      </c>
      <c r="E329" s="487">
        <v>514340000</v>
      </c>
      <c r="F329" s="488" t="str">
        <f t="shared" si="47"/>
        <v/>
      </c>
      <c r="G329" s="487"/>
      <c r="H329" s="487"/>
      <c r="I329" s="488" t="str">
        <f t="shared" si="48"/>
        <v/>
      </c>
      <c r="J329" s="487"/>
      <c r="K329" s="487"/>
      <c r="L329" s="488" t="str">
        <f t="shared" si="49"/>
        <v/>
      </c>
      <c r="M329" s="487"/>
      <c r="N329" s="487"/>
      <c r="O329" s="488" t="str">
        <f t="shared" si="50"/>
        <v/>
      </c>
      <c r="P329" s="489"/>
      <c r="Q329" s="489"/>
      <c r="R329" s="592" t="str">
        <f t="shared" si="51"/>
        <v/>
      </c>
      <c r="S329" s="487"/>
      <c r="T329" s="487"/>
      <c r="U329" s="488" t="str">
        <f t="shared" si="52"/>
        <v/>
      </c>
      <c r="V329" s="489"/>
      <c r="W329" s="489"/>
      <c r="X329" s="488" t="str">
        <f t="shared" si="53"/>
        <v/>
      </c>
      <c r="Y329" s="489"/>
      <c r="Z329" s="489"/>
      <c r="AA329" s="490" t="str">
        <f t="shared" si="59"/>
        <v>225</v>
      </c>
      <c r="AB329" s="489">
        <v>22</v>
      </c>
      <c r="AC329" s="489">
        <v>5</v>
      </c>
      <c r="AD329" s="27">
        <v>111301</v>
      </c>
      <c r="AE329" s="27" t="s">
        <v>880</v>
      </c>
      <c r="AF329" s="432">
        <f>VLOOKUP(AD329,[5]Hoja1!$A$10:$K$1393,11,0)</f>
        <v>181537421</v>
      </c>
      <c r="AG329" s="432"/>
      <c r="AH329" s="432">
        <f t="shared" si="58"/>
        <v>181537</v>
      </c>
      <c r="AL329" s="448"/>
      <c r="AM329" s="467">
        <f>VLOOKUP(AD329,[6]BV201101!$A$10:$A$1236,1,0)</f>
        <v>111301</v>
      </c>
    </row>
    <row r="330" spans="1:39" s="467" customFormat="1" ht="12.75" customHeight="1">
      <c r="A330" s="487" t="str">
        <f t="shared" si="60"/>
        <v>1</v>
      </c>
      <c r="B330" s="487" t="str">
        <f t="shared" si="55"/>
        <v>11</v>
      </c>
      <c r="C330" s="487" t="str">
        <f t="shared" si="56"/>
        <v>30</v>
      </c>
      <c r="D330" s="487" t="str">
        <f t="shared" si="57"/>
        <v>1302</v>
      </c>
      <c r="E330" s="487">
        <v>514340000</v>
      </c>
      <c r="F330" s="488" t="str">
        <f t="shared" ref="F330:F456" si="61">+G330&amp;H330</f>
        <v/>
      </c>
      <c r="G330" s="487"/>
      <c r="H330" s="487"/>
      <c r="I330" s="488" t="str">
        <f t="shared" ref="I330:I456" si="62">+J330&amp;K330</f>
        <v/>
      </c>
      <c r="J330" s="487"/>
      <c r="K330" s="487"/>
      <c r="L330" s="488" t="str">
        <f t="shared" ref="L330:L456" si="63">+M330&amp;N330</f>
        <v/>
      </c>
      <c r="M330" s="487"/>
      <c r="N330" s="487"/>
      <c r="O330" s="488" t="str">
        <f t="shared" ref="O330:O456" si="64">+P330&amp;Q330</f>
        <v/>
      </c>
      <c r="P330" s="489"/>
      <c r="Q330" s="489"/>
      <c r="R330" s="592" t="str">
        <f t="shared" ref="R330:R456" si="65">+S330&amp;T330</f>
        <v/>
      </c>
      <c r="S330" s="487"/>
      <c r="T330" s="487"/>
      <c r="U330" s="488" t="str">
        <f t="shared" ref="U330:U456" si="66">+V330&amp;W330</f>
        <v/>
      </c>
      <c r="V330" s="489"/>
      <c r="W330" s="489"/>
      <c r="X330" s="488" t="str">
        <f t="shared" ref="X330:X456" si="67">+Y330&amp;Z330</f>
        <v/>
      </c>
      <c r="Y330" s="489"/>
      <c r="Z330" s="489"/>
      <c r="AA330" s="490" t="str">
        <f t="shared" si="59"/>
        <v>225</v>
      </c>
      <c r="AB330" s="489">
        <v>22</v>
      </c>
      <c r="AC330" s="489">
        <v>5</v>
      </c>
      <c r="AD330" s="27">
        <v>111302</v>
      </c>
      <c r="AE330" s="27" t="s">
        <v>2032</v>
      </c>
      <c r="AF330" s="432">
        <f>VLOOKUP(AD330,[5]Hoja1!$A$10:$K$1393,11,0)</f>
        <v>228350837</v>
      </c>
      <c r="AG330" s="1507">
        <v>-228350837</v>
      </c>
      <c r="AH330" s="432">
        <f t="shared" si="58"/>
        <v>0</v>
      </c>
      <c r="AL330" s="448"/>
      <c r="AM330" s="467">
        <f>VLOOKUP(AD330,[6]BV201101!$A$10:$A$1236,1,0)</f>
        <v>111302</v>
      </c>
    </row>
    <row r="331" spans="1:39" s="467" customFormat="1" ht="12.75" customHeight="1">
      <c r="A331" s="487" t="str">
        <f t="shared" si="60"/>
        <v>1</v>
      </c>
      <c r="B331" s="487" t="str">
        <f t="shared" ref="B331:B457" si="68">RIGHT(LEFT($AD331,3),2)</f>
        <v>11</v>
      </c>
      <c r="C331" s="487" t="str">
        <f t="shared" ref="C331:C457" si="69">RIGHT(LEFT($AD331,5),2)</f>
        <v>30</v>
      </c>
      <c r="D331" s="487" t="str">
        <f t="shared" ref="D331:D457" si="70">RIGHT(LEFT($AD331,9),4)</f>
        <v>1303</v>
      </c>
      <c r="E331" s="487">
        <v>514340000</v>
      </c>
      <c r="F331" s="488" t="str">
        <f t="shared" si="61"/>
        <v/>
      </c>
      <c r="G331" s="487"/>
      <c r="H331" s="487"/>
      <c r="I331" s="488" t="str">
        <f t="shared" si="62"/>
        <v/>
      </c>
      <c r="J331" s="487"/>
      <c r="K331" s="487"/>
      <c r="L331" s="488" t="str">
        <f t="shared" si="63"/>
        <v/>
      </c>
      <c r="M331" s="487"/>
      <c r="N331" s="487"/>
      <c r="O331" s="488" t="str">
        <f t="shared" si="64"/>
        <v/>
      </c>
      <c r="P331" s="489"/>
      <c r="Q331" s="489"/>
      <c r="R331" s="592" t="str">
        <f t="shared" si="65"/>
        <v/>
      </c>
      <c r="S331" s="487"/>
      <c r="T331" s="487"/>
      <c r="U331" s="488" t="str">
        <f t="shared" si="66"/>
        <v/>
      </c>
      <c r="V331" s="489"/>
      <c r="W331" s="489"/>
      <c r="X331" s="488" t="str">
        <f t="shared" si="67"/>
        <v/>
      </c>
      <c r="Y331" s="489"/>
      <c r="Z331" s="489"/>
      <c r="AA331" s="490" t="str">
        <f t="shared" si="59"/>
        <v>228</v>
      </c>
      <c r="AB331" s="489">
        <v>22</v>
      </c>
      <c r="AC331" s="489">
        <v>8</v>
      </c>
      <c r="AD331" s="27">
        <v>111303</v>
      </c>
      <c r="AE331" s="27" t="s">
        <v>608</v>
      </c>
      <c r="AF331" s="432">
        <f>VLOOKUP(AD331,[5]Hoja1!$A$10:$K$1393,11,0)</f>
        <v>-14242941</v>
      </c>
      <c r="AG331" s="432"/>
      <c r="AH331" s="432">
        <f t="shared" si="58"/>
        <v>-14243</v>
      </c>
      <c r="AL331" s="448"/>
      <c r="AM331" s="467">
        <f>VLOOKUP(AD331,[6]BV201101!$A$10:$A$1236,1,0)</f>
        <v>111303</v>
      </c>
    </row>
    <row r="332" spans="1:39" s="467" customFormat="1" ht="12.75" customHeight="1">
      <c r="A332" s="487" t="str">
        <f t="shared" si="60"/>
        <v>1</v>
      </c>
      <c r="B332" s="487" t="str">
        <f t="shared" si="68"/>
        <v>11</v>
      </c>
      <c r="C332" s="487" t="str">
        <f t="shared" si="69"/>
        <v>30</v>
      </c>
      <c r="D332" s="487" t="str">
        <f t="shared" si="70"/>
        <v>1304</v>
      </c>
      <c r="E332" s="487">
        <v>514340000</v>
      </c>
      <c r="F332" s="488" t="str">
        <f t="shared" si="61"/>
        <v/>
      </c>
      <c r="G332" s="487"/>
      <c r="H332" s="487"/>
      <c r="I332" s="488" t="str">
        <f t="shared" si="62"/>
        <v/>
      </c>
      <c r="J332" s="487"/>
      <c r="K332" s="487"/>
      <c r="L332" s="488" t="str">
        <f t="shared" si="63"/>
        <v/>
      </c>
      <c r="M332" s="487"/>
      <c r="N332" s="487"/>
      <c r="O332" s="488" t="str">
        <f t="shared" si="64"/>
        <v/>
      </c>
      <c r="P332" s="489"/>
      <c r="Q332" s="489"/>
      <c r="R332" s="592" t="str">
        <f t="shared" si="65"/>
        <v/>
      </c>
      <c r="S332" s="487"/>
      <c r="T332" s="487"/>
      <c r="U332" s="488" t="str">
        <f t="shared" si="66"/>
        <v/>
      </c>
      <c r="V332" s="489"/>
      <c r="W332" s="489"/>
      <c r="X332" s="488" t="str">
        <f t="shared" si="67"/>
        <v/>
      </c>
      <c r="Y332" s="489"/>
      <c r="Z332" s="489"/>
      <c r="AA332" s="490" t="str">
        <f t="shared" si="59"/>
        <v>229</v>
      </c>
      <c r="AB332" s="489">
        <v>22</v>
      </c>
      <c r="AC332" s="489">
        <v>9</v>
      </c>
      <c r="AD332" s="27">
        <v>111304</v>
      </c>
      <c r="AE332" s="27" t="s">
        <v>832</v>
      </c>
      <c r="AF332" s="432">
        <v>0</v>
      </c>
      <c r="AG332" s="432">
        <f>-AF332</f>
        <v>0</v>
      </c>
      <c r="AH332" s="432">
        <f t="shared" si="58"/>
        <v>0</v>
      </c>
      <c r="AL332" s="448"/>
      <c r="AM332" s="467" t="e">
        <f>VLOOKUP(AD332,[6]BV201101!$A$10:$A$1236,1,0)</f>
        <v>#N/A</v>
      </c>
    </row>
    <row r="333" spans="1:39" s="467" customFormat="1" ht="12.75" customHeight="1">
      <c r="A333" s="487" t="str">
        <f t="shared" si="60"/>
        <v>1</v>
      </c>
      <c r="B333" s="487" t="str">
        <f t="shared" si="68"/>
        <v>11</v>
      </c>
      <c r="C333" s="487" t="str">
        <f t="shared" si="69"/>
        <v>30</v>
      </c>
      <c r="D333" s="487" t="str">
        <f t="shared" si="70"/>
        <v>1305</v>
      </c>
      <c r="E333" s="487">
        <v>514340000</v>
      </c>
      <c r="F333" s="488" t="str">
        <f t="shared" si="61"/>
        <v/>
      </c>
      <c r="G333" s="487"/>
      <c r="H333" s="487"/>
      <c r="I333" s="488" t="str">
        <f t="shared" si="62"/>
        <v/>
      </c>
      <c r="J333" s="487"/>
      <c r="K333" s="487"/>
      <c r="L333" s="488" t="str">
        <f t="shared" si="63"/>
        <v/>
      </c>
      <c r="M333" s="487"/>
      <c r="N333" s="487"/>
      <c r="O333" s="488" t="str">
        <f t="shared" si="64"/>
        <v/>
      </c>
      <c r="P333" s="489"/>
      <c r="Q333" s="489"/>
      <c r="R333" s="592" t="str">
        <f t="shared" si="65"/>
        <v/>
      </c>
      <c r="S333" s="487"/>
      <c r="T333" s="487"/>
      <c r="U333" s="488" t="str">
        <f t="shared" si="66"/>
        <v/>
      </c>
      <c r="V333" s="489"/>
      <c r="W333" s="489"/>
      <c r="X333" s="488" t="str">
        <f t="shared" si="67"/>
        <v/>
      </c>
      <c r="Y333" s="489"/>
      <c r="Z333" s="489"/>
      <c r="AA333" s="490" t="str">
        <f t="shared" si="59"/>
        <v>229</v>
      </c>
      <c r="AB333" s="489">
        <v>22</v>
      </c>
      <c r="AC333" s="489">
        <v>9</v>
      </c>
      <c r="AD333" s="27">
        <v>111305</v>
      </c>
      <c r="AE333" s="27" t="s">
        <v>833</v>
      </c>
      <c r="AF333" s="432">
        <f>VLOOKUP(AD333,[5]Hoja1!$A$10:$K$1393,11,0)</f>
        <v>0</v>
      </c>
      <c r="AG333" s="432"/>
      <c r="AH333" s="432">
        <f t="shared" si="58"/>
        <v>0</v>
      </c>
      <c r="AL333" s="448"/>
      <c r="AM333" s="467">
        <f>VLOOKUP(AD333,[6]BV201101!$A$10:$A$1236,1,0)</f>
        <v>111305</v>
      </c>
    </row>
    <row r="334" spans="1:39" s="467" customFormat="1" ht="12.75" customHeight="1">
      <c r="A334" s="487" t="str">
        <f t="shared" si="60"/>
        <v>1</v>
      </c>
      <c r="B334" s="487" t="str">
        <f t="shared" si="68"/>
        <v>11</v>
      </c>
      <c r="C334" s="487" t="str">
        <f t="shared" si="69"/>
        <v>30</v>
      </c>
      <c r="D334" s="487" t="str">
        <f t="shared" si="70"/>
        <v>1306</v>
      </c>
      <c r="E334" s="487"/>
      <c r="F334" s="488" t="str">
        <f t="shared" si="61"/>
        <v/>
      </c>
      <c r="G334" s="487"/>
      <c r="H334" s="487"/>
      <c r="I334" s="488" t="str">
        <f t="shared" si="62"/>
        <v/>
      </c>
      <c r="J334" s="487"/>
      <c r="K334" s="487"/>
      <c r="L334" s="488" t="str">
        <f t="shared" si="63"/>
        <v/>
      </c>
      <c r="M334" s="487"/>
      <c r="N334" s="487"/>
      <c r="O334" s="488" t="str">
        <f t="shared" si="64"/>
        <v/>
      </c>
      <c r="P334" s="489"/>
      <c r="Q334" s="489"/>
      <c r="R334" s="592" t="str">
        <f t="shared" si="65"/>
        <v/>
      </c>
      <c r="S334" s="487"/>
      <c r="T334" s="487"/>
      <c r="U334" s="488" t="str">
        <f t="shared" si="66"/>
        <v/>
      </c>
      <c r="V334" s="489"/>
      <c r="W334" s="489"/>
      <c r="X334" s="488" t="str">
        <f t="shared" si="67"/>
        <v/>
      </c>
      <c r="Y334" s="489"/>
      <c r="Z334" s="489"/>
      <c r="AA334" s="490" t="str">
        <f t="shared" si="59"/>
        <v/>
      </c>
      <c r="AB334" s="489"/>
      <c r="AC334" s="489"/>
      <c r="AD334" s="27">
        <v>111306</v>
      </c>
      <c r="AE334" s="27" t="s">
        <v>2033</v>
      </c>
      <c r="AF334" s="432">
        <v>0</v>
      </c>
      <c r="AG334" s="432"/>
      <c r="AH334" s="432">
        <f t="shared" ref="AH334:AH398" si="71">ROUND((AF334+AG334)/$AH$2,0)</f>
        <v>0</v>
      </c>
      <c r="AL334" s="448"/>
      <c r="AM334" s="467" t="e">
        <f>VLOOKUP(AD334,[6]BV201101!$A$10:$A$1236,1,0)</f>
        <v>#N/A</v>
      </c>
    </row>
    <row r="335" spans="1:39" s="467" customFormat="1" ht="12.75" customHeight="1">
      <c r="A335" s="487" t="str">
        <f t="shared" si="60"/>
        <v>1</v>
      </c>
      <c r="B335" s="487" t="str">
        <f t="shared" si="68"/>
        <v>11</v>
      </c>
      <c r="C335" s="487" t="str">
        <f t="shared" si="69"/>
        <v>30</v>
      </c>
      <c r="D335" s="487" t="str">
        <f t="shared" si="70"/>
        <v>1307</v>
      </c>
      <c r="E335" s="487">
        <v>514340000</v>
      </c>
      <c r="F335" s="488" t="str">
        <f t="shared" si="61"/>
        <v/>
      </c>
      <c r="G335" s="487"/>
      <c r="H335" s="487"/>
      <c r="I335" s="488" t="str">
        <f t="shared" si="62"/>
        <v/>
      </c>
      <c r="J335" s="487"/>
      <c r="K335" s="487"/>
      <c r="L335" s="488" t="str">
        <f t="shared" si="63"/>
        <v/>
      </c>
      <c r="M335" s="487"/>
      <c r="N335" s="487"/>
      <c r="O335" s="488" t="str">
        <f t="shared" si="64"/>
        <v/>
      </c>
      <c r="P335" s="489"/>
      <c r="Q335" s="489"/>
      <c r="R335" s="592" t="str">
        <f t="shared" si="65"/>
        <v/>
      </c>
      <c r="S335" s="487"/>
      <c r="T335" s="487"/>
      <c r="U335" s="488" t="str">
        <f t="shared" si="66"/>
        <v/>
      </c>
      <c r="V335" s="489"/>
      <c r="W335" s="489"/>
      <c r="X335" s="488" t="str">
        <f t="shared" si="67"/>
        <v/>
      </c>
      <c r="Y335" s="489"/>
      <c r="Z335" s="489"/>
      <c r="AA335" s="490" t="str">
        <f t="shared" si="59"/>
        <v>228</v>
      </c>
      <c r="AB335" s="489">
        <v>22</v>
      </c>
      <c r="AC335" s="489">
        <v>8</v>
      </c>
      <c r="AD335" s="27">
        <v>111307</v>
      </c>
      <c r="AE335" s="27" t="s">
        <v>192</v>
      </c>
      <c r="AF335" s="432">
        <f>VLOOKUP(AD335,[5]Hoja1!$A$10:$K$1393,11,0)</f>
        <v>2882250</v>
      </c>
      <c r="AG335" s="432"/>
      <c r="AH335" s="432">
        <f t="shared" si="71"/>
        <v>2882</v>
      </c>
      <c r="AL335" s="448"/>
      <c r="AM335" s="467">
        <f>VLOOKUP(AD335,[6]BV201101!$A$10:$A$1236,1,0)</f>
        <v>111307</v>
      </c>
    </row>
    <row r="336" spans="1:39" s="467" customFormat="1" ht="12.75" customHeight="1">
      <c r="A336" s="487" t="str">
        <f t="shared" si="60"/>
        <v>1</v>
      </c>
      <c r="B336" s="487" t="str">
        <f t="shared" si="68"/>
        <v>11</v>
      </c>
      <c r="C336" s="487" t="str">
        <f t="shared" si="69"/>
        <v>30</v>
      </c>
      <c r="D336" s="487" t="str">
        <f t="shared" si="70"/>
        <v>1308</v>
      </c>
      <c r="E336" s="487">
        <v>514340000</v>
      </c>
      <c r="F336" s="488" t="str">
        <f t="shared" si="61"/>
        <v/>
      </c>
      <c r="G336" s="487"/>
      <c r="H336" s="487"/>
      <c r="I336" s="488" t="str">
        <f t="shared" si="62"/>
        <v/>
      </c>
      <c r="J336" s="487"/>
      <c r="K336" s="487"/>
      <c r="L336" s="488" t="str">
        <f t="shared" si="63"/>
        <v/>
      </c>
      <c r="M336" s="487"/>
      <c r="N336" s="487"/>
      <c r="O336" s="488" t="str">
        <f t="shared" si="64"/>
        <v/>
      </c>
      <c r="P336" s="489"/>
      <c r="Q336" s="489"/>
      <c r="R336" s="592" t="str">
        <f t="shared" si="65"/>
        <v/>
      </c>
      <c r="S336" s="487"/>
      <c r="T336" s="487"/>
      <c r="U336" s="488" t="str">
        <f t="shared" si="66"/>
        <v/>
      </c>
      <c r="V336" s="489"/>
      <c r="W336" s="489"/>
      <c r="X336" s="488" t="str">
        <f t="shared" si="67"/>
        <v/>
      </c>
      <c r="Y336" s="489"/>
      <c r="Z336" s="489"/>
      <c r="AA336" s="490" t="str">
        <f t="shared" si="59"/>
        <v>228</v>
      </c>
      <c r="AB336" s="489">
        <v>22</v>
      </c>
      <c r="AC336" s="489">
        <v>8</v>
      </c>
      <c r="AD336" s="27">
        <v>111308</v>
      </c>
      <c r="AE336" s="27" t="s">
        <v>193</v>
      </c>
      <c r="AF336" s="432">
        <f>VLOOKUP(AD336,[5]Hoja1!$A$10:$K$1393,11,0)</f>
        <v>0</v>
      </c>
      <c r="AG336" s="432"/>
      <c r="AH336" s="432">
        <f t="shared" si="71"/>
        <v>0</v>
      </c>
      <c r="AL336" s="448"/>
      <c r="AM336" s="467">
        <f>VLOOKUP(AD336,[6]BV201101!$A$10:$A$1236,1,0)</f>
        <v>111308</v>
      </c>
    </row>
    <row r="337" spans="1:39" s="467" customFormat="1" ht="12.75" customHeight="1">
      <c r="A337" s="487" t="str">
        <f t="shared" si="60"/>
        <v>1</v>
      </c>
      <c r="B337" s="487" t="str">
        <f t="shared" si="68"/>
        <v>11</v>
      </c>
      <c r="C337" s="487" t="str">
        <f t="shared" si="69"/>
        <v>30</v>
      </c>
      <c r="D337" s="487" t="str">
        <f t="shared" si="70"/>
        <v>1309</v>
      </c>
      <c r="E337" s="487">
        <v>514340000</v>
      </c>
      <c r="F337" s="488" t="str">
        <f t="shared" si="61"/>
        <v/>
      </c>
      <c r="G337" s="487"/>
      <c r="H337" s="487"/>
      <c r="I337" s="488" t="str">
        <f t="shared" si="62"/>
        <v/>
      </c>
      <c r="J337" s="487"/>
      <c r="K337" s="487"/>
      <c r="L337" s="488" t="str">
        <f t="shared" si="63"/>
        <v/>
      </c>
      <c r="M337" s="487"/>
      <c r="N337" s="487"/>
      <c r="O337" s="488" t="str">
        <f t="shared" si="64"/>
        <v/>
      </c>
      <c r="P337" s="489"/>
      <c r="Q337" s="489"/>
      <c r="R337" s="592" t="str">
        <f t="shared" si="65"/>
        <v/>
      </c>
      <c r="S337" s="487"/>
      <c r="T337" s="487"/>
      <c r="U337" s="488" t="str">
        <f t="shared" si="66"/>
        <v/>
      </c>
      <c r="V337" s="489"/>
      <c r="W337" s="489"/>
      <c r="X337" s="488" t="str">
        <f t="shared" si="67"/>
        <v/>
      </c>
      <c r="Y337" s="489"/>
      <c r="Z337" s="489"/>
      <c r="AA337" s="490" t="str">
        <f t="shared" si="59"/>
        <v>228</v>
      </c>
      <c r="AB337" s="489">
        <v>22</v>
      </c>
      <c r="AC337" s="489">
        <v>8</v>
      </c>
      <c r="AD337" s="27">
        <v>111309</v>
      </c>
      <c r="AE337" s="27" t="s">
        <v>2034</v>
      </c>
      <c r="AF337" s="432">
        <f>VLOOKUP(AD337,[5]Hoja1!$A$10:$K$1393,11,0)</f>
        <v>0</v>
      </c>
      <c r="AG337" s="432"/>
      <c r="AH337" s="432">
        <f t="shared" si="71"/>
        <v>0</v>
      </c>
      <c r="AL337" s="448"/>
      <c r="AM337" s="467">
        <f>VLOOKUP(AD337,[6]BV201101!$A$10:$A$1236,1,0)</f>
        <v>111309</v>
      </c>
    </row>
    <row r="338" spans="1:39" s="467" customFormat="1" ht="12.75" customHeight="1">
      <c r="A338" s="487" t="str">
        <f t="shared" si="60"/>
        <v>1</v>
      </c>
      <c r="B338" s="487"/>
      <c r="C338" s="487"/>
      <c r="D338" s="487"/>
      <c r="E338" s="487"/>
      <c r="F338" s="488"/>
      <c r="G338" s="487"/>
      <c r="H338" s="487"/>
      <c r="I338" s="488"/>
      <c r="J338" s="487"/>
      <c r="K338" s="487"/>
      <c r="L338" s="488"/>
      <c r="M338" s="487"/>
      <c r="N338" s="487"/>
      <c r="O338" s="488"/>
      <c r="P338" s="489"/>
      <c r="Q338" s="489"/>
      <c r="R338" s="592"/>
      <c r="S338" s="487"/>
      <c r="T338" s="487"/>
      <c r="U338" s="488"/>
      <c r="V338" s="489"/>
      <c r="W338" s="489"/>
      <c r="X338" s="488"/>
      <c r="Y338" s="489"/>
      <c r="Z338" s="489"/>
      <c r="AA338" s="490"/>
      <c r="AB338" s="489"/>
      <c r="AC338" s="489"/>
      <c r="AD338" s="27">
        <v>111310</v>
      </c>
      <c r="AE338" s="27" t="s">
        <v>2035</v>
      </c>
      <c r="AF338" s="432">
        <v>0</v>
      </c>
      <c r="AG338" s="432"/>
      <c r="AH338" s="432">
        <f t="shared" si="71"/>
        <v>0</v>
      </c>
      <c r="AL338" s="448"/>
      <c r="AM338" s="467" t="e">
        <f>VLOOKUP(AD338,[6]BV201101!$A$10:$A$1236,1,0)</f>
        <v>#N/A</v>
      </c>
    </row>
    <row r="339" spans="1:39" s="467" customFormat="1" ht="12.75" customHeight="1">
      <c r="A339" s="487" t="str">
        <f t="shared" si="60"/>
        <v>1</v>
      </c>
      <c r="B339" s="487" t="str">
        <f t="shared" si="68"/>
        <v>11</v>
      </c>
      <c r="C339" s="487" t="str">
        <f t="shared" si="69"/>
        <v>31</v>
      </c>
      <c r="D339" s="487" t="str">
        <f t="shared" si="70"/>
        <v>1311</v>
      </c>
      <c r="E339" s="487">
        <v>524120000</v>
      </c>
      <c r="F339" s="488"/>
      <c r="G339" s="487"/>
      <c r="H339" s="487"/>
      <c r="I339" s="488"/>
      <c r="J339" s="487"/>
      <c r="K339" s="487"/>
      <c r="L339" s="488"/>
      <c r="M339" s="487"/>
      <c r="N339" s="487"/>
      <c r="O339" s="488"/>
      <c r="P339" s="489"/>
      <c r="Q339" s="489"/>
      <c r="R339" s="592"/>
      <c r="S339" s="487"/>
      <c r="T339" s="487"/>
      <c r="U339" s="488"/>
      <c r="V339" s="489"/>
      <c r="W339" s="489"/>
      <c r="X339" s="488"/>
      <c r="Y339" s="489"/>
      <c r="Z339" s="489"/>
      <c r="AA339" s="490"/>
      <c r="AB339" s="489"/>
      <c r="AC339" s="489"/>
      <c r="AD339" s="27">
        <v>111311</v>
      </c>
      <c r="AE339" s="27" t="s">
        <v>2036</v>
      </c>
      <c r="AF339" s="432">
        <f>VLOOKUP(AD339,[5]Hoja1!$A$10:$K$1393,11,0)</f>
        <v>0</v>
      </c>
      <c r="AG339" s="432"/>
      <c r="AH339" s="432">
        <f t="shared" si="71"/>
        <v>0</v>
      </c>
      <c r="AL339" s="448"/>
      <c r="AM339" s="467">
        <f>VLOOKUP(AD339,[6]BV201101!$A$10:$A$1236,1,0)</f>
        <v>111311</v>
      </c>
    </row>
    <row r="340" spans="1:39" s="467" customFormat="1" ht="12.75" customHeight="1">
      <c r="A340" s="487" t="str">
        <f t="shared" si="60"/>
        <v>1</v>
      </c>
      <c r="B340" s="487" t="str">
        <f t="shared" si="68"/>
        <v>11</v>
      </c>
      <c r="C340" s="487" t="str">
        <f t="shared" si="69"/>
        <v>31</v>
      </c>
      <c r="D340" s="487" t="str">
        <f t="shared" si="70"/>
        <v>1312</v>
      </c>
      <c r="E340" s="487">
        <v>514340000</v>
      </c>
      <c r="F340" s="488"/>
      <c r="G340" s="487"/>
      <c r="H340" s="487"/>
      <c r="I340" s="488"/>
      <c r="J340" s="487"/>
      <c r="K340" s="487"/>
      <c r="L340" s="488"/>
      <c r="M340" s="487"/>
      <c r="N340" s="487"/>
      <c r="O340" s="488"/>
      <c r="P340" s="489"/>
      <c r="Q340" s="489"/>
      <c r="R340" s="592"/>
      <c r="S340" s="487"/>
      <c r="T340" s="487"/>
      <c r="U340" s="488"/>
      <c r="V340" s="489"/>
      <c r="W340" s="489"/>
      <c r="X340" s="488"/>
      <c r="Y340" s="489"/>
      <c r="Z340" s="489"/>
      <c r="AA340" s="490"/>
      <c r="AB340" s="489"/>
      <c r="AC340" s="489"/>
      <c r="AD340" s="27">
        <v>111312</v>
      </c>
      <c r="AE340" s="27" t="s">
        <v>3084</v>
      </c>
      <c r="AF340" s="432">
        <f>VLOOKUP(AD340,[5]Hoja1!$A$10:$K$1393,11,0)</f>
        <v>29373619</v>
      </c>
      <c r="AG340" s="432"/>
      <c r="AH340" s="432">
        <f t="shared" si="71"/>
        <v>29374</v>
      </c>
      <c r="AL340" s="448"/>
    </row>
    <row r="341" spans="1:39" s="467" customFormat="1" ht="12.75" customHeight="1">
      <c r="A341" s="487" t="str">
        <f t="shared" si="60"/>
        <v>1</v>
      </c>
      <c r="B341" s="487" t="str">
        <f t="shared" si="68"/>
        <v>11</v>
      </c>
      <c r="C341" s="487" t="str">
        <f t="shared" si="69"/>
        <v>31</v>
      </c>
      <c r="D341" s="487" t="str">
        <f t="shared" si="70"/>
        <v>1313</v>
      </c>
      <c r="E341" s="487">
        <v>514340000</v>
      </c>
      <c r="F341" s="488"/>
      <c r="G341" s="487"/>
      <c r="H341" s="487"/>
      <c r="I341" s="488"/>
      <c r="J341" s="487"/>
      <c r="K341" s="487"/>
      <c r="L341" s="488"/>
      <c r="M341" s="487"/>
      <c r="N341" s="487"/>
      <c r="O341" s="488"/>
      <c r="P341" s="489"/>
      <c r="Q341" s="489"/>
      <c r="R341" s="592"/>
      <c r="S341" s="487"/>
      <c r="T341" s="487"/>
      <c r="U341" s="488"/>
      <c r="V341" s="489"/>
      <c r="W341" s="489"/>
      <c r="X341" s="488"/>
      <c r="Y341" s="489"/>
      <c r="Z341" s="489"/>
      <c r="AA341" s="490" t="str">
        <f t="shared" ref="AA341:AA349" si="72">+AB341&amp;AC341</f>
        <v>228</v>
      </c>
      <c r="AB341" s="489">
        <v>22</v>
      </c>
      <c r="AC341" s="489">
        <v>8</v>
      </c>
      <c r="AD341" s="27">
        <v>111313</v>
      </c>
      <c r="AE341" s="27" t="s">
        <v>2037</v>
      </c>
      <c r="AF341" s="432">
        <f>VLOOKUP(AD341,[5]Hoja1!$A$10:$K$1393,11,0)</f>
        <v>-5417982</v>
      </c>
      <c r="AG341" s="432"/>
      <c r="AH341" s="432">
        <f t="shared" si="71"/>
        <v>-5418</v>
      </c>
      <c r="AL341" s="448"/>
      <c r="AM341" s="467">
        <f>VLOOKUP(AD341,[6]BV201101!$A$10:$A$1236,1,0)</f>
        <v>111313</v>
      </c>
    </row>
    <row r="342" spans="1:39" s="467" customFormat="1" ht="12.75" customHeight="1">
      <c r="A342" s="487" t="str">
        <f t="shared" si="60"/>
        <v>1</v>
      </c>
      <c r="B342" s="487" t="str">
        <f t="shared" si="68"/>
        <v>11</v>
      </c>
      <c r="C342" s="487" t="str">
        <f t="shared" si="69"/>
        <v>31</v>
      </c>
      <c r="D342" s="487" t="str">
        <f t="shared" si="70"/>
        <v>1314</v>
      </c>
      <c r="E342" s="487">
        <v>514340000</v>
      </c>
      <c r="F342" s="488"/>
      <c r="G342" s="487"/>
      <c r="H342" s="487"/>
      <c r="I342" s="488"/>
      <c r="J342" s="487"/>
      <c r="K342" s="487"/>
      <c r="L342" s="488"/>
      <c r="M342" s="487"/>
      <c r="N342" s="487"/>
      <c r="O342" s="488"/>
      <c r="P342" s="489"/>
      <c r="Q342" s="489"/>
      <c r="R342" s="592"/>
      <c r="S342" s="487"/>
      <c r="T342" s="487"/>
      <c r="U342" s="488"/>
      <c r="V342" s="489"/>
      <c r="W342" s="489"/>
      <c r="X342" s="488"/>
      <c r="Y342" s="489"/>
      <c r="Z342" s="489"/>
      <c r="AA342" s="490" t="str">
        <f t="shared" si="72"/>
        <v>228</v>
      </c>
      <c r="AB342" s="489">
        <v>22</v>
      </c>
      <c r="AC342" s="489">
        <v>8</v>
      </c>
      <c r="AD342" s="27">
        <v>111314</v>
      </c>
      <c r="AE342" s="27" t="s">
        <v>2038</v>
      </c>
      <c r="AF342" s="432">
        <f>VLOOKUP(AD342,[5]Hoja1!$A$10:$K$1393,11,0)</f>
        <v>95419</v>
      </c>
      <c r="AG342" s="432"/>
      <c r="AH342" s="432">
        <f t="shared" si="71"/>
        <v>95</v>
      </c>
      <c r="AL342" s="448"/>
      <c r="AM342" s="467">
        <f>VLOOKUP(AD342,[6]BV201101!$A$10:$A$1236,1,0)</f>
        <v>111314</v>
      </c>
    </row>
    <row r="343" spans="1:39" s="467" customFormat="1" ht="12.75" customHeight="1">
      <c r="A343" s="487" t="str">
        <f t="shared" si="60"/>
        <v>1</v>
      </c>
      <c r="B343" s="487" t="str">
        <f t="shared" si="68"/>
        <v>11</v>
      </c>
      <c r="C343" s="487" t="str">
        <f t="shared" si="69"/>
        <v>31</v>
      </c>
      <c r="D343" s="487" t="str">
        <f t="shared" si="70"/>
        <v>1315</v>
      </c>
      <c r="E343" s="487">
        <v>514340000</v>
      </c>
      <c r="F343" s="488"/>
      <c r="G343" s="487"/>
      <c r="H343" s="487"/>
      <c r="I343" s="488"/>
      <c r="J343" s="487"/>
      <c r="K343" s="487"/>
      <c r="L343" s="488"/>
      <c r="M343" s="487"/>
      <c r="N343" s="487"/>
      <c r="O343" s="488"/>
      <c r="P343" s="489"/>
      <c r="Q343" s="489"/>
      <c r="R343" s="592"/>
      <c r="S343" s="487"/>
      <c r="T343" s="487"/>
      <c r="U343" s="488"/>
      <c r="V343" s="489"/>
      <c r="W343" s="489"/>
      <c r="X343" s="488"/>
      <c r="Y343" s="489"/>
      <c r="Z343" s="489"/>
      <c r="AA343" s="490" t="str">
        <f t="shared" si="72"/>
        <v>228</v>
      </c>
      <c r="AB343" s="489">
        <v>22</v>
      </c>
      <c r="AC343" s="489">
        <v>8</v>
      </c>
      <c r="AD343" s="27">
        <v>111315</v>
      </c>
      <c r="AE343" s="27" t="s">
        <v>1904</v>
      </c>
      <c r="AF343" s="432">
        <f>VLOOKUP(AD343,[5]Hoja1!$A$10:$K$1393,11,0)</f>
        <v>0</v>
      </c>
      <c r="AG343" s="432"/>
      <c r="AH343" s="432">
        <f t="shared" si="71"/>
        <v>0</v>
      </c>
      <c r="AL343" s="448"/>
      <c r="AM343" s="467">
        <f>VLOOKUP(AD343,[6]BV201101!$A$10:$A$1236,1,0)</f>
        <v>111315</v>
      </c>
    </row>
    <row r="344" spans="1:39" s="467" customFormat="1" ht="12.75" customHeight="1">
      <c r="A344" s="487" t="str">
        <f t="shared" si="60"/>
        <v>1</v>
      </c>
      <c r="B344" s="487" t="str">
        <f t="shared" si="68"/>
        <v>11</v>
      </c>
      <c r="C344" s="487" t="str">
        <f t="shared" si="69"/>
        <v>31</v>
      </c>
      <c r="D344" s="487" t="str">
        <f t="shared" si="70"/>
        <v>1316</v>
      </c>
      <c r="E344" s="487">
        <v>514340000</v>
      </c>
      <c r="F344" s="488"/>
      <c r="G344" s="487"/>
      <c r="H344" s="487"/>
      <c r="I344" s="488"/>
      <c r="J344" s="487"/>
      <c r="K344" s="487"/>
      <c r="L344" s="488"/>
      <c r="M344" s="487"/>
      <c r="N344" s="487"/>
      <c r="O344" s="488"/>
      <c r="P344" s="489"/>
      <c r="Q344" s="489"/>
      <c r="R344" s="592"/>
      <c r="S344" s="487"/>
      <c r="T344" s="487"/>
      <c r="U344" s="488"/>
      <c r="V344" s="489"/>
      <c r="W344" s="489"/>
      <c r="X344" s="488"/>
      <c r="Y344" s="489"/>
      <c r="Z344" s="489"/>
      <c r="AA344" s="490" t="str">
        <f t="shared" si="72"/>
        <v>228</v>
      </c>
      <c r="AB344" s="489">
        <v>22</v>
      </c>
      <c r="AC344" s="489">
        <v>8</v>
      </c>
      <c r="AD344" s="27">
        <v>111316</v>
      </c>
      <c r="AE344" s="27" t="s">
        <v>2039</v>
      </c>
      <c r="AF344" s="432">
        <f>VLOOKUP(AD344,[5]Hoja1!$A$10:$K$1393,11,0)</f>
        <v>9831249</v>
      </c>
      <c r="AG344" s="432"/>
      <c r="AH344" s="432">
        <f t="shared" si="71"/>
        <v>9831</v>
      </c>
      <c r="AL344" s="448"/>
      <c r="AM344" s="467">
        <f>VLOOKUP(AD344,[6]BV201101!$A$10:$A$1236,1,0)</f>
        <v>111316</v>
      </c>
    </row>
    <row r="345" spans="1:39" s="467" customFormat="1" ht="12.75" customHeight="1">
      <c r="A345" s="487" t="str">
        <f t="shared" si="60"/>
        <v>1</v>
      </c>
      <c r="B345" s="487" t="str">
        <f t="shared" si="68"/>
        <v>11</v>
      </c>
      <c r="C345" s="487" t="str">
        <f t="shared" si="69"/>
        <v>31</v>
      </c>
      <c r="D345" s="487" t="str">
        <f t="shared" si="70"/>
        <v>1317</v>
      </c>
      <c r="E345" s="487">
        <v>514340000</v>
      </c>
      <c r="F345" s="488"/>
      <c r="G345" s="487"/>
      <c r="H345" s="487"/>
      <c r="I345" s="488"/>
      <c r="J345" s="487"/>
      <c r="K345" s="487"/>
      <c r="L345" s="488"/>
      <c r="M345" s="487"/>
      <c r="N345" s="487"/>
      <c r="O345" s="488"/>
      <c r="P345" s="489"/>
      <c r="Q345" s="489"/>
      <c r="R345" s="592"/>
      <c r="S345" s="487"/>
      <c r="T345" s="487"/>
      <c r="U345" s="488"/>
      <c r="V345" s="489"/>
      <c r="W345" s="489"/>
      <c r="X345" s="488"/>
      <c r="Y345" s="489"/>
      <c r="Z345" s="489"/>
      <c r="AA345" s="490" t="str">
        <f t="shared" si="72"/>
        <v>228</v>
      </c>
      <c r="AB345" s="489">
        <v>22</v>
      </c>
      <c r="AC345" s="489">
        <v>8</v>
      </c>
      <c r="AD345" s="27">
        <v>111317</v>
      </c>
      <c r="AE345" s="27" t="s">
        <v>1521</v>
      </c>
      <c r="AF345" s="432">
        <f>VLOOKUP(AD345,[5]Hoja1!$A$10:$K$1393,11,0)</f>
        <v>0</v>
      </c>
      <c r="AG345" s="432"/>
      <c r="AH345" s="432">
        <f t="shared" si="71"/>
        <v>0</v>
      </c>
      <c r="AL345" s="448"/>
      <c r="AM345" s="467">
        <f>VLOOKUP(AD345,[6]BV201101!$A$10:$A$1236,1,0)</f>
        <v>111317</v>
      </c>
    </row>
    <row r="346" spans="1:39" s="467" customFormat="1" ht="12.75" customHeight="1">
      <c r="A346" s="487" t="str">
        <f t="shared" si="60"/>
        <v>1</v>
      </c>
      <c r="B346" s="487" t="str">
        <f t="shared" si="68"/>
        <v>11</v>
      </c>
      <c r="C346" s="487" t="str">
        <f t="shared" si="69"/>
        <v>31</v>
      </c>
      <c r="D346" s="487" t="str">
        <f t="shared" si="70"/>
        <v>1318</v>
      </c>
      <c r="E346" s="487">
        <v>514340000</v>
      </c>
      <c r="F346" s="488"/>
      <c r="G346" s="487"/>
      <c r="H346" s="487"/>
      <c r="I346" s="488"/>
      <c r="J346" s="487"/>
      <c r="K346" s="487"/>
      <c r="L346" s="488"/>
      <c r="M346" s="487"/>
      <c r="N346" s="487"/>
      <c r="O346" s="488"/>
      <c r="P346" s="489"/>
      <c r="Q346" s="489"/>
      <c r="R346" s="592"/>
      <c r="S346" s="487"/>
      <c r="T346" s="487"/>
      <c r="U346" s="488"/>
      <c r="V346" s="489"/>
      <c r="W346" s="489"/>
      <c r="X346" s="488"/>
      <c r="Y346" s="489"/>
      <c r="Z346" s="489"/>
      <c r="AA346" s="490" t="str">
        <f t="shared" si="72"/>
        <v>228</v>
      </c>
      <c r="AB346" s="489">
        <v>22</v>
      </c>
      <c r="AC346" s="489">
        <v>8</v>
      </c>
      <c r="AD346" s="27">
        <v>111318</v>
      </c>
      <c r="AE346" s="27" t="s">
        <v>1085</v>
      </c>
      <c r="AF346" s="432">
        <f>VLOOKUP(AD346,[5]Hoja1!$A$10:$K$1393,11,0)</f>
        <v>-25537</v>
      </c>
      <c r="AG346" s="432"/>
      <c r="AH346" s="432">
        <f t="shared" si="71"/>
        <v>-26</v>
      </c>
      <c r="AL346" s="448"/>
      <c r="AM346" s="467">
        <f>VLOOKUP(AD346,[6]BV201101!$A$10:$A$1236,1,0)</f>
        <v>111318</v>
      </c>
    </row>
    <row r="347" spans="1:39" s="467" customFormat="1" ht="12.75" customHeight="1">
      <c r="A347" s="487" t="str">
        <f t="shared" si="60"/>
        <v>1</v>
      </c>
      <c r="B347" s="487" t="str">
        <f t="shared" si="68"/>
        <v>11</v>
      </c>
      <c r="C347" s="487" t="str">
        <f t="shared" si="69"/>
        <v>31</v>
      </c>
      <c r="D347" s="487" t="str">
        <f t="shared" si="70"/>
        <v>1319</v>
      </c>
      <c r="E347" s="487">
        <v>514340000</v>
      </c>
      <c r="F347" s="488"/>
      <c r="G347" s="487"/>
      <c r="H347" s="487"/>
      <c r="I347" s="488"/>
      <c r="J347" s="487"/>
      <c r="K347" s="487"/>
      <c r="L347" s="488"/>
      <c r="M347" s="487"/>
      <c r="N347" s="487"/>
      <c r="O347" s="488"/>
      <c r="P347" s="489"/>
      <c r="Q347" s="489"/>
      <c r="R347" s="592"/>
      <c r="S347" s="487"/>
      <c r="T347" s="487"/>
      <c r="U347" s="488"/>
      <c r="V347" s="489"/>
      <c r="W347" s="489"/>
      <c r="X347" s="488"/>
      <c r="Y347" s="489"/>
      <c r="Z347" s="489"/>
      <c r="AA347" s="490" t="str">
        <f t="shared" si="72"/>
        <v>229</v>
      </c>
      <c r="AB347" s="489">
        <v>22</v>
      </c>
      <c r="AC347" s="489">
        <v>9</v>
      </c>
      <c r="AD347" s="27">
        <v>111319</v>
      </c>
      <c r="AE347" s="27" t="s">
        <v>2635</v>
      </c>
      <c r="AF347" s="432">
        <f>VLOOKUP(AD347,[5]Hoja1!$A$10:$K$1393,11,0)</f>
        <v>149133874</v>
      </c>
      <c r="AG347" s="432"/>
      <c r="AH347" s="432">
        <f t="shared" si="71"/>
        <v>149134</v>
      </c>
      <c r="AL347" s="448"/>
    </row>
    <row r="348" spans="1:39" s="467" customFormat="1" ht="12.75" customHeight="1">
      <c r="A348" s="487" t="str">
        <f t="shared" si="60"/>
        <v>1</v>
      </c>
      <c r="B348" s="487" t="str">
        <f t="shared" si="68"/>
        <v>11</v>
      </c>
      <c r="C348" s="487" t="str">
        <f t="shared" si="69"/>
        <v>40</v>
      </c>
      <c r="D348" s="487" t="str">
        <f t="shared" si="70"/>
        <v>1401</v>
      </c>
      <c r="E348" s="487">
        <v>511170000</v>
      </c>
      <c r="F348" s="488" t="str">
        <f>+G348&amp;H348</f>
        <v/>
      </c>
      <c r="G348" s="487"/>
      <c r="H348" s="487"/>
      <c r="I348" s="488" t="str">
        <f>+J348&amp;K348</f>
        <v/>
      </c>
      <c r="J348" s="487"/>
      <c r="K348" s="487"/>
      <c r="L348" s="488" t="str">
        <f>+M348&amp;N348</f>
        <v/>
      </c>
      <c r="M348" s="487"/>
      <c r="N348" s="487"/>
      <c r="O348" s="488" t="str">
        <f>+P348&amp;Q348</f>
        <v/>
      </c>
      <c r="P348" s="489"/>
      <c r="Q348" s="489"/>
      <c r="R348" s="592" t="str">
        <f>+S348&amp;T348</f>
        <v/>
      </c>
      <c r="S348" s="487"/>
      <c r="T348" s="487"/>
      <c r="U348" s="488" t="str">
        <f>+V348&amp;W348</f>
        <v/>
      </c>
      <c r="V348" s="489"/>
      <c r="W348" s="489"/>
      <c r="X348" s="488" t="str">
        <f>+Y348&amp;Z348</f>
        <v/>
      </c>
      <c r="Y348" s="489"/>
      <c r="Z348" s="489"/>
      <c r="AA348" s="490" t="str">
        <f t="shared" si="72"/>
        <v>304</v>
      </c>
      <c r="AB348" s="489">
        <v>30</v>
      </c>
      <c r="AC348" s="489">
        <v>4</v>
      </c>
      <c r="AD348" s="599">
        <v>111401</v>
      </c>
      <c r="AE348" s="27" t="s">
        <v>785</v>
      </c>
      <c r="AF348" s="432">
        <f>VLOOKUP(AD348,[5]Hoja1!$A$10:$K$1393,11,0)</f>
        <v>781926964</v>
      </c>
      <c r="AG348" s="432">
        <v>0</v>
      </c>
      <c r="AH348" s="432">
        <f t="shared" si="71"/>
        <v>781927</v>
      </c>
      <c r="AL348" s="448"/>
      <c r="AM348" s="467">
        <f>VLOOKUP(AD348,[6]BV201101!$A$10:$A$1236,1,0)</f>
        <v>111401</v>
      </c>
    </row>
    <row r="349" spans="1:39" s="467" customFormat="1" ht="12.75" customHeight="1">
      <c r="A349" s="487" t="str">
        <f t="shared" si="60"/>
        <v>1</v>
      </c>
      <c r="B349" s="487" t="str">
        <f t="shared" si="68"/>
        <v>11</v>
      </c>
      <c r="C349" s="487" t="str">
        <f t="shared" si="69"/>
        <v>40</v>
      </c>
      <c r="D349" s="487" t="str">
        <f t="shared" si="70"/>
        <v>1402</v>
      </c>
      <c r="E349" s="487">
        <v>514340000</v>
      </c>
      <c r="F349" s="488" t="str">
        <f t="shared" si="61"/>
        <v/>
      </c>
      <c r="G349" s="487"/>
      <c r="H349" s="487"/>
      <c r="I349" s="488" t="str">
        <f t="shared" si="62"/>
        <v/>
      </c>
      <c r="J349" s="487"/>
      <c r="K349" s="487"/>
      <c r="L349" s="488" t="str">
        <f t="shared" si="63"/>
        <v/>
      </c>
      <c r="M349" s="487"/>
      <c r="N349" s="487"/>
      <c r="O349" s="488" t="str">
        <f t="shared" si="64"/>
        <v/>
      </c>
      <c r="P349" s="489"/>
      <c r="Q349" s="489"/>
      <c r="R349" s="592" t="str">
        <f t="shared" si="65"/>
        <v/>
      </c>
      <c r="S349" s="487"/>
      <c r="T349" s="487"/>
      <c r="U349" s="488" t="str">
        <f t="shared" si="66"/>
        <v/>
      </c>
      <c r="V349" s="489"/>
      <c r="W349" s="489"/>
      <c r="X349" s="488" t="str">
        <f t="shared" si="67"/>
        <v/>
      </c>
      <c r="Y349" s="489"/>
      <c r="Z349" s="489"/>
      <c r="AA349" s="490" t="str">
        <f t="shared" si="72"/>
        <v>229</v>
      </c>
      <c r="AB349" s="489">
        <v>22</v>
      </c>
      <c r="AC349" s="489">
        <v>9</v>
      </c>
      <c r="AD349" s="27">
        <v>111402</v>
      </c>
      <c r="AE349" s="27" t="s">
        <v>2040</v>
      </c>
      <c r="AF349" s="432">
        <f>VLOOKUP(AD349,[5]Hoja1!$A$10:$K$1393,11,0)</f>
        <v>115660634</v>
      </c>
      <c r="AG349" s="432"/>
      <c r="AH349" s="432">
        <f t="shared" si="71"/>
        <v>115661</v>
      </c>
      <c r="AL349" s="448"/>
      <c r="AM349" s="467">
        <f>VLOOKUP(AD349,[6]BV201101!$A$10:$A$1236,1,0)</f>
        <v>111402</v>
      </c>
    </row>
    <row r="350" spans="1:39" s="467" customFormat="1" ht="12.75" customHeight="1">
      <c r="A350" s="487" t="str">
        <f t="shared" si="60"/>
        <v>1</v>
      </c>
      <c r="B350" s="487" t="str">
        <f t="shared" si="68"/>
        <v>11</v>
      </c>
      <c r="C350" s="487" t="str">
        <f t="shared" si="69"/>
        <v>40</v>
      </c>
      <c r="D350" s="487" t="str">
        <f t="shared" si="70"/>
        <v>1403</v>
      </c>
      <c r="E350" s="487">
        <v>514340000</v>
      </c>
      <c r="F350" s="488" t="str">
        <f t="shared" si="61"/>
        <v/>
      </c>
      <c r="G350" s="487"/>
      <c r="H350" s="487"/>
      <c r="I350" s="488" t="str">
        <f t="shared" si="62"/>
        <v/>
      </c>
      <c r="J350" s="487"/>
      <c r="K350" s="487"/>
      <c r="L350" s="488" t="str">
        <f t="shared" si="63"/>
        <v/>
      </c>
      <c r="M350" s="487"/>
      <c r="N350" s="487"/>
      <c r="O350" s="488" t="str">
        <f t="shared" si="64"/>
        <v/>
      </c>
      <c r="P350" s="489"/>
      <c r="Q350" s="489"/>
      <c r="R350" s="592" t="str">
        <f t="shared" si="65"/>
        <v/>
      </c>
      <c r="S350" s="487"/>
      <c r="T350" s="487"/>
      <c r="U350" s="488" t="str">
        <f t="shared" si="66"/>
        <v/>
      </c>
      <c r="V350" s="489"/>
      <c r="W350" s="489"/>
      <c r="X350" s="488" t="str">
        <f t="shared" si="67"/>
        <v/>
      </c>
      <c r="Y350" s="489"/>
      <c r="Z350" s="489"/>
      <c r="AA350" s="490" t="str">
        <f t="shared" si="59"/>
        <v>229</v>
      </c>
      <c r="AB350" s="489">
        <v>22</v>
      </c>
      <c r="AC350" s="489">
        <v>9</v>
      </c>
      <c r="AD350" s="27">
        <v>111403</v>
      </c>
      <c r="AE350" s="27" t="s">
        <v>786</v>
      </c>
      <c r="AF350" s="432">
        <f>VLOOKUP(AD350,[5]Hoja1!$A$10:$K$1393,11,0)</f>
        <v>3529991</v>
      </c>
      <c r="AG350" s="432"/>
      <c r="AH350" s="432">
        <f t="shared" si="71"/>
        <v>3530</v>
      </c>
      <c r="AL350" s="448"/>
      <c r="AM350" s="467">
        <f>VLOOKUP(AD350,[6]BV201101!$A$10:$A$1236,1,0)</f>
        <v>111403</v>
      </c>
    </row>
    <row r="351" spans="1:39" s="467" customFormat="1" ht="12.75" customHeight="1">
      <c r="A351" s="487" t="str">
        <f t="shared" si="60"/>
        <v>1</v>
      </c>
      <c r="B351" s="487" t="str">
        <f t="shared" si="68"/>
        <v>11</v>
      </c>
      <c r="C351" s="487" t="str">
        <f t="shared" si="69"/>
        <v>40</v>
      </c>
      <c r="D351" s="487" t="str">
        <f t="shared" si="70"/>
        <v>1404</v>
      </c>
      <c r="E351" s="487">
        <v>511170000</v>
      </c>
      <c r="F351" s="488" t="str">
        <f t="shared" si="61"/>
        <v/>
      </c>
      <c r="G351" s="487"/>
      <c r="H351" s="487"/>
      <c r="I351" s="488" t="str">
        <f t="shared" si="62"/>
        <v/>
      </c>
      <c r="J351" s="487"/>
      <c r="K351" s="487"/>
      <c r="L351" s="488" t="str">
        <f t="shared" si="63"/>
        <v/>
      </c>
      <c r="M351" s="487"/>
      <c r="N351" s="487"/>
      <c r="O351" s="488" t="str">
        <f t="shared" si="64"/>
        <v/>
      </c>
      <c r="P351" s="489"/>
      <c r="Q351" s="489"/>
      <c r="R351" s="592" t="str">
        <f t="shared" si="65"/>
        <v/>
      </c>
      <c r="S351" s="487"/>
      <c r="T351" s="487"/>
      <c r="U351" s="488" t="str">
        <f t="shared" si="66"/>
        <v/>
      </c>
      <c r="V351" s="489"/>
      <c r="W351" s="489"/>
      <c r="X351" s="488" t="str">
        <f t="shared" si="67"/>
        <v/>
      </c>
      <c r="Y351" s="489"/>
      <c r="Z351" s="489"/>
      <c r="AA351" s="490" t="str">
        <f>+AB351&amp;AC351</f>
        <v>304</v>
      </c>
      <c r="AB351" s="489">
        <v>30</v>
      </c>
      <c r="AC351" s="489">
        <v>4</v>
      </c>
      <c r="AD351" s="599">
        <v>111404</v>
      </c>
      <c r="AE351" s="27" t="s">
        <v>387</v>
      </c>
      <c r="AF351" s="432">
        <f>VLOOKUP(AD351,[5]Hoja1!$A$10:$K$1393,11,0)</f>
        <v>23420474804</v>
      </c>
      <c r="AG351" s="432">
        <v>0</v>
      </c>
      <c r="AH351" s="432">
        <f t="shared" si="71"/>
        <v>23420475</v>
      </c>
      <c r="AL351" s="448"/>
      <c r="AM351" s="467">
        <f>VLOOKUP(AD351,[6]BV201101!$A$10:$A$1236,1,0)</f>
        <v>111404</v>
      </c>
    </row>
    <row r="352" spans="1:39" s="467" customFormat="1" ht="12.75" customHeight="1">
      <c r="A352" s="487" t="str">
        <f t="shared" si="60"/>
        <v>1</v>
      </c>
      <c r="B352" s="487" t="str">
        <f t="shared" si="68"/>
        <v>11</v>
      </c>
      <c r="C352" s="487" t="str">
        <f t="shared" si="69"/>
        <v>40</v>
      </c>
      <c r="D352" s="487" t="str">
        <f t="shared" si="70"/>
        <v>1405</v>
      </c>
      <c r="E352" s="487">
        <v>511170000</v>
      </c>
      <c r="F352" s="488" t="str">
        <f t="shared" si="61"/>
        <v/>
      </c>
      <c r="G352" s="487"/>
      <c r="H352" s="487"/>
      <c r="I352" s="488" t="str">
        <f t="shared" si="62"/>
        <v/>
      </c>
      <c r="J352" s="487"/>
      <c r="K352" s="487"/>
      <c r="L352" s="488" t="str">
        <f t="shared" si="63"/>
        <v/>
      </c>
      <c r="M352" s="487"/>
      <c r="N352" s="487"/>
      <c r="O352" s="488" t="str">
        <f t="shared" si="64"/>
        <v/>
      </c>
      <c r="P352" s="489"/>
      <c r="Q352" s="489"/>
      <c r="R352" s="592" t="str">
        <f t="shared" si="65"/>
        <v/>
      </c>
      <c r="S352" s="487"/>
      <c r="T352" s="487"/>
      <c r="U352" s="488" t="str">
        <f t="shared" si="66"/>
        <v/>
      </c>
      <c r="V352" s="489"/>
      <c r="W352" s="489"/>
      <c r="X352" s="488" t="str">
        <f t="shared" si="67"/>
        <v/>
      </c>
      <c r="Y352" s="489"/>
      <c r="Z352" s="489"/>
      <c r="AA352" s="490" t="str">
        <f t="shared" si="59"/>
        <v>304</v>
      </c>
      <c r="AB352" s="489">
        <v>30</v>
      </c>
      <c r="AC352" s="489">
        <v>4</v>
      </c>
      <c r="AD352" s="27">
        <v>111405</v>
      </c>
      <c r="AE352" s="27" t="s">
        <v>373</v>
      </c>
      <c r="AF352" s="432">
        <f>VLOOKUP(AD352,[5]Hoja1!$A$10:$K$1393,11,0)</f>
        <v>7379062</v>
      </c>
      <c r="AG352" s="432"/>
      <c r="AH352" s="432">
        <f t="shared" si="71"/>
        <v>7379</v>
      </c>
      <c r="AL352" s="448"/>
      <c r="AM352" s="467">
        <f>VLOOKUP(AD352,[6]BV201101!$A$10:$A$1236,1,0)</f>
        <v>111405</v>
      </c>
    </row>
    <row r="353" spans="1:39" s="467" customFormat="1" ht="12.75" customHeight="1">
      <c r="A353" s="487" t="str">
        <f t="shared" ref="A353:A416" si="73">+LEFT($AD353,1)</f>
        <v>1</v>
      </c>
      <c r="B353" s="487" t="str">
        <f t="shared" si="68"/>
        <v>11</v>
      </c>
      <c r="C353" s="487" t="str">
        <f t="shared" si="69"/>
        <v>40</v>
      </c>
      <c r="D353" s="487" t="str">
        <f t="shared" si="70"/>
        <v>1406</v>
      </c>
      <c r="E353" s="487">
        <v>511170000</v>
      </c>
      <c r="F353" s="488" t="str">
        <f>+G353&amp;H353</f>
        <v/>
      </c>
      <c r="G353" s="487"/>
      <c r="H353" s="487"/>
      <c r="I353" s="488" t="str">
        <f>+J353&amp;K353</f>
        <v/>
      </c>
      <c r="J353" s="487"/>
      <c r="K353" s="487"/>
      <c r="L353" s="488" t="str">
        <f>+M353&amp;N353</f>
        <v/>
      </c>
      <c r="M353" s="487"/>
      <c r="N353" s="487"/>
      <c r="O353" s="488" t="str">
        <f>+P353&amp;Q353</f>
        <v/>
      </c>
      <c r="P353" s="489"/>
      <c r="Q353" s="489"/>
      <c r="R353" s="592" t="str">
        <f>+S353&amp;T353</f>
        <v/>
      </c>
      <c r="S353" s="487"/>
      <c r="T353" s="487"/>
      <c r="U353" s="488" t="str">
        <f>+V353&amp;W353</f>
        <v/>
      </c>
      <c r="V353" s="489"/>
      <c r="W353" s="489"/>
      <c r="X353" s="488" t="str">
        <f>+Y353&amp;Z353</f>
        <v/>
      </c>
      <c r="Y353" s="489"/>
      <c r="Z353" s="489"/>
      <c r="AA353" s="490" t="str">
        <f>+AB353&amp;AC353</f>
        <v>304</v>
      </c>
      <c r="AB353" s="489">
        <v>30</v>
      </c>
      <c r="AC353" s="489">
        <v>4</v>
      </c>
      <c r="AD353" s="27">
        <v>111406</v>
      </c>
      <c r="AE353" s="27" t="s">
        <v>388</v>
      </c>
      <c r="AF353" s="432">
        <f>VLOOKUP(AD353,[5]Hoja1!$A$10:$K$1393,11,0)</f>
        <v>51552160</v>
      </c>
      <c r="AG353" s="432"/>
      <c r="AH353" s="432">
        <f t="shared" si="71"/>
        <v>51552</v>
      </c>
      <c r="AL353" s="448"/>
      <c r="AM353" s="467">
        <f>VLOOKUP(AD353,[6]BV201101!$A$10:$A$1236,1,0)</f>
        <v>111406</v>
      </c>
    </row>
    <row r="354" spans="1:39" s="467" customFormat="1" ht="12.75" customHeight="1">
      <c r="A354" s="487" t="str">
        <f t="shared" si="73"/>
        <v>1</v>
      </c>
      <c r="B354" s="487" t="str">
        <f t="shared" si="68"/>
        <v>11</v>
      </c>
      <c r="C354" s="487" t="str">
        <f t="shared" si="69"/>
        <v>40</v>
      </c>
      <c r="D354" s="487" t="str">
        <f t="shared" si="70"/>
        <v>1407</v>
      </c>
      <c r="E354" s="487">
        <v>511170000</v>
      </c>
      <c r="F354" s="488" t="str">
        <f t="shared" si="61"/>
        <v/>
      </c>
      <c r="G354" s="487"/>
      <c r="H354" s="487"/>
      <c r="I354" s="488" t="str">
        <f t="shared" si="62"/>
        <v/>
      </c>
      <c r="J354" s="487"/>
      <c r="K354" s="487"/>
      <c r="L354" s="488" t="str">
        <f t="shared" si="63"/>
        <v/>
      </c>
      <c r="M354" s="487"/>
      <c r="N354" s="487"/>
      <c r="O354" s="488" t="str">
        <f t="shared" si="64"/>
        <v/>
      </c>
      <c r="P354" s="489"/>
      <c r="Q354" s="489"/>
      <c r="R354" s="592" t="str">
        <f t="shared" si="65"/>
        <v/>
      </c>
      <c r="S354" s="487"/>
      <c r="T354" s="487"/>
      <c r="U354" s="488" t="str">
        <f t="shared" si="66"/>
        <v/>
      </c>
      <c r="V354" s="489"/>
      <c r="W354" s="489"/>
      <c r="X354" s="488" t="str">
        <f t="shared" si="67"/>
        <v/>
      </c>
      <c r="Y354" s="489"/>
      <c r="Z354" s="489"/>
      <c r="AA354" s="490" t="str">
        <f>+AB354&amp;AC354</f>
        <v>304</v>
      </c>
      <c r="AB354" s="489">
        <v>30</v>
      </c>
      <c r="AC354" s="489">
        <v>4</v>
      </c>
      <c r="AD354" s="27">
        <v>111407</v>
      </c>
      <c r="AE354" s="27" t="s">
        <v>374</v>
      </c>
      <c r="AF354" s="432">
        <f>VLOOKUP(AD354,[5]Hoja1!$A$10:$K$1393,11,0)</f>
        <v>-1664498067</v>
      </c>
      <c r="AG354" s="432"/>
      <c r="AH354" s="432">
        <f t="shared" si="71"/>
        <v>-1664498</v>
      </c>
      <c r="AL354" s="448"/>
      <c r="AM354" s="467">
        <f>VLOOKUP(AD354,[6]BV201101!$A$10:$A$1236,1,0)</f>
        <v>111407</v>
      </c>
    </row>
    <row r="355" spans="1:39" s="467" customFormat="1" ht="12.75" customHeight="1">
      <c r="A355" s="487" t="str">
        <f t="shared" si="73"/>
        <v>1</v>
      </c>
      <c r="B355" s="487" t="str">
        <f t="shared" si="68"/>
        <v>11</v>
      </c>
      <c r="C355" s="487" t="str">
        <f t="shared" si="69"/>
        <v>40</v>
      </c>
      <c r="D355" s="487" t="str">
        <f t="shared" si="70"/>
        <v>1408</v>
      </c>
      <c r="E355" s="487">
        <v>511170000</v>
      </c>
      <c r="F355" s="488" t="str">
        <f t="shared" si="61"/>
        <v/>
      </c>
      <c r="G355" s="487"/>
      <c r="H355" s="487"/>
      <c r="I355" s="488" t="str">
        <f t="shared" si="62"/>
        <v/>
      </c>
      <c r="J355" s="487"/>
      <c r="K355" s="487"/>
      <c r="L355" s="488" t="str">
        <f t="shared" si="63"/>
        <v/>
      </c>
      <c r="M355" s="487"/>
      <c r="N355" s="487"/>
      <c r="O355" s="488" t="str">
        <f t="shared" si="64"/>
        <v/>
      </c>
      <c r="P355" s="489"/>
      <c r="Q355" s="489"/>
      <c r="R355" s="592" t="str">
        <f t="shared" si="65"/>
        <v/>
      </c>
      <c r="S355" s="487"/>
      <c r="T355" s="487"/>
      <c r="U355" s="488" t="str">
        <f t="shared" si="66"/>
        <v/>
      </c>
      <c r="V355" s="489"/>
      <c r="W355" s="489"/>
      <c r="X355" s="488" t="str">
        <f t="shared" si="67"/>
        <v/>
      </c>
      <c r="Y355" s="489"/>
      <c r="Z355" s="489"/>
      <c r="AA355" s="490" t="str">
        <f t="shared" si="59"/>
        <v>304</v>
      </c>
      <c r="AB355" s="489">
        <v>30</v>
      </c>
      <c r="AC355" s="489">
        <v>4</v>
      </c>
      <c r="AD355" s="27">
        <v>111408</v>
      </c>
      <c r="AE355" s="27" t="s">
        <v>776</v>
      </c>
      <c r="AF355" s="432">
        <f>VLOOKUP(AD355,[5]Hoja1!$A$10:$K$1393,11,0)</f>
        <v>9356656</v>
      </c>
      <c r="AG355" s="432"/>
      <c r="AH355" s="432">
        <f t="shared" si="71"/>
        <v>9357</v>
      </c>
      <c r="AL355" s="448"/>
      <c r="AM355" s="467">
        <f>VLOOKUP(AD355,[6]BV201101!$A$10:$A$1236,1,0)</f>
        <v>111408</v>
      </c>
    </row>
    <row r="356" spans="1:39" s="467" customFormat="1" ht="12.75" customHeight="1">
      <c r="A356" s="487" t="str">
        <f t="shared" si="73"/>
        <v>1</v>
      </c>
      <c r="B356" s="487" t="str">
        <f t="shared" si="68"/>
        <v>11</v>
      </c>
      <c r="C356" s="487" t="str">
        <f t="shared" si="69"/>
        <v>40</v>
      </c>
      <c r="D356" s="487" t="str">
        <f t="shared" si="70"/>
        <v>1409</v>
      </c>
      <c r="E356" s="487">
        <v>514340000</v>
      </c>
      <c r="F356" s="488" t="str">
        <f t="shared" si="61"/>
        <v/>
      </c>
      <c r="G356" s="487"/>
      <c r="H356" s="487"/>
      <c r="I356" s="488" t="str">
        <f t="shared" si="62"/>
        <v/>
      </c>
      <c r="J356" s="487"/>
      <c r="K356" s="487"/>
      <c r="L356" s="488" t="str">
        <f t="shared" si="63"/>
        <v/>
      </c>
      <c r="M356" s="487"/>
      <c r="N356" s="487"/>
      <c r="O356" s="488" t="str">
        <f t="shared" si="64"/>
        <v/>
      </c>
      <c r="P356" s="489"/>
      <c r="Q356" s="489"/>
      <c r="R356" s="592" t="str">
        <f t="shared" si="65"/>
        <v/>
      </c>
      <c r="S356" s="487"/>
      <c r="T356" s="487"/>
      <c r="U356" s="488" t="str">
        <f t="shared" si="66"/>
        <v/>
      </c>
      <c r="V356" s="489"/>
      <c r="W356" s="489"/>
      <c r="X356" s="488" t="str">
        <f t="shared" si="67"/>
        <v/>
      </c>
      <c r="Y356" s="489"/>
      <c r="Z356" s="489"/>
      <c r="AA356" s="490" t="str">
        <f t="shared" si="59"/>
        <v>228</v>
      </c>
      <c r="AB356" s="489">
        <v>22</v>
      </c>
      <c r="AC356" s="489">
        <v>8</v>
      </c>
      <c r="AD356" s="27">
        <v>111409</v>
      </c>
      <c r="AE356" s="27" t="s">
        <v>777</v>
      </c>
      <c r="AF356" s="432">
        <f>VLOOKUP(AD356,[5]Hoja1!$A$10:$K$1393,11,0)</f>
        <v>86768</v>
      </c>
      <c r="AG356" s="432"/>
      <c r="AH356" s="432">
        <f t="shared" si="71"/>
        <v>87</v>
      </c>
      <c r="AL356" s="448"/>
      <c r="AM356" s="467">
        <f>VLOOKUP(AD356,[6]BV201101!$A$10:$A$1236,1,0)</f>
        <v>111409</v>
      </c>
    </row>
    <row r="357" spans="1:39" s="467" customFormat="1" ht="12.75" customHeight="1">
      <c r="A357" s="487" t="str">
        <f t="shared" si="73"/>
        <v>1</v>
      </c>
      <c r="B357" s="487" t="str">
        <f t="shared" si="68"/>
        <v>11</v>
      </c>
      <c r="C357" s="487" t="str">
        <f t="shared" si="69"/>
        <v>41</v>
      </c>
      <c r="D357" s="487" t="str">
        <f t="shared" si="70"/>
        <v>1410</v>
      </c>
      <c r="E357" s="487">
        <v>511170000</v>
      </c>
      <c r="F357" s="488" t="str">
        <f t="shared" si="61"/>
        <v/>
      </c>
      <c r="G357" s="487"/>
      <c r="H357" s="487"/>
      <c r="I357" s="488" t="str">
        <f t="shared" si="62"/>
        <v/>
      </c>
      <c r="J357" s="487"/>
      <c r="K357" s="487"/>
      <c r="L357" s="488" t="str">
        <f t="shared" si="63"/>
        <v/>
      </c>
      <c r="M357" s="487"/>
      <c r="N357" s="487"/>
      <c r="O357" s="488" t="str">
        <f t="shared" si="64"/>
        <v/>
      </c>
      <c r="P357" s="489"/>
      <c r="Q357" s="489"/>
      <c r="R357" s="592" t="str">
        <f t="shared" si="65"/>
        <v/>
      </c>
      <c r="S357" s="487"/>
      <c r="T357" s="487"/>
      <c r="U357" s="488" t="str">
        <f t="shared" si="66"/>
        <v/>
      </c>
      <c r="V357" s="489"/>
      <c r="W357" s="489"/>
      <c r="X357" s="488" t="str">
        <f t="shared" si="67"/>
        <v/>
      </c>
      <c r="Y357" s="489"/>
      <c r="Z357" s="489"/>
      <c r="AA357" s="490" t="str">
        <f t="shared" ref="AA357:AA366" si="74">+AB357&amp;AC357</f>
        <v>305</v>
      </c>
      <c r="AB357" s="489">
        <v>30</v>
      </c>
      <c r="AC357" s="489">
        <v>5</v>
      </c>
      <c r="AD357" s="27">
        <v>111410</v>
      </c>
      <c r="AE357" s="27" t="s">
        <v>2041</v>
      </c>
      <c r="AF357" s="432">
        <f>VLOOKUP(AD357,[5]Hoja1!$A$10:$K$1393,11,0)</f>
        <v>10989203549</v>
      </c>
      <c r="AG357" s="432"/>
      <c r="AH357" s="432">
        <f t="shared" si="71"/>
        <v>10989204</v>
      </c>
      <c r="AL357" s="448"/>
      <c r="AM357" s="467">
        <f>VLOOKUP(AD357,[6]BV201101!$A$10:$A$1236,1,0)</f>
        <v>111410</v>
      </c>
    </row>
    <row r="358" spans="1:39" s="467" customFormat="1" ht="12.75" customHeight="1">
      <c r="A358" s="487" t="str">
        <f t="shared" si="73"/>
        <v>1</v>
      </c>
      <c r="B358" s="487" t="str">
        <f t="shared" si="68"/>
        <v>11</v>
      </c>
      <c r="C358" s="487" t="str">
        <f t="shared" si="69"/>
        <v>41</v>
      </c>
      <c r="D358" s="487" t="str">
        <f t="shared" si="70"/>
        <v>1411</v>
      </c>
      <c r="E358" s="487">
        <v>511170000</v>
      </c>
      <c r="F358" s="488" t="str">
        <f t="shared" si="61"/>
        <v/>
      </c>
      <c r="G358" s="487"/>
      <c r="H358" s="487"/>
      <c r="I358" s="488" t="str">
        <f t="shared" si="62"/>
        <v/>
      </c>
      <c r="J358" s="487"/>
      <c r="K358" s="487"/>
      <c r="L358" s="488" t="str">
        <f t="shared" si="63"/>
        <v/>
      </c>
      <c r="M358" s="487"/>
      <c r="N358" s="487"/>
      <c r="O358" s="488" t="str">
        <f t="shared" si="64"/>
        <v/>
      </c>
      <c r="P358" s="489"/>
      <c r="Q358" s="489"/>
      <c r="R358" s="592" t="str">
        <f t="shared" si="65"/>
        <v/>
      </c>
      <c r="S358" s="487"/>
      <c r="T358" s="487"/>
      <c r="U358" s="488" t="str">
        <f t="shared" si="66"/>
        <v/>
      </c>
      <c r="V358" s="489"/>
      <c r="W358" s="489"/>
      <c r="X358" s="488" t="str">
        <f t="shared" si="67"/>
        <v/>
      </c>
      <c r="Y358" s="489"/>
      <c r="Z358" s="489"/>
      <c r="AA358" s="490" t="str">
        <f t="shared" si="74"/>
        <v>305</v>
      </c>
      <c r="AB358" s="489">
        <v>30</v>
      </c>
      <c r="AC358" s="489">
        <v>5</v>
      </c>
      <c r="AD358" s="27">
        <v>111411</v>
      </c>
      <c r="AE358" s="27" t="s">
        <v>2042</v>
      </c>
      <c r="AF358" s="432">
        <f>VLOOKUP(AD358,[5]Hoja1!$A$10:$K$1393,11,0)</f>
        <v>87401649</v>
      </c>
      <c r="AG358" s="432"/>
      <c r="AH358" s="432">
        <f t="shared" si="71"/>
        <v>87402</v>
      </c>
      <c r="AJ358" s="467" t="s">
        <v>1479</v>
      </c>
      <c r="AL358" s="448"/>
      <c r="AM358" s="467">
        <f>VLOOKUP(AD358,[6]BV201101!$A$10:$A$1236,1,0)</f>
        <v>111411</v>
      </c>
    </row>
    <row r="359" spans="1:39" s="467" customFormat="1" ht="12.75" customHeight="1">
      <c r="A359" s="487" t="str">
        <f t="shared" si="73"/>
        <v>1</v>
      </c>
      <c r="B359" s="487" t="str">
        <f t="shared" si="68"/>
        <v>11</v>
      </c>
      <c r="C359" s="487" t="str">
        <f t="shared" si="69"/>
        <v>41</v>
      </c>
      <c r="D359" s="487" t="str">
        <f t="shared" si="70"/>
        <v>1412</v>
      </c>
      <c r="E359" s="487">
        <v>511170000</v>
      </c>
      <c r="F359" s="488"/>
      <c r="G359" s="487"/>
      <c r="H359" s="487"/>
      <c r="I359" s="488"/>
      <c r="J359" s="487"/>
      <c r="K359" s="487"/>
      <c r="L359" s="488"/>
      <c r="M359" s="487"/>
      <c r="N359" s="487"/>
      <c r="O359" s="488"/>
      <c r="P359" s="489"/>
      <c r="Q359" s="489"/>
      <c r="R359" s="592"/>
      <c r="S359" s="487"/>
      <c r="T359" s="487"/>
      <c r="U359" s="488"/>
      <c r="V359" s="489"/>
      <c r="W359" s="489"/>
      <c r="X359" s="488"/>
      <c r="Y359" s="489"/>
      <c r="Z359" s="489"/>
      <c r="AA359" s="490" t="str">
        <f t="shared" si="74"/>
        <v>305</v>
      </c>
      <c r="AB359" s="489">
        <v>30</v>
      </c>
      <c r="AC359" s="489">
        <v>5</v>
      </c>
      <c r="AD359" s="27">
        <v>111412</v>
      </c>
      <c r="AE359" s="27" t="s">
        <v>375</v>
      </c>
      <c r="AF359" s="432">
        <f>VLOOKUP(AD359,[5]Hoja1!$A$10:$K$1393,11,0)</f>
        <v>-853980713</v>
      </c>
      <c r="AG359" s="432"/>
      <c r="AH359" s="432">
        <f t="shared" si="71"/>
        <v>-853981</v>
      </c>
      <c r="AJ359" s="445">
        <f>+AH357+AH359</f>
        <v>10135223</v>
      </c>
      <c r="AL359" s="448"/>
      <c r="AM359" s="467">
        <f>VLOOKUP(AD359,[6]BV201101!$A$10:$A$1236,1,0)</f>
        <v>111412</v>
      </c>
    </row>
    <row r="360" spans="1:39" s="467" customFormat="1" ht="12.75" customHeight="1">
      <c r="A360" s="487" t="str">
        <f t="shared" si="73"/>
        <v>1</v>
      </c>
      <c r="B360" s="487" t="str">
        <f t="shared" si="68"/>
        <v>11</v>
      </c>
      <c r="C360" s="487" t="str">
        <f t="shared" si="69"/>
        <v>41</v>
      </c>
      <c r="D360" s="487" t="str">
        <f t="shared" si="70"/>
        <v>1413</v>
      </c>
      <c r="E360" s="487">
        <v>514340000</v>
      </c>
      <c r="F360" s="488"/>
      <c r="G360" s="487"/>
      <c r="H360" s="487"/>
      <c r="I360" s="488"/>
      <c r="J360" s="487"/>
      <c r="K360" s="487"/>
      <c r="L360" s="488"/>
      <c r="M360" s="487"/>
      <c r="N360" s="487"/>
      <c r="O360" s="488"/>
      <c r="P360" s="489"/>
      <c r="Q360" s="489"/>
      <c r="R360" s="592"/>
      <c r="S360" s="487"/>
      <c r="T360" s="487"/>
      <c r="U360" s="488"/>
      <c r="V360" s="489"/>
      <c r="W360" s="489"/>
      <c r="X360" s="488"/>
      <c r="Y360" s="489"/>
      <c r="Z360" s="489"/>
      <c r="AA360" s="490" t="str">
        <f t="shared" si="74"/>
        <v>229</v>
      </c>
      <c r="AB360" s="489">
        <v>22</v>
      </c>
      <c r="AC360" s="489">
        <v>9</v>
      </c>
      <c r="AD360" s="27">
        <v>111413</v>
      </c>
      <c r="AE360" s="27" t="s">
        <v>2043</v>
      </c>
      <c r="AF360" s="432">
        <f>VLOOKUP(AD360,[5]Hoja1!$A$10:$K$1393,11,0)</f>
        <v>0</v>
      </c>
      <c r="AG360" s="432"/>
      <c r="AH360" s="432">
        <f t="shared" si="71"/>
        <v>0</v>
      </c>
      <c r="AJ360" s="445"/>
      <c r="AL360" s="448"/>
      <c r="AM360" s="467">
        <f>VLOOKUP(AD360,[6]BV201101!$A$10:$A$1236,1,0)</f>
        <v>111413</v>
      </c>
    </row>
    <row r="361" spans="1:39" s="467" customFormat="1" ht="12.75" customHeight="1">
      <c r="A361" s="487" t="str">
        <f t="shared" si="73"/>
        <v>1</v>
      </c>
      <c r="B361" s="487" t="str">
        <f t="shared" si="68"/>
        <v>11</v>
      </c>
      <c r="C361" s="487" t="str">
        <f t="shared" si="69"/>
        <v>41</v>
      </c>
      <c r="D361" s="487" t="str">
        <f t="shared" si="70"/>
        <v>1414</v>
      </c>
      <c r="E361" s="487">
        <v>511170000</v>
      </c>
      <c r="F361" s="488"/>
      <c r="G361" s="487"/>
      <c r="H361" s="487"/>
      <c r="I361" s="488"/>
      <c r="J361" s="487"/>
      <c r="K361" s="487"/>
      <c r="L361" s="488"/>
      <c r="M361" s="487"/>
      <c r="N361" s="487"/>
      <c r="O361" s="488"/>
      <c r="P361" s="489"/>
      <c r="Q361" s="489"/>
      <c r="R361" s="592"/>
      <c r="S361" s="487"/>
      <c r="T361" s="487"/>
      <c r="U361" s="488"/>
      <c r="V361" s="489"/>
      <c r="W361" s="489"/>
      <c r="X361" s="488"/>
      <c r="Y361" s="489"/>
      <c r="Z361" s="489"/>
      <c r="AA361" s="490" t="str">
        <f t="shared" si="74"/>
        <v>304</v>
      </c>
      <c r="AB361" s="489">
        <v>30</v>
      </c>
      <c r="AC361" s="489">
        <v>4</v>
      </c>
      <c r="AD361" s="27">
        <v>111414</v>
      </c>
      <c r="AE361" s="27" t="s">
        <v>1522</v>
      </c>
      <c r="AF361" s="432">
        <f>VLOOKUP(AD361,[5]Hoja1!$A$10:$K$1393,11,0)</f>
        <v>118482771</v>
      </c>
      <c r="AG361" s="432"/>
      <c r="AH361" s="432">
        <f t="shared" si="71"/>
        <v>118483</v>
      </c>
      <c r="AJ361" s="445"/>
      <c r="AL361" s="448"/>
      <c r="AM361" s="467">
        <f>VLOOKUP(AD361,[6]BV201101!$A$10:$A$1236,1,0)</f>
        <v>111414</v>
      </c>
    </row>
    <row r="362" spans="1:39" s="467" customFormat="1" ht="12.75" customHeight="1">
      <c r="A362" s="487" t="str">
        <f t="shared" si="73"/>
        <v>1</v>
      </c>
      <c r="B362" s="487" t="str">
        <f t="shared" si="68"/>
        <v>11</v>
      </c>
      <c r="C362" s="487" t="str">
        <f t="shared" si="69"/>
        <v>41</v>
      </c>
      <c r="D362" s="487" t="str">
        <f t="shared" si="70"/>
        <v>1415</v>
      </c>
      <c r="E362" s="487">
        <v>511170000</v>
      </c>
      <c r="F362" s="488"/>
      <c r="G362" s="487"/>
      <c r="H362" s="487"/>
      <c r="I362" s="488"/>
      <c r="J362" s="487"/>
      <c r="K362" s="487"/>
      <c r="L362" s="488"/>
      <c r="M362" s="487"/>
      <c r="N362" s="487"/>
      <c r="O362" s="488"/>
      <c r="P362" s="489"/>
      <c r="Q362" s="489"/>
      <c r="R362" s="592"/>
      <c r="S362" s="487"/>
      <c r="T362" s="487"/>
      <c r="U362" s="488"/>
      <c r="V362" s="489"/>
      <c r="W362" s="489"/>
      <c r="X362" s="488"/>
      <c r="Y362" s="489"/>
      <c r="Z362" s="489"/>
      <c r="AA362" s="490" t="str">
        <f t="shared" si="74"/>
        <v>304</v>
      </c>
      <c r="AB362" s="489">
        <v>30</v>
      </c>
      <c r="AC362" s="489">
        <v>4</v>
      </c>
      <c r="AD362" s="27">
        <v>111415</v>
      </c>
      <c r="AE362" s="27" t="s">
        <v>2044</v>
      </c>
      <c r="AF362" s="432">
        <f>VLOOKUP(AD362,[5]Hoja1!$A$10:$K$1393,11,0)</f>
        <v>6386058</v>
      </c>
      <c r="AG362" s="432"/>
      <c r="AH362" s="432">
        <f t="shared" si="71"/>
        <v>6386</v>
      </c>
      <c r="AJ362" s="445"/>
      <c r="AL362" s="448"/>
      <c r="AM362" s="467">
        <f>VLOOKUP(AD362,[6]BV201101!$A$10:$A$1236,1,0)</f>
        <v>111415</v>
      </c>
    </row>
    <row r="363" spans="1:39" s="467" customFormat="1" ht="12.75" customHeight="1">
      <c r="A363" s="487" t="str">
        <f t="shared" si="73"/>
        <v>1</v>
      </c>
      <c r="B363" s="467" t="str">
        <f t="shared" si="68"/>
        <v>11</v>
      </c>
      <c r="C363" s="467" t="str">
        <f t="shared" si="69"/>
        <v>41</v>
      </c>
      <c r="D363" s="467" t="str">
        <f t="shared" si="70"/>
        <v>1416</v>
      </c>
      <c r="E363" s="487">
        <v>511170000</v>
      </c>
      <c r="AA363" s="490" t="str">
        <f t="shared" si="74"/>
        <v>304</v>
      </c>
      <c r="AB363" s="489">
        <v>30</v>
      </c>
      <c r="AC363" s="489">
        <v>4</v>
      </c>
      <c r="AD363" s="27">
        <v>111416</v>
      </c>
      <c r="AE363" s="27" t="s">
        <v>2045</v>
      </c>
      <c r="AF363" s="432">
        <f>VLOOKUP(AD363,[5]Hoja1!$A$10:$K$1393,11,0)</f>
        <v>-6808536</v>
      </c>
      <c r="AG363" s="432"/>
      <c r="AH363" s="432">
        <f t="shared" si="71"/>
        <v>-6809</v>
      </c>
      <c r="AJ363" s="445"/>
      <c r="AL363" s="448"/>
      <c r="AM363" s="467">
        <f>VLOOKUP(AD363,[6]BV201101!$A$10:$A$1236,1,0)</f>
        <v>111416</v>
      </c>
    </row>
    <row r="364" spans="1:39" s="467" customFormat="1" ht="12.75" customHeight="1">
      <c r="A364" s="487" t="str">
        <f t="shared" si="73"/>
        <v>1</v>
      </c>
      <c r="B364" s="487" t="str">
        <f t="shared" si="68"/>
        <v>11</v>
      </c>
      <c r="C364" s="487" t="str">
        <f t="shared" si="69"/>
        <v>41</v>
      </c>
      <c r="D364" s="487" t="str">
        <f t="shared" si="70"/>
        <v>1417</v>
      </c>
      <c r="E364" s="487">
        <v>514340000</v>
      </c>
      <c r="AA364" s="490" t="str">
        <f t="shared" si="74"/>
        <v>304</v>
      </c>
      <c r="AB364" s="489">
        <v>30</v>
      </c>
      <c r="AC364" s="489">
        <v>4</v>
      </c>
      <c r="AD364" s="27">
        <v>111417</v>
      </c>
      <c r="AE364" s="27" t="s">
        <v>2636</v>
      </c>
      <c r="AF364" s="432">
        <f>VLOOKUP(AD364,[5]Hoja1!$A$10:$K$1393,11,0)</f>
        <v>4082567</v>
      </c>
      <c r="AG364" s="432"/>
      <c r="AH364" s="432">
        <f t="shared" si="71"/>
        <v>4083</v>
      </c>
      <c r="AJ364" s="445"/>
      <c r="AL364" s="448"/>
    </row>
    <row r="365" spans="1:39" s="467" customFormat="1" ht="12.75" customHeight="1">
      <c r="A365" s="487" t="str">
        <f t="shared" si="73"/>
        <v>1</v>
      </c>
      <c r="B365" s="487" t="str">
        <f t="shared" si="68"/>
        <v>11</v>
      </c>
      <c r="C365" s="487" t="str">
        <f t="shared" si="69"/>
        <v>41</v>
      </c>
      <c r="D365" s="487" t="str">
        <f t="shared" si="70"/>
        <v>1418</v>
      </c>
      <c r="E365" s="487">
        <v>514340000</v>
      </c>
      <c r="AA365" s="490" t="str">
        <f t="shared" si="74"/>
        <v>229</v>
      </c>
      <c r="AB365" s="489">
        <v>22</v>
      </c>
      <c r="AC365" s="489">
        <v>9</v>
      </c>
      <c r="AD365" s="27">
        <v>111418</v>
      </c>
      <c r="AE365" s="27" t="s">
        <v>2046</v>
      </c>
      <c r="AF365" s="432">
        <f>VLOOKUP(AD365,[5]Hoja1!$A$10:$K$1393,11,0)</f>
        <v>27089088</v>
      </c>
      <c r="AG365" s="432"/>
      <c r="AH365" s="432">
        <f t="shared" si="71"/>
        <v>27089</v>
      </c>
      <c r="AJ365" s="445"/>
      <c r="AL365" s="448"/>
      <c r="AM365" s="467">
        <f>VLOOKUP(AD365,[6]BV201101!$A$10:$A$1236,1,0)</f>
        <v>111418</v>
      </c>
    </row>
    <row r="366" spans="1:39" s="467" customFormat="1" ht="12.75" customHeight="1">
      <c r="A366" s="487" t="str">
        <f t="shared" si="73"/>
        <v>1</v>
      </c>
      <c r="B366" s="487" t="str">
        <f t="shared" si="68"/>
        <v>11</v>
      </c>
      <c r="C366" s="487" t="str">
        <f t="shared" si="69"/>
        <v>41</v>
      </c>
      <c r="D366" s="487" t="str">
        <f t="shared" si="70"/>
        <v>1419</v>
      </c>
      <c r="E366" s="487">
        <v>511170000</v>
      </c>
      <c r="AA366" s="490" t="str">
        <f t="shared" si="74"/>
        <v>304</v>
      </c>
      <c r="AB366" s="489">
        <v>30</v>
      </c>
      <c r="AC366" s="489">
        <v>4</v>
      </c>
      <c r="AD366" s="27">
        <v>111419</v>
      </c>
      <c r="AE366" s="27" t="s">
        <v>2581</v>
      </c>
      <c r="AF366" s="432">
        <f>VLOOKUP(AD366,[5]Hoja1!$A$10:$K$1393,11,0)</f>
        <v>-8601061</v>
      </c>
      <c r="AG366" s="432"/>
      <c r="AH366" s="432">
        <f t="shared" si="71"/>
        <v>-8601</v>
      </c>
      <c r="AJ366" s="445"/>
      <c r="AL366" s="448"/>
    </row>
    <row r="367" spans="1:39" s="467" customFormat="1" ht="12.75" customHeight="1">
      <c r="A367" s="487" t="str">
        <f t="shared" si="73"/>
        <v>1</v>
      </c>
      <c r="B367" s="467" t="str">
        <f t="shared" si="68"/>
        <v>11</v>
      </c>
      <c r="C367" s="467" t="str">
        <f t="shared" si="69"/>
        <v>42</v>
      </c>
      <c r="D367" s="467" t="str">
        <f t="shared" si="70"/>
        <v>1421</v>
      </c>
      <c r="E367" s="487">
        <v>512202000</v>
      </c>
      <c r="AA367" s="467" t="s">
        <v>1372</v>
      </c>
      <c r="AB367" s="467" t="s">
        <v>1805</v>
      </c>
      <c r="AC367" s="489"/>
      <c r="AD367" s="27">
        <v>111421</v>
      </c>
      <c r="AE367" s="27" t="s">
        <v>2047</v>
      </c>
      <c r="AF367" s="432">
        <f>VLOOKUP(AD367,[5]Hoja1!$A$10:$K$1393,11,0)</f>
        <v>0</v>
      </c>
      <c r="AG367" s="432"/>
      <c r="AH367" s="432">
        <f t="shared" si="71"/>
        <v>0</v>
      </c>
      <c r="AJ367" s="445"/>
      <c r="AL367" s="448"/>
      <c r="AM367" s="467">
        <f>VLOOKUP(AD367,[6]BV201101!$A$10:$A$1236,1,0)</f>
        <v>111421</v>
      </c>
    </row>
    <row r="368" spans="1:39" s="467" customFormat="1" ht="12.75" customHeight="1">
      <c r="A368" s="487" t="str">
        <f t="shared" si="73"/>
        <v>1</v>
      </c>
      <c r="E368" s="487">
        <v>514340000</v>
      </c>
      <c r="AB368" s="489" t="s">
        <v>1805</v>
      </c>
      <c r="AC368" s="489"/>
      <c r="AD368" s="927">
        <v>111422</v>
      </c>
      <c r="AE368" s="27" t="s">
        <v>2679</v>
      </c>
      <c r="AF368" s="432">
        <f>VLOOKUP(AD368,[5]Hoja1!$A$10:$K$1393,11,0)</f>
        <v>-194724</v>
      </c>
      <c r="AG368" s="432"/>
      <c r="AH368" s="432">
        <f t="shared" si="71"/>
        <v>-195</v>
      </c>
      <c r="AJ368" s="445"/>
      <c r="AL368" s="448"/>
    </row>
    <row r="369" spans="1:39" s="467" customFormat="1" ht="12.75" customHeight="1">
      <c r="A369" s="487" t="str">
        <f t="shared" si="73"/>
        <v>1</v>
      </c>
      <c r="E369" s="487">
        <v>511170000</v>
      </c>
      <c r="AA369" s="490" t="str">
        <f t="shared" ref="AA369:AA370" si="75">+AB369&amp;AC369</f>
        <v>304</v>
      </c>
      <c r="AB369" s="489">
        <v>30</v>
      </c>
      <c r="AC369" s="489">
        <v>4</v>
      </c>
      <c r="AD369" s="927">
        <v>111423</v>
      </c>
      <c r="AE369" s="27" t="s">
        <v>2680</v>
      </c>
      <c r="AF369" s="432">
        <f>VLOOKUP(AD369,[5]Hoja1!$A$10:$K$1393,11,0)</f>
        <v>-7379062</v>
      </c>
      <c r="AG369" s="432"/>
      <c r="AH369" s="432">
        <f t="shared" si="71"/>
        <v>-7379</v>
      </c>
      <c r="AJ369" s="445"/>
      <c r="AL369" s="448"/>
    </row>
    <row r="370" spans="1:39" s="467" customFormat="1" ht="12.75" customHeight="1">
      <c r="A370" s="487" t="str">
        <f t="shared" si="73"/>
        <v>1</v>
      </c>
      <c r="E370" s="487">
        <v>511170000</v>
      </c>
      <c r="AA370" s="490" t="str">
        <f t="shared" si="75"/>
        <v>304</v>
      </c>
      <c r="AB370" s="489">
        <v>30</v>
      </c>
      <c r="AC370" s="489">
        <v>4</v>
      </c>
      <c r="AD370" s="927">
        <v>111424</v>
      </c>
      <c r="AE370" s="27" t="s">
        <v>2681</v>
      </c>
      <c r="AF370" s="432">
        <f>VLOOKUP(AD370,[5]Hoja1!$A$10:$K$1393,11,0)</f>
        <v>-8551024</v>
      </c>
      <c r="AG370" s="432"/>
      <c r="AH370" s="432">
        <f t="shared" si="71"/>
        <v>-8551</v>
      </c>
      <c r="AJ370" s="445"/>
      <c r="AL370" s="448"/>
    </row>
    <row r="371" spans="1:39" s="467" customFormat="1" ht="12.75" customHeight="1">
      <c r="A371" s="487" t="str">
        <f t="shared" si="73"/>
        <v>1</v>
      </c>
      <c r="B371" s="487" t="str">
        <f t="shared" si="68"/>
        <v>11</v>
      </c>
      <c r="C371" s="487" t="str">
        <f t="shared" si="69"/>
        <v>50</v>
      </c>
      <c r="D371" s="487" t="str">
        <f t="shared" si="70"/>
        <v>1501</v>
      </c>
      <c r="E371" s="487">
        <v>514330000</v>
      </c>
      <c r="F371" s="488" t="str">
        <f t="shared" si="61"/>
        <v/>
      </c>
      <c r="G371" s="487"/>
      <c r="H371" s="487"/>
      <c r="I371" s="488" t="str">
        <f t="shared" si="62"/>
        <v/>
      </c>
      <c r="J371" s="487"/>
      <c r="K371" s="487"/>
      <c r="L371" s="488" t="str">
        <f t="shared" si="63"/>
        <v/>
      </c>
      <c r="M371" s="487"/>
      <c r="N371" s="487"/>
      <c r="O371" s="488" t="str">
        <f t="shared" si="64"/>
        <v/>
      </c>
      <c r="P371" s="489"/>
      <c r="Q371" s="489"/>
      <c r="R371" s="592" t="str">
        <f t="shared" si="65"/>
        <v/>
      </c>
      <c r="S371" s="487"/>
      <c r="T371" s="487"/>
      <c r="U371" s="488" t="str">
        <f t="shared" si="66"/>
        <v/>
      </c>
      <c r="V371" s="489"/>
      <c r="W371" s="489"/>
      <c r="X371" s="488" t="str">
        <f t="shared" si="67"/>
        <v/>
      </c>
      <c r="Y371" s="489"/>
      <c r="Z371" s="489"/>
      <c r="AA371" s="490" t="str">
        <f t="shared" si="59"/>
        <v/>
      </c>
      <c r="AB371" s="489"/>
      <c r="AC371" s="489"/>
      <c r="AD371" s="27">
        <v>111501</v>
      </c>
      <c r="AE371" s="27" t="s">
        <v>609</v>
      </c>
      <c r="AF371" s="432">
        <f>VLOOKUP(AD371,[5]Hoja1!$A$10:$K$1393,11,0)</f>
        <v>379194735</v>
      </c>
      <c r="AG371" s="432"/>
      <c r="AH371" s="432">
        <f t="shared" si="71"/>
        <v>379195</v>
      </c>
      <c r="AL371" s="448"/>
      <c r="AM371" s="467">
        <f>VLOOKUP(AD371,[6]BV201101!$A$10:$A$1236,1,0)</f>
        <v>111501</v>
      </c>
    </row>
    <row r="372" spans="1:39" s="467" customFormat="1" ht="12.75" customHeight="1">
      <c r="A372" s="487" t="str">
        <f t="shared" si="73"/>
        <v>1</v>
      </c>
      <c r="B372" s="487" t="str">
        <f t="shared" si="68"/>
        <v>11</v>
      </c>
      <c r="C372" s="487" t="str">
        <f t="shared" si="69"/>
        <v>50</v>
      </c>
      <c r="D372" s="487" t="str">
        <f t="shared" si="70"/>
        <v>1502</v>
      </c>
      <c r="E372" s="487">
        <v>514330000</v>
      </c>
      <c r="F372" s="488" t="str">
        <f t="shared" si="61"/>
        <v/>
      </c>
      <c r="G372" s="487"/>
      <c r="H372" s="487"/>
      <c r="I372" s="488" t="str">
        <f t="shared" si="62"/>
        <v/>
      </c>
      <c r="J372" s="487"/>
      <c r="K372" s="487"/>
      <c r="L372" s="488" t="str">
        <f t="shared" si="63"/>
        <v/>
      </c>
      <c r="M372" s="487"/>
      <c r="N372" s="487"/>
      <c r="O372" s="488" t="str">
        <f t="shared" si="64"/>
        <v/>
      </c>
      <c r="P372" s="489"/>
      <c r="Q372" s="489"/>
      <c r="R372" s="592" t="str">
        <f t="shared" si="65"/>
        <v/>
      </c>
      <c r="S372" s="487"/>
      <c r="T372" s="487"/>
      <c r="U372" s="488" t="str">
        <f t="shared" si="66"/>
        <v/>
      </c>
      <c r="V372" s="489"/>
      <c r="W372" s="489"/>
      <c r="X372" s="488" t="str">
        <f t="shared" si="67"/>
        <v/>
      </c>
      <c r="Y372" s="489"/>
      <c r="Z372" s="489"/>
      <c r="AA372" s="490" t="str">
        <f t="shared" si="59"/>
        <v/>
      </c>
      <c r="AB372" s="489"/>
      <c r="AC372" s="489"/>
      <c r="AD372" s="27">
        <v>111502</v>
      </c>
      <c r="AE372" s="27" t="s">
        <v>153</v>
      </c>
      <c r="AF372" s="432">
        <v>0</v>
      </c>
      <c r="AG372" s="432"/>
      <c r="AH372" s="432">
        <f t="shared" si="71"/>
        <v>0</v>
      </c>
      <c r="AL372" s="448"/>
      <c r="AM372" s="467" t="e">
        <f>VLOOKUP(AD372,[6]BV201101!$A$10:$A$1236,1,0)</f>
        <v>#N/A</v>
      </c>
    </row>
    <row r="373" spans="1:39" s="467" customFormat="1" ht="12.75" customHeight="1">
      <c r="A373" s="487" t="str">
        <f t="shared" si="73"/>
        <v>1</v>
      </c>
      <c r="B373" s="487" t="str">
        <f t="shared" si="68"/>
        <v>11</v>
      </c>
      <c r="C373" s="487" t="str">
        <f t="shared" si="69"/>
        <v>50</v>
      </c>
      <c r="D373" s="487" t="str">
        <f t="shared" si="70"/>
        <v>1503</v>
      </c>
      <c r="E373" s="487">
        <v>514340000</v>
      </c>
      <c r="F373" s="488" t="str">
        <f t="shared" si="61"/>
        <v/>
      </c>
      <c r="G373" s="487"/>
      <c r="H373" s="487"/>
      <c r="I373" s="488" t="str">
        <f t="shared" si="62"/>
        <v/>
      </c>
      <c r="J373" s="487"/>
      <c r="K373" s="487"/>
      <c r="L373" s="488" t="str">
        <f t="shared" si="63"/>
        <v/>
      </c>
      <c r="M373" s="487"/>
      <c r="N373" s="487"/>
      <c r="O373" s="488" t="str">
        <f t="shared" si="64"/>
        <v/>
      </c>
      <c r="P373" s="489"/>
      <c r="Q373" s="489"/>
      <c r="R373" s="592" t="str">
        <f t="shared" si="65"/>
        <v/>
      </c>
      <c r="S373" s="487"/>
      <c r="T373" s="487"/>
      <c r="U373" s="488" t="str">
        <f t="shared" si="66"/>
        <v/>
      </c>
      <c r="V373" s="489"/>
      <c r="W373" s="489"/>
      <c r="X373" s="488" t="str">
        <f t="shared" si="67"/>
        <v/>
      </c>
      <c r="Y373" s="489"/>
      <c r="Z373" s="489"/>
      <c r="AA373" s="490" t="str">
        <f t="shared" si="59"/>
        <v>229</v>
      </c>
      <c r="AB373" s="489">
        <v>22</v>
      </c>
      <c r="AC373" s="489">
        <v>9</v>
      </c>
      <c r="AD373" s="27">
        <v>111503</v>
      </c>
      <c r="AE373" s="27" t="s">
        <v>789</v>
      </c>
      <c r="AF373" s="432">
        <f>VLOOKUP(AD373,[5]Hoja1!$A$10:$K$1393,11,0)</f>
        <v>686221</v>
      </c>
      <c r="AG373" s="432"/>
      <c r="AH373" s="432">
        <f t="shared" si="71"/>
        <v>686</v>
      </c>
      <c r="AL373" s="448"/>
      <c r="AM373" s="467">
        <f>VLOOKUP(AD373,[6]BV201101!$A$10:$A$1236,1,0)</f>
        <v>111503</v>
      </c>
    </row>
    <row r="374" spans="1:39" s="467" customFormat="1" ht="12.75" customHeight="1">
      <c r="A374" s="487" t="str">
        <f t="shared" si="73"/>
        <v>1</v>
      </c>
      <c r="B374" s="487" t="str">
        <f t="shared" si="68"/>
        <v>11</v>
      </c>
      <c r="C374" s="487" t="str">
        <f t="shared" si="69"/>
        <v>50</v>
      </c>
      <c r="D374" s="487" t="str">
        <f t="shared" si="70"/>
        <v>1504</v>
      </c>
      <c r="E374" s="487">
        <v>514330000</v>
      </c>
      <c r="F374" s="488" t="str">
        <f t="shared" si="61"/>
        <v/>
      </c>
      <c r="G374" s="487"/>
      <c r="H374" s="487"/>
      <c r="I374" s="488" t="str">
        <f t="shared" si="62"/>
        <v/>
      </c>
      <c r="J374" s="487"/>
      <c r="K374" s="487"/>
      <c r="L374" s="488" t="str">
        <f t="shared" si="63"/>
        <v/>
      </c>
      <c r="M374" s="487"/>
      <c r="N374" s="487"/>
      <c r="O374" s="488" t="str">
        <f t="shared" si="64"/>
        <v/>
      </c>
      <c r="P374" s="489"/>
      <c r="Q374" s="489"/>
      <c r="R374" s="592" t="str">
        <f t="shared" si="65"/>
        <v/>
      </c>
      <c r="S374" s="487"/>
      <c r="T374" s="487"/>
      <c r="U374" s="488" t="str">
        <f t="shared" si="66"/>
        <v/>
      </c>
      <c r="V374" s="489"/>
      <c r="W374" s="489"/>
      <c r="X374" s="488" t="str">
        <f t="shared" si="67"/>
        <v/>
      </c>
      <c r="Y374" s="489"/>
      <c r="Z374" s="489"/>
      <c r="AA374" s="490" t="str">
        <f t="shared" si="59"/>
        <v/>
      </c>
      <c r="AB374" s="489"/>
      <c r="AC374" s="489"/>
      <c r="AD374" s="27">
        <v>111504</v>
      </c>
      <c r="AE374" s="27" t="s">
        <v>787</v>
      </c>
      <c r="AF374" s="432">
        <f>VLOOKUP(AD374,[5]Hoja1!$A$10:$K$1393,11,0)</f>
        <v>32217761</v>
      </c>
      <c r="AG374" s="432">
        <v>0</v>
      </c>
      <c r="AH374" s="432">
        <f t="shared" si="71"/>
        <v>32218</v>
      </c>
      <c r="AL374" s="448"/>
      <c r="AM374" s="467">
        <f>VLOOKUP(AD374,[6]BV201101!$A$10:$A$1236,1,0)</f>
        <v>111504</v>
      </c>
    </row>
    <row r="375" spans="1:39" s="467" customFormat="1" ht="12.75" customHeight="1">
      <c r="A375" s="487" t="str">
        <f t="shared" si="73"/>
        <v>1</v>
      </c>
      <c r="B375" s="487" t="str">
        <f t="shared" si="68"/>
        <v>11</v>
      </c>
      <c r="C375" s="487" t="str">
        <f t="shared" si="69"/>
        <v>50</v>
      </c>
      <c r="D375" s="487" t="str">
        <f t="shared" si="70"/>
        <v>1505</v>
      </c>
      <c r="E375" s="487">
        <v>514340000</v>
      </c>
      <c r="F375" s="488" t="str">
        <f t="shared" si="61"/>
        <v/>
      </c>
      <c r="G375" s="487"/>
      <c r="H375" s="487"/>
      <c r="I375" s="488" t="str">
        <f t="shared" si="62"/>
        <v/>
      </c>
      <c r="J375" s="487"/>
      <c r="K375" s="487"/>
      <c r="L375" s="488" t="str">
        <f t="shared" si="63"/>
        <v/>
      </c>
      <c r="M375" s="487"/>
      <c r="N375" s="487"/>
      <c r="O375" s="488" t="str">
        <f t="shared" si="64"/>
        <v/>
      </c>
      <c r="P375" s="489"/>
      <c r="Q375" s="489"/>
      <c r="R375" s="592" t="str">
        <f t="shared" si="65"/>
        <v/>
      </c>
      <c r="S375" s="487"/>
      <c r="T375" s="487"/>
      <c r="U375" s="488" t="str">
        <f t="shared" si="66"/>
        <v/>
      </c>
      <c r="V375" s="489"/>
      <c r="W375" s="489"/>
      <c r="X375" s="488" t="str">
        <f t="shared" si="67"/>
        <v/>
      </c>
      <c r="Y375" s="489"/>
      <c r="Z375" s="489"/>
      <c r="AA375" s="490" t="str">
        <f t="shared" si="59"/>
        <v>229</v>
      </c>
      <c r="AB375" s="489">
        <v>22</v>
      </c>
      <c r="AC375" s="489">
        <v>9</v>
      </c>
      <c r="AD375" s="27">
        <v>111505</v>
      </c>
      <c r="AE375" s="27" t="s">
        <v>610</v>
      </c>
      <c r="AF375" s="432">
        <f>VLOOKUP(AD375,[5]Hoja1!$A$10:$K$1393,11,0)</f>
        <v>0</v>
      </c>
      <c r="AG375" s="432"/>
      <c r="AH375" s="432">
        <f t="shared" si="71"/>
        <v>0</v>
      </c>
      <c r="AL375" s="448"/>
      <c r="AM375" s="467" t="e">
        <f>VLOOKUP(AD375,[6]BV201101!$A$10:$A$1236,1,0)</f>
        <v>#N/A</v>
      </c>
    </row>
    <row r="376" spans="1:39" s="467" customFormat="1" ht="12.75" customHeight="1">
      <c r="A376" s="487" t="str">
        <f t="shared" si="73"/>
        <v>1</v>
      </c>
      <c r="B376" s="487" t="str">
        <f t="shared" si="68"/>
        <v>11</v>
      </c>
      <c r="C376" s="487" t="str">
        <f t="shared" si="69"/>
        <v>50</v>
      </c>
      <c r="D376" s="487" t="str">
        <f t="shared" si="70"/>
        <v>1506</v>
      </c>
      <c r="E376" s="487">
        <v>514340000</v>
      </c>
      <c r="F376" s="488" t="str">
        <f t="shared" si="61"/>
        <v/>
      </c>
      <c r="G376" s="487"/>
      <c r="H376" s="487"/>
      <c r="I376" s="488" t="str">
        <f t="shared" si="62"/>
        <v/>
      </c>
      <c r="J376" s="487"/>
      <c r="K376" s="487"/>
      <c r="L376" s="488" t="str">
        <f t="shared" si="63"/>
        <v/>
      </c>
      <c r="M376" s="487"/>
      <c r="N376" s="487"/>
      <c r="O376" s="488" t="str">
        <f t="shared" si="64"/>
        <v/>
      </c>
      <c r="P376" s="489"/>
      <c r="Q376" s="489"/>
      <c r="R376" s="592" t="str">
        <f t="shared" si="65"/>
        <v/>
      </c>
      <c r="S376" s="487"/>
      <c r="T376" s="487"/>
      <c r="U376" s="488" t="str">
        <f t="shared" si="66"/>
        <v/>
      </c>
      <c r="V376" s="489"/>
      <c r="W376" s="489"/>
      <c r="X376" s="488" t="str">
        <f t="shared" si="67"/>
        <v/>
      </c>
      <c r="Y376" s="489"/>
      <c r="Z376" s="489"/>
      <c r="AA376" s="490" t="str">
        <f t="shared" si="59"/>
        <v>229</v>
      </c>
      <c r="AB376" s="489">
        <v>22</v>
      </c>
      <c r="AC376" s="489">
        <v>9</v>
      </c>
      <c r="AD376" s="27">
        <v>111506</v>
      </c>
      <c r="AE376" s="27" t="s">
        <v>831</v>
      </c>
      <c r="AF376" s="432">
        <f>VLOOKUP(AD376,[5]Hoja1!$A$10:$K$1393,11,0)</f>
        <v>750000</v>
      </c>
      <c r="AG376" s="432"/>
      <c r="AH376" s="432">
        <f t="shared" si="71"/>
        <v>750</v>
      </c>
      <c r="AL376" s="448"/>
      <c r="AM376" s="467">
        <f>VLOOKUP(AD376,[6]BV201101!$A$10:$A$1236,1,0)</f>
        <v>111506</v>
      </c>
    </row>
    <row r="377" spans="1:39" s="467" customFormat="1" ht="12.75" customHeight="1">
      <c r="A377" s="487" t="str">
        <f t="shared" si="73"/>
        <v>1</v>
      </c>
      <c r="B377" s="487" t="str">
        <f t="shared" si="68"/>
        <v>11</v>
      </c>
      <c r="C377" s="487" t="str">
        <f t="shared" si="69"/>
        <v>50</v>
      </c>
      <c r="D377" s="487" t="str">
        <f t="shared" si="70"/>
        <v>1507</v>
      </c>
      <c r="E377" s="487">
        <v>514340000</v>
      </c>
      <c r="F377" s="488" t="str">
        <f t="shared" si="61"/>
        <v/>
      </c>
      <c r="G377" s="487"/>
      <c r="H377" s="487"/>
      <c r="I377" s="488" t="str">
        <f t="shared" si="62"/>
        <v/>
      </c>
      <c r="J377" s="487"/>
      <c r="K377" s="487"/>
      <c r="L377" s="488" t="str">
        <f t="shared" si="63"/>
        <v/>
      </c>
      <c r="M377" s="487"/>
      <c r="N377" s="487"/>
      <c r="O377" s="488" t="str">
        <f t="shared" si="64"/>
        <v/>
      </c>
      <c r="P377" s="489"/>
      <c r="Q377" s="489"/>
      <c r="R377" s="592" t="str">
        <f t="shared" si="65"/>
        <v/>
      </c>
      <c r="S377" s="487"/>
      <c r="T377" s="487"/>
      <c r="U377" s="488" t="str">
        <f t="shared" si="66"/>
        <v/>
      </c>
      <c r="V377" s="489"/>
      <c r="W377" s="489"/>
      <c r="X377" s="488" t="str">
        <f t="shared" si="67"/>
        <v/>
      </c>
      <c r="Y377" s="489"/>
      <c r="Z377" s="489"/>
      <c r="AA377" s="490" t="str">
        <f t="shared" si="59"/>
        <v>229</v>
      </c>
      <c r="AB377" s="489">
        <v>22</v>
      </c>
      <c r="AC377" s="489">
        <v>9</v>
      </c>
      <c r="AD377" s="27">
        <v>111507</v>
      </c>
      <c r="AE377" s="27" t="s">
        <v>1502</v>
      </c>
      <c r="AF377" s="432">
        <v>0</v>
      </c>
      <c r="AG377" s="432"/>
      <c r="AH377" s="432">
        <f t="shared" si="71"/>
        <v>0</v>
      </c>
      <c r="AL377" s="448"/>
      <c r="AM377" s="467" t="e">
        <f>VLOOKUP(AD377,[6]BV201101!$A$10:$A$1236,1,0)</f>
        <v>#N/A</v>
      </c>
    </row>
    <row r="378" spans="1:39" s="467" customFormat="1" ht="12.75" customHeight="1">
      <c r="A378" s="487" t="str">
        <f t="shared" si="73"/>
        <v>1</v>
      </c>
      <c r="B378" s="487" t="str">
        <f t="shared" si="68"/>
        <v>11</v>
      </c>
      <c r="C378" s="487" t="str">
        <f t="shared" si="69"/>
        <v>50</v>
      </c>
      <c r="D378" s="487" t="str">
        <f t="shared" si="70"/>
        <v>1508</v>
      </c>
      <c r="E378" s="487">
        <v>514330000</v>
      </c>
      <c r="F378" s="488" t="str">
        <f t="shared" si="61"/>
        <v/>
      </c>
      <c r="G378" s="489"/>
      <c r="H378" s="489"/>
      <c r="I378" s="488" t="str">
        <f t="shared" si="62"/>
        <v/>
      </c>
      <c r="J378" s="487"/>
      <c r="K378" s="487"/>
      <c r="L378" s="488" t="str">
        <f t="shared" si="63"/>
        <v/>
      </c>
      <c r="M378" s="487"/>
      <c r="N378" s="487"/>
      <c r="O378" s="488" t="str">
        <f t="shared" si="64"/>
        <v/>
      </c>
      <c r="P378" s="489"/>
      <c r="Q378" s="489"/>
      <c r="R378" s="592" t="str">
        <f t="shared" si="65"/>
        <v/>
      </c>
      <c r="S378" s="487"/>
      <c r="T378" s="487"/>
      <c r="U378" s="488" t="str">
        <f t="shared" si="66"/>
        <v/>
      </c>
      <c r="V378" s="489"/>
      <c r="W378" s="489"/>
      <c r="X378" s="488" t="str">
        <f t="shared" si="67"/>
        <v/>
      </c>
      <c r="Y378" s="489"/>
      <c r="Z378" s="489"/>
      <c r="AA378" s="490" t="str">
        <f t="shared" si="59"/>
        <v/>
      </c>
      <c r="AB378" s="489"/>
      <c r="AC378" s="489"/>
      <c r="AD378" s="27">
        <v>111508</v>
      </c>
      <c r="AE378" s="27" t="s">
        <v>778</v>
      </c>
      <c r="AF378" s="432">
        <v>0</v>
      </c>
      <c r="AG378" s="432"/>
      <c r="AH378" s="432">
        <f t="shared" si="71"/>
        <v>0</v>
      </c>
      <c r="AL378" s="448"/>
      <c r="AM378" s="467" t="e">
        <f>VLOOKUP(AD378,[6]BV201101!$A$10:$A$1236,1,0)</f>
        <v>#N/A</v>
      </c>
    </row>
    <row r="379" spans="1:39" s="467" customFormat="1" ht="12.75" customHeight="1">
      <c r="A379" s="487" t="str">
        <f t="shared" si="73"/>
        <v>1</v>
      </c>
      <c r="B379" s="487" t="str">
        <f t="shared" si="68"/>
        <v>11</v>
      </c>
      <c r="C379" s="487" t="str">
        <f t="shared" si="69"/>
        <v>50</v>
      </c>
      <c r="D379" s="487" t="str">
        <f t="shared" si="70"/>
        <v>1509</v>
      </c>
      <c r="E379" s="487">
        <v>514330000</v>
      </c>
      <c r="F379" s="488" t="str">
        <f t="shared" si="61"/>
        <v/>
      </c>
      <c r="G379" s="487"/>
      <c r="H379" s="487"/>
      <c r="I379" s="488" t="str">
        <f t="shared" si="62"/>
        <v/>
      </c>
      <c r="J379" s="487"/>
      <c r="K379" s="487"/>
      <c r="L379" s="488" t="str">
        <f t="shared" si="63"/>
        <v/>
      </c>
      <c r="M379" s="487"/>
      <c r="N379" s="487"/>
      <c r="O379" s="488" t="str">
        <f t="shared" si="64"/>
        <v/>
      </c>
      <c r="P379" s="489"/>
      <c r="Q379" s="489"/>
      <c r="R379" s="592" t="str">
        <f t="shared" si="65"/>
        <v/>
      </c>
      <c r="S379" s="487"/>
      <c r="T379" s="487"/>
      <c r="U379" s="488" t="str">
        <f t="shared" si="66"/>
        <v/>
      </c>
      <c r="V379" s="489"/>
      <c r="W379" s="489"/>
      <c r="X379" s="488" t="str">
        <f t="shared" si="67"/>
        <v/>
      </c>
      <c r="Y379" s="489"/>
      <c r="Z379" s="489"/>
      <c r="AA379" s="490" t="str">
        <f t="shared" si="59"/>
        <v/>
      </c>
      <c r="AB379" s="489"/>
      <c r="AC379" s="489"/>
      <c r="AD379" s="27">
        <v>111509</v>
      </c>
      <c r="AE379" s="27" t="s">
        <v>779</v>
      </c>
      <c r="AF379" s="432">
        <v>0</v>
      </c>
      <c r="AG379" s="432"/>
      <c r="AH379" s="432">
        <f t="shared" si="71"/>
        <v>0</v>
      </c>
      <c r="AI379" s="467" t="s">
        <v>474</v>
      </c>
      <c r="AL379" s="448"/>
      <c r="AM379" s="467" t="e">
        <f>VLOOKUP(AD379,[6]BV201101!$A$10:$A$1236,1,0)</f>
        <v>#N/A</v>
      </c>
    </row>
    <row r="380" spans="1:39" s="467" customFormat="1" ht="12.75" customHeight="1">
      <c r="A380" s="487" t="str">
        <f t="shared" si="73"/>
        <v>1</v>
      </c>
      <c r="B380" s="487" t="str">
        <f t="shared" si="68"/>
        <v>11</v>
      </c>
      <c r="C380" s="487" t="str">
        <f t="shared" si="69"/>
        <v>51</v>
      </c>
      <c r="D380" s="487" t="str">
        <f t="shared" si="70"/>
        <v>1510</v>
      </c>
      <c r="E380" s="487">
        <v>514340000</v>
      </c>
      <c r="F380" s="488" t="str">
        <f t="shared" si="61"/>
        <v/>
      </c>
      <c r="G380" s="487"/>
      <c r="H380" s="487"/>
      <c r="I380" s="488" t="str">
        <f t="shared" si="62"/>
        <v/>
      </c>
      <c r="J380" s="487"/>
      <c r="K380" s="487"/>
      <c r="L380" s="488" t="str">
        <f t="shared" si="63"/>
        <v/>
      </c>
      <c r="M380" s="487"/>
      <c r="N380" s="487"/>
      <c r="O380" s="488" t="str">
        <f t="shared" si="64"/>
        <v/>
      </c>
      <c r="P380" s="489"/>
      <c r="Q380" s="489"/>
      <c r="R380" s="592" t="str">
        <f t="shared" si="65"/>
        <v/>
      </c>
      <c r="S380" s="487"/>
      <c r="T380" s="487"/>
      <c r="U380" s="488" t="str">
        <f t="shared" si="66"/>
        <v/>
      </c>
      <c r="V380" s="489"/>
      <c r="W380" s="489"/>
      <c r="X380" s="488" t="str">
        <f t="shared" si="67"/>
        <v/>
      </c>
      <c r="Y380" s="489"/>
      <c r="Z380" s="489"/>
      <c r="AA380" s="490" t="str">
        <f t="shared" si="59"/>
        <v>229</v>
      </c>
      <c r="AB380" s="489">
        <v>22</v>
      </c>
      <c r="AC380" s="489">
        <v>9</v>
      </c>
      <c r="AD380" s="27">
        <v>111510</v>
      </c>
      <c r="AE380" s="27" t="s">
        <v>780</v>
      </c>
      <c r="AF380" s="432">
        <f>VLOOKUP(AD380,[5]Hoja1!$A$10:$K$1393,11,0)</f>
        <v>2590000</v>
      </c>
      <c r="AG380" s="432"/>
      <c r="AH380" s="432">
        <f t="shared" si="71"/>
        <v>2590</v>
      </c>
      <c r="AL380" s="448"/>
      <c r="AM380" s="467">
        <f>VLOOKUP(AD380,[6]BV201101!$A$10:$A$1236,1,0)</f>
        <v>111510</v>
      </c>
    </row>
    <row r="381" spans="1:39" s="467" customFormat="1" ht="12.75" customHeight="1">
      <c r="A381" s="487" t="str">
        <f t="shared" si="73"/>
        <v>1</v>
      </c>
      <c r="B381" s="487" t="str">
        <f t="shared" si="68"/>
        <v>11</v>
      </c>
      <c r="C381" s="487" t="str">
        <f t="shared" si="69"/>
        <v>51</v>
      </c>
      <c r="D381" s="487" t="str">
        <f t="shared" si="70"/>
        <v>1511</v>
      </c>
      <c r="E381" s="487">
        <v>514340000</v>
      </c>
      <c r="F381" s="488"/>
      <c r="G381" s="487"/>
      <c r="H381" s="487"/>
      <c r="I381" s="488"/>
      <c r="J381" s="487"/>
      <c r="K381" s="487"/>
      <c r="L381" s="488"/>
      <c r="M381" s="487"/>
      <c r="N381" s="487"/>
      <c r="O381" s="488"/>
      <c r="P381" s="489"/>
      <c r="Q381" s="489"/>
      <c r="R381" s="592"/>
      <c r="S381" s="487"/>
      <c r="T381" s="487"/>
      <c r="U381" s="488"/>
      <c r="V381" s="489"/>
      <c r="W381" s="489"/>
      <c r="X381" s="488"/>
      <c r="Y381" s="489"/>
      <c r="Z381" s="489"/>
      <c r="AA381" s="490" t="str">
        <f>+AB381&amp;AC381</f>
        <v>229</v>
      </c>
      <c r="AB381" s="489">
        <v>22</v>
      </c>
      <c r="AC381" s="489">
        <v>9</v>
      </c>
      <c r="AD381" s="27">
        <v>111511</v>
      </c>
      <c r="AE381" s="27" t="s">
        <v>2048</v>
      </c>
      <c r="AF381" s="432">
        <f>VLOOKUP(AD381,[5]Hoja1!$A$10:$K$1393,11,0)</f>
        <v>2014834</v>
      </c>
      <c r="AG381" s="432"/>
      <c r="AH381" s="432">
        <f t="shared" si="71"/>
        <v>2015</v>
      </c>
      <c r="AL381" s="448"/>
      <c r="AM381" s="467">
        <f>VLOOKUP(AD381,[6]BV201101!$A$10:$A$1236,1,0)</f>
        <v>111511</v>
      </c>
    </row>
    <row r="382" spans="1:39" s="467" customFormat="1" ht="12.75" customHeight="1">
      <c r="A382" s="487" t="str">
        <f t="shared" si="73"/>
        <v>1</v>
      </c>
      <c r="B382" s="487" t="str">
        <f t="shared" si="68"/>
        <v>11</v>
      </c>
      <c r="C382" s="487" t="str">
        <f t="shared" si="69"/>
        <v>51</v>
      </c>
      <c r="D382" s="487" t="str">
        <f t="shared" si="70"/>
        <v>1512</v>
      </c>
      <c r="E382" s="487">
        <v>514340000</v>
      </c>
      <c r="F382" s="488"/>
      <c r="G382" s="487"/>
      <c r="H382" s="487"/>
      <c r="I382" s="488"/>
      <c r="J382" s="487"/>
      <c r="K382" s="487"/>
      <c r="L382" s="488"/>
      <c r="M382" s="487"/>
      <c r="N382" s="487"/>
      <c r="O382" s="488"/>
      <c r="P382" s="489"/>
      <c r="Q382" s="489"/>
      <c r="R382" s="592"/>
      <c r="S382" s="487"/>
      <c r="T382" s="487"/>
      <c r="U382" s="488"/>
      <c r="V382" s="489"/>
      <c r="W382" s="489"/>
      <c r="X382" s="488"/>
      <c r="Y382" s="489"/>
      <c r="Z382" s="489"/>
      <c r="AA382" s="490" t="str">
        <f>+AB382&amp;AC382</f>
        <v>229</v>
      </c>
      <c r="AB382" s="489">
        <v>22</v>
      </c>
      <c r="AC382" s="489">
        <v>9</v>
      </c>
      <c r="AD382" s="27">
        <v>111512</v>
      </c>
      <c r="AE382" s="27" t="s">
        <v>2049</v>
      </c>
      <c r="AF382" s="432">
        <f>VLOOKUP(AD382,[5]Hoja1!$A$10:$K$1393,11,0)</f>
        <v>27172101</v>
      </c>
      <c r="AG382" s="432"/>
      <c r="AH382" s="432">
        <f t="shared" si="71"/>
        <v>27172</v>
      </c>
      <c r="AL382" s="448"/>
      <c r="AM382" s="467">
        <f>VLOOKUP(AD382,[6]BV201101!$A$10:$A$1236,1,0)</f>
        <v>111512</v>
      </c>
    </row>
    <row r="383" spans="1:39" s="467" customFormat="1" ht="12.75" customHeight="1">
      <c r="A383" s="487" t="str">
        <f t="shared" si="73"/>
        <v>1</v>
      </c>
      <c r="B383" s="487" t="str">
        <f t="shared" si="68"/>
        <v>11</v>
      </c>
      <c r="C383" s="487" t="str">
        <f t="shared" si="69"/>
        <v>51</v>
      </c>
      <c r="D383" s="487" t="str">
        <f t="shared" si="70"/>
        <v>1513</v>
      </c>
      <c r="E383" s="487">
        <v>514340000</v>
      </c>
      <c r="F383" s="488"/>
      <c r="G383" s="487"/>
      <c r="H383" s="487"/>
      <c r="I383" s="488"/>
      <c r="J383" s="487"/>
      <c r="K383" s="487"/>
      <c r="L383" s="488"/>
      <c r="M383" s="487"/>
      <c r="N383" s="487"/>
      <c r="O383" s="488"/>
      <c r="P383" s="489"/>
      <c r="Q383" s="489"/>
      <c r="R383" s="592"/>
      <c r="S383" s="487"/>
      <c r="T383" s="487"/>
      <c r="U383" s="488"/>
      <c r="V383" s="489"/>
      <c r="W383" s="489"/>
      <c r="X383" s="488"/>
      <c r="Y383" s="489"/>
      <c r="Z383" s="489"/>
      <c r="AA383" s="490" t="str">
        <f>+AB383&amp;AC383</f>
        <v>229</v>
      </c>
      <c r="AB383" s="489">
        <v>22</v>
      </c>
      <c r="AC383" s="489">
        <v>9</v>
      </c>
      <c r="AD383" s="27">
        <v>111513</v>
      </c>
      <c r="AE383" s="27" t="s">
        <v>2050</v>
      </c>
      <c r="AF383" s="432">
        <f>VLOOKUP(AD383,[5]Hoja1!$A$10:$K$1393,11,0)</f>
        <v>3232609</v>
      </c>
      <c r="AG383" s="432"/>
      <c r="AH383" s="432">
        <f t="shared" si="71"/>
        <v>3233</v>
      </c>
      <c r="AL383" s="448"/>
      <c r="AM383" s="467">
        <f>VLOOKUP(AD383,[6]BV201101!$A$10:$A$1236,1,0)</f>
        <v>111513</v>
      </c>
    </row>
    <row r="384" spans="1:39" s="467" customFormat="1" ht="12.75" customHeight="1">
      <c r="A384" s="487" t="str">
        <f t="shared" si="73"/>
        <v>1</v>
      </c>
      <c r="B384" s="487"/>
      <c r="C384" s="487"/>
      <c r="D384" s="487"/>
      <c r="E384" s="487">
        <v>514340000</v>
      </c>
      <c r="F384" s="488"/>
      <c r="G384" s="487"/>
      <c r="H384" s="487"/>
      <c r="I384" s="488"/>
      <c r="J384" s="487"/>
      <c r="K384" s="487"/>
      <c r="L384" s="488"/>
      <c r="M384" s="487"/>
      <c r="N384" s="487"/>
      <c r="O384" s="488"/>
      <c r="P384" s="489"/>
      <c r="Q384" s="489"/>
      <c r="R384" s="592"/>
      <c r="S384" s="487"/>
      <c r="T384" s="487"/>
      <c r="U384" s="488"/>
      <c r="V384" s="489"/>
      <c r="W384" s="489"/>
      <c r="X384" s="488"/>
      <c r="Y384" s="489"/>
      <c r="Z384" s="489"/>
      <c r="AA384" s="490"/>
      <c r="AB384" s="489"/>
      <c r="AC384" s="489"/>
      <c r="AD384" s="927">
        <v>111514</v>
      </c>
      <c r="AE384" s="27" t="s">
        <v>2682</v>
      </c>
      <c r="AF384" s="432">
        <f>VLOOKUP(AD384,[5]Hoja1!$A$10:$K$1393,11,0)</f>
        <v>-499384</v>
      </c>
      <c r="AG384" s="432"/>
      <c r="AH384" s="432">
        <f t="shared" si="71"/>
        <v>-499</v>
      </c>
      <c r="AL384" s="448"/>
    </row>
    <row r="385" spans="1:39" s="467" customFormat="1" ht="12.75" customHeight="1">
      <c r="A385" s="487" t="str">
        <f t="shared" si="73"/>
        <v>1</v>
      </c>
      <c r="B385" s="487"/>
      <c r="C385" s="487"/>
      <c r="D385" s="487"/>
      <c r="E385" s="487">
        <v>514330000</v>
      </c>
      <c r="F385" s="488"/>
      <c r="G385" s="487"/>
      <c r="H385" s="487"/>
      <c r="I385" s="488"/>
      <c r="J385" s="487"/>
      <c r="K385" s="487"/>
      <c r="L385" s="488"/>
      <c r="M385" s="487"/>
      <c r="N385" s="487"/>
      <c r="O385" s="488"/>
      <c r="P385" s="489"/>
      <c r="Q385" s="489"/>
      <c r="R385" s="592"/>
      <c r="S385" s="487"/>
      <c r="T385" s="487"/>
      <c r="U385" s="488"/>
      <c r="V385" s="489"/>
      <c r="W385" s="489"/>
      <c r="X385" s="488"/>
      <c r="Y385" s="489"/>
      <c r="Z385" s="489"/>
      <c r="AA385" s="490"/>
      <c r="AB385" s="489"/>
      <c r="AC385" s="489"/>
      <c r="AD385" s="927">
        <v>111515</v>
      </c>
      <c r="AE385" s="27" t="s">
        <v>2683</v>
      </c>
      <c r="AF385" s="432">
        <f>VLOOKUP(AD385,[5]Hoja1!$A$10:$K$1393,11,0)</f>
        <v>-23688622</v>
      </c>
      <c r="AG385" s="432"/>
      <c r="AH385" s="432">
        <f t="shared" si="71"/>
        <v>-23689</v>
      </c>
      <c r="AL385" s="448"/>
    </row>
    <row r="386" spans="1:39" s="467" customFormat="1" ht="12.75" customHeight="1">
      <c r="A386" s="487" t="str">
        <f t="shared" si="73"/>
        <v>1</v>
      </c>
      <c r="B386" s="487" t="str">
        <f t="shared" si="68"/>
        <v>11</v>
      </c>
      <c r="C386" s="487" t="str">
        <f t="shared" si="69"/>
        <v>60</v>
      </c>
      <c r="D386" s="487" t="str">
        <f t="shared" si="70"/>
        <v>1601</v>
      </c>
      <c r="E386" s="487">
        <v>514410000</v>
      </c>
      <c r="F386" s="488" t="str">
        <f t="shared" si="61"/>
        <v/>
      </c>
      <c r="G386" s="487"/>
      <c r="H386" s="487"/>
      <c r="I386" s="488" t="str">
        <f t="shared" si="62"/>
        <v/>
      </c>
      <c r="J386" s="487"/>
      <c r="K386" s="487"/>
      <c r="L386" s="488" t="str">
        <f t="shared" si="63"/>
        <v/>
      </c>
      <c r="M386" s="487"/>
      <c r="N386" s="487"/>
      <c r="O386" s="488" t="str">
        <f t="shared" si="64"/>
        <v/>
      </c>
      <c r="P386" s="489"/>
      <c r="Q386" s="489"/>
      <c r="R386" s="592" t="str">
        <f t="shared" si="65"/>
        <v/>
      </c>
      <c r="S386" s="487"/>
      <c r="T386" s="487"/>
      <c r="U386" s="488" t="str">
        <f t="shared" si="66"/>
        <v/>
      </c>
      <c r="V386" s="489"/>
      <c r="W386" s="489"/>
      <c r="X386" s="488" t="str">
        <f t="shared" si="67"/>
        <v/>
      </c>
      <c r="Y386" s="489"/>
      <c r="Z386" s="489"/>
      <c r="AA386" s="490" t="str">
        <f t="shared" si="59"/>
        <v>224</v>
      </c>
      <c r="AB386" s="489">
        <v>22</v>
      </c>
      <c r="AC386" s="489">
        <v>4</v>
      </c>
      <c r="AD386" s="27">
        <v>111601</v>
      </c>
      <c r="AE386" s="27" t="s">
        <v>404</v>
      </c>
      <c r="AF386" s="432">
        <f>VLOOKUP(AD386,[5]Hoja1!$A$10:$K$1393,11,0)</f>
        <v>1436535</v>
      </c>
      <c r="AG386" s="432"/>
      <c r="AH386" s="432">
        <f t="shared" si="71"/>
        <v>1437</v>
      </c>
      <c r="AL386" s="448"/>
      <c r="AM386" s="467" t="e">
        <f>VLOOKUP(AD386,[6]BV201101!$A$10:$A$1236,1,0)</f>
        <v>#N/A</v>
      </c>
    </row>
    <row r="387" spans="1:39" s="467" customFormat="1" ht="12.75" customHeight="1">
      <c r="A387" s="487" t="str">
        <f t="shared" si="73"/>
        <v>1</v>
      </c>
      <c r="B387" s="487" t="str">
        <f t="shared" si="68"/>
        <v>11</v>
      </c>
      <c r="C387" s="487" t="str">
        <f t="shared" si="69"/>
        <v>60</v>
      </c>
      <c r="D387" s="487" t="str">
        <f t="shared" si="70"/>
        <v>1602</v>
      </c>
      <c r="E387" s="487"/>
      <c r="F387" s="488" t="str">
        <f t="shared" si="61"/>
        <v/>
      </c>
      <c r="G387" s="487"/>
      <c r="H387" s="487"/>
      <c r="I387" s="488" t="str">
        <f t="shared" si="62"/>
        <v/>
      </c>
      <c r="J387" s="487"/>
      <c r="K387" s="487"/>
      <c r="L387" s="488" t="str">
        <f t="shared" si="63"/>
        <v/>
      </c>
      <c r="M387" s="487"/>
      <c r="N387" s="487"/>
      <c r="O387" s="488" t="str">
        <f t="shared" si="64"/>
        <v/>
      </c>
      <c r="P387" s="489"/>
      <c r="Q387" s="489"/>
      <c r="R387" s="592" t="str">
        <f t="shared" si="65"/>
        <v/>
      </c>
      <c r="S387" s="487"/>
      <c r="T387" s="487"/>
      <c r="U387" s="488" t="str">
        <f t="shared" si="66"/>
        <v/>
      </c>
      <c r="V387" s="489"/>
      <c r="W387" s="489"/>
      <c r="X387" s="488" t="str">
        <f t="shared" si="67"/>
        <v/>
      </c>
      <c r="Y387" s="489"/>
      <c r="Z387" s="489"/>
      <c r="AA387" s="490" t="str">
        <f t="shared" si="59"/>
        <v/>
      </c>
      <c r="AB387" s="489"/>
      <c r="AC387" s="489"/>
      <c r="AD387" s="27">
        <v>111602</v>
      </c>
      <c r="AE387" s="27" t="s">
        <v>611</v>
      </c>
      <c r="AF387" s="432">
        <v>0</v>
      </c>
      <c r="AG387" s="432"/>
      <c r="AH387" s="432">
        <f t="shared" si="71"/>
        <v>0</v>
      </c>
      <c r="AL387" s="448"/>
      <c r="AM387" s="467" t="e">
        <f>VLOOKUP(AD387,[6]BV201101!$A$10:$A$1236,1,0)</f>
        <v>#N/A</v>
      </c>
    </row>
    <row r="388" spans="1:39" s="467" customFormat="1" ht="12.75" customHeight="1">
      <c r="A388" s="487" t="str">
        <f t="shared" si="73"/>
        <v>1</v>
      </c>
      <c r="B388" s="487" t="str">
        <f t="shared" si="68"/>
        <v>11</v>
      </c>
      <c r="C388" s="487" t="str">
        <f t="shared" si="69"/>
        <v>60</v>
      </c>
      <c r="D388" s="487" t="str">
        <f t="shared" si="70"/>
        <v>1603</v>
      </c>
      <c r="E388" s="487">
        <v>514340000</v>
      </c>
      <c r="F388" s="488" t="str">
        <f t="shared" si="61"/>
        <v/>
      </c>
      <c r="G388" s="487"/>
      <c r="H388" s="487"/>
      <c r="I388" s="488" t="str">
        <f t="shared" si="62"/>
        <v/>
      </c>
      <c r="J388" s="487"/>
      <c r="K388" s="487"/>
      <c r="L388" s="488" t="str">
        <f t="shared" si="63"/>
        <v/>
      </c>
      <c r="M388" s="487"/>
      <c r="N388" s="487"/>
      <c r="O388" s="488" t="str">
        <f t="shared" si="64"/>
        <v/>
      </c>
      <c r="P388" s="489"/>
      <c r="Q388" s="489"/>
      <c r="R388" s="592" t="str">
        <f t="shared" si="65"/>
        <v/>
      </c>
      <c r="S388" s="487"/>
      <c r="T388" s="487"/>
      <c r="U388" s="488" t="str">
        <f t="shared" si="66"/>
        <v/>
      </c>
      <c r="V388" s="489"/>
      <c r="W388" s="489"/>
      <c r="X388" s="488" t="str">
        <f t="shared" si="67"/>
        <v/>
      </c>
      <c r="Y388" s="489"/>
      <c r="Z388" s="489"/>
      <c r="AA388" s="490" t="str">
        <f t="shared" si="59"/>
        <v>229</v>
      </c>
      <c r="AB388" s="489">
        <v>22</v>
      </c>
      <c r="AC388" s="489">
        <v>9</v>
      </c>
      <c r="AD388" s="27">
        <v>111603</v>
      </c>
      <c r="AE388" s="27" t="s">
        <v>403</v>
      </c>
      <c r="AF388" s="432">
        <f>VLOOKUP(AD388,[5]Hoja1!$A$10:$K$1393,11,0)</f>
        <v>43565357</v>
      </c>
      <c r="AG388" s="432"/>
      <c r="AH388" s="432">
        <f t="shared" si="71"/>
        <v>43565</v>
      </c>
      <c r="AL388" s="448"/>
      <c r="AM388" s="467">
        <f>VLOOKUP(AD388,[6]BV201101!$A$10:$A$1236,1,0)</f>
        <v>111603</v>
      </c>
    </row>
    <row r="389" spans="1:39" s="467" customFormat="1" ht="12.75" customHeight="1">
      <c r="A389" s="487" t="str">
        <f t="shared" si="73"/>
        <v>1</v>
      </c>
      <c r="B389" s="487" t="str">
        <f t="shared" si="68"/>
        <v>11</v>
      </c>
      <c r="C389" s="487" t="str">
        <f t="shared" si="69"/>
        <v>60</v>
      </c>
      <c r="D389" s="487" t="str">
        <f t="shared" si="70"/>
        <v>1604</v>
      </c>
      <c r="E389" s="487">
        <v>514340000</v>
      </c>
      <c r="F389" s="488" t="str">
        <f t="shared" si="61"/>
        <v/>
      </c>
      <c r="G389" s="487"/>
      <c r="H389" s="487"/>
      <c r="I389" s="488" t="str">
        <f t="shared" si="62"/>
        <v/>
      </c>
      <c r="J389" s="487"/>
      <c r="K389" s="487"/>
      <c r="L389" s="488" t="str">
        <f t="shared" si="63"/>
        <v/>
      </c>
      <c r="M389" s="487"/>
      <c r="N389" s="487"/>
      <c r="O389" s="488" t="str">
        <f t="shared" si="64"/>
        <v/>
      </c>
      <c r="P389" s="489"/>
      <c r="Q389" s="489"/>
      <c r="R389" s="592" t="str">
        <f t="shared" si="65"/>
        <v/>
      </c>
      <c r="S389" s="487"/>
      <c r="T389" s="487"/>
      <c r="U389" s="488" t="str">
        <f t="shared" si="66"/>
        <v/>
      </c>
      <c r="V389" s="489"/>
      <c r="W389" s="489"/>
      <c r="X389" s="488" t="str">
        <f t="shared" si="67"/>
        <v/>
      </c>
      <c r="Y389" s="489"/>
      <c r="Z389" s="489"/>
      <c r="AA389" s="490" t="str">
        <f t="shared" si="59"/>
        <v>229</v>
      </c>
      <c r="AB389" s="489">
        <v>22</v>
      </c>
      <c r="AC389" s="489">
        <v>9</v>
      </c>
      <c r="AD389" s="27">
        <v>111604</v>
      </c>
      <c r="AE389" s="27" t="s">
        <v>582</v>
      </c>
      <c r="AF389" s="432">
        <f>VLOOKUP(AD389,[5]Hoja1!$A$10:$K$1393,11,0)</f>
        <v>500000</v>
      </c>
      <c r="AG389" s="432"/>
      <c r="AH389" s="432">
        <f t="shared" si="71"/>
        <v>500</v>
      </c>
      <c r="AL389" s="448"/>
      <c r="AM389" s="467">
        <f>VLOOKUP(AD389,[6]BV201101!$A$10:$A$1236,1,0)</f>
        <v>111604</v>
      </c>
    </row>
    <row r="390" spans="1:39" s="467" customFormat="1" ht="12.75" customHeight="1">
      <c r="A390" s="487" t="str">
        <f t="shared" si="73"/>
        <v>1</v>
      </c>
      <c r="B390" s="487" t="str">
        <f t="shared" si="68"/>
        <v>11</v>
      </c>
      <c r="C390" s="487" t="str">
        <f t="shared" si="69"/>
        <v>60</v>
      </c>
      <c r="D390" s="487" t="str">
        <f t="shared" si="70"/>
        <v>1605</v>
      </c>
      <c r="E390" s="487">
        <v>514450000</v>
      </c>
      <c r="F390" s="488" t="str">
        <f t="shared" si="61"/>
        <v/>
      </c>
      <c r="G390" s="487"/>
      <c r="H390" s="487"/>
      <c r="I390" s="488" t="str">
        <f t="shared" si="62"/>
        <v/>
      </c>
      <c r="J390" s="487"/>
      <c r="K390" s="487"/>
      <c r="L390" s="488" t="str">
        <f t="shared" si="63"/>
        <v/>
      </c>
      <c r="M390" s="487"/>
      <c r="N390" s="487"/>
      <c r="O390" s="488" t="str">
        <f t="shared" si="64"/>
        <v/>
      </c>
      <c r="P390" s="489"/>
      <c r="Q390" s="489"/>
      <c r="R390" s="592" t="str">
        <f t="shared" si="65"/>
        <v/>
      </c>
      <c r="S390" s="487"/>
      <c r="T390" s="487"/>
      <c r="U390" s="488" t="str">
        <f t="shared" si="66"/>
        <v/>
      </c>
      <c r="V390" s="489"/>
      <c r="W390" s="489"/>
      <c r="X390" s="488" t="str">
        <f t="shared" si="67"/>
        <v/>
      </c>
      <c r="Y390" s="489"/>
      <c r="Z390" s="489"/>
      <c r="AA390" s="490" t="str">
        <f t="shared" si="59"/>
        <v>2210</v>
      </c>
      <c r="AB390" s="489">
        <v>22</v>
      </c>
      <c r="AC390" s="489">
        <v>10</v>
      </c>
      <c r="AD390" s="27">
        <v>111605</v>
      </c>
      <c r="AE390" s="27" t="s">
        <v>2051</v>
      </c>
      <c r="AF390" s="432">
        <f>VLOOKUP(AD390,[5]Hoja1!$A$10:$K$1393,11,0)</f>
        <v>620537693</v>
      </c>
      <c r="AG390" s="1508">
        <f>-AG974-AG867</f>
        <v>-472055591</v>
      </c>
      <c r="AH390" s="432">
        <f t="shared" si="71"/>
        <v>148482</v>
      </c>
      <c r="AI390" s="445" t="s">
        <v>1805</v>
      </c>
      <c r="AL390" s="448"/>
      <c r="AM390" s="467">
        <f>VLOOKUP(AD390,[6]BV201101!$A$10:$A$1236,1,0)</f>
        <v>111605</v>
      </c>
    </row>
    <row r="391" spans="1:39" s="467" customFormat="1" ht="12.75" customHeight="1">
      <c r="A391" s="487" t="str">
        <f t="shared" si="73"/>
        <v>1</v>
      </c>
      <c r="B391" s="487" t="str">
        <f t="shared" si="68"/>
        <v>11</v>
      </c>
      <c r="C391" s="487" t="str">
        <f t="shared" si="69"/>
        <v>60</v>
      </c>
      <c r="D391" s="487" t="str">
        <f t="shared" si="70"/>
        <v>1606</v>
      </c>
      <c r="E391" s="487">
        <v>524410000</v>
      </c>
      <c r="F391" s="488" t="str">
        <f t="shared" si="61"/>
        <v/>
      </c>
      <c r="G391" s="487"/>
      <c r="H391" s="487"/>
      <c r="I391" s="488" t="str">
        <f t="shared" si="62"/>
        <v/>
      </c>
      <c r="J391" s="487"/>
      <c r="K391" s="487"/>
      <c r="L391" s="488" t="str">
        <f t="shared" si="63"/>
        <v/>
      </c>
      <c r="M391" s="487"/>
      <c r="N391" s="487"/>
      <c r="O391" s="488" t="str">
        <f t="shared" si="64"/>
        <v/>
      </c>
      <c r="P391" s="489"/>
      <c r="Q391" s="489"/>
      <c r="R391" s="592" t="str">
        <f t="shared" si="65"/>
        <v/>
      </c>
      <c r="S391" s="487"/>
      <c r="T391" s="487"/>
      <c r="U391" s="488" t="str">
        <f t="shared" si="66"/>
        <v/>
      </c>
      <c r="V391" s="489"/>
      <c r="W391" s="489"/>
      <c r="X391" s="488" t="str">
        <f t="shared" si="67"/>
        <v/>
      </c>
      <c r="Y391" s="489"/>
      <c r="Z391" s="489"/>
      <c r="AA391" s="490" t="str">
        <f t="shared" si="59"/>
        <v/>
      </c>
      <c r="AB391" s="489"/>
      <c r="AC391" s="489"/>
      <c r="AD391" s="27">
        <v>111606</v>
      </c>
      <c r="AE391" s="27" t="s">
        <v>2052</v>
      </c>
      <c r="AF391" s="432">
        <f>VLOOKUP(AD391,[5]Hoja1!$A$10:$K$1393,11,0)</f>
        <v>712562</v>
      </c>
      <c r="AG391" s="1507">
        <f>-AF391</f>
        <v>-712562</v>
      </c>
      <c r="AH391" s="432">
        <f t="shared" si="71"/>
        <v>0</v>
      </c>
      <c r="AL391" s="448"/>
      <c r="AM391" s="467">
        <f>VLOOKUP(AD391,[6]BV201101!$A$10:$A$1236,1,0)</f>
        <v>111606</v>
      </c>
    </row>
    <row r="392" spans="1:39" s="467" customFormat="1" ht="12.75" customHeight="1">
      <c r="A392" s="487" t="str">
        <f t="shared" si="73"/>
        <v>1</v>
      </c>
      <c r="B392" s="487" t="str">
        <f t="shared" si="68"/>
        <v>11</v>
      </c>
      <c r="C392" s="487" t="str">
        <f t="shared" si="69"/>
        <v>60</v>
      </c>
      <c r="D392" s="487" t="str">
        <f t="shared" si="70"/>
        <v>1607</v>
      </c>
      <c r="E392" s="487">
        <v>524410000</v>
      </c>
      <c r="F392" s="488" t="str">
        <f t="shared" si="61"/>
        <v/>
      </c>
      <c r="G392" s="487"/>
      <c r="H392" s="487"/>
      <c r="I392" s="488" t="str">
        <f t="shared" si="62"/>
        <v/>
      </c>
      <c r="J392" s="487"/>
      <c r="K392" s="487"/>
      <c r="L392" s="488" t="str">
        <f t="shared" si="63"/>
        <v/>
      </c>
      <c r="M392" s="487"/>
      <c r="N392" s="487"/>
      <c r="O392" s="488" t="str">
        <f t="shared" si="64"/>
        <v/>
      </c>
      <c r="P392" s="489"/>
      <c r="Q392" s="489"/>
      <c r="R392" s="592" t="str">
        <f t="shared" si="65"/>
        <v/>
      </c>
      <c r="S392" s="487"/>
      <c r="T392" s="487"/>
      <c r="U392" s="488" t="str">
        <f t="shared" si="66"/>
        <v/>
      </c>
      <c r="V392" s="489"/>
      <c r="W392" s="489"/>
      <c r="X392" s="488" t="str">
        <f t="shared" si="67"/>
        <v/>
      </c>
      <c r="Y392" s="489"/>
      <c r="Z392" s="489"/>
      <c r="AA392" s="490" t="str">
        <f t="shared" si="59"/>
        <v/>
      </c>
      <c r="AB392" s="489"/>
      <c r="AC392" s="489"/>
      <c r="AD392" s="27">
        <v>111607</v>
      </c>
      <c r="AE392" s="27" t="s">
        <v>1488</v>
      </c>
      <c r="AF392" s="432">
        <f>VLOOKUP(AD392,[5]Hoja1!$A$10:$K$1393,11,0)</f>
        <v>48981749</v>
      </c>
      <c r="AG392" s="1507">
        <v>-46639016</v>
      </c>
      <c r="AH392" s="432">
        <f t="shared" si="71"/>
        <v>2343</v>
      </c>
      <c r="AL392" s="448"/>
      <c r="AM392" s="467">
        <f>VLOOKUP(AD392,[6]BV201101!$A$10:$A$1236,1,0)</f>
        <v>111607</v>
      </c>
    </row>
    <row r="393" spans="1:39" s="467" customFormat="1" ht="12.75" customHeight="1">
      <c r="A393" s="487" t="str">
        <f t="shared" si="73"/>
        <v>1</v>
      </c>
      <c r="B393" s="487" t="str">
        <f t="shared" si="68"/>
        <v>11</v>
      </c>
      <c r="C393" s="487" t="str">
        <f t="shared" si="69"/>
        <v>60</v>
      </c>
      <c r="D393" s="487" t="str">
        <f t="shared" si="70"/>
        <v>1608</v>
      </c>
      <c r="E393" s="487">
        <v>524410000</v>
      </c>
      <c r="F393" s="488" t="str">
        <f t="shared" si="61"/>
        <v/>
      </c>
      <c r="G393" s="487"/>
      <c r="H393" s="487"/>
      <c r="I393" s="488" t="str">
        <f t="shared" si="62"/>
        <v/>
      </c>
      <c r="J393" s="487"/>
      <c r="K393" s="487"/>
      <c r="L393" s="488" t="str">
        <f t="shared" si="63"/>
        <v/>
      </c>
      <c r="M393" s="487"/>
      <c r="N393" s="487"/>
      <c r="O393" s="488" t="str">
        <f t="shared" si="64"/>
        <v/>
      </c>
      <c r="P393" s="489"/>
      <c r="Q393" s="489"/>
      <c r="R393" s="592" t="str">
        <f t="shared" si="65"/>
        <v/>
      </c>
      <c r="S393" s="487"/>
      <c r="T393" s="487"/>
      <c r="U393" s="488" t="str">
        <f t="shared" si="66"/>
        <v/>
      </c>
      <c r="V393" s="489"/>
      <c r="W393" s="489"/>
      <c r="X393" s="488" t="str">
        <f t="shared" si="67"/>
        <v/>
      </c>
      <c r="Y393" s="489"/>
      <c r="Z393" s="489"/>
      <c r="AA393" s="490" t="str">
        <f t="shared" si="59"/>
        <v/>
      </c>
      <c r="AB393" s="489"/>
      <c r="AC393" s="489"/>
      <c r="AD393" s="27">
        <v>111608</v>
      </c>
      <c r="AE393" s="27" t="s">
        <v>975</v>
      </c>
      <c r="AF393" s="432">
        <f>VLOOKUP(AD393,[5]Hoja1!$A$10:$K$1393,11,0)</f>
        <v>0</v>
      </c>
      <c r="AG393" s="432"/>
      <c r="AH393" s="432">
        <f t="shared" si="71"/>
        <v>0</v>
      </c>
      <c r="AL393" s="448"/>
      <c r="AM393" s="467">
        <f>VLOOKUP(AD393,[6]BV201101!$A$10:$A$1236,1,0)</f>
        <v>111608</v>
      </c>
    </row>
    <row r="394" spans="1:39" s="467" customFormat="1" ht="12.75" customHeight="1">
      <c r="A394" s="487" t="str">
        <f t="shared" si="73"/>
        <v>1</v>
      </c>
      <c r="B394" s="487" t="str">
        <f t="shared" si="68"/>
        <v>11</v>
      </c>
      <c r="C394" s="487" t="str">
        <f t="shared" si="69"/>
        <v>60</v>
      </c>
      <c r="D394" s="487" t="str">
        <f t="shared" si="70"/>
        <v>1609</v>
      </c>
      <c r="E394" s="487">
        <v>524410000</v>
      </c>
      <c r="F394" s="488" t="str">
        <f t="shared" si="61"/>
        <v/>
      </c>
      <c r="G394" s="487"/>
      <c r="H394" s="487"/>
      <c r="I394" s="488" t="str">
        <f t="shared" si="62"/>
        <v/>
      </c>
      <c r="J394" s="487"/>
      <c r="K394" s="487"/>
      <c r="L394" s="488" t="str">
        <f t="shared" si="63"/>
        <v/>
      </c>
      <c r="M394" s="487"/>
      <c r="N394" s="487"/>
      <c r="O394" s="488" t="str">
        <f t="shared" si="64"/>
        <v/>
      </c>
      <c r="P394" s="489"/>
      <c r="Q394" s="489"/>
      <c r="R394" s="592" t="str">
        <f t="shared" si="65"/>
        <v/>
      </c>
      <c r="S394" s="487"/>
      <c r="T394" s="487"/>
      <c r="U394" s="488" t="str">
        <f t="shared" si="66"/>
        <v/>
      </c>
      <c r="V394" s="489"/>
      <c r="W394" s="489"/>
      <c r="X394" s="488" t="str">
        <f t="shared" si="67"/>
        <v/>
      </c>
      <c r="Y394" s="489"/>
      <c r="Z394" s="489"/>
      <c r="AA394" s="490" t="str">
        <f t="shared" si="59"/>
        <v/>
      </c>
      <c r="AB394" s="489"/>
      <c r="AC394" s="489"/>
      <c r="AD394" s="27">
        <v>111609</v>
      </c>
      <c r="AE394" s="27" t="s">
        <v>1488</v>
      </c>
      <c r="AF394" s="432">
        <v>0</v>
      </c>
      <c r="AG394" s="432"/>
      <c r="AH394" s="432">
        <f t="shared" si="71"/>
        <v>0</v>
      </c>
      <c r="AL394" s="448"/>
      <c r="AM394" s="467" t="e">
        <f>VLOOKUP(AD394,[6]BV201101!$A$10:$A$1236,1,0)</f>
        <v>#N/A</v>
      </c>
    </row>
    <row r="395" spans="1:39" s="467" customFormat="1" ht="12.75" customHeight="1">
      <c r="A395" s="487" t="str">
        <f t="shared" si="73"/>
        <v>1</v>
      </c>
      <c r="B395" s="487" t="str">
        <f t="shared" si="68"/>
        <v>11</v>
      </c>
      <c r="C395" s="487" t="str">
        <f t="shared" si="69"/>
        <v>61</v>
      </c>
      <c r="D395" s="487" t="str">
        <f t="shared" si="70"/>
        <v>1610</v>
      </c>
      <c r="E395" s="487">
        <v>514340000</v>
      </c>
      <c r="F395" s="488" t="str">
        <f t="shared" si="61"/>
        <v/>
      </c>
      <c r="G395" s="487"/>
      <c r="H395" s="487"/>
      <c r="I395" s="488" t="str">
        <f t="shared" si="62"/>
        <v/>
      </c>
      <c r="J395" s="487"/>
      <c r="K395" s="487"/>
      <c r="L395" s="488" t="str">
        <f t="shared" si="63"/>
        <v/>
      </c>
      <c r="M395" s="487"/>
      <c r="N395" s="487"/>
      <c r="O395" s="488" t="str">
        <f t="shared" si="64"/>
        <v/>
      </c>
      <c r="P395" s="489"/>
      <c r="Q395" s="489"/>
      <c r="R395" s="592" t="str">
        <f t="shared" si="65"/>
        <v/>
      </c>
      <c r="S395" s="487"/>
      <c r="T395" s="487"/>
      <c r="U395" s="488" t="str">
        <f t="shared" si="66"/>
        <v/>
      </c>
      <c r="V395" s="489"/>
      <c r="W395" s="489"/>
      <c r="X395" s="488" t="str">
        <f t="shared" si="67"/>
        <v/>
      </c>
      <c r="Y395" s="489"/>
      <c r="Z395" s="489"/>
      <c r="AA395" s="490" t="str">
        <f t="shared" si="59"/>
        <v>229</v>
      </c>
      <c r="AB395" s="489">
        <v>22</v>
      </c>
      <c r="AC395" s="489">
        <v>9</v>
      </c>
      <c r="AD395" s="27">
        <v>111610</v>
      </c>
      <c r="AE395" s="27" t="s">
        <v>583</v>
      </c>
      <c r="AF395" s="432">
        <f>VLOOKUP(AD395,[5]Hoja1!$A$10:$K$1393,11,0)</f>
        <v>424118308</v>
      </c>
      <c r="AG395" s="1191">
        <v>-42236172</v>
      </c>
      <c r="AH395" s="432">
        <f t="shared" si="71"/>
        <v>381882</v>
      </c>
      <c r="AI395" s="467">
        <v>-76789452</v>
      </c>
      <c r="AL395" s="448"/>
      <c r="AM395" s="467">
        <f>VLOOKUP(AD395,[6]BV201101!$A$10:$A$1236,1,0)</f>
        <v>111610</v>
      </c>
    </row>
    <row r="396" spans="1:39" s="467" customFormat="1" ht="12.75" customHeight="1">
      <c r="A396" s="487" t="str">
        <f t="shared" si="73"/>
        <v>1</v>
      </c>
      <c r="B396" s="487" t="str">
        <f t="shared" si="68"/>
        <v>11</v>
      </c>
      <c r="C396" s="487" t="str">
        <f t="shared" si="69"/>
        <v>61</v>
      </c>
      <c r="D396" s="487" t="str">
        <f t="shared" si="70"/>
        <v>1611</v>
      </c>
      <c r="E396" s="487">
        <v>514450000</v>
      </c>
      <c r="F396" s="488" t="str">
        <f t="shared" si="61"/>
        <v/>
      </c>
      <c r="G396" s="487"/>
      <c r="H396" s="487"/>
      <c r="I396" s="488" t="str">
        <f t="shared" si="62"/>
        <v/>
      </c>
      <c r="J396" s="487"/>
      <c r="K396" s="487"/>
      <c r="L396" s="488" t="str">
        <f t="shared" si="63"/>
        <v/>
      </c>
      <c r="M396" s="487"/>
      <c r="N396" s="487"/>
      <c r="O396" s="488" t="str">
        <f t="shared" si="64"/>
        <v/>
      </c>
      <c r="P396" s="489"/>
      <c r="Q396" s="489"/>
      <c r="R396" s="592" t="str">
        <f t="shared" si="65"/>
        <v/>
      </c>
      <c r="S396" s="487"/>
      <c r="T396" s="487"/>
      <c r="U396" s="488" t="str">
        <f t="shared" si="66"/>
        <v/>
      </c>
      <c r="V396" s="489"/>
      <c r="W396" s="489"/>
      <c r="X396" s="488" t="str">
        <f t="shared" si="67"/>
        <v/>
      </c>
      <c r="Y396" s="489"/>
      <c r="Z396" s="489"/>
      <c r="AA396" s="490" t="str">
        <f t="shared" si="59"/>
        <v>2210</v>
      </c>
      <c r="AB396" s="489">
        <v>22</v>
      </c>
      <c r="AC396" s="489">
        <v>10</v>
      </c>
      <c r="AD396" s="27">
        <v>111611</v>
      </c>
      <c r="AE396" s="27" t="s">
        <v>584</v>
      </c>
      <c r="AF396" s="432">
        <f>VLOOKUP(AD396,[5]Hoja1!$A$10:$K$1393,11,0)</f>
        <v>134660562</v>
      </c>
      <c r="AG396" s="1508">
        <f>-AG972</f>
        <v>-134660562</v>
      </c>
      <c r="AH396" s="432">
        <f t="shared" si="71"/>
        <v>0</v>
      </c>
      <c r="AL396" s="448"/>
      <c r="AM396" s="467">
        <f>VLOOKUP(AD396,[6]BV201101!$A$10:$A$1236,1,0)</f>
        <v>111611</v>
      </c>
    </row>
    <row r="397" spans="1:39" s="467" customFormat="1" ht="12.75" customHeight="1">
      <c r="A397" s="487" t="str">
        <f t="shared" si="73"/>
        <v>1</v>
      </c>
      <c r="B397" s="487" t="str">
        <f t="shared" si="68"/>
        <v>11</v>
      </c>
      <c r="C397" s="487" t="str">
        <f t="shared" si="69"/>
        <v>61</v>
      </c>
      <c r="D397" s="487" t="str">
        <f t="shared" si="70"/>
        <v>1612</v>
      </c>
      <c r="E397" s="487">
        <v>514340000</v>
      </c>
      <c r="F397" s="488" t="str">
        <f t="shared" si="61"/>
        <v/>
      </c>
      <c r="G397" s="487"/>
      <c r="H397" s="487"/>
      <c r="I397" s="488" t="str">
        <f t="shared" si="62"/>
        <v/>
      </c>
      <c r="J397" s="487"/>
      <c r="K397" s="487"/>
      <c r="L397" s="488" t="str">
        <f t="shared" si="63"/>
        <v/>
      </c>
      <c r="M397" s="487"/>
      <c r="N397" s="487"/>
      <c r="O397" s="488" t="str">
        <f t="shared" si="64"/>
        <v/>
      </c>
      <c r="P397" s="489"/>
      <c r="Q397" s="489"/>
      <c r="R397" s="592" t="str">
        <f t="shared" si="65"/>
        <v/>
      </c>
      <c r="S397" s="487"/>
      <c r="T397" s="487"/>
      <c r="U397" s="488" t="str">
        <f t="shared" si="66"/>
        <v/>
      </c>
      <c r="V397" s="489"/>
      <c r="W397" s="489"/>
      <c r="X397" s="488" t="str">
        <f t="shared" si="67"/>
        <v/>
      </c>
      <c r="Y397" s="489"/>
      <c r="Z397" s="489"/>
      <c r="AA397" s="490" t="str">
        <f t="shared" si="59"/>
        <v>2292</v>
      </c>
      <c r="AB397" s="489">
        <v>22</v>
      </c>
      <c r="AC397" s="489">
        <v>92</v>
      </c>
      <c r="AD397" s="27">
        <v>111612</v>
      </c>
      <c r="AE397" s="27" t="s">
        <v>585</v>
      </c>
      <c r="AF397" s="432">
        <f>VLOOKUP(AD397,[5]Hoja1!$A$10:$K$1393,11,0)</f>
        <v>0</v>
      </c>
      <c r="AG397" s="432">
        <v>0</v>
      </c>
      <c r="AH397" s="432">
        <f t="shared" si="71"/>
        <v>0</v>
      </c>
      <c r="AJ397" s="467" t="s">
        <v>1805</v>
      </c>
      <c r="AL397" s="448"/>
      <c r="AM397" s="467">
        <f>VLOOKUP(AD397,[6]BV201101!$A$10:$A$1236,1,0)</f>
        <v>111612</v>
      </c>
    </row>
    <row r="398" spans="1:39" s="467" customFormat="1" ht="12.75" customHeight="1">
      <c r="A398" s="487" t="str">
        <f t="shared" si="73"/>
        <v>1</v>
      </c>
      <c r="B398" s="487" t="str">
        <f t="shared" si="68"/>
        <v>11</v>
      </c>
      <c r="C398" s="487" t="str">
        <f t="shared" si="69"/>
        <v>61</v>
      </c>
      <c r="D398" s="487" t="str">
        <f t="shared" si="70"/>
        <v>1613</v>
      </c>
      <c r="E398" s="487">
        <v>514340000</v>
      </c>
      <c r="F398" s="488" t="str">
        <f t="shared" si="61"/>
        <v/>
      </c>
      <c r="G398" s="487"/>
      <c r="H398" s="487"/>
      <c r="I398" s="488" t="str">
        <f t="shared" si="62"/>
        <v/>
      </c>
      <c r="J398" s="487"/>
      <c r="K398" s="487"/>
      <c r="L398" s="488" t="str">
        <f t="shared" si="63"/>
        <v/>
      </c>
      <c r="M398" s="487"/>
      <c r="N398" s="487"/>
      <c r="O398" s="488" t="str">
        <f t="shared" si="64"/>
        <v/>
      </c>
      <c r="P398" s="489"/>
      <c r="Q398" s="489"/>
      <c r="R398" s="592" t="str">
        <f t="shared" si="65"/>
        <v/>
      </c>
      <c r="S398" s="487"/>
      <c r="T398" s="487"/>
      <c r="U398" s="488" t="str">
        <f t="shared" si="66"/>
        <v/>
      </c>
      <c r="V398" s="489"/>
      <c r="W398" s="489"/>
      <c r="X398" s="488" t="str">
        <f t="shared" si="67"/>
        <v/>
      </c>
      <c r="Y398" s="489"/>
      <c r="Z398" s="489"/>
      <c r="AA398" s="490" t="str">
        <f t="shared" si="59"/>
        <v>229</v>
      </c>
      <c r="AB398" s="489">
        <v>22</v>
      </c>
      <c r="AC398" s="489">
        <v>9</v>
      </c>
      <c r="AD398" s="27">
        <v>111613</v>
      </c>
      <c r="AE398" s="27" t="s">
        <v>2053</v>
      </c>
      <c r="AF398" s="432">
        <f>VLOOKUP(AD398,[5]Hoja1!$A$10:$K$1393,11,0)</f>
        <v>0</v>
      </c>
      <c r="AG398" s="432"/>
      <c r="AH398" s="432">
        <f t="shared" si="71"/>
        <v>0</v>
      </c>
      <c r="AL398" s="448"/>
      <c r="AM398" s="467">
        <f>VLOOKUP(AD398,[6]BV201101!$A$10:$A$1236,1,0)</f>
        <v>111613</v>
      </c>
    </row>
    <row r="399" spans="1:39" s="467" customFormat="1" ht="12.75" customHeight="1">
      <c r="A399" s="487" t="str">
        <f t="shared" si="73"/>
        <v>1</v>
      </c>
      <c r="B399" s="487" t="str">
        <f t="shared" si="68"/>
        <v>11</v>
      </c>
      <c r="C399" s="487" t="str">
        <f t="shared" si="69"/>
        <v>61</v>
      </c>
      <c r="D399" s="487" t="str">
        <f t="shared" si="70"/>
        <v>1614</v>
      </c>
      <c r="E399" s="487">
        <v>524410000</v>
      </c>
      <c r="F399" s="488" t="str">
        <f t="shared" si="61"/>
        <v/>
      </c>
      <c r="G399" s="487"/>
      <c r="H399" s="487"/>
      <c r="I399" s="488" t="str">
        <f t="shared" si="62"/>
        <v/>
      </c>
      <c r="J399" s="487"/>
      <c r="K399" s="487"/>
      <c r="L399" s="488" t="str">
        <f t="shared" si="63"/>
        <v/>
      </c>
      <c r="M399" s="487"/>
      <c r="N399" s="487"/>
      <c r="O399" s="488" t="str">
        <f t="shared" si="64"/>
        <v/>
      </c>
      <c r="P399" s="489"/>
      <c r="Q399" s="489"/>
      <c r="R399" s="592" t="str">
        <f t="shared" si="65"/>
        <v/>
      </c>
      <c r="S399" s="487"/>
      <c r="T399" s="487"/>
      <c r="U399" s="488" t="str">
        <f t="shared" si="66"/>
        <v/>
      </c>
      <c r="V399" s="489"/>
      <c r="W399" s="489"/>
      <c r="X399" s="488" t="str">
        <f t="shared" si="67"/>
        <v/>
      </c>
      <c r="Y399" s="489"/>
      <c r="Z399" s="489"/>
      <c r="AA399" s="490" t="str">
        <f t="shared" si="59"/>
        <v/>
      </c>
      <c r="AB399" s="489"/>
      <c r="AC399" s="489"/>
      <c r="AD399" s="27">
        <v>111614</v>
      </c>
      <c r="AE399" s="27" t="s">
        <v>586</v>
      </c>
      <c r="AF399" s="432">
        <f>VLOOKUP(AD399,[5]Hoja1!$A$10:$K$1393,11,0)</f>
        <v>0</v>
      </c>
      <c r="AG399" s="432"/>
      <c r="AH399" s="432">
        <f t="shared" ref="AH399:AH466" si="76">ROUND((AF399+AG399)/$AH$2,0)</f>
        <v>0</v>
      </c>
      <c r="AL399" s="448"/>
      <c r="AM399" s="467">
        <f>VLOOKUP(AD399,[6]BV201101!$A$10:$A$1236,1,0)</f>
        <v>111614</v>
      </c>
    </row>
    <row r="400" spans="1:39" s="467" customFormat="1" ht="12.75" customHeight="1">
      <c r="A400" s="487" t="str">
        <f t="shared" si="73"/>
        <v>1</v>
      </c>
      <c r="B400" s="487" t="str">
        <f t="shared" si="68"/>
        <v>11</v>
      </c>
      <c r="C400" s="487" t="str">
        <f t="shared" si="69"/>
        <v>61</v>
      </c>
      <c r="D400" s="487" t="str">
        <f t="shared" si="70"/>
        <v>1615</v>
      </c>
      <c r="E400" s="487">
        <v>514340000</v>
      </c>
      <c r="F400" s="488" t="str">
        <f t="shared" si="61"/>
        <v/>
      </c>
      <c r="G400" s="487"/>
      <c r="H400" s="487"/>
      <c r="I400" s="488" t="str">
        <f t="shared" si="62"/>
        <v/>
      </c>
      <c r="J400" s="487"/>
      <c r="K400" s="487"/>
      <c r="L400" s="488" t="str">
        <f t="shared" si="63"/>
        <v/>
      </c>
      <c r="M400" s="487"/>
      <c r="N400" s="487"/>
      <c r="O400" s="488" t="str">
        <f t="shared" si="64"/>
        <v/>
      </c>
      <c r="P400" s="489"/>
      <c r="Q400" s="489"/>
      <c r="R400" s="592" t="str">
        <f t="shared" si="65"/>
        <v/>
      </c>
      <c r="S400" s="487"/>
      <c r="T400" s="487"/>
      <c r="U400" s="488" t="str">
        <f t="shared" si="66"/>
        <v/>
      </c>
      <c r="V400" s="489"/>
      <c r="W400" s="489"/>
      <c r="X400" s="488" t="str">
        <f t="shared" si="67"/>
        <v/>
      </c>
      <c r="Y400" s="489"/>
      <c r="Z400" s="489"/>
      <c r="AA400" s="490" t="str">
        <f t="shared" si="59"/>
        <v>229</v>
      </c>
      <c r="AB400" s="489">
        <v>22</v>
      </c>
      <c r="AC400" s="489">
        <v>9</v>
      </c>
      <c r="AD400" s="27">
        <v>111615</v>
      </c>
      <c r="AE400" s="27" t="s">
        <v>2054</v>
      </c>
      <c r="AF400" s="432">
        <f>VLOOKUP(AD400,[5]Hoja1!$A$10:$K$1393,11,0)</f>
        <v>814640</v>
      </c>
      <c r="AG400" s="1191">
        <v>-1000</v>
      </c>
      <c r="AH400" s="432">
        <f>ROUND((AF400+AG400)/$AH$2,0)+4</f>
        <v>818</v>
      </c>
      <c r="AJ400" s="467" t="s">
        <v>1805</v>
      </c>
      <c r="AL400" s="448"/>
      <c r="AM400" s="467">
        <f>VLOOKUP(AD400,[6]BV201101!$A$10:$A$1236,1,0)</f>
        <v>111615</v>
      </c>
    </row>
    <row r="401" spans="1:39" s="467" customFormat="1" ht="12.75" customHeight="1">
      <c r="A401" s="487" t="str">
        <f t="shared" si="73"/>
        <v>1</v>
      </c>
      <c r="B401" s="487" t="str">
        <f t="shared" si="68"/>
        <v>11</v>
      </c>
      <c r="C401" s="487" t="str">
        <f t="shared" si="69"/>
        <v>61</v>
      </c>
      <c r="D401" s="487" t="str">
        <f t="shared" si="70"/>
        <v>1616</v>
      </c>
      <c r="E401" s="487"/>
      <c r="F401" s="488" t="str">
        <f t="shared" si="61"/>
        <v/>
      </c>
      <c r="G401" s="487"/>
      <c r="H401" s="487"/>
      <c r="I401" s="488" t="str">
        <f t="shared" si="62"/>
        <v/>
      </c>
      <c r="J401" s="487"/>
      <c r="K401" s="487"/>
      <c r="L401" s="488" t="str">
        <f t="shared" si="63"/>
        <v/>
      </c>
      <c r="M401" s="487"/>
      <c r="N401" s="487"/>
      <c r="O401" s="488" t="str">
        <f t="shared" si="64"/>
        <v/>
      </c>
      <c r="P401" s="489"/>
      <c r="Q401" s="489"/>
      <c r="R401" s="592" t="str">
        <f t="shared" si="65"/>
        <v/>
      </c>
      <c r="S401" s="487"/>
      <c r="T401" s="487"/>
      <c r="U401" s="488" t="str">
        <f t="shared" si="66"/>
        <v/>
      </c>
      <c r="V401" s="489"/>
      <c r="W401" s="489"/>
      <c r="X401" s="488" t="str">
        <f t="shared" si="67"/>
        <v/>
      </c>
      <c r="Y401" s="489"/>
      <c r="Z401" s="489"/>
      <c r="AA401" s="490" t="str">
        <f t="shared" si="59"/>
        <v/>
      </c>
      <c r="AB401" s="489"/>
      <c r="AC401" s="489"/>
      <c r="AD401" s="27">
        <v>111616</v>
      </c>
      <c r="AE401" s="27" t="s">
        <v>588</v>
      </c>
      <c r="AF401" s="432">
        <v>0</v>
      </c>
      <c r="AG401" s="432"/>
      <c r="AH401" s="432">
        <f t="shared" si="76"/>
        <v>0</v>
      </c>
      <c r="AL401" s="448"/>
      <c r="AM401" s="467" t="e">
        <f>VLOOKUP(AD401,[6]BV201101!$A$10:$A$1236,1,0)</f>
        <v>#N/A</v>
      </c>
    </row>
    <row r="402" spans="1:39" s="467" customFormat="1" ht="12.75" customHeight="1">
      <c r="A402" s="487" t="str">
        <f t="shared" si="73"/>
        <v>1</v>
      </c>
      <c r="B402" s="487" t="str">
        <f t="shared" si="68"/>
        <v>11</v>
      </c>
      <c r="C402" s="487" t="str">
        <f t="shared" si="69"/>
        <v>61</v>
      </c>
      <c r="D402" s="487" t="str">
        <f t="shared" si="70"/>
        <v>1617</v>
      </c>
      <c r="E402" s="487">
        <v>514340000</v>
      </c>
      <c r="F402" s="488" t="str">
        <f t="shared" si="61"/>
        <v/>
      </c>
      <c r="G402" s="487"/>
      <c r="H402" s="487"/>
      <c r="I402" s="488" t="str">
        <f t="shared" si="62"/>
        <v/>
      </c>
      <c r="J402" s="487"/>
      <c r="K402" s="487"/>
      <c r="L402" s="488" t="str">
        <f t="shared" si="63"/>
        <v/>
      </c>
      <c r="M402" s="487"/>
      <c r="N402" s="487"/>
      <c r="O402" s="488" t="str">
        <f t="shared" si="64"/>
        <v/>
      </c>
      <c r="P402" s="489"/>
      <c r="Q402" s="489"/>
      <c r="R402" s="592" t="str">
        <f t="shared" si="65"/>
        <v/>
      </c>
      <c r="S402" s="487"/>
      <c r="T402" s="487"/>
      <c r="U402" s="488" t="str">
        <f t="shared" si="66"/>
        <v/>
      </c>
      <c r="V402" s="489"/>
      <c r="W402" s="489"/>
      <c r="X402" s="488" t="str">
        <f t="shared" si="67"/>
        <v/>
      </c>
      <c r="Y402" s="489"/>
      <c r="Z402" s="489"/>
      <c r="AA402" s="490" t="str">
        <f t="shared" ref="AA402:AA410" si="77">+AB402&amp;AC402</f>
        <v>229</v>
      </c>
      <c r="AB402" s="489">
        <v>22</v>
      </c>
      <c r="AC402" s="489">
        <v>9</v>
      </c>
      <c r="AD402" s="27">
        <v>111617</v>
      </c>
      <c r="AE402" s="27" t="s">
        <v>589</v>
      </c>
      <c r="AF402" s="432">
        <f>VLOOKUP(AD402,[5]Hoja1!$A$10:$K$1393,11,0)</f>
        <v>0</v>
      </c>
      <c r="AG402" s="432"/>
      <c r="AH402" s="432">
        <f t="shared" si="76"/>
        <v>0</v>
      </c>
      <c r="AL402" s="448"/>
      <c r="AM402" s="467">
        <f>VLOOKUP(AD402,[6]BV201101!$A$10:$A$1236,1,0)</f>
        <v>111617</v>
      </c>
    </row>
    <row r="403" spans="1:39" s="467" customFormat="1" ht="12.75" customHeight="1">
      <c r="A403" s="487" t="str">
        <f t="shared" si="73"/>
        <v>1</v>
      </c>
      <c r="B403" s="487" t="str">
        <f t="shared" si="68"/>
        <v>11</v>
      </c>
      <c r="C403" s="487" t="str">
        <f t="shared" si="69"/>
        <v>61</v>
      </c>
      <c r="D403" s="487" t="str">
        <f t="shared" si="70"/>
        <v>1618</v>
      </c>
      <c r="E403" s="487">
        <v>514310000</v>
      </c>
      <c r="F403" s="488" t="str">
        <f t="shared" si="61"/>
        <v/>
      </c>
      <c r="G403" s="487"/>
      <c r="H403" s="487"/>
      <c r="I403" s="488" t="str">
        <f t="shared" si="62"/>
        <v/>
      </c>
      <c r="J403" s="487"/>
      <c r="K403" s="487"/>
      <c r="L403" s="488" t="str">
        <f t="shared" si="63"/>
        <v/>
      </c>
      <c r="M403" s="487"/>
      <c r="N403" s="487"/>
      <c r="O403" s="488" t="str">
        <f t="shared" si="64"/>
        <v/>
      </c>
      <c r="P403" s="489"/>
      <c r="Q403" s="489"/>
      <c r="R403" s="592" t="str">
        <f t="shared" si="65"/>
        <v/>
      </c>
      <c r="S403" s="487"/>
      <c r="T403" s="487"/>
      <c r="U403" s="488" t="str">
        <f t="shared" si="66"/>
        <v/>
      </c>
      <c r="V403" s="489"/>
      <c r="W403" s="489"/>
      <c r="X403" s="488" t="str">
        <f t="shared" si="67"/>
        <v/>
      </c>
      <c r="Y403" s="489"/>
      <c r="Z403" s="489"/>
      <c r="AA403" s="490" t="str">
        <f t="shared" si="77"/>
        <v/>
      </c>
      <c r="AB403" s="489"/>
      <c r="AC403" s="489"/>
      <c r="AD403" s="27">
        <v>111618</v>
      </c>
      <c r="AE403" s="27" t="s">
        <v>591</v>
      </c>
      <c r="AF403" s="432">
        <v>0</v>
      </c>
      <c r="AG403" s="432"/>
      <c r="AH403" s="432">
        <f t="shared" si="76"/>
        <v>0</v>
      </c>
      <c r="AL403" s="448"/>
      <c r="AM403" s="467" t="e">
        <f>VLOOKUP(AD403,[6]BV201101!$A$10:$A$1236,1,0)</f>
        <v>#N/A</v>
      </c>
    </row>
    <row r="404" spans="1:39" s="467" customFormat="1" ht="12.75" customHeight="1">
      <c r="A404" s="487" t="str">
        <f t="shared" si="73"/>
        <v>1</v>
      </c>
      <c r="B404" s="487" t="str">
        <f t="shared" si="68"/>
        <v>11</v>
      </c>
      <c r="C404" s="487" t="str">
        <f t="shared" si="69"/>
        <v>61</v>
      </c>
      <c r="D404" s="487" t="str">
        <f t="shared" si="70"/>
        <v>1619</v>
      </c>
      <c r="E404" s="487">
        <v>514410000</v>
      </c>
      <c r="F404" s="488" t="str">
        <f t="shared" si="61"/>
        <v/>
      </c>
      <c r="G404" s="487"/>
      <c r="H404" s="487"/>
      <c r="I404" s="488" t="str">
        <f t="shared" si="62"/>
        <v/>
      </c>
      <c r="J404" s="487"/>
      <c r="K404" s="487"/>
      <c r="L404" s="488" t="str">
        <f t="shared" si="63"/>
        <v/>
      </c>
      <c r="M404" s="487"/>
      <c r="N404" s="487"/>
      <c r="O404" s="488" t="str">
        <f t="shared" si="64"/>
        <v/>
      </c>
      <c r="P404" s="489"/>
      <c r="Q404" s="489"/>
      <c r="R404" s="592" t="str">
        <f t="shared" si="65"/>
        <v/>
      </c>
      <c r="S404" s="487"/>
      <c r="T404" s="487"/>
      <c r="U404" s="488" t="str">
        <f t="shared" si="66"/>
        <v/>
      </c>
      <c r="V404" s="489"/>
      <c r="W404" s="489"/>
      <c r="X404" s="488" t="str">
        <f t="shared" si="67"/>
        <v/>
      </c>
      <c r="Y404" s="489"/>
      <c r="Z404" s="489"/>
      <c r="AA404" s="490" t="str">
        <f t="shared" si="77"/>
        <v>224</v>
      </c>
      <c r="AB404" s="489">
        <v>22</v>
      </c>
      <c r="AC404" s="489">
        <v>4</v>
      </c>
      <c r="AD404" s="27">
        <v>111619</v>
      </c>
      <c r="AE404" s="27" t="s">
        <v>1271</v>
      </c>
      <c r="AF404" s="432">
        <f>VLOOKUP(AD404,[5]Hoja1!$A$10:$K$1393,11,0)</f>
        <v>14721813</v>
      </c>
      <c r="AG404" s="432"/>
      <c r="AH404" s="432">
        <f t="shared" si="76"/>
        <v>14722</v>
      </c>
      <c r="AL404" s="448"/>
      <c r="AM404" s="467" t="e">
        <f>VLOOKUP(AD404,[6]BV201101!$A$10:$A$1236,1,0)</f>
        <v>#N/A</v>
      </c>
    </row>
    <row r="405" spans="1:39" s="467" customFormat="1" ht="12.75" customHeight="1">
      <c r="A405" s="487" t="str">
        <f t="shared" si="73"/>
        <v>1</v>
      </c>
      <c r="B405" s="487" t="str">
        <f t="shared" si="68"/>
        <v>11</v>
      </c>
      <c r="C405" s="487" t="str">
        <f t="shared" si="69"/>
        <v>62</v>
      </c>
      <c r="D405" s="487" t="str">
        <f t="shared" si="70"/>
        <v>1620</v>
      </c>
      <c r="E405" s="487"/>
      <c r="F405" s="488" t="str">
        <f t="shared" si="61"/>
        <v/>
      </c>
      <c r="G405" s="487"/>
      <c r="H405" s="487"/>
      <c r="I405" s="488" t="str">
        <f t="shared" si="62"/>
        <v/>
      </c>
      <c r="J405" s="487"/>
      <c r="K405" s="487"/>
      <c r="L405" s="488" t="str">
        <f t="shared" si="63"/>
        <v/>
      </c>
      <c r="M405" s="487"/>
      <c r="N405" s="487"/>
      <c r="O405" s="488" t="str">
        <f t="shared" si="64"/>
        <v/>
      </c>
      <c r="P405" s="489"/>
      <c r="Q405" s="489"/>
      <c r="R405" s="592" t="str">
        <f t="shared" si="65"/>
        <v/>
      </c>
      <c r="S405" s="487"/>
      <c r="T405" s="487"/>
      <c r="U405" s="488" t="str">
        <f t="shared" si="66"/>
        <v/>
      </c>
      <c r="V405" s="489"/>
      <c r="W405" s="489"/>
      <c r="X405" s="488" t="str">
        <f t="shared" si="67"/>
        <v/>
      </c>
      <c r="Y405" s="489"/>
      <c r="Z405" s="489"/>
      <c r="AA405" s="490" t="str">
        <f t="shared" si="77"/>
        <v/>
      </c>
      <c r="AB405" s="489"/>
      <c r="AC405" s="489"/>
      <c r="AD405" s="27">
        <v>111620</v>
      </c>
      <c r="AE405" s="27" t="s">
        <v>592</v>
      </c>
      <c r="AF405" s="432">
        <v>0</v>
      </c>
      <c r="AG405" s="432"/>
      <c r="AH405" s="432">
        <f t="shared" si="76"/>
        <v>0</v>
      </c>
      <c r="AL405" s="448"/>
      <c r="AM405" s="467" t="e">
        <f>VLOOKUP(AD405,[6]BV201101!$A$10:$A$1236,1,0)</f>
        <v>#N/A</v>
      </c>
    </row>
    <row r="406" spans="1:39" s="467" customFormat="1" ht="12.75" customHeight="1">
      <c r="A406" s="487" t="str">
        <f t="shared" si="73"/>
        <v>1</v>
      </c>
      <c r="B406" s="487" t="str">
        <f t="shared" si="68"/>
        <v>11</v>
      </c>
      <c r="C406" s="487" t="str">
        <f t="shared" si="69"/>
        <v>62</v>
      </c>
      <c r="D406" s="487" t="str">
        <f t="shared" si="70"/>
        <v>1621</v>
      </c>
      <c r="E406" s="487">
        <v>514340000</v>
      </c>
      <c r="F406" s="488" t="str">
        <f t="shared" si="61"/>
        <v/>
      </c>
      <c r="G406" s="487"/>
      <c r="H406" s="487"/>
      <c r="I406" s="488" t="str">
        <f t="shared" si="62"/>
        <v/>
      </c>
      <c r="J406" s="487"/>
      <c r="K406" s="487"/>
      <c r="L406" s="488" t="str">
        <f t="shared" si="63"/>
        <v/>
      </c>
      <c r="M406" s="487"/>
      <c r="N406" s="487"/>
      <c r="O406" s="488" t="str">
        <f t="shared" si="64"/>
        <v/>
      </c>
      <c r="P406" s="489"/>
      <c r="Q406" s="489"/>
      <c r="R406" s="592" t="str">
        <f t="shared" si="65"/>
        <v/>
      </c>
      <c r="S406" s="487"/>
      <c r="T406" s="487"/>
      <c r="U406" s="488" t="str">
        <f t="shared" si="66"/>
        <v/>
      </c>
      <c r="V406" s="489"/>
      <c r="W406" s="489"/>
      <c r="X406" s="488" t="str">
        <f t="shared" si="67"/>
        <v/>
      </c>
      <c r="Y406" s="489"/>
      <c r="Z406" s="489"/>
      <c r="AA406" s="490" t="str">
        <f t="shared" si="77"/>
        <v>229</v>
      </c>
      <c r="AB406" s="489">
        <v>22</v>
      </c>
      <c r="AC406" s="489">
        <v>9</v>
      </c>
      <c r="AD406" s="27">
        <v>111621</v>
      </c>
      <c r="AE406" s="27" t="s">
        <v>2055</v>
      </c>
      <c r="AF406" s="432">
        <f>VLOOKUP(AD406,[5]Hoja1!$A$10:$K$1393,11,0)</f>
        <v>0</v>
      </c>
      <c r="AG406" s="432"/>
      <c r="AH406" s="432">
        <f t="shared" si="76"/>
        <v>0</v>
      </c>
      <c r="AL406" s="448"/>
      <c r="AM406" s="467">
        <f>VLOOKUP(AD406,[6]BV201101!$A$10:$A$1236,1,0)</f>
        <v>111621</v>
      </c>
    </row>
    <row r="407" spans="1:39" s="467" customFormat="1" ht="12.75" customHeight="1">
      <c r="A407" s="487" t="str">
        <f t="shared" si="73"/>
        <v>1</v>
      </c>
      <c r="B407" s="487" t="str">
        <f t="shared" si="68"/>
        <v>11</v>
      </c>
      <c r="C407" s="487" t="str">
        <f t="shared" si="69"/>
        <v>62</v>
      </c>
      <c r="D407" s="487" t="str">
        <f t="shared" si="70"/>
        <v>1622</v>
      </c>
      <c r="E407" s="487">
        <v>514340000</v>
      </c>
      <c r="F407" s="488"/>
      <c r="G407" s="487"/>
      <c r="H407" s="487"/>
      <c r="I407" s="488"/>
      <c r="J407" s="487"/>
      <c r="K407" s="487"/>
      <c r="L407" s="488"/>
      <c r="M407" s="487"/>
      <c r="N407" s="487"/>
      <c r="O407" s="488"/>
      <c r="P407" s="489"/>
      <c r="Q407" s="489"/>
      <c r="R407" s="592"/>
      <c r="S407" s="487"/>
      <c r="T407" s="487"/>
      <c r="U407" s="488"/>
      <c r="V407" s="489"/>
      <c r="W407" s="489"/>
      <c r="X407" s="488"/>
      <c r="Y407" s="489"/>
      <c r="Z407" s="489"/>
      <c r="AA407" s="490" t="str">
        <f t="shared" si="77"/>
        <v>229</v>
      </c>
      <c r="AB407" s="489">
        <v>22</v>
      </c>
      <c r="AC407" s="489">
        <v>9</v>
      </c>
      <c r="AD407" s="27">
        <v>111622</v>
      </c>
      <c r="AE407" s="27" t="s">
        <v>733</v>
      </c>
      <c r="AF407" s="432">
        <f>VLOOKUP(AD407,[5]Hoja1!$A$10:$K$1393,11,0)</f>
        <v>89053051</v>
      </c>
      <c r="AG407" s="432"/>
      <c r="AH407" s="432">
        <f t="shared" si="76"/>
        <v>89053</v>
      </c>
      <c r="AL407" s="448"/>
      <c r="AM407" s="467">
        <f>VLOOKUP(AD407,[6]BV201101!$A$10:$A$1236,1,0)</f>
        <v>111622</v>
      </c>
    </row>
    <row r="408" spans="1:39" s="467" customFormat="1" ht="12.75" customHeight="1">
      <c r="A408" s="487" t="str">
        <f t="shared" si="73"/>
        <v>1</v>
      </c>
      <c r="B408" s="487" t="str">
        <f t="shared" si="68"/>
        <v>11</v>
      </c>
      <c r="C408" s="487" t="str">
        <f t="shared" si="69"/>
        <v>62</v>
      </c>
      <c r="D408" s="487" t="str">
        <f t="shared" si="70"/>
        <v>1623</v>
      </c>
      <c r="E408" s="487">
        <v>514340000</v>
      </c>
      <c r="F408" s="488" t="str">
        <f t="shared" si="61"/>
        <v/>
      </c>
      <c r="G408" s="487"/>
      <c r="H408" s="487"/>
      <c r="I408" s="488" t="str">
        <f t="shared" si="62"/>
        <v/>
      </c>
      <c r="J408" s="487"/>
      <c r="K408" s="487"/>
      <c r="L408" s="488" t="str">
        <f t="shared" si="63"/>
        <v/>
      </c>
      <c r="M408" s="487"/>
      <c r="N408" s="487"/>
      <c r="O408" s="488" t="str">
        <f t="shared" si="64"/>
        <v/>
      </c>
      <c r="P408" s="489"/>
      <c r="Q408" s="489"/>
      <c r="R408" s="592" t="str">
        <f t="shared" si="65"/>
        <v/>
      </c>
      <c r="S408" s="487"/>
      <c r="T408" s="487"/>
      <c r="U408" s="488" t="str">
        <f t="shared" si="66"/>
        <v/>
      </c>
      <c r="V408" s="489"/>
      <c r="W408" s="489"/>
      <c r="X408" s="488" t="str">
        <f t="shared" si="67"/>
        <v/>
      </c>
      <c r="Y408" s="489"/>
      <c r="Z408" s="489"/>
      <c r="AA408" s="490" t="str">
        <f t="shared" si="77"/>
        <v>229</v>
      </c>
      <c r="AB408" s="489">
        <v>22</v>
      </c>
      <c r="AC408" s="489">
        <v>9</v>
      </c>
      <c r="AD408" s="27">
        <v>111623</v>
      </c>
      <c r="AE408" s="27" t="s">
        <v>2056</v>
      </c>
      <c r="AF408" s="432">
        <f>VLOOKUP(AD408,[5]Hoja1!$A$10:$K$1393,11,0)</f>
        <v>0</v>
      </c>
      <c r="AG408" s="432"/>
      <c r="AH408" s="432">
        <f t="shared" si="76"/>
        <v>0</v>
      </c>
      <c r="AL408" s="448"/>
      <c r="AM408" s="467">
        <f>VLOOKUP(AD408,[6]BV201101!$A$10:$A$1236,1,0)</f>
        <v>111623</v>
      </c>
    </row>
    <row r="409" spans="1:39" s="467" customFormat="1" ht="12.75" customHeight="1">
      <c r="A409" s="487" t="str">
        <f t="shared" si="73"/>
        <v>1</v>
      </c>
      <c r="B409" s="487" t="str">
        <f t="shared" si="68"/>
        <v>11</v>
      </c>
      <c r="C409" s="487" t="str">
        <f t="shared" si="69"/>
        <v>62</v>
      </c>
      <c r="D409" s="487" t="str">
        <f t="shared" si="70"/>
        <v>1624</v>
      </c>
      <c r="E409" s="487">
        <v>514340000</v>
      </c>
      <c r="F409" s="488" t="str">
        <f t="shared" si="61"/>
        <v/>
      </c>
      <c r="G409" s="487"/>
      <c r="H409" s="487"/>
      <c r="I409" s="488" t="str">
        <f t="shared" si="62"/>
        <v/>
      </c>
      <c r="J409" s="487"/>
      <c r="K409" s="487"/>
      <c r="L409" s="488" t="str">
        <f t="shared" si="63"/>
        <v/>
      </c>
      <c r="M409" s="487"/>
      <c r="N409" s="487"/>
      <c r="O409" s="488" t="str">
        <f t="shared" si="64"/>
        <v/>
      </c>
      <c r="P409" s="489"/>
      <c r="Q409" s="489"/>
      <c r="R409" s="592" t="str">
        <f t="shared" si="65"/>
        <v/>
      </c>
      <c r="S409" s="487"/>
      <c r="T409" s="487"/>
      <c r="U409" s="488" t="str">
        <f t="shared" si="66"/>
        <v/>
      </c>
      <c r="V409" s="489"/>
      <c r="W409" s="489"/>
      <c r="X409" s="488" t="str">
        <f t="shared" si="67"/>
        <v/>
      </c>
      <c r="Y409" s="489"/>
      <c r="Z409" s="489"/>
      <c r="AA409" s="490" t="str">
        <f t="shared" si="77"/>
        <v>229</v>
      </c>
      <c r="AB409" s="489">
        <v>22</v>
      </c>
      <c r="AC409" s="489">
        <v>9</v>
      </c>
      <c r="AD409" s="27">
        <v>111624</v>
      </c>
      <c r="AE409" s="27" t="s">
        <v>2057</v>
      </c>
      <c r="AF409" s="432">
        <v>0</v>
      </c>
      <c r="AG409" s="432"/>
      <c r="AH409" s="432">
        <f t="shared" si="76"/>
        <v>0</v>
      </c>
      <c r="AL409" s="448"/>
      <c r="AM409" s="467" t="e">
        <f>VLOOKUP(AD409,[6]BV201101!$A$10:$A$1236,1,0)</f>
        <v>#N/A</v>
      </c>
    </row>
    <row r="410" spans="1:39" s="467" customFormat="1" ht="12.75" customHeight="1">
      <c r="A410" s="487" t="str">
        <f t="shared" si="73"/>
        <v>1</v>
      </c>
      <c r="B410" s="487" t="str">
        <f t="shared" si="68"/>
        <v>11</v>
      </c>
      <c r="C410" s="487" t="str">
        <f t="shared" si="69"/>
        <v>62</v>
      </c>
      <c r="D410" s="487" t="str">
        <f t="shared" si="70"/>
        <v>1625</v>
      </c>
      <c r="E410" s="487">
        <v>514340000</v>
      </c>
      <c r="F410" s="488" t="str">
        <f t="shared" si="61"/>
        <v/>
      </c>
      <c r="G410" s="487"/>
      <c r="H410" s="487"/>
      <c r="I410" s="488" t="str">
        <f t="shared" si="62"/>
        <v/>
      </c>
      <c r="J410" s="487"/>
      <c r="K410" s="487"/>
      <c r="L410" s="488" t="str">
        <f t="shared" si="63"/>
        <v/>
      </c>
      <c r="M410" s="487"/>
      <c r="N410" s="487"/>
      <c r="O410" s="488" t="str">
        <f t="shared" si="64"/>
        <v/>
      </c>
      <c r="P410" s="489"/>
      <c r="Q410" s="489"/>
      <c r="R410" s="592" t="str">
        <f t="shared" si="65"/>
        <v/>
      </c>
      <c r="S410" s="487"/>
      <c r="T410" s="487"/>
      <c r="U410" s="488" t="str">
        <f t="shared" si="66"/>
        <v/>
      </c>
      <c r="V410" s="489"/>
      <c r="W410" s="489"/>
      <c r="X410" s="488" t="str">
        <f t="shared" si="67"/>
        <v/>
      </c>
      <c r="Y410" s="489"/>
      <c r="Z410" s="489"/>
      <c r="AA410" s="490" t="str">
        <f t="shared" si="77"/>
        <v>229</v>
      </c>
      <c r="AB410" s="489">
        <v>22</v>
      </c>
      <c r="AC410" s="489">
        <v>9</v>
      </c>
      <c r="AD410" s="27">
        <v>111625</v>
      </c>
      <c r="AE410" s="27" t="s">
        <v>2058</v>
      </c>
      <c r="AF410" s="432">
        <f>VLOOKUP(AD410,[5]Hoja1!$A$10:$K$1393,11,0)</f>
        <v>0</v>
      </c>
      <c r="AG410" s="432"/>
      <c r="AH410" s="432">
        <f t="shared" si="76"/>
        <v>0</v>
      </c>
      <c r="AL410" s="448"/>
      <c r="AM410" s="467">
        <f>VLOOKUP(AD410,[6]BV201101!$A$10:$A$1236,1,0)</f>
        <v>111625</v>
      </c>
    </row>
    <row r="411" spans="1:39" s="467" customFormat="1" ht="12.75" customHeight="1">
      <c r="A411" s="487" t="str">
        <f t="shared" si="73"/>
        <v>1</v>
      </c>
      <c r="B411" s="487" t="str">
        <f t="shared" si="68"/>
        <v>11</v>
      </c>
      <c r="C411" s="487" t="str">
        <f t="shared" si="69"/>
        <v>62</v>
      </c>
      <c r="D411" s="487" t="str">
        <f t="shared" si="70"/>
        <v>1626</v>
      </c>
      <c r="E411" s="487">
        <v>514340000</v>
      </c>
      <c r="F411" s="488"/>
      <c r="G411" s="487"/>
      <c r="H411" s="487"/>
      <c r="I411" s="488"/>
      <c r="J411" s="487"/>
      <c r="K411" s="487"/>
      <c r="L411" s="488"/>
      <c r="M411" s="487"/>
      <c r="N411" s="487"/>
      <c r="O411" s="488"/>
      <c r="P411" s="489"/>
      <c r="Q411" s="489"/>
      <c r="R411" s="592"/>
      <c r="S411" s="487"/>
      <c r="T411" s="487"/>
      <c r="U411" s="488"/>
      <c r="V411" s="489"/>
      <c r="W411" s="489"/>
      <c r="X411" s="488"/>
      <c r="Y411" s="489"/>
      <c r="Z411" s="489"/>
      <c r="AA411" s="490" t="str">
        <f t="shared" ref="AA411:AA417" si="78">+AB411&amp;AC411</f>
        <v>229</v>
      </c>
      <c r="AB411" s="489">
        <v>22</v>
      </c>
      <c r="AC411" s="489">
        <v>9</v>
      </c>
      <c r="AD411" s="27">
        <v>111626</v>
      </c>
      <c r="AE411" s="27" t="s">
        <v>2059</v>
      </c>
      <c r="AF411" s="432">
        <f>VLOOKUP(AD411,[5]Hoja1!$A$10:$K$1393,11,0)</f>
        <v>13112280</v>
      </c>
      <c r="AG411" s="432"/>
      <c r="AH411" s="432">
        <f t="shared" si="76"/>
        <v>13112</v>
      </c>
      <c r="AL411" s="448"/>
      <c r="AM411" s="467">
        <f>VLOOKUP(AD411,[6]BV201101!$A$10:$A$1236,1,0)</f>
        <v>111626</v>
      </c>
    </row>
    <row r="412" spans="1:39" s="467" customFormat="1" ht="12.75" customHeight="1">
      <c r="A412" s="487" t="str">
        <f t="shared" si="73"/>
        <v>1</v>
      </c>
      <c r="B412" s="487" t="str">
        <f t="shared" si="68"/>
        <v>11</v>
      </c>
      <c r="C412" s="487" t="str">
        <f t="shared" si="69"/>
        <v>62</v>
      </c>
      <c r="D412" s="487" t="str">
        <f t="shared" si="70"/>
        <v>1627</v>
      </c>
      <c r="E412" s="487">
        <v>514340000</v>
      </c>
      <c r="F412" s="488"/>
      <c r="G412" s="487"/>
      <c r="H412" s="487"/>
      <c r="I412" s="488"/>
      <c r="J412" s="487"/>
      <c r="K412" s="487"/>
      <c r="L412" s="488"/>
      <c r="M412" s="487"/>
      <c r="N412" s="487"/>
      <c r="O412" s="488"/>
      <c r="P412" s="489"/>
      <c r="Q412" s="489"/>
      <c r="R412" s="592"/>
      <c r="S412" s="487"/>
      <c r="T412" s="487"/>
      <c r="U412" s="488"/>
      <c r="V412" s="489"/>
      <c r="W412" s="489"/>
      <c r="X412" s="488"/>
      <c r="Y412" s="489"/>
      <c r="Z412" s="489"/>
      <c r="AA412" s="490" t="str">
        <f t="shared" si="78"/>
        <v>229</v>
      </c>
      <c r="AB412" s="489">
        <v>22</v>
      </c>
      <c r="AC412" s="489">
        <v>9</v>
      </c>
      <c r="AD412" s="27">
        <v>111627</v>
      </c>
      <c r="AE412" s="27" t="s">
        <v>2060</v>
      </c>
      <c r="AF412" s="432">
        <v>0</v>
      </c>
      <c r="AG412" s="432"/>
      <c r="AH412" s="432">
        <f t="shared" si="76"/>
        <v>0</v>
      </c>
      <c r="AL412" s="448"/>
      <c r="AM412" s="467" t="e">
        <f>VLOOKUP(AD412,[6]BV201101!$A$10:$A$1236,1,0)</f>
        <v>#N/A</v>
      </c>
    </row>
    <row r="413" spans="1:39" s="467" customFormat="1" ht="12.75" customHeight="1">
      <c r="A413" s="487" t="str">
        <f t="shared" si="73"/>
        <v>1</v>
      </c>
      <c r="B413" s="487" t="str">
        <f t="shared" si="68"/>
        <v>11</v>
      </c>
      <c r="C413" s="487" t="str">
        <f t="shared" si="69"/>
        <v>62</v>
      </c>
      <c r="D413" s="487" t="str">
        <f t="shared" si="70"/>
        <v>1628</v>
      </c>
      <c r="E413" s="487">
        <v>514340000</v>
      </c>
      <c r="F413" s="488"/>
      <c r="G413" s="487"/>
      <c r="H413" s="487"/>
      <c r="I413" s="488"/>
      <c r="J413" s="487"/>
      <c r="K413" s="487"/>
      <c r="L413" s="488"/>
      <c r="M413" s="487"/>
      <c r="N413" s="487"/>
      <c r="O413" s="488"/>
      <c r="P413" s="489"/>
      <c r="Q413" s="489"/>
      <c r="R413" s="592"/>
      <c r="S413" s="487"/>
      <c r="T413" s="487"/>
      <c r="U413" s="488"/>
      <c r="V413" s="489"/>
      <c r="W413" s="489"/>
      <c r="X413" s="488"/>
      <c r="Y413" s="489"/>
      <c r="Z413" s="489"/>
      <c r="AA413" s="490" t="str">
        <f t="shared" si="78"/>
        <v>229</v>
      </c>
      <c r="AB413" s="489">
        <v>22</v>
      </c>
      <c r="AC413" s="489">
        <v>9</v>
      </c>
      <c r="AD413" s="27">
        <v>111628</v>
      </c>
      <c r="AE413" s="27" t="s">
        <v>734</v>
      </c>
      <c r="AF413" s="432">
        <f>VLOOKUP(AD413,[5]Hoja1!$A$10:$K$1393,11,0)</f>
        <v>122549400</v>
      </c>
      <c r="AG413" s="432"/>
      <c r="AH413" s="432">
        <f t="shared" si="76"/>
        <v>122549</v>
      </c>
      <c r="AL413" s="448"/>
      <c r="AM413" s="467" t="e">
        <f>VLOOKUP(AD413,[6]BV201101!$A$10:$A$1236,1,0)</f>
        <v>#N/A</v>
      </c>
    </row>
    <row r="414" spans="1:39" s="467" customFormat="1" ht="12.75" customHeight="1">
      <c r="A414" s="487" t="str">
        <f t="shared" si="73"/>
        <v>1</v>
      </c>
      <c r="B414" s="487" t="str">
        <f t="shared" si="68"/>
        <v>11</v>
      </c>
      <c r="C414" s="487" t="str">
        <f t="shared" si="69"/>
        <v>62</v>
      </c>
      <c r="D414" s="487" t="str">
        <f t="shared" si="70"/>
        <v>1629</v>
      </c>
      <c r="E414" s="487">
        <v>514340000</v>
      </c>
      <c r="F414" s="488"/>
      <c r="G414" s="487"/>
      <c r="H414" s="487"/>
      <c r="I414" s="488"/>
      <c r="J414" s="487"/>
      <c r="K414" s="487"/>
      <c r="L414" s="488"/>
      <c r="M414" s="487"/>
      <c r="N414" s="487"/>
      <c r="O414" s="488"/>
      <c r="P414" s="489"/>
      <c r="Q414" s="489"/>
      <c r="R414" s="592"/>
      <c r="S414" s="487"/>
      <c r="T414" s="487"/>
      <c r="U414" s="488"/>
      <c r="V414" s="489"/>
      <c r="W414" s="489"/>
      <c r="X414" s="488"/>
      <c r="Y414" s="489"/>
      <c r="Z414" s="489"/>
      <c r="AA414" s="490" t="str">
        <f t="shared" si="78"/>
        <v>229</v>
      </c>
      <c r="AB414" s="489">
        <v>22</v>
      </c>
      <c r="AC414" s="489">
        <v>9</v>
      </c>
      <c r="AD414" s="27">
        <v>111629</v>
      </c>
      <c r="AE414" s="27" t="s">
        <v>1248</v>
      </c>
      <c r="AF414" s="432">
        <f>VLOOKUP(AD414,[5]Hoja1!$A$10:$K$1393,11,0)</f>
        <v>3097463</v>
      </c>
      <c r="AG414" s="432"/>
      <c r="AH414" s="432">
        <f t="shared" si="76"/>
        <v>3097</v>
      </c>
      <c r="AL414" s="448"/>
      <c r="AM414" s="467">
        <f>VLOOKUP(AD414,[6]BV201101!$A$10:$A$1236,1,0)</f>
        <v>111629</v>
      </c>
    </row>
    <row r="415" spans="1:39" s="467" customFormat="1" ht="12.75" customHeight="1">
      <c r="A415" s="487" t="str">
        <f t="shared" si="73"/>
        <v>1</v>
      </c>
      <c r="B415" s="487" t="str">
        <f t="shared" si="68"/>
        <v>11</v>
      </c>
      <c r="C415" s="487" t="str">
        <f t="shared" si="69"/>
        <v>63</v>
      </c>
      <c r="D415" s="487" t="str">
        <f t="shared" si="70"/>
        <v>1630</v>
      </c>
      <c r="E415" s="487">
        <v>514310000</v>
      </c>
      <c r="F415" s="488"/>
      <c r="G415" s="487"/>
      <c r="H415" s="487"/>
      <c r="I415" s="488"/>
      <c r="J415" s="487"/>
      <c r="K415" s="487"/>
      <c r="L415" s="488"/>
      <c r="M415" s="487"/>
      <c r="N415" s="487"/>
      <c r="O415" s="488"/>
      <c r="P415" s="489"/>
      <c r="Q415" s="489"/>
      <c r="R415" s="592"/>
      <c r="S415" s="487"/>
      <c r="T415" s="487"/>
      <c r="U415" s="488"/>
      <c r="V415" s="489"/>
      <c r="W415" s="489"/>
      <c r="X415" s="488"/>
      <c r="Y415" s="489"/>
      <c r="Z415" s="489"/>
      <c r="AA415" s="490" t="str">
        <f t="shared" si="78"/>
        <v>229</v>
      </c>
      <c r="AB415" s="489">
        <v>22</v>
      </c>
      <c r="AC415" s="489">
        <v>9</v>
      </c>
      <c r="AD415" s="27">
        <v>111630</v>
      </c>
      <c r="AE415" s="27" t="s">
        <v>1589</v>
      </c>
      <c r="AF415" s="432">
        <f>VLOOKUP(AD415,[5]Hoja1!$A$10:$K$1393,11,0)</f>
        <v>72627893</v>
      </c>
      <c r="AG415" s="432"/>
      <c r="AH415" s="432">
        <f t="shared" si="76"/>
        <v>72628</v>
      </c>
      <c r="AL415" s="448"/>
      <c r="AM415" s="467">
        <f>VLOOKUP(AD415,[6]BV201101!$A$10:$A$1236,1,0)</f>
        <v>111630</v>
      </c>
    </row>
    <row r="416" spans="1:39" s="467" customFormat="1" ht="12.75" customHeight="1">
      <c r="A416" s="487" t="str">
        <f t="shared" si="73"/>
        <v>1</v>
      </c>
      <c r="B416" s="487" t="str">
        <f t="shared" si="68"/>
        <v>11</v>
      </c>
      <c r="C416" s="487" t="str">
        <f t="shared" si="69"/>
        <v>63</v>
      </c>
      <c r="D416" s="487" t="str">
        <f t="shared" si="70"/>
        <v>1632</v>
      </c>
      <c r="E416" s="487">
        <v>514340000</v>
      </c>
      <c r="F416" s="488"/>
      <c r="G416" s="487"/>
      <c r="H416" s="487"/>
      <c r="I416" s="488"/>
      <c r="J416" s="487"/>
      <c r="K416" s="487"/>
      <c r="L416" s="488"/>
      <c r="M416" s="487"/>
      <c r="N416" s="487"/>
      <c r="O416" s="488"/>
      <c r="P416" s="489"/>
      <c r="Q416" s="489"/>
      <c r="R416" s="592"/>
      <c r="S416" s="487"/>
      <c r="T416" s="487"/>
      <c r="U416" s="488"/>
      <c r="V416" s="489"/>
      <c r="W416" s="489"/>
      <c r="X416" s="488"/>
      <c r="Y416" s="489"/>
      <c r="Z416" s="489"/>
      <c r="AA416" s="490" t="str">
        <f t="shared" si="78"/>
        <v>229</v>
      </c>
      <c r="AB416" s="489">
        <v>22</v>
      </c>
      <c r="AC416" s="489">
        <v>9</v>
      </c>
      <c r="AD416" s="27">
        <v>111632</v>
      </c>
      <c r="AE416" s="27" t="s">
        <v>2061</v>
      </c>
      <c r="AF416" s="432">
        <f>VLOOKUP(AD416,[5]Hoja1!$A$10:$K$1393,11,0)</f>
        <v>2378031</v>
      </c>
      <c r="AG416" s="432">
        <v>0</v>
      </c>
      <c r="AH416" s="432">
        <f t="shared" si="76"/>
        <v>2378</v>
      </c>
      <c r="AL416" s="448"/>
      <c r="AM416" s="467">
        <f>VLOOKUP(AD416,[6]BV201101!$A$10:$A$1236,1,0)</f>
        <v>111632</v>
      </c>
    </row>
    <row r="417" spans="1:39" s="467" customFormat="1" ht="12.75" customHeight="1">
      <c r="A417" s="487" t="str">
        <f t="shared" ref="A417:A484" si="79">+LEFT($AD417,1)</f>
        <v>1</v>
      </c>
      <c r="B417" s="487" t="str">
        <f t="shared" si="68"/>
        <v>11</v>
      </c>
      <c r="C417" s="487" t="str">
        <f t="shared" si="69"/>
        <v>63</v>
      </c>
      <c r="D417" s="487" t="str">
        <f t="shared" si="70"/>
        <v>1633</v>
      </c>
      <c r="E417" s="487">
        <v>514450000</v>
      </c>
      <c r="F417" s="488" t="str">
        <f>+G417&amp;H417</f>
        <v/>
      </c>
      <c r="G417" s="487"/>
      <c r="H417" s="487"/>
      <c r="I417" s="488" t="str">
        <f>+J417&amp;K417</f>
        <v/>
      </c>
      <c r="J417" s="487"/>
      <c r="K417" s="487"/>
      <c r="L417" s="488" t="str">
        <f>+M417&amp;N417</f>
        <v/>
      </c>
      <c r="M417" s="487"/>
      <c r="N417" s="487"/>
      <c r="O417" s="488" t="str">
        <f>+P417&amp;Q417</f>
        <v/>
      </c>
      <c r="P417" s="489"/>
      <c r="Q417" s="489"/>
      <c r="R417" s="592" t="str">
        <f>+S417&amp;T417</f>
        <v/>
      </c>
      <c r="S417" s="487"/>
      <c r="T417" s="487"/>
      <c r="U417" s="488" t="str">
        <f>+V417&amp;W417</f>
        <v/>
      </c>
      <c r="V417" s="489"/>
      <c r="W417" s="489"/>
      <c r="X417" s="488" t="str">
        <f>+Y417&amp;Z417</f>
        <v/>
      </c>
      <c r="Y417" s="489"/>
      <c r="Z417" s="489"/>
      <c r="AA417" s="490" t="str">
        <f t="shared" si="78"/>
        <v>2210</v>
      </c>
      <c r="AB417" s="489">
        <v>22</v>
      </c>
      <c r="AC417" s="489">
        <v>10</v>
      </c>
      <c r="AD417" s="27">
        <v>111633</v>
      </c>
      <c r="AE417" s="27" t="s">
        <v>1336</v>
      </c>
      <c r="AF417" s="432">
        <f>VLOOKUP(AD417,[5]Hoja1!$A$10:$K$1393,11,0)</f>
        <v>688212796</v>
      </c>
      <c r="AG417" s="1507">
        <f>-AF417</f>
        <v>-688212796</v>
      </c>
      <c r="AH417" s="432">
        <f t="shared" si="76"/>
        <v>0</v>
      </c>
      <c r="AL417" s="448"/>
      <c r="AM417" s="467">
        <f>VLOOKUP(AD417,[6]BV201101!$A$10:$A$1236,1,0)</f>
        <v>111633</v>
      </c>
    </row>
    <row r="418" spans="1:39" s="467" customFormat="1" ht="12.75" customHeight="1">
      <c r="A418" s="487" t="str">
        <f t="shared" si="79"/>
        <v>1</v>
      </c>
      <c r="B418" s="487" t="str">
        <f t="shared" si="68"/>
        <v>11</v>
      </c>
      <c r="C418" s="487" t="str">
        <f t="shared" si="69"/>
        <v>63</v>
      </c>
      <c r="D418" s="487" t="str">
        <f t="shared" si="70"/>
        <v>1634</v>
      </c>
      <c r="E418" s="487">
        <v>514340000</v>
      </c>
      <c r="F418" s="488"/>
      <c r="G418" s="487"/>
      <c r="H418" s="487"/>
      <c r="I418" s="488"/>
      <c r="J418" s="487"/>
      <c r="K418" s="487"/>
      <c r="L418" s="488"/>
      <c r="M418" s="487"/>
      <c r="N418" s="487"/>
      <c r="O418" s="488"/>
      <c r="P418" s="489"/>
      <c r="Q418" s="489"/>
      <c r="R418" s="592"/>
      <c r="S418" s="487"/>
      <c r="T418" s="487"/>
      <c r="U418" s="488"/>
      <c r="V418" s="489"/>
      <c r="W418" s="489"/>
      <c r="X418" s="488"/>
      <c r="Y418" s="489"/>
      <c r="Z418" s="489"/>
      <c r="AA418" s="490" t="str">
        <f t="shared" ref="AA418:AA433" si="80">+AB418&amp;AC418</f>
        <v>229</v>
      </c>
      <c r="AB418" s="489">
        <v>22</v>
      </c>
      <c r="AC418" s="489">
        <v>9</v>
      </c>
      <c r="AD418" s="27">
        <v>111634</v>
      </c>
      <c r="AE418" s="27" t="s">
        <v>867</v>
      </c>
      <c r="AF418" s="432">
        <f>VLOOKUP(AD418,[5]Hoja1!$A$10:$K$1393,11,0)</f>
        <v>438381918</v>
      </c>
      <c r="AG418" s="432"/>
      <c r="AH418" s="432">
        <f t="shared" si="76"/>
        <v>438382</v>
      </c>
      <c r="AL418" s="448"/>
      <c r="AM418" s="467">
        <f>VLOOKUP(AD418,[6]BV201101!$A$10:$A$1236,1,0)</f>
        <v>111634</v>
      </c>
    </row>
    <row r="419" spans="1:39" s="467" customFormat="1" ht="12.75" customHeight="1">
      <c r="A419" s="487" t="str">
        <f t="shared" si="79"/>
        <v>1</v>
      </c>
      <c r="B419" s="487" t="str">
        <f t="shared" si="68"/>
        <v>11</v>
      </c>
      <c r="C419" s="487" t="str">
        <f t="shared" si="69"/>
        <v>63</v>
      </c>
      <c r="D419" s="487" t="str">
        <f t="shared" si="70"/>
        <v>1636</v>
      </c>
      <c r="E419" s="487">
        <v>514340000</v>
      </c>
      <c r="F419" s="488"/>
      <c r="G419" s="487"/>
      <c r="H419" s="487"/>
      <c r="I419" s="488"/>
      <c r="J419" s="487"/>
      <c r="K419" s="487"/>
      <c r="L419" s="488"/>
      <c r="M419" s="487"/>
      <c r="N419" s="487"/>
      <c r="O419" s="488"/>
      <c r="P419" s="489"/>
      <c r="Q419" s="489"/>
      <c r="R419" s="592"/>
      <c r="S419" s="487"/>
      <c r="T419" s="487"/>
      <c r="U419" s="488"/>
      <c r="V419" s="489"/>
      <c r="W419" s="489"/>
      <c r="X419" s="488"/>
      <c r="Y419" s="489"/>
      <c r="Z419" s="489"/>
      <c r="AA419" s="490" t="str">
        <f t="shared" si="80"/>
        <v>229</v>
      </c>
      <c r="AB419" s="489">
        <v>22</v>
      </c>
      <c r="AC419" s="489">
        <v>9</v>
      </c>
      <c r="AD419" s="27">
        <v>111636</v>
      </c>
      <c r="AE419" s="27" t="s">
        <v>728</v>
      </c>
      <c r="AF419" s="432">
        <f>VLOOKUP(AD419,[5]Hoja1!$A$10:$K$1393,11,0)</f>
        <v>20655144</v>
      </c>
      <c r="AG419" s="1191">
        <v>-17568041</v>
      </c>
      <c r="AH419" s="432">
        <f t="shared" si="76"/>
        <v>3087</v>
      </c>
      <c r="AI419" s="467" t="s">
        <v>1805</v>
      </c>
      <c r="AL419" s="448"/>
      <c r="AM419" s="467">
        <f>VLOOKUP(AD419,[6]BV201101!$A$10:$A$1236,1,0)</f>
        <v>111636</v>
      </c>
    </row>
    <row r="420" spans="1:39" s="467" customFormat="1" ht="12.75" customHeight="1">
      <c r="A420" s="487" t="str">
        <f t="shared" si="79"/>
        <v>1</v>
      </c>
      <c r="B420" s="487" t="str">
        <f t="shared" si="68"/>
        <v>11</v>
      </c>
      <c r="C420" s="487" t="str">
        <f t="shared" si="69"/>
        <v>63</v>
      </c>
      <c r="D420" s="487" t="str">
        <f t="shared" si="70"/>
        <v>1637</v>
      </c>
      <c r="E420" s="487">
        <v>514340000</v>
      </c>
      <c r="F420" s="488"/>
      <c r="G420" s="487"/>
      <c r="H420" s="487"/>
      <c r="I420" s="488"/>
      <c r="J420" s="487"/>
      <c r="K420" s="487"/>
      <c r="L420" s="488"/>
      <c r="M420" s="487"/>
      <c r="N420" s="487"/>
      <c r="O420" s="488"/>
      <c r="P420" s="489"/>
      <c r="Q420" s="489"/>
      <c r="R420" s="592"/>
      <c r="S420" s="487"/>
      <c r="T420" s="487"/>
      <c r="U420" s="488"/>
      <c r="V420" s="489"/>
      <c r="W420" s="489"/>
      <c r="X420" s="488"/>
      <c r="Y420" s="489"/>
      <c r="Z420" s="489"/>
      <c r="AA420" s="490" t="str">
        <f t="shared" si="80"/>
        <v>229</v>
      </c>
      <c r="AB420" s="489">
        <v>22</v>
      </c>
      <c r="AC420" s="489">
        <v>9</v>
      </c>
      <c r="AD420" s="27">
        <v>111637</v>
      </c>
      <c r="AE420" s="27" t="s">
        <v>1523</v>
      </c>
      <c r="AF420" s="432">
        <f>VLOOKUP(AD420,[5]Hoja1!$A$10:$K$1393,11,0)</f>
        <v>-79919547</v>
      </c>
      <c r="AG420" s="1191">
        <f>-AG419-AG395-AG432-AG326</f>
        <v>79919547</v>
      </c>
      <c r="AH420" s="432">
        <f t="shared" si="76"/>
        <v>0</v>
      </c>
      <c r="AL420" s="448"/>
      <c r="AM420" s="467">
        <f>VLOOKUP(AD420,[6]BV201101!$A$10:$A$1236,1,0)</f>
        <v>111637</v>
      </c>
    </row>
    <row r="421" spans="1:39" s="467" customFormat="1" ht="12.75" customHeight="1">
      <c r="A421" s="487" t="str">
        <f t="shared" si="79"/>
        <v>1</v>
      </c>
      <c r="B421" s="487" t="str">
        <f t="shared" si="68"/>
        <v>11</v>
      </c>
      <c r="C421" s="487" t="str">
        <f t="shared" si="69"/>
        <v>63</v>
      </c>
      <c r="D421" s="487" t="str">
        <f t="shared" si="70"/>
        <v>1638</v>
      </c>
      <c r="E421" s="487">
        <v>514310000</v>
      </c>
      <c r="F421" s="488"/>
      <c r="G421" s="487"/>
      <c r="H421" s="487"/>
      <c r="I421" s="488"/>
      <c r="J421" s="487"/>
      <c r="K421" s="487"/>
      <c r="L421" s="488"/>
      <c r="M421" s="487"/>
      <c r="N421" s="487"/>
      <c r="O421" s="488"/>
      <c r="P421" s="489"/>
      <c r="Q421" s="489"/>
      <c r="R421" s="592"/>
      <c r="S421" s="487"/>
      <c r="T421" s="487"/>
      <c r="U421" s="488"/>
      <c r="V421" s="489"/>
      <c r="W421" s="489"/>
      <c r="X421" s="488"/>
      <c r="Y421" s="489"/>
      <c r="Z421" s="489"/>
      <c r="AA421" s="490" t="str">
        <f t="shared" si="80"/>
        <v>229</v>
      </c>
      <c r="AB421" s="489">
        <v>22</v>
      </c>
      <c r="AC421" s="489">
        <v>9</v>
      </c>
      <c r="AD421" s="27">
        <v>111638</v>
      </c>
      <c r="AE421" s="27" t="s">
        <v>1905</v>
      </c>
      <c r="AF421" s="432">
        <f>VLOOKUP(AD421,[5]Hoja1!$A$10:$K$1393,11,0)</f>
        <v>3752228</v>
      </c>
      <c r="AG421" s="432"/>
      <c r="AH421" s="432">
        <f t="shared" si="76"/>
        <v>3752</v>
      </c>
      <c r="AL421" s="448"/>
      <c r="AM421" s="467">
        <f>VLOOKUP(AD421,[6]BV201101!$A$10:$A$1236,1,0)</f>
        <v>111638</v>
      </c>
    </row>
    <row r="422" spans="1:39" s="467" customFormat="1" ht="12.75" customHeight="1">
      <c r="A422" s="487" t="str">
        <f t="shared" si="79"/>
        <v>1</v>
      </c>
      <c r="B422" s="487" t="str">
        <f>RIGHT(LEFT($AD422,3),2)</f>
        <v>11</v>
      </c>
      <c r="C422" s="487" t="str">
        <f>RIGHT(LEFT($AD422,5),2)</f>
        <v>64</v>
      </c>
      <c r="D422" s="487" t="str">
        <f>RIGHT(LEFT($AD422,9),4)</f>
        <v>1640</v>
      </c>
      <c r="E422" s="487">
        <v>511114000</v>
      </c>
      <c r="F422" s="488"/>
      <c r="G422" s="487"/>
      <c r="H422" s="487"/>
      <c r="I422" s="488"/>
      <c r="J422" s="487"/>
      <c r="K422" s="487"/>
      <c r="L422" s="488"/>
      <c r="M422" s="487"/>
      <c r="N422" s="487"/>
      <c r="O422" s="488"/>
      <c r="P422" s="489"/>
      <c r="Q422" s="489"/>
      <c r="R422" s="592"/>
      <c r="S422" s="487"/>
      <c r="T422" s="487"/>
      <c r="U422" s="488"/>
      <c r="V422" s="489"/>
      <c r="W422" s="489"/>
      <c r="X422" s="488"/>
      <c r="Y422" s="489"/>
      <c r="Z422" s="489"/>
      <c r="AA422" s="672" t="str">
        <f t="shared" si="80"/>
        <v>131</v>
      </c>
      <c r="AB422" s="673">
        <v>13</v>
      </c>
      <c r="AC422" s="489">
        <v>1</v>
      </c>
      <c r="AD422" s="27">
        <v>111640</v>
      </c>
      <c r="AE422" s="27" t="s">
        <v>2552</v>
      </c>
      <c r="AF422" s="432">
        <f>VLOOKUP(AD422,[5]Hoja1!$A$10:$K$1393,11,0)</f>
        <v>8303382</v>
      </c>
      <c r="AG422" s="432"/>
      <c r="AH422" s="432">
        <f t="shared" si="76"/>
        <v>8303</v>
      </c>
      <c r="AL422" s="448"/>
      <c r="AM422" s="467">
        <f>VLOOKUP(AD422,[6]BV201101!$A$10:$A$1236,1,0)</f>
        <v>111640</v>
      </c>
    </row>
    <row r="423" spans="1:39" s="467" customFormat="1" ht="12.75" customHeight="1">
      <c r="A423" s="487" t="str">
        <f t="shared" si="79"/>
        <v>1</v>
      </c>
      <c r="B423" s="487" t="str">
        <f t="shared" si="68"/>
        <v>11</v>
      </c>
      <c r="C423" s="487" t="str">
        <f t="shared" si="69"/>
        <v>64</v>
      </c>
      <c r="D423" s="487" t="str">
        <f t="shared" si="70"/>
        <v>1641</v>
      </c>
      <c r="E423" s="487">
        <v>511114000</v>
      </c>
      <c r="F423" s="488"/>
      <c r="G423" s="487"/>
      <c r="H423" s="487"/>
      <c r="I423" s="488"/>
      <c r="J423" s="487"/>
      <c r="K423" s="487"/>
      <c r="L423" s="488"/>
      <c r="M423" s="487"/>
      <c r="N423" s="487"/>
      <c r="O423" s="488"/>
      <c r="P423" s="489"/>
      <c r="Q423" s="489"/>
      <c r="R423" s="592"/>
      <c r="S423" s="487"/>
      <c r="T423" s="487"/>
      <c r="U423" s="488"/>
      <c r="V423" s="489"/>
      <c r="W423" s="489"/>
      <c r="X423" s="488"/>
      <c r="Y423" s="489"/>
      <c r="Z423" s="489"/>
      <c r="AA423" s="672" t="str">
        <f t="shared" si="80"/>
        <v>131</v>
      </c>
      <c r="AB423" s="673">
        <v>13</v>
      </c>
      <c r="AC423" s="489">
        <v>1</v>
      </c>
      <c r="AD423" s="27">
        <v>111641</v>
      </c>
      <c r="AE423" s="27" t="s">
        <v>2553</v>
      </c>
      <c r="AF423" s="432">
        <f>VLOOKUP(AD423,[5]Hoja1!$A$10:$K$1393,11,0)</f>
        <v>61247638</v>
      </c>
      <c r="AG423" s="432"/>
      <c r="AH423" s="432">
        <f t="shared" si="76"/>
        <v>61248</v>
      </c>
      <c r="AL423" s="448"/>
      <c r="AM423" s="467">
        <f>VLOOKUP(AD423,[6]BV201101!$A$10:$A$1236,1,0)</f>
        <v>111641</v>
      </c>
    </row>
    <row r="424" spans="1:39" s="467" customFormat="1" ht="12.75" customHeight="1">
      <c r="A424" s="487" t="str">
        <f t="shared" si="79"/>
        <v>1</v>
      </c>
      <c r="B424" s="487" t="str">
        <f t="shared" si="68"/>
        <v>11</v>
      </c>
      <c r="C424" s="487" t="str">
        <f t="shared" si="69"/>
        <v>64</v>
      </c>
      <c r="D424" s="487" t="str">
        <f t="shared" si="70"/>
        <v>1642</v>
      </c>
      <c r="E424" s="487">
        <v>511114000</v>
      </c>
      <c r="F424" s="488"/>
      <c r="G424" s="487"/>
      <c r="H424" s="487"/>
      <c r="I424" s="488"/>
      <c r="J424" s="487"/>
      <c r="K424" s="487"/>
      <c r="L424" s="488"/>
      <c r="M424" s="487"/>
      <c r="N424" s="487"/>
      <c r="O424" s="488"/>
      <c r="P424" s="489"/>
      <c r="Q424" s="489"/>
      <c r="R424" s="592"/>
      <c r="S424" s="487"/>
      <c r="T424" s="487"/>
      <c r="U424" s="488"/>
      <c r="V424" s="489"/>
      <c r="W424" s="489"/>
      <c r="X424" s="488"/>
      <c r="Y424" s="489"/>
      <c r="Z424" s="489"/>
      <c r="AA424" s="672" t="str">
        <f t="shared" si="80"/>
        <v>131</v>
      </c>
      <c r="AB424" s="673">
        <v>13</v>
      </c>
      <c r="AC424" s="489">
        <v>1</v>
      </c>
      <c r="AD424" s="27">
        <v>111642</v>
      </c>
      <c r="AE424" s="27" t="s">
        <v>2551</v>
      </c>
      <c r="AF424" s="432">
        <f>VLOOKUP(AD424,[5]Hoja1!$A$10:$K$1393,11,0)</f>
        <v>1505187837</v>
      </c>
      <c r="AG424" s="432">
        <v>0</v>
      </c>
      <c r="AH424" s="432">
        <f t="shared" si="76"/>
        <v>1505188</v>
      </c>
      <c r="AL424" s="448"/>
      <c r="AM424" s="467">
        <f>VLOOKUP(AD424,[6]BV201101!$A$10:$A$1236,1,0)</f>
        <v>111642</v>
      </c>
    </row>
    <row r="425" spans="1:39" s="467" customFormat="1" ht="12.75" customHeight="1">
      <c r="A425" s="487" t="str">
        <f t="shared" si="79"/>
        <v>1</v>
      </c>
      <c r="B425" s="487" t="str">
        <f t="shared" si="68"/>
        <v>11</v>
      </c>
      <c r="C425" s="487" t="str">
        <f t="shared" si="69"/>
        <v>64</v>
      </c>
      <c r="D425" s="487" t="str">
        <f t="shared" si="70"/>
        <v>1643</v>
      </c>
      <c r="E425" s="487">
        <v>511114000</v>
      </c>
      <c r="F425" s="488"/>
      <c r="G425" s="487"/>
      <c r="H425" s="487"/>
      <c r="I425" s="488"/>
      <c r="J425" s="487"/>
      <c r="K425" s="487"/>
      <c r="L425" s="488"/>
      <c r="M425" s="487"/>
      <c r="N425" s="487"/>
      <c r="O425" s="488"/>
      <c r="P425" s="489"/>
      <c r="Q425" s="489"/>
      <c r="R425" s="592"/>
      <c r="S425" s="487"/>
      <c r="T425" s="487"/>
      <c r="U425" s="488"/>
      <c r="V425" s="489"/>
      <c r="W425" s="489"/>
      <c r="X425" s="488"/>
      <c r="Y425" s="489"/>
      <c r="Z425" s="489"/>
      <c r="AA425" s="672" t="str">
        <f t="shared" si="80"/>
        <v>131</v>
      </c>
      <c r="AB425" s="673">
        <v>13</v>
      </c>
      <c r="AC425" s="489">
        <v>1</v>
      </c>
      <c r="AD425" s="27">
        <v>111643</v>
      </c>
      <c r="AE425" s="27" t="s">
        <v>2554</v>
      </c>
      <c r="AF425" s="432">
        <f>VLOOKUP(AD425,[5]Hoja1!$A$10:$K$1393,11,0)</f>
        <v>11037321</v>
      </c>
      <c r="AG425" s="432"/>
      <c r="AH425" s="432">
        <f t="shared" si="76"/>
        <v>11037</v>
      </c>
      <c r="AL425" s="448"/>
      <c r="AM425" s="467">
        <f>VLOOKUP(AD425,[6]BV201101!$A$10:$A$1236,1,0)</f>
        <v>111643</v>
      </c>
    </row>
    <row r="426" spans="1:39" s="467" customFormat="1" ht="12.75" customHeight="1">
      <c r="A426" s="487" t="str">
        <f t="shared" si="79"/>
        <v>1</v>
      </c>
      <c r="B426" s="487" t="str">
        <f t="shared" si="68"/>
        <v>11</v>
      </c>
      <c r="C426" s="487" t="str">
        <f t="shared" si="69"/>
        <v>64</v>
      </c>
      <c r="D426" s="487" t="str">
        <f t="shared" si="70"/>
        <v>1644</v>
      </c>
      <c r="E426" s="487">
        <v>511114000</v>
      </c>
      <c r="F426" s="488"/>
      <c r="G426" s="487"/>
      <c r="H426" s="487"/>
      <c r="I426" s="488"/>
      <c r="J426" s="487"/>
      <c r="K426" s="487"/>
      <c r="L426" s="488"/>
      <c r="M426" s="487"/>
      <c r="N426" s="487"/>
      <c r="O426" s="488"/>
      <c r="P426" s="489"/>
      <c r="Q426" s="489"/>
      <c r="R426" s="592"/>
      <c r="S426" s="487"/>
      <c r="T426" s="487"/>
      <c r="U426" s="488"/>
      <c r="V426" s="489"/>
      <c r="W426" s="489"/>
      <c r="X426" s="488"/>
      <c r="Y426" s="489"/>
      <c r="Z426" s="489"/>
      <c r="AA426" s="672" t="str">
        <f t="shared" si="80"/>
        <v>131</v>
      </c>
      <c r="AB426" s="673">
        <v>13</v>
      </c>
      <c r="AC426" s="489">
        <v>1</v>
      </c>
      <c r="AD426" s="27">
        <v>111644</v>
      </c>
      <c r="AE426" s="27" t="s">
        <v>2555</v>
      </c>
      <c r="AF426" s="432">
        <f>VLOOKUP(AD426,[5]Hoja1!$A$10:$K$1393,11,0)</f>
        <v>836324667</v>
      </c>
      <c r="AG426" s="432"/>
      <c r="AH426" s="432">
        <f t="shared" si="76"/>
        <v>836325</v>
      </c>
      <c r="AL426" s="448"/>
      <c r="AM426" s="467">
        <f>VLOOKUP(AD426,[6]BV201101!$A$10:$A$1236,1,0)</f>
        <v>111644</v>
      </c>
    </row>
    <row r="427" spans="1:39" s="467" customFormat="1" ht="12.75" customHeight="1">
      <c r="A427" s="487" t="str">
        <f t="shared" si="79"/>
        <v>1</v>
      </c>
      <c r="B427" s="487" t="str">
        <f t="shared" si="68"/>
        <v>11</v>
      </c>
      <c r="C427" s="487" t="str">
        <f t="shared" si="69"/>
        <v>64</v>
      </c>
      <c r="D427" s="487" t="str">
        <f t="shared" si="70"/>
        <v>1645</v>
      </c>
      <c r="E427" s="487">
        <v>514340000</v>
      </c>
      <c r="F427" s="488"/>
      <c r="G427" s="487"/>
      <c r="H427" s="487"/>
      <c r="I427" s="488"/>
      <c r="J427" s="487"/>
      <c r="K427" s="487"/>
      <c r="L427" s="488"/>
      <c r="M427" s="487"/>
      <c r="N427" s="487"/>
      <c r="O427" s="488"/>
      <c r="P427" s="489"/>
      <c r="Q427" s="489"/>
      <c r="R427" s="592"/>
      <c r="S427" s="487"/>
      <c r="T427" s="487"/>
      <c r="U427" s="488"/>
      <c r="V427" s="489"/>
      <c r="W427" s="489"/>
      <c r="X427" s="488"/>
      <c r="Y427" s="489"/>
      <c r="Z427" s="489"/>
      <c r="AA427" s="672" t="str">
        <f t="shared" si="80"/>
        <v>229</v>
      </c>
      <c r="AB427" s="673">
        <v>22</v>
      </c>
      <c r="AC427" s="489">
        <v>9</v>
      </c>
      <c r="AD427" s="27">
        <v>111645</v>
      </c>
      <c r="AE427" s="27" t="s">
        <v>2639</v>
      </c>
      <c r="AF427" s="432">
        <f>VLOOKUP(AD427,[5]Hoja1!$A$10:$K$1393,11,0)</f>
        <v>4510004</v>
      </c>
      <c r="AG427" s="432">
        <v>0</v>
      </c>
      <c r="AH427" s="432">
        <f t="shared" si="76"/>
        <v>4510</v>
      </c>
      <c r="AL427" s="448"/>
    </row>
    <row r="428" spans="1:39" s="467" customFormat="1" ht="12.75" customHeight="1">
      <c r="A428" s="487" t="str">
        <f t="shared" si="79"/>
        <v>1</v>
      </c>
      <c r="B428" s="487"/>
      <c r="C428" s="487"/>
      <c r="D428" s="487"/>
      <c r="E428" s="487">
        <v>514450000</v>
      </c>
      <c r="F428" s="488"/>
      <c r="G428" s="487"/>
      <c r="H428" s="487"/>
      <c r="I428" s="488"/>
      <c r="J428" s="487"/>
      <c r="K428" s="487"/>
      <c r="L428" s="488"/>
      <c r="M428" s="487"/>
      <c r="N428" s="487"/>
      <c r="O428" s="488"/>
      <c r="P428" s="489"/>
      <c r="Q428" s="489"/>
      <c r="R428" s="592"/>
      <c r="S428" s="487"/>
      <c r="T428" s="487"/>
      <c r="U428" s="488"/>
      <c r="V428" s="489"/>
      <c r="W428" s="489"/>
      <c r="X428" s="488"/>
      <c r="Y428" s="489"/>
      <c r="Z428" s="489"/>
      <c r="AA428" s="490"/>
      <c r="AB428" s="489"/>
      <c r="AC428" s="489"/>
      <c r="AD428" s="927">
        <v>111648</v>
      </c>
      <c r="AE428" s="27" t="s">
        <v>2684</v>
      </c>
      <c r="AF428" s="432">
        <f>VLOOKUP(AD428,[5]Hoja1!$A$10:$K$1393,11,0)</f>
        <v>6809545676</v>
      </c>
      <c r="AG428" s="1507">
        <f>-AF428</f>
        <v>-6809545676</v>
      </c>
      <c r="AH428" s="432">
        <f t="shared" si="76"/>
        <v>0</v>
      </c>
      <c r="AL428" s="448"/>
    </row>
    <row r="429" spans="1:39" s="467" customFormat="1" ht="12.75" customHeight="1">
      <c r="A429" s="487" t="str">
        <f t="shared" si="79"/>
        <v>1</v>
      </c>
      <c r="B429" s="487"/>
      <c r="C429" s="487"/>
      <c r="D429" s="487"/>
      <c r="E429" s="487">
        <v>514340000</v>
      </c>
      <c r="F429" s="488"/>
      <c r="G429" s="487"/>
      <c r="H429" s="487"/>
      <c r="I429" s="488"/>
      <c r="J429" s="487"/>
      <c r="K429" s="487"/>
      <c r="L429" s="488"/>
      <c r="M429" s="487"/>
      <c r="N429" s="487"/>
      <c r="O429" s="488"/>
      <c r="P429" s="489"/>
      <c r="Q429" s="489"/>
      <c r="R429" s="592"/>
      <c r="S429" s="487"/>
      <c r="T429" s="487"/>
      <c r="U429" s="488"/>
      <c r="V429" s="489"/>
      <c r="W429" s="489"/>
      <c r="X429" s="488"/>
      <c r="Y429" s="489"/>
      <c r="Z429" s="489"/>
      <c r="AA429" s="490"/>
      <c r="AB429" s="489"/>
      <c r="AC429" s="489"/>
      <c r="AD429" s="927">
        <v>111649</v>
      </c>
      <c r="AE429" s="27" t="s">
        <v>2685</v>
      </c>
      <c r="AF429" s="432">
        <f>VLOOKUP(AD429,[5]Hoja1!$A$10:$K$1393,11,0)</f>
        <v>11629940516</v>
      </c>
      <c r="AG429" s="432">
        <v>0</v>
      </c>
      <c r="AH429" s="432">
        <f t="shared" si="76"/>
        <v>11629941</v>
      </c>
      <c r="AL429" s="448"/>
    </row>
    <row r="430" spans="1:39" s="467" customFormat="1" ht="12.75" customHeight="1">
      <c r="A430" s="487" t="str">
        <f t="shared" si="79"/>
        <v>1</v>
      </c>
      <c r="B430" s="487"/>
      <c r="C430" s="487"/>
      <c r="D430" s="487"/>
      <c r="E430" s="487">
        <v>514340000</v>
      </c>
      <c r="F430" s="488"/>
      <c r="G430" s="487"/>
      <c r="H430" s="487"/>
      <c r="I430" s="488"/>
      <c r="J430" s="487"/>
      <c r="K430" s="487"/>
      <c r="L430" s="488"/>
      <c r="M430" s="487"/>
      <c r="N430" s="487"/>
      <c r="O430" s="488"/>
      <c r="P430" s="489"/>
      <c r="Q430" s="489"/>
      <c r="R430" s="592"/>
      <c r="S430" s="487"/>
      <c r="T430" s="487"/>
      <c r="U430" s="488"/>
      <c r="V430" s="489"/>
      <c r="W430" s="489"/>
      <c r="X430" s="488"/>
      <c r="Y430" s="489"/>
      <c r="Z430" s="489"/>
      <c r="AA430" s="490"/>
      <c r="AB430" s="489"/>
      <c r="AC430" s="489"/>
      <c r="AD430" s="927">
        <v>111650</v>
      </c>
      <c r="AE430" s="27" t="s">
        <v>3523</v>
      </c>
      <c r="AF430" s="432">
        <f>VLOOKUP(AD430,[5]Hoja1!$A$10:$K$1393,11,0)</f>
        <v>678427</v>
      </c>
      <c r="AG430" s="432">
        <v>0</v>
      </c>
      <c r="AH430" s="432">
        <f t="shared" ref="AH430" si="81">ROUND((AF430+AG430)/$AH$2,0)</f>
        <v>678</v>
      </c>
      <c r="AL430" s="448"/>
    </row>
    <row r="431" spans="1:39" s="467" customFormat="1" ht="12.75" customHeight="1">
      <c r="A431" s="487" t="str">
        <f t="shared" si="79"/>
        <v>1</v>
      </c>
      <c r="B431" s="487"/>
      <c r="C431" s="487"/>
      <c r="D431" s="487"/>
      <c r="E431" s="487">
        <v>514340000</v>
      </c>
      <c r="F431" s="488"/>
      <c r="G431" s="487"/>
      <c r="H431" s="487"/>
      <c r="I431" s="488"/>
      <c r="J431" s="487"/>
      <c r="K431" s="487"/>
      <c r="L431" s="488"/>
      <c r="M431" s="487"/>
      <c r="N431" s="487"/>
      <c r="O431" s="488"/>
      <c r="P431" s="489"/>
      <c r="Q431" s="489"/>
      <c r="R431" s="592"/>
      <c r="S431" s="487"/>
      <c r="T431" s="487"/>
      <c r="U431" s="488"/>
      <c r="V431" s="489"/>
      <c r="W431" s="489"/>
      <c r="X431" s="488"/>
      <c r="Y431" s="489"/>
      <c r="Z431" s="489"/>
      <c r="AA431" s="490"/>
      <c r="AB431" s="489"/>
      <c r="AC431" s="489"/>
      <c r="AD431" s="927">
        <v>111651</v>
      </c>
      <c r="AE431" s="27" t="s">
        <v>2936</v>
      </c>
      <c r="AF431" s="432">
        <f>VLOOKUP(AD431,[5]Hoja1!$A$10:$K$1393,11,0)</f>
        <v>0</v>
      </c>
      <c r="AG431" s="432"/>
      <c r="AH431" s="432">
        <f t="shared" si="76"/>
        <v>0</v>
      </c>
      <c r="AL431" s="448"/>
    </row>
    <row r="432" spans="1:39" s="467" customFormat="1" ht="12.75" customHeight="1">
      <c r="A432" s="487" t="str">
        <f t="shared" si="79"/>
        <v>1</v>
      </c>
      <c r="B432" s="487" t="str">
        <f t="shared" si="68"/>
        <v>11</v>
      </c>
      <c r="C432" s="487" t="str">
        <f t="shared" si="69"/>
        <v>65</v>
      </c>
      <c r="D432" s="487" t="str">
        <f t="shared" si="70"/>
        <v>1652</v>
      </c>
      <c r="E432" s="487">
        <v>514450000</v>
      </c>
      <c r="F432" s="488"/>
      <c r="G432" s="487"/>
      <c r="H432" s="487"/>
      <c r="I432" s="488"/>
      <c r="J432" s="487"/>
      <c r="K432" s="487"/>
      <c r="L432" s="488"/>
      <c r="M432" s="487"/>
      <c r="N432" s="487"/>
      <c r="O432" s="488"/>
      <c r="P432" s="489"/>
      <c r="Q432" s="489"/>
      <c r="R432" s="592"/>
      <c r="S432" s="487"/>
      <c r="T432" s="487"/>
      <c r="U432" s="488"/>
      <c r="V432" s="489"/>
      <c r="W432" s="489"/>
      <c r="X432" s="488"/>
      <c r="Y432" s="489"/>
      <c r="Z432" s="489"/>
      <c r="AA432" s="672" t="str">
        <f t="shared" si="80"/>
        <v>2210</v>
      </c>
      <c r="AB432" s="673">
        <v>22</v>
      </c>
      <c r="AC432" s="489">
        <v>10</v>
      </c>
      <c r="AD432" s="27">
        <v>111652</v>
      </c>
      <c r="AE432" s="27" t="s">
        <v>2629</v>
      </c>
      <c r="AF432" s="432">
        <f>VLOOKUP(AD432,[5]Hoja1!$A$10:$K$1393,11,0)</f>
        <v>4164948</v>
      </c>
      <c r="AG432" s="1191">
        <v>-2397664</v>
      </c>
      <c r="AH432" s="432">
        <f t="shared" si="76"/>
        <v>1767</v>
      </c>
      <c r="AL432" s="448"/>
    </row>
    <row r="433" spans="1:39" s="467" customFormat="1" ht="12.75" customHeight="1">
      <c r="A433" s="487" t="str">
        <f t="shared" si="79"/>
        <v>1</v>
      </c>
      <c r="B433" s="487" t="str">
        <f t="shared" si="68"/>
        <v>11</v>
      </c>
      <c r="C433" s="487" t="str">
        <f t="shared" si="69"/>
        <v>65</v>
      </c>
      <c r="D433" s="487" t="str">
        <f t="shared" si="70"/>
        <v>1653</v>
      </c>
      <c r="E433" s="487">
        <v>514450000</v>
      </c>
      <c r="F433" s="488"/>
      <c r="G433" s="487"/>
      <c r="H433" s="487"/>
      <c r="I433" s="488"/>
      <c r="J433" s="487"/>
      <c r="K433" s="487"/>
      <c r="L433" s="488"/>
      <c r="M433" s="487"/>
      <c r="N433" s="487"/>
      <c r="O433" s="488"/>
      <c r="P433" s="489"/>
      <c r="Q433" s="489"/>
      <c r="R433" s="592"/>
      <c r="S433" s="487"/>
      <c r="T433" s="487"/>
      <c r="U433" s="488"/>
      <c r="V433" s="489"/>
      <c r="W433" s="489"/>
      <c r="X433" s="488"/>
      <c r="Y433" s="489"/>
      <c r="Z433" s="489"/>
      <c r="AA433" s="672" t="str">
        <f t="shared" si="80"/>
        <v>2210</v>
      </c>
      <c r="AB433" s="673">
        <v>22</v>
      </c>
      <c r="AC433" s="489">
        <v>10</v>
      </c>
      <c r="AD433" s="27">
        <v>111653</v>
      </c>
      <c r="AE433" s="27" t="s">
        <v>2630</v>
      </c>
      <c r="AF433" s="432">
        <f>VLOOKUP(AD433,[5]Hoja1!$A$10:$K$1393,11,0)</f>
        <v>4151992</v>
      </c>
      <c r="AG433" s="1187">
        <v>0</v>
      </c>
      <c r="AH433" s="432">
        <f t="shared" si="76"/>
        <v>4152</v>
      </c>
      <c r="AL433" s="448"/>
    </row>
    <row r="434" spans="1:39" s="467" customFormat="1" ht="12.75" customHeight="1">
      <c r="A434" s="487" t="str">
        <f t="shared" si="79"/>
        <v>1</v>
      </c>
      <c r="B434" s="487"/>
      <c r="C434" s="487"/>
      <c r="D434" s="487"/>
      <c r="E434" s="487">
        <v>514450000</v>
      </c>
      <c r="F434" s="488"/>
      <c r="G434" s="487"/>
      <c r="H434" s="487"/>
      <c r="I434" s="488"/>
      <c r="J434" s="487"/>
      <c r="K434" s="487"/>
      <c r="L434" s="488"/>
      <c r="M434" s="487"/>
      <c r="N434" s="487"/>
      <c r="O434" s="488"/>
      <c r="P434" s="489"/>
      <c r="Q434" s="489"/>
      <c r="R434" s="592"/>
      <c r="S434" s="487"/>
      <c r="T434" s="487"/>
      <c r="U434" s="488"/>
      <c r="V434" s="489"/>
      <c r="W434" s="489"/>
      <c r="X434" s="488"/>
      <c r="Y434" s="489"/>
      <c r="Z434" s="489"/>
      <c r="AA434" s="490"/>
      <c r="AB434" s="489"/>
      <c r="AC434" s="489"/>
      <c r="AD434" s="927">
        <v>111655</v>
      </c>
      <c r="AE434" s="27" t="s">
        <v>2686</v>
      </c>
      <c r="AF434" s="432">
        <f>VLOOKUP(AD434,[5]Hoja1!$A$10:$K$1393,11,0)</f>
        <v>4935414213</v>
      </c>
      <c r="AG434" s="1507">
        <f>-AF434</f>
        <v>-4935414213</v>
      </c>
      <c r="AH434" s="432">
        <f t="shared" si="76"/>
        <v>0</v>
      </c>
      <c r="AL434" s="448"/>
    </row>
    <row r="435" spans="1:39" s="467" customFormat="1" ht="12.75" customHeight="1">
      <c r="A435" s="487" t="str">
        <f t="shared" si="79"/>
        <v>1</v>
      </c>
      <c r="B435" s="487"/>
      <c r="C435" s="487"/>
      <c r="D435" s="487"/>
      <c r="E435" s="487">
        <v>514340000</v>
      </c>
      <c r="F435" s="488"/>
      <c r="G435" s="487"/>
      <c r="H435" s="487"/>
      <c r="I435" s="488"/>
      <c r="J435" s="487"/>
      <c r="K435" s="487"/>
      <c r="L435" s="488"/>
      <c r="M435" s="487"/>
      <c r="N435" s="487"/>
      <c r="O435" s="488"/>
      <c r="P435" s="489"/>
      <c r="Q435" s="489"/>
      <c r="R435" s="592"/>
      <c r="S435" s="487"/>
      <c r="T435" s="487"/>
      <c r="U435" s="488"/>
      <c r="V435" s="489"/>
      <c r="W435" s="489"/>
      <c r="X435" s="488"/>
      <c r="Y435" s="489"/>
      <c r="Z435" s="489"/>
      <c r="AA435" s="490"/>
      <c r="AB435" s="489"/>
      <c r="AC435" s="489"/>
      <c r="AD435" s="927">
        <v>111660</v>
      </c>
      <c r="AE435" s="27" t="s">
        <v>2687</v>
      </c>
      <c r="AF435" s="432">
        <f>VLOOKUP(AD435,[5]Hoja1!$A$10:$K$1393,11,0)</f>
        <v>-500000</v>
      </c>
      <c r="AG435" s="432"/>
      <c r="AH435" s="432">
        <f t="shared" si="76"/>
        <v>-500</v>
      </c>
      <c r="AL435" s="448"/>
    </row>
    <row r="436" spans="1:39" s="467" customFormat="1" ht="12.75" customHeight="1">
      <c r="A436" s="487" t="str">
        <f t="shared" si="79"/>
        <v>1</v>
      </c>
      <c r="B436" s="487"/>
      <c r="C436" s="487"/>
      <c r="D436" s="487"/>
      <c r="E436" s="487">
        <v>514340000</v>
      </c>
      <c r="F436" s="488"/>
      <c r="G436" s="487"/>
      <c r="H436" s="487"/>
      <c r="I436" s="488"/>
      <c r="J436" s="487"/>
      <c r="K436" s="487"/>
      <c r="L436" s="488"/>
      <c r="M436" s="487"/>
      <c r="N436" s="487"/>
      <c r="O436" s="488"/>
      <c r="P436" s="489"/>
      <c r="Q436" s="489"/>
      <c r="R436" s="592"/>
      <c r="S436" s="487"/>
      <c r="T436" s="487"/>
      <c r="U436" s="488"/>
      <c r="V436" s="489"/>
      <c r="W436" s="489"/>
      <c r="X436" s="488"/>
      <c r="Y436" s="489"/>
      <c r="Z436" s="489"/>
      <c r="AA436" s="490"/>
      <c r="AB436" s="489"/>
      <c r="AC436" s="489"/>
      <c r="AD436" s="927">
        <v>111661</v>
      </c>
      <c r="AE436" s="27" t="s">
        <v>2688</v>
      </c>
      <c r="AF436" s="432">
        <f>VLOOKUP(AD436,[5]Hoja1!$A$10:$K$1393,11,0)</f>
        <v>-56560</v>
      </c>
      <c r="AG436" s="432"/>
      <c r="AH436" s="432">
        <f t="shared" si="76"/>
        <v>-57</v>
      </c>
      <c r="AL436" s="448"/>
    </row>
    <row r="437" spans="1:39" s="467" customFormat="1" ht="12.75" customHeight="1">
      <c r="A437" s="487" t="str">
        <f t="shared" si="79"/>
        <v>1</v>
      </c>
      <c r="B437" s="487"/>
      <c r="C437" s="487"/>
      <c r="D437" s="487"/>
      <c r="E437" s="487"/>
      <c r="F437" s="488"/>
      <c r="G437" s="487"/>
      <c r="H437" s="487"/>
      <c r="I437" s="488"/>
      <c r="J437" s="487"/>
      <c r="K437" s="487"/>
      <c r="L437" s="488"/>
      <c r="M437" s="487"/>
      <c r="N437" s="487"/>
      <c r="O437" s="488"/>
      <c r="P437" s="489"/>
      <c r="Q437" s="489"/>
      <c r="R437" s="592"/>
      <c r="S437" s="487"/>
      <c r="T437" s="487"/>
      <c r="U437" s="488"/>
      <c r="V437" s="489"/>
      <c r="W437" s="489"/>
      <c r="X437" s="488"/>
      <c r="Y437" s="489"/>
      <c r="Z437" s="489"/>
      <c r="AA437" s="490"/>
      <c r="AB437" s="489"/>
      <c r="AC437" s="489"/>
      <c r="AD437" s="927">
        <v>111662</v>
      </c>
      <c r="AE437" s="27" t="s">
        <v>2689</v>
      </c>
      <c r="AF437" s="432">
        <f>VLOOKUP(AD437,[5]Hoja1!$A$10:$K$1393,11,0)</f>
        <v>0</v>
      </c>
      <c r="AG437" s="432"/>
      <c r="AH437" s="432">
        <f t="shared" si="76"/>
        <v>0</v>
      </c>
      <c r="AL437" s="448"/>
    </row>
    <row r="438" spans="1:39" s="467" customFormat="1" ht="12.75" customHeight="1">
      <c r="A438" s="487" t="str">
        <f t="shared" si="79"/>
        <v>1</v>
      </c>
      <c r="B438" s="487"/>
      <c r="C438" s="487"/>
      <c r="D438" s="487"/>
      <c r="E438" s="487">
        <v>514340000</v>
      </c>
      <c r="F438" s="488"/>
      <c r="G438" s="487"/>
      <c r="H438" s="487"/>
      <c r="I438" s="488"/>
      <c r="J438" s="487"/>
      <c r="K438" s="487"/>
      <c r="L438" s="488"/>
      <c r="M438" s="487"/>
      <c r="N438" s="487"/>
      <c r="O438" s="488"/>
      <c r="P438" s="489"/>
      <c r="Q438" s="489"/>
      <c r="R438" s="592"/>
      <c r="S438" s="487"/>
      <c r="T438" s="487"/>
      <c r="U438" s="488"/>
      <c r="V438" s="489"/>
      <c r="W438" s="489"/>
      <c r="X438" s="488"/>
      <c r="Y438" s="489"/>
      <c r="Z438" s="489"/>
      <c r="AA438" s="490"/>
      <c r="AB438" s="489"/>
      <c r="AC438" s="489"/>
      <c r="AD438" s="927">
        <v>111663</v>
      </c>
      <c r="AE438" s="27" t="s">
        <v>2690</v>
      </c>
      <c r="AF438" s="432">
        <f>VLOOKUP(AD438,[5]Hoja1!$A$10:$K$1393,11,0)</f>
        <v>-719576</v>
      </c>
      <c r="AG438" s="432"/>
      <c r="AH438" s="432">
        <f t="shared" si="76"/>
        <v>-720</v>
      </c>
      <c r="AL438" s="448"/>
    </row>
    <row r="439" spans="1:39" s="467" customFormat="1" ht="12.75" customHeight="1">
      <c r="A439" s="487" t="str">
        <f t="shared" si="79"/>
        <v>1</v>
      </c>
      <c r="B439" s="487"/>
      <c r="C439" s="487"/>
      <c r="D439" s="487"/>
      <c r="E439" s="487">
        <v>514340000</v>
      </c>
      <c r="F439" s="488"/>
      <c r="G439" s="487"/>
      <c r="H439" s="487"/>
      <c r="I439" s="488"/>
      <c r="J439" s="487"/>
      <c r="K439" s="487"/>
      <c r="L439" s="488"/>
      <c r="M439" s="487"/>
      <c r="N439" s="487"/>
      <c r="O439" s="488"/>
      <c r="P439" s="489"/>
      <c r="Q439" s="489"/>
      <c r="R439" s="592"/>
      <c r="S439" s="487"/>
      <c r="T439" s="487"/>
      <c r="U439" s="488"/>
      <c r="V439" s="489"/>
      <c r="W439" s="489"/>
      <c r="X439" s="488"/>
      <c r="Y439" s="489"/>
      <c r="Z439" s="489"/>
      <c r="AA439" s="490"/>
      <c r="AB439" s="489"/>
      <c r="AC439" s="489"/>
      <c r="AD439" s="927">
        <v>111664</v>
      </c>
      <c r="AE439" s="1021" t="s">
        <v>3524</v>
      </c>
      <c r="AF439" s="432">
        <f>VLOOKUP(AD439,[5]Hoja1!$A$10:$K$1393,11,0)</f>
        <v>10306383</v>
      </c>
      <c r="AG439" s="432"/>
      <c r="AH439" s="432">
        <f t="shared" si="76"/>
        <v>10306</v>
      </c>
      <c r="AL439" s="448"/>
    </row>
    <row r="440" spans="1:39" s="467" customFormat="1" ht="12.75" customHeight="1">
      <c r="A440" s="487" t="str">
        <f t="shared" si="79"/>
        <v>1</v>
      </c>
      <c r="B440" s="487"/>
      <c r="C440" s="487"/>
      <c r="D440" s="487"/>
      <c r="E440" s="487">
        <v>514340000</v>
      </c>
      <c r="F440" s="488"/>
      <c r="G440" s="487"/>
      <c r="H440" s="487"/>
      <c r="I440" s="488"/>
      <c r="J440" s="487"/>
      <c r="K440" s="487"/>
      <c r="L440" s="488"/>
      <c r="M440" s="487"/>
      <c r="N440" s="487"/>
      <c r="O440" s="488"/>
      <c r="P440" s="489"/>
      <c r="Q440" s="489"/>
      <c r="R440" s="592"/>
      <c r="S440" s="487"/>
      <c r="T440" s="487"/>
      <c r="U440" s="488"/>
      <c r="V440" s="489"/>
      <c r="W440" s="489"/>
      <c r="X440" s="488"/>
      <c r="Y440" s="489"/>
      <c r="Z440" s="489"/>
      <c r="AA440" s="490"/>
      <c r="AB440" s="489"/>
      <c r="AC440" s="489"/>
      <c r="AD440" s="927">
        <v>111666</v>
      </c>
      <c r="AE440" s="1021" t="s">
        <v>3525</v>
      </c>
      <c r="AF440" s="432">
        <f>VLOOKUP(AD440,[5]Hoja1!$A$10:$K$1393,11,0)</f>
        <v>35964127</v>
      </c>
      <c r="AG440" s="432"/>
      <c r="AH440" s="432">
        <f t="shared" si="76"/>
        <v>35964</v>
      </c>
      <c r="AL440" s="448"/>
    </row>
    <row r="441" spans="1:39" s="467" customFormat="1" ht="12.75" customHeight="1">
      <c r="A441" s="487" t="str">
        <f t="shared" si="79"/>
        <v>1</v>
      </c>
      <c r="B441" s="487"/>
      <c r="C441" s="487"/>
      <c r="D441" s="487"/>
      <c r="E441" s="487">
        <v>514340000</v>
      </c>
      <c r="F441" s="488"/>
      <c r="G441" s="487"/>
      <c r="H441" s="487"/>
      <c r="I441" s="488"/>
      <c r="J441" s="487"/>
      <c r="K441" s="487"/>
      <c r="L441" s="488"/>
      <c r="M441" s="487"/>
      <c r="N441" s="487"/>
      <c r="O441" s="488"/>
      <c r="P441" s="489"/>
      <c r="Q441" s="489"/>
      <c r="R441" s="592"/>
      <c r="S441" s="487"/>
      <c r="T441" s="487"/>
      <c r="U441" s="488"/>
      <c r="V441" s="489"/>
      <c r="W441" s="489"/>
      <c r="X441" s="488"/>
      <c r="Y441" s="489"/>
      <c r="Z441" s="489"/>
      <c r="AA441" s="490"/>
      <c r="AB441" s="489"/>
      <c r="AC441" s="489"/>
      <c r="AD441" s="927">
        <v>111668</v>
      </c>
      <c r="AE441" s="1021" t="s">
        <v>3526</v>
      </c>
      <c r="AF441" s="432">
        <f>VLOOKUP(AD441,[5]Hoja1!$A$10:$K$1393,11,0)</f>
        <v>0</v>
      </c>
      <c r="AG441" s="432"/>
      <c r="AH441" s="432">
        <f t="shared" si="76"/>
        <v>0</v>
      </c>
      <c r="AL441" s="448"/>
    </row>
    <row r="442" spans="1:39" s="467" customFormat="1" ht="12.75" customHeight="1">
      <c r="A442" s="487" t="str">
        <f t="shared" si="79"/>
        <v>1</v>
      </c>
      <c r="B442" s="487" t="str">
        <f t="shared" si="68"/>
        <v>11</v>
      </c>
      <c r="C442" s="487" t="str">
        <f t="shared" si="69"/>
        <v>70</v>
      </c>
      <c r="D442" s="487" t="str">
        <f t="shared" si="70"/>
        <v>1703</v>
      </c>
      <c r="E442" s="487">
        <v>514120000</v>
      </c>
      <c r="F442" s="488" t="str">
        <f t="shared" si="61"/>
        <v/>
      </c>
      <c r="G442" s="487"/>
      <c r="H442" s="487"/>
      <c r="I442" s="488" t="str">
        <f t="shared" si="62"/>
        <v/>
      </c>
      <c r="J442" s="487"/>
      <c r="K442" s="487"/>
      <c r="L442" s="488" t="str">
        <f t="shared" si="63"/>
        <v/>
      </c>
      <c r="M442" s="487"/>
      <c r="N442" s="487"/>
      <c r="O442" s="488" t="str">
        <f t="shared" si="64"/>
        <v/>
      </c>
      <c r="P442" s="489"/>
      <c r="Q442" s="489"/>
      <c r="R442" s="592" t="str">
        <f t="shared" si="65"/>
        <v/>
      </c>
      <c r="S442" s="487"/>
      <c r="T442" s="487"/>
      <c r="U442" s="488" t="str">
        <f t="shared" si="66"/>
        <v/>
      </c>
      <c r="V442" s="489"/>
      <c r="W442" s="489"/>
      <c r="X442" s="488" t="str">
        <f t="shared" si="67"/>
        <v/>
      </c>
      <c r="Y442" s="489"/>
      <c r="Z442" s="489"/>
      <c r="AA442" s="490" t="str">
        <f t="shared" ref="AA442:AA449" si="82">+AB442&amp;AC442</f>
        <v/>
      </c>
      <c r="AB442" s="489"/>
      <c r="AC442" s="489"/>
      <c r="AD442" s="27">
        <v>111703</v>
      </c>
      <c r="AE442" s="27" t="s">
        <v>1023</v>
      </c>
      <c r="AF442" s="432">
        <f>VLOOKUP(AD442,[5]Hoja1!$A$10:$K$1393,11,0)</f>
        <v>1251696532</v>
      </c>
      <c r="AG442" s="1508">
        <f>-AG802</f>
        <v>-234341632</v>
      </c>
      <c r="AH442" s="432">
        <f t="shared" si="76"/>
        <v>1017355</v>
      </c>
      <c r="AL442" s="448"/>
      <c r="AM442" s="467">
        <f>VLOOKUP(AD442,[6]BV201101!$A$10:$A$1236,1,0)</f>
        <v>111703</v>
      </c>
    </row>
    <row r="443" spans="1:39" s="467" customFormat="1" ht="12.75" customHeight="1">
      <c r="A443" s="487" t="str">
        <f t="shared" si="79"/>
        <v>1</v>
      </c>
      <c r="B443" s="487" t="str">
        <f t="shared" si="68"/>
        <v>11</v>
      </c>
      <c r="C443" s="487" t="str">
        <f t="shared" si="69"/>
        <v>70</v>
      </c>
      <c r="D443" s="487" t="str">
        <f t="shared" si="70"/>
        <v>1704</v>
      </c>
      <c r="E443" s="487">
        <v>524120000</v>
      </c>
      <c r="F443" s="488" t="str">
        <f t="shared" si="61"/>
        <v/>
      </c>
      <c r="G443" s="487"/>
      <c r="H443" s="487"/>
      <c r="I443" s="488" t="str">
        <f t="shared" si="62"/>
        <v/>
      </c>
      <c r="J443" s="487"/>
      <c r="K443" s="487"/>
      <c r="L443" s="488" t="str">
        <f t="shared" si="63"/>
        <v/>
      </c>
      <c r="M443" s="487"/>
      <c r="N443" s="487"/>
      <c r="O443" s="488" t="str">
        <f t="shared" si="64"/>
        <v/>
      </c>
      <c r="P443" s="489"/>
      <c r="Q443" s="489"/>
      <c r="R443" s="592" t="str">
        <f t="shared" si="65"/>
        <v/>
      </c>
      <c r="S443" s="487"/>
      <c r="T443" s="487"/>
      <c r="U443" s="488" t="str">
        <f t="shared" si="66"/>
        <v/>
      </c>
      <c r="V443" s="489"/>
      <c r="W443" s="489"/>
      <c r="X443" s="488" t="str">
        <f t="shared" si="67"/>
        <v/>
      </c>
      <c r="Y443" s="489"/>
      <c r="Z443" s="489"/>
      <c r="AA443" s="490" t="str">
        <f t="shared" si="82"/>
        <v/>
      </c>
      <c r="AB443" s="489"/>
      <c r="AC443" s="489"/>
      <c r="AD443" s="27">
        <v>111704</v>
      </c>
      <c r="AE443" s="27" t="s">
        <v>788</v>
      </c>
      <c r="AF443" s="432">
        <v>0</v>
      </c>
      <c r="AG443" s="444"/>
      <c r="AH443" s="432">
        <f t="shared" si="76"/>
        <v>0</v>
      </c>
      <c r="AL443" s="448"/>
      <c r="AM443" s="467" t="e">
        <f>VLOOKUP(AD443,[6]BV201101!$A$10:$A$1236,1,0)</f>
        <v>#N/A</v>
      </c>
    </row>
    <row r="444" spans="1:39" s="467" customFormat="1" ht="12.75" customHeight="1">
      <c r="A444" s="487" t="str">
        <f t="shared" si="79"/>
        <v>1</v>
      </c>
      <c r="B444" s="487" t="str">
        <f t="shared" si="68"/>
        <v>11</v>
      </c>
      <c r="C444" s="487" t="str">
        <f t="shared" si="69"/>
        <v>70</v>
      </c>
      <c r="D444" s="487" t="str">
        <f t="shared" si="70"/>
        <v>1705</v>
      </c>
      <c r="E444" s="487">
        <v>514110000</v>
      </c>
      <c r="F444" s="488" t="str">
        <f t="shared" si="61"/>
        <v/>
      </c>
      <c r="G444" s="487"/>
      <c r="H444" s="487"/>
      <c r="I444" s="488" t="str">
        <f t="shared" si="62"/>
        <v/>
      </c>
      <c r="J444" s="487"/>
      <c r="K444" s="487"/>
      <c r="L444" s="488" t="str">
        <f t="shared" si="63"/>
        <v/>
      </c>
      <c r="M444" s="487"/>
      <c r="N444" s="487"/>
      <c r="O444" s="488" t="str">
        <f t="shared" si="64"/>
        <v/>
      </c>
      <c r="P444" s="489"/>
      <c r="Q444" s="489"/>
      <c r="R444" s="592" t="str">
        <f t="shared" si="65"/>
        <v/>
      </c>
      <c r="S444" s="487"/>
      <c r="T444" s="487"/>
      <c r="U444" s="488" t="str">
        <f t="shared" si="66"/>
        <v/>
      </c>
      <c r="V444" s="489"/>
      <c r="W444" s="489"/>
      <c r="X444" s="488" t="str">
        <f t="shared" si="67"/>
        <v/>
      </c>
      <c r="Y444" s="489"/>
      <c r="Z444" s="489"/>
      <c r="AA444" s="490" t="str">
        <f t="shared" si="82"/>
        <v/>
      </c>
      <c r="AB444" s="489"/>
      <c r="AC444" s="489"/>
      <c r="AD444" s="27">
        <v>111705</v>
      </c>
      <c r="AE444" s="27" t="s">
        <v>1489</v>
      </c>
      <c r="AF444" s="432">
        <f>VLOOKUP(AD444,[5]Hoja1!$A$10:$K$1393,11,0)</f>
        <v>443777025</v>
      </c>
      <c r="AG444" s="1508">
        <f>-AF444</f>
        <v>-443777025</v>
      </c>
      <c r="AH444" s="432">
        <f t="shared" si="76"/>
        <v>0</v>
      </c>
      <c r="AL444" s="448"/>
      <c r="AM444" s="467">
        <f>VLOOKUP(AD444,[6]BV201101!$A$10:$A$1236,1,0)</f>
        <v>111705</v>
      </c>
    </row>
    <row r="445" spans="1:39" s="467" customFormat="1" ht="12.75" customHeight="1">
      <c r="A445" s="487" t="str">
        <f t="shared" si="79"/>
        <v>1</v>
      </c>
      <c r="B445" s="487" t="str">
        <f t="shared" si="68"/>
        <v>11</v>
      </c>
      <c r="C445" s="487" t="str">
        <f t="shared" si="69"/>
        <v>70</v>
      </c>
      <c r="D445" s="487" t="str">
        <f t="shared" si="70"/>
        <v>1706</v>
      </c>
      <c r="E445" s="487">
        <v>514120000</v>
      </c>
      <c r="F445" s="488" t="str">
        <f t="shared" si="61"/>
        <v/>
      </c>
      <c r="G445" s="487"/>
      <c r="H445" s="487"/>
      <c r="I445" s="488" t="str">
        <f t="shared" si="62"/>
        <v/>
      </c>
      <c r="J445" s="487"/>
      <c r="K445" s="487"/>
      <c r="L445" s="488" t="str">
        <f t="shared" si="63"/>
        <v/>
      </c>
      <c r="M445" s="487"/>
      <c r="N445" s="487"/>
      <c r="O445" s="488" t="str">
        <f t="shared" si="64"/>
        <v/>
      </c>
      <c r="P445" s="489"/>
      <c r="Q445" s="489"/>
      <c r="R445" s="592" t="str">
        <f t="shared" si="65"/>
        <v/>
      </c>
      <c r="S445" s="487"/>
      <c r="T445" s="487"/>
      <c r="U445" s="488" t="str">
        <f t="shared" si="66"/>
        <v/>
      </c>
      <c r="V445" s="489"/>
      <c r="W445" s="489"/>
      <c r="X445" s="488" t="str">
        <f t="shared" si="67"/>
        <v/>
      </c>
      <c r="Y445" s="489"/>
      <c r="Z445" s="489"/>
      <c r="AA445" s="490" t="str">
        <f t="shared" si="82"/>
        <v/>
      </c>
      <c r="AB445" s="489"/>
      <c r="AC445" s="489"/>
      <c r="AD445" s="27">
        <v>111706</v>
      </c>
      <c r="AE445" s="27" t="s">
        <v>406</v>
      </c>
      <c r="AF445" s="432">
        <f>VLOOKUP(AD445,[5]Hoja1!$A$10:$K$1393,11,0)</f>
        <v>177320874</v>
      </c>
      <c r="AG445" s="432">
        <v>0</v>
      </c>
      <c r="AH445" s="432">
        <f t="shared" si="76"/>
        <v>177321</v>
      </c>
      <c r="AL445" s="448"/>
      <c r="AM445" s="467">
        <f>VLOOKUP(AD445,[6]BV201101!$A$10:$A$1236,1,0)</f>
        <v>111706</v>
      </c>
    </row>
    <row r="446" spans="1:39" s="467" customFormat="1" ht="12.75" customHeight="1">
      <c r="A446" s="487" t="str">
        <f t="shared" si="79"/>
        <v>1</v>
      </c>
      <c r="B446" s="487" t="str">
        <f t="shared" si="68"/>
        <v>11</v>
      </c>
      <c r="C446" s="487" t="str">
        <f t="shared" si="69"/>
        <v>70</v>
      </c>
      <c r="D446" s="487" t="str">
        <f t="shared" si="70"/>
        <v>1707</v>
      </c>
      <c r="E446" s="487">
        <v>514120000</v>
      </c>
      <c r="F446" s="488" t="str">
        <f t="shared" si="61"/>
        <v/>
      </c>
      <c r="G446" s="487"/>
      <c r="H446" s="487"/>
      <c r="I446" s="488" t="str">
        <f t="shared" si="62"/>
        <v/>
      </c>
      <c r="J446" s="487"/>
      <c r="K446" s="487"/>
      <c r="L446" s="488" t="str">
        <f t="shared" si="63"/>
        <v/>
      </c>
      <c r="M446" s="487"/>
      <c r="N446" s="487"/>
      <c r="O446" s="488" t="str">
        <f t="shared" si="64"/>
        <v/>
      </c>
      <c r="P446" s="489"/>
      <c r="Q446" s="489"/>
      <c r="R446" s="592" t="str">
        <f t="shared" si="65"/>
        <v/>
      </c>
      <c r="S446" s="487"/>
      <c r="T446" s="487"/>
      <c r="U446" s="488" t="str">
        <f t="shared" si="66"/>
        <v/>
      </c>
      <c r="V446" s="489"/>
      <c r="W446" s="489"/>
      <c r="X446" s="488" t="str">
        <f t="shared" si="67"/>
        <v/>
      </c>
      <c r="Y446" s="489"/>
      <c r="Z446" s="489"/>
      <c r="AA446" s="490" t="str">
        <f t="shared" si="82"/>
        <v/>
      </c>
      <c r="AB446" s="489"/>
      <c r="AC446" s="489"/>
      <c r="AD446" s="27">
        <v>111707</v>
      </c>
      <c r="AE446" s="27" t="s">
        <v>593</v>
      </c>
      <c r="AF446" s="432">
        <f>VLOOKUP(AD446,[5]Hoja1!$A$10:$K$1393,11,0)</f>
        <v>43780952</v>
      </c>
      <c r="AG446" s="432">
        <v>0</v>
      </c>
      <c r="AH446" s="432">
        <f t="shared" si="76"/>
        <v>43781</v>
      </c>
      <c r="AL446" s="448"/>
      <c r="AM446" s="467">
        <f>VLOOKUP(AD446,[6]BV201101!$A$10:$A$1236,1,0)</f>
        <v>111707</v>
      </c>
    </row>
    <row r="447" spans="1:39" s="467" customFormat="1" ht="12.75" customHeight="1">
      <c r="A447" s="487" t="str">
        <f t="shared" si="79"/>
        <v>1</v>
      </c>
      <c r="B447" s="487" t="str">
        <f t="shared" si="68"/>
        <v>11</v>
      </c>
      <c r="C447" s="487" t="str">
        <f t="shared" si="69"/>
        <v>70</v>
      </c>
      <c r="D447" s="487" t="str">
        <f t="shared" si="70"/>
        <v>1708</v>
      </c>
      <c r="E447" s="487">
        <v>514120000</v>
      </c>
      <c r="F447" s="488" t="str">
        <f t="shared" si="61"/>
        <v/>
      </c>
      <c r="G447" s="487"/>
      <c r="H447" s="487"/>
      <c r="I447" s="488" t="str">
        <f t="shared" si="62"/>
        <v/>
      </c>
      <c r="J447" s="487"/>
      <c r="K447" s="487"/>
      <c r="L447" s="488" t="str">
        <f t="shared" si="63"/>
        <v/>
      </c>
      <c r="M447" s="487"/>
      <c r="N447" s="487"/>
      <c r="O447" s="488" t="str">
        <f t="shared" si="64"/>
        <v/>
      </c>
      <c r="P447" s="489"/>
      <c r="Q447" s="489"/>
      <c r="R447" s="592" t="str">
        <f t="shared" si="65"/>
        <v/>
      </c>
      <c r="S447" s="487"/>
      <c r="T447" s="487"/>
      <c r="U447" s="488" t="str">
        <f t="shared" si="66"/>
        <v/>
      </c>
      <c r="V447" s="489"/>
      <c r="W447" s="489"/>
      <c r="X447" s="488" t="str">
        <f t="shared" si="67"/>
        <v/>
      </c>
      <c r="Y447" s="489"/>
      <c r="Z447" s="489"/>
      <c r="AA447" s="490" t="str">
        <f t="shared" si="82"/>
        <v/>
      </c>
      <c r="AB447" s="489"/>
      <c r="AC447" s="489"/>
      <c r="AD447" s="27">
        <v>111708</v>
      </c>
      <c r="AE447" s="27" t="s">
        <v>2062</v>
      </c>
      <c r="AF447" s="432">
        <f>VLOOKUP(AD447,[5]Hoja1!$A$10:$K$1393,11,0)</f>
        <v>0</v>
      </c>
      <c r="AG447" s="432">
        <v>0</v>
      </c>
      <c r="AH447" s="432">
        <f t="shared" si="76"/>
        <v>0</v>
      </c>
      <c r="AL447" s="448"/>
      <c r="AM447" s="467">
        <f>VLOOKUP(AD447,[6]BV201101!$A$10:$A$1236,1,0)</f>
        <v>111708</v>
      </c>
    </row>
    <row r="448" spans="1:39" s="467" customFormat="1" ht="12.75" customHeight="1">
      <c r="A448" s="487" t="str">
        <f t="shared" si="79"/>
        <v>1</v>
      </c>
      <c r="B448" s="487" t="str">
        <f t="shared" si="68"/>
        <v>11</v>
      </c>
      <c r="C448" s="487" t="str">
        <f t="shared" si="69"/>
        <v>70</v>
      </c>
      <c r="D448" s="487" t="str">
        <f t="shared" si="70"/>
        <v>1709</v>
      </c>
      <c r="E448" s="487">
        <v>514110000</v>
      </c>
      <c r="F448" s="488" t="str">
        <f t="shared" si="61"/>
        <v/>
      </c>
      <c r="G448" s="487"/>
      <c r="H448" s="487"/>
      <c r="I448" s="488" t="str">
        <f t="shared" si="62"/>
        <v/>
      </c>
      <c r="J448" s="487"/>
      <c r="K448" s="487"/>
      <c r="L448" s="488" t="str">
        <f t="shared" si="63"/>
        <v/>
      </c>
      <c r="M448" s="487"/>
      <c r="N448" s="487"/>
      <c r="O448" s="488" t="str">
        <f t="shared" si="64"/>
        <v/>
      </c>
      <c r="P448" s="489"/>
      <c r="Q448" s="489"/>
      <c r="R448" s="592" t="str">
        <f t="shared" si="65"/>
        <v/>
      </c>
      <c r="S448" s="487"/>
      <c r="T448" s="487"/>
      <c r="U448" s="488" t="str">
        <f t="shared" si="66"/>
        <v/>
      </c>
      <c r="V448" s="489"/>
      <c r="W448" s="489"/>
      <c r="X448" s="488" t="str">
        <f t="shared" si="67"/>
        <v/>
      </c>
      <c r="Y448" s="489"/>
      <c r="Z448" s="489"/>
      <c r="AA448" s="490" t="str">
        <f t="shared" si="82"/>
        <v/>
      </c>
      <c r="AB448" s="489"/>
      <c r="AC448" s="489"/>
      <c r="AD448" s="27">
        <v>111709</v>
      </c>
      <c r="AE448" s="27" t="s">
        <v>760</v>
      </c>
      <c r="AF448" s="432">
        <f>VLOOKUP(AD448,[5]Hoja1!$A$10:$K$1393,11,0)</f>
        <v>0</v>
      </c>
      <c r="AG448" s="432">
        <v>0</v>
      </c>
      <c r="AH448" s="432">
        <f t="shared" si="76"/>
        <v>0</v>
      </c>
      <c r="AL448" s="448"/>
      <c r="AM448" s="467" t="e">
        <f>VLOOKUP(AD448,[6]BV201101!$A$10:$A$1236,1,0)</f>
        <v>#N/A</v>
      </c>
    </row>
    <row r="449" spans="1:39" s="467" customFormat="1" ht="12.75" customHeight="1">
      <c r="A449" s="487" t="str">
        <f t="shared" si="79"/>
        <v>1</v>
      </c>
      <c r="B449" s="487" t="str">
        <f t="shared" si="68"/>
        <v>11</v>
      </c>
      <c r="C449" s="487" t="str">
        <f t="shared" si="69"/>
        <v>71</v>
      </c>
      <c r="D449" s="487" t="str">
        <f t="shared" si="70"/>
        <v>1710</v>
      </c>
      <c r="E449" s="487">
        <v>514340000</v>
      </c>
      <c r="F449" s="488" t="str">
        <f t="shared" si="61"/>
        <v/>
      </c>
      <c r="G449" s="487"/>
      <c r="H449" s="487"/>
      <c r="I449" s="488" t="str">
        <f t="shared" si="62"/>
        <v/>
      </c>
      <c r="J449" s="487"/>
      <c r="K449" s="487"/>
      <c r="L449" s="488" t="str">
        <f t="shared" si="63"/>
        <v/>
      </c>
      <c r="M449" s="487"/>
      <c r="N449" s="487"/>
      <c r="O449" s="488" t="str">
        <f t="shared" si="64"/>
        <v/>
      </c>
      <c r="P449" s="489"/>
      <c r="Q449" s="489"/>
      <c r="R449" s="592" t="str">
        <f t="shared" si="65"/>
        <v/>
      </c>
      <c r="S449" s="487"/>
      <c r="T449" s="487"/>
      <c r="U449" s="488" t="str">
        <f t="shared" si="66"/>
        <v/>
      </c>
      <c r="V449" s="489"/>
      <c r="W449" s="489"/>
      <c r="X449" s="488" t="str">
        <f t="shared" si="67"/>
        <v/>
      </c>
      <c r="Y449" s="489"/>
      <c r="Z449" s="489"/>
      <c r="AA449" s="490" t="str">
        <f t="shared" si="82"/>
        <v>229</v>
      </c>
      <c r="AB449" s="489">
        <v>22</v>
      </c>
      <c r="AC449" s="489">
        <v>9</v>
      </c>
      <c r="AD449" s="27">
        <v>111710</v>
      </c>
      <c r="AE449" s="27" t="s">
        <v>2063</v>
      </c>
      <c r="AF449" s="432">
        <f>VLOOKUP(AD449,[5]Hoja1!$A$10:$K$1393,11,0)</f>
        <v>14926271</v>
      </c>
      <c r="AG449" s="432"/>
      <c r="AH449" s="432">
        <f t="shared" si="76"/>
        <v>14926</v>
      </c>
      <c r="AL449" s="448"/>
      <c r="AM449" s="467">
        <f>VLOOKUP(AD449,[6]BV201101!$A$10:$A$1236,1,0)</f>
        <v>111710</v>
      </c>
    </row>
    <row r="450" spans="1:39" s="467" customFormat="1" ht="12.75" customHeight="1">
      <c r="A450" s="487" t="str">
        <f t="shared" si="79"/>
        <v>1</v>
      </c>
      <c r="B450" s="487"/>
      <c r="C450" s="487"/>
      <c r="D450" s="487"/>
      <c r="E450" s="487"/>
      <c r="F450" s="488"/>
      <c r="G450" s="487"/>
      <c r="H450" s="487"/>
      <c r="I450" s="488"/>
      <c r="J450" s="487"/>
      <c r="K450" s="487"/>
      <c r="L450" s="488"/>
      <c r="M450" s="487"/>
      <c r="N450" s="487"/>
      <c r="O450" s="488"/>
      <c r="P450" s="489"/>
      <c r="Q450" s="489"/>
      <c r="R450" s="592"/>
      <c r="S450" s="487"/>
      <c r="T450" s="487"/>
      <c r="U450" s="488"/>
      <c r="V450" s="489"/>
      <c r="W450" s="489"/>
      <c r="X450" s="488"/>
      <c r="Y450" s="489"/>
      <c r="Z450" s="489"/>
      <c r="AA450" s="490"/>
      <c r="AB450" s="489"/>
      <c r="AC450" s="489"/>
      <c r="AD450" s="27">
        <v>111711</v>
      </c>
      <c r="AE450" s="27" t="s">
        <v>2064</v>
      </c>
      <c r="AF450" s="432">
        <f>VLOOKUP(AD450,[5]Hoja1!$A$10:$K$1393,11,0)</f>
        <v>0</v>
      </c>
      <c r="AG450" s="432"/>
      <c r="AH450" s="432">
        <f t="shared" si="76"/>
        <v>0</v>
      </c>
      <c r="AL450" s="448"/>
      <c r="AM450" s="467">
        <f>VLOOKUP(AD450,[6]BV201101!$A$10:$A$1236,1,0)</f>
        <v>111711</v>
      </c>
    </row>
    <row r="451" spans="1:39" s="467" customFormat="1" ht="12.75" customHeight="1">
      <c r="A451" s="487" t="str">
        <f t="shared" si="79"/>
        <v>1</v>
      </c>
      <c r="B451" s="487" t="str">
        <f t="shared" si="68"/>
        <v>11</v>
      </c>
      <c r="C451" s="487" t="str">
        <f t="shared" si="69"/>
        <v>71</v>
      </c>
      <c r="D451" s="487" t="str">
        <f t="shared" si="70"/>
        <v>1712</v>
      </c>
      <c r="E451" s="487">
        <v>514120000</v>
      </c>
      <c r="F451" s="488"/>
      <c r="G451" s="487"/>
      <c r="H451" s="487"/>
      <c r="I451" s="488"/>
      <c r="J451" s="487"/>
      <c r="K451" s="487"/>
      <c r="L451" s="488"/>
      <c r="M451" s="487"/>
      <c r="N451" s="487"/>
      <c r="O451" s="488"/>
      <c r="P451" s="489"/>
      <c r="Q451" s="489"/>
      <c r="R451" s="592"/>
      <c r="S451" s="487"/>
      <c r="T451" s="487"/>
      <c r="U451" s="488"/>
      <c r="V451" s="489"/>
      <c r="W451" s="489"/>
      <c r="X451" s="488"/>
      <c r="Y451" s="489"/>
      <c r="Z451" s="489"/>
      <c r="AA451" s="490"/>
      <c r="AB451" s="489"/>
      <c r="AC451" s="489"/>
      <c r="AD451" s="27">
        <v>111712</v>
      </c>
      <c r="AE451" s="27" t="s">
        <v>2065</v>
      </c>
      <c r="AF451" s="432">
        <f>VLOOKUP(AD451,[5]Hoja1!$A$10:$K$1393,11,0)</f>
        <v>20279134</v>
      </c>
      <c r="AG451" s="432"/>
      <c r="AH451" s="432">
        <f t="shared" si="76"/>
        <v>20279</v>
      </c>
      <c r="AL451" s="448"/>
      <c r="AM451" s="467">
        <f>VLOOKUP(AD451,[6]BV201101!$A$10:$A$1236,1,0)</f>
        <v>111712</v>
      </c>
    </row>
    <row r="452" spans="1:39" s="467" customFormat="1" ht="12.75" customHeight="1">
      <c r="A452" s="487" t="str">
        <f t="shared" si="79"/>
        <v>1</v>
      </c>
      <c r="B452" s="487"/>
      <c r="C452" s="487"/>
      <c r="D452" s="487"/>
      <c r="E452" s="487">
        <v>514340000</v>
      </c>
      <c r="F452" s="488"/>
      <c r="G452" s="487"/>
      <c r="H452" s="487"/>
      <c r="I452" s="488"/>
      <c r="J452" s="487"/>
      <c r="K452" s="487"/>
      <c r="L452" s="488"/>
      <c r="M452" s="487"/>
      <c r="N452" s="487"/>
      <c r="O452" s="488"/>
      <c r="P452" s="489"/>
      <c r="Q452" s="489"/>
      <c r="R452" s="592"/>
      <c r="S452" s="487"/>
      <c r="T452" s="487"/>
      <c r="U452" s="488"/>
      <c r="V452" s="489"/>
      <c r="W452" s="489"/>
      <c r="X452" s="488"/>
      <c r="Y452" s="489"/>
      <c r="Z452" s="489"/>
      <c r="AA452" s="490"/>
      <c r="AB452" s="489"/>
      <c r="AC452" s="489"/>
      <c r="AD452" s="927">
        <v>111713</v>
      </c>
      <c r="AE452" s="27" t="s">
        <v>2690</v>
      </c>
      <c r="AF452" s="432">
        <f>VLOOKUP(AD452,[5]Hoja1!$A$10:$K$1393,11,0)</f>
        <v>-1746752</v>
      </c>
      <c r="AG452" s="432"/>
      <c r="AH452" s="432">
        <f t="shared" si="76"/>
        <v>-1747</v>
      </c>
      <c r="AL452" s="448"/>
    </row>
    <row r="453" spans="1:39" s="467" customFormat="1" ht="12.75" customHeight="1">
      <c r="A453" s="487" t="str">
        <f t="shared" si="79"/>
        <v>1</v>
      </c>
      <c r="B453" s="487"/>
      <c r="C453" s="487"/>
      <c r="D453" s="487"/>
      <c r="E453" s="487">
        <v>514120000</v>
      </c>
      <c r="F453" s="488"/>
      <c r="G453" s="487"/>
      <c r="H453" s="487"/>
      <c r="I453" s="488"/>
      <c r="J453" s="487"/>
      <c r="K453" s="487"/>
      <c r="L453" s="488"/>
      <c r="M453" s="487"/>
      <c r="N453" s="487"/>
      <c r="O453" s="488"/>
      <c r="P453" s="489"/>
      <c r="Q453" s="489"/>
      <c r="R453" s="592"/>
      <c r="S453" s="487"/>
      <c r="T453" s="487"/>
      <c r="U453" s="488"/>
      <c r="V453" s="489"/>
      <c r="W453" s="489"/>
      <c r="X453" s="488"/>
      <c r="Y453" s="489"/>
      <c r="Z453" s="489"/>
      <c r="AA453" s="490"/>
      <c r="AB453" s="489"/>
      <c r="AC453" s="489"/>
      <c r="AD453" s="927">
        <v>111714</v>
      </c>
      <c r="AE453" s="27" t="s">
        <v>2691</v>
      </c>
      <c r="AF453" s="432">
        <f>VLOOKUP(AD453,[5]Hoja1!$A$10:$K$1393,11,0)</f>
        <v>-18856831</v>
      </c>
      <c r="AG453" s="432"/>
      <c r="AH453" s="432">
        <f t="shared" si="76"/>
        <v>-18857</v>
      </c>
      <c r="AL453" s="448"/>
    </row>
    <row r="454" spans="1:39" s="467" customFormat="1" ht="12.75" customHeight="1">
      <c r="A454" s="487" t="str">
        <f t="shared" si="79"/>
        <v>1</v>
      </c>
      <c r="B454" s="487" t="str">
        <f t="shared" si="68"/>
        <v>11</v>
      </c>
      <c r="C454" s="487" t="str">
        <f t="shared" si="69"/>
        <v>80</v>
      </c>
      <c r="D454" s="487" t="str">
        <f t="shared" si="70"/>
        <v>1801</v>
      </c>
      <c r="E454" s="487">
        <v>514320000</v>
      </c>
      <c r="F454" s="488" t="str">
        <f t="shared" si="61"/>
        <v/>
      </c>
      <c r="G454" s="487"/>
      <c r="H454" s="487"/>
      <c r="I454" s="488" t="str">
        <f t="shared" si="62"/>
        <v/>
      </c>
      <c r="J454" s="487"/>
      <c r="K454" s="487"/>
      <c r="L454" s="488" t="str">
        <f t="shared" si="63"/>
        <v/>
      </c>
      <c r="M454" s="487"/>
      <c r="N454" s="487"/>
      <c r="O454" s="488" t="str">
        <f t="shared" si="64"/>
        <v/>
      </c>
      <c r="P454" s="489"/>
      <c r="Q454" s="489"/>
      <c r="R454" s="592" t="str">
        <f t="shared" si="65"/>
        <v/>
      </c>
      <c r="S454" s="487"/>
      <c r="T454" s="487"/>
      <c r="U454" s="488" t="str">
        <f t="shared" si="66"/>
        <v/>
      </c>
      <c r="V454" s="489"/>
      <c r="W454" s="489"/>
      <c r="X454" s="488" t="str">
        <f t="shared" si="67"/>
        <v/>
      </c>
      <c r="Y454" s="489"/>
      <c r="Z454" s="489"/>
      <c r="AA454" s="490" t="str">
        <f t="shared" ref="AA454:AA464" si="83">+AB454&amp;AC454</f>
        <v/>
      </c>
      <c r="AB454" s="489"/>
      <c r="AC454" s="489"/>
      <c r="AD454" s="27">
        <v>111801</v>
      </c>
      <c r="AE454" s="27" t="s">
        <v>1272</v>
      </c>
      <c r="AF454" s="432">
        <f>VLOOKUP(AD454,[5]Hoja1!$A$10:$K$1393,11,0)</f>
        <v>0</v>
      </c>
      <c r="AG454" s="432">
        <f>-AF454</f>
        <v>0</v>
      </c>
      <c r="AH454" s="432">
        <f t="shared" si="76"/>
        <v>0</v>
      </c>
      <c r="AJ454" s="445"/>
      <c r="AL454" s="448"/>
      <c r="AM454" s="467">
        <f>VLOOKUP(AD454,[6]BV201101!$A$10:$A$1236,1,0)</f>
        <v>111801</v>
      </c>
    </row>
    <row r="455" spans="1:39" s="467" customFormat="1" ht="12.75" customHeight="1">
      <c r="A455" s="487" t="str">
        <f t="shared" si="79"/>
        <v>1</v>
      </c>
      <c r="B455" s="487" t="str">
        <f t="shared" si="68"/>
        <v>11</v>
      </c>
      <c r="C455" s="487" t="str">
        <f t="shared" si="69"/>
        <v>80</v>
      </c>
      <c r="D455" s="487" t="str">
        <f t="shared" si="70"/>
        <v>1802</v>
      </c>
      <c r="E455" s="487">
        <v>514320000</v>
      </c>
      <c r="F455" s="488" t="str">
        <f t="shared" si="61"/>
        <v/>
      </c>
      <c r="G455" s="487"/>
      <c r="H455" s="487"/>
      <c r="I455" s="488" t="str">
        <f t="shared" si="62"/>
        <v/>
      </c>
      <c r="J455" s="487"/>
      <c r="K455" s="487"/>
      <c r="L455" s="488" t="str">
        <f t="shared" si="63"/>
        <v/>
      </c>
      <c r="M455" s="487"/>
      <c r="N455" s="487"/>
      <c r="O455" s="488" t="str">
        <f t="shared" si="64"/>
        <v/>
      </c>
      <c r="P455" s="489"/>
      <c r="Q455" s="489"/>
      <c r="R455" s="592" t="str">
        <f t="shared" si="65"/>
        <v/>
      </c>
      <c r="S455" s="487"/>
      <c r="T455" s="487"/>
      <c r="U455" s="488" t="str">
        <f t="shared" si="66"/>
        <v/>
      </c>
      <c r="V455" s="489"/>
      <c r="W455" s="489"/>
      <c r="X455" s="488" t="str">
        <f t="shared" si="67"/>
        <v/>
      </c>
      <c r="Y455" s="489"/>
      <c r="Z455" s="489"/>
      <c r="AA455" s="490" t="str">
        <f t="shared" si="83"/>
        <v/>
      </c>
      <c r="AB455" s="489"/>
      <c r="AC455" s="489"/>
      <c r="AD455" s="27">
        <v>111802</v>
      </c>
      <c r="AE455" s="27" t="s">
        <v>2066</v>
      </c>
      <c r="AF455" s="432">
        <f>VLOOKUP(AD455,[5]Hoja1!$A$10:$K$1393,11,0)</f>
        <v>186979343</v>
      </c>
      <c r="AG455" s="432"/>
      <c r="AH455" s="432">
        <f t="shared" si="76"/>
        <v>186979</v>
      </c>
      <c r="AI455" s="445">
        <f>+AF455+AF481+AF499+AF510+AF500+AF501+AF484+AF486+AF487+AF488+AF491+AF492+AF513+AF515+AF516+AF517+AF518+AF526+AF529+AF537+AF541+AF542</f>
        <v>11789522716</v>
      </c>
      <c r="AL455" s="473">
        <f>+AH455-174534</f>
        <v>12445</v>
      </c>
      <c r="AM455" s="467">
        <f>VLOOKUP(AD455,[6]BV201101!$A$10:$A$1236,1,0)</f>
        <v>111802</v>
      </c>
    </row>
    <row r="456" spans="1:39" s="467" customFormat="1" ht="12.75" customHeight="1">
      <c r="A456" s="487" t="str">
        <f t="shared" si="79"/>
        <v>1</v>
      </c>
      <c r="B456" s="487" t="str">
        <f t="shared" si="68"/>
        <v>11</v>
      </c>
      <c r="C456" s="487" t="str">
        <f t="shared" si="69"/>
        <v>80</v>
      </c>
      <c r="D456" s="487" t="str">
        <f t="shared" si="70"/>
        <v>1803</v>
      </c>
      <c r="E456" s="487">
        <v>514320000</v>
      </c>
      <c r="F456" s="488" t="str">
        <f t="shared" si="61"/>
        <v/>
      </c>
      <c r="G456" s="487"/>
      <c r="H456" s="487"/>
      <c r="I456" s="488" t="str">
        <f t="shared" si="62"/>
        <v/>
      </c>
      <c r="J456" s="487"/>
      <c r="K456" s="487"/>
      <c r="L456" s="488" t="str">
        <f t="shared" si="63"/>
        <v/>
      </c>
      <c r="M456" s="487"/>
      <c r="N456" s="487"/>
      <c r="O456" s="488" t="str">
        <f t="shared" si="64"/>
        <v/>
      </c>
      <c r="P456" s="489"/>
      <c r="Q456" s="489"/>
      <c r="R456" s="592" t="str">
        <f t="shared" si="65"/>
        <v/>
      </c>
      <c r="S456" s="487"/>
      <c r="T456" s="487"/>
      <c r="U456" s="488" t="str">
        <f t="shared" si="66"/>
        <v/>
      </c>
      <c r="V456" s="489"/>
      <c r="W456" s="489"/>
      <c r="X456" s="488" t="str">
        <f t="shared" si="67"/>
        <v/>
      </c>
      <c r="Y456" s="489"/>
      <c r="Z456" s="489"/>
      <c r="AA456" s="490" t="str">
        <f t="shared" si="83"/>
        <v/>
      </c>
      <c r="AB456" s="489"/>
      <c r="AC456" s="489"/>
      <c r="AD456" s="27">
        <v>111803</v>
      </c>
      <c r="AE456" s="27" t="s">
        <v>761</v>
      </c>
      <c r="AF456" s="432">
        <v>0</v>
      </c>
      <c r="AG456" s="432"/>
      <c r="AH456" s="432">
        <f t="shared" si="76"/>
        <v>0</v>
      </c>
      <c r="AJ456" s="445"/>
      <c r="AL456" s="448"/>
      <c r="AM456" s="467" t="e">
        <f>VLOOKUP(AD456,[6]BV201101!$A$10:$A$1236,1,0)</f>
        <v>#N/A</v>
      </c>
    </row>
    <row r="457" spans="1:39" s="467" customFormat="1" ht="12.75" customHeight="1">
      <c r="A457" s="487" t="str">
        <f t="shared" si="79"/>
        <v>1</v>
      </c>
      <c r="B457" s="487" t="str">
        <f t="shared" si="68"/>
        <v>11</v>
      </c>
      <c r="C457" s="487" t="str">
        <f t="shared" si="69"/>
        <v>80</v>
      </c>
      <c r="D457" s="487" t="str">
        <f t="shared" si="70"/>
        <v>1804</v>
      </c>
      <c r="E457" s="487">
        <v>514340000</v>
      </c>
      <c r="F457" s="488" t="str">
        <f t="shared" ref="F457:F464" si="84">+G457&amp;H457</f>
        <v/>
      </c>
      <c r="G457" s="487"/>
      <c r="H457" s="487"/>
      <c r="I457" s="488" t="str">
        <f t="shared" ref="I457:I464" si="85">+J457&amp;K457</f>
        <v/>
      </c>
      <c r="J457" s="487"/>
      <c r="K457" s="487"/>
      <c r="L457" s="488" t="str">
        <f t="shared" ref="L457:L464" si="86">+M457&amp;N457</f>
        <v/>
      </c>
      <c r="M457" s="487"/>
      <c r="N457" s="487"/>
      <c r="O457" s="488" t="str">
        <f t="shared" ref="O457:O464" si="87">+P457&amp;Q457</f>
        <v/>
      </c>
      <c r="P457" s="489"/>
      <c r="Q457" s="489"/>
      <c r="R457" s="592" t="str">
        <f t="shared" ref="R457:R464" si="88">+S457&amp;T457</f>
        <v/>
      </c>
      <c r="S457" s="487"/>
      <c r="T457" s="487"/>
      <c r="U457" s="488" t="str">
        <f t="shared" ref="U457:U464" si="89">+V457&amp;W457</f>
        <v/>
      </c>
      <c r="V457" s="489"/>
      <c r="W457" s="489"/>
      <c r="X457" s="488" t="str">
        <f t="shared" ref="X457:X464" si="90">+Y457&amp;Z457</f>
        <v/>
      </c>
      <c r="Y457" s="489"/>
      <c r="Z457" s="489"/>
      <c r="AA457" s="490" t="str">
        <f t="shared" si="83"/>
        <v>229</v>
      </c>
      <c r="AB457" s="489">
        <v>22</v>
      </c>
      <c r="AC457" s="489">
        <v>9</v>
      </c>
      <c r="AD457" s="27">
        <v>111804</v>
      </c>
      <c r="AE457" s="27" t="s">
        <v>762</v>
      </c>
      <c r="AF457" s="432">
        <v>0</v>
      </c>
      <c r="AG457" s="432"/>
      <c r="AH457" s="432">
        <f t="shared" si="76"/>
        <v>0</v>
      </c>
      <c r="AL457" s="448"/>
      <c r="AM457" s="467" t="e">
        <f>VLOOKUP(AD457,[6]BV201101!$A$10:$A$1236,1,0)</f>
        <v>#N/A</v>
      </c>
    </row>
    <row r="458" spans="1:39" s="467" customFormat="1" ht="12.75" customHeight="1">
      <c r="A458" s="487" t="str">
        <f t="shared" si="79"/>
        <v>1</v>
      </c>
      <c r="B458" s="487" t="str">
        <f t="shared" ref="B458:B615" si="91">RIGHT(LEFT($AD458,3),2)</f>
        <v>11</v>
      </c>
      <c r="C458" s="487" t="str">
        <f t="shared" ref="C458:C615" si="92">RIGHT(LEFT($AD458,5),2)</f>
        <v>80</v>
      </c>
      <c r="D458" s="487" t="str">
        <f t="shared" ref="D458:D615" si="93">RIGHT(LEFT($AD458,9),4)</f>
        <v>1805</v>
      </c>
      <c r="E458" s="487">
        <v>511121200</v>
      </c>
      <c r="F458" s="488" t="str">
        <f t="shared" si="84"/>
        <v/>
      </c>
      <c r="G458" s="487"/>
      <c r="H458" s="487"/>
      <c r="I458" s="488" t="str">
        <f t="shared" si="85"/>
        <v/>
      </c>
      <c r="J458" s="487"/>
      <c r="K458" s="487"/>
      <c r="L458" s="488" t="str">
        <f t="shared" si="86"/>
        <v/>
      </c>
      <c r="M458" s="487"/>
      <c r="N458" s="487"/>
      <c r="O458" s="488" t="str">
        <f t="shared" si="87"/>
        <v/>
      </c>
      <c r="P458" s="489"/>
      <c r="Q458" s="489"/>
      <c r="R458" s="592" t="str">
        <f t="shared" si="88"/>
        <v/>
      </c>
      <c r="S458" s="487"/>
      <c r="T458" s="487"/>
      <c r="U458" s="488" t="str">
        <f t="shared" si="89"/>
        <v/>
      </c>
      <c r="V458" s="489"/>
      <c r="W458" s="489"/>
      <c r="X458" s="488" t="str">
        <f t="shared" si="90"/>
        <v/>
      </c>
      <c r="Y458" s="489"/>
      <c r="Z458" s="489"/>
      <c r="AA458" s="490" t="str">
        <f t="shared" si="83"/>
        <v>222</v>
      </c>
      <c r="AB458" s="489">
        <v>22</v>
      </c>
      <c r="AC458" s="489">
        <v>2</v>
      </c>
      <c r="AD458" s="27">
        <v>111805</v>
      </c>
      <c r="AE458" s="27" t="s">
        <v>1857</v>
      </c>
      <c r="AF458" s="432">
        <f>VLOOKUP(AD458,[5]Hoja1!$A$10:$K$1393,11,0)</f>
        <v>61645101</v>
      </c>
      <c r="AG458" s="432"/>
      <c r="AH458" s="432">
        <f t="shared" si="76"/>
        <v>61645</v>
      </c>
      <c r="AI458" s="445">
        <f>+AH481+AH499+AH513+AH516+AH517+AH526+AH529+AH541+AH455</f>
        <v>11789523</v>
      </c>
      <c r="AL458" s="448"/>
      <c r="AM458" s="467">
        <f>VLOOKUP(AD458,[6]BV201101!$A$10:$A$1236,1,0)</f>
        <v>111805</v>
      </c>
    </row>
    <row r="459" spans="1:39" s="467" customFormat="1" ht="12.75" customHeight="1">
      <c r="A459" s="487" t="str">
        <f t="shared" si="79"/>
        <v>1</v>
      </c>
      <c r="B459" s="487" t="str">
        <f t="shared" si="91"/>
        <v>11</v>
      </c>
      <c r="C459" s="487" t="str">
        <f t="shared" si="92"/>
        <v>80</v>
      </c>
      <c r="D459" s="487" t="str">
        <f t="shared" si="93"/>
        <v>1806</v>
      </c>
      <c r="E459" s="487">
        <v>514340000</v>
      </c>
      <c r="F459" s="488" t="str">
        <f t="shared" si="84"/>
        <v/>
      </c>
      <c r="G459" s="487"/>
      <c r="H459" s="487"/>
      <c r="I459" s="488" t="str">
        <f t="shared" si="85"/>
        <v/>
      </c>
      <c r="J459" s="487"/>
      <c r="K459" s="487"/>
      <c r="L459" s="488" t="str">
        <f t="shared" si="86"/>
        <v/>
      </c>
      <c r="M459" s="487"/>
      <c r="N459" s="487"/>
      <c r="O459" s="488" t="str">
        <f t="shared" si="87"/>
        <v/>
      </c>
      <c r="P459" s="489"/>
      <c r="Q459" s="489"/>
      <c r="R459" s="592" t="str">
        <f t="shared" si="88"/>
        <v/>
      </c>
      <c r="S459" s="487"/>
      <c r="T459" s="487"/>
      <c r="U459" s="488" t="str">
        <f t="shared" si="89"/>
        <v/>
      </c>
      <c r="V459" s="489"/>
      <c r="W459" s="489"/>
      <c r="X459" s="488" t="str">
        <f t="shared" si="90"/>
        <v/>
      </c>
      <c r="Y459" s="489"/>
      <c r="Z459" s="489"/>
      <c r="AA459" s="490" t="str">
        <f t="shared" si="83"/>
        <v>229</v>
      </c>
      <c r="AB459" s="489">
        <v>22</v>
      </c>
      <c r="AC459" s="489">
        <v>9</v>
      </c>
      <c r="AD459" s="27">
        <v>111806</v>
      </c>
      <c r="AE459" s="27" t="s">
        <v>1862</v>
      </c>
      <c r="AF459" s="432">
        <f>VLOOKUP(AD459,[5]Hoja1!$A$10:$K$1393,11,0)</f>
        <v>33000000</v>
      </c>
      <c r="AG459" s="432"/>
      <c r="AH459" s="432">
        <f t="shared" si="76"/>
        <v>33000</v>
      </c>
      <c r="AL459" s="448"/>
      <c r="AM459" s="467">
        <f>VLOOKUP(AD459,[6]BV201101!$A$10:$A$1236,1,0)</f>
        <v>111806</v>
      </c>
    </row>
    <row r="460" spans="1:39" s="467" customFormat="1" ht="12.75" customHeight="1">
      <c r="A460" s="487" t="str">
        <f t="shared" si="79"/>
        <v>1</v>
      </c>
      <c r="B460" s="487" t="str">
        <f t="shared" si="91"/>
        <v>11</v>
      </c>
      <c r="C460" s="487" t="str">
        <f t="shared" si="92"/>
        <v>80</v>
      </c>
      <c r="D460" s="487" t="str">
        <f t="shared" si="93"/>
        <v>1807</v>
      </c>
      <c r="E460" s="487">
        <v>514340000</v>
      </c>
      <c r="F460" s="488" t="str">
        <f t="shared" si="84"/>
        <v/>
      </c>
      <c r="G460" s="487"/>
      <c r="H460" s="487"/>
      <c r="I460" s="488" t="str">
        <f t="shared" si="85"/>
        <v/>
      </c>
      <c r="J460" s="487"/>
      <c r="K460" s="487"/>
      <c r="L460" s="488" t="str">
        <f t="shared" si="86"/>
        <v/>
      </c>
      <c r="M460" s="487"/>
      <c r="N460" s="487"/>
      <c r="O460" s="488" t="str">
        <f t="shared" si="87"/>
        <v/>
      </c>
      <c r="P460" s="489"/>
      <c r="Q460" s="489"/>
      <c r="R460" s="592" t="str">
        <f t="shared" si="88"/>
        <v/>
      </c>
      <c r="S460" s="487"/>
      <c r="T460" s="487"/>
      <c r="U460" s="488" t="str">
        <f t="shared" si="89"/>
        <v/>
      </c>
      <c r="V460" s="489"/>
      <c r="W460" s="489"/>
      <c r="X460" s="488" t="str">
        <f t="shared" si="90"/>
        <v/>
      </c>
      <c r="Y460" s="489"/>
      <c r="Z460" s="489"/>
      <c r="AA460" s="490" t="str">
        <f t="shared" si="83"/>
        <v>229</v>
      </c>
      <c r="AB460" s="489">
        <v>22</v>
      </c>
      <c r="AC460" s="489">
        <v>9</v>
      </c>
      <c r="AD460" s="27">
        <v>111807</v>
      </c>
      <c r="AE460" s="27" t="s">
        <v>51</v>
      </c>
      <c r="AF460" s="432">
        <f>VLOOKUP(AD460,[5]Hoja1!$A$10:$K$1393,11,0)</f>
        <v>0</v>
      </c>
      <c r="AG460" s="432"/>
      <c r="AH460" s="432">
        <f t="shared" si="76"/>
        <v>0</v>
      </c>
      <c r="AI460" s="445">
        <f>+AH458+AH495+AH506+AH507+AH508+AH509+AH511++AH527+AH528+AH539+AH540+AH543+AH544++AH545+AH546+AH547+AH512</f>
        <v>14116831</v>
      </c>
      <c r="AL460" s="448"/>
      <c r="AM460" s="467">
        <f>VLOOKUP(AD460,[6]BV201101!$A$10:$A$1236,1,0)</f>
        <v>111807</v>
      </c>
    </row>
    <row r="461" spans="1:39" s="467" customFormat="1" ht="12.75" customHeight="1">
      <c r="A461" s="487" t="str">
        <f t="shared" si="79"/>
        <v>1</v>
      </c>
      <c r="B461" s="487" t="str">
        <f t="shared" si="91"/>
        <v>11</v>
      </c>
      <c r="C461" s="487" t="str">
        <f t="shared" si="92"/>
        <v>80</v>
      </c>
      <c r="D461" s="487" t="str">
        <f t="shared" si="93"/>
        <v>1808</v>
      </c>
      <c r="E461" s="487">
        <v>514320000</v>
      </c>
      <c r="F461" s="488" t="str">
        <f t="shared" si="84"/>
        <v/>
      </c>
      <c r="G461" s="487"/>
      <c r="H461" s="487"/>
      <c r="I461" s="488" t="str">
        <f t="shared" si="85"/>
        <v/>
      </c>
      <c r="J461" s="487"/>
      <c r="K461" s="487"/>
      <c r="L461" s="488" t="str">
        <f t="shared" si="86"/>
        <v/>
      </c>
      <c r="M461" s="487"/>
      <c r="N461" s="487"/>
      <c r="O461" s="488" t="str">
        <f t="shared" si="87"/>
        <v/>
      </c>
      <c r="P461" s="489"/>
      <c r="Q461" s="489"/>
      <c r="R461" s="592" t="str">
        <f t="shared" si="88"/>
        <v/>
      </c>
      <c r="S461" s="487"/>
      <c r="T461" s="487"/>
      <c r="U461" s="488" t="str">
        <f t="shared" si="89"/>
        <v/>
      </c>
      <c r="V461" s="489"/>
      <c r="W461" s="489"/>
      <c r="X461" s="488" t="str">
        <f t="shared" si="90"/>
        <v/>
      </c>
      <c r="Y461" s="489"/>
      <c r="Z461" s="489"/>
      <c r="AA461" s="490" t="str">
        <f t="shared" si="83"/>
        <v/>
      </c>
      <c r="AB461" s="489"/>
      <c r="AC461" s="489"/>
      <c r="AD461" s="27">
        <v>111808</v>
      </c>
      <c r="AE461" s="27" t="s">
        <v>52</v>
      </c>
      <c r="AF461" s="432">
        <v>0</v>
      </c>
      <c r="AG461" s="432"/>
      <c r="AH461" s="432">
        <f t="shared" si="76"/>
        <v>0</v>
      </c>
      <c r="AL461" s="448"/>
      <c r="AM461" s="467" t="e">
        <f>VLOOKUP(AD461,[6]BV201101!$A$10:$A$1236,1,0)</f>
        <v>#N/A</v>
      </c>
    </row>
    <row r="462" spans="1:39" s="467" customFormat="1" ht="12.75" customHeight="1">
      <c r="A462" s="487" t="str">
        <f t="shared" si="79"/>
        <v>1</v>
      </c>
      <c r="B462" s="487" t="str">
        <f t="shared" si="91"/>
        <v>11</v>
      </c>
      <c r="C462" s="487" t="str">
        <f t="shared" si="92"/>
        <v>80</v>
      </c>
      <c r="D462" s="487" t="str">
        <f t="shared" si="93"/>
        <v>1809</v>
      </c>
      <c r="E462" s="487">
        <v>514320000</v>
      </c>
      <c r="F462" s="488" t="str">
        <f t="shared" si="84"/>
        <v/>
      </c>
      <c r="G462" s="487"/>
      <c r="H462" s="487"/>
      <c r="I462" s="488" t="str">
        <f t="shared" si="85"/>
        <v/>
      </c>
      <c r="J462" s="487"/>
      <c r="K462" s="487"/>
      <c r="L462" s="488" t="str">
        <f t="shared" si="86"/>
        <v/>
      </c>
      <c r="M462" s="487"/>
      <c r="N462" s="487"/>
      <c r="O462" s="488" t="str">
        <f t="shared" si="87"/>
        <v/>
      </c>
      <c r="P462" s="489"/>
      <c r="Q462" s="489"/>
      <c r="R462" s="592" t="str">
        <f t="shared" si="88"/>
        <v/>
      </c>
      <c r="S462" s="487"/>
      <c r="T462" s="487"/>
      <c r="U462" s="488" t="str">
        <f t="shared" si="89"/>
        <v/>
      </c>
      <c r="V462" s="489"/>
      <c r="W462" s="489"/>
      <c r="X462" s="488" t="str">
        <f t="shared" si="90"/>
        <v/>
      </c>
      <c r="Y462" s="489"/>
      <c r="Z462" s="489"/>
      <c r="AA462" s="490" t="str">
        <f t="shared" si="83"/>
        <v/>
      </c>
      <c r="AB462" s="489"/>
      <c r="AC462" s="489"/>
      <c r="AD462" s="27">
        <v>111809</v>
      </c>
      <c r="AE462" s="27" t="s">
        <v>2067</v>
      </c>
      <c r="AF462" s="432">
        <f>VLOOKUP(AD462,[5]Hoja1!$A$10:$K$1393,11,0)</f>
        <v>0</v>
      </c>
      <c r="AG462" s="432"/>
      <c r="AH462" s="432">
        <f t="shared" si="76"/>
        <v>0</v>
      </c>
      <c r="AL462" s="448"/>
      <c r="AM462" s="467">
        <f>VLOOKUP(AD462,[6]BV201101!$A$10:$A$1236,1,0)</f>
        <v>111809</v>
      </c>
    </row>
    <row r="463" spans="1:39" s="467" customFormat="1" ht="12.75" customHeight="1">
      <c r="A463" s="487" t="str">
        <f t="shared" si="79"/>
        <v>1</v>
      </c>
      <c r="B463" s="487" t="str">
        <f t="shared" si="91"/>
        <v>11</v>
      </c>
      <c r="C463" s="487" t="str">
        <f t="shared" si="92"/>
        <v>81</v>
      </c>
      <c r="D463" s="487" t="str">
        <f t="shared" si="93"/>
        <v>1810</v>
      </c>
      <c r="E463" s="487">
        <v>511121200</v>
      </c>
      <c r="F463" s="488" t="str">
        <f>+G463&amp;H463</f>
        <v/>
      </c>
      <c r="G463" s="487"/>
      <c r="H463" s="487"/>
      <c r="I463" s="488" t="str">
        <f>+J463&amp;K463</f>
        <v/>
      </c>
      <c r="J463" s="487"/>
      <c r="K463" s="487"/>
      <c r="L463" s="488" t="str">
        <f>+M463&amp;N463</f>
        <v/>
      </c>
      <c r="M463" s="487"/>
      <c r="N463" s="487"/>
      <c r="O463" s="488" t="str">
        <f>+P463&amp;Q463</f>
        <v/>
      </c>
      <c r="P463" s="489"/>
      <c r="Q463" s="489"/>
      <c r="R463" s="592" t="str">
        <f>+S463&amp;T463</f>
        <v/>
      </c>
      <c r="S463" s="487"/>
      <c r="T463" s="487"/>
      <c r="U463" s="488" t="str">
        <f>+V463&amp;W463</f>
        <v/>
      </c>
      <c r="V463" s="489"/>
      <c r="W463" s="489"/>
      <c r="X463" s="488" t="str">
        <f>+Y463&amp;Z463</f>
        <v/>
      </c>
      <c r="Y463" s="489"/>
      <c r="Z463" s="489"/>
      <c r="AA463" s="490" t="str">
        <f>+AB463&amp;AC463</f>
        <v>222</v>
      </c>
      <c r="AB463" s="489">
        <v>22</v>
      </c>
      <c r="AC463" s="489">
        <v>2</v>
      </c>
      <c r="AD463" s="27">
        <v>111810</v>
      </c>
      <c r="AE463" s="27" t="s">
        <v>1441</v>
      </c>
      <c r="AF463" s="432">
        <f>VLOOKUP(AD463,[5]Hoja1!$A$10:$K$1393,11,0)</f>
        <v>0</v>
      </c>
      <c r="AG463" s="432"/>
      <c r="AH463" s="432">
        <f t="shared" si="76"/>
        <v>0</v>
      </c>
      <c r="AL463" s="448"/>
      <c r="AM463" s="467">
        <f>VLOOKUP(AD463,[6]BV201101!$A$10:$A$1236,1,0)</f>
        <v>111810</v>
      </c>
    </row>
    <row r="464" spans="1:39" s="467" customFormat="1" ht="12.75" customHeight="1">
      <c r="A464" s="487" t="str">
        <f t="shared" si="79"/>
        <v>1</v>
      </c>
      <c r="B464" s="487" t="str">
        <f t="shared" si="91"/>
        <v>11</v>
      </c>
      <c r="C464" s="487" t="str">
        <f t="shared" si="92"/>
        <v>81</v>
      </c>
      <c r="D464" s="487" t="str">
        <f t="shared" si="93"/>
        <v>1811</v>
      </c>
      <c r="E464" s="487">
        <v>514320000</v>
      </c>
      <c r="F464" s="488" t="str">
        <f t="shared" si="84"/>
        <v/>
      </c>
      <c r="G464" s="487"/>
      <c r="H464" s="487"/>
      <c r="I464" s="488" t="str">
        <f t="shared" si="85"/>
        <v/>
      </c>
      <c r="J464" s="487"/>
      <c r="K464" s="487"/>
      <c r="L464" s="488" t="str">
        <f t="shared" si="86"/>
        <v/>
      </c>
      <c r="M464" s="487"/>
      <c r="N464" s="487"/>
      <c r="O464" s="488" t="str">
        <f t="shared" si="87"/>
        <v/>
      </c>
      <c r="P464" s="489"/>
      <c r="Q464" s="489"/>
      <c r="R464" s="592" t="str">
        <f t="shared" si="88"/>
        <v/>
      </c>
      <c r="S464" s="487"/>
      <c r="T464" s="487"/>
      <c r="U464" s="488" t="str">
        <f t="shared" si="89"/>
        <v/>
      </c>
      <c r="V464" s="489"/>
      <c r="W464" s="489"/>
      <c r="X464" s="488" t="str">
        <f t="shared" si="90"/>
        <v/>
      </c>
      <c r="Y464" s="489"/>
      <c r="Z464" s="489"/>
      <c r="AA464" s="490" t="str">
        <f t="shared" si="83"/>
        <v/>
      </c>
      <c r="AB464" s="489"/>
      <c r="AC464" s="489"/>
      <c r="AD464" s="27">
        <v>111811</v>
      </c>
      <c r="AE464" s="27" t="s">
        <v>2068</v>
      </c>
      <c r="AF464" s="432">
        <f>VLOOKUP(AD464,[5]Hoja1!$A$10:$K$1393,11,0)</f>
        <v>0</v>
      </c>
      <c r="AG464" s="432"/>
      <c r="AH464" s="432">
        <f t="shared" si="76"/>
        <v>0</v>
      </c>
      <c r="AL464" s="448"/>
      <c r="AM464" s="467">
        <f>VLOOKUP(AD464,[6]BV201101!$A$10:$A$1236,1,0)</f>
        <v>111811</v>
      </c>
    </row>
    <row r="465" spans="1:39" s="467" customFormat="1" ht="12.75" customHeight="1">
      <c r="A465" s="487" t="str">
        <f t="shared" si="79"/>
        <v>1</v>
      </c>
      <c r="B465" s="487" t="str">
        <f t="shared" si="91"/>
        <v>11</v>
      </c>
      <c r="C465" s="487" t="str">
        <f t="shared" si="92"/>
        <v>81</v>
      </c>
      <c r="D465" s="487" t="str">
        <f t="shared" si="93"/>
        <v>1812</v>
      </c>
      <c r="E465" s="487">
        <v>514320000</v>
      </c>
      <c r="F465" s="488"/>
      <c r="G465" s="487"/>
      <c r="H465" s="487"/>
      <c r="I465" s="488"/>
      <c r="J465" s="487"/>
      <c r="K465" s="487"/>
      <c r="L465" s="488"/>
      <c r="M465" s="487"/>
      <c r="N465" s="487"/>
      <c r="O465" s="488"/>
      <c r="P465" s="489"/>
      <c r="Q465" s="489"/>
      <c r="R465" s="592"/>
      <c r="S465" s="487"/>
      <c r="T465" s="487"/>
      <c r="U465" s="488"/>
      <c r="V465" s="489"/>
      <c r="W465" s="489"/>
      <c r="X465" s="488"/>
      <c r="Y465" s="489"/>
      <c r="Z465" s="489"/>
      <c r="AA465" s="490"/>
      <c r="AB465" s="489"/>
      <c r="AC465" s="489"/>
      <c r="AD465" s="27">
        <v>111812</v>
      </c>
      <c r="AE465" s="27" t="s">
        <v>2069</v>
      </c>
      <c r="AF465" s="432">
        <v>0</v>
      </c>
      <c r="AG465" s="432">
        <v>0</v>
      </c>
      <c r="AH465" s="432">
        <f t="shared" si="76"/>
        <v>0</v>
      </c>
      <c r="AL465" s="448"/>
      <c r="AM465" s="467" t="e">
        <f>VLOOKUP(AD465,[6]BV201101!$A$10:$A$1236,1,0)</f>
        <v>#N/A</v>
      </c>
    </row>
    <row r="466" spans="1:39" s="467" customFormat="1" ht="12.75" customHeight="1">
      <c r="A466" s="487" t="str">
        <f t="shared" si="79"/>
        <v>1</v>
      </c>
      <c r="B466" s="487" t="str">
        <f t="shared" si="91"/>
        <v>11</v>
      </c>
      <c r="C466" s="487" t="str">
        <f t="shared" si="92"/>
        <v>81</v>
      </c>
      <c r="D466" s="487" t="str">
        <f t="shared" si="93"/>
        <v>1813</v>
      </c>
      <c r="E466" s="487">
        <v>514340000</v>
      </c>
      <c r="F466" s="488"/>
      <c r="G466" s="487"/>
      <c r="H466" s="487"/>
      <c r="I466" s="488"/>
      <c r="J466" s="487"/>
      <c r="K466" s="487"/>
      <c r="L466" s="488"/>
      <c r="M466" s="487"/>
      <c r="N466" s="487"/>
      <c r="O466" s="488"/>
      <c r="P466" s="489"/>
      <c r="Q466" s="489"/>
      <c r="R466" s="592"/>
      <c r="S466" s="487"/>
      <c r="T466" s="487"/>
      <c r="U466" s="488"/>
      <c r="V466" s="489"/>
      <c r="W466" s="489"/>
      <c r="X466" s="488"/>
      <c r="Y466" s="489"/>
      <c r="Z466" s="489"/>
      <c r="AA466" s="490" t="str">
        <f t="shared" ref="AA466:AA477" si="94">+AB466&amp;AC466</f>
        <v>2292</v>
      </c>
      <c r="AB466" s="489">
        <v>22</v>
      </c>
      <c r="AC466" s="489">
        <v>92</v>
      </c>
      <c r="AD466" s="27">
        <v>111813</v>
      </c>
      <c r="AE466" s="27" t="s">
        <v>2070</v>
      </c>
      <c r="AF466" s="432">
        <f>VLOOKUP(AD466,[5]Hoja1!$A$10:$K$1393,11,0)</f>
        <v>-446817006</v>
      </c>
      <c r="AG466" s="432"/>
      <c r="AH466" s="432">
        <f t="shared" si="76"/>
        <v>-446817</v>
      </c>
      <c r="AL466" s="448"/>
      <c r="AM466" s="467" t="e">
        <f>VLOOKUP(AD466,[6]BV201101!$A$10:$A$1236,1,0)</f>
        <v>#N/A</v>
      </c>
    </row>
    <row r="467" spans="1:39" s="467" customFormat="1" ht="12.75" customHeight="1">
      <c r="A467" s="487" t="str">
        <f t="shared" si="79"/>
        <v>1</v>
      </c>
      <c r="B467" s="487" t="str">
        <f t="shared" si="91"/>
        <v>11</v>
      </c>
      <c r="C467" s="487" t="str">
        <f t="shared" si="92"/>
        <v>81</v>
      </c>
      <c r="D467" s="487" t="str">
        <f t="shared" si="93"/>
        <v>1814</v>
      </c>
      <c r="E467" s="487">
        <v>514340000</v>
      </c>
      <c r="F467" s="488"/>
      <c r="G467" s="487"/>
      <c r="H467" s="487"/>
      <c r="I467" s="488"/>
      <c r="J467" s="487"/>
      <c r="K467" s="487"/>
      <c r="L467" s="488"/>
      <c r="M467" s="487"/>
      <c r="N467" s="487"/>
      <c r="O467" s="488"/>
      <c r="P467" s="489"/>
      <c r="Q467" s="489"/>
      <c r="R467" s="592"/>
      <c r="S467" s="487"/>
      <c r="T467" s="487"/>
      <c r="U467" s="488"/>
      <c r="V467" s="489"/>
      <c r="W467" s="489"/>
      <c r="X467" s="488"/>
      <c r="Y467" s="489"/>
      <c r="Z467" s="489"/>
      <c r="AA467" s="490" t="str">
        <f t="shared" si="94"/>
        <v>2292</v>
      </c>
      <c r="AB467" s="489">
        <v>22</v>
      </c>
      <c r="AC467" s="489">
        <v>92</v>
      </c>
      <c r="AD467" s="27">
        <v>111814</v>
      </c>
      <c r="AE467" s="27" t="s">
        <v>1134</v>
      </c>
      <c r="AF467" s="432">
        <v>0</v>
      </c>
      <c r="AG467" s="432"/>
      <c r="AH467" s="432">
        <f t="shared" ref="AH467:AH530" si="95">ROUND((AF467+AG467)/$AH$2,0)</f>
        <v>0</v>
      </c>
      <c r="AL467" s="448"/>
      <c r="AM467" s="467" t="e">
        <f>VLOOKUP(AD467,[6]BV201101!$A$10:$A$1236,1,0)</f>
        <v>#N/A</v>
      </c>
    </row>
    <row r="468" spans="1:39" s="467" customFormat="1" ht="12.75" customHeight="1">
      <c r="A468" s="487" t="str">
        <f t="shared" si="79"/>
        <v>1</v>
      </c>
      <c r="B468" s="487" t="str">
        <f t="shared" si="91"/>
        <v>11</v>
      </c>
      <c r="C468" s="487" t="str">
        <f t="shared" si="92"/>
        <v>81</v>
      </c>
      <c r="D468" s="487" t="str">
        <f t="shared" si="93"/>
        <v>1815</v>
      </c>
      <c r="E468" s="487">
        <v>514340000</v>
      </c>
      <c r="F468" s="488"/>
      <c r="G468" s="487"/>
      <c r="H468" s="487"/>
      <c r="I468" s="488"/>
      <c r="J468" s="487"/>
      <c r="K468" s="487"/>
      <c r="L468" s="488"/>
      <c r="M468" s="487"/>
      <c r="N468" s="487"/>
      <c r="O468" s="488"/>
      <c r="P468" s="489"/>
      <c r="Q468" s="489"/>
      <c r="R468" s="592"/>
      <c r="S468" s="487"/>
      <c r="T468" s="487"/>
      <c r="U468" s="488"/>
      <c r="V468" s="489"/>
      <c r="W468" s="489"/>
      <c r="X468" s="488"/>
      <c r="Y468" s="489"/>
      <c r="Z468" s="489"/>
      <c r="AA468" s="490" t="str">
        <f t="shared" si="94"/>
        <v>2292</v>
      </c>
      <c r="AB468" s="489">
        <v>22</v>
      </c>
      <c r="AC468" s="489">
        <v>92</v>
      </c>
      <c r="AD468" s="27">
        <v>111815</v>
      </c>
      <c r="AE468" s="27" t="s">
        <v>1135</v>
      </c>
      <c r="AF468" s="432">
        <v>0</v>
      </c>
      <c r="AG468" s="432"/>
      <c r="AH468" s="432">
        <f t="shared" si="95"/>
        <v>0</v>
      </c>
      <c r="AL468" s="448"/>
      <c r="AM468" s="467" t="e">
        <f>VLOOKUP(AD468,[6]BV201101!$A$10:$A$1236,1,0)</f>
        <v>#N/A</v>
      </c>
    </row>
    <row r="469" spans="1:39" s="467" customFormat="1" ht="12.75" customHeight="1">
      <c r="A469" s="487" t="str">
        <f t="shared" si="79"/>
        <v>1</v>
      </c>
      <c r="B469" s="487" t="str">
        <f t="shared" si="91"/>
        <v>11</v>
      </c>
      <c r="C469" s="487" t="str">
        <f t="shared" si="92"/>
        <v>81</v>
      </c>
      <c r="D469" s="487" t="str">
        <f t="shared" si="93"/>
        <v>1816</v>
      </c>
      <c r="E469" s="487">
        <v>514340000</v>
      </c>
      <c r="F469" s="488"/>
      <c r="G469" s="487"/>
      <c r="H469" s="487"/>
      <c r="I469" s="488"/>
      <c r="J469" s="487"/>
      <c r="K469" s="487"/>
      <c r="L469" s="488"/>
      <c r="M469" s="487"/>
      <c r="N469" s="487"/>
      <c r="O469" s="488"/>
      <c r="P469" s="489"/>
      <c r="Q469" s="489"/>
      <c r="R469" s="592"/>
      <c r="S469" s="487"/>
      <c r="T469" s="487"/>
      <c r="U469" s="488"/>
      <c r="V469" s="489"/>
      <c r="W469" s="489"/>
      <c r="X469" s="488"/>
      <c r="Y469" s="489"/>
      <c r="Z469" s="489"/>
      <c r="AA469" s="490" t="str">
        <f t="shared" si="94"/>
        <v>2292</v>
      </c>
      <c r="AB469" s="489">
        <v>22</v>
      </c>
      <c r="AC469" s="489">
        <v>92</v>
      </c>
      <c r="AD469" s="27">
        <v>111816</v>
      </c>
      <c r="AE469" s="27" t="s">
        <v>1136</v>
      </c>
      <c r="AF469" s="432">
        <v>0</v>
      </c>
      <c r="AG469" s="432"/>
      <c r="AH469" s="432">
        <f t="shared" si="95"/>
        <v>0</v>
      </c>
      <c r="AL469" s="448"/>
      <c r="AM469" s="467" t="e">
        <f>VLOOKUP(AD469,[6]BV201101!$A$10:$A$1236,1,0)</f>
        <v>#N/A</v>
      </c>
    </row>
    <row r="470" spans="1:39" s="467" customFormat="1" ht="12.75" customHeight="1">
      <c r="A470" s="487" t="str">
        <f t="shared" si="79"/>
        <v>1</v>
      </c>
      <c r="B470" s="487" t="str">
        <f t="shared" si="91"/>
        <v>11</v>
      </c>
      <c r="C470" s="487" t="str">
        <f t="shared" si="92"/>
        <v>81</v>
      </c>
      <c r="D470" s="487" t="str">
        <f t="shared" si="93"/>
        <v>1817</v>
      </c>
      <c r="E470" s="487">
        <v>514340000</v>
      </c>
      <c r="F470" s="488"/>
      <c r="G470" s="487"/>
      <c r="H470" s="487"/>
      <c r="I470" s="488"/>
      <c r="J470" s="487"/>
      <c r="K470" s="487"/>
      <c r="L470" s="488"/>
      <c r="M470" s="487"/>
      <c r="N470" s="487"/>
      <c r="O470" s="488"/>
      <c r="P470" s="489"/>
      <c r="Q470" s="489"/>
      <c r="R470" s="592"/>
      <c r="S470" s="487"/>
      <c r="T470" s="487"/>
      <c r="U470" s="488"/>
      <c r="V470" s="489"/>
      <c r="W470" s="489"/>
      <c r="X470" s="488"/>
      <c r="Y470" s="489"/>
      <c r="Z470" s="489"/>
      <c r="AA470" s="490" t="str">
        <f t="shared" si="94"/>
        <v>2292</v>
      </c>
      <c r="AB470" s="489">
        <v>22</v>
      </c>
      <c r="AC470" s="489">
        <v>92</v>
      </c>
      <c r="AD470" s="27">
        <v>111817</v>
      </c>
      <c r="AE470" s="27" t="s">
        <v>1137</v>
      </c>
      <c r="AF470" s="432">
        <v>0</v>
      </c>
      <c r="AG470" s="432"/>
      <c r="AH470" s="432">
        <f t="shared" si="95"/>
        <v>0</v>
      </c>
      <c r="AL470" s="448"/>
      <c r="AM470" s="467" t="e">
        <f>VLOOKUP(AD470,[6]BV201101!$A$10:$A$1236,1,0)</f>
        <v>#N/A</v>
      </c>
    </row>
    <row r="471" spans="1:39" s="467" customFormat="1" ht="12.75" customHeight="1">
      <c r="A471" s="487" t="str">
        <f t="shared" si="79"/>
        <v>1</v>
      </c>
      <c r="B471" s="487" t="str">
        <f t="shared" si="91"/>
        <v>11</v>
      </c>
      <c r="C471" s="487" t="str">
        <f t="shared" si="92"/>
        <v>81</v>
      </c>
      <c r="D471" s="487" t="str">
        <f t="shared" si="93"/>
        <v>1818</v>
      </c>
      <c r="E471" s="487">
        <v>514340000</v>
      </c>
      <c r="F471" s="488"/>
      <c r="G471" s="487"/>
      <c r="H471" s="487"/>
      <c r="I471" s="488"/>
      <c r="J471" s="487"/>
      <c r="K471" s="487"/>
      <c r="L471" s="488"/>
      <c r="M471" s="487"/>
      <c r="N471" s="487"/>
      <c r="O471" s="488"/>
      <c r="P471" s="489"/>
      <c r="Q471" s="489"/>
      <c r="R471" s="592"/>
      <c r="S471" s="487"/>
      <c r="T471" s="487"/>
      <c r="U471" s="488"/>
      <c r="V471" s="489"/>
      <c r="W471" s="489"/>
      <c r="X471" s="488"/>
      <c r="Y471" s="489"/>
      <c r="Z471" s="489"/>
      <c r="AA471" s="490" t="str">
        <f t="shared" si="94"/>
        <v>2292</v>
      </c>
      <c r="AB471" s="489">
        <v>22</v>
      </c>
      <c r="AC471" s="489">
        <v>92</v>
      </c>
      <c r="AD471" s="27">
        <v>111818</v>
      </c>
      <c r="AE471" s="27" t="s">
        <v>1138</v>
      </c>
      <c r="AF471" s="432">
        <v>0</v>
      </c>
      <c r="AG471" s="432"/>
      <c r="AH471" s="432">
        <f t="shared" si="95"/>
        <v>0</v>
      </c>
      <c r="AL471" s="448"/>
      <c r="AM471" s="467" t="e">
        <f>VLOOKUP(AD471,[6]BV201101!$A$10:$A$1236,1,0)</f>
        <v>#N/A</v>
      </c>
    </row>
    <row r="472" spans="1:39" s="467" customFormat="1" ht="12.75" customHeight="1">
      <c r="A472" s="487" t="str">
        <f t="shared" si="79"/>
        <v>1</v>
      </c>
      <c r="B472" s="487" t="str">
        <f t="shared" si="91"/>
        <v>11</v>
      </c>
      <c r="C472" s="487" t="str">
        <f t="shared" si="92"/>
        <v>81</v>
      </c>
      <c r="D472" s="487" t="str">
        <f t="shared" si="93"/>
        <v>1819</v>
      </c>
      <c r="E472" s="487">
        <v>514340000</v>
      </c>
      <c r="F472" s="488"/>
      <c r="G472" s="487"/>
      <c r="H472" s="487"/>
      <c r="I472" s="488"/>
      <c r="J472" s="487"/>
      <c r="K472" s="487"/>
      <c r="L472" s="488"/>
      <c r="M472" s="487"/>
      <c r="N472" s="487"/>
      <c r="O472" s="488"/>
      <c r="P472" s="489"/>
      <c r="Q472" s="489"/>
      <c r="R472" s="592"/>
      <c r="S472" s="487"/>
      <c r="T472" s="487"/>
      <c r="U472" s="488"/>
      <c r="V472" s="489"/>
      <c r="W472" s="489"/>
      <c r="X472" s="488"/>
      <c r="Y472" s="489"/>
      <c r="Z472" s="489"/>
      <c r="AA472" s="490" t="str">
        <f t="shared" si="94"/>
        <v>2292</v>
      </c>
      <c r="AB472" s="489">
        <v>22</v>
      </c>
      <c r="AC472" s="489">
        <v>92</v>
      </c>
      <c r="AD472" s="27">
        <v>111819</v>
      </c>
      <c r="AE472" s="27" t="s">
        <v>1139</v>
      </c>
      <c r="AF472" s="432">
        <v>0</v>
      </c>
      <c r="AG472" s="432"/>
      <c r="AH472" s="432">
        <f t="shared" si="95"/>
        <v>0</v>
      </c>
      <c r="AL472" s="448"/>
      <c r="AM472" s="467" t="e">
        <f>VLOOKUP(AD472,[6]BV201101!$A$10:$A$1236,1,0)</f>
        <v>#N/A</v>
      </c>
    </row>
    <row r="473" spans="1:39" s="467" customFormat="1" ht="12.75" customHeight="1">
      <c r="A473" s="487" t="str">
        <f t="shared" si="79"/>
        <v>1</v>
      </c>
      <c r="B473" s="487" t="str">
        <f t="shared" si="91"/>
        <v>11</v>
      </c>
      <c r="C473" s="487" t="str">
        <f t="shared" si="92"/>
        <v>82</v>
      </c>
      <c r="D473" s="487" t="str">
        <f t="shared" si="93"/>
        <v>1820</v>
      </c>
      <c r="E473" s="487">
        <v>511121200</v>
      </c>
      <c r="F473" s="488" t="str">
        <f>+G473&amp;H473</f>
        <v/>
      </c>
      <c r="G473" s="487"/>
      <c r="H473" s="487"/>
      <c r="I473" s="488" t="str">
        <f>+J473&amp;K473</f>
        <v/>
      </c>
      <c r="J473" s="487"/>
      <c r="K473" s="487"/>
      <c r="L473" s="488" t="str">
        <f>+M473&amp;N473</f>
        <v/>
      </c>
      <c r="M473" s="487"/>
      <c r="N473" s="487"/>
      <c r="O473" s="488" t="str">
        <f>+P473&amp;Q473</f>
        <v/>
      </c>
      <c r="P473" s="489"/>
      <c r="Q473" s="489"/>
      <c r="R473" s="592" t="str">
        <f>+S473&amp;T473</f>
        <v/>
      </c>
      <c r="S473" s="487"/>
      <c r="T473" s="487"/>
      <c r="U473" s="488" t="str">
        <f>+V473&amp;W473</f>
        <v/>
      </c>
      <c r="V473" s="489"/>
      <c r="W473" s="489"/>
      <c r="X473" s="488" t="str">
        <f>+Y473&amp;Z473</f>
        <v/>
      </c>
      <c r="Y473" s="489"/>
      <c r="Z473" s="489"/>
      <c r="AA473" s="490" t="str">
        <f t="shared" si="94"/>
        <v>222</v>
      </c>
      <c r="AB473" s="489">
        <v>22</v>
      </c>
      <c r="AC473" s="489">
        <v>2</v>
      </c>
      <c r="AD473" s="27">
        <v>111820</v>
      </c>
      <c r="AE473" s="27" t="s">
        <v>2071</v>
      </c>
      <c r="AF473" s="432">
        <f>VLOOKUP(AD473,[5]Hoja1!$A$10:$K$1393,11,0)</f>
        <v>0</v>
      </c>
      <c r="AG473" s="432"/>
      <c r="AH473" s="432">
        <f t="shared" si="95"/>
        <v>0</v>
      </c>
      <c r="AL473" s="448"/>
      <c r="AM473" s="467">
        <f>VLOOKUP(AD473,[6]BV201101!$A$10:$A$1236,1,0)</f>
        <v>111820</v>
      </c>
    </row>
    <row r="474" spans="1:39" s="467" customFormat="1" ht="12.75" customHeight="1">
      <c r="A474" s="487" t="str">
        <f t="shared" si="79"/>
        <v>1</v>
      </c>
      <c r="B474" s="487" t="str">
        <f t="shared" si="91"/>
        <v>11</v>
      </c>
      <c r="C474" s="487" t="str">
        <f t="shared" si="92"/>
        <v>82</v>
      </c>
      <c r="D474" s="487" t="str">
        <f t="shared" si="93"/>
        <v>1821</v>
      </c>
      <c r="E474" s="487">
        <v>511121200</v>
      </c>
      <c r="F474" s="488" t="str">
        <f>+G474&amp;H474</f>
        <v/>
      </c>
      <c r="G474" s="487"/>
      <c r="H474" s="487"/>
      <c r="I474" s="488" t="str">
        <f>+J474&amp;K474</f>
        <v/>
      </c>
      <c r="J474" s="487"/>
      <c r="K474" s="487"/>
      <c r="L474" s="488" t="str">
        <f>+M474&amp;N474</f>
        <v/>
      </c>
      <c r="M474" s="487"/>
      <c r="N474" s="487"/>
      <c r="O474" s="488" t="str">
        <f>+P474&amp;Q474</f>
        <v/>
      </c>
      <c r="P474" s="489"/>
      <c r="Q474" s="489"/>
      <c r="R474" s="592" t="str">
        <f>+S474&amp;T474</f>
        <v/>
      </c>
      <c r="S474" s="487"/>
      <c r="T474" s="487"/>
      <c r="U474" s="488" t="str">
        <f>+V474&amp;W474</f>
        <v/>
      </c>
      <c r="V474" s="489"/>
      <c r="W474" s="489"/>
      <c r="X474" s="488" t="str">
        <f>+Y474&amp;Z474</f>
        <v/>
      </c>
      <c r="Y474" s="489"/>
      <c r="Z474" s="489"/>
      <c r="AA474" s="490" t="str">
        <f t="shared" si="94"/>
        <v>222</v>
      </c>
      <c r="AB474" s="489">
        <v>22</v>
      </c>
      <c r="AC474" s="489">
        <v>2</v>
      </c>
      <c r="AD474" s="27">
        <v>111821</v>
      </c>
      <c r="AE474" s="27" t="s">
        <v>2072</v>
      </c>
      <c r="AF474" s="432">
        <f>VLOOKUP(AD474,[5]Hoja1!$A$10:$K$1393,11,0)</f>
        <v>0</v>
      </c>
      <c r="AG474" s="432">
        <v>0</v>
      </c>
      <c r="AH474" s="432">
        <f t="shared" si="95"/>
        <v>0</v>
      </c>
      <c r="AL474" s="448"/>
      <c r="AM474" s="467">
        <f>VLOOKUP(AD474,[6]BV201101!$A$10:$A$1236,1,0)</f>
        <v>111821</v>
      </c>
    </row>
    <row r="475" spans="1:39" s="467" customFormat="1" ht="12.75" customHeight="1">
      <c r="A475" s="487" t="str">
        <f t="shared" si="79"/>
        <v>1</v>
      </c>
      <c r="B475" s="487" t="str">
        <f t="shared" si="91"/>
        <v>11</v>
      </c>
      <c r="C475" s="487" t="str">
        <f t="shared" si="92"/>
        <v>82</v>
      </c>
      <c r="D475" s="487" t="str">
        <f t="shared" si="93"/>
        <v>1822</v>
      </c>
      <c r="E475" s="487">
        <v>511121200</v>
      </c>
      <c r="F475" s="488" t="str">
        <f>+G475&amp;H475</f>
        <v/>
      </c>
      <c r="G475" s="487"/>
      <c r="H475" s="487"/>
      <c r="I475" s="488" t="str">
        <f>+J475&amp;K475</f>
        <v/>
      </c>
      <c r="J475" s="487"/>
      <c r="K475" s="487"/>
      <c r="L475" s="488" t="str">
        <f>+M475&amp;N475</f>
        <v/>
      </c>
      <c r="M475" s="487"/>
      <c r="N475" s="487"/>
      <c r="O475" s="488" t="str">
        <f>+P475&amp;Q475</f>
        <v/>
      </c>
      <c r="P475" s="489"/>
      <c r="Q475" s="489"/>
      <c r="R475" s="592" t="str">
        <f>+S475&amp;T475</f>
        <v/>
      </c>
      <c r="S475" s="487"/>
      <c r="T475" s="487"/>
      <c r="U475" s="488" t="str">
        <f>+V475&amp;W475</f>
        <v/>
      </c>
      <c r="V475" s="489"/>
      <c r="W475" s="489"/>
      <c r="X475" s="488" t="str">
        <f>+Y475&amp;Z475</f>
        <v/>
      </c>
      <c r="Y475" s="489"/>
      <c r="Z475" s="489"/>
      <c r="AA475" s="490" t="str">
        <f>+AB475&amp;AC475</f>
        <v>222</v>
      </c>
      <c r="AB475" s="489">
        <v>22</v>
      </c>
      <c r="AC475" s="489">
        <v>2</v>
      </c>
      <c r="AD475" s="27">
        <v>111822</v>
      </c>
      <c r="AE475" s="27" t="s">
        <v>516</v>
      </c>
      <c r="AF475" s="432">
        <f>VLOOKUP(AD475,[5]Hoja1!$A$10:$K$1393,11,0)</f>
        <v>0</v>
      </c>
      <c r="AG475" s="432"/>
      <c r="AH475" s="432">
        <f t="shared" si="95"/>
        <v>0</v>
      </c>
      <c r="AL475" s="448"/>
      <c r="AM475" s="467">
        <f>VLOOKUP(AD475,[6]BV201101!$A$10:$A$1236,1,0)</f>
        <v>111822</v>
      </c>
    </row>
    <row r="476" spans="1:39" s="467" customFormat="1" ht="12.75" customHeight="1">
      <c r="A476" s="487" t="str">
        <f t="shared" si="79"/>
        <v>1</v>
      </c>
      <c r="B476" s="487" t="str">
        <f t="shared" si="91"/>
        <v>11</v>
      </c>
      <c r="C476" s="487" t="str">
        <f t="shared" si="92"/>
        <v>82</v>
      </c>
      <c r="D476" s="487" t="str">
        <f t="shared" si="93"/>
        <v>1823</v>
      </c>
      <c r="E476" s="487">
        <v>511121200</v>
      </c>
      <c r="F476" s="488" t="str">
        <f>+G476&amp;H476</f>
        <v/>
      </c>
      <c r="G476" s="487"/>
      <c r="H476" s="487"/>
      <c r="I476" s="488" t="str">
        <f>+J476&amp;K476</f>
        <v/>
      </c>
      <c r="J476" s="487"/>
      <c r="K476" s="487"/>
      <c r="L476" s="488" t="str">
        <f>+M476&amp;N476</f>
        <v/>
      </c>
      <c r="M476" s="487"/>
      <c r="N476" s="487"/>
      <c r="O476" s="488" t="str">
        <f>+P476&amp;Q476</f>
        <v/>
      </c>
      <c r="P476" s="489"/>
      <c r="Q476" s="489"/>
      <c r="R476" s="592" t="str">
        <f>+S476&amp;T476</f>
        <v/>
      </c>
      <c r="S476" s="487"/>
      <c r="T476" s="487"/>
      <c r="U476" s="488" t="str">
        <f>+V476&amp;W476</f>
        <v/>
      </c>
      <c r="V476" s="489"/>
      <c r="W476" s="489"/>
      <c r="X476" s="488" t="str">
        <f>+Y476&amp;Z476</f>
        <v/>
      </c>
      <c r="Y476" s="489"/>
      <c r="Z476" s="489"/>
      <c r="AA476" s="490" t="str">
        <f t="shared" si="94"/>
        <v>222</v>
      </c>
      <c r="AB476" s="489">
        <v>22</v>
      </c>
      <c r="AC476" s="489">
        <v>2</v>
      </c>
      <c r="AD476" s="27">
        <v>111823</v>
      </c>
      <c r="AE476" s="27" t="s">
        <v>517</v>
      </c>
      <c r="AF476" s="432">
        <f>VLOOKUP(AD476,[5]Hoja1!$A$10:$K$1393,11,0)</f>
        <v>0</v>
      </c>
      <c r="AG476" s="432"/>
      <c r="AH476" s="432">
        <f t="shared" si="95"/>
        <v>0</v>
      </c>
      <c r="AL476" s="448"/>
      <c r="AM476" s="467">
        <f>VLOOKUP(AD476,[6]BV201101!$A$10:$A$1236,1,0)</f>
        <v>111823</v>
      </c>
    </row>
    <row r="477" spans="1:39" s="467" customFormat="1" ht="12.75" customHeight="1">
      <c r="A477" s="487" t="str">
        <f t="shared" si="79"/>
        <v>1</v>
      </c>
      <c r="B477" s="487" t="str">
        <f t="shared" si="91"/>
        <v>11</v>
      </c>
      <c r="C477" s="487" t="str">
        <f t="shared" si="92"/>
        <v>82</v>
      </c>
      <c r="D477" s="487" t="str">
        <f t="shared" si="93"/>
        <v>1824</v>
      </c>
      <c r="E477" s="487">
        <v>511121200</v>
      </c>
      <c r="F477" s="488" t="str">
        <f>+G477&amp;H477</f>
        <v/>
      </c>
      <c r="G477" s="487"/>
      <c r="H477" s="487"/>
      <c r="I477" s="488" t="str">
        <f>+J477&amp;K477</f>
        <v/>
      </c>
      <c r="J477" s="487"/>
      <c r="K477" s="487"/>
      <c r="L477" s="488" t="str">
        <f>+M477&amp;N477</f>
        <v/>
      </c>
      <c r="M477" s="487"/>
      <c r="N477" s="487"/>
      <c r="O477" s="488" t="str">
        <f>+P477&amp;Q477</f>
        <v/>
      </c>
      <c r="P477" s="489"/>
      <c r="Q477" s="489"/>
      <c r="R477" s="592" t="str">
        <f>+S477&amp;T477</f>
        <v/>
      </c>
      <c r="S477" s="487"/>
      <c r="T477" s="487"/>
      <c r="U477" s="488" t="str">
        <f>+V477&amp;W477</f>
        <v/>
      </c>
      <c r="V477" s="489"/>
      <c r="W477" s="489"/>
      <c r="X477" s="488" t="str">
        <f>+Y477&amp;Z477</f>
        <v/>
      </c>
      <c r="Y477" s="489"/>
      <c r="Z477" s="489"/>
      <c r="AA477" s="490" t="str">
        <f t="shared" si="94"/>
        <v>222</v>
      </c>
      <c r="AB477" s="489">
        <v>22</v>
      </c>
      <c r="AC477" s="489">
        <v>2</v>
      </c>
      <c r="AD477" s="27">
        <v>111824</v>
      </c>
      <c r="AE477" s="27" t="s">
        <v>518</v>
      </c>
      <c r="AF477" s="432">
        <f>VLOOKUP(AD477,[5]Hoja1!$A$10:$K$1393,11,0)</f>
        <v>0</v>
      </c>
      <c r="AG477" s="432">
        <v>0</v>
      </c>
      <c r="AH477" s="432">
        <f t="shared" si="95"/>
        <v>0</v>
      </c>
      <c r="AL477" s="448"/>
      <c r="AM477" s="467">
        <f>VLOOKUP(AD477,[6]BV201101!$A$10:$A$1236,1,0)</f>
        <v>111824</v>
      </c>
    </row>
    <row r="478" spans="1:39" s="467" customFormat="1" ht="12.75" customHeight="1">
      <c r="A478" s="487" t="str">
        <f t="shared" si="79"/>
        <v>1</v>
      </c>
      <c r="B478" s="487" t="str">
        <f t="shared" si="91"/>
        <v>11</v>
      </c>
      <c r="C478" s="487" t="str">
        <f t="shared" si="92"/>
        <v>82</v>
      </c>
      <c r="D478" s="487" t="str">
        <f t="shared" si="93"/>
        <v>1825</v>
      </c>
      <c r="E478" s="487">
        <v>514340000</v>
      </c>
      <c r="F478" s="488"/>
      <c r="G478" s="487"/>
      <c r="H478" s="487"/>
      <c r="I478" s="488"/>
      <c r="J478" s="487"/>
      <c r="K478" s="487"/>
      <c r="L478" s="488"/>
      <c r="M478" s="487"/>
      <c r="N478" s="487"/>
      <c r="O478" s="488"/>
      <c r="P478" s="489"/>
      <c r="Q478" s="489"/>
      <c r="R478" s="592"/>
      <c r="S478" s="487"/>
      <c r="T478" s="487"/>
      <c r="U478" s="488"/>
      <c r="V478" s="489"/>
      <c r="W478" s="489"/>
      <c r="X478" s="488"/>
      <c r="Y478" s="489"/>
      <c r="Z478" s="489"/>
      <c r="AA478" s="490" t="str">
        <f>+AB478&amp;AC478</f>
        <v>2292</v>
      </c>
      <c r="AB478" s="489">
        <v>22</v>
      </c>
      <c r="AC478" s="489">
        <v>92</v>
      </c>
      <c r="AD478" s="27">
        <v>111825</v>
      </c>
      <c r="AE478" s="27" t="s">
        <v>2073</v>
      </c>
      <c r="AF478" s="432">
        <f>VLOOKUP(AD478,[5]Hoja1!$A$10:$K$1393,11,0)</f>
        <v>0</v>
      </c>
      <c r="AG478" s="432"/>
      <c r="AH478" s="432">
        <f t="shared" si="95"/>
        <v>0</v>
      </c>
      <c r="AL478" s="448"/>
      <c r="AM478" s="467">
        <f>VLOOKUP(AD478,[6]BV201101!$A$10:$A$1236,1,0)</f>
        <v>111825</v>
      </c>
    </row>
    <row r="479" spans="1:39" s="467" customFormat="1" ht="12.75" customHeight="1">
      <c r="A479" s="487" t="str">
        <f t="shared" si="79"/>
        <v>1</v>
      </c>
      <c r="B479" s="487" t="str">
        <f t="shared" si="91"/>
        <v>11</v>
      </c>
      <c r="C479" s="487" t="str">
        <f t="shared" si="92"/>
        <v>82</v>
      </c>
      <c r="D479" s="487" t="str">
        <f t="shared" si="93"/>
        <v>1826</v>
      </c>
      <c r="E479" s="487">
        <v>514320000</v>
      </c>
      <c r="F479" s="488" t="str">
        <f t="shared" ref="F479:F508" si="96">+G479&amp;H479</f>
        <v/>
      </c>
      <c r="G479" s="487"/>
      <c r="H479" s="487"/>
      <c r="I479" s="488" t="str">
        <f t="shared" ref="I479:I508" si="97">+J479&amp;K479</f>
        <v/>
      </c>
      <c r="J479" s="487"/>
      <c r="K479" s="487"/>
      <c r="L479" s="488" t="str">
        <f t="shared" ref="L479:L508" si="98">+M479&amp;N479</f>
        <v/>
      </c>
      <c r="M479" s="487"/>
      <c r="N479" s="487"/>
      <c r="O479" s="488" t="str">
        <f t="shared" ref="O479:O508" si="99">+P479&amp;Q479</f>
        <v/>
      </c>
      <c r="P479" s="489"/>
      <c r="Q479" s="489"/>
      <c r="R479" s="592" t="str">
        <f t="shared" ref="R479:R508" si="100">+S479&amp;T479</f>
        <v/>
      </c>
      <c r="S479" s="487"/>
      <c r="T479" s="487"/>
      <c r="U479" s="488" t="str">
        <f t="shared" ref="U479:U508" si="101">+V479&amp;W479</f>
        <v/>
      </c>
      <c r="V479" s="489"/>
      <c r="W479" s="489"/>
      <c r="X479" s="488" t="str">
        <f t="shared" ref="X479:X508" si="102">+Y479&amp;Z479</f>
        <v/>
      </c>
      <c r="Y479" s="489"/>
      <c r="Z479" s="489"/>
      <c r="AA479" s="490" t="str">
        <f t="shared" ref="AA479:AA508" si="103">+AB479&amp;AC479</f>
        <v/>
      </c>
      <c r="AB479" s="489"/>
      <c r="AC479" s="489"/>
      <c r="AD479" s="27">
        <v>111826</v>
      </c>
      <c r="AE479" s="27" t="s">
        <v>2074</v>
      </c>
      <c r="AF479" s="432">
        <f>VLOOKUP(AD479,[5]Hoja1!$A$10:$K$1393,11,0)</f>
        <v>0</v>
      </c>
      <c r="AG479" s="432"/>
      <c r="AH479" s="432">
        <f t="shared" si="95"/>
        <v>0</v>
      </c>
      <c r="AL479" s="448"/>
      <c r="AM479" s="467">
        <f>VLOOKUP(AD479,[6]BV201101!$A$10:$A$1236,1,0)</f>
        <v>111826</v>
      </c>
    </row>
    <row r="480" spans="1:39" s="467" customFormat="1" ht="12.75" customHeight="1">
      <c r="A480" s="487" t="str">
        <f t="shared" si="79"/>
        <v>1</v>
      </c>
      <c r="B480" s="487" t="str">
        <f t="shared" si="91"/>
        <v>11</v>
      </c>
      <c r="C480" s="487" t="str">
        <f t="shared" si="92"/>
        <v>82</v>
      </c>
      <c r="D480" s="487" t="str">
        <f t="shared" si="93"/>
        <v>1827</v>
      </c>
      <c r="E480" s="487">
        <v>511121200</v>
      </c>
      <c r="F480" s="488" t="str">
        <f t="shared" si="96"/>
        <v/>
      </c>
      <c r="G480" s="487"/>
      <c r="H480" s="487"/>
      <c r="I480" s="488" t="str">
        <f t="shared" si="97"/>
        <v/>
      </c>
      <c r="J480" s="487"/>
      <c r="K480" s="487"/>
      <c r="L480" s="488" t="str">
        <f t="shared" si="98"/>
        <v/>
      </c>
      <c r="M480" s="487"/>
      <c r="N480" s="487"/>
      <c r="O480" s="488" t="str">
        <f t="shared" si="99"/>
        <v/>
      </c>
      <c r="P480" s="489"/>
      <c r="Q480" s="489"/>
      <c r="R480" s="592" t="str">
        <f t="shared" si="100"/>
        <v/>
      </c>
      <c r="S480" s="487"/>
      <c r="T480" s="487"/>
      <c r="U480" s="488" t="str">
        <f t="shared" si="101"/>
        <v/>
      </c>
      <c r="V480" s="489"/>
      <c r="W480" s="489"/>
      <c r="X480" s="488" t="str">
        <f t="shared" si="102"/>
        <v/>
      </c>
      <c r="Y480" s="489"/>
      <c r="Z480" s="489"/>
      <c r="AA480" s="490" t="str">
        <f t="shared" si="103"/>
        <v>222</v>
      </c>
      <c r="AB480" s="489">
        <v>22</v>
      </c>
      <c r="AC480" s="489">
        <v>2</v>
      </c>
      <c r="AD480" s="27">
        <v>111827</v>
      </c>
      <c r="AE480" s="27" t="s">
        <v>2075</v>
      </c>
      <c r="AF480" s="432">
        <f>VLOOKUP(AD480,[5]Hoja1!$A$10:$K$1393,11,0)</f>
        <v>0</v>
      </c>
      <c r="AG480" s="432">
        <v>0</v>
      </c>
      <c r="AH480" s="432">
        <f t="shared" si="95"/>
        <v>0</v>
      </c>
      <c r="AJ480" s="445">
        <f>+AH480+AH481+AH482+AH561</f>
        <v>446817</v>
      </c>
      <c r="AK480" s="445">
        <f>+AJ480+AJ482</f>
        <v>446817</v>
      </c>
      <c r="AL480" s="448"/>
      <c r="AM480" s="467">
        <f>VLOOKUP(AD480,[6]BV201101!$A$10:$A$1236,1,0)</f>
        <v>111827</v>
      </c>
    </row>
    <row r="481" spans="1:39" s="467" customFormat="1" ht="12.75" customHeight="1">
      <c r="A481" s="487" t="str">
        <f t="shared" si="79"/>
        <v>1</v>
      </c>
      <c r="B481" s="487" t="str">
        <f t="shared" si="91"/>
        <v>11</v>
      </c>
      <c r="C481" s="487" t="str">
        <f t="shared" si="92"/>
        <v>82</v>
      </c>
      <c r="D481" s="487" t="str">
        <f t="shared" si="93"/>
        <v>1828</v>
      </c>
      <c r="E481" s="487">
        <v>514320000</v>
      </c>
      <c r="F481" s="488" t="str">
        <f t="shared" si="96"/>
        <v/>
      </c>
      <c r="G481" s="487"/>
      <c r="H481" s="487"/>
      <c r="I481" s="488" t="str">
        <f t="shared" si="97"/>
        <v/>
      </c>
      <c r="J481" s="487"/>
      <c r="K481" s="487"/>
      <c r="L481" s="488" t="str">
        <f t="shared" si="98"/>
        <v/>
      </c>
      <c r="M481" s="487"/>
      <c r="N481" s="487"/>
      <c r="O481" s="488" t="str">
        <f t="shared" si="99"/>
        <v/>
      </c>
      <c r="P481" s="489"/>
      <c r="Q481" s="489"/>
      <c r="R481" s="592" t="str">
        <f t="shared" si="100"/>
        <v/>
      </c>
      <c r="S481" s="487"/>
      <c r="T481" s="487"/>
      <c r="U481" s="488" t="str">
        <f t="shared" si="101"/>
        <v/>
      </c>
      <c r="V481" s="489"/>
      <c r="W481" s="489"/>
      <c r="X481" s="488" t="str">
        <f t="shared" si="102"/>
        <v/>
      </c>
      <c r="Y481" s="489"/>
      <c r="Z481" s="489"/>
      <c r="AA481" s="490" t="str">
        <f t="shared" si="103"/>
        <v/>
      </c>
      <c r="AB481" s="489"/>
      <c r="AC481" s="489"/>
      <c r="AD481" s="27">
        <v>111828</v>
      </c>
      <c r="AE481" s="27" t="s">
        <v>519</v>
      </c>
      <c r="AF481" s="432">
        <f>VLOOKUP(AD481,[5]Hoja1!$A$10:$K$1393,11,0)</f>
        <v>446817006</v>
      </c>
      <c r="AG481" s="432"/>
      <c r="AH481" s="432">
        <f t="shared" si="95"/>
        <v>446817</v>
      </c>
      <c r="AI481" s="445">
        <f>+AH481+AH499+AH513+AH516+AH517+AH526+AH529+AH541+AH455</f>
        <v>11789523</v>
      </c>
      <c r="AJ481" s="445">
        <f>+AH101+AH102</f>
        <v>48466033</v>
      </c>
      <c r="AK481" s="445">
        <f>+AK480+AJ484</f>
        <v>446817</v>
      </c>
      <c r="AL481" s="448"/>
      <c r="AM481" s="467">
        <f>VLOOKUP(AD481,[6]BV201101!$A$10:$A$1236,1,0)</f>
        <v>111828</v>
      </c>
    </row>
    <row r="482" spans="1:39" s="467" customFormat="1" ht="12.75" customHeight="1">
      <c r="A482" s="487" t="str">
        <f t="shared" si="79"/>
        <v>1</v>
      </c>
      <c r="B482" s="487" t="str">
        <f t="shared" si="91"/>
        <v>11</v>
      </c>
      <c r="C482" s="487" t="str">
        <f t="shared" si="92"/>
        <v>82</v>
      </c>
      <c r="D482" s="487" t="str">
        <f t="shared" si="93"/>
        <v>1829</v>
      </c>
      <c r="E482" s="487">
        <v>511121200</v>
      </c>
      <c r="F482" s="488" t="str">
        <f t="shared" si="96"/>
        <v/>
      </c>
      <c r="G482" s="487"/>
      <c r="H482" s="487"/>
      <c r="I482" s="488" t="str">
        <f t="shared" si="97"/>
        <v/>
      </c>
      <c r="J482" s="487"/>
      <c r="K482" s="487"/>
      <c r="L482" s="488" t="str">
        <f t="shared" si="98"/>
        <v/>
      </c>
      <c r="M482" s="487"/>
      <c r="N482" s="487"/>
      <c r="O482" s="488" t="str">
        <f t="shared" si="99"/>
        <v/>
      </c>
      <c r="P482" s="489"/>
      <c r="Q482" s="489"/>
      <c r="R482" s="592" t="str">
        <f t="shared" si="100"/>
        <v/>
      </c>
      <c r="S482" s="487"/>
      <c r="T482" s="487"/>
      <c r="U482" s="488" t="str">
        <f t="shared" si="101"/>
        <v/>
      </c>
      <c r="V482" s="489"/>
      <c r="W482" s="489"/>
      <c r="X482" s="488" t="str">
        <f t="shared" si="102"/>
        <v/>
      </c>
      <c r="Y482" s="489"/>
      <c r="Z482" s="489"/>
      <c r="AA482" s="490" t="str">
        <f t="shared" si="103"/>
        <v>222</v>
      </c>
      <c r="AB482" s="489">
        <v>22</v>
      </c>
      <c r="AC482" s="489">
        <v>2</v>
      </c>
      <c r="AD482" s="27">
        <v>111829</v>
      </c>
      <c r="AE482" s="27" t="s">
        <v>520</v>
      </c>
      <c r="AF482" s="432">
        <f>VLOOKUP(AD482,[5]Hoja1!$A$10:$K$1393,11,0)</f>
        <v>0</v>
      </c>
      <c r="AG482" s="432"/>
      <c r="AH482" s="432">
        <f t="shared" si="95"/>
        <v>0</v>
      </c>
      <c r="AJ482" s="445">
        <f>+AH576</f>
        <v>0</v>
      </c>
      <c r="AL482" s="448"/>
      <c r="AM482" s="467">
        <f>VLOOKUP(AD482,[6]BV201101!$A$10:$A$1236,1,0)</f>
        <v>111829</v>
      </c>
    </row>
    <row r="483" spans="1:39" s="467" customFormat="1" ht="12.75" customHeight="1">
      <c r="A483" s="487" t="str">
        <f t="shared" si="79"/>
        <v>1</v>
      </c>
      <c r="B483" s="487" t="str">
        <f t="shared" si="91"/>
        <v>11</v>
      </c>
      <c r="C483" s="487" t="str">
        <f t="shared" si="92"/>
        <v>83</v>
      </c>
      <c r="D483" s="487" t="str">
        <f t="shared" si="93"/>
        <v>1830</v>
      </c>
      <c r="E483" s="487">
        <v>514320000</v>
      </c>
      <c r="F483" s="488" t="str">
        <f t="shared" si="96"/>
        <v/>
      </c>
      <c r="G483" s="487"/>
      <c r="H483" s="487"/>
      <c r="I483" s="488" t="str">
        <f t="shared" si="97"/>
        <v/>
      </c>
      <c r="J483" s="487"/>
      <c r="K483" s="487"/>
      <c r="L483" s="488" t="str">
        <f t="shared" si="98"/>
        <v/>
      </c>
      <c r="M483" s="487"/>
      <c r="N483" s="487"/>
      <c r="O483" s="488" t="str">
        <f t="shared" si="99"/>
        <v/>
      </c>
      <c r="P483" s="489"/>
      <c r="Q483" s="489"/>
      <c r="R483" s="592" t="str">
        <f t="shared" si="100"/>
        <v/>
      </c>
      <c r="S483" s="487"/>
      <c r="T483" s="487"/>
      <c r="U483" s="488" t="str">
        <f t="shared" si="101"/>
        <v/>
      </c>
      <c r="V483" s="489"/>
      <c r="W483" s="489"/>
      <c r="X483" s="488" t="str">
        <f t="shared" si="102"/>
        <v/>
      </c>
      <c r="Y483" s="489"/>
      <c r="Z483" s="489"/>
      <c r="AA483" s="490" t="str">
        <f t="shared" si="103"/>
        <v/>
      </c>
      <c r="AB483" s="489"/>
      <c r="AC483" s="489"/>
      <c r="AD483" s="27">
        <v>111830</v>
      </c>
      <c r="AE483" s="27" t="s">
        <v>754</v>
      </c>
      <c r="AF483" s="432">
        <v>0</v>
      </c>
      <c r="AG483" s="432"/>
      <c r="AH483" s="432">
        <f t="shared" si="95"/>
        <v>0</v>
      </c>
      <c r="AJ483" s="445"/>
      <c r="AL483" s="448"/>
      <c r="AM483" s="467" t="e">
        <f>VLOOKUP(AD483,[6]BV201101!$A$10:$A$1236,1,0)</f>
        <v>#N/A</v>
      </c>
    </row>
    <row r="484" spans="1:39" s="467" customFormat="1" ht="12.75" customHeight="1">
      <c r="A484" s="487" t="str">
        <f t="shared" si="79"/>
        <v>1</v>
      </c>
      <c r="B484" s="487" t="str">
        <f t="shared" si="91"/>
        <v>11</v>
      </c>
      <c r="C484" s="487" t="str">
        <f t="shared" si="92"/>
        <v>83</v>
      </c>
      <c r="D484" s="487" t="str">
        <f t="shared" si="93"/>
        <v>1831</v>
      </c>
      <c r="E484" s="487">
        <v>514320000</v>
      </c>
      <c r="F484" s="488" t="str">
        <f t="shared" si="96"/>
        <v/>
      </c>
      <c r="G484" s="487"/>
      <c r="H484" s="487"/>
      <c r="I484" s="488" t="str">
        <f t="shared" si="97"/>
        <v/>
      </c>
      <c r="J484" s="487"/>
      <c r="K484" s="487"/>
      <c r="L484" s="488" t="str">
        <f t="shared" si="98"/>
        <v/>
      </c>
      <c r="M484" s="487"/>
      <c r="N484" s="487"/>
      <c r="O484" s="488" t="str">
        <f t="shared" si="99"/>
        <v/>
      </c>
      <c r="P484" s="489"/>
      <c r="Q484" s="489"/>
      <c r="R484" s="592" t="str">
        <f t="shared" si="100"/>
        <v/>
      </c>
      <c r="S484" s="487"/>
      <c r="T484" s="487"/>
      <c r="U484" s="488" t="str">
        <f t="shared" si="101"/>
        <v/>
      </c>
      <c r="V484" s="489"/>
      <c r="W484" s="489"/>
      <c r="X484" s="488" t="str">
        <f t="shared" si="102"/>
        <v/>
      </c>
      <c r="Y484" s="489"/>
      <c r="Z484" s="489"/>
      <c r="AA484" s="490" t="str">
        <f t="shared" si="103"/>
        <v/>
      </c>
      <c r="AB484" s="489"/>
      <c r="AC484" s="489"/>
      <c r="AD484" s="27">
        <v>111831</v>
      </c>
      <c r="AE484" s="27" t="s">
        <v>55</v>
      </c>
      <c r="AF484" s="432">
        <f>VLOOKUP(AD484,[5]Hoja1!$A$10:$K$1393,11,0)</f>
        <v>0</v>
      </c>
      <c r="AG484" s="432"/>
      <c r="AH484" s="432">
        <f t="shared" si="95"/>
        <v>0</v>
      </c>
      <c r="AJ484" s="445">
        <f>+AH563</f>
        <v>0</v>
      </c>
      <c r="AL484" s="448"/>
      <c r="AM484" s="467">
        <f>VLOOKUP(AD484,[6]BV201101!$A$10:$A$1236,1,0)</f>
        <v>111831</v>
      </c>
    </row>
    <row r="485" spans="1:39" s="467" customFormat="1" ht="12.75" customHeight="1">
      <c r="A485" s="487" t="str">
        <f t="shared" ref="A485:A548" si="104">+LEFT($AD485,1)</f>
        <v>1</v>
      </c>
      <c r="B485" s="487" t="str">
        <f t="shared" si="91"/>
        <v>11</v>
      </c>
      <c r="C485" s="487" t="str">
        <f t="shared" si="92"/>
        <v>83</v>
      </c>
      <c r="D485" s="487" t="str">
        <f t="shared" si="93"/>
        <v>1832</v>
      </c>
      <c r="E485" s="487">
        <v>511121200</v>
      </c>
      <c r="F485" s="488" t="str">
        <f t="shared" si="96"/>
        <v/>
      </c>
      <c r="G485" s="487"/>
      <c r="H485" s="487"/>
      <c r="I485" s="488" t="str">
        <f t="shared" si="97"/>
        <v/>
      </c>
      <c r="J485" s="487"/>
      <c r="K485" s="487"/>
      <c r="L485" s="488" t="str">
        <f t="shared" si="98"/>
        <v/>
      </c>
      <c r="M485" s="487"/>
      <c r="N485" s="487"/>
      <c r="O485" s="488" t="str">
        <f t="shared" si="99"/>
        <v/>
      </c>
      <c r="P485" s="489"/>
      <c r="Q485" s="489"/>
      <c r="R485" s="592" t="str">
        <f t="shared" si="100"/>
        <v/>
      </c>
      <c r="S485" s="487"/>
      <c r="T485" s="487"/>
      <c r="U485" s="488" t="str">
        <f t="shared" si="101"/>
        <v/>
      </c>
      <c r="V485" s="489"/>
      <c r="W485" s="489"/>
      <c r="X485" s="488" t="str">
        <f t="shared" si="102"/>
        <v/>
      </c>
      <c r="Y485" s="489"/>
      <c r="Z485" s="489"/>
      <c r="AA485" s="490" t="str">
        <f t="shared" si="103"/>
        <v>222</v>
      </c>
      <c r="AB485" s="489">
        <v>22</v>
      </c>
      <c r="AC485" s="489">
        <v>2</v>
      </c>
      <c r="AD485" s="27">
        <v>111832</v>
      </c>
      <c r="AE485" s="27" t="s">
        <v>2076</v>
      </c>
      <c r="AF485" s="432">
        <f>VLOOKUP(AD485,[5]Hoja1!$A$10:$K$1393,11,0)</f>
        <v>0</v>
      </c>
      <c r="AG485" s="432"/>
      <c r="AH485" s="432">
        <f t="shared" si="95"/>
        <v>0</v>
      </c>
      <c r="AJ485" s="445"/>
      <c r="AL485" s="448"/>
      <c r="AM485" s="467">
        <f>VLOOKUP(AD485,[6]BV201101!$A$10:$A$1236,1,0)</f>
        <v>111832</v>
      </c>
    </row>
    <row r="486" spans="1:39" s="467" customFormat="1" ht="12.75" customHeight="1">
      <c r="A486" s="487" t="str">
        <f t="shared" si="104"/>
        <v>1</v>
      </c>
      <c r="B486" s="487" t="str">
        <f t="shared" si="91"/>
        <v>11</v>
      </c>
      <c r="C486" s="487" t="str">
        <f t="shared" si="92"/>
        <v>83</v>
      </c>
      <c r="D486" s="487" t="str">
        <f t="shared" si="93"/>
        <v>1833</v>
      </c>
      <c r="E486" s="487">
        <v>514340000</v>
      </c>
      <c r="F486" s="488" t="str">
        <f t="shared" si="96"/>
        <v/>
      </c>
      <c r="G486" s="487"/>
      <c r="H486" s="487"/>
      <c r="I486" s="488" t="str">
        <f t="shared" si="97"/>
        <v/>
      </c>
      <c r="J486" s="487"/>
      <c r="K486" s="487"/>
      <c r="L486" s="488" t="str">
        <f t="shared" si="98"/>
        <v/>
      </c>
      <c r="M486" s="487"/>
      <c r="N486" s="487"/>
      <c r="O486" s="488" t="str">
        <f t="shared" si="99"/>
        <v/>
      </c>
      <c r="P486" s="489"/>
      <c r="Q486" s="489"/>
      <c r="R486" s="592" t="str">
        <f t="shared" si="100"/>
        <v/>
      </c>
      <c r="S486" s="487"/>
      <c r="T486" s="487"/>
      <c r="U486" s="488" t="str">
        <f t="shared" si="101"/>
        <v/>
      </c>
      <c r="V486" s="489"/>
      <c r="W486" s="489"/>
      <c r="X486" s="488" t="str">
        <f t="shared" si="102"/>
        <v/>
      </c>
      <c r="Y486" s="489"/>
      <c r="Z486" s="489"/>
      <c r="AA486" s="490" t="str">
        <f t="shared" si="103"/>
        <v>2292</v>
      </c>
      <c r="AB486" s="489">
        <v>22</v>
      </c>
      <c r="AC486" s="489">
        <v>92</v>
      </c>
      <c r="AD486" s="27">
        <v>111833</v>
      </c>
      <c r="AE486" s="27" t="s">
        <v>506</v>
      </c>
      <c r="AF486" s="432">
        <f>VLOOKUP(AD486,[5]Hoja1!$A$10:$K$1393,11,0)</f>
        <v>0</v>
      </c>
      <c r="AG486" s="432"/>
      <c r="AH486" s="432">
        <f t="shared" si="95"/>
        <v>0</v>
      </c>
      <c r="AJ486" s="445"/>
      <c r="AL486" s="448"/>
      <c r="AM486" s="467">
        <f>VLOOKUP(AD486,[6]BV201101!$A$10:$A$1236,1,0)</f>
        <v>111833</v>
      </c>
    </row>
    <row r="487" spans="1:39" s="467" customFormat="1" ht="12.75" customHeight="1">
      <c r="A487" s="487" t="str">
        <f t="shared" si="104"/>
        <v>1</v>
      </c>
      <c r="B487" s="487" t="str">
        <f t="shared" si="91"/>
        <v>11</v>
      </c>
      <c r="C487" s="487" t="str">
        <f t="shared" si="92"/>
        <v>83</v>
      </c>
      <c r="D487" s="487" t="str">
        <f t="shared" si="93"/>
        <v>1834</v>
      </c>
      <c r="E487" s="487">
        <v>514320000</v>
      </c>
      <c r="F487" s="488" t="str">
        <f t="shared" si="96"/>
        <v/>
      </c>
      <c r="G487" s="487"/>
      <c r="H487" s="487"/>
      <c r="I487" s="488" t="str">
        <f t="shared" si="97"/>
        <v/>
      </c>
      <c r="J487" s="487"/>
      <c r="K487" s="487"/>
      <c r="L487" s="488" t="str">
        <f t="shared" si="98"/>
        <v/>
      </c>
      <c r="M487" s="487"/>
      <c r="N487" s="487"/>
      <c r="O487" s="488" t="str">
        <f t="shared" si="99"/>
        <v/>
      </c>
      <c r="P487" s="489"/>
      <c r="Q487" s="489"/>
      <c r="R487" s="592" t="str">
        <f t="shared" si="100"/>
        <v/>
      </c>
      <c r="S487" s="487"/>
      <c r="T487" s="487"/>
      <c r="U487" s="488" t="str">
        <f t="shared" si="101"/>
        <v/>
      </c>
      <c r="V487" s="489"/>
      <c r="W487" s="489"/>
      <c r="X487" s="488" t="str">
        <f t="shared" si="102"/>
        <v/>
      </c>
      <c r="Y487" s="489"/>
      <c r="Z487" s="489"/>
      <c r="AA487" s="490" t="str">
        <f t="shared" si="103"/>
        <v/>
      </c>
      <c r="AB487" s="489"/>
      <c r="AC487" s="489"/>
      <c r="AD487" s="27">
        <v>111834</v>
      </c>
      <c r="AE487" s="27" t="s">
        <v>472</v>
      </c>
      <c r="AF487" s="432">
        <f>VLOOKUP(AD487,[5]Hoja1!$A$10:$K$1393,11,0)</f>
        <v>0</v>
      </c>
      <c r="AG487" s="432"/>
      <c r="AH487" s="432">
        <f t="shared" si="95"/>
        <v>0</v>
      </c>
      <c r="AJ487" s="445"/>
      <c r="AL487" s="448"/>
      <c r="AM487" s="467">
        <f>VLOOKUP(AD487,[6]BV201101!$A$10:$A$1236,1,0)</f>
        <v>111834</v>
      </c>
    </row>
    <row r="488" spans="1:39" s="467" customFormat="1" ht="12.75" customHeight="1">
      <c r="A488" s="487" t="str">
        <f t="shared" si="104"/>
        <v>1</v>
      </c>
      <c r="B488" s="487" t="str">
        <f t="shared" si="91"/>
        <v>11</v>
      </c>
      <c r="C488" s="487" t="str">
        <f t="shared" si="92"/>
        <v>83</v>
      </c>
      <c r="D488" s="487" t="str">
        <f t="shared" si="93"/>
        <v>1835</v>
      </c>
      <c r="E488" s="487">
        <v>514320000</v>
      </c>
      <c r="F488" s="488" t="str">
        <f t="shared" si="96"/>
        <v/>
      </c>
      <c r="G488" s="487"/>
      <c r="H488" s="487"/>
      <c r="I488" s="488" t="str">
        <f t="shared" si="97"/>
        <v/>
      </c>
      <c r="J488" s="487"/>
      <c r="K488" s="487"/>
      <c r="L488" s="488" t="str">
        <f t="shared" si="98"/>
        <v/>
      </c>
      <c r="M488" s="487"/>
      <c r="N488" s="487"/>
      <c r="O488" s="488" t="str">
        <f t="shared" si="99"/>
        <v/>
      </c>
      <c r="P488" s="489"/>
      <c r="Q488" s="489"/>
      <c r="R488" s="592" t="str">
        <f t="shared" si="100"/>
        <v/>
      </c>
      <c r="S488" s="487"/>
      <c r="T488" s="487"/>
      <c r="U488" s="488" t="str">
        <f t="shared" si="101"/>
        <v/>
      </c>
      <c r="V488" s="489"/>
      <c r="W488" s="489"/>
      <c r="X488" s="488" t="str">
        <f t="shared" si="102"/>
        <v/>
      </c>
      <c r="Y488" s="489"/>
      <c r="Z488" s="489"/>
      <c r="AA488" s="490" t="str">
        <f t="shared" si="103"/>
        <v/>
      </c>
      <c r="AB488" s="489"/>
      <c r="AC488" s="489"/>
      <c r="AD488" s="27">
        <v>111835</v>
      </c>
      <c r="AE488" s="27" t="s">
        <v>473</v>
      </c>
      <c r="AF488" s="432">
        <f>VLOOKUP(AD488,[5]Hoja1!$A$10:$K$1393,11,0)</f>
        <v>0</v>
      </c>
      <c r="AG488" s="432"/>
      <c r="AH488" s="432">
        <f t="shared" si="95"/>
        <v>0</v>
      </c>
      <c r="AJ488" s="445"/>
      <c r="AL488" s="448"/>
      <c r="AM488" s="467">
        <f>VLOOKUP(AD488,[6]BV201101!$A$10:$A$1236,1,0)</f>
        <v>111835</v>
      </c>
    </row>
    <row r="489" spans="1:39" s="467" customFormat="1" ht="12.75" customHeight="1">
      <c r="A489" s="487" t="str">
        <f t="shared" si="104"/>
        <v>1</v>
      </c>
      <c r="B489" s="487" t="str">
        <f t="shared" si="91"/>
        <v>11</v>
      </c>
      <c r="C489" s="487" t="str">
        <f t="shared" si="92"/>
        <v>83</v>
      </c>
      <c r="D489" s="487" t="str">
        <f t="shared" si="93"/>
        <v>1836</v>
      </c>
      <c r="E489" s="487">
        <v>511122100</v>
      </c>
      <c r="F489" s="488" t="str">
        <f t="shared" si="96"/>
        <v/>
      </c>
      <c r="G489" s="487"/>
      <c r="H489" s="487"/>
      <c r="I489" s="488" t="str">
        <f t="shared" si="97"/>
        <v/>
      </c>
      <c r="J489" s="487"/>
      <c r="K489" s="487"/>
      <c r="L489" s="488" t="str">
        <f t="shared" si="98"/>
        <v/>
      </c>
      <c r="M489" s="487"/>
      <c r="N489" s="487"/>
      <c r="O489" s="488" t="str">
        <f t="shared" si="99"/>
        <v/>
      </c>
      <c r="P489" s="489"/>
      <c r="Q489" s="489"/>
      <c r="R489" s="592" t="str">
        <f t="shared" si="100"/>
        <v/>
      </c>
      <c r="S489" s="487"/>
      <c r="T489" s="487"/>
      <c r="U489" s="488" t="str">
        <f t="shared" si="101"/>
        <v/>
      </c>
      <c r="V489" s="489"/>
      <c r="W489" s="489"/>
      <c r="X489" s="488" t="str">
        <f t="shared" si="102"/>
        <v/>
      </c>
      <c r="Y489" s="489"/>
      <c r="Z489" s="489"/>
      <c r="AA489" s="490" t="str">
        <f t="shared" si="103"/>
        <v>222</v>
      </c>
      <c r="AB489" s="489">
        <v>22</v>
      </c>
      <c r="AC489" s="489">
        <v>2</v>
      </c>
      <c r="AD489" s="927">
        <v>111836</v>
      </c>
      <c r="AE489" s="1021" t="s">
        <v>3064</v>
      </c>
      <c r="AF489" s="432">
        <f>VLOOKUP(AD489,[5]Hoja1!$A$10:$K$1393,11,0)</f>
        <v>0</v>
      </c>
      <c r="AG489" s="432"/>
      <c r="AH489" s="432">
        <f t="shared" si="95"/>
        <v>0</v>
      </c>
      <c r="AJ489" s="445"/>
      <c r="AL489" s="448"/>
      <c r="AM489" s="467">
        <f>VLOOKUP(AD489,[6]BV201101!$A$10:$A$1236,1,0)</f>
        <v>111836</v>
      </c>
    </row>
    <row r="490" spans="1:39" s="467" customFormat="1" ht="12.75" customHeight="1">
      <c r="A490" s="487" t="str">
        <f t="shared" si="104"/>
        <v>1</v>
      </c>
      <c r="B490" s="487" t="str">
        <f t="shared" si="91"/>
        <v>11</v>
      </c>
      <c r="C490" s="487" t="str">
        <f t="shared" si="92"/>
        <v>83</v>
      </c>
      <c r="D490" s="487" t="str">
        <f t="shared" si="93"/>
        <v>1837</v>
      </c>
      <c r="E490" s="487">
        <v>511122100</v>
      </c>
      <c r="F490" s="488" t="str">
        <f>+G490&amp;H490</f>
        <v/>
      </c>
      <c r="G490" s="487"/>
      <c r="H490" s="487"/>
      <c r="I490" s="488" t="str">
        <f>+J490&amp;K490</f>
        <v/>
      </c>
      <c r="J490" s="487"/>
      <c r="K490" s="487"/>
      <c r="L490" s="488" t="str">
        <f>+M490&amp;N490</f>
        <v/>
      </c>
      <c r="M490" s="487"/>
      <c r="N490" s="487"/>
      <c r="O490" s="488" t="str">
        <f>+P490&amp;Q490</f>
        <v/>
      </c>
      <c r="P490" s="489"/>
      <c r="Q490" s="489"/>
      <c r="R490" s="592" t="str">
        <f>+S490&amp;T490</f>
        <v/>
      </c>
      <c r="S490" s="487"/>
      <c r="T490" s="487"/>
      <c r="U490" s="488" t="str">
        <f>+V490&amp;W490</f>
        <v/>
      </c>
      <c r="V490" s="489"/>
      <c r="W490" s="489"/>
      <c r="X490" s="488" t="str">
        <f>+Y490&amp;Z490</f>
        <v/>
      </c>
      <c r="Y490" s="489"/>
      <c r="Z490" s="489"/>
      <c r="AA490" s="490" t="str">
        <f>+AB490&amp;AC490</f>
        <v>222</v>
      </c>
      <c r="AB490" s="489">
        <v>22</v>
      </c>
      <c r="AC490" s="489">
        <v>2</v>
      </c>
      <c r="AD490" s="927">
        <v>111837</v>
      </c>
      <c r="AE490" s="1021" t="s">
        <v>3065</v>
      </c>
      <c r="AF490" s="432">
        <f>VLOOKUP(AD490,[5]Hoja1!$A$10:$K$1393,11,0)</f>
        <v>76938038</v>
      </c>
      <c r="AG490" s="432"/>
      <c r="AH490" s="432">
        <f t="shared" si="95"/>
        <v>76938</v>
      </c>
      <c r="AJ490" s="445"/>
      <c r="AL490" s="448"/>
      <c r="AM490" s="467">
        <f>VLOOKUP(AD490,[6]BV201101!$A$10:$A$1236,1,0)</f>
        <v>111837</v>
      </c>
    </row>
    <row r="491" spans="1:39" s="467" customFormat="1" ht="12.75" customHeight="1">
      <c r="A491" s="487" t="str">
        <f t="shared" si="104"/>
        <v>1</v>
      </c>
      <c r="B491" s="487" t="str">
        <f t="shared" si="91"/>
        <v>11</v>
      </c>
      <c r="C491" s="487" t="str">
        <f t="shared" si="92"/>
        <v>83</v>
      </c>
      <c r="D491" s="487" t="str">
        <f t="shared" si="93"/>
        <v>1838</v>
      </c>
      <c r="E491" s="487">
        <v>514320000</v>
      </c>
      <c r="F491" s="488" t="str">
        <f t="shared" si="96"/>
        <v/>
      </c>
      <c r="G491" s="487"/>
      <c r="H491" s="487"/>
      <c r="I491" s="488" t="str">
        <f t="shared" si="97"/>
        <v/>
      </c>
      <c r="J491" s="487"/>
      <c r="K491" s="487"/>
      <c r="L491" s="488" t="str">
        <f t="shared" si="98"/>
        <v/>
      </c>
      <c r="M491" s="487"/>
      <c r="N491" s="487"/>
      <c r="O491" s="488" t="str">
        <f t="shared" si="99"/>
        <v/>
      </c>
      <c r="P491" s="489"/>
      <c r="Q491" s="489"/>
      <c r="R491" s="592" t="str">
        <f t="shared" si="100"/>
        <v/>
      </c>
      <c r="S491" s="487"/>
      <c r="T491" s="487"/>
      <c r="U491" s="488" t="str">
        <f t="shared" si="101"/>
        <v/>
      </c>
      <c r="V491" s="489"/>
      <c r="W491" s="489"/>
      <c r="X491" s="488" t="str">
        <f t="shared" si="102"/>
        <v/>
      </c>
      <c r="Y491" s="489"/>
      <c r="Z491" s="489"/>
      <c r="AA491" s="490" t="str">
        <f t="shared" si="103"/>
        <v/>
      </c>
      <c r="AB491" s="489"/>
      <c r="AC491" s="489"/>
      <c r="AD491" s="27">
        <v>111838</v>
      </c>
      <c r="AE491" s="27" t="s">
        <v>1306</v>
      </c>
      <c r="AF491" s="432">
        <f>VLOOKUP(AD491,[5]Hoja1!$A$10:$K$1393,11,0)</f>
        <v>0</v>
      </c>
      <c r="AG491" s="432"/>
      <c r="AH491" s="432">
        <f t="shared" si="95"/>
        <v>0</v>
      </c>
      <c r="AJ491" s="445"/>
      <c r="AL491" s="448"/>
      <c r="AM491" s="467">
        <f>VLOOKUP(AD491,[6]BV201101!$A$10:$A$1236,1,0)</f>
        <v>111838</v>
      </c>
    </row>
    <row r="492" spans="1:39" s="467" customFormat="1" ht="12.75" customHeight="1">
      <c r="A492" s="487" t="str">
        <f t="shared" si="104"/>
        <v>1</v>
      </c>
      <c r="B492" s="487" t="str">
        <f t="shared" si="91"/>
        <v>11</v>
      </c>
      <c r="C492" s="487" t="str">
        <f t="shared" si="92"/>
        <v>83</v>
      </c>
      <c r="D492" s="487" t="str">
        <f t="shared" si="93"/>
        <v>1839</v>
      </c>
      <c r="E492" s="487">
        <v>514320000</v>
      </c>
      <c r="F492" s="488" t="str">
        <f t="shared" si="96"/>
        <v/>
      </c>
      <c r="G492" s="487"/>
      <c r="H492" s="487"/>
      <c r="I492" s="488" t="str">
        <f t="shared" si="97"/>
        <v/>
      </c>
      <c r="J492" s="487"/>
      <c r="K492" s="487"/>
      <c r="L492" s="488" t="str">
        <f t="shared" si="98"/>
        <v/>
      </c>
      <c r="M492" s="487"/>
      <c r="N492" s="487"/>
      <c r="O492" s="488" t="str">
        <f t="shared" si="99"/>
        <v/>
      </c>
      <c r="P492" s="489"/>
      <c r="Q492" s="489"/>
      <c r="R492" s="592" t="str">
        <f t="shared" si="100"/>
        <v/>
      </c>
      <c r="S492" s="487"/>
      <c r="T492" s="487"/>
      <c r="U492" s="488" t="str">
        <f t="shared" si="101"/>
        <v/>
      </c>
      <c r="V492" s="489"/>
      <c r="W492" s="489"/>
      <c r="X492" s="488" t="str">
        <f t="shared" si="102"/>
        <v/>
      </c>
      <c r="Y492" s="489"/>
      <c r="Z492" s="489"/>
      <c r="AA492" s="490" t="str">
        <f t="shared" si="103"/>
        <v/>
      </c>
      <c r="AB492" s="489"/>
      <c r="AC492" s="489"/>
      <c r="AD492" s="27">
        <v>111839</v>
      </c>
      <c r="AE492" s="27" t="s">
        <v>2077</v>
      </c>
      <c r="AF492" s="432">
        <f>VLOOKUP(AD492,[5]Hoja1!$A$10:$K$1393,11,0)</f>
        <v>0</v>
      </c>
      <c r="AG492" s="432"/>
      <c r="AH492" s="432">
        <f t="shared" si="95"/>
        <v>0</v>
      </c>
      <c r="AJ492" s="445"/>
      <c r="AL492" s="448"/>
      <c r="AM492" s="467">
        <f>VLOOKUP(AD492,[6]BV201101!$A$10:$A$1236,1,0)</f>
        <v>111839</v>
      </c>
    </row>
    <row r="493" spans="1:39" s="467" customFormat="1" ht="12.75" customHeight="1">
      <c r="A493" s="487" t="str">
        <f t="shared" si="104"/>
        <v>1</v>
      </c>
      <c r="B493" s="487" t="str">
        <f t="shared" si="91"/>
        <v>11</v>
      </c>
      <c r="C493" s="487" t="str">
        <f t="shared" si="92"/>
        <v>84</v>
      </c>
      <c r="D493" s="487" t="str">
        <f t="shared" si="93"/>
        <v>1840</v>
      </c>
      <c r="E493" s="487">
        <v>514320000</v>
      </c>
      <c r="F493" s="488" t="str">
        <f t="shared" si="96"/>
        <v/>
      </c>
      <c r="G493" s="487"/>
      <c r="H493" s="487"/>
      <c r="I493" s="488" t="str">
        <f t="shared" si="97"/>
        <v/>
      </c>
      <c r="J493" s="487"/>
      <c r="K493" s="487"/>
      <c r="L493" s="488" t="str">
        <f t="shared" si="98"/>
        <v/>
      </c>
      <c r="M493" s="487"/>
      <c r="N493" s="487"/>
      <c r="O493" s="488" t="str">
        <f t="shared" si="99"/>
        <v/>
      </c>
      <c r="P493" s="489"/>
      <c r="Q493" s="489"/>
      <c r="R493" s="592" t="str">
        <f t="shared" si="100"/>
        <v/>
      </c>
      <c r="S493" s="487"/>
      <c r="T493" s="487"/>
      <c r="U493" s="488" t="str">
        <f t="shared" si="101"/>
        <v/>
      </c>
      <c r="V493" s="489"/>
      <c r="W493" s="489"/>
      <c r="X493" s="488" t="str">
        <f t="shared" si="102"/>
        <v/>
      </c>
      <c r="Y493" s="489"/>
      <c r="Z493" s="489"/>
      <c r="AA493" s="490" t="str">
        <f t="shared" si="103"/>
        <v/>
      </c>
      <c r="AB493" s="489"/>
      <c r="AC493" s="489"/>
      <c r="AD493" s="27">
        <v>111840</v>
      </c>
      <c r="AE493" s="27" t="s">
        <v>1480</v>
      </c>
      <c r="AF493" s="432">
        <f>VLOOKUP(AD493,[5]Hoja1!$A$10:$K$1393,11,0)</f>
        <v>0</v>
      </c>
      <c r="AG493" s="432"/>
      <c r="AH493" s="432">
        <f t="shared" si="95"/>
        <v>0</v>
      </c>
      <c r="AJ493" s="445"/>
      <c r="AL493" s="448"/>
      <c r="AM493" s="467">
        <f>VLOOKUP(AD493,[6]BV201101!$A$10:$A$1236,1,0)</f>
        <v>111840</v>
      </c>
    </row>
    <row r="494" spans="1:39" s="467" customFormat="1" ht="12.75" customHeight="1">
      <c r="A494" s="487" t="str">
        <f t="shared" si="104"/>
        <v>1</v>
      </c>
      <c r="B494" s="487" t="str">
        <f t="shared" si="91"/>
        <v>11</v>
      </c>
      <c r="C494" s="487" t="str">
        <f t="shared" si="92"/>
        <v>84</v>
      </c>
      <c r="D494" s="487" t="str">
        <f t="shared" si="93"/>
        <v>1841</v>
      </c>
      <c r="E494" s="487">
        <v>514320000</v>
      </c>
      <c r="F494" s="488" t="str">
        <f t="shared" si="96"/>
        <v/>
      </c>
      <c r="G494" s="487"/>
      <c r="H494" s="487"/>
      <c r="I494" s="488" t="str">
        <f t="shared" si="97"/>
        <v/>
      </c>
      <c r="J494" s="487"/>
      <c r="K494" s="487"/>
      <c r="L494" s="488" t="str">
        <f t="shared" si="98"/>
        <v/>
      </c>
      <c r="M494" s="487"/>
      <c r="N494" s="487"/>
      <c r="O494" s="488" t="str">
        <f t="shared" si="99"/>
        <v/>
      </c>
      <c r="P494" s="489"/>
      <c r="Q494" s="489"/>
      <c r="R494" s="592" t="str">
        <f t="shared" si="100"/>
        <v/>
      </c>
      <c r="S494" s="487"/>
      <c r="T494" s="487"/>
      <c r="U494" s="488" t="str">
        <f t="shared" si="101"/>
        <v/>
      </c>
      <c r="V494" s="489"/>
      <c r="W494" s="489"/>
      <c r="X494" s="488" t="str">
        <f t="shared" si="102"/>
        <v/>
      </c>
      <c r="Y494" s="489"/>
      <c r="Z494" s="489"/>
      <c r="AA494" s="490" t="str">
        <f t="shared" si="103"/>
        <v/>
      </c>
      <c r="AB494" s="489"/>
      <c r="AC494" s="489"/>
      <c r="AD494" s="27">
        <v>111841</v>
      </c>
      <c r="AE494" s="27" t="s">
        <v>1720</v>
      </c>
      <c r="AF494" s="432">
        <f>VLOOKUP(AD494,[5]Hoja1!$A$10:$K$1393,11,0)</f>
        <v>0</v>
      </c>
      <c r="AG494" s="432"/>
      <c r="AH494" s="432">
        <f t="shared" si="95"/>
        <v>0</v>
      </c>
      <c r="AJ494" s="445"/>
      <c r="AL494" s="448"/>
      <c r="AM494" s="467">
        <f>VLOOKUP(AD494,[6]BV201101!$A$10:$A$1236,1,0)</f>
        <v>111841</v>
      </c>
    </row>
    <row r="495" spans="1:39" s="467" customFormat="1" ht="12.75" customHeight="1">
      <c r="A495" s="487" t="str">
        <f t="shared" si="104"/>
        <v>1</v>
      </c>
      <c r="B495" s="487" t="str">
        <f t="shared" si="91"/>
        <v>11</v>
      </c>
      <c r="C495" s="487" t="str">
        <f t="shared" si="92"/>
        <v>84</v>
      </c>
      <c r="D495" s="487" t="str">
        <f t="shared" si="93"/>
        <v>1842</v>
      </c>
      <c r="E495" s="487">
        <v>511121200</v>
      </c>
      <c r="F495" s="488" t="str">
        <f t="shared" si="96"/>
        <v/>
      </c>
      <c r="G495" s="487"/>
      <c r="H495" s="487"/>
      <c r="I495" s="488" t="str">
        <f t="shared" si="97"/>
        <v/>
      </c>
      <c r="J495" s="487"/>
      <c r="K495" s="487"/>
      <c r="L495" s="488" t="str">
        <f t="shared" si="98"/>
        <v/>
      </c>
      <c r="M495" s="487"/>
      <c r="N495" s="487"/>
      <c r="O495" s="488" t="str">
        <f t="shared" si="99"/>
        <v/>
      </c>
      <c r="P495" s="489"/>
      <c r="Q495" s="489"/>
      <c r="R495" s="592" t="str">
        <f t="shared" si="100"/>
        <v/>
      </c>
      <c r="S495" s="487"/>
      <c r="T495" s="487"/>
      <c r="U495" s="488" t="str">
        <f t="shared" si="101"/>
        <v/>
      </c>
      <c r="V495" s="489"/>
      <c r="W495" s="489"/>
      <c r="X495" s="488" t="str">
        <f t="shared" si="102"/>
        <v/>
      </c>
      <c r="Y495" s="489"/>
      <c r="Z495" s="489"/>
      <c r="AA495" s="490" t="str">
        <f t="shared" si="103"/>
        <v>222</v>
      </c>
      <c r="AB495" s="489">
        <v>22</v>
      </c>
      <c r="AC495" s="489">
        <v>2</v>
      </c>
      <c r="AD495" s="27">
        <v>111842</v>
      </c>
      <c r="AE495" s="27" t="s">
        <v>2078</v>
      </c>
      <c r="AF495" s="432">
        <f>VLOOKUP(AD495,[5]Hoja1!$A$10:$K$1393,11,0)</f>
        <v>5163517959</v>
      </c>
      <c r="AG495" s="432"/>
      <c r="AH495" s="432">
        <f t="shared" si="95"/>
        <v>5163518</v>
      </c>
      <c r="AJ495" s="445"/>
      <c r="AL495" s="448"/>
      <c r="AM495" s="467">
        <f>VLOOKUP(AD495,[6]BV201101!$A$10:$A$1236,1,0)</f>
        <v>111842</v>
      </c>
    </row>
    <row r="496" spans="1:39" s="467" customFormat="1" ht="12.75" customHeight="1">
      <c r="A496" s="487" t="str">
        <f t="shared" si="104"/>
        <v>1</v>
      </c>
      <c r="B496" s="487" t="str">
        <f t="shared" si="91"/>
        <v>11</v>
      </c>
      <c r="C496" s="487" t="str">
        <f t="shared" si="92"/>
        <v>84</v>
      </c>
      <c r="D496" s="487" t="str">
        <f t="shared" si="93"/>
        <v>1843</v>
      </c>
      <c r="E496" s="487">
        <v>511121200</v>
      </c>
      <c r="F496" s="488" t="str">
        <f t="shared" si="96"/>
        <v/>
      </c>
      <c r="G496" s="487"/>
      <c r="H496" s="487"/>
      <c r="I496" s="488" t="str">
        <f t="shared" si="97"/>
        <v/>
      </c>
      <c r="J496" s="487"/>
      <c r="K496" s="487"/>
      <c r="L496" s="488" t="str">
        <f t="shared" si="98"/>
        <v/>
      </c>
      <c r="M496" s="487"/>
      <c r="N496" s="487"/>
      <c r="O496" s="488" t="str">
        <f t="shared" si="99"/>
        <v/>
      </c>
      <c r="P496" s="489"/>
      <c r="Q496" s="489"/>
      <c r="R496" s="592" t="str">
        <f t="shared" si="100"/>
        <v/>
      </c>
      <c r="S496" s="487"/>
      <c r="T496" s="487"/>
      <c r="U496" s="488" t="str">
        <f t="shared" si="101"/>
        <v/>
      </c>
      <c r="V496" s="489"/>
      <c r="W496" s="489"/>
      <c r="X496" s="488" t="str">
        <f t="shared" si="102"/>
        <v/>
      </c>
      <c r="Y496" s="489"/>
      <c r="Z496" s="489"/>
      <c r="AA496" s="490" t="str">
        <f t="shared" si="103"/>
        <v>222</v>
      </c>
      <c r="AB496" s="489">
        <v>22</v>
      </c>
      <c r="AC496" s="489">
        <v>2</v>
      </c>
      <c r="AD496" s="27">
        <v>111843</v>
      </c>
      <c r="AE496" s="27" t="s">
        <v>2079</v>
      </c>
      <c r="AF496" s="432">
        <f>VLOOKUP(AD496,[5]Hoja1!$A$10:$K$1393,11,0)</f>
        <v>0</v>
      </c>
      <c r="AG496" s="432"/>
      <c r="AH496" s="432">
        <f t="shared" si="95"/>
        <v>0</v>
      </c>
      <c r="AJ496" s="445"/>
      <c r="AL496" s="448"/>
      <c r="AM496" s="467">
        <f>VLOOKUP(AD496,[6]BV201101!$A$10:$A$1236,1,0)</f>
        <v>111843</v>
      </c>
    </row>
    <row r="497" spans="1:39" s="467" customFormat="1" ht="12.75" customHeight="1">
      <c r="A497" s="487" t="str">
        <f t="shared" si="104"/>
        <v>1</v>
      </c>
      <c r="B497" s="487" t="str">
        <f t="shared" si="91"/>
        <v>11</v>
      </c>
      <c r="C497" s="487" t="str">
        <f t="shared" si="92"/>
        <v>84</v>
      </c>
      <c r="D497" s="487" t="str">
        <f t="shared" si="93"/>
        <v>1844</v>
      </c>
      <c r="E497" s="487">
        <v>511121200</v>
      </c>
      <c r="F497" s="488" t="str">
        <f t="shared" si="96"/>
        <v/>
      </c>
      <c r="G497" s="487"/>
      <c r="H497" s="487"/>
      <c r="I497" s="488" t="str">
        <f t="shared" si="97"/>
        <v/>
      </c>
      <c r="J497" s="487"/>
      <c r="K497" s="487"/>
      <c r="L497" s="488" t="str">
        <f t="shared" si="98"/>
        <v/>
      </c>
      <c r="M497" s="487"/>
      <c r="N497" s="487"/>
      <c r="O497" s="488" t="str">
        <f t="shared" si="99"/>
        <v/>
      </c>
      <c r="P497" s="489"/>
      <c r="Q497" s="489"/>
      <c r="R497" s="592" t="str">
        <f t="shared" si="100"/>
        <v/>
      </c>
      <c r="S497" s="487"/>
      <c r="T497" s="487"/>
      <c r="U497" s="488" t="str">
        <f t="shared" si="101"/>
        <v/>
      </c>
      <c r="V497" s="489"/>
      <c r="W497" s="489"/>
      <c r="X497" s="488" t="str">
        <f t="shared" si="102"/>
        <v/>
      </c>
      <c r="Y497" s="489"/>
      <c r="Z497" s="489"/>
      <c r="AA497" s="490" t="str">
        <f t="shared" si="103"/>
        <v>222</v>
      </c>
      <c r="AB497" s="489">
        <v>22</v>
      </c>
      <c r="AC497" s="489">
        <v>2</v>
      </c>
      <c r="AD497" s="27">
        <v>111844</v>
      </c>
      <c r="AE497" s="27" t="s">
        <v>166</v>
      </c>
      <c r="AF497" s="432">
        <f>VLOOKUP(AD497,[5]Hoja1!$A$10:$K$1393,11,0)</f>
        <v>0</v>
      </c>
      <c r="AG497" s="432"/>
      <c r="AH497" s="432">
        <f t="shared" si="95"/>
        <v>0</v>
      </c>
      <c r="AJ497" s="445"/>
      <c r="AL497" s="448"/>
      <c r="AM497" s="467">
        <f>VLOOKUP(AD497,[6]BV201101!$A$10:$A$1236,1,0)</f>
        <v>111844</v>
      </c>
    </row>
    <row r="498" spans="1:39" s="467" customFormat="1" ht="12.75" customHeight="1">
      <c r="A498" s="487" t="str">
        <f t="shared" si="104"/>
        <v>1</v>
      </c>
      <c r="B498" s="487" t="str">
        <f t="shared" si="91"/>
        <v>11</v>
      </c>
      <c r="C498" s="487" t="str">
        <f t="shared" si="92"/>
        <v>84</v>
      </c>
      <c r="D498" s="487" t="str">
        <f t="shared" si="93"/>
        <v>1845</v>
      </c>
      <c r="E498" s="487">
        <v>511121200</v>
      </c>
      <c r="F498" s="488" t="str">
        <f t="shared" si="96"/>
        <v/>
      </c>
      <c r="G498" s="487"/>
      <c r="H498" s="487"/>
      <c r="I498" s="488" t="str">
        <f t="shared" si="97"/>
        <v/>
      </c>
      <c r="J498" s="487"/>
      <c r="K498" s="487"/>
      <c r="L498" s="488" t="str">
        <f t="shared" si="98"/>
        <v/>
      </c>
      <c r="M498" s="487"/>
      <c r="N498" s="487"/>
      <c r="O498" s="488" t="str">
        <f t="shared" si="99"/>
        <v/>
      </c>
      <c r="P498" s="489"/>
      <c r="Q498" s="489"/>
      <c r="R498" s="592" t="str">
        <f t="shared" si="100"/>
        <v/>
      </c>
      <c r="S498" s="487"/>
      <c r="T498" s="487"/>
      <c r="U498" s="488" t="str">
        <f t="shared" si="101"/>
        <v/>
      </c>
      <c r="V498" s="489"/>
      <c r="W498" s="489"/>
      <c r="X498" s="488" t="str">
        <f t="shared" si="102"/>
        <v/>
      </c>
      <c r="Y498" s="489"/>
      <c r="Z498" s="489"/>
      <c r="AA498" s="490" t="str">
        <f t="shared" si="103"/>
        <v>222</v>
      </c>
      <c r="AB498" s="489">
        <v>22</v>
      </c>
      <c r="AC498" s="489">
        <v>2</v>
      </c>
      <c r="AD498" s="27">
        <v>111845</v>
      </c>
      <c r="AE498" s="27" t="s">
        <v>167</v>
      </c>
      <c r="AF498" s="432">
        <f>VLOOKUP(AD498,[5]Hoja1!$A$10:$K$1393,11,0)</f>
        <v>0</v>
      </c>
      <c r="AG498" s="432"/>
      <c r="AH498" s="432">
        <f t="shared" si="95"/>
        <v>0</v>
      </c>
      <c r="AJ498" s="445"/>
      <c r="AL498" s="448"/>
      <c r="AM498" s="467">
        <f>VLOOKUP(AD498,[6]BV201101!$A$10:$A$1236,1,0)</f>
        <v>111845</v>
      </c>
    </row>
    <row r="499" spans="1:39" s="467" customFormat="1" ht="12.75" customHeight="1">
      <c r="A499" s="487" t="str">
        <f t="shared" si="104"/>
        <v>1</v>
      </c>
      <c r="B499" s="487" t="str">
        <f t="shared" si="91"/>
        <v>11</v>
      </c>
      <c r="C499" s="487" t="str">
        <f t="shared" si="92"/>
        <v>84</v>
      </c>
      <c r="D499" s="487" t="str">
        <f t="shared" si="93"/>
        <v>1846</v>
      </c>
      <c r="E499" s="487">
        <v>514420000</v>
      </c>
      <c r="F499" s="488" t="str">
        <f t="shared" si="96"/>
        <v/>
      </c>
      <c r="G499" s="487"/>
      <c r="H499" s="487"/>
      <c r="I499" s="488" t="str">
        <f t="shared" si="97"/>
        <v/>
      </c>
      <c r="J499" s="487"/>
      <c r="K499" s="487"/>
      <c r="L499" s="488" t="str">
        <f t="shared" si="98"/>
        <v/>
      </c>
      <c r="M499" s="487"/>
      <c r="N499" s="487"/>
      <c r="O499" s="488" t="str">
        <f t="shared" si="99"/>
        <v/>
      </c>
      <c r="P499" s="489"/>
      <c r="Q499" s="489"/>
      <c r="R499" s="592" t="str">
        <f t="shared" si="100"/>
        <v/>
      </c>
      <c r="S499" s="487"/>
      <c r="T499" s="487"/>
      <c r="U499" s="488" t="str">
        <f t="shared" si="101"/>
        <v/>
      </c>
      <c r="V499" s="489"/>
      <c r="W499" s="489"/>
      <c r="X499" s="488" t="str">
        <f t="shared" si="102"/>
        <v/>
      </c>
      <c r="Y499" s="489"/>
      <c r="Z499" s="489"/>
      <c r="AA499" s="490" t="str">
        <f t="shared" si="103"/>
        <v/>
      </c>
      <c r="AB499" s="489"/>
      <c r="AC499" s="489"/>
      <c r="AD499" s="599">
        <v>111846</v>
      </c>
      <c r="AE499" s="27" t="s">
        <v>1590</v>
      </c>
      <c r="AF499" s="432">
        <f>VLOOKUP(AD499,[5]Hoja1!$A$10:$K$1393,11,0)</f>
        <v>5015876</v>
      </c>
      <c r="AG499" s="432">
        <v>0</v>
      </c>
      <c r="AH499" s="432">
        <f t="shared" si="95"/>
        <v>5016</v>
      </c>
      <c r="AJ499" s="445"/>
      <c r="AL499" s="448"/>
      <c r="AM499" s="467">
        <f>VLOOKUP(AD499,[6]BV201101!$A$10:$A$1236,1,0)</f>
        <v>111846</v>
      </c>
    </row>
    <row r="500" spans="1:39" s="467" customFormat="1" ht="12.75" customHeight="1">
      <c r="A500" s="487" t="str">
        <f t="shared" si="104"/>
        <v>1</v>
      </c>
      <c r="B500" s="487" t="str">
        <f t="shared" si="91"/>
        <v>11</v>
      </c>
      <c r="C500" s="487" t="str">
        <f t="shared" si="92"/>
        <v>84</v>
      </c>
      <c r="D500" s="487" t="str">
        <f t="shared" si="93"/>
        <v>1847</v>
      </c>
      <c r="E500" s="487">
        <v>514320000</v>
      </c>
      <c r="F500" s="488" t="str">
        <f t="shared" si="96"/>
        <v/>
      </c>
      <c r="G500" s="487"/>
      <c r="H500" s="487"/>
      <c r="I500" s="488" t="str">
        <f t="shared" si="97"/>
        <v/>
      </c>
      <c r="J500" s="487"/>
      <c r="K500" s="487"/>
      <c r="L500" s="488" t="str">
        <f t="shared" si="98"/>
        <v/>
      </c>
      <c r="M500" s="487"/>
      <c r="N500" s="487"/>
      <c r="O500" s="488" t="str">
        <f t="shared" si="99"/>
        <v/>
      </c>
      <c r="P500" s="489"/>
      <c r="Q500" s="489"/>
      <c r="R500" s="592" t="str">
        <f t="shared" si="100"/>
        <v/>
      </c>
      <c r="S500" s="487"/>
      <c r="T500" s="487"/>
      <c r="U500" s="488" t="str">
        <f t="shared" si="101"/>
        <v/>
      </c>
      <c r="V500" s="489"/>
      <c r="W500" s="489"/>
      <c r="X500" s="488" t="str">
        <f t="shared" si="102"/>
        <v/>
      </c>
      <c r="Y500" s="489"/>
      <c r="Z500" s="489"/>
      <c r="AA500" s="490" t="str">
        <f t="shared" si="103"/>
        <v/>
      </c>
      <c r="AB500" s="489"/>
      <c r="AC500" s="489"/>
      <c r="AD500" s="27">
        <v>111847</v>
      </c>
      <c r="AE500" s="27" t="s">
        <v>1591</v>
      </c>
      <c r="AF500" s="432">
        <f>VLOOKUP(AD500,[5]Hoja1!$A$10:$K$1393,11,0)</f>
        <v>0</v>
      </c>
      <c r="AG500" s="432"/>
      <c r="AH500" s="432">
        <f t="shared" si="95"/>
        <v>0</v>
      </c>
      <c r="AJ500" s="445"/>
      <c r="AL500" s="448"/>
      <c r="AM500" s="467">
        <f>VLOOKUP(AD500,[6]BV201101!$A$10:$A$1236,1,0)</f>
        <v>111847</v>
      </c>
    </row>
    <row r="501" spans="1:39" s="467" customFormat="1" ht="12.75" customHeight="1">
      <c r="A501" s="487" t="str">
        <f t="shared" si="104"/>
        <v>1</v>
      </c>
      <c r="B501" s="487" t="str">
        <f t="shared" si="91"/>
        <v>11</v>
      </c>
      <c r="C501" s="487" t="str">
        <f t="shared" si="92"/>
        <v>84</v>
      </c>
      <c r="D501" s="487" t="str">
        <f t="shared" si="93"/>
        <v>1848</v>
      </c>
      <c r="E501" s="487">
        <v>514320000</v>
      </c>
      <c r="F501" s="488" t="str">
        <f t="shared" si="96"/>
        <v/>
      </c>
      <c r="G501" s="487"/>
      <c r="H501" s="487"/>
      <c r="I501" s="488" t="str">
        <f t="shared" si="97"/>
        <v/>
      </c>
      <c r="J501" s="487"/>
      <c r="K501" s="487"/>
      <c r="L501" s="488" t="str">
        <f t="shared" si="98"/>
        <v/>
      </c>
      <c r="M501" s="487"/>
      <c r="N501" s="487"/>
      <c r="O501" s="488" t="str">
        <f t="shared" si="99"/>
        <v/>
      </c>
      <c r="P501" s="489"/>
      <c r="Q501" s="489"/>
      <c r="R501" s="592" t="str">
        <f t="shared" si="100"/>
        <v/>
      </c>
      <c r="S501" s="487"/>
      <c r="T501" s="487"/>
      <c r="U501" s="488" t="str">
        <f t="shared" si="101"/>
        <v/>
      </c>
      <c r="V501" s="489"/>
      <c r="W501" s="489"/>
      <c r="X501" s="488" t="str">
        <f t="shared" si="102"/>
        <v/>
      </c>
      <c r="Y501" s="489"/>
      <c r="Z501" s="489"/>
      <c r="AA501" s="490" t="str">
        <f t="shared" si="103"/>
        <v/>
      </c>
      <c r="AB501" s="489"/>
      <c r="AC501" s="489"/>
      <c r="AD501" s="27">
        <v>111848</v>
      </c>
      <c r="AE501" s="27" t="s">
        <v>1592</v>
      </c>
      <c r="AF501" s="432">
        <f>VLOOKUP(AD501,[5]Hoja1!$A$10:$K$1393,11,0)</f>
        <v>0</v>
      </c>
      <c r="AG501" s="432"/>
      <c r="AH501" s="432">
        <f t="shared" si="95"/>
        <v>0</v>
      </c>
      <c r="AJ501" s="445"/>
      <c r="AL501" s="448"/>
      <c r="AM501" s="467">
        <f>VLOOKUP(AD501,[6]BV201101!$A$10:$A$1236,1,0)</f>
        <v>111848</v>
      </c>
    </row>
    <row r="502" spans="1:39" s="467" customFormat="1" ht="12.75" customHeight="1">
      <c r="A502" s="487" t="str">
        <f t="shared" si="104"/>
        <v>1</v>
      </c>
      <c r="B502" s="487" t="str">
        <f t="shared" si="91"/>
        <v>11</v>
      </c>
      <c r="C502" s="487" t="str">
        <f t="shared" si="92"/>
        <v>85</v>
      </c>
      <c r="D502" s="487" t="str">
        <f t="shared" si="93"/>
        <v>1850</v>
      </c>
      <c r="E502" s="487">
        <v>511121200</v>
      </c>
      <c r="F502" s="488" t="str">
        <f t="shared" si="96"/>
        <v/>
      </c>
      <c r="G502" s="487"/>
      <c r="H502" s="487"/>
      <c r="I502" s="488" t="str">
        <f t="shared" si="97"/>
        <v/>
      </c>
      <c r="J502" s="487"/>
      <c r="K502" s="487"/>
      <c r="L502" s="488" t="str">
        <f t="shared" si="98"/>
        <v/>
      </c>
      <c r="M502" s="487"/>
      <c r="N502" s="487"/>
      <c r="O502" s="488" t="str">
        <f t="shared" si="99"/>
        <v/>
      </c>
      <c r="P502" s="489"/>
      <c r="Q502" s="489"/>
      <c r="R502" s="592" t="str">
        <f t="shared" si="100"/>
        <v/>
      </c>
      <c r="S502" s="487"/>
      <c r="T502" s="487"/>
      <c r="U502" s="488" t="str">
        <f t="shared" si="101"/>
        <v/>
      </c>
      <c r="V502" s="489"/>
      <c r="W502" s="489"/>
      <c r="X502" s="488" t="str">
        <f t="shared" si="102"/>
        <v/>
      </c>
      <c r="Y502" s="489"/>
      <c r="Z502" s="489"/>
      <c r="AA502" s="490" t="str">
        <f t="shared" si="103"/>
        <v>222</v>
      </c>
      <c r="AB502" s="489">
        <v>22</v>
      </c>
      <c r="AC502" s="489">
        <v>2</v>
      </c>
      <c r="AD502" s="27">
        <v>111850</v>
      </c>
      <c r="AE502" s="27" t="s">
        <v>2080</v>
      </c>
      <c r="AF502" s="432">
        <f>VLOOKUP(AD502,[5]Hoja1!$A$10:$K$1393,11,0)</f>
        <v>0</v>
      </c>
      <c r="AG502" s="432"/>
      <c r="AH502" s="432">
        <f t="shared" si="95"/>
        <v>0</v>
      </c>
      <c r="AJ502" s="445"/>
      <c r="AL502" s="448"/>
      <c r="AM502" s="467">
        <f>VLOOKUP(AD502,[6]BV201101!$A$10:$A$1236,1,0)</f>
        <v>111850</v>
      </c>
    </row>
    <row r="503" spans="1:39" s="467" customFormat="1" ht="12.75" customHeight="1">
      <c r="A503" s="487" t="str">
        <f t="shared" si="104"/>
        <v>1</v>
      </c>
      <c r="B503" s="487" t="str">
        <f t="shared" si="91"/>
        <v>11</v>
      </c>
      <c r="C503" s="487" t="str">
        <f t="shared" si="92"/>
        <v>85</v>
      </c>
      <c r="D503" s="487" t="str">
        <f t="shared" si="93"/>
        <v>1851</v>
      </c>
      <c r="E503" s="487">
        <v>511121200</v>
      </c>
      <c r="F503" s="488" t="str">
        <f t="shared" si="96"/>
        <v/>
      </c>
      <c r="G503" s="487"/>
      <c r="H503" s="487"/>
      <c r="I503" s="488" t="str">
        <f t="shared" si="97"/>
        <v/>
      </c>
      <c r="J503" s="487"/>
      <c r="K503" s="487"/>
      <c r="L503" s="488" t="str">
        <f t="shared" si="98"/>
        <v/>
      </c>
      <c r="M503" s="487"/>
      <c r="N503" s="487"/>
      <c r="O503" s="488" t="str">
        <f t="shared" si="99"/>
        <v/>
      </c>
      <c r="P503" s="489"/>
      <c r="Q503" s="489"/>
      <c r="R503" s="592" t="str">
        <f t="shared" si="100"/>
        <v/>
      </c>
      <c r="S503" s="487"/>
      <c r="T503" s="487"/>
      <c r="U503" s="488" t="str">
        <f t="shared" si="101"/>
        <v/>
      </c>
      <c r="V503" s="489"/>
      <c r="W503" s="489"/>
      <c r="X503" s="488" t="str">
        <f t="shared" si="102"/>
        <v/>
      </c>
      <c r="Y503" s="489"/>
      <c r="Z503" s="489"/>
      <c r="AA503" s="490" t="str">
        <f t="shared" si="103"/>
        <v>222</v>
      </c>
      <c r="AB503" s="489">
        <v>22</v>
      </c>
      <c r="AC503" s="489">
        <v>2</v>
      </c>
      <c r="AD503" s="27">
        <v>111851</v>
      </c>
      <c r="AE503" s="27" t="s">
        <v>2081</v>
      </c>
      <c r="AF503" s="432">
        <f>VLOOKUP(AD503,[5]Hoja1!$A$10:$K$1393,11,0)</f>
        <v>0</v>
      </c>
      <c r="AG503" s="432"/>
      <c r="AH503" s="432">
        <f t="shared" si="95"/>
        <v>0</v>
      </c>
      <c r="AJ503" s="445"/>
      <c r="AL503" s="448"/>
      <c r="AM503" s="467">
        <f>VLOOKUP(AD503,[6]BV201101!$A$10:$A$1236,1,0)</f>
        <v>111851</v>
      </c>
    </row>
    <row r="504" spans="1:39" s="467" customFormat="1" ht="12.75" customHeight="1">
      <c r="A504" s="487" t="str">
        <f t="shared" si="104"/>
        <v>1</v>
      </c>
      <c r="B504" s="487" t="str">
        <f t="shared" si="91"/>
        <v>11</v>
      </c>
      <c r="C504" s="487" t="str">
        <f t="shared" si="92"/>
        <v>85</v>
      </c>
      <c r="D504" s="487" t="str">
        <f t="shared" si="93"/>
        <v>1852</v>
      </c>
      <c r="E504" s="487">
        <v>511121200</v>
      </c>
      <c r="F504" s="488" t="str">
        <f t="shared" si="96"/>
        <v/>
      </c>
      <c r="G504" s="487"/>
      <c r="H504" s="487"/>
      <c r="I504" s="488" t="str">
        <f t="shared" si="97"/>
        <v/>
      </c>
      <c r="J504" s="487"/>
      <c r="K504" s="487"/>
      <c r="L504" s="488" t="str">
        <f t="shared" si="98"/>
        <v/>
      </c>
      <c r="M504" s="487"/>
      <c r="N504" s="487"/>
      <c r="O504" s="488" t="str">
        <f t="shared" si="99"/>
        <v/>
      </c>
      <c r="P504" s="489"/>
      <c r="Q504" s="489"/>
      <c r="R504" s="592" t="str">
        <f t="shared" si="100"/>
        <v/>
      </c>
      <c r="S504" s="487"/>
      <c r="T504" s="487"/>
      <c r="U504" s="488" t="str">
        <f t="shared" si="101"/>
        <v/>
      </c>
      <c r="V504" s="489"/>
      <c r="W504" s="489"/>
      <c r="X504" s="488" t="str">
        <f t="shared" si="102"/>
        <v/>
      </c>
      <c r="Y504" s="489"/>
      <c r="Z504" s="489"/>
      <c r="AA504" s="490" t="str">
        <f t="shared" si="103"/>
        <v>222</v>
      </c>
      <c r="AB504" s="489">
        <v>22</v>
      </c>
      <c r="AC504" s="489">
        <v>2</v>
      </c>
      <c r="AD504" s="27">
        <v>111852</v>
      </c>
      <c r="AE504" s="27" t="s">
        <v>2082</v>
      </c>
      <c r="AF504" s="432">
        <f>VLOOKUP(AD504,[5]Hoja1!$A$10:$K$1393,11,0)</f>
        <v>0</v>
      </c>
      <c r="AG504" s="432"/>
      <c r="AH504" s="432">
        <f t="shared" si="95"/>
        <v>0</v>
      </c>
      <c r="AJ504" s="445"/>
      <c r="AL504" s="448"/>
      <c r="AM504" s="467">
        <f>VLOOKUP(AD504,[6]BV201101!$A$10:$A$1236,1,0)</f>
        <v>111852</v>
      </c>
    </row>
    <row r="505" spans="1:39" s="467" customFormat="1" ht="12.75" customHeight="1">
      <c r="A505" s="487" t="str">
        <f t="shared" si="104"/>
        <v>1</v>
      </c>
      <c r="B505" s="487" t="str">
        <f t="shared" si="91"/>
        <v>11</v>
      </c>
      <c r="C505" s="487" t="str">
        <f t="shared" si="92"/>
        <v>85</v>
      </c>
      <c r="D505" s="487" t="str">
        <f t="shared" si="93"/>
        <v>1853</v>
      </c>
      <c r="E505" s="487">
        <v>511121200</v>
      </c>
      <c r="F505" s="488" t="str">
        <f t="shared" si="96"/>
        <v/>
      </c>
      <c r="G505" s="487"/>
      <c r="H505" s="487"/>
      <c r="I505" s="488" t="str">
        <f t="shared" si="97"/>
        <v/>
      </c>
      <c r="J505" s="487"/>
      <c r="K505" s="487"/>
      <c r="L505" s="488" t="str">
        <f t="shared" si="98"/>
        <v/>
      </c>
      <c r="M505" s="487"/>
      <c r="N505" s="487"/>
      <c r="O505" s="488" t="str">
        <f t="shared" si="99"/>
        <v/>
      </c>
      <c r="P505" s="489"/>
      <c r="Q505" s="489"/>
      <c r="R505" s="592" t="str">
        <f t="shared" si="100"/>
        <v/>
      </c>
      <c r="S505" s="487"/>
      <c r="T505" s="487"/>
      <c r="U505" s="488" t="str">
        <f t="shared" si="101"/>
        <v/>
      </c>
      <c r="V505" s="489"/>
      <c r="W505" s="489"/>
      <c r="X505" s="488" t="str">
        <f t="shared" si="102"/>
        <v/>
      </c>
      <c r="Y505" s="489"/>
      <c r="Z505" s="489"/>
      <c r="AA505" s="490" t="str">
        <f t="shared" si="103"/>
        <v>222</v>
      </c>
      <c r="AB505" s="489">
        <v>22</v>
      </c>
      <c r="AC505" s="489">
        <v>2</v>
      </c>
      <c r="AD505" s="27">
        <v>111853</v>
      </c>
      <c r="AE505" s="27" t="s">
        <v>2083</v>
      </c>
      <c r="AF505" s="432">
        <f>VLOOKUP(AD505,[5]Hoja1!$A$10:$K$1393,11,0)</f>
        <v>0</v>
      </c>
      <c r="AG505" s="432"/>
      <c r="AH505" s="432">
        <f t="shared" si="95"/>
        <v>0</v>
      </c>
      <c r="AJ505" s="445"/>
      <c r="AL505" s="448"/>
      <c r="AM505" s="467">
        <f>VLOOKUP(AD505,[6]BV201101!$A$10:$A$1236,1,0)</f>
        <v>111853</v>
      </c>
    </row>
    <row r="506" spans="1:39" s="467" customFormat="1" ht="12.75" customHeight="1">
      <c r="A506" s="487" t="str">
        <f t="shared" si="104"/>
        <v>1</v>
      </c>
      <c r="B506" s="487" t="str">
        <f t="shared" si="91"/>
        <v>11</v>
      </c>
      <c r="C506" s="487" t="str">
        <f t="shared" si="92"/>
        <v>85</v>
      </c>
      <c r="D506" s="487" t="str">
        <f t="shared" si="93"/>
        <v>1854</v>
      </c>
      <c r="E506" s="487">
        <v>511121200</v>
      </c>
      <c r="F506" s="488" t="str">
        <f t="shared" si="96"/>
        <v/>
      </c>
      <c r="G506" s="487"/>
      <c r="H506" s="487"/>
      <c r="I506" s="488" t="str">
        <f t="shared" si="97"/>
        <v/>
      </c>
      <c r="J506" s="487"/>
      <c r="K506" s="487"/>
      <c r="L506" s="488" t="str">
        <f t="shared" si="98"/>
        <v/>
      </c>
      <c r="M506" s="487"/>
      <c r="N506" s="487"/>
      <c r="O506" s="488" t="str">
        <f t="shared" si="99"/>
        <v/>
      </c>
      <c r="P506" s="489"/>
      <c r="Q506" s="489"/>
      <c r="R506" s="592" t="str">
        <f t="shared" si="100"/>
        <v/>
      </c>
      <c r="S506" s="487"/>
      <c r="T506" s="487"/>
      <c r="U506" s="488" t="str">
        <f t="shared" si="101"/>
        <v/>
      </c>
      <c r="V506" s="489"/>
      <c r="W506" s="489"/>
      <c r="X506" s="488" t="str">
        <f t="shared" si="102"/>
        <v/>
      </c>
      <c r="Y506" s="489"/>
      <c r="Z506" s="489"/>
      <c r="AA506" s="490" t="str">
        <f t="shared" si="103"/>
        <v>222</v>
      </c>
      <c r="AB506" s="489">
        <v>22</v>
      </c>
      <c r="AC506" s="489">
        <v>2</v>
      </c>
      <c r="AD506" s="27">
        <v>111854</v>
      </c>
      <c r="AE506" s="27" t="s">
        <v>2084</v>
      </c>
      <c r="AF506" s="432">
        <f>VLOOKUP(AD506,[5]Hoja1!$A$10:$K$1393,11,0)</f>
        <v>474976784</v>
      </c>
      <c r="AG506" s="432"/>
      <c r="AH506" s="432">
        <f t="shared" si="95"/>
        <v>474977</v>
      </c>
      <c r="AJ506" s="445"/>
      <c r="AL506" s="448"/>
      <c r="AM506" s="467">
        <f>VLOOKUP(AD506,[6]BV201101!$A$10:$A$1236,1,0)</f>
        <v>111854</v>
      </c>
    </row>
    <row r="507" spans="1:39" s="467" customFormat="1" ht="12.75" customHeight="1">
      <c r="A507" s="487" t="str">
        <f t="shared" si="104"/>
        <v>1</v>
      </c>
      <c r="B507" s="487" t="str">
        <f t="shared" si="91"/>
        <v>11</v>
      </c>
      <c r="C507" s="487" t="str">
        <f t="shared" si="92"/>
        <v>85</v>
      </c>
      <c r="D507" s="487" t="str">
        <f t="shared" si="93"/>
        <v>1855</v>
      </c>
      <c r="E507" s="487">
        <v>511121200</v>
      </c>
      <c r="F507" s="488" t="str">
        <f t="shared" si="96"/>
        <v/>
      </c>
      <c r="G507" s="487"/>
      <c r="H507" s="487"/>
      <c r="I507" s="488" t="str">
        <f t="shared" si="97"/>
        <v/>
      </c>
      <c r="J507" s="487"/>
      <c r="K507" s="487"/>
      <c r="L507" s="488" t="str">
        <f t="shared" si="98"/>
        <v/>
      </c>
      <c r="M507" s="487"/>
      <c r="N507" s="487"/>
      <c r="O507" s="488" t="str">
        <f t="shared" si="99"/>
        <v/>
      </c>
      <c r="P507" s="489"/>
      <c r="Q507" s="489"/>
      <c r="R507" s="592" t="str">
        <f t="shared" si="100"/>
        <v/>
      </c>
      <c r="S507" s="487"/>
      <c r="T507" s="487"/>
      <c r="U507" s="488" t="str">
        <f t="shared" si="101"/>
        <v/>
      </c>
      <c r="V507" s="489"/>
      <c r="W507" s="489"/>
      <c r="X507" s="488" t="str">
        <f t="shared" si="102"/>
        <v/>
      </c>
      <c r="Y507" s="489"/>
      <c r="Z507" s="489"/>
      <c r="AA507" s="490" t="str">
        <f t="shared" si="103"/>
        <v>222</v>
      </c>
      <c r="AB507" s="489">
        <v>22</v>
      </c>
      <c r="AC507" s="489">
        <v>2</v>
      </c>
      <c r="AD507" s="27">
        <v>111855</v>
      </c>
      <c r="AE507" s="27" t="s">
        <v>2085</v>
      </c>
      <c r="AF507" s="432">
        <f>VLOOKUP(AD507,[5]Hoja1!$A$10:$K$1393,11,0)</f>
        <v>-294592406</v>
      </c>
      <c r="AG507" s="432">
        <v>0</v>
      </c>
      <c r="AH507" s="432">
        <f t="shared" si="95"/>
        <v>-294592</v>
      </c>
      <c r="AJ507" s="445"/>
      <c r="AL507" s="448"/>
      <c r="AM507" s="467">
        <f>VLOOKUP(AD507,[6]BV201101!$A$10:$A$1236,1,0)</f>
        <v>111855</v>
      </c>
    </row>
    <row r="508" spans="1:39" s="467" customFormat="1" ht="12.75" customHeight="1">
      <c r="A508" s="487" t="str">
        <f t="shared" si="104"/>
        <v>1</v>
      </c>
      <c r="B508" s="487" t="str">
        <f t="shared" si="91"/>
        <v>11</v>
      </c>
      <c r="C508" s="487" t="str">
        <f t="shared" si="92"/>
        <v>85</v>
      </c>
      <c r="D508" s="487" t="str">
        <f t="shared" si="93"/>
        <v>1856</v>
      </c>
      <c r="E508" s="487">
        <v>511121200</v>
      </c>
      <c r="F508" s="488" t="str">
        <f t="shared" si="96"/>
        <v/>
      </c>
      <c r="G508" s="487"/>
      <c r="H508" s="487"/>
      <c r="I508" s="488" t="str">
        <f t="shared" si="97"/>
        <v/>
      </c>
      <c r="J508" s="487"/>
      <c r="K508" s="487"/>
      <c r="L508" s="488" t="str">
        <f t="shared" si="98"/>
        <v/>
      </c>
      <c r="M508" s="487"/>
      <c r="N508" s="487"/>
      <c r="O508" s="488" t="str">
        <f t="shared" si="99"/>
        <v/>
      </c>
      <c r="P508" s="489"/>
      <c r="Q508" s="489"/>
      <c r="R508" s="592" t="str">
        <f t="shared" si="100"/>
        <v/>
      </c>
      <c r="S508" s="487"/>
      <c r="T508" s="487"/>
      <c r="U508" s="488" t="str">
        <f t="shared" si="101"/>
        <v/>
      </c>
      <c r="V508" s="489"/>
      <c r="W508" s="489"/>
      <c r="X508" s="488" t="str">
        <f t="shared" si="102"/>
        <v/>
      </c>
      <c r="Y508" s="489"/>
      <c r="Z508" s="489"/>
      <c r="AA508" s="490" t="str">
        <f t="shared" si="103"/>
        <v>222</v>
      </c>
      <c r="AB508" s="489">
        <v>22</v>
      </c>
      <c r="AC508" s="489">
        <v>2</v>
      </c>
      <c r="AD508" s="27">
        <v>111856</v>
      </c>
      <c r="AE508" s="27" t="s">
        <v>1721</v>
      </c>
      <c r="AF508" s="432">
        <f>VLOOKUP(AD508,[5]Hoja1!$A$10:$K$1393,11,0)</f>
        <v>4880668</v>
      </c>
      <c r="AG508" s="432"/>
      <c r="AH508" s="432">
        <f t="shared" si="95"/>
        <v>4881</v>
      </c>
      <c r="AJ508" s="445"/>
      <c r="AL508" s="448"/>
      <c r="AM508" s="467">
        <f>VLOOKUP(AD508,[6]BV201101!$A$10:$A$1236,1,0)</f>
        <v>111856</v>
      </c>
    </row>
    <row r="509" spans="1:39" s="467" customFormat="1" ht="12.75" customHeight="1">
      <c r="A509" s="487" t="str">
        <f t="shared" si="104"/>
        <v>1</v>
      </c>
      <c r="B509" s="487" t="str">
        <f t="shared" si="91"/>
        <v>11</v>
      </c>
      <c r="C509" s="487" t="str">
        <f t="shared" si="92"/>
        <v>85</v>
      </c>
      <c r="D509" s="487" t="str">
        <f t="shared" si="93"/>
        <v>1857</v>
      </c>
      <c r="E509" s="487">
        <v>511121200</v>
      </c>
      <c r="F509" s="488" t="str">
        <f>+G509&amp;H509</f>
        <v/>
      </c>
      <c r="G509" s="487"/>
      <c r="H509" s="487"/>
      <c r="I509" s="488" t="str">
        <f>+J509&amp;K509</f>
        <v/>
      </c>
      <c r="J509" s="487"/>
      <c r="K509" s="487"/>
      <c r="L509" s="488" t="str">
        <f>+M509&amp;N509</f>
        <v/>
      </c>
      <c r="M509" s="487"/>
      <c r="N509" s="487"/>
      <c r="O509" s="488" t="str">
        <f>+P509&amp;Q509</f>
        <v/>
      </c>
      <c r="P509" s="489"/>
      <c r="Q509" s="489"/>
      <c r="R509" s="592" t="str">
        <f>+S509&amp;T509</f>
        <v/>
      </c>
      <c r="S509" s="487"/>
      <c r="T509" s="487"/>
      <c r="U509" s="488" t="str">
        <f>+V509&amp;W509</f>
        <v/>
      </c>
      <c r="V509" s="489"/>
      <c r="W509" s="489"/>
      <c r="X509" s="488" t="str">
        <f>+Y509&amp;Z509</f>
        <v/>
      </c>
      <c r="Y509" s="489"/>
      <c r="Z509" s="489"/>
      <c r="AA509" s="490" t="str">
        <f>+AB509&amp;AC509</f>
        <v>222</v>
      </c>
      <c r="AB509" s="489">
        <v>22</v>
      </c>
      <c r="AC509" s="489">
        <v>2</v>
      </c>
      <c r="AD509" s="27">
        <v>111857</v>
      </c>
      <c r="AE509" s="27" t="s">
        <v>2086</v>
      </c>
      <c r="AF509" s="432">
        <f>VLOOKUP(AD509,[5]Hoja1!$A$10:$K$1393,11,0)</f>
        <v>17856015</v>
      </c>
      <c r="AG509" s="432"/>
      <c r="AH509" s="432">
        <f t="shared" si="95"/>
        <v>17856</v>
      </c>
      <c r="AJ509" s="445"/>
      <c r="AL509" s="448"/>
      <c r="AM509" s="467">
        <f>VLOOKUP(AD509,[6]BV201101!$A$10:$A$1236,1,0)</f>
        <v>111857</v>
      </c>
    </row>
    <row r="510" spans="1:39" s="467" customFormat="1" ht="12.75" customHeight="1">
      <c r="A510" s="487" t="str">
        <f t="shared" si="104"/>
        <v>1</v>
      </c>
      <c r="B510" s="487" t="str">
        <f t="shared" si="91"/>
        <v>11</v>
      </c>
      <c r="C510" s="487" t="str">
        <f t="shared" si="92"/>
        <v>85</v>
      </c>
      <c r="D510" s="487" t="str">
        <f t="shared" si="93"/>
        <v>1858</v>
      </c>
      <c r="E510" s="487">
        <v>514320000</v>
      </c>
      <c r="F510" s="488"/>
      <c r="G510" s="487"/>
      <c r="H510" s="487"/>
      <c r="I510" s="488"/>
      <c r="J510" s="487"/>
      <c r="K510" s="487"/>
      <c r="L510" s="488"/>
      <c r="M510" s="487"/>
      <c r="N510" s="487"/>
      <c r="O510" s="488"/>
      <c r="P510" s="489"/>
      <c r="Q510" s="489"/>
      <c r="R510" s="592"/>
      <c r="S510" s="487"/>
      <c r="T510" s="487"/>
      <c r="U510" s="488"/>
      <c r="V510" s="489"/>
      <c r="W510" s="489"/>
      <c r="X510" s="488"/>
      <c r="Y510" s="489"/>
      <c r="Z510" s="489"/>
      <c r="AA510" s="490"/>
      <c r="AB510" s="489"/>
      <c r="AC510" s="489"/>
      <c r="AD510" s="418">
        <v>111858</v>
      </c>
      <c r="AE510" s="27" t="s">
        <v>471</v>
      </c>
      <c r="AF510" s="432">
        <f>VLOOKUP(AD510,[5]Hoja1!$A$10:$K$1393,11,0)</f>
        <v>0</v>
      </c>
      <c r="AG510" s="432">
        <f>-AF510</f>
        <v>0</v>
      </c>
      <c r="AH510" s="432">
        <f t="shared" si="95"/>
        <v>0</v>
      </c>
      <c r="AJ510" s="445"/>
      <c r="AL510" s="448"/>
      <c r="AM510" s="467">
        <f>VLOOKUP(AD510,[6]BV201101!$A$10:$A$1236,1,0)</f>
        <v>111858</v>
      </c>
    </row>
    <row r="511" spans="1:39" s="467" customFormat="1" ht="12.75" customHeight="1">
      <c r="A511" s="487" t="str">
        <f t="shared" si="104"/>
        <v>1</v>
      </c>
      <c r="B511" s="487" t="str">
        <f t="shared" si="91"/>
        <v>11</v>
      </c>
      <c r="C511" s="487" t="str">
        <f t="shared" si="92"/>
        <v>85</v>
      </c>
      <c r="D511" s="487" t="str">
        <f t="shared" si="93"/>
        <v>1859</v>
      </c>
      <c r="E511" s="487">
        <v>511121200</v>
      </c>
      <c r="F511" s="488" t="str">
        <f>+G511&amp;H511</f>
        <v/>
      </c>
      <c r="G511" s="487"/>
      <c r="H511" s="487"/>
      <c r="I511" s="488" t="str">
        <f>+J511&amp;K511</f>
        <v/>
      </c>
      <c r="J511" s="487"/>
      <c r="K511" s="487"/>
      <c r="L511" s="488" t="str">
        <f>+M511&amp;N511</f>
        <v/>
      </c>
      <c r="M511" s="487"/>
      <c r="N511" s="487"/>
      <c r="O511" s="488" t="str">
        <f>+P511&amp;Q511</f>
        <v/>
      </c>
      <c r="P511" s="489"/>
      <c r="Q511" s="489"/>
      <c r="R511" s="592" t="str">
        <f>+S511&amp;T511</f>
        <v/>
      </c>
      <c r="S511" s="487"/>
      <c r="T511" s="487"/>
      <c r="U511" s="488" t="str">
        <f>+V511&amp;W511</f>
        <v/>
      </c>
      <c r="V511" s="489"/>
      <c r="W511" s="489"/>
      <c r="X511" s="488" t="str">
        <f>+Y511&amp;Z511</f>
        <v/>
      </c>
      <c r="Y511" s="489"/>
      <c r="Z511" s="489"/>
      <c r="AA511" s="490" t="str">
        <f>+AB511&amp;AC511</f>
        <v>222</v>
      </c>
      <c r="AB511" s="489">
        <v>22</v>
      </c>
      <c r="AC511" s="489">
        <v>2</v>
      </c>
      <c r="AD511" s="27">
        <v>111859</v>
      </c>
      <c r="AE511" s="27" t="s">
        <v>1103</v>
      </c>
      <c r="AF511" s="432">
        <f>VLOOKUP(AD511,[5]Hoja1!$A$10:$K$1393,11,0)</f>
        <v>3969772</v>
      </c>
      <c r="AG511" s="432"/>
      <c r="AH511" s="432">
        <f t="shared" si="95"/>
        <v>3970</v>
      </c>
      <c r="AJ511" s="445"/>
      <c r="AL511" s="448"/>
      <c r="AM511" s="467">
        <f>VLOOKUP(AD511,[6]BV201101!$A$10:$A$1236,1,0)</f>
        <v>111859</v>
      </c>
    </row>
    <row r="512" spans="1:39" s="467" customFormat="1" ht="12.75" customHeight="1">
      <c r="A512" s="487" t="str">
        <f t="shared" si="104"/>
        <v>1</v>
      </c>
      <c r="B512" s="487" t="str">
        <f t="shared" si="91"/>
        <v>11</v>
      </c>
      <c r="C512" s="487" t="str">
        <f t="shared" si="92"/>
        <v>86</v>
      </c>
      <c r="D512" s="487" t="str">
        <f t="shared" si="93"/>
        <v>1860</v>
      </c>
      <c r="E512" s="487">
        <v>511121200</v>
      </c>
      <c r="F512" s="488" t="str">
        <f>+G512&amp;H512</f>
        <v/>
      </c>
      <c r="G512" s="487"/>
      <c r="H512" s="487"/>
      <c r="I512" s="488" t="str">
        <f>+J512&amp;K512</f>
        <v/>
      </c>
      <c r="J512" s="487"/>
      <c r="K512" s="487"/>
      <c r="L512" s="488" t="str">
        <f>+M512&amp;N512</f>
        <v/>
      </c>
      <c r="M512" s="487"/>
      <c r="N512" s="487"/>
      <c r="O512" s="488" t="str">
        <f>+P512&amp;Q512</f>
        <v/>
      </c>
      <c r="P512" s="489"/>
      <c r="Q512" s="489"/>
      <c r="R512" s="592" t="str">
        <f>+S512&amp;T512</f>
        <v/>
      </c>
      <c r="S512" s="487"/>
      <c r="T512" s="487"/>
      <c r="U512" s="488" t="str">
        <f>+V512&amp;W512</f>
        <v/>
      </c>
      <c r="V512" s="489"/>
      <c r="W512" s="489"/>
      <c r="X512" s="488" t="str">
        <f>+Y512&amp;Z512</f>
        <v/>
      </c>
      <c r="Y512" s="489"/>
      <c r="Z512" s="489"/>
      <c r="AA512" s="490" t="str">
        <f>+AB512&amp;AC512</f>
        <v>222</v>
      </c>
      <c r="AB512" s="489">
        <v>22</v>
      </c>
      <c r="AC512" s="489">
        <v>2</v>
      </c>
      <c r="AD512" s="27">
        <v>111860</v>
      </c>
      <c r="AE512" s="27" t="s">
        <v>2087</v>
      </c>
      <c r="AF512" s="432">
        <f>VLOOKUP(AD512,[5]Hoja1!$A$10:$K$1393,11,0)</f>
        <v>3745629</v>
      </c>
      <c r="AG512" s="432">
        <v>0</v>
      </c>
      <c r="AH512" s="432">
        <f t="shared" si="95"/>
        <v>3746</v>
      </c>
      <c r="AJ512" s="445"/>
      <c r="AL512" s="448"/>
      <c r="AM512" s="467">
        <f>VLOOKUP(AD512,[6]BV201101!$A$10:$A$1236,1,0)</f>
        <v>111860</v>
      </c>
    </row>
    <row r="513" spans="1:39" s="467" customFormat="1" ht="12.75" customHeight="1">
      <c r="A513" s="487" t="str">
        <f t="shared" si="104"/>
        <v>1</v>
      </c>
      <c r="B513" s="487" t="str">
        <f t="shared" si="91"/>
        <v>11</v>
      </c>
      <c r="C513" s="487" t="str">
        <f t="shared" si="92"/>
        <v>86</v>
      </c>
      <c r="D513" s="487" t="str">
        <f t="shared" si="93"/>
        <v>1861</v>
      </c>
      <c r="E513" s="487">
        <v>514320000</v>
      </c>
      <c r="F513" s="488"/>
      <c r="G513" s="487"/>
      <c r="H513" s="487"/>
      <c r="I513" s="488"/>
      <c r="J513" s="487"/>
      <c r="K513" s="487"/>
      <c r="L513" s="488"/>
      <c r="M513" s="487"/>
      <c r="N513" s="487"/>
      <c r="O513" s="488"/>
      <c r="P513" s="489"/>
      <c r="Q513" s="489"/>
      <c r="R513" s="592"/>
      <c r="S513" s="487"/>
      <c r="T513" s="487"/>
      <c r="U513" s="488"/>
      <c r="V513" s="489"/>
      <c r="W513" s="489"/>
      <c r="X513" s="488"/>
      <c r="Y513" s="489"/>
      <c r="Z513" s="489"/>
      <c r="AA513" s="490"/>
      <c r="AB513" s="489"/>
      <c r="AC513" s="489"/>
      <c r="AD513" s="27">
        <v>111861</v>
      </c>
      <c r="AE513" s="27" t="s">
        <v>2088</v>
      </c>
      <c r="AF513" s="432">
        <f>VLOOKUP(AD513,[5]Hoja1!$A$10:$K$1393,11,0)</f>
        <v>1461219597</v>
      </c>
      <c r="AG513" s="432"/>
      <c r="AH513" s="432">
        <f t="shared" si="95"/>
        <v>1461220</v>
      </c>
      <c r="AJ513" s="445"/>
      <c r="AL513" s="448"/>
      <c r="AM513" s="467">
        <f>VLOOKUP(AD513,[6]BV201101!$A$10:$A$1236,1,0)</f>
        <v>111861</v>
      </c>
    </row>
    <row r="514" spans="1:39" s="467" customFormat="1" ht="12.75" customHeight="1">
      <c r="A514" s="487" t="str">
        <f t="shared" si="104"/>
        <v>1</v>
      </c>
      <c r="B514" s="487" t="str">
        <f t="shared" si="91"/>
        <v>11</v>
      </c>
      <c r="C514" s="487" t="str">
        <f t="shared" si="92"/>
        <v>86</v>
      </c>
      <c r="D514" s="487" t="str">
        <f t="shared" si="93"/>
        <v>1862</v>
      </c>
      <c r="E514" s="487">
        <v>511121200</v>
      </c>
      <c r="F514" s="488"/>
      <c r="G514" s="487"/>
      <c r="H514" s="487"/>
      <c r="I514" s="488"/>
      <c r="J514" s="487"/>
      <c r="K514" s="487"/>
      <c r="L514" s="488"/>
      <c r="M514" s="487"/>
      <c r="N514" s="487"/>
      <c r="O514" s="488"/>
      <c r="P514" s="489"/>
      <c r="Q514" s="489"/>
      <c r="R514" s="592"/>
      <c r="S514" s="487"/>
      <c r="T514" s="487"/>
      <c r="U514" s="488"/>
      <c r="V514" s="489"/>
      <c r="W514" s="489"/>
      <c r="X514" s="488"/>
      <c r="Y514" s="489"/>
      <c r="Z514" s="489"/>
      <c r="AA514" s="490" t="str">
        <f>+AB514&amp;AC514</f>
        <v>222</v>
      </c>
      <c r="AB514" s="489">
        <v>22</v>
      </c>
      <c r="AC514" s="489">
        <v>2</v>
      </c>
      <c r="AD514" s="27">
        <v>111862</v>
      </c>
      <c r="AE514" s="27" t="s">
        <v>2089</v>
      </c>
      <c r="AF514" s="432">
        <f>VLOOKUP(AD514,[5]Hoja1!$A$10:$K$1393,11,0)</f>
        <v>0</v>
      </c>
      <c r="AG514" s="432"/>
      <c r="AH514" s="432">
        <f t="shared" si="95"/>
        <v>0</v>
      </c>
      <c r="AJ514" s="445"/>
      <c r="AL514" s="448"/>
      <c r="AM514" s="467">
        <f>VLOOKUP(AD514,[6]BV201101!$A$10:$A$1236,1,0)</f>
        <v>111862</v>
      </c>
    </row>
    <row r="515" spans="1:39" s="467" customFormat="1" ht="12.75" customHeight="1">
      <c r="A515" s="487" t="str">
        <f t="shared" si="104"/>
        <v>1</v>
      </c>
      <c r="B515" s="487" t="str">
        <f t="shared" si="91"/>
        <v>11</v>
      </c>
      <c r="C515" s="487" t="str">
        <f t="shared" si="92"/>
        <v>86</v>
      </c>
      <c r="D515" s="487" t="str">
        <f t="shared" si="93"/>
        <v>1863</v>
      </c>
      <c r="E515" s="487">
        <v>514320000</v>
      </c>
      <c r="F515" s="488"/>
      <c r="G515" s="487"/>
      <c r="H515" s="487"/>
      <c r="I515" s="488"/>
      <c r="J515" s="487"/>
      <c r="K515" s="487"/>
      <c r="L515" s="488"/>
      <c r="M515" s="487"/>
      <c r="N515" s="487"/>
      <c r="O515" s="488"/>
      <c r="P515" s="489"/>
      <c r="Q515" s="489"/>
      <c r="R515" s="592"/>
      <c r="S515" s="487"/>
      <c r="T515" s="487"/>
      <c r="U515" s="488"/>
      <c r="V515" s="489"/>
      <c r="W515" s="489"/>
      <c r="X515" s="488"/>
      <c r="Y515" s="489"/>
      <c r="Z515" s="489"/>
      <c r="AA515" s="490"/>
      <c r="AB515" s="489"/>
      <c r="AC515" s="489"/>
      <c r="AD515" s="27">
        <v>111863</v>
      </c>
      <c r="AE515" s="27" t="s">
        <v>2090</v>
      </c>
      <c r="AF515" s="432">
        <f>VLOOKUP(AD515,[5]Hoja1!$A$10:$K$1393,11,0)</f>
        <v>0</v>
      </c>
      <c r="AG515" s="432"/>
      <c r="AH515" s="432">
        <f t="shared" si="95"/>
        <v>0</v>
      </c>
      <c r="AJ515" s="445"/>
      <c r="AL515" s="448"/>
      <c r="AM515" s="467">
        <f>VLOOKUP(AD515,[6]BV201101!$A$10:$A$1236,1,0)</f>
        <v>111863</v>
      </c>
    </row>
    <row r="516" spans="1:39" s="467" customFormat="1" ht="12.75" customHeight="1">
      <c r="A516" s="487" t="str">
        <f t="shared" si="104"/>
        <v>1</v>
      </c>
      <c r="B516" s="487" t="str">
        <f t="shared" si="91"/>
        <v>11</v>
      </c>
      <c r="C516" s="487" t="str">
        <f t="shared" si="92"/>
        <v>86</v>
      </c>
      <c r="D516" s="487" t="str">
        <f t="shared" si="93"/>
        <v>1864</v>
      </c>
      <c r="E516" s="487">
        <v>514320000</v>
      </c>
      <c r="F516" s="488"/>
      <c r="G516" s="487"/>
      <c r="H516" s="487"/>
      <c r="I516" s="488"/>
      <c r="J516" s="487"/>
      <c r="K516" s="487"/>
      <c r="L516" s="488"/>
      <c r="M516" s="487"/>
      <c r="N516" s="487"/>
      <c r="O516" s="488"/>
      <c r="P516" s="489"/>
      <c r="Q516" s="489"/>
      <c r="R516" s="592"/>
      <c r="S516" s="487"/>
      <c r="T516" s="487"/>
      <c r="U516" s="488"/>
      <c r="V516" s="489"/>
      <c r="W516" s="489"/>
      <c r="X516" s="488"/>
      <c r="Y516" s="489"/>
      <c r="Z516" s="489"/>
      <c r="AA516" s="490"/>
      <c r="AB516" s="489"/>
      <c r="AC516" s="489"/>
      <c r="AD516" s="27">
        <v>111864</v>
      </c>
      <c r="AE516" s="27" t="s">
        <v>2091</v>
      </c>
      <c r="AF516" s="432">
        <f>VLOOKUP(AD516,[5]Hoja1!$A$10:$K$1393,11,0)</f>
        <v>33573586</v>
      </c>
      <c r="AG516" s="432"/>
      <c r="AH516" s="432">
        <f t="shared" si="95"/>
        <v>33574</v>
      </c>
      <c r="AJ516" s="445"/>
      <c r="AL516" s="448"/>
      <c r="AM516" s="467">
        <f>VLOOKUP(AD516,[6]BV201101!$A$10:$A$1236,1,0)</f>
        <v>111864</v>
      </c>
    </row>
    <row r="517" spans="1:39" s="467" customFormat="1" ht="12.75" customHeight="1">
      <c r="A517" s="487" t="str">
        <f t="shared" si="104"/>
        <v>1</v>
      </c>
      <c r="B517" s="487" t="str">
        <f t="shared" si="91"/>
        <v>11</v>
      </c>
      <c r="C517" s="487" t="str">
        <f t="shared" si="92"/>
        <v>86</v>
      </c>
      <c r="D517" s="487" t="str">
        <f t="shared" si="93"/>
        <v>1865</v>
      </c>
      <c r="E517" s="487">
        <v>514320000</v>
      </c>
      <c r="F517" s="488"/>
      <c r="G517" s="487"/>
      <c r="H517" s="487"/>
      <c r="I517" s="488"/>
      <c r="J517" s="487"/>
      <c r="K517" s="487"/>
      <c r="L517" s="488"/>
      <c r="M517" s="487"/>
      <c r="N517" s="487"/>
      <c r="O517" s="488"/>
      <c r="P517" s="489"/>
      <c r="Q517" s="489"/>
      <c r="R517" s="592"/>
      <c r="S517" s="487"/>
      <c r="T517" s="487"/>
      <c r="U517" s="488"/>
      <c r="V517" s="489"/>
      <c r="W517" s="489"/>
      <c r="X517" s="488"/>
      <c r="Y517" s="489"/>
      <c r="Z517" s="489"/>
      <c r="AA517" s="490"/>
      <c r="AB517" s="489"/>
      <c r="AC517" s="489"/>
      <c r="AD517" s="27">
        <v>111865</v>
      </c>
      <c r="AE517" s="27" t="s">
        <v>2092</v>
      </c>
      <c r="AF517" s="432">
        <f>VLOOKUP(AD517,[5]Hoja1!$A$10:$K$1393,11,0)</f>
        <v>2197852273</v>
      </c>
      <c r="AG517" s="432"/>
      <c r="AH517" s="432">
        <f t="shared" si="95"/>
        <v>2197852</v>
      </c>
      <c r="AJ517" s="445"/>
      <c r="AL517" s="448"/>
      <c r="AM517" s="467">
        <f>VLOOKUP(AD517,[6]BV201101!$A$10:$A$1236,1,0)</f>
        <v>111865</v>
      </c>
    </row>
    <row r="518" spans="1:39" s="467" customFormat="1" ht="12.75" customHeight="1">
      <c r="A518" s="487" t="str">
        <f t="shared" si="104"/>
        <v>1</v>
      </c>
      <c r="B518" s="487" t="str">
        <f t="shared" si="91"/>
        <v>11</v>
      </c>
      <c r="C518" s="487" t="str">
        <f t="shared" si="92"/>
        <v>86</v>
      </c>
      <c r="D518" s="487" t="str">
        <f t="shared" si="93"/>
        <v>1867</v>
      </c>
      <c r="E518" s="487">
        <v>514320000</v>
      </c>
      <c r="F518" s="488"/>
      <c r="G518" s="487"/>
      <c r="H518" s="487"/>
      <c r="I518" s="488"/>
      <c r="J518" s="487"/>
      <c r="K518" s="487"/>
      <c r="L518" s="488"/>
      <c r="M518" s="487"/>
      <c r="N518" s="487"/>
      <c r="O518" s="488"/>
      <c r="P518" s="489"/>
      <c r="Q518" s="489"/>
      <c r="R518" s="592"/>
      <c r="S518" s="487"/>
      <c r="T518" s="487"/>
      <c r="U518" s="488"/>
      <c r="V518" s="489"/>
      <c r="W518" s="489"/>
      <c r="X518" s="488"/>
      <c r="Y518" s="489"/>
      <c r="Z518" s="489"/>
      <c r="AA518" s="490"/>
      <c r="AB518" s="489"/>
      <c r="AC518" s="489"/>
      <c r="AD518" s="27">
        <v>111867</v>
      </c>
      <c r="AE518" s="27" t="s">
        <v>2093</v>
      </c>
      <c r="AF518" s="432">
        <f>VLOOKUP(AD518,[5]Hoja1!$A$10:$K$1393,11,0)</f>
        <v>0</v>
      </c>
      <c r="AG518" s="432"/>
      <c r="AH518" s="432">
        <f t="shared" si="95"/>
        <v>0</v>
      </c>
      <c r="AJ518" s="445"/>
      <c r="AL518" s="448"/>
      <c r="AM518" s="467">
        <f>VLOOKUP(AD518,[6]BV201101!$A$10:$A$1236,1,0)</f>
        <v>111867</v>
      </c>
    </row>
    <row r="519" spans="1:39" s="467" customFormat="1" ht="12.75" customHeight="1">
      <c r="A519" s="487" t="str">
        <f t="shared" si="104"/>
        <v>1</v>
      </c>
      <c r="B519" s="487" t="str">
        <f t="shared" si="91"/>
        <v>11</v>
      </c>
      <c r="C519" s="487" t="str">
        <f t="shared" si="92"/>
        <v>86</v>
      </c>
      <c r="D519" s="487" t="str">
        <f t="shared" si="93"/>
        <v>1868</v>
      </c>
      <c r="E519" s="487">
        <v>511121200</v>
      </c>
      <c r="F519" s="488"/>
      <c r="G519" s="487"/>
      <c r="H519" s="487"/>
      <c r="I519" s="488"/>
      <c r="J519" s="487"/>
      <c r="K519" s="487"/>
      <c r="L519" s="488"/>
      <c r="M519" s="487"/>
      <c r="N519" s="487"/>
      <c r="O519" s="488"/>
      <c r="P519" s="489"/>
      <c r="Q519" s="489"/>
      <c r="R519" s="592"/>
      <c r="S519" s="487"/>
      <c r="T519" s="487"/>
      <c r="U519" s="488"/>
      <c r="V519" s="489"/>
      <c r="W519" s="489"/>
      <c r="X519" s="488"/>
      <c r="Y519" s="489"/>
      <c r="Z519" s="489"/>
      <c r="AA519" s="490"/>
      <c r="AB519" s="489"/>
      <c r="AC519" s="489"/>
      <c r="AD519" s="927">
        <v>111868</v>
      </c>
      <c r="AE519" s="1021" t="s">
        <v>3066</v>
      </c>
      <c r="AF519" s="432">
        <f>VLOOKUP(AD519,[5]Hoja1!$A$10:$K$1393,11,0)</f>
        <v>-67280677</v>
      </c>
      <c r="AG519" s="432"/>
      <c r="AH519" s="432">
        <f t="shared" si="95"/>
        <v>-67281</v>
      </c>
      <c r="AI519" s="448"/>
      <c r="AJ519" s="445"/>
      <c r="AL519" s="448"/>
      <c r="AM519" s="467">
        <f>VLOOKUP(AD519,[6]BV201101!$A$10:$A$1236,1,0)</f>
        <v>111868</v>
      </c>
    </row>
    <row r="520" spans="1:39" s="467" customFormat="1" ht="12.75" customHeight="1">
      <c r="A520" s="487" t="str">
        <f t="shared" si="104"/>
        <v>1</v>
      </c>
      <c r="B520" s="487" t="str">
        <f t="shared" si="91"/>
        <v>11</v>
      </c>
      <c r="C520" s="487" t="str">
        <f t="shared" si="92"/>
        <v>86</v>
      </c>
      <c r="D520" s="487" t="str">
        <f t="shared" si="93"/>
        <v>1869</v>
      </c>
      <c r="E520" s="487">
        <v>511122100</v>
      </c>
      <c r="F520" s="488"/>
      <c r="G520" s="487"/>
      <c r="H520" s="487"/>
      <c r="I520" s="488"/>
      <c r="J520" s="487"/>
      <c r="K520" s="487"/>
      <c r="L520" s="488"/>
      <c r="M520" s="487"/>
      <c r="N520" s="487"/>
      <c r="O520" s="488"/>
      <c r="P520" s="489"/>
      <c r="Q520" s="489"/>
      <c r="R520" s="592"/>
      <c r="S520" s="487"/>
      <c r="T520" s="487"/>
      <c r="U520" s="488"/>
      <c r="V520" s="489"/>
      <c r="W520" s="489"/>
      <c r="X520" s="488"/>
      <c r="Y520" s="489"/>
      <c r="Z520" s="489"/>
      <c r="AA520" s="490"/>
      <c r="AB520" s="489"/>
      <c r="AC520" s="489"/>
      <c r="AD520" s="927">
        <v>111869</v>
      </c>
      <c r="AE520" s="1021" t="s">
        <v>3067</v>
      </c>
      <c r="AF520" s="432">
        <f>VLOOKUP(AD520,[5]Hoja1!$A$10:$K$1393,11,0)</f>
        <v>-9327077</v>
      </c>
      <c r="AG520" s="432"/>
      <c r="AH520" s="432">
        <f t="shared" si="95"/>
        <v>-9327</v>
      </c>
      <c r="AI520" s="448"/>
      <c r="AJ520" s="445"/>
      <c r="AL520" s="448"/>
      <c r="AM520" s="467">
        <f>VLOOKUP(AD520,[6]BV201101!$A$10:$A$1236,1,0)</f>
        <v>111869</v>
      </c>
    </row>
    <row r="521" spans="1:39" s="467" customFormat="1" ht="12.75" customHeight="1">
      <c r="A521" s="487" t="str">
        <f t="shared" si="104"/>
        <v>1</v>
      </c>
      <c r="B521" s="487" t="str">
        <f t="shared" si="91"/>
        <v>11</v>
      </c>
      <c r="C521" s="487" t="str">
        <f t="shared" si="92"/>
        <v>87</v>
      </c>
      <c r="D521" s="487" t="str">
        <f t="shared" si="93"/>
        <v>1870</v>
      </c>
      <c r="E521" s="487">
        <v>511122100</v>
      </c>
      <c r="F521" s="488"/>
      <c r="G521" s="487"/>
      <c r="H521" s="487"/>
      <c r="I521" s="488"/>
      <c r="J521" s="487"/>
      <c r="K521" s="487"/>
      <c r="L521" s="488"/>
      <c r="M521" s="487"/>
      <c r="N521" s="487"/>
      <c r="O521" s="488"/>
      <c r="P521" s="489"/>
      <c r="Q521" s="489"/>
      <c r="R521" s="592"/>
      <c r="S521" s="487"/>
      <c r="T521" s="487"/>
      <c r="U521" s="488"/>
      <c r="V521" s="489"/>
      <c r="W521" s="489"/>
      <c r="X521" s="488"/>
      <c r="Y521" s="489"/>
      <c r="Z521" s="489"/>
      <c r="AA521" s="490" t="str">
        <f t="shared" ref="AA521:AA528" si="105">+AB521&amp;AC521</f>
        <v>222</v>
      </c>
      <c r="AB521" s="489">
        <v>22</v>
      </c>
      <c r="AC521" s="489">
        <v>2</v>
      </c>
      <c r="AD521" s="27">
        <v>111870</v>
      </c>
      <c r="AE521" s="27" t="s">
        <v>47</v>
      </c>
      <c r="AF521" s="432">
        <f>VLOOKUP(AD521,[5]Hoja1!$A$10:$K$1393,11,0)</f>
        <v>230924194</v>
      </c>
      <c r="AG521" s="432">
        <v>0</v>
      </c>
      <c r="AH521" s="432">
        <f t="shared" si="95"/>
        <v>230924</v>
      </c>
      <c r="AI521" s="473">
        <f>+AH521+AH525+AH530+AH531+AH532+AH533+AH534+AH535</f>
        <v>717991</v>
      </c>
      <c r="AJ521" s="445"/>
      <c r="AL521" s="448"/>
      <c r="AM521" s="467">
        <f>VLOOKUP(AD521,[6]BV201101!$A$10:$A$1236,1,0)</f>
        <v>111870</v>
      </c>
    </row>
    <row r="522" spans="1:39" s="467" customFormat="1" ht="12.75" customHeight="1">
      <c r="A522" s="487" t="str">
        <f t="shared" si="104"/>
        <v>1</v>
      </c>
      <c r="B522" s="487" t="str">
        <f t="shared" si="91"/>
        <v>11</v>
      </c>
      <c r="C522" s="487" t="str">
        <f t="shared" si="92"/>
        <v>87</v>
      </c>
      <c r="D522" s="487" t="str">
        <f t="shared" si="93"/>
        <v>1871</v>
      </c>
      <c r="E522" s="487">
        <v>511121200</v>
      </c>
      <c r="F522" s="488"/>
      <c r="G522" s="487"/>
      <c r="H522" s="487"/>
      <c r="I522" s="488"/>
      <c r="J522" s="487"/>
      <c r="K522" s="487"/>
      <c r="L522" s="488"/>
      <c r="M522" s="487"/>
      <c r="N522" s="487"/>
      <c r="O522" s="488"/>
      <c r="P522" s="489"/>
      <c r="Q522" s="489"/>
      <c r="R522" s="592"/>
      <c r="S522" s="487"/>
      <c r="T522" s="487"/>
      <c r="U522" s="488"/>
      <c r="V522" s="489"/>
      <c r="W522" s="489"/>
      <c r="X522" s="488"/>
      <c r="Y522" s="489"/>
      <c r="Z522" s="489"/>
      <c r="AA522" s="490" t="str">
        <f t="shared" si="105"/>
        <v>222</v>
      </c>
      <c r="AB522" s="489">
        <v>22</v>
      </c>
      <c r="AC522" s="489">
        <v>2</v>
      </c>
      <c r="AD522" s="27">
        <v>111871</v>
      </c>
      <c r="AE522" s="27" t="s">
        <v>2094</v>
      </c>
      <c r="AF522" s="432">
        <f>VLOOKUP(AD522,[5]Hoja1!$A$10:$K$1393,11,0)</f>
        <v>0</v>
      </c>
      <c r="AG522" s="432"/>
      <c r="AH522" s="432">
        <f t="shared" si="95"/>
        <v>0</v>
      </c>
      <c r="AI522" s="448"/>
      <c r="AJ522" s="445"/>
      <c r="AL522" s="448"/>
      <c r="AM522" s="467">
        <f>VLOOKUP(AD522,[6]BV201101!$A$10:$A$1236,1,0)</f>
        <v>111871</v>
      </c>
    </row>
    <row r="523" spans="1:39" s="467" customFormat="1" ht="12.75" customHeight="1">
      <c r="A523" s="487" t="str">
        <f t="shared" si="104"/>
        <v>1</v>
      </c>
      <c r="B523" s="487" t="str">
        <f t="shared" si="91"/>
        <v>11</v>
      </c>
      <c r="C523" s="487" t="str">
        <f t="shared" si="92"/>
        <v>87</v>
      </c>
      <c r="D523" s="487" t="str">
        <f t="shared" si="93"/>
        <v>1872</v>
      </c>
      <c r="E523" s="487">
        <v>511121200</v>
      </c>
      <c r="F523" s="488" t="str">
        <f>+G523&amp;H523</f>
        <v/>
      </c>
      <c r="G523" s="487"/>
      <c r="H523" s="487"/>
      <c r="I523" s="488" t="str">
        <f>+J523&amp;K523</f>
        <v/>
      </c>
      <c r="J523" s="487"/>
      <c r="K523" s="487"/>
      <c r="L523" s="488" t="str">
        <f>+M523&amp;N523</f>
        <v/>
      </c>
      <c r="M523" s="487"/>
      <c r="N523" s="487"/>
      <c r="O523" s="488" t="str">
        <f>+P523&amp;Q523</f>
        <v/>
      </c>
      <c r="P523" s="489"/>
      <c r="Q523" s="489"/>
      <c r="R523" s="592" t="str">
        <f>+S523&amp;T523</f>
        <v/>
      </c>
      <c r="S523" s="487"/>
      <c r="T523" s="487"/>
      <c r="U523" s="488" t="str">
        <f>+V523&amp;W523</f>
        <v/>
      </c>
      <c r="V523" s="489"/>
      <c r="W523" s="489"/>
      <c r="X523" s="488" t="str">
        <f>+Y523&amp;Z523</f>
        <v/>
      </c>
      <c r="Y523" s="489"/>
      <c r="Z523" s="489"/>
      <c r="AA523" s="490" t="str">
        <f t="shared" si="105"/>
        <v>222</v>
      </c>
      <c r="AB523" s="489">
        <v>22</v>
      </c>
      <c r="AC523" s="489">
        <v>2</v>
      </c>
      <c r="AD523" s="27">
        <v>111872</v>
      </c>
      <c r="AE523" s="27" t="s">
        <v>2095</v>
      </c>
      <c r="AF523" s="432">
        <f>VLOOKUP(AD523,[5]Hoja1!$A$10:$K$1393,11,0)</f>
        <v>0</v>
      </c>
      <c r="AG523" s="432"/>
      <c r="AH523" s="432">
        <f t="shared" si="95"/>
        <v>0</v>
      </c>
      <c r="AI523" s="448"/>
      <c r="AJ523" s="445"/>
      <c r="AL523" s="448"/>
      <c r="AM523" s="467">
        <f>VLOOKUP(AD523,[6]BV201101!$A$10:$A$1236,1,0)</f>
        <v>111872</v>
      </c>
    </row>
    <row r="524" spans="1:39" s="467" customFormat="1" ht="12.75" customHeight="1">
      <c r="A524" s="487" t="str">
        <f t="shared" si="104"/>
        <v>1</v>
      </c>
      <c r="B524" s="487" t="str">
        <f t="shared" si="91"/>
        <v>11</v>
      </c>
      <c r="C524" s="487" t="str">
        <f t="shared" si="92"/>
        <v>87</v>
      </c>
      <c r="D524" s="487" t="str">
        <f t="shared" si="93"/>
        <v>1873</v>
      </c>
      <c r="E524" s="487">
        <v>511121200</v>
      </c>
      <c r="F524" s="488" t="str">
        <f>+G524&amp;H524</f>
        <v/>
      </c>
      <c r="G524" s="487"/>
      <c r="H524" s="487"/>
      <c r="I524" s="488" t="str">
        <f>+J524&amp;K524</f>
        <v/>
      </c>
      <c r="J524" s="487"/>
      <c r="K524" s="487"/>
      <c r="L524" s="488" t="str">
        <f>+M524&amp;N524</f>
        <v/>
      </c>
      <c r="M524" s="487"/>
      <c r="N524" s="487"/>
      <c r="O524" s="488" t="str">
        <f>+P524&amp;Q524</f>
        <v/>
      </c>
      <c r="P524" s="489"/>
      <c r="Q524" s="489"/>
      <c r="R524" s="592" t="str">
        <f>+S524&amp;T524</f>
        <v/>
      </c>
      <c r="S524" s="487"/>
      <c r="T524" s="487"/>
      <c r="U524" s="488" t="str">
        <f>+V524&amp;W524</f>
        <v/>
      </c>
      <c r="V524" s="489"/>
      <c r="W524" s="489"/>
      <c r="X524" s="488" t="str">
        <f>+Y524&amp;Z524</f>
        <v/>
      </c>
      <c r="Y524" s="489"/>
      <c r="Z524" s="489"/>
      <c r="AA524" s="490" t="str">
        <f t="shared" si="105"/>
        <v>222</v>
      </c>
      <c r="AB524" s="489">
        <v>22</v>
      </c>
      <c r="AC524" s="489">
        <v>2</v>
      </c>
      <c r="AD524" s="27">
        <v>111873</v>
      </c>
      <c r="AE524" s="27" t="s">
        <v>2096</v>
      </c>
      <c r="AF524" s="432">
        <f>VLOOKUP(AD524,[5]Hoja1!$A$10:$K$1393,11,0)</f>
        <v>0</v>
      </c>
      <c r="AG524" s="432"/>
      <c r="AH524" s="432">
        <f t="shared" si="95"/>
        <v>0</v>
      </c>
      <c r="AI524" s="448"/>
      <c r="AJ524" s="445"/>
      <c r="AL524" s="448"/>
      <c r="AM524" s="467">
        <f>VLOOKUP(AD524,[6]BV201101!$A$10:$A$1236,1,0)</f>
        <v>111873</v>
      </c>
    </row>
    <row r="525" spans="1:39" s="467" customFormat="1" ht="12.75" customHeight="1">
      <c r="A525" s="487" t="str">
        <f t="shared" si="104"/>
        <v>1</v>
      </c>
      <c r="B525" s="487" t="str">
        <f t="shared" si="91"/>
        <v>11</v>
      </c>
      <c r="C525" s="487" t="str">
        <f t="shared" si="92"/>
        <v>87</v>
      </c>
      <c r="D525" s="487" t="str">
        <f t="shared" si="93"/>
        <v>1874</v>
      </c>
      <c r="E525" s="487">
        <v>511122100</v>
      </c>
      <c r="F525" s="488"/>
      <c r="G525" s="487"/>
      <c r="H525" s="487"/>
      <c r="I525" s="488"/>
      <c r="J525" s="487"/>
      <c r="K525" s="487"/>
      <c r="L525" s="488"/>
      <c r="M525" s="487"/>
      <c r="N525" s="487"/>
      <c r="O525" s="488"/>
      <c r="P525" s="489"/>
      <c r="Q525" s="489"/>
      <c r="R525" s="592"/>
      <c r="S525" s="487"/>
      <c r="T525" s="487"/>
      <c r="U525" s="488"/>
      <c r="V525" s="489"/>
      <c r="W525" s="489"/>
      <c r="X525" s="488"/>
      <c r="Y525" s="489"/>
      <c r="Z525" s="489"/>
      <c r="AA525" s="490" t="str">
        <f t="shared" si="105"/>
        <v>222</v>
      </c>
      <c r="AB525" s="489">
        <v>22</v>
      </c>
      <c r="AC525" s="489">
        <v>2</v>
      </c>
      <c r="AD525" s="27">
        <v>111874</v>
      </c>
      <c r="AE525" s="27" t="s">
        <v>1500</v>
      </c>
      <c r="AF525" s="432">
        <f>VLOOKUP(AD525,[5]Hoja1!$A$10:$K$1393,11,0)</f>
        <v>8322641</v>
      </c>
      <c r="AG525" s="432"/>
      <c r="AH525" s="432">
        <f t="shared" si="95"/>
        <v>8323</v>
      </c>
      <c r="AI525" s="473">
        <f>+AH525+AH530+AH532+AH534+AH535+AH521</f>
        <v>717991</v>
      </c>
      <c r="AJ525" s="445"/>
      <c r="AL525" s="448"/>
      <c r="AM525" s="467">
        <f>VLOOKUP(AD525,[6]BV201101!$A$10:$A$1236,1,0)</f>
        <v>111874</v>
      </c>
    </row>
    <row r="526" spans="1:39" s="467" customFormat="1" ht="12.75" customHeight="1">
      <c r="A526" s="487" t="str">
        <f t="shared" si="104"/>
        <v>1</v>
      </c>
      <c r="B526" s="487" t="str">
        <f t="shared" si="91"/>
        <v>11</v>
      </c>
      <c r="C526" s="487" t="str">
        <f t="shared" si="92"/>
        <v>87</v>
      </c>
      <c r="D526" s="487" t="str">
        <f t="shared" si="93"/>
        <v>1875</v>
      </c>
      <c r="E526" s="487">
        <v>514420000</v>
      </c>
      <c r="F526" s="488"/>
      <c r="G526" s="487"/>
      <c r="H526" s="487"/>
      <c r="I526" s="488"/>
      <c r="J526" s="487"/>
      <c r="K526" s="487"/>
      <c r="L526" s="488"/>
      <c r="M526" s="487"/>
      <c r="N526" s="487"/>
      <c r="O526" s="488"/>
      <c r="P526" s="489"/>
      <c r="Q526" s="489"/>
      <c r="R526" s="592"/>
      <c r="S526" s="487"/>
      <c r="T526" s="487"/>
      <c r="U526" s="488"/>
      <c r="V526" s="489"/>
      <c r="W526" s="489"/>
      <c r="X526" s="488"/>
      <c r="Y526" s="489"/>
      <c r="Z526" s="489"/>
      <c r="AA526" s="490" t="str">
        <f t="shared" si="105"/>
        <v>229</v>
      </c>
      <c r="AB526" s="489">
        <v>22</v>
      </c>
      <c r="AC526" s="489">
        <v>9</v>
      </c>
      <c r="AD526" s="27">
        <v>111875</v>
      </c>
      <c r="AE526" s="27" t="s">
        <v>2097</v>
      </c>
      <c r="AF526" s="432">
        <f>VLOOKUP(AD526,[5]Hoja1!$A$10:$K$1393,11,0)</f>
        <v>8395943</v>
      </c>
      <c r="AG526" s="432"/>
      <c r="AH526" s="432">
        <f t="shared" si="95"/>
        <v>8396</v>
      </c>
      <c r="AI526" s="473">
        <f>+AI525+AI460</f>
        <v>14834822</v>
      </c>
      <c r="AJ526" s="445"/>
      <c r="AL526" s="448"/>
      <c r="AM526" s="467">
        <f>VLOOKUP(AD526,[6]BV201101!$A$10:$A$1236,1,0)</f>
        <v>111875</v>
      </c>
    </row>
    <row r="527" spans="1:39" s="467" customFormat="1" ht="12.75" customHeight="1">
      <c r="A527" s="487" t="str">
        <f t="shared" si="104"/>
        <v>1</v>
      </c>
      <c r="B527" s="487" t="str">
        <f t="shared" si="91"/>
        <v>11</v>
      </c>
      <c r="C527" s="487" t="str">
        <f t="shared" si="92"/>
        <v>87</v>
      </c>
      <c r="D527" s="487" t="str">
        <f t="shared" si="93"/>
        <v>1876</v>
      </c>
      <c r="E527" s="487">
        <v>511121200</v>
      </c>
      <c r="F527" s="488"/>
      <c r="G527" s="487"/>
      <c r="H527" s="487"/>
      <c r="I527" s="488"/>
      <c r="J527" s="487"/>
      <c r="K527" s="487"/>
      <c r="L527" s="488"/>
      <c r="M527" s="487"/>
      <c r="N527" s="487"/>
      <c r="O527" s="488"/>
      <c r="P527" s="489"/>
      <c r="Q527" s="489"/>
      <c r="R527" s="592"/>
      <c r="S527" s="487"/>
      <c r="T527" s="487"/>
      <c r="U527" s="488"/>
      <c r="V527" s="489"/>
      <c r="W527" s="489"/>
      <c r="X527" s="488"/>
      <c r="Y527" s="489"/>
      <c r="Z527" s="489"/>
      <c r="AA527" s="490" t="str">
        <f t="shared" si="105"/>
        <v>222</v>
      </c>
      <c r="AB527" s="489">
        <v>22</v>
      </c>
      <c r="AC527" s="489">
        <v>2</v>
      </c>
      <c r="AD527" s="27">
        <v>111876</v>
      </c>
      <c r="AE527" s="27" t="s">
        <v>2098</v>
      </c>
      <c r="AF527" s="432">
        <f>VLOOKUP(AD527,[5]Hoja1!$A$10:$K$1393,11,0)</f>
        <v>1726831791</v>
      </c>
      <c r="AG527" s="432"/>
      <c r="AH527" s="432">
        <f t="shared" si="95"/>
        <v>1726832</v>
      </c>
      <c r="AI527" s="448"/>
      <c r="AJ527" s="445"/>
      <c r="AL527" s="448"/>
      <c r="AM527" s="467">
        <f>VLOOKUP(AD527,[6]BV201101!$A$10:$A$1236,1,0)</f>
        <v>111876</v>
      </c>
    </row>
    <row r="528" spans="1:39" s="467" customFormat="1" ht="12.75" customHeight="1">
      <c r="A528" s="487" t="str">
        <f t="shared" si="104"/>
        <v>1</v>
      </c>
      <c r="B528" s="487" t="str">
        <f t="shared" si="91"/>
        <v>11</v>
      </c>
      <c r="C528" s="487" t="str">
        <f t="shared" si="92"/>
        <v>87</v>
      </c>
      <c r="D528" s="487" t="str">
        <f t="shared" si="93"/>
        <v>1877</v>
      </c>
      <c r="E528" s="487">
        <v>511121200</v>
      </c>
      <c r="F528" s="488"/>
      <c r="G528" s="487"/>
      <c r="H528" s="487"/>
      <c r="I528" s="488"/>
      <c r="J528" s="487"/>
      <c r="K528" s="487"/>
      <c r="L528" s="488"/>
      <c r="M528" s="487"/>
      <c r="N528" s="487"/>
      <c r="O528" s="488"/>
      <c r="P528" s="489"/>
      <c r="Q528" s="489"/>
      <c r="R528" s="592"/>
      <c r="S528" s="487"/>
      <c r="T528" s="487"/>
      <c r="U528" s="488"/>
      <c r="V528" s="489"/>
      <c r="W528" s="489"/>
      <c r="X528" s="488"/>
      <c r="Y528" s="489"/>
      <c r="Z528" s="489"/>
      <c r="AA528" s="490" t="str">
        <f t="shared" si="105"/>
        <v>222</v>
      </c>
      <c r="AB528" s="489">
        <v>22</v>
      </c>
      <c r="AC528" s="489">
        <v>2</v>
      </c>
      <c r="AD528" s="27">
        <v>111877</v>
      </c>
      <c r="AE528" s="27" t="s">
        <v>2099</v>
      </c>
      <c r="AF528" s="432">
        <f>VLOOKUP(AD528,[5]Hoja1!$A$10:$K$1393,11,0)</f>
        <v>-1987910036</v>
      </c>
      <c r="AG528" s="432"/>
      <c r="AH528" s="432">
        <f t="shared" si="95"/>
        <v>-1987910</v>
      </c>
      <c r="AI528" s="448"/>
      <c r="AJ528" s="445"/>
      <c r="AL528" s="448"/>
      <c r="AM528" s="467">
        <f>VLOOKUP(AD528,[6]BV201101!$A$10:$A$1236,1,0)</f>
        <v>111877</v>
      </c>
    </row>
    <row r="529" spans="1:39" s="467" customFormat="1" ht="12.75" customHeight="1">
      <c r="A529" s="487" t="str">
        <f t="shared" si="104"/>
        <v>1</v>
      </c>
      <c r="B529" s="487" t="str">
        <f t="shared" si="91"/>
        <v>11</v>
      </c>
      <c r="C529" s="487" t="str">
        <f t="shared" si="92"/>
        <v>87</v>
      </c>
      <c r="D529" s="487" t="str">
        <f t="shared" si="93"/>
        <v>1878</v>
      </c>
      <c r="E529" s="487">
        <v>514320000</v>
      </c>
      <c r="F529" s="488"/>
      <c r="G529" s="487"/>
      <c r="H529" s="487"/>
      <c r="I529" s="488"/>
      <c r="J529" s="487"/>
      <c r="K529" s="487"/>
      <c r="L529" s="488"/>
      <c r="M529" s="487"/>
      <c r="N529" s="487"/>
      <c r="O529" s="488"/>
      <c r="P529" s="489"/>
      <c r="Q529" s="489"/>
      <c r="R529" s="592"/>
      <c r="S529" s="487"/>
      <c r="T529" s="487"/>
      <c r="U529" s="488"/>
      <c r="V529" s="489"/>
      <c r="W529" s="489"/>
      <c r="X529" s="488"/>
      <c r="Y529" s="489"/>
      <c r="Z529" s="489"/>
      <c r="AA529" s="490"/>
      <c r="AB529" s="489"/>
      <c r="AC529" s="489"/>
      <c r="AD529" s="27">
        <v>111878</v>
      </c>
      <c r="AE529" s="27" t="s">
        <v>1435</v>
      </c>
      <c r="AF529" s="432">
        <f>VLOOKUP(AD529,[5]Hoja1!$A$10:$K$1393,11,0)</f>
        <v>5469890865</v>
      </c>
      <c r="AG529" s="432"/>
      <c r="AH529" s="432">
        <f t="shared" si="95"/>
        <v>5469891</v>
      </c>
      <c r="AI529" s="448"/>
      <c r="AJ529" s="445"/>
      <c r="AL529" s="448"/>
      <c r="AM529" s="467">
        <f>VLOOKUP(AD529,[6]BV201101!$A$10:$A$1236,1,0)</f>
        <v>111878</v>
      </c>
    </row>
    <row r="530" spans="1:39" s="467" customFormat="1" ht="12.75" customHeight="1">
      <c r="A530" s="487" t="str">
        <f t="shared" si="104"/>
        <v>1</v>
      </c>
      <c r="B530" s="487" t="str">
        <f t="shared" si="91"/>
        <v>11</v>
      </c>
      <c r="C530" s="487" t="str">
        <f t="shared" si="92"/>
        <v>87</v>
      </c>
      <c r="D530" s="487" t="str">
        <f t="shared" si="93"/>
        <v>1879</v>
      </c>
      <c r="E530" s="487">
        <v>511122100</v>
      </c>
      <c r="F530" s="488"/>
      <c r="G530" s="487"/>
      <c r="H530" s="487"/>
      <c r="I530" s="488"/>
      <c r="J530" s="487"/>
      <c r="K530" s="487"/>
      <c r="L530" s="488"/>
      <c r="M530" s="487"/>
      <c r="N530" s="487"/>
      <c r="O530" s="488"/>
      <c r="P530" s="489"/>
      <c r="Q530" s="489"/>
      <c r="R530" s="592"/>
      <c r="S530" s="487"/>
      <c r="T530" s="487"/>
      <c r="U530" s="488"/>
      <c r="V530" s="489"/>
      <c r="W530" s="489"/>
      <c r="X530" s="488"/>
      <c r="Y530" s="489"/>
      <c r="Z530" s="489"/>
      <c r="AA530" s="490" t="str">
        <f t="shared" ref="AA530:AA542" si="106">+AB530&amp;AC530</f>
        <v>222</v>
      </c>
      <c r="AB530" s="489">
        <v>22</v>
      </c>
      <c r="AC530" s="489">
        <v>2</v>
      </c>
      <c r="AD530" s="27">
        <v>111879</v>
      </c>
      <c r="AE530" s="27" t="s">
        <v>2100</v>
      </c>
      <c r="AF530" s="432">
        <f>VLOOKUP(AD530,[5]Hoja1!$A$10:$K$1393,11,0)</f>
        <v>378836853</v>
      </c>
      <c r="AG530" s="432"/>
      <c r="AH530" s="432">
        <f t="shared" si="95"/>
        <v>378837</v>
      </c>
      <c r="AI530" s="448"/>
      <c r="AJ530" s="445"/>
      <c r="AL530" s="448"/>
      <c r="AM530" s="467">
        <f>VLOOKUP(AD530,[6]BV201101!$A$10:$A$1236,1,0)</f>
        <v>111879</v>
      </c>
    </row>
    <row r="531" spans="1:39" s="467" customFormat="1" ht="12.75" customHeight="1">
      <c r="A531" s="487" t="str">
        <f t="shared" si="104"/>
        <v>1</v>
      </c>
      <c r="B531" s="487" t="str">
        <f t="shared" si="91"/>
        <v>11</v>
      </c>
      <c r="C531" s="487" t="str">
        <f t="shared" si="92"/>
        <v>88</v>
      </c>
      <c r="D531" s="487" t="str">
        <f t="shared" si="93"/>
        <v>1880</v>
      </c>
      <c r="E531" s="487">
        <v>511122100</v>
      </c>
      <c r="F531" s="488"/>
      <c r="G531" s="487"/>
      <c r="H531" s="487"/>
      <c r="I531" s="488"/>
      <c r="J531" s="487"/>
      <c r="K531" s="487"/>
      <c r="L531" s="488"/>
      <c r="M531" s="487"/>
      <c r="N531" s="487"/>
      <c r="O531" s="488"/>
      <c r="P531" s="489"/>
      <c r="Q531" s="489"/>
      <c r="R531" s="592"/>
      <c r="S531" s="487"/>
      <c r="T531" s="487"/>
      <c r="U531" s="488"/>
      <c r="V531" s="489"/>
      <c r="W531" s="489"/>
      <c r="X531" s="488"/>
      <c r="Y531" s="489"/>
      <c r="Z531" s="489"/>
      <c r="AA531" s="490" t="str">
        <f t="shared" si="106"/>
        <v>222</v>
      </c>
      <c r="AB531" s="489">
        <v>22</v>
      </c>
      <c r="AC531" s="489">
        <v>2</v>
      </c>
      <c r="AD531" s="27">
        <v>111880</v>
      </c>
      <c r="AE531" s="27" t="s">
        <v>1503</v>
      </c>
      <c r="AF531" s="432">
        <f>VLOOKUP(AD531,[5]Hoja1!$A$10:$K$1393,11,0)</f>
        <v>0</v>
      </c>
      <c r="AG531" s="432"/>
      <c r="AH531" s="432">
        <f t="shared" ref="AH531:AH594" si="107">ROUND((AF531+AG531)/$AH$2,0)</f>
        <v>0</v>
      </c>
      <c r="AI531" s="448"/>
      <c r="AJ531" s="445"/>
      <c r="AL531" s="448"/>
      <c r="AM531" s="467">
        <f>VLOOKUP(AD531,[6]BV201101!$A$10:$A$1236,1,0)</f>
        <v>111880</v>
      </c>
    </row>
    <row r="532" spans="1:39" s="467" customFormat="1" ht="12.75" customHeight="1">
      <c r="A532" s="487" t="str">
        <f t="shared" si="104"/>
        <v>1</v>
      </c>
      <c r="B532" s="487" t="str">
        <f t="shared" si="91"/>
        <v>11</v>
      </c>
      <c r="C532" s="487" t="str">
        <f t="shared" si="92"/>
        <v>88</v>
      </c>
      <c r="D532" s="487" t="str">
        <f t="shared" si="93"/>
        <v>1881</v>
      </c>
      <c r="E532" s="487">
        <v>511122100</v>
      </c>
      <c r="F532" s="488"/>
      <c r="G532" s="487"/>
      <c r="H532" s="487"/>
      <c r="I532" s="488"/>
      <c r="J532" s="487"/>
      <c r="K532" s="487"/>
      <c r="L532" s="488"/>
      <c r="M532" s="487"/>
      <c r="N532" s="487"/>
      <c r="O532" s="488"/>
      <c r="P532" s="489"/>
      <c r="Q532" s="489"/>
      <c r="R532" s="592"/>
      <c r="S532" s="487"/>
      <c r="T532" s="487"/>
      <c r="U532" s="488"/>
      <c r="V532" s="489"/>
      <c r="W532" s="489"/>
      <c r="X532" s="488"/>
      <c r="Y532" s="489"/>
      <c r="Z532" s="489"/>
      <c r="AA532" s="490" t="str">
        <f t="shared" si="106"/>
        <v>222</v>
      </c>
      <c r="AB532" s="489">
        <v>22</v>
      </c>
      <c r="AC532" s="489">
        <v>2</v>
      </c>
      <c r="AD532" s="27">
        <v>111881</v>
      </c>
      <c r="AE532" s="27" t="s">
        <v>2101</v>
      </c>
      <c r="AF532" s="432">
        <f>VLOOKUP(AD532,[5]Hoja1!$A$10:$K$1393,11,0)</f>
        <v>45814550</v>
      </c>
      <c r="AG532" s="432">
        <v>0</v>
      </c>
      <c r="AH532" s="432">
        <f t="shared" si="107"/>
        <v>45815</v>
      </c>
      <c r="AI532" s="448"/>
      <c r="AJ532" s="445"/>
      <c r="AL532" s="448"/>
      <c r="AM532" s="467">
        <f>VLOOKUP(AD532,[6]BV201101!$A$10:$A$1236,1,0)</f>
        <v>111881</v>
      </c>
    </row>
    <row r="533" spans="1:39" s="467" customFormat="1" ht="12.75" customHeight="1">
      <c r="A533" s="487" t="str">
        <f t="shared" si="104"/>
        <v>1</v>
      </c>
      <c r="B533" s="487" t="str">
        <f t="shared" si="91"/>
        <v>11</v>
      </c>
      <c r="C533" s="487" t="str">
        <f t="shared" si="92"/>
        <v>88</v>
      </c>
      <c r="D533" s="487" t="str">
        <f t="shared" si="93"/>
        <v>1882</v>
      </c>
      <c r="E533" s="487">
        <v>511122100</v>
      </c>
      <c r="F533" s="488"/>
      <c r="G533" s="487"/>
      <c r="H533" s="487"/>
      <c r="I533" s="488"/>
      <c r="J533" s="487"/>
      <c r="K533" s="487"/>
      <c r="L533" s="488"/>
      <c r="M533" s="487"/>
      <c r="N533" s="487"/>
      <c r="O533" s="488"/>
      <c r="P533" s="489"/>
      <c r="Q533" s="489"/>
      <c r="R533" s="592"/>
      <c r="S533" s="487"/>
      <c r="T533" s="487"/>
      <c r="U533" s="488"/>
      <c r="V533" s="489"/>
      <c r="W533" s="489"/>
      <c r="X533" s="488"/>
      <c r="Y533" s="489"/>
      <c r="Z533" s="489"/>
      <c r="AA533" s="490" t="str">
        <f t="shared" si="106"/>
        <v>222</v>
      </c>
      <c r="AB533" s="489">
        <v>22</v>
      </c>
      <c r="AC533" s="489">
        <v>2</v>
      </c>
      <c r="AD533" s="27">
        <v>111882</v>
      </c>
      <c r="AE533" s="27" t="s">
        <v>1504</v>
      </c>
      <c r="AF533" s="432">
        <f>VLOOKUP(AD533,[5]Hoja1!$A$10:$K$1393,11,0)</f>
        <v>0</v>
      </c>
      <c r="AG533" s="432"/>
      <c r="AH533" s="432">
        <f t="shared" si="107"/>
        <v>0</v>
      </c>
      <c r="AI533" s="448"/>
      <c r="AJ533" s="445"/>
      <c r="AL533" s="448"/>
      <c r="AM533" s="467">
        <f>VLOOKUP(AD533,[6]BV201101!$A$10:$A$1236,1,0)</f>
        <v>111882</v>
      </c>
    </row>
    <row r="534" spans="1:39" s="467" customFormat="1" ht="12.75" customHeight="1">
      <c r="A534" s="487" t="str">
        <f t="shared" si="104"/>
        <v>1</v>
      </c>
      <c r="B534" s="487" t="str">
        <f t="shared" si="91"/>
        <v>11</v>
      </c>
      <c r="C534" s="487" t="str">
        <f t="shared" si="92"/>
        <v>88</v>
      </c>
      <c r="D534" s="487" t="str">
        <f t="shared" si="93"/>
        <v>1883</v>
      </c>
      <c r="E534" s="487">
        <v>511122100</v>
      </c>
      <c r="F534" s="488"/>
      <c r="G534" s="487"/>
      <c r="H534" s="487"/>
      <c r="I534" s="488"/>
      <c r="J534" s="487"/>
      <c r="K534" s="487"/>
      <c r="L534" s="488"/>
      <c r="M534" s="487"/>
      <c r="N534" s="487"/>
      <c r="O534" s="488"/>
      <c r="P534" s="489"/>
      <c r="Q534" s="489"/>
      <c r="R534" s="592"/>
      <c r="S534" s="487"/>
      <c r="T534" s="487"/>
      <c r="U534" s="488"/>
      <c r="V534" s="489"/>
      <c r="W534" s="489"/>
      <c r="X534" s="488"/>
      <c r="Y534" s="489"/>
      <c r="Z534" s="489"/>
      <c r="AA534" s="490" t="str">
        <f t="shared" si="106"/>
        <v>222</v>
      </c>
      <c r="AB534" s="489">
        <v>22</v>
      </c>
      <c r="AC534" s="489">
        <v>2</v>
      </c>
      <c r="AD534" s="27">
        <v>111883</v>
      </c>
      <c r="AE534" s="27" t="s">
        <v>1505</v>
      </c>
      <c r="AF534" s="432">
        <f>VLOOKUP(AD534,[5]Hoja1!$A$10:$K$1393,11,0)</f>
        <v>62415398</v>
      </c>
      <c r="AG534" s="432">
        <v>0</v>
      </c>
      <c r="AH534" s="432">
        <f t="shared" si="107"/>
        <v>62415</v>
      </c>
      <c r="AI534" s="448"/>
      <c r="AJ534" s="445"/>
      <c r="AL534" s="448"/>
      <c r="AM534" s="467">
        <f>VLOOKUP(AD534,[6]BV201101!$A$10:$A$1236,1,0)</f>
        <v>111883</v>
      </c>
    </row>
    <row r="535" spans="1:39" s="467" customFormat="1" ht="12.75" customHeight="1">
      <c r="A535" s="487" t="str">
        <f t="shared" si="104"/>
        <v>1</v>
      </c>
      <c r="B535" s="487" t="str">
        <f t="shared" si="91"/>
        <v>11</v>
      </c>
      <c r="C535" s="487" t="str">
        <f t="shared" si="92"/>
        <v>88</v>
      </c>
      <c r="D535" s="487" t="str">
        <f t="shared" si="93"/>
        <v>1884</v>
      </c>
      <c r="E535" s="487">
        <v>511122100</v>
      </c>
      <c r="F535" s="488"/>
      <c r="G535" s="487"/>
      <c r="H535" s="487"/>
      <c r="I535" s="488"/>
      <c r="J535" s="487"/>
      <c r="K535" s="487"/>
      <c r="L535" s="488"/>
      <c r="M535" s="487"/>
      <c r="N535" s="487"/>
      <c r="O535" s="488"/>
      <c r="P535" s="489"/>
      <c r="Q535" s="489"/>
      <c r="R535" s="592"/>
      <c r="S535" s="487"/>
      <c r="T535" s="487"/>
      <c r="U535" s="488"/>
      <c r="V535" s="489"/>
      <c r="W535" s="489"/>
      <c r="X535" s="488"/>
      <c r="Y535" s="489"/>
      <c r="Z535" s="489"/>
      <c r="AA535" s="490" t="str">
        <f t="shared" si="106"/>
        <v>222</v>
      </c>
      <c r="AB535" s="489">
        <v>22</v>
      </c>
      <c r="AC535" s="489">
        <v>2</v>
      </c>
      <c r="AD535" s="27">
        <v>111884</v>
      </c>
      <c r="AE535" s="27" t="s">
        <v>2102</v>
      </c>
      <c r="AF535" s="432">
        <f>VLOOKUP(AD535,[5]Hoja1!$A$10:$K$1393,11,0)</f>
        <v>-8322641</v>
      </c>
      <c r="AG535" s="432">
        <v>0</v>
      </c>
      <c r="AH535" s="432">
        <f t="shared" si="107"/>
        <v>-8323</v>
      </c>
      <c r="AI535" s="448"/>
      <c r="AJ535" s="445"/>
      <c r="AL535" s="448"/>
      <c r="AM535" s="467">
        <f>VLOOKUP(AD535,[6]BV201101!$A$10:$A$1236,1,0)</f>
        <v>111884</v>
      </c>
    </row>
    <row r="536" spans="1:39" s="467" customFormat="1" ht="12.75" customHeight="1">
      <c r="A536" s="487" t="str">
        <f t="shared" si="104"/>
        <v>1</v>
      </c>
      <c r="B536" s="487" t="str">
        <f t="shared" si="91"/>
        <v>11</v>
      </c>
      <c r="C536" s="487" t="str">
        <f t="shared" si="92"/>
        <v>88</v>
      </c>
      <c r="D536" s="487" t="str">
        <f t="shared" si="93"/>
        <v>1885</v>
      </c>
      <c r="E536" s="487">
        <v>514340000</v>
      </c>
      <c r="F536" s="488"/>
      <c r="G536" s="487"/>
      <c r="H536" s="487"/>
      <c r="I536" s="488"/>
      <c r="J536" s="487"/>
      <c r="K536" s="487"/>
      <c r="L536" s="488"/>
      <c r="M536" s="487"/>
      <c r="N536" s="487"/>
      <c r="O536" s="488"/>
      <c r="P536" s="489"/>
      <c r="Q536" s="489"/>
      <c r="R536" s="592"/>
      <c r="S536" s="487"/>
      <c r="T536" s="487"/>
      <c r="U536" s="488"/>
      <c r="V536" s="489"/>
      <c r="W536" s="489"/>
      <c r="X536" s="488"/>
      <c r="Y536" s="489"/>
      <c r="Z536" s="489"/>
      <c r="AA536" s="490"/>
      <c r="AB536" s="489"/>
      <c r="AC536" s="489"/>
      <c r="AD536" s="27">
        <v>111885</v>
      </c>
      <c r="AE536" s="1021" t="s">
        <v>3068</v>
      </c>
      <c r="AF536" s="432">
        <f>VLOOKUP(AD536,[5]Hoja1!$A$10:$K$1393,11,0)</f>
        <v>40424660</v>
      </c>
      <c r="AG536" s="432"/>
      <c r="AH536" s="432">
        <f t="shared" si="107"/>
        <v>40425</v>
      </c>
      <c r="AI536" s="448"/>
      <c r="AJ536" s="445"/>
      <c r="AL536" s="448"/>
      <c r="AM536" s="467">
        <f>VLOOKUP(AD536,[6]BV201101!$A$10:$A$1236,1,0)</f>
        <v>111885</v>
      </c>
    </row>
    <row r="537" spans="1:39" s="467" customFormat="1" ht="12.75" customHeight="1">
      <c r="A537" s="487" t="str">
        <f t="shared" si="104"/>
        <v>1</v>
      </c>
      <c r="B537" s="487" t="str">
        <f t="shared" si="91"/>
        <v>11</v>
      </c>
      <c r="C537" s="487" t="str">
        <f t="shared" si="92"/>
        <v>88</v>
      </c>
      <c r="D537" s="487" t="str">
        <f t="shared" si="93"/>
        <v>1886</v>
      </c>
      <c r="E537" s="487">
        <v>514320000</v>
      </c>
      <c r="F537" s="488"/>
      <c r="G537" s="487"/>
      <c r="H537" s="487"/>
      <c r="I537" s="488"/>
      <c r="J537" s="487"/>
      <c r="K537" s="487"/>
      <c r="L537" s="488"/>
      <c r="M537" s="487"/>
      <c r="N537" s="487"/>
      <c r="O537" s="488"/>
      <c r="P537" s="489"/>
      <c r="Q537" s="489"/>
      <c r="R537" s="592"/>
      <c r="S537" s="487"/>
      <c r="T537" s="487"/>
      <c r="U537" s="488"/>
      <c r="V537" s="489"/>
      <c r="W537" s="489"/>
      <c r="X537" s="488"/>
      <c r="Y537" s="489"/>
      <c r="Z537" s="489"/>
      <c r="AA537" s="490" t="str">
        <f t="shared" si="106"/>
        <v xml:space="preserve"> </v>
      </c>
      <c r="AB537" s="489" t="s">
        <v>1805</v>
      </c>
      <c r="AC537" s="489"/>
      <c r="AD537" s="27">
        <v>111886</v>
      </c>
      <c r="AE537" s="27" t="s">
        <v>1515</v>
      </c>
      <c r="AF537" s="432">
        <f>VLOOKUP(AD537,[5]Hoja1!$A$10:$K$1393,11,0)</f>
        <v>0</v>
      </c>
      <c r="AG537" s="432"/>
      <c r="AH537" s="432">
        <f t="shared" si="107"/>
        <v>0</v>
      </c>
      <c r="AI537" s="448"/>
      <c r="AJ537" s="445"/>
      <c r="AL537" s="448"/>
      <c r="AM537" s="467">
        <f>VLOOKUP(AD537,[6]BV201101!$A$10:$A$1236,1,0)</f>
        <v>111886</v>
      </c>
    </row>
    <row r="538" spans="1:39" s="467" customFormat="1" ht="12.75" customHeight="1">
      <c r="A538" s="487" t="str">
        <f t="shared" si="104"/>
        <v>1</v>
      </c>
      <c r="B538" s="487" t="str">
        <f t="shared" si="91"/>
        <v>11</v>
      </c>
      <c r="C538" s="487" t="str">
        <f t="shared" si="92"/>
        <v>88</v>
      </c>
      <c r="D538" s="487" t="str">
        <f t="shared" si="93"/>
        <v>1887</v>
      </c>
      <c r="E538" s="487">
        <v>514450000</v>
      </c>
      <c r="F538" s="488"/>
      <c r="G538" s="487"/>
      <c r="H538" s="487"/>
      <c r="I538" s="488"/>
      <c r="J538" s="487"/>
      <c r="K538" s="487"/>
      <c r="L538" s="488"/>
      <c r="M538" s="487"/>
      <c r="N538" s="487"/>
      <c r="O538" s="488"/>
      <c r="P538" s="489"/>
      <c r="Q538" s="489"/>
      <c r="R538" s="592"/>
      <c r="S538" s="487"/>
      <c r="T538" s="487"/>
      <c r="U538" s="488"/>
      <c r="V538" s="489"/>
      <c r="W538" s="489"/>
      <c r="X538" s="488"/>
      <c r="Y538" s="489"/>
      <c r="Z538" s="489"/>
      <c r="AA538" s="490" t="str">
        <f t="shared" si="106"/>
        <v>2212</v>
      </c>
      <c r="AB538" s="489">
        <v>22</v>
      </c>
      <c r="AC538" s="489">
        <v>12</v>
      </c>
      <c r="AD538" s="27">
        <v>111887</v>
      </c>
      <c r="AE538" s="27" t="s">
        <v>432</v>
      </c>
      <c r="AF538" s="432">
        <f>VLOOKUP(AD538,[5]Hoja1!$A$10:$K$1393,11,0)</f>
        <v>0</v>
      </c>
      <c r="AG538" s="432">
        <f>+AF965</f>
        <v>0</v>
      </c>
      <c r="AH538" s="432">
        <f t="shared" si="107"/>
        <v>0</v>
      </c>
      <c r="AI538" s="448"/>
      <c r="AJ538" s="445"/>
      <c r="AL538" s="448"/>
      <c r="AM538" s="467">
        <f>VLOOKUP(AD538,[6]BV201101!$A$10:$A$1236,1,0)</f>
        <v>111887</v>
      </c>
    </row>
    <row r="539" spans="1:39" s="467" customFormat="1" ht="12.75" customHeight="1">
      <c r="A539" s="487" t="str">
        <f t="shared" si="104"/>
        <v>1</v>
      </c>
      <c r="B539" s="487" t="str">
        <f t="shared" si="91"/>
        <v>11</v>
      </c>
      <c r="C539" s="487" t="str">
        <f t="shared" si="92"/>
        <v>89</v>
      </c>
      <c r="D539" s="487" t="str">
        <f t="shared" si="93"/>
        <v>1891</v>
      </c>
      <c r="E539" s="487">
        <v>511121200</v>
      </c>
      <c r="F539" s="488"/>
      <c r="G539" s="487"/>
      <c r="H539" s="487"/>
      <c r="I539" s="488"/>
      <c r="J539" s="487"/>
      <c r="K539" s="487"/>
      <c r="L539" s="488"/>
      <c r="M539" s="487"/>
      <c r="N539" s="487"/>
      <c r="O539" s="488"/>
      <c r="P539" s="489"/>
      <c r="Q539" s="489"/>
      <c r="R539" s="592"/>
      <c r="S539" s="487"/>
      <c r="T539" s="487"/>
      <c r="U539" s="488"/>
      <c r="V539" s="489"/>
      <c r="W539" s="489"/>
      <c r="X539" s="488"/>
      <c r="Y539" s="489"/>
      <c r="Z539" s="489"/>
      <c r="AA539" s="490" t="str">
        <f t="shared" si="106"/>
        <v>222</v>
      </c>
      <c r="AB539" s="489">
        <v>22</v>
      </c>
      <c r="AC539" s="489">
        <v>2</v>
      </c>
      <c r="AD539" s="27">
        <v>111891</v>
      </c>
      <c r="AE539" s="27" t="s">
        <v>2103</v>
      </c>
      <c r="AF539" s="432">
        <f>VLOOKUP(AD539,[5]Hoja1!$A$10:$K$1393,11,0)</f>
        <v>27687095</v>
      </c>
      <c r="AG539" s="432"/>
      <c r="AH539" s="432">
        <f t="shared" si="107"/>
        <v>27687</v>
      </c>
      <c r="AI539" s="448"/>
      <c r="AJ539" s="445"/>
      <c r="AL539" s="448"/>
      <c r="AM539" s="467">
        <f>VLOOKUP(AD539,[6]BV201101!$A$10:$A$1236,1,0)</f>
        <v>111891</v>
      </c>
    </row>
    <row r="540" spans="1:39" s="467" customFormat="1" ht="12.75" customHeight="1">
      <c r="A540" s="487" t="str">
        <f t="shared" si="104"/>
        <v>1</v>
      </c>
      <c r="B540" s="487" t="str">
        <f t="shared" si="91"/>
        <v>11</v>
      </c>
      <c r="C540" s="487" t="str">
        <f t="shared" si="92"/>
        <v>89</v>
      </c>
      <c r="D540" s="487" t="str">
        <f t="shared" si="93"/>
        <v>1892</v>
      </c>
      <c r="E540" s="487">
        <v>511121200</v>
      </c>
      <c r="F540" s="488"/>
      <c r="G540" s="487"/>
      <c r="H540" s="487"/>
      <c r="I540" s="488"/>
      <c r="J540" s="487"/>
      <c r="K540" s="487"/>
      <c r="L540" s="488"/>
      <c r="M540" s="487"/>
      <c r="N540" s="487"/>
      <c r="O540" s="488"/>
      <c r="P540" s="489"/>
      <c r="Q540" s="489"/>
      <c r="R540" s="592"/>
      <c r="S540" s="487"/>
      <c r="T540" s="487"/>
      <c r="U540" s="488"/>
      <c r="V540" s="489"/>
      <c r="W540" s="489"/>
      <c r="X540" s="488"/>
      <c r="Y540" s="489"/>
      <c r="Z540" s="489"/>
      <c r="AA540" s="490" t="str">
        <f t="shared" si="106"/>
        <v>222</v>
      </c>
      <c r="AB540" s="489">
        <v>22</v>
      </c>
      <c r="AC540" s="489">
        <v>2</v>
      </c>
      <c r="AD540" s="27">
        <v>111892</v>
      </c>
      <c r="AE540" s="27" t="s">
        <v>2104</v>
      </c>
      <c r="AF540" s="432">
        <f>VLOOKUP(AD540,[5]Hoja1!$A$10:$K$1393,11,0)</f>
        <v>-19202886</v>
      </c>
      <c r="AG540" s="432"/>
      <c r="AH540" s="432">
        <f t="shared" si="107"/>
        <v>-19203</v>
      </c>
      <c r="AI540" s="448"/>
      <c r="AJ540" s="445"/>
      <c r="AL540" s="448"/>
      <c r="AM540" s="467">
        <f>VLOOKUP(AD540,[6]BV201101!$A$10:$A$1236,1,0)</f>
        <v>111892</v>
      </c>
    </row>
    <row r="541" spans="1:39" s="467" customFormat="1" ht="12.75" customHeight="1">
      <c r="A541" s="487" t="str">
        <f t="shared" si="104"/>
        <v>1</v>
      </c>
      <c r="B541" s="487" t="str">
        <f t="shared" si="91"/>
        <v>11</v>
      </c>
      <c r="C541" s="487" t="str">
        <f t="shared" si="92"/>
        <v>89</v>
      </c>
      <c r="D541" s="487" t="str">
        <f t="shared" si="93"/>
        <v>1893</v>
      </c>
      <c r="E541" s="487">
        <v>514320000</v>
      </c>
      <c r="F541" s="488"/>
      <c r="G541" s="487"/>
      <c r="H541" s="487"/>
      <c r="I541" s="488"/>
      <c r="J541" s="487"/>
      <c r="K541" s="487"/>
      <c r="L541" s="488"/>
      <c r="M541" s="487"/>
      <c r="N541" s="487"/>
      <c r="O541" s="488"/>
      <c r="P541" s="489"/>
      <c r="Q541" s="489"/>
      <c r="R541" s="592"/>
      <c r="S541" s="487"/>
      <c r="T541" s="487"/>
      <c r="U541" s="488"/>
      <c r="V541" s="489"/>
      <c r="W541" s="489"/>
      <c r="X541" s="488"/>
      <c r="Y541" s="489"/>
      <c r="Z541" s="489"/>
      <c r="AA541" s="490"/>
      <c r="AB541" s="489"/>
      <c r="AC541" s="489"/>
      <c r="AD541" s="27">
        <v>111893</v>
      </c>
      <c r="AE541" s="27" t="s">
        <v>2105</v>
      </c>
      <c r="AF541" s="432">
        <f>VLOOKUP(AD541,[5]Hoja1!$A$10:$K$1393,11,0)</f>
        <v>1979778227</v>
      </c>
      <c r="AG541" s="432"/>
      <c r="AH541" s="432">
        <f t="shared" si="107"/>
        <v>1979778</v>
      </c>
      <c r="AI541" s="448"/>
      <c r="AJ541" s="445"/>
      <c r="AL541" s="448"/>
      <c r="AM541" s="467">
        <f>VLOOKUP(AD541,[6]BV201101!$A$10:$A$1236,1,0)</f>
        <v>111893</v>
      </c>
    </row>
    <row r="542" spans="1:39" s="467" customFormat="1" ht="12.75" customHeight="1">
      <c r="A542" s="487" t="str">
        <f t="shared" si="104"/>
        <v>1</v>
      </c>
      <c r="B542" s="487" t="str">
        <f t="shared" si="91"/>
        <v>11</v>
      </c>
      <c r="C542" s="487" t="str">
        <f t="shared" si="92"/>
        <v>89</v>
      </c>
      <c r="D542" s="487" t="str">
        <f t="shared" si="93"/>
        <v>1894</v>
      </c>
      <c r="E542" s="487">
        <v>514320000</v>
      </c>
      <c r="F542" s="488"/>
      <c r="G542" s="487"/>
      <c r="H542" s="487"/>
      <c r="I542" s="488"/>
      <c r="J542" s="487"/>
      <c r="K542" s="487"/>
      <c r="L542" s="488"/>
      <c r="M542" s="487"/>
      <c r="N542" s="487"/>
      <c r="O542" s="488"/>
      <c r="P542" s="489"/>
      <c r="Q542" s="489"/>
      <c r="R542" s="592"/>
      <c r="S542" s="487"/>
      <c r="T542" s="487"/>
      <c r="U542" s="488"/>
      <c r="V542" s="489"/>
      <c r="W542" s="489"/>
      <c r="X542" s="488"/>
      <c r="Y542" s="489"/>
      <c r="Z542" s="489"/>
      <c r="AA542" s="490" t="str">
        <f t="shared" si="106"/>
        <v xml:space="preserve"> </v>
      </c>
      <c r="AB542" s="489" t="s">
        <v>1805</v>
      </c>
      <c r="AC542" s="489"/>
      <c r="AD542" s="27">
        <v>111894</v>
      </c>
      <c r="AE542" s="27" t="s">
        <v>2106</v>
      </c>
      <c r="AF542" s="432">
        <f>VLOOKUP(AD542,[5]Hoja1!$A$10:$K$1393,11,0)</f>
        <v>0</v>
      </c>
      <c r="AG542" s="432"/>
      <c r="AH542" s="432">
        <f t="shared" si="107"/>
        <v>0</v>
      </c>
      <c r="AI542" s="448"/>
      <c r="AJ542" s="445"/>
      <c r="AL542" s="448"/>
      <c r="AM542" s="467">
        <f>VLOOKUP(AD542,[6]BV201101!$A$10:$A$1236,1,0)</f>
        <v>111894</v>
      </c>
    </row>
    <row r="543" spans="1:39" s="467" customFormat="1" ht="12.75" customHeight="1">
      <c r="A543" s="487" t="str">
        <f t="shared" si="104"/>
        <v>1</v>
      </c>
      <c r="B543" s="487"/>
      <c r="C543" s="487"/>
      <c r="D543" s="487"/>
      <c r="E543" s="487">
        <v>511121200</v>
      </c>
      <c r="F543" s="488"/>
      <c r="G543" s="487"/>
      <c r="H543" s="487"/>
      <c r="I543" s="488"/>
      <c r="J543" s="487"/>
      <c r="K543" s="487"/>
      <c r="L543" s="488"/>
      <c r="M543" s="487"/>
      <c r="N543" s="487"/>
      <c r="O543" s="488"/>
      <c r="P543" s="489"/>
      <c r="Q543" s="489"/>
      <c r="R543" s="592"/>
      <c r="S543" s="487"/>
      <c r="T543" s="487"/>
      <c r="U543" s="488"/>
      <c r="V543" s="489"/>
      <c r="W543" s="489"/>
      <c r="X543" s="488"/>
      <c r="Y543" s="489"/>
      <c r="Z543" s="489"/>
      <c r="AA543" s="490"/>
      <c r="AB543" s="489"/>
      <c r="AC543" s="489"/>
      <c r="AD543" s="927">
        <v>111895</v>
      </c>
      <c r="AE543" s="27" t="s">
        <v>2692</v>
      </c>
      <c r="AF543" s="432">
        <f>VLOOKUP(AD543,[5]Hoja1!$A$10:$K$1393,11,0)</f>
        <v>10033045560</v>
      </c>
      <c r="AG543" s="432">
        <v>0</v>
      </c>
      <c r="AH543" s="432">
        <f t="shared" si="107"/>
        <v>10033046</v>
      </c>
      <c r="AI543" s="448"/>
      <c r="AJ543" s="445"/>
      <c r="AL543" s="448"/>
    </row>
    <row r="544" spans="1:39" s="467" customFormat="1" ht="12.75" customHeight="1">
      <c r="A544" s="487" t="str">
        <f t="shared" si="104"/>
        <v>1</v>
      </c>
      <c r="B544" s="487"/>
      <c r="C544" s="487"/>
      <c r="D544" s="487"/>
      <c r="E544" s="487">
        <v>511121200</v>
      </c>
      <c r="F544" s="488"/>
      <c r="G544" s="487"/>
      <c r="H544" s="487"/>
      <c r="I544" s="488"/>
      <c r="J544" s="487"/>
      <c r="K544" s="487"/>
      <c r="L544" s="488"/>
      <c r="M544" s="487"/>
      <c r="N544" s="487"/>
      <c r="O544" s="488"/>
      <c r="P544" s="489"/>
      <c r="Q544" s="489"/>
      <c r="R544" s="592"/>
      <c r="S544" s="487"/>
      <c r="T544" s="487"/>
      <c r="U544" s="488"/>
      <c r="V544" s="489"/>
      <c r="W544" s="489"/>
      <c r="X544" s="488"/>
      <c r="Y544" s="489"/>
      <c r="Z544" s="489"/>
      <c r="AA544" s="490"/>
      <c r="AB544" s="489"/>
      <c r="AC544" s="489"/>
      <c r="AD544" s="927">
        <v>111896</v>
      </c>
      <c r="AE544" s="27" t="s">
        <v>2693</v>
      </c>
      <c r="AF544" s="432">
        <f>VLOOKUP(AD544,[5]Hoja1!$A$10:$K$1393,11,0)</f>
        <v>-19206155</v>
      </c>
      <c r="AG544" s="432">
        <v>0</v>
      </c>
      <c r="AH544" s="432">
        <f t="shared" si="107"/>
        <v>-19206</v>
      </c>
      <c r="AI544" s="448"/>
      <c r="AJ544" s="445"/>
      <c r="AL544" s="448"/>
    </row>
    <row r="545" spans="1:39" s="467" customFormat="1" ht="12.75" customHeight="1">
      <c r="A545" s="487" t="str">
        <f t="shared" si="104"/>
        <v>1</v>
      </c>
      <c r="B545" s="487"/>
      <c r="C545" s="487"/>
      <c r="D545" s="487"/>
      <c r="E545" s="487">
        <v>511121200</v>
      </c>
      <c r="F545" s="488"/>
      <c r="G545" s="487"/>
      <c r="H545" s="487"/>
      <c r="I545" s="488"/>
      <c r="J545" s="487"/>
      <c r="K545" s="487"/>
      <c r="L545" s="488"/>
      <c r="M545" s="487"/>
      <c r="N545" s="487"/>
      <c r="O545" s="488"/>
      <c r="P545" s="489"/>
      <c r="Q545" s="489"/>
      <c r="R545" s="592"/>
      <c r="S545" s="487"/>
      <c r="T545" s="487"/>
      <c r="U545" s="488"/>
      <c r="V545" s="489"/>
      <c r="W545" s="489"/>
      <c r="X545" s="488"/>
      <c r="Y545" s="489"/>
      <c r="Z545" s="489"/>
      <c r="AA545" s="490"/>
      <c r="AB545" s="489"/>
      <c r="AC545" s="489"/>
      <c r="AD545" s="927">
        <v>111897</v>
      </c>
      <c r="AE545" s="27" t="s">
        <v>2694</v>
      </c>
      <c r="AF545" s="432">
        <f>VLOOKUP(AD545,[5]Hoja1!$A$10:$K$1393,11,0)</f>
        <v>-88645551</v>
      </c>
      <c r="AG545" s="432">
        <v>0</v>
      </c>
      <c r="AH545" s="432">
        <f t="shared" si="107"/>
        <v>-88646</v>
      </c>
      <c r="AI545" s="448"/>
      <c r="AJ545" s="445"/>
      <c r="AL545" s="448"/>
    </row>
    <row r="546" spans="1:39" s="467" customFormat="1" ht="12.75" customHeight="1">
      <c r="A546" s="487" t="str">
        <f t="shared" si="104"/>
        <v>1</v>
      </c>
      <c r="B546" s="487"/>
      <c r="C546" s="487"/>
      <c r="D546" s="487"/>
      <c r="E546" s="487">
        <v>511121200</v>
      </c>
      <c r="F546" s="488"/>
      <c r="G546" s="487"/>
      <c r="H546" s="487"/>
      <c r="I546" s="488"/>
      <c r="J546" s="487"/>
      <c r="K546" s="487"/>
      <c r="L546" s="488"/>
      <c r="M546" s="487"/>
      <c r="N546" s="487"/>
      <c r="O546" s="488"/>
      <c r="P546" s="489"/>
      <c r="Q546" s="489"/>
      <c r="R546" s="592"/>
      <c r="S546" s="487"/>
      <c r="T546" s="487"/>
      <c r="U546" s="488"/>
      <c r="V546" s="489"/>
      <c r="W546" s="489"/>
      <c r="X546" s="488"/>
      <c r="Y546" s="489"/>
      <c r="Z546" s="489"/>
      <c r="AA546" s="490"/>
      <c r="AB546" s="489"/>
      <c r="AC546" s="489"/>
      <c r="AD546" s="927">
        <v>111898</v>
      </c>
      <c r="AE546" s="27" t="s">
        <v>2695</v>
      </c>
      <c r="AF546" s="432">
        <f>VLOOKUP(AD546,[5]Hoja1!$A$10:$K$1393,11,0)</f>
        <v>-961205610</v>
      </c>
      <c r="AG546" s="432">
        <v>0</v>
      </c>
      <c r="AH546" s="432">
        <f t="shared" si="107"/>
        <v>-961206</v>
      </c>
      <c r="AI546" s="448"/>
      <c r="AJ546" s="445"/>
      <c r="AL546" s="448"/>
    </row>
    <row r="547" spans="1:39" s="467" customFormat="1" ht="12.75" customHeight="1">
      <c r="A547" s="487" t="str">
        <f t="shared" si="104"/>
        <v>1</v>
      </c>
      <c r="B547" s="487"/>
      <c r="C547" s="487"/>
      <c r="D547" s="487"/>
      <c r="E547" s="487">
        <v>511121200</v>
      </c>
      <c r="F547" s="488"/>
      <c r="G547" s="487"/>
      <c r="H547" s="487"/>
      <c r="I547" s="488"/>
      <c r="J547" s="487"/>
      <c r="K547" s="487"/>
      <c r="L547" s="488"/>
      <c r="M547" s="487"/>
      <c r="N547" s="487"/>
      <c r="O547" s="488"/>
      <c r="P547" s="489"/>
      <c r="Q547" s="489"/>
      <c r="R547" s="592"/>
      <c r="S547" s="487"/>
      <c r="T547" s="487"/>
      <c r="U547" s="488"/>
      <c r="V547" s="489"/>
      <c r="W547" s="489"/>
      <c r="X547" s="488"/>
      <c r="Y547" s="489"/>
      <c r="Z547" s="489"/>
      <c r="AA547" s="490"/>
      <c r="AB547" s="489"/>
      <c r="AC547" s="489"/>
      <c r="AD547" s="927">
        <v>111899</v>
      </c>
      <c r="AE547" s="27" t="s">
        <v>2696</v>
      </c>
      <c r="AF547" s="432">
        <f>VLOOKUP(AD547,[5]Hoja1!$A$10:$K$1393,11,0)</f>
        <v>-30564004</v>
      </c>
      <c r="AG547" s="432">
        <v>0</v>
      </c>
      <c r="AH547" s="432">
        <f t="shared" si="107"/>
        <v>-30564</v>
      </c>
      <c r="AI547" s="448"/>
      <c r="AJ547" s="445"/>
      <c r="AL547" s="448"/>
    </row>
    <row r="548" spans="1:39" s="467" customFormat="1" ht="12.75" customHeight="1">
      <c r="A548" s="487" t="str">
        <f t="shared" si="104"/>
        <v>1</v>
      </c>
      <c r="B548" s="487" t="str">
        <f t="shared" si="91"/>
        <v>11</v>
      </c>
      <c r="C548" s="487" t="str">
        <f t="shared" si="92"/>
        <v>90</v>
      </c>
      <c r="D548" s="487" t="str">
        <f t="shared" si="93"/>
        <v>1901</v>
      </c>
      <c r="E548" s="487">
        <v>514430000</v>
      </c>
      <c r="F548" s="488" t="str">
        <f>+G548&amp;H548</f>
        <v/>
      </c>
      <c r="G548" s="487"/>
      <c r="H548" s="487"/>
      <c r="I548" s="488" t="str">
        <f>+J548&amp;K548</f>
        <v/>
      </c>
      <c r="J548" s="487"/>
      <c r="K548" s="487"/>
      <c r="L548" s="488" t="str">
        <f>+M548&amp;N548</f>
        <v/>
      </c>
      <c r="M548" s="487"/>
      <c r="N548" s="487"/>
      <c r="O548" s="488" t="str">
        <f>+P548&amp;Q548</f>
        <v/>
      </c>
      <c r="P548" s="489"/>
      <c r="Q548" s="489"/>
      <c r="R548" s="592" t="str">
        <f>+S548&amp;T548</f>
        <v/>
      </c>
      <c r="S548" s="487"/>
      <c r="T548" s="487"/>
      <c r="U548" s="488" t="str">
        <f>+V548&amp;W548</f>
        <v/>
      </c>
      <c r="V548" s="489"/>
      <c r="W548" s="489"/>
      <c r="X548" s="488" t="str">
        <f>+Y548&amp;Z548</f>
        <v/>
      </c>
      <c r="Y548" s="489"/>
      <c r="Z548" s="489"/>
      <c r="AA548" s="490" t="str">
        <f>+AB548&amp;AC548</f>
        <v/>
      </c>
      <c r="AB548" s="489"/>
      <c r="AC548" s="489"/>
      <c r="AD548" s="27">
        <v>111901</v>
      </c>
      <c r="AE548" s="27" t="s">
        <v>562</v>
      </c>
      <c r="AF548" s="432">
        <f>VLOOKUP(AD548,[5]Hoja1!$A$10:$K$1393,11,0)</f>
        <v>5088567928</v>
      </c>
      <c r="AG548" s="432"/>
      <c r="AH548" s="432">
        <f t="shared" si="107"/>
        <v>5088568</v>
      </c>
      <c r="AL548" s="448"/>
      <c r="AM548" s="467">
        <f>VLOOKUP(AD548,[6]BV201101!$A$10:$A$1236,1,0)</f>
        <v>111901</v>
      </c>
    </row>
    <row r="549" spans="1:39" s="467" customFormat="1" ht="12.75" customHeight="1">
      <c r="A549" s="487" t="str">
        <f t="shared" ref="A549:A612" si="108">+LEFT($AD549,1)</f>
        <v>1</v>
      </c>
      <c r="B549" s="487" t="str">
        <f t="shared" si="91"/>
        <v>11</v>
      </c>
      <c r="C549" s="487" t="str">
        <f t="shared" si="92"/>
        <v>90</v>
      </c>
      <c r="D549" s="487" t="str">
        <f t="shared" si="93"/>
        <v>1902</v>
      </c>
      <c r="E549" s="487">
        <v>514450000</v>
      </c>
      <c r="F549" s="488" t="str">
        <f>+G549&amp;H549</f>
        <v/>
      </c>
      <c r="G549" s="487"/>
      <c r="H549" s="487"/>
      <c r="I549" s="488" t="str">
        <f>+J549&amp;K549</f>
        <v/>
      </c>
      <c r="J549" s="487"/>
      <c r="K549" s="487"/>
      <c r="L549" s="488" t="str">
        <f>+M549&amp;N549</f>
        <v/>
      </c>
      <c r="M549" s="487"/>
      <c r="N549" s="487"/>
      <c r="O549" s="488" t="str">
        <f>+P549&amp;Q549</f>
        <v/>
      </c>
      <c r="P549" s="489"/>
      <c r="Q549" s="489"/>
      <c r="R549" s="592" t="str">
        <f>+S549&amp;T549</f>
        <v/>
      </c>
      <c r="S549" s="487"/>
      <c r="T549" s="487"/>
      <c r="U549" s="488" t="str">
        <f>+V549&amp;W549</f>
        <v/>
      </c>
      <c r="V549" s="489"/>
      <c r="W549" s="489"/>
      <c r="X549" s="488" t="str">
        <f>+Y549&amp;Z549</f>
        <v/>
      </c>
      <c r="Y549" s="489"/>
      <c r="Z549" s="489"/>
      <c r="AA549" s="490" t="str">
        <f>+AB549&amp;AC549</f>
        <v/>
      </c>
      <c r="AB549" s="489"/>
      <c r="AC549" s="489"/>
      <c r="AD549" s="27">
        <v>111902</v>
      </c>
      <c r="AE549" s="27" t="s">
        <v>1273</v>
      </c>
      <c r="AF549" s="432">
        <v>0</v>
      </c>
      <c r="AG549" s="432"/>
      <c r="AH549" s="432">
        <f t="shared" si="107"/>
        <v>0</v>
      </c>
      <c r="AL549" s="448"/>
      <c r="AM549" s="467" t="e">
        <f>VLOOKUP(AD549,[6]BV201101!$A$10:$A$1236,1,0)</f>
        <v>#N/A</v>
      </c>
    </row>
    <row r="550" spans="1:39" s="467" customFormat="1" ht="12.75" customHeight="1">
      <c r="A550" s="487" t="str">
        <f t="shared" si="108"/>
        <v>1</v>
      </c>
      <c r="B550" s="487"/>
      <c r="C550" s="487"/>
      <c r="D550" s="487"/>
      <c r="E550" s="487"/>
      <c r="F550" s="488"/>
      <c r="G550" s="487"/>
      <c r="H550" s="487"/>
      <c r="I550" s="488"/>
      <c r="J550" s="487"/>
      <c r="K550" s="487"/>
      <c r="L550" s="488"/>
      <c r="M550" s="487"/>
      <c r="N550" s="487"/>
      <c r="O550" s="488"/>
      <c r="P550" s="489"/>
      <c r="Q550" s="489"/>
      <c r="R550" s="592"/>
      <c r="S550" s="487"/>
      <c r="T550" s="487"/>
      <c r="U550" s="488"/>
      <c r="V550" s="489"/>
      <c r="W550" s="489"/>
      <c r="X550" s="488"/>
      <c r="Y550" s="489"/>
      <c r="Z550" s="489"/>
      <c r="AA550" s="490"/>
      <c r="AB550" s="489"/>
      <c r="AC550" s="489"/>
      <c r="AD550" s="27">
        <v>111903</v>
      </c>
      <c r="AE550" s="27" t="s">
        <v>2107</v>
      </c>
      <c r="AF550" s="432">
        <v>0</v>
      </c>
      <c r="AG550" s="432"/>
      <c r="AH550" s="432">
        <f t="shared" si="107"/>
        <v>0</v>
      </c>
      <c r="AL550" s="448"/>
      <c r="AM550" s="467" t="e">
        <f>VLOOKUP(AD550,[6]BV201101!$A$10:$A$1236,1,0)</f>
        <v>#N/A</v>
      </c>
    </row>
    <row r="551" spans="1:39" s="467" customFormat="1" ht="12.75" customHeight="1">
      <c r="A551" s="487" t="str">
        <f t="shared" si="108"/>
        <v>1</v>
      </c>
      <c r="B551" s="487" t="str">
        <f t="shared" si="91"/>
        <v>12</v>
      </c>
      <c r="C551" s="487" t="str">
        <f t="shared" si="92"/>
        <v>00</v>
      </c>
      <c r="D551" s="487" t="str">
        <f t="shared" si="93"/>
        <v>2001</v>
      </c>
      <c r="E551" s="487">
        <v>514340000</v>
      </c>
      <c r="F551" s="488" t="str">
        <f t="shared" ref="F551:F572" si="109">+G551&amp;H551</f>
        <v/>
      </c>
      <c r="G551" s="487"/>
      <c r="H551" s="487"/>
      <c r="I551" s="488" t="str">
        <f t="shared" ref="I551:I572" si="110">+J551&amp;K551</f>
        <v/>
      </c>
      <c r="J551" s="487"/>
      <c r="K551" s="487"/>
      <c r="L551" s="488" t="str">
        <f t="shared" ref="L551:L572" si="111">+M551&amp;N551</f>
        <v/>
      </c>
      <c r="M551" s="487"/>
      <c r="N551" s="487"/>
      <c r="O551" s="488" t="str">
        <f t="shared" ref="O551:O572" si="112">+P551&amp;Q551</f>
        <v/>
      </c>
      <c r="P551" s="489"/>
      <c r="Q551" s="489"/>
      <c r="R551" s="592" t="str">
        <f t="shared" ref="R551:R572" si="113">+S551&amp;T551</f>
        <v/>
      </c>
      <c r="S551" s="487"/>
      <c r="T551" s="487"/>
      <c r="U551" s="488" t="str">
        <f t="shared" ref="U551:U572" si="114">+V551&amp;W551</f>
        <v/>
      </c>
      <c r="V551" s="489"/>
      <c r="W551" s="489"/>
      <c r="X551" s="488" t="str">
        <f t="shared" ref="X551:X572" si="115">+Y551&amp;Z551</f>
        <v/>
      </c>
      <c r="Y551" s="489"/>
      <c r="Z551" s="489"/>
      <c r="AA551" s="490" t="str">
        <f t="shared" ref="AA551:AA572" si="116">+AB551&amp;AC551</f>
        <v>229</v>
      </c>
      <c r="AB551" s="489">
        <v>22</v>
      </c>
      <c r="AC551" s="489">
        <v>9</v>
      </c>
      <c r="AD551" s="27">
        <v>112001</v>
      </c>
      <c r="AE551" s="27" t="s">
        <v>2108</v>
      </c>
      <c r="AF551" s="432">
        <f>VLOOKUP(AD551,[5]Hoja1!$A$10:$K$1393,11,0)</f>
        <v>0</v>
      </c>
      <c r="AG551" s="432">
        <f>-AG510-AG513</f>
        <v>0</v>
      </c>
      <c r="AH551" s="432">
        <f t="shared" si="107"/>
        <v>0</v>
      </c>
      <c r="AJ551" s="467">
        <v>1106135.041</v>
      </c>
      <c r="AL551" s="448"/>
      <c r="AM551" s="467">
        <f>VLOOKUP(AD551,[6]BV201101!$A$10:$A$1236,1,0)</f>
        <v>112001</v>
      </c>
    </row>
    <row r="552" spans="1:39" s="467" customFormat="1" ht="12.75" customHeight="1">
      <c r="A552" s="487" t="str">
        <f t="shared" si="108"/>
        <v>1</v>
      </c>
      <c r="B552" s="487" t="str">
        <f t="shared" si="91"/>
        <v>12</v>
      </c>
      <c r="C552" s="487" t="str">
        <f t="shared" si="92"/>
        <v>00</v>
      </c>
      <c r="D552" s="487" t="str">
        <f t="shared" si="93"/>
        <v>2002</v>
      </c>
      <c r="E552" s="487">
        <v>514340000</v>
      </c>
      <c r="F552" s="488" t="str">
        <f t="shared" si="109"/>
        <v/>
      </c>
      <c r="G552" s="487"/>
      <c r="H552" s="487"/>
      <c r="I552" s="488" t="str">
        <f t="shared" si="110"/>
        <v/>
      </c>
      <c r="J552" s="487"/>
      <c r="K552" s="487"/>
      <c r="L552" s="488" t="str">
        <f t="shared" si="111"/>
        <v/>
      </c>
      <c r="M552" s="487"/>
      <c r="N552" s="487"/>
      <c r="O552" s="488" t="str">
        <f t="shared" si="112"/>
        <v/>
      </c>
      <c r="P552" s="489"/>
      <c r="Q552" s="489"/>
      <c r="R552" s="592" t="str">
        <f t="shared" si="113"/>
        <v/>
      </c>
      <c r="S552" s="487"/>
      <c r="T552" s="487"/>
      <c r="U552" s="488" t="str">
        <f t="shared" si="114"/>
        <v/>
      </c>
      <c r="V552" s="489"/>
      <c r="W552" s="489"/>
      <c r="X552" s="488" t="str">
        <f t="shared" si="115"/>
        <v/>
      </c>
      <c r="Y552" s="489"/>
      <c r="Z552" s="489"/>
      <c r="AA552" s="490" t="str">
        <f t="shared" si="116"/>
        <v>229</v>
      </c>
      <c r="AB552" s="489">
        <v>22</v>
      </c>
      <c r="AC552" s="489">
        <v>9</v>
      </c>
      <c r="AD552" s="27">
        <v>112002</v>
      </c>
      <c r="AE552" s="27" t="s">
        <v>2109</v>
      </c>
      <c r="AF552" s="432">
        <f>VLOOKUP(AD552,[5]Hoja1!$A$10:$K$1393,11,0)</f>
        <v>0</v>
      </c>
      <c r="AG552" s="432"/>
      <c r="AH552" s="432">
        <f t="shared" si="107"/>
        <v>0</v>
      </c>
      <c r="AL552" s="448"/>
      <c r="AM552" s="467">
        <f>VLOOKUP(AD552,[6]BV201101!$A$10:$A$1236,1,0)</f>
        <v>112002</v>
      </c>
    </row>
    <row r="553" spans="1:39" s="467" customFormat="1" ht="12.75" customHeight="1">
      <c r="A553" s="487" t="str">
        <f t="shared" si="108"/>
        <v>1</v>
      </c>
      <c r="B553" s="487" t="str">
        <f t="shared" si="91"/>
        <v>12</v>
      </c>
      <c r="C553" s="487" t="str">
        <f t="shared" si="92"/>
        <v>00</v>
      </c>
      <c r="D553" s="487" t="str">
        <f t="shared" si="93"/>
        <v>2003</v>
      </c>
      <c r="E553" s="487">
        <v>511111000</v>
      </c>
      <c r="F553" s="488" t="str">
        <f t="shared" si="109"/>
        <v/>
      </c>
      <c r="G553" s="487"/>
      <c r="H553" s="487"/>
      <c r="I553" s="488" t="str">
        <f t="shared" si="110"/>
        <v/>
      </c>
      <c r="J553" s="487"/>
      <c r="K553" s="487"/>
      <c r="L553" s="488" t="str">
        <f t="shared" si="111"/>
        <v/>
      </c>
      <c r="M553" s="487"/>
      <c r="N553" s="487"/>
      <c r="O553" s="488" t="str">
        <f t="shared" si="112"/>
        <v/>
      </c>
      <c r="P553" s="489"/>
      <c r="Q553" s="489"/>
      <c r="R553" s="592" t="str">
        <f t="shared" si="113"/>
        <v/>
      </c>
      <c r="S553" s="487"/>
      <c r="T553" s="487"/>
      <c r="U553" s="488" t="str">
        <f t="shared" si="114"/>
        <v/>
      </c>
      <c r="V553" s="489"/>
      <c r="W553" s="489"/>
      <c r="X553" s="488" t="str">
        <f t="shared" si="115"/>
        <v/>
      </c>
      <c r="Y553" s="489"/>
      <c r="Z553" s="489"/>
      <c r="AA553" s="490" t="str">
        <f t="shared" si="116"/>
        <v>133</v>
      </c>
      <c r="AB553" s="489">
        <v>13</v>
      </c>
      <c r="AC553" s="489">
        <v>3</v>
      </c>
      <c r="AD553" s="27">
        <v>112003</v>
      </c>
      <c r="AE553" s="27" t="s">
        <v>563</v>
      </c>
      <c r="AF553" s="432">
        <f>VLOOKUP(AD553,[5]Hoja1!$A$10:$K$1393,11,0)</f>
        <v>1595144140</v>
      </c>
      <c r="AG553" s="1507">
        <f>-AG186-AG225-AG102-AG136</f>
        <v>-1595144140</v>
      </c>
      <c r="AH553" s="432">
        <f t="shared" si="107"/>
        <v>0</v>
      </c>
      <c r="AI553" s="467">
        <v>1112907</v>
      </c>
      <c r="AJ553" s="445">
        <f>+AI553-AH553</f>
        <v>1112907</v>
      </c>
      <c r="AL553" s="473">
        <f>+AG553</f>
        <v>-1595144140</v>
      </c>
      <c r="AM553" s="467">
        <f>VLOOKUP(AD553,[6]BV201101!$A$10:$A$1236,1,0)</f>
        <v>112003</v>
      </c>
    </row>
    <row r="554" spans="1:39" s="467" customFormat="1" ht="12.75" customHeight="1">
      <c r="A554" s="487" t="str">
        <f t="shared" si="108"/>
        <v>1</v>
      </c>
      <c r="B554" s="487" t="str">
        <f t="shared" si="91"/>
        <v>12</v>
      </c>
      <c r="C554" s="487" t="str">
        <f t="shared" si="92"/>
        <v>00</v>
      </c>
      <c r="D554" s="487" t="str">
        <f t="shared" si="93"/>
        <v>2004</v>
      </c>
      <c r="E554" s="487">
        <v>514340000</v>
      </c>
      <c r="F554" s="488" t="str">
        <f t="shared" si="109"/>
        <v/>
      </c>
      <c r="G554" s="487"/>
      <c r="H554" s="487"/>
      <c r="I554" s="488" t="str">
        <f t="shared" si="110"/>
        <v/>
      </c>
      <c r="J554" s="487"/>
      <c r="K554" s="487"/>
      <c r="L554" s="488" t="str">
        <f t="shared" si="111"/>
        <v/>
      </c>
      <c r="M554" s="487"/>
      <c r="N554" s="487"/>
      <c r="O554" s="488" t="str">
        <f t="shared" si="112"/>
        <v/>
      </c>
      <c r="P554" s="489"/>
      <c r="Q554" s="489"/>
      <c r="R554" s="592" t="str">
        <f t="shared" si="113"/>
        <v/>
      </c>
      <c r="S554" s="487"/>
      <c r="T554" s="487"/>
      <c r="U554" s="488" t="str">
        <f t="shared" si="114"/>
        <v/>
      </c>
      <c r="V554" s="489"/>
      <c r="W554" s="489"/>
      <c r="X554" s="488" t="str">
        <f t="shared" si="115"/>
        <v/>
      </c>
      <c r="Y554" s="489"/>
      <c r="Z554" s="489"/>
      <c r="AA554" s="490" t="str">
        <f t="shared" si="116"/>
        <v>133</v>
      </c>
      <c r="AB554" s="489">
        <v>13</v>
      </c>
      <c r="AC554" s="489">
        <v>3</v>
      </c>
      <c r="AD554" s="27">
        <v>112004</v>
      </c>
      <c r="AE554" s="27" t="s">
        <v>2110</v>
      </c>
      <c r="AF554" s="432">
        <f>VLOOKUP(AD554,[5]Hoja1!$A$10:$K$1393,11,0)</f>
        <v>0</v>
      </c>
      <c r="AG554" s="432"/>
      <c r="AH554" s="432">
        <f t="shared" si="107"/>
        <v>0</v>
      </c>
      <c r="AL554" s="448"/>
      <c r="AM554" s="467">
        <f>VLOOKUP(AD554,[6]BV201101!$A$10:$A$1236,1,0)</f>
        <v>112004</v>
      </c>
    </row>
    <row r="555" spans="1:39" s="467" customFormat="1" ht="12.75" customHeight="1">
      <c r="A555" s="487" t="str">
        <f t="shared" si="108"/>
        <v>1</v>
      </c>
      <c r="B555" s="487" t="str">
        <f t="shared" si="91"/>
        <v>12</v>
      </c>
      <c r="C555" s="487" t="str">
        <f t="shared" si="92"/>
        <v>00</v>
      </c>
      <c r="D555" s="487" t="str">
        <f t="shared" si="93"/>
        <v>2005</v>
      </c>
      <c r="E555" s="487">
        <v>514340000</v>
      </c>
      <c r="F555" s="488" t="str">
        <f t="shared" si="109"/>
        <v/>
      </c>
      <c r="G555" s="487"/>
      <c r="H555" s="487"/>
      <c r="I555" s="488" t="str">
        <f t="shared" si="110"/>
        <v/>
      </c>
      <c r="J555" s="487"/>
      <c r="K555" s="487"/>
      <c r="L555" s="488" t="str">
        <f t="shared" si="111"/>
        <v/>
      </c>
      <c r="M555" s="487"/>
      <c r="N555" s="487"/>
      <c r="O555" s="488" t="str">
        <f t="shared" si="112"/>
        <v/>
      </c>
      <c r="P555" s="489"/>
      <c r="Q555" s="489"/>
      <c r="R555" s="592" t="str">
        <f t="shared" si="113"/>
        <v/>
      </c>
      <c r="S555" s="487"/>
      <c r="T555" s="487"/>
      <c r="U555" s="488" t="str">
        <f t="shared" si="114"/>
        <v/>
      </c>
      <c r="V555" s="489"/>
      <c r="W555" s="489"/>
      <c r="X555" s="488" t="str">
        <f t="shared" si="115"/>
        <v/>
      </c>
      <c r="Y555" s="489"/>
      <c r="Z555" s="489"/>
      <c r="AA555" s="490" t="str">
        <f t="shared" si="116"/>
        <v>229</v>
      </c>
      <c r="AB555" s="489">
        <v>22</v>
      </c>
      <c r="AC555" s="489">
        <v>9</v>
      </c>
      <c r="AD555" s="27">
        <v>112005</v>
      </c>
      <c r="AE555" s="27" t="s">
        <v>313</v>
      </c>
      <c r="AF555" s="432">
        <f>VLOOKUP(AD555,[5]Hoja1!$A$10:$K$1393,11,0)</f>
        <v>7744007639</v>
      </c>
      <c r="AG555" s="432"/>
      <c r="AH555" s="432">
        <f t="shared" si="107"/>
        <v>7744008</v>
      </c>
      <c r="AL555" s="473">
        <f>+AG555</f>
        <v>0</v>
      </c>
      <c r="AM555" s="467">
        <f>VLOOKUP(AD555,[6]BV201101!$A$10:$A$1236,1,0)</f>
        <v>112005</v>
      </c>
    </row>
    <row r="556" spans="1:39" s="467" customFormat="1" ht="12.75" customHeight="1">
      <c r="A556" s="487" t="str">
        <f t="shared" si="108"/>
        <v>1</v>
      </c>
      <c r="B556" s="487" t="str">
        <f t="shared" si="91"/>
        <v>12</v>
      </c>
      <c r="C556" s="487" t="str">
        <f t="shared" si="92"/>
        <v>00</v>
      </c>
      <c r="D556" s="487" t="str">
        <f t="shared" si="93"/>
        <v>2006</v>
      </c>
      <c r="E556" s="487">
        <v>511160000</v>
      </c>
      <c r="F556" s="488" t="str">
        <f t="shared" si="109"/>
        <v/>
      </c>
      <c r="G556" s="487"/>
      <c r="H556" s="487"/>
      <c r="I556" s="488" t="str">
        <f t="shared" si="110"/>
        <v/>
      </c>
      <c r="J556" s="487"/>
      <c r="K556" s="487"/>
      <c r="L556" s="488" t="str">
        <f t="shared" si="111"/>
        <v/>
      </c>
      <c r="M556" s="487"/>
      <c r="N556" s="487"/>
      <c r="O556" s="488" t="str">
        <f t="shared" si="112"/>
        <v/>
      </c>
      <c r="P556" s="489"/>
      <c r="Q556" s="489"/>
      <c r="R556" s="592" t="str">
        <f t="shared" si="113"/>
        <v/>
      </c>
      <c r="S556" s="487"/>
      <c r="T556" s="487"/>
      <c r="U556" s="488" t="str">
        <f t="shared" si="114"/>
        <v/>
      </c>
      <c r="V556" s="489"/>
      <c r="W556" s="489"/>
      <c r="X556" s="488" t="str">
        <f t="shared" si="115"/>
        <v/>
      </c>
      <c r="Y556" s="489"/>
      <c r="Z556" s="489"/>
      <c r="AA556" s="490" t="str">
        <f t="shared" si="116"/>
        <v>302</v>
      </c>
      <c r="AB556" s="489">
        <v>30</v>
      </c>
      <c r="AC556" s="489">
        <v>2</v>
      </c>
      <c r="AD556" s="27">
        <v>112006</v>
      </c>
      <c r="AE556" s="27" t="s">
        <v>53</v>
      </c>
      <c r="AF556" s="432">
        <f>VLOOKUP(AD556,[5]Hoja1!$A$10:$K$1393,11,0)</f>
        <v>91374342</v>
      </c>
      <c r="AG556" s="432">
        <v>0</v>
      </c>
      <c r="AH556" s="432">
        <f t="shared" si="107"/>
        <v>91374</v>
      </c>
      <c r="AI556" s="445">
        <f>+AH556+AH557</f>
        <v>534896</v>
      </c>
      <c r="AJ556" s="467">
        <v>401528</v>
      </c>
      <c r="AL556" s="448"/>
      <c r="AM556" s="467">
        <f>VLOOKUP(AD556,[6]BV201101!$A$10:$A$1236,1,0)</f>
        <v>112006</v>
      </c>
    </row>
    <row r="557" spans="1:39" s="467" customFormat="1" ht="12.75" customHeight="1">
      <c r="A557" s="487" t="str">
        <f t="shared" si="108"/>
        <v>1</v>
      </c>
      <c r="B557" s="487" t="str">
        <f t="shared" si="91"/>
        <v>12</v>
      </c>
      <c r="C557" s="487" t="str">
        <f t="shared" si="92"/>
        <v>00</v>
      </c>
      <c r="D557" s="487" t="str">
        <f t="shared" si="93"/>
        <v>2007</v>
      </c>
      <c r="E557" s="487">
        <v>511114000</v>
      </c>
      <c r="F557" s="488" t="str">
        <f t="shared" si="109"/>
        <v/>
      </c>
      <c r="G557" s="487"/>
      <c r="H557" s="487"/>
      <c r="I557" s="488" t="str">
        <f t="shared" si="110"/>
        <v/>
      </c>
      <c r="J557" s="487"/>
      <c r="K557" s="487"/>
      <c r="L557" s="488" t="str">
        <f t="shared" si="111"/>
        <v/>
      </c>
      <c r="M557" s="489"/>
      <c r="N557" s="489"/>
      <c r="O557" s="488" t="str">
        <f t="shared" si="112"/>
        <v/>
      </c>
      <c r="P557" s="489"/>
      <c r="Q557" s="489"/>
      <c r="R557" s="592" t="str">
        <f t="shared" si="113"/>
        <v/>
      </c>
      <c r="S557" s="487"/>
      <c r="T557" s="487"/>
      <c r="U557" s="488" t="str">
        <f t="shared" si="114"/>
        <v/>
      </c>
      <c r="V557" s="489"/>
      <c r="W557" s="489"/>
      <c r="X557" s="488" t="str">
        <f t="shared" si="115"/>
        <v/>
      </c>
      <c r="Y557" s="489"/>
      <c r="Z557" s="489"/>
      <c r="AA557" s="490" t="str">
        <f t="shared" si="116"/>
        <v>131</v>
      </c>
      <c r="AB557" s="489">
        <v>13</v>
      </c>
      <c r="AC557" s="489">
        <v>1</v>
      </c>
      <c r="AD557" s="27">
        <v>112007</v>
      </c>
      <c r="AE557" s="27" t="s">
        <v>54</v>
      </c>
      <c r="AF557" s="432">
        <f>VLOOKUP(AD557,[5]Hoja1!$A$10:$K$1393,11,0)</f>
        <v>443521802</v>
      </c>
      <c r="AG557" s="432">
        <v>0</v>
      </c>
      <c r="AH557" s="432">
        <f t="shared" si="107"/>
        <v>443522</v>
      </c>
      <c r="AJ557" s="445">
        <f>+AJ556-AI556</f>
        <v>-133368</v>
      </c>
      <c r="AL557" s="448"/>
      <c r="AM557" s="467">
        <f>VLOOKUP(AD557,[6]BV201101!$A$10:$A$1236,1,0)</f>
        <v>112007</v>
      </c>
    </row>
    <row r="558" spans="1:39" s="467" customFormat="1" ht="12.75" customHeight="1">
      <c r="A558" s="487" t="str">
        <f t="shared" si="108"/>
        <v>1</v>
      </c>
      <c r="B558" s="487" t="str">
        <f t="shared" si="91"/>
        <v>12</v>
      </c>
      <c r="C558" s="487" t="str">
        <f t="shared" si="92"/>
        <v>00</v>
      </c>
      <c r="D558" s="487" t="str">
        <f t="shared" si="93"/>
        <v>2008</v>
      </c>
      <c r="E558" s="487">
        <v>514340000</v>
      </c>
      <c r="F558" s="488" t="str">
        <f t="shared" si="109"/>
        <v/>
      </c>
      <c r="G558" s="487"/>
      <c r="H558" s="487"/>
      <c r="I558" s="488" t="str">
        <f t="shared" si="110"/>
        <v/>
      </c>
      <c r="J558" s="487"/>
      <c r="K558" s="487"/>
      <c r="L558" s="488" t="str">
        <f t="shared" si="111"/>
        <v/>
      </c>
      <c r="M558" s="489"/>
      <c r="N558" s="489"/>
      <c r="O558" s="488" t="str">
        <f t="shared" si="112"/>
        <v/>
      </c>
      <c r="P558" s="489"/>
      <c r="Q558" s="489"/>
      <c r="R558" s="592" t="str">
        <f t="shared" si="113"/>
        <v/>
      </c>
      <c r="S558" s="487"/>
      <c r="T558" s="487"/>
      <c r="U558" s="488" t="str">
        <f t="shared" si="114"/>
        <v/>
      </c>
      <c r="V558" s="489"/>
      <c r="W558" s="489"/>
      <c r="X558" s="488" t="str">
        <f t="shared" si="115"/>
        <v/>
      </c>
      <c r="Y558" s="489"/>
      <c r="Z558" s="489"/>
      <c r="AA558" s="490" t="str">
        <f t="shared" si="116"/>
        <v>131</v>
      </c>
      <c r="AB558" s="489">
        <v>13</v>
      </c>
      <c r="AC558" s="489">
        <v>1</v>
      </c>
      <c r="AD558" s="27">
        <v>112008</v>
      </c>
      <c r="AE558" s="27" t="s">
        <v>2111</v>
      </c>
      <c r="AF558" s="432">
        <v>0</v>
      </c>
      <c r="AG558" s="432"/>
      <c r="AH558" s="432">
        <f t="shared" si="107"/>
        <v>0</v>
      </c>
      <c r="AL558" s="448"/>
      <c r="AM558" s="467" t="e">
        <f>VLOOKUP(AD558,[6]BV201101!$A$10:$A$1236,1,0)</f>
        <v>#N/A</v>
      </c>
    </row>
    <row r="559" spans="1:39" s="467" customFormat="1" ht="12.75" customHeight="1">
      <c r="A559" s="487" t="str">
        <f t="shared" si="108"/>
        <v>1</v>
      </c>
      <c r="B559" s="487" t="str">
        <f t="shared" si="91"/>
        <v>12</v>
      </c>
      <c r="C559" s="487" t="str">
        <f t="shared" si="92"/>
        <v>00</v>
      </c>
      <c r="D559" s="487" t="str">
        <f t="shared" si="93"/>
        <v>2009</v>
      </c>
      <c r="E559" s="487">
        <v>514340000</v>
      </c>
      <c r="F559" s="488" t="str">
        <f t="shared" si="109"/>
        <v/>
      </c>
      <c r="G559" s="487"/>
      <c r="H559" s="487"/>
      <c r="I559" s="488" t="str">
        <f t="shared" si="110"/>
        <v/>
      </c>
      <c r="J559" s="487"/>
      <c r="K559" s="487"/>
      <c r="L559" s="488" t="str">
        <f t="shared" si="111"/>
        <v/>
      </c>
      <c r="M559" s="489"/>
      <c r="N559" s="489"/>
      <c r="O559" s="488" t="str">
        <f t="shared" si="112"/>
        <v/>
      </c>
      <c r="P559" s="489"/>
      <c r="Q559" s="489"/>
      <c r="R559" s="592" t="str">
        <f t="shared" si="113"/>
        <v/>
      </c>
      <c r="S559" s="487"/>
      <c r="T559" s="487"/>
      <c r="U559" s="488" t="str">
        <f t="shared" si="114"/>
        <v/>
      </c>
      <c r="V559" s="489"/>
      <c r="W559" s="489"/>
      <c r="X559" s="488" t="str">
        <f t="shared" si="115"/>
        <v/>
      </c>
      <c r="Y559" s="489"/>
      <c r="Z559" s="489"/>
      <c r="AA559" s="490" t="str">
        <f t="shared" si="116"/>
        <v>229</v>
      </c>
      <c r="AB559" s="489">
        <v>22</v>
      </c>
      <c r="AC559" s="489">
        <v>9</v>
      </c>
      <c r="AD559" s="27">
        <v>112009</v>
      </c>
      <c r="AE559" s="27" t="s">
        <v>1345</v>
      </c>
      <c r="AF559" s="432">
        <v>0</v>
      </c>
      <c r="AG559" s="432"/>
      <c r="AH559" s="432">
        <f t="shared" si="107"/>
        <v>0</v>
      </c>
      <c r="AL559" s="448"/>
      <c r="AM559" s="467" t="e">
        <f>VLOOKUP(AD559,[6]BV201101!$A$10:$A$1236,1,0)</f>
        <v>#N/A</v>
      </c>
    </row>
    <row r="560" spans="1:39" s="467" customFormat="1" ht="12.75" customHeight="1">
      <c r="A560" s="487" t="str">
        <f t="shared" si="108"/>
        <v>1</v>
      </c>
      <c r="B560" s="487" t="str">
        <f t="shared" si="91"/>
        <v>12</v>
      </c>
      <c r="C560" s="487" t="str">
        <f t="shared" si="92"/>
        <v>01</v>
      </c>
      <c r="D560" s="487" t="str">
        <f t="shared" si="93"/>
        <v>2010</v>
      </c>
      <c r="E560" s="487">
        <v>514340000</v>
      </c>
      <c r="F560" s="488" t="str">
        <f t="shared" si="109"/>
        <v/>
      </c>
      <c r="G560" s="487"/>
      <c r="H560" s="487"/>
      <c r="I560" s="488" t="str">
        <f t="shared" si="110"/>
        <v/>
      </c>
      <c r="J560" s="487"/>
      <c r="K560" s="487"/>
      <c r="L560" s="488" t="str">
        <f t="shared" si="111"/>
        <v/>
      </c>
      <c r="M560" s="489"/>
      <c r="N560" s="489"/>
      <c r="O560" s="488" t="str">
        <f t="shared" si="112"/>
        <v/>
      </c>
      <c r="P560" s="489"/>
      <c r="Q560" s="489"/>
      <c r="R560" s="592" t="str">
        <f t="shared" si="113"/>
        <v/>
      </c>
      <c r="S560" s="487"/>
      <c r="T560" s="487"/>
      <c r="U560" s="488" t="str">
        <f t="shared" si="114"/>
        <v/>
      </c>
      <c r="V560" s="489"/>
      <c r="W560" s="489"/>
      <c r="X560" s="488" t="str">
        <f t="shared" si="115"/>
        <v/>
      </c>
      <c r="Y560" s="489"/>
      <c r="Z560" s="489"/>
      <c r="AA560" s="490" t="str">
        <f t="shared" si="116"/>
        <v>229</v>
      </c>
      <c r="AB560" s="489">
        <v>22</v>
      </c>
      <c r="AC560" s="489">
        <v>9</v>
      </c>
      <c r="AD560" s="27">
        <v>112010</v>
      </c>
      <c r="AE560" s="27" t="s">
        <v>1343</v>
      </c>
      <c r="AF560" s="432">
        <f>VLOOKUP(AD560,[5]Hoja1!$A$10:$K$1393,11,0)</f>
        <v>0</v>
      </c>
      <c r="AG560" s="432"/>
      <c r="AH560" s="432">
        <f t="shared" si="107"/>
        <v>0</v>
      </c>
      <c r="AL560" s="448"/>
      <c r="AM560" s="467">
        <f>VLOOKUP(AD560,[6]BV201101!$A$10:$A$1236,1,0)</f>
        <v>112010</v>
      </c>
    </row>
    <row r="561" spans="1:39" s="467" customFormat="1" ht="12.75" customHeight="1">
      <c r="A561" s="487" t="str">
        <f t="shared" si="108"/>
        <v>1</v>
      </c>
      <c r="B561" s="487" t="str">
        <f t="shared" si="91"/>
        <v>12</v>
      </c>
      <c r="C561" s="487" t="str">
        <f t="shared" si="92"/>
        <v>01</v>
      </c>
      <c r="D561" s="487" t="str">
        <f t="shared" si="93"/>
        <v>2011</v>
      </c>
      <c r="E561" s="487">
        <v>514340000</v>
      </c>
      <c r="F561" s="488" t="str">
        <f t="shared" si="109"/>
        <v/>
      </c>
      <c r="G561" s="487"/>
      <c r="H561" s="487"/>
      <c r="I561" s="488" t="str">
        <f t="shared" si="110"/>
        <v/>
      </c>
      <c r="J561" s="487"/>
      <c r="K561" s="487"/>
      <c r="L561" s="488" t="str">
        <f t="shared" si="111"/>
        <v/>
      </c>
      <c r="M561" s="489"/>
      <c r="N561" s="489"/>
      <c r="O561" s="488" t="str">
        <f t="shared" si="112"/>
        <v/>
      </c>
      <c r="P561" s="489"/>
      <c r="Q561" s="489"/>
      <c r="R561" s="592" t="str">
        <f t="shared" si="113"/>
        <v/>
      </c>
      <c r="S561" s="487"/>
      <c r="T561" s="487"/>
      <c r="U561" s="488" t="str">
        <f t="shared" si="114"/>
        <v/>
      </c>
      <c r="V561" s="489"/>
      <c r="W561" s="489"/>
      <c r="X561" s="488" t="str">
        <f t="shared" si="115"/>
        <v/>
      </c>
      <c r="Y561" s="489"/>
      <c r="Z561" s="489"/>
      <c r="AA561" s="490" t="str">
        <f t="shared" si="116"/>
        <v>229</v>
      </c>
      <c r="AB561" s="489">
        <v>22</v>
      </c>
      <c r="AC561" s="489">
        <v>9</v>
      </c>
      <c r="AD561" s="27">
        <v>112011</v>
      </c>
      <c r="AE561" s="27" t="s">
        <v>1344</v>
      </c>
      <c r="AF561" s="432">
        <f>VLOOKUP(AD561,[5]Hoja1!$A$10:$K$1393,11,0)</f>
        <v>0</v>
      </c>
      <c r="AG561" s="432"/>
      <c r="AH561" s="432">
        <f t="shared" si="107"/>
        <v>0</v>
      </c>
      <c r="AL561" s="448"/>
      <c r="AM561" s="467">
        <f>VLOOKUP(AD561,[6]BV201101!$A$10:$A$1236,1,0)</f>
        <v>112011</v>
      </c>
    </row>
    <row r="562" spans="1:39" s="467" customFormat="1" ht="12.75" customHeight="1">
      <c r="A562" s="487" t="str">
        <f t="shared" si="108"/>
        <v>1</v>
      </c>
      <c r="B562" s="487" t="str">
        <f t="shared" si="91"/>
        <v>12</v>
      </c>
      <c r="C562" s="487" t="str">
        <f t="shared" si="92"/>
        <v>01</v>
      </c>
      <c r="D562" s="487" t="str">
        <f t="shared" si="93"/>
        <v>2012</v>
      </c>
      <c r="E562" s="487">
        <v>511160000</v>
      </c>
      <c r="F562" s="488" t="str">
        <f t="shared" si="109"/>
        <v/>
      </c>
      <c r="G562" s="487"/>
      <c r="H562" s="487"/>
      <c r="I562" s="488" t="str">
        <f t="shared" si="110"/>
        <v/>
      </c>
      <c r="J562" s="487"/>
      <c r="K562" s="487"/>
      <c r="L562" s="488" t="str">
        <f t="shared" si="111"/>
        <v/>
      </c>
      <c r="M562" s="487"/>
      <c r="N562" s="487"/>
      <c r="O562" s="488" t="str">
        <f t="shared" si="112"/>
        <v/>
      </c>
      <c r="P562" s="489"/>
      <c r="Q562" s="489"/>
      <c r="R562" s="592" t="str">
        <f t="shared" si="113"/>
        <v/>
      </c>
      <c r="S562" s="487"/>
      <c r="T562" s="487"/>
      <c r="U562" s="488" t="str">
        <f t="shared" si="114"/>
        <v/>
      </c>
      <c r="V562" s="489"/>
      <c r="W562" s="489"/>
      <c r="X562" s="488" t="str">
        <f t="shared" si="115"/>
        <v/>
      </c>
      <c r="Y562" s="489"/>
      <c r="Z562" s="489"/>
      <c r="AA562" s="490" t="str">
        <f t="shared" si="116"/>
        <v>301</v>
      </c>
      <c r="AB562" s="489">
        <v>30</v>
      </c>
      <c r="AC562" s="489">
        <v>1</v>
      </c>
      <c r="AD562" s="27">
        <v>112012</v>
      </c>
      <c r="AE562" s="27" t="s">
        <v>1345</v>
      </c>
      <c r="AF562" s="432">
        <f>VLOOKUP(AD562,[5]Hoja1!$A$10:$K$1393,11,0)</f>
        <v>0</v>
      </c>
      <c r="AG562" s="432"/>
      <c r="AH562" s="432">
        <f t="shared" si="107"/>
        <v>0</v>
      </c>
      <c r="AL562" s="448"/>
      <c r="AM562" s="467">
        <f>VLOOKUP(AD562,[6]BV201101!$A$10:$A$1236,1,0)</f>
        <v>112012</v>
      </c>
    </row>
    <row r="563" spans="1:39" s="467" customFormat="1" ht="12.75" customHeight="1">
      <c r="A563" s="487" t="str">
        <f t="shared" si="108"/>
        <v>1</v>
      </c>
      <c r="B563" s="487" t="str">
        <f t="shared" si="91"/>
        <v>12</v>
      </c>
      <c r="C563" s="487" t="str">
        <f t="shared" si="92"/>
        <v>01</v>
      </c>
      <c r="D563" s="487" t="str">
        <f t="shared" si="93"/>
        <v>2013</v>
      </c>
      <c r="E563" s="487">
        <v>514340000</v>
      </c>
      <c r="F563" s="488" t="str">
        <f t="shared" si="109"/>
        <v/>
      </c>
      <c r="G563" s="487"/>
      <c r="H563" s="487"/>
      <c r="I563" s="488" t="str">
        <f t="shared" si="110"/>
        <v/>
      </c>
      <c r="J563" s="487"/>
      <c r="K563" s="487"/>
      <c r="L563" s="488" t="str">
        <f t="shared" si="111"/>
        <v/>
      </c>
      <c r="M563" s="487"/>
      <c r="N563" s="487"/>
      <c r="O563" s="488" t="str">
        <f t="shared" si="112"/>
        <v/>
      </c>
      <c r="P563" s="489"/>
      <c r="Q563" s="489"/>
      <c r="R563" s="592" t="str">
        <f t="shared" si="113"/>
        <v/>
      </c>
      <c r="S563" s="487"/>
      <c r="T563" s="487"/>
      <c r="U563" s="488" t="str">
        <f t="shared" si="114"/>
        <v/>
      </c>
      <c r="V563" s="489"/>
      <c r="W563" s="489"/>
      <c r="X563" s="488" t="str">
        <f t="shared" si="115"/>
        <v/>
      </c>
      <c r="Y563" s="489"/>
      <c r="Z563" s="489"/>
      <c r="AA563" s="490" t="str">
        <f t="shared" si="116"/>
        <v>229</v>
      </c>
      <c r="AB563" s="489">
        <v>22</v>
      </c>
      <c r="AC563" s="489">
        <v>9</v>
      </c>
      <c r="AD563" s="27">
        <v>112013</v>
      </c>
      <c r="AE563" s="27" t="s">
        <v>2112</v>
      </c>
      <c r="AF563" s="432">
        <f>VLOOKUP(AD563,[5]Hoja1!$A$10:$K$1393,11,0)</f>
        <v>0</v>
      </c>
      <c r="AG563" s="432"/>
      <c r="AH563" s="432">
        <f t="shared" si="107"/>
        <v>0</v>
      </c>
      <c r="AL563" s="448"/>
      <c r="AM563" s="467">
        <f>VLOOKUP(AD563,[6]BV201101!$A$10:$A$1236,1,0)</f>
        <v>112013</v>
      </c>
    </row>
    <row r="564" spans="1:39" s="467" customFormat="1" ht="12.75" customHeight="1">
      <c r="A564" s="487" t="str">
        <f t="shared" si="108"/>
        <v>1</v>
      </c>
      <c r="B564" s="487" t="str">
        <f t="shared" si="91"/>
        <v>12</v>
      </c>
      <c r="C564" s="487" t="str">
        <f t="shared" si="92"/>
        <v>01</v>
      </c>
      <c r="D564" s="487" t="str">
        <f t="shared" si="93"/>
        <v>2014</v>
      </c>
      <c r="E564" s="487">
        <v>514340000</v>
      </c>
      <c r="F564" s="488" t="str">
        <f t="shared" si="109"/>
        <v/>
      </c>
      <c r="G564" s="487"/>
      <c r="H564" s="487"/>
      <c r="I564" s="488" t="str">
        <f t="shared" si="110"/>
        <v/>
      </c>
      <c r="J564" s="487"/>
      <c r="K564" s="487"/>
      <c r="L564" s="488" t="str">
        <f t="shared" si="111"/>
        <v/>
      </c>
      <c r="M564" s="489"/>
      <c r="N564" s="489"/>
      <c r="O564" s="488" t="str">
        <f t="shared" si="112"/>
        <v/>
      </c>
      <c r="P564" s="489"/>
      <c r="Q564" s="489"/>
      <c r="R564" s="592" t="str">
        <f t="shared" si="113"/>
        <v/>
      </c>
      <c r="S564" s="487"/>
      <c r="T564" s="487"/>
      <c r="U564" s="488" t="str">
        <f t="shared" si="114"/>
        <v/>
      </c>
      <c r="V564" s="489"/>
      <c r="W564" s="489"/>
      <c r="X564" s="488" t="str">
        <f t="shared" si="115"/>
        <v/>
      </c>
      <c r="Y564" s="489"/>
      <c r="Z564" s="489"/>
      <c r="AA564" s="490" t="str">
        <f t="shared" si="116"/>
        <v>229</v>
      </c>
      <c r="AB564" s="489">
        <v>22</v>
      </c>
      <c r="AC564" s="489">
        <v>9</v>
      </c>
      <c r="AD564" s="27">
        <v>112014</v>
      </c>
      <c r="AE564" s="27" t="s">
        <v>1346</v>
      </c>
      <c r="AF564" s="432">
        <v>0</v>
      </c>
      <c r="AG564" s="432"/>
      <c r="AH564" s="432">
        <f t="shared" si="107"/>
        <v>0</v>
      </c>
      <c r="AL564" s="448"/>
      <c r="AM564" s="467" t="e">
        <f>VLOOKUP(AD564,[6]BV201101!$A$10:$A$1236,1,0)</f>
        <v>#N/A</v>
      </c>
    </row>
    <row r="565" spans="1:39" s="467" customFormat="1" ht="12.75" customHeight="1">
      <c r="A565" s="487" t="str">
        <f t="shared" si="108"/>
        <v>1</v>
      </c>
      <c r="B565" s="487" t="str">
        <f t="shared" si="91"/>
        <v>12</v>
      </c>
      <c r="C565" s="487" t="str">
        <f t="shared" si="92"/>
        <v>01</v>
      </c>
      <c r="D565" s="487" t="str">
        <f t="shared" si="93"/>
        <v>2015</v>
      </c>
      <c r="E565" s="487">
        <v>514340000</v>
      </c>
      <c r="F565" s="488" t="str">
        <f t="shared" si="109"/>
        <v/>
      </c>
      <c r="G565" s="487"/>
      <c r="H565" s="487"/>
      <c r="I565" s="488" t="str">
        <f t="shared" si="110"/>
        <v/>
      </c>
      <c r="J565" s="487"/>
      <c r="K565" s="487"/>
      <c r="L565" s="488" t="str">
        <f t="shared" si="111"/>
        <v/>
      </c>
      <c r="M565" s="489"/>
      <c r="N565" s="489"/>
      <c r="O565" s="488" t="str">
        <f t="shared" si="112"/>
        <v/>
      </c>
      <c r="P565" s="489"/>
      <c r="Q565" s="489"/>
      <c r="R565" s="592" t="str">
        <f t="shared" si="113"/>
        <v/>
      </c>
      <c r="S565" s="487"/>
      <c r="T565" s="487"/>
      <c r="U565" s="488" t="str">
        <f t="shared" si="114"/>
        <v/>
      </c>
      <c r="V565" s="489"/>
      <c r="W565" s="489"/>
      <c r="X565" s="488" t="str">
        <f t="shared" si="115"/>
        <v/>
      </c>
      <c r="Y565" s="489"/>
      <c r="Z565" s="489"/>
      <c r="AA565" s="490" t="str">
        <f t="shared" si="116"/>
        <v>229</v>
      </c>
      <c r="AB565" s="489">
        <v>22</v>
      </c>
      <c r="AC565" s="489">
        <v>9</v>
      </c>
      <c r="AD565" s="27">
        <v>112015</v>
      </c>
      <c r="AE565" s="27" t="s">
        <v>2113</v>
      </c>
      <c r="AF565" s="432">
        <f>VLOOKUP(AD565,[5]Hoja1!$A$10:$K$1393,11,0)</f>
        <v>0</v>
      </c>
      <c r="AG565" s="432"/>
      <c r="AH565" s="432">
        <f t="shared" si="107"/>
        <v>0</v>
      </c>
      <c r="AL565" s="448"/>
      <c r="AM565" s="467">
        <f>VLOOKUP(AD565,[6]BV201101!$A$10:$A$1236,1,0)</f>
        <v>112015</v>
      </c>
    </row>
    <row r="566" spans="1:39" s="467" customFormat="1" ht="12.75" customHeight="1">
      <c r="A566" s="487" t="str">
        <f t="shared" si="108"/>
        <v>1</v>
      </c>
      <c r="B566" s="487" t="str">
        <f t="shared" si="91"/>
        <v>12</v>
      </c>
      <c r="C566" s="487" t="str">
        <f t="shared" si="92"/>
        <v>01</v>
      </c>
      <c r="D566" s="487" t="str">
        <f t="shared" si="93"/>
        <v>2016</v>
      </c>
      <c r="E566" s="487">
        <v>514340000</v>
      </c>
      <c r="F566" s="488" t="str">
        <f t="shared" si="109"/>
        <v/>
      </c>
      <c r="G566" s="487"/>
      <c r="H566" s="487"/>
      <c r="I566" s="488" t="str">
        <f t="shared" si="110"/>
        <v/>
      </c>
      <c r="J566" s="487"/>
      <c r="K566" s="487"/>
      <c r="L566" s="488" t="str">
        <f t="shared" si="111"/>
        <v/>
      </c>
      <c r="M566" s="489"/>
      <c r="N566" s="489"/>
      <c r="O566" s="488" t="str">
        <f t="shared" si="112"/>
        <v/>
      </c>
      <c r="P566" s="489"/>
      <c r="Q566" s="489"/>
      <c r="R566" s="592" t="str">
        <f t="shared" si="113"/>
        <v/>
      </c>
      <c r="S566" s="487"/>
      <c r="T566" s="487"/>
      <c r="U566" s="488" t="str">
        <f t="shared" si="114"/>
        <v/>
      </c>
      <c r="V566" s="489"/>
      <c r="W566" s="489"/>
      <c r="X566" s="488" t="str">
        <f t="shared" si="115"/>
        <v/>
      </c>
      <c r="Y566" s="489"/>
      <c r="Z566" s="489"/>
      <c r="AA566" s="490" t="str">
        <f t="shared" si="116"/>
        <v>229</v>
      </c>
      <c r="AB566" s="489">
        <v>22</v>
      </c>
      <c r="AC566" s="489">
        <v>9</v>
      </c>
      <c r="AD566" s="27">
        <v>112016</v>
      </c>
      <c r="AE566" s="27" t="s">
        <v>2114</v>
      </c>
      <c r="AF566" s="432">
        <f>VLOOKUP(AD566,[5]Hoja1!$A$10:$K$1393,11,0)</f>
        <v>0</v>
      </c>
      <c r="AG566" s="432"/>
      <c r="AH566" s="432">
        <f t="shared" si="107"/>
        <v>0</v>
      </c>
      <c r="AL566" s="448"/>
      <c r="AM566" s="467">
        <f>VLOOKUP(AD566,[6]BV201101!$A$10:$A$1236,1,0)</f>
        <v>112016</v>
      </c>
    </row>
    <row r="567" spans="1:39" s="467" customFormat="1" ht="12.75" customHeight="1">
      <c r="A567" s="487" t="str">
        <f t="shared" si="108"/>
        <v>1</v>
      </c>
      <c r="B567" s="487" t="str">
        <f t="shared" si="91"/>
        <v>12</v>
      </c>
      <c r="C567" s="487" t="str">
        <f t="shared" si="92"/>
        <v>01</v>
      </c>
      <c r="D567" s="487" t="str">
        <f t="shared" si="93"/>
        <v>2017</v>
      </c>
      <c r="E567" s="487">
        <v>511152000</v>
      </c>
      <c r="F567" s="488" t="str">
        <f t="shared" si="109"/>
        <v/>
      </c>
      <c r="G567" s="487"/>
      <c r="H567" s="487"/>
      <c r="I567" s="488" t="str">
        <f t="shared" si="110"/>
        <v/>
      </c>
      <c r="J567" s="487"/>
      <c r="K567" s="487"/>
      <c r="L567" s="488" t="str">
        <f t="shared" si="111"/>
        <v/>
      </c>
      <c r="M567" s="487"/>
      <c r="N567" s="487"/>
      <c r="O567" s="488" t="str">
        <f t="shared" si="112"/>
        <v/>
      </c>
      <c r="P567" s="489"/>
      <c r="Q567" s="489"/>
      <c r="R567" s="592" t="str">
        <f t="shared" si="113"/>
        <v/>
      </c>
      <c r="S567" s="487"/>
      <c r="T567" s="487"/>
      <c r="U567" s="488" t="str">
        <f t="shared" si="114"/>
        <v/>
      </c>
      <c r="V567" s="489"/>
      <c r="W567" s="489"/>
      <c r="X567" s="488" t="str">
        <f t="shared" si="115"/>
        <v/>
      </c>
      <c r="Y567" s="489"/>
      <c r="Z567" s="489"/>
      <c r="AA567" s="490" t="str">
        <f>+AB567&amp;AC567</f>
        <v>221</v>
      </c>
      <c r="AB567" s="489">
        <v>22</v>
      </c>
      <c r="AC567" s="489">
        <v>1</v>
      </c>
      <c r="AD567" s="27">
        <v>112017</v>
      </c>
      <c r="AE567" s="27" t="s">
        <v>2115</v>
      </c>
      <c r="AF567" s="432">
        <f>VLOOKUP(AD567,[5]Hoja1!$A$10:$K$1393,11,0)</f>
        <v>0</v>
      </c>
      <c r="AG567" s="432"/>
      <c r="AH567" s="432">
        <f t="shared" si="107"/>
        <v>0</v>
      </c>
      <c r="AL567" s="448"/>
      <c r="AM567" s="467">
        <f>VLOOKUP(AD567,[6]BV201101!$A$10:$A$1236,1,0)</f>
        <v>112017</v>
      </c>
    </row>
    <row r="568" spans="1:39" s="467" customFormat="1" ht="12.75" customHeight="1">
      <c r="A568" s="487" t="str">
        <f t="shared" si="108"/>
        <v>1</v>
      </c>
      <c r="B568" s="487" t="str">
        <f t="shared" si="91"/>
        <v>12</v>
      </c>
      <c r="C568" s="487" t="str">
        <f t="shared" si="92"/>
        <v>01</v>
      </c>
      <c r="D568" s="487" t="str">
        <f t="shared" si="93"/>
        <v>2018</v>
      </c>
      <c r="E568" s="487">
        <v>514340000</v>
      </c>
      <c r="F568" s="488" t="str">
        <f t="shared" si="109"/>
        <v/>
      </c>
      <c r="G568" s="487"/>
      <c r="H568" s="487"/>
      <c r="I568" s="488" t="str">
        <f t="shared" si="110"/>
        <v/>
      </c>
      <c r="J568" s="487"/>
      <c r="K568" s="487"/>
      <c r="L568" s="488" t="str">
        <f t="shared" si="111"/>
        <v/>
      </c>
      <c r="M568" s="489"/>
      <c r="N568" s="489"/>
      <c r="O568" s="488" t="str">
        <f t="shared" si="112"/>
        <v/>
      </c>
      <c r="P568" s="489"/>
      <c r="Q568" s="489"/>
      <c r="R568" s="592" t="str">
        <f t="shared" si="113"/>
        <v/>
      </c>
      <c r="S568" s="487"/>
      <c r="T568" s="487"/>
      <c r="U568" s="488" t="str">
        <f t="shared" si="114"/>
        <v/>
      </c>
      <c r="V568" s="489"/>
      <c r="W568" s="489"/>
      <c r="X568" s="488" t="str">
        <f t="shared" si="115"/>
        <v/>
      </c>
      <c r="Y568" s="489"/>
      <c r="Z568" s="489"/>
      <c r="AA568" s="490" t="str">
        <f t="shared" si="116"/>
        <v>229</v>
      </c>
      <c r="AB568" s="489">
        <v>22</v>
      </c>
      <c r="AC568" s="489">
        <v>9</v>
      </c>
      <c r="AD568" s="27">
        <v>112018</v>
      </c>
      <c r="AE568" s="27" t="s">
        <v>2116</v>
      </c>
      <c r="AF568" s="432">
        <f>VLOOKUP(AD568,[5]Hoja1!$A$10:$K$1393,11,0)</f>
        <v>0</v>
      </c>
      <c r="AG568" s="432"/>
      <c r="AH568" s="432">
        <f t="shared" si="107"/>
        <v>0</v>
      </c>
      <c r="AL568" s="448"/>
      <c r="AM568" s="467">
        <f>VLOOKUP(AD568,[6]BV201101!$A$10:$A$1236,1,0)</f>
        <v>112018</v>
      </c>
    </row>
    <row r="569" spans="1:39" s="467" customFormat="1" ht="12.75" customHeight="1">
      <c r="A569" s="487" t="str">
        <f t="shared" si="108"/>
        <v>1</v>
      </c>
      <c r="B569" s="487" t="str">
        <f t="shared" si="91"/>
        <v>12</v>
      </c>
      <c r="C569" s="487" t="str">
        <f t="shared" si="92"/>
        <v>01</v>
      </c>
      <c r="D569" s="487" t="str">
        <f t="shared" si="93"/>
        <v>2019</v>
      </c>
      <c r="E569" s="487">
        <v>514340000</v>
      </c>
      <c r="F569" s="488" t="str">
        <f t="shared" si="109"/>
        <v/>
      </c>
      <c r="G569" s="487"/>
      <c r="H569" s="487"/>
      <c r="I569" s="488" t="str">
        <f t="shared" si="110"/>
        <v/>
      </c>
      <c r="J569" s="487"/>
      <c r="K569" s="487"/>
      <c r="L569" s="488" t="str">
        <f t="shared" si="111"/>
        <v/>
      </c>
      <c r="M569" s="489"/>
      <c r="N569" s="489"/>
      <c r="O569" s="488" t="str">
        <f t="shared" si="112"/>
        <v/>
      </c>
      <c r="P569" s="489"/>
      <c r="Q569" s="489"/>
      <c r="R569" s="592" t="str">
        <f t="shared" si="113"/>
        <v/>
      </c>
      <c r="S569" s="487"/>
      <c r="T569" s="487"/>
      <c r="U569" s="488" t="str">
        <f t="shared" si="114"/>
        <v/>
      </c>
      <c r="V569" s="489"/>
      <c r="W569" s="489"/>
      <c r="X569" s="488" t="str">
        <f t="shared" si="115"/>
        <v/>
      </c>
      <c r="Y569" s="489"/>
      <c r="Z569" s="489"/>
      <c r="AA569" s="490" t="str">
        <f t="shared" si="116"/>
        <v>229</v>
      </c>
      <c r="AB569" s="489">
        <v>22</v>
      </c>
      <c r="AC569" s="489">
        <v>9</v>
      </c>
      <c r="AD569" s="27">
        <v>112019</v>
      </c>
      <c r="AE569" s="27" t="s">
        <v>2117</v>
      </c>
      <c r="AF569" s="432">
        <f>VLOOKUP(AD569,[5]Hoja1!$A$10:$K$1393,11,0)</f>
        <v>0</v>
      </c>
      <c r="AG569" s="432"/>
      <c r="AH569" s="432">
        <f t="shared" si="107"/>
        <v>0</v>
      </c>
      <c r="AL569" s="448"/>
      <c r="AM569" s="467">
        <f>VLOOKUP(AD569,[6]BV201101!$A$10:$A$1236,1,0)</f>
        <v>112019</v>
      </c>
    </row>
    <row r="570" spans="1:39" s="467" customFormat="1" ht="12.75" customHeight="1">
      <c r="A570" s="487" t="str">
        <f t="shared" si="108"/>
        <v>1</v>
      </c>
      <c r="B570" s="487" t="str">
        <f>RIGHT(LEFT($AD570,3),2)</f>
        <v>12</v>
      </c>
      <c r="C570" s="487" t="str">
        <f>RIGHT(LEFT($AD570,5),2)</f>
        <v>02</v>
      </c>
      <c r="D570" s="487" t="str">
        <f>RIGHT(LEFT($AD570,9),4)</f>
        <v>2020</v>
      </c>
      <c r="E570" s="487">
        <v>514340000</v>
      </c>
      <c r="F570" s="488" t="str">
        <f>+G570&amp;H570</f>
        <v/>
      </c>
      <c r="G570" s="487"/>
      <c r="H570" s="487"/>
      <c r="I570" s="488" t="str">
        <f>+J570&amp;K570</f>
        <v/>
      </c>
      <c r="J570" s="487"/>
      <c r="K570" s="487"/>
      <c r="L570" s="488" t="str">
        <f>+M570&amp;N570</f>
        <v/>
      </c>
      <c r="M570" s="489"/>
      <c r="N570" s="489"/>
      <c r="O570" s="488" t="str">
        <f>+P570&amp;Q570</f>
        <v/>
      </c>
      <c r="P570" s="489"/>
      <c r="Q570" s="489"/>
      <c r="R570" s="592" t="str">
        <f>+S570&amp;T570</f>
        <v/>
      </c>
      <c r="S570" s="487"/>
      <c r="T570" s="487"/>
      <c r="U570" s="488" t="str">
        <f>+V570&amp;W570</f>
        <v/>
      </c>
      <c r="V570" s="489"/>
      <c r="W570" s="489"/>
      <c r="X570" s="488" t="str">
        <f>+Y570&amp;Z570</f>
        <v/>
      </c>
      <c r="Y570" s="489"/>
      <c r="Z570" s="489"/>
      <c r="AA570" s="490" t="str">
        <f>+AB570&amp;AC570</f>
        <v>229</v>
      </c>
      <c r="AB570" s="489">
        <v>22</v>
      </c>
      <c r="AC570" s="489">
        <v>9</v>
      </c>
      <c r="AD570" s="27">
        <v>112020</v>
      </c>
      <c r="AE570" s="27" t="s">
        <v>2118</v>
      </c>
      <c r="AF570" s="432">
        <f>VLOOKUP(AD570,[5]Hoja1!$A$10:$K$1393,11,0)</f>
        <v>1933390</v>
      </c>
      <c r="AG570" s="432">
        <v>0</v>
      </c>
      <c r="AH570" s="432">
        <f t="shared" si="107"/>
        <v>1933</v>
      </c>
      <c r="AL570" s="448"/>
      <c r="AM570" s="467">
        <f>VLOOKUP(AD570,[6]BV201101!$A$10:$A$1236,1,0)</f>
        <v>112020</v>
      </c>
    </row>
    <row r="571" spans="1:39" s="467" customFormat="1" ht="12.75" customHeight="1">
      <c r="A571" s="487" t="str">
        <f t="shared" si="108"/>
        <v>1</v>
      </c>
      <c r="B571" s="487" t="str">
        <f t="shared" si="91"/>
        <v>12</v>
      </c>
      <c r="C571" s="487" t="str">
        <f t="shared" si="92"/>
        <v>02</v>
      </c>
      <c r="D571" s="487" t="str">
        <f t="shared" si="93"/>
        <v>2021</v>
      </c>
      <c r="E571" s="487">
        <v>514330000</v>
      </c>
      <c r="F571" s="488" t="str">
        <f t="shared" si="109"/>
        <v/>
      </c>
      <c r="G571" s="487"/>
      <c r="H571" s="487"/>
      <c r="I571" s="488" t="str">
        <f t="shared" si="110"/>
        <v/>
      </c>
      <c r="J571" s="487"/>
      <c r="K571" s="487"/>
      <c r="L571" s="488" t="str">
        <f t="shared" si="111"/>
        <v/>
      </c>
      <c r="M571" s="489"/>
      <c r="N571" s="489"/>
      <c r="O571" s="488" t="str">
        <f t="shared" si="112"/>
        <v/>
      </c>
      <c r="P571" s="489"/>
      <c r="Q571" s="489"/>
      <c r="R571" s="592" t="str">
        <f t="shared" si="113"/>
        <v/>
      </c>
      <c r="S571" s="487"/>
      <c r="T571" s="487"/>
      <c r="U571" s="488" t="str">
        <f t="shared" si="114"/>
        <v/>
      </c>
      <c r="V571" s="489"/>
      <c r="W571" s="489"/>
      <c r="X571" s="488" t="str">
        <f t="shared" si="115"/>
        <v/>
      </c>
      <c r="Y571" s="489"/>
      <c r="Z571" s="489"/>
      <c r="AA571" s="490" t="str">
        <f t="shared" si="116"/>
        <v/>
      </c>
      <c r="AB571" s="489"/>
      <c r="AC571" s="489"/>
      <c r="AD571" s="27">
        <v>112021</v>
      </c>
      <c r="AE571" s="27" t="s">
        <v>2119</v>
      </c>
      <c r="AF571" s="432">
        <f>VLOOKUP(AD571,[5]Hoja1!$A$10:$K$1393,11,0)</f>
        <v>0</v>
      </c>
      <c r="AG571" s="432"/>
      <c r="AH571" s="432">
        <f t="shared" si="107"/>
        <v>0</v>
      </c>
      <c r="AL571" s="492"/>
      <c r="AM571" s="467">
        <f>VLOOKUP(AD571,[6]BV201101!$A$10:$A$1236,1,0)</f>
        <v>112021</v>
      </c>
    </row>
    <row r="572" spans="1:39" s="467" customFormat="1" ht="12.75" customHeight="1">
      <c r="A572" s="487" t="str">
        <f t="shared" si="108"/>
        <v>1</v>
      </c>
      <c r="B572" s="487" t="str">
        <f t="shared" si="91"/>
        <v>12</v>
      </c>
      <c r="C572" s="487" t="str">
        <f t="shared" si="92"/>
        <v>02</v>
      </c>
      <c r="D572" s="487" t="str">
        <f t="shared" si="93"/>
        <v>2022</v>
      </c>
      <c r="E572" s="487">
        <v>511114000</v>
      </c>
      <c r="F572" s="488" t="str">
        <f t="shared" si="109"/>
        <v/>
      </c>
      <c r="G572" s="487"/>
      <c r="H572" s="487"/>
      <c r="I572" s="488" t="str">
        <f t="shared" si="110"/>
        <v/>
      </c>
      <c r="J572" s="487"/>
      <c r="K572" s="487"/>
      <c r="L572" s="488" t="str">
        <f t="shared" si="111"/>
        <v/>
      </c>
      <c r="M572" s="489"/>
      <c r="N572" s="489"/>
      <c r="O572" s="488" t="str">
        <f t="shared" si="112"/>
        <v/>
      </c>
      <c r="P572" s="489"/>
      <c r="Q572" s="489"/>
      <c r="R572" s="592" t="str">
        <f t="shared" si="113"/>
        <v/>
      </c>
      <c r="S572" s="487"/>
      <c r="T572" s="487"/>
      <c r="U572" s="488" t="str">
        <f t="shared" si="114"/>
        <v/>
      </c>
      <c r="V572" s="489"/>
      <c r="W572" s="489"/>
      <c r="X572" s="488" t="str">
        <f t="shared" si="115"/>
        <v/>
      </c>
      <c r="Y572" s="489"/>
      <c r="Z572" s="489"/>
      <c r="AA572" s="490" t="str">
        <f t="shared" si="116"/>
        <v>131</v>
      </c>
      <c r="AB572" s="489">
        <v>13</v>
      </c>
      <c r="AC572" s="489">
        <v>1</v>
      </c>
      <c r="AD572" s="27">
        <v>112022</v>
      </c>
      <c r="AE572" s="27" t="s">
        <v>2120</v>
      </c>
      <c r="AF572" s="432">
        <f>VLOOKUP(AD572,[5]Hoja1!$A$10:$K$1393,11,0)</f>
        <v>594866664</v>
      </c>
      <c r="AG572" s="432"/>
      <c r="AH572" s="432">
        <f t="shared" si="107"/>
        <v>594867</v>
      </c>
      <c r="AL572" s="492"/>
      <c r="AM572" s="467">
        <f>VLOOKUP(AD572,[6]BV201101!$A$10:$A$1236,1,0)</f>
        <v>112022</v>
      </c>
    </row>
    <row r="573" spans="1:39" s="467" customFormat="1" ht="12.75" customHeight="1">
      <c r="A573" s="487" t="str">
        <f t="shared" si="108"/>
        <v>1</v>
      </c>
      <c r="B573" s="487"/>
      <c r="C573" s="487"/>
      <c r="D573" s="487"/>
      <c r="E573" s="448"/>
      <c r="F573" s="488"/>
      <c r="G573" s="487"/>
      <c r="H573" s="487"/>
      <c r="I573" s="488"/>
      <c r="J573" s="487"/>
      <c r="K573" s="487"/>
      <c r="L573" s="488"/>
      <c r="M573" s="489"/>
      <c r="N573" s="489"/>
      <c r="O573" s="488"/>
      <c r="P573" s="489"/>
      <c r="Q573" s="489"/>
      <c r="R573" s="592"/>
      <c r="S573" s="487"/>
      <c r="T573" s="487"/>
      <c r="U573" s="488"/>
      <c r="V573" s="489"/>
      <c r="W573" s="489"/>
      <c r="X573" s="488"/>
      <c r="Y573" s="489"/>
      <c r="Z573" s="489"/>
      <c r="AA573" s="490"/>
      <c r="AB573" s="489"/>
      <c r="AC573" s="489"/>
      <c r="AD573" s="27">
        <v>112023</v>
      </c>
      <c r="AE573" s="27" t="s">
        <v>2121</v>
      </c>
      <c r="AF573" s="432">
        <v>0</v>
      </c>
      <c r="AG573" s="432"/>
      <c r="AH573" s="432">
        <f t="shared" si="107"/>
        <v>0</v>
      </c>
      <c r="AL573" s="492"/>
      <c r="AM573" s="467" t="e">
        <f>VLOOKUP(AD573,[6]BV201101!$A$10:$A$1236,1,0)</f>
        <v>#N/A</v>
      </c>
    </row>
    <row r="574" spans="1:39" s="467" customFormat="1" ht="12.75" customHeight="1">
      <c r="A574" s="487" t="str">
        <f t="shared" si="108"/>
        <v>1</v>
      </c>
      <c r="B574" s="487"/>
      <c r="C574" s="487"/>
      <c r="D574" s="487"/>
      <c r="E574" s="448"/>
      <c r="F574" s="488"/>
      <c r="G574" s="487"/>
      <c r="H574" s="487"/>
      <c r="I574" s="488"/>
      <c r="J574" s="487"/>
      <c r="K574" s="487"/>
      <c r="L574" s="488"/>
      <c r="M574" s="489"/>
      <c r="N574" s="489"/>
      <c r="O574" s="488"/>
      <c r="P574" s="489"/>
      <c r="Q574" s="489"/>
      <c r="R574" s="592"/>
      <c r="S574" s="487"/>
      <c r="T574" s="487"/>
      <c r="U574" s="488"/>
      <c r="V574" s="489"/>
      <c r="W574" s="489"/>
      <c r="X574" s="488"/>
      <c r="Y574" s="489"/>
      <c r="Z574" s="489"/>
      <c r="AA574" s="490"/>
      <c r="AB574" s="489"/>
      <c r="AC574" s="489"/>
      <c r="AD574" s="27">
        <v>112024</v>
      </c>
      <c r="AE574" s="27" t="s">
        <v>1251</v>
      </c>
      <c r="AF574" s="432">
        <v>0</v>
      </c>
      <c r="AG574" s="432"/>
      <c r="AH574" s="432">
        <f t="shared" si="107"/>
        <v>0</v>
      </c>
      <c r="AL574" s="492"/>
      <c r="AM574" s="467" t="e">
        <f>VLOOKUP(AD574,[6]BV201101!$A$10:$A$1236,1,0)</f>
        <v>#N/A</v>
      </c>
    </row>
    <row r="575" spans="1:39" s="467" customFormat="1" ht="12.75" customHeight="1">
      <c r="A575" s="487" t="str">
        <f t="shared" si="108"/>
        <v>1</v>
      </c>
      <c r="B575" s="487" t="str">
        <f t="shared" si="91"/>
        <v>12</v>
      </c>
      <c r="C575" s="487" t="str">
        <f t="shared" si="92"/>
        <v>02</v>
      </c>
      <c r="D575" s="487" t="str">
        <f t="shared" si="93"/>
        <v>2025</v>
      </c>
      <c r="E575" s="487">
        <v>514330000</v>
      </c>
      <c r="F575" s="488" t="str">
        <f>+G575&amp;H575</f>
        <v/>
      </c>
      <c r="G575" s="487"/>
      <c r="H575" s="487"/>
      <c r="I575" s="488" t="str">
        <f>+J575&amp;K575</f>
        <v/>
      </c>
      <c r="J575" s="487"/>
      <c r="K575" s="487"/>
      <c r="L575" s="488" t="str">
        <f>+M575&amp;N575</f>
        <v/>
      </c>
      <c r="M575" s="489"/>
      <c r="N575" s="489"/>
      <c r="O575" s="488" t="str">
        <f>+P575&amp;Q575</f>
        <v/>
      </c>
      <c r="P575" s="489"/>
      <c r="Q575" s="489"/>
      <c r="R575" s="592" t="str">
        <f>+S575&amp;T575</f>
        <v/>
      </c>
      <c r="S575" s="487"/>
      <c r="T575" s="487"/>
      <c r="U575" s="488" t="str">
        <f>+V575&amp;W575</f>
        <v/>
      </c>
      <c r="V575" s="489"/>
      <c r="W575" s="489"/>
      <c r="X575" s="488" t="str">
        <f>+Y575&amp;Z575</f>
        <v/>
      </c>
      <c r="Y575" s="489"/>
      <c r="Z575" s="489"/>
      <c r="AA575" s="490" t="str">
        <f>+AB575&amp;AC575</f>
        <v/>
      </c>
      <c r="AB575" s="489"/>
      <c r="AC575" s="489"/>
      <c r="AD575" s="27">
        <v>112025</v>
      </c>
      <c r="AE575" s="27" t="s">
        <v>2122</v>
      </c>
      <c r="AF575" s="432">
        <v>0</v>
      </c>
      <c r="AG575" s="432"/>
      <c r="AH575" s="432">
        <f t="shared" si="107"/>
        <v>0</v>
      </c>
      <c r="AL575" s="492"/>
      <c r="AM575" s="467" t="e">
        <f>VLOOKUP(AD575,[6]BV201101!$A$10:$A$1236,1,0)</f>
        <v>#N/A</v>
      </c>
    </row>
    <row r="576" spans="1:39" s="467" customFormat="1" ht="12.75" customHeight="1">
      <c r="A576" s="487" t="str">
        <f t="shared" si="108"/>
        <v>1</v>
      </c>
      <c r="B576" s="487" t="str">
        <f t="shared" si="91"/>
        <v>12</v>
      </c>
      <c r="C576" s="487" t="str">
        <f t="shared" si="92"/>
        <v>02</v>
      </c>
      <c r="D576" s="487" t="str">
        <f t="shared" si="93"/>
        <v>2026</v>
      </c>
      <c r="E576" s="487">
        <v>514330000</v>
      </c>
      <c r="F576" s="488" t="str">
        <f>+G576&amp;H576</f>
        <v/>
      </c>
      <c r="G576" s="487"/>
      <c r="H576" s="487"/>
      <c r="I576" s="488" t="str">
        <f>+J576&amp;K576</f>
        <v/>
      </c>
      <c r="J576" s="487"/>
      <c r="K576" s="487"/>
      <c r="L576" s="488" t="str">
        <f>+M576&amp;N576</f>
        <v/>
      </c>
      <c r="M576" s="489"/>
      <c r="N576" s="489"/>
      <c r="O576" s="488" t="str">
        <f>+P576&amp;Q576</f>
        <v/>
      </c>
      <c r="P576" s="489"/>
      <c r="Q576" s="489"/>
      <c r="R576" s="592" t="str">
        <f>+S576&amp;T576</f>
        <v/>
      </c>
      <c r="S576" s="487"/>
      <c r="T576" s="487"/>
      <c r="U576" s="488" t="str">
        <f>+V576&amp;W576</f>
        <v/>
      </c>
      <c r="V576" s="489"/>
      <c r="W576" s="489"/>
      <c r="X576" s="488" t="str">
        <f>+Y576&amp;Z576</f>
        <v/>
      </c>
      <c r="Y576" s="489"/>
      <c r="Z576" s="489"/>
      <c r="AA576" s="490" t="str">
        <f>+AB576&amp;AC576</f>
        <v>229</v>
      </c>
      <c r="AB576" s="489">
        <v>22</v>
      </c>
      <c r="AC576" s="489">
        <v>9</v>
      </c>
      <c r="AD576" s="27">
        <v>112026</v>
      </c>
      <c r="AE576" s="27" t="s">
        <v>2123</v>
      </c>
      <c r="AF576" s="432">
        <v>0</v>
      </c>
      <c r="AG576" s="432"/>
      <c r="AH576" s="432">
        <f t="shared" si="107"/>
        <v>0</v>
      </c>
      <c r="AI576" s="445"/>
      <c r="AL576" s="448"/>
      <c r="AM576" s="467" t="e">
        <f>VLOOKUP(AD576,[6]BV201101!$A$10:$A$1236,1,0)</f>
        <v>#N/A</v>
      </c>
    </row>
    <row r="577" spans="1:39" s="467" customFormat="1" ht="12.75" customHeight="1">
      <c r="A577" s="487" t="str">
        <f t="shared" si="108"/>
        <v>1</v>
      </c>
      <c r="B577" s="487"/>
      <c r="C577" s="487"/>
      <c r="D577" s="487"/>
      <c r="E577" s="487"/>
      <c r="F577" s="488"/>
      <c r="G577" s="487"/>
      <c r="H577" s="487"/>
      <c r="I577" s="488"/>
      <c r="J577" s="487"/>
      <c r="K577" s="487"/>
      <c r="L577" s="488"/>
      <c r="M577" s="489"/>
      <c r="N577" s="489"/>
      <c r="O577" s="488"/>
      <c r="P577" s="489"/>
      <c r="Q577" s="489"/>
      <c r="R577" s="592"/>
      <c r="S577" s="487"/>
      <c r="T577" s="487"/>
      <c r="U577" s="488"/>
      <c r="V577" s="489"/>
      <c r="W577" s="489"/>
      <c r="X577" s="488"/>
      <c r="Y577" s="489"/>
      <c r="Z577" s="489"/>
      <c r="AA577" s="490"/>
      <c r="AB577" s="489"/>
      <c r="AC577" s="489"/>
      <c r="AD577" s="27">
        <v>112027</v>
      </c>
      <c r="AE577" s="27" t="s">
        <v>2124</v>
      </c>
      <c r="AF577" s="432">
        <v>0</v>
      </c>
      <c r="AG577" s="432"/>
      <c r="AH577" s="432">
        <f t="shared" si="107"/>
        <v>0</v>
      </c>
      <c r="AI577" s="445"/>
      <c r="AL577" s="448"/>
      <c r="AM577" s="467" t="e">
        <f>VLOOKUP(AD577,[6]BV201101!$A$10:$A$1236,1,0)</f>
        <v>#N/A</v>
      </c>
    </row>
    <row r="578" spans="1:39" s="467" customFormat="1" ht="12.75" customHeight="1">
      <c r="A578" s="487" t="str">
        <f t="shared" si="108"/>
        <v>1</v>
      </c>
      <c r="B578" s="487"/>
      <c r="C578" s="487"/>
      <c r="D578" s="487"/>
      <c r="E578" s="487"/>
      <c r="F578" s="488"/>
      <c r="G578" s="487"/>
      <c r="H578" s="487"/>
      <c r="I578" s="488"/>
      <c r="J578" s="487"/>
      <c r="K578" s="487"/>
      <c r="L578" s="488"/>
      <c r="M578" s="489"/>
      <c r="N578" s="489"/>
      <c r="O578" s="488"/>
      <c r="P578" s="489"/>
      <c r="Q578" s="489"/>
      <c r="R578" s="592"/>
      <c r="S578" s="487"/>
      <c r="T578" s="487"/>
      <c r="U578" s="488"/>
      <c r="V578" s="489"/>
      <c r="W578" s="489"/>
      <c r="X578" s="488"/>
      <c r="Y578" s="489"/>
      <c r="Z578" s="489"/>
      <c r="AA578" s="490"/>
      <c r="AB578" s="489"/>
      <c r="AC578" s="489"/>
      <c r="AD578" s="27">
        <v>112028</v>
      </c>
      <c r="AE578" s="27" t="s">
        <v>2125</v>
      </c>
      <c r="AF578" s="432">
        <v>0</v>
      </c>
      <c r="AG578" s="432"/>
      <c r="AH578" s="432">
        <f t="shared" si="107"/>
        <v>0</v>
      </c>
      <c r="AI578" s="445"/>
      <c r="AL578" s="448"/>
      <c r="AM578" s="467" t="e">
        <f>VLOOKUP(AD578,[6]BV201101!$A$10:$A$1236,1,0)</f>
        <v>#N/A</v>
      </c>
    </row>
    <row r="579" spans="1:39" s="467" customFormat="1" ht="12.75" customHeight="1">
      <c r="A579" s="487" t="str">
        <f t="shared" si="108"/>
        <v>1</v>
      </c>
      <c r="B579" s="487" t="str">
        <f t="shared" ref="B579:B585" si="117">RIGHT(LEFT($AD579,3),2)</f>
        <v>12</v>
      </c>
      <c r="C579" s="487" t="str">
        <f t="shared" ref="C579:C585" si="118">RIGHT(LEFT($AD579,5),2)</f>
        <v>02</v>
      </c>
      <c r="D579" s="487" t="str">
        <f t="shared" ref="D579:D585" si="119">RIGHT(LEFT($AD579,9),4)</f>
        <v>2029</v>
      </c>
      <c r="E579" s="487">
        <v>514330000</v>
      </c>
      <c r="F579" s="488"/>
      <c r="G579" s="487"/>
      <c r="H579" s="487"/>
      <c r="I579" s="488"/>
      <c r="J579" s="487"/>
      <c r="K579" s="487"/>
      <c r="L579" s="488"/>
      <c r="M579" s="489"/>
      <c r="N579" s="489"/>
      <c r="O579" s="488"/>
      <c r="P579" s="489"/>
      <c r="Q579" s="489"/>
      <c r="R579" s="592"/>
      <c r="S579" s="487"/>
      <c r="T579" s="487"/>
      <c r="U579" s="488"/>
      <c r="V579" s="489"/>
      <c r="W579" s="489"/>
      <c r="X579" s="488"/>
      <c r="Y579" s="489"/>
      <c r="Z579" s="489"/>
      <c r="AA579" s="490"/>
      <c r="AB579" s="489"/>
      <c r="AC579" s="489"/>
      <c r="AD579" s="27">
        <v>112029</v>
      </c>
      <c r="AE579" s="27" t="s">
        <v>1252</v>
      </c>
      <c r="AF579" s="432">
        <f>VLOOKUP(AD579,[5]Hoja1!$A$10:$K$1393,11,0)</f>
        <v>2671042</v>
      </c>
      <c r="AG579" s="432">
        <v>0</v>
      </c>
      <c r="AH579" s="432">
        <f t="shared" si="107"/>
        <v>2671</v>
      </c>
      <c r="AI579" s="445"/>
      <c r="AL579" s="448"/>
      <c r="AM579" s="467">
        <f>VLOOKUP(AD579,[6]BV201101!$A$10:$A$1236,1,0)</f>
        <v>112029</v>
      </c>
    </row>
    <row r="580" spans="1:39" s="467" customFormat="1" ht="12.75" customHeight="1">
      <c r="A580" s="487" t="str">
        <f t="shared" si="108"/>
        <v>1</v>
      </c>
      <c r="B580" s="487" t="str">
        <f t="shared" si="117"/>
        <v>12</v>
      </c>
      <c r="C580" s="487" t="str">
        <f t="shared" si="118"/>
        <v>03</v>
      </c>
      <c r="D580" s="487" t="str">
        <f t="shared" si="119"/>
        <v>2030</v>
      </c>
      <c r="E580" s="487">
        <v>511160000</v>
      </c>
      <c r="F580" s="488" t="str">
        <f>+G580&amp;H580</f>
        <v/>
      </c>
      <c r="G580" s="487"/>
      <c r="H580" s="487"/>
      <c r="I580" s="488" t="str">
        <f>+J580&amp;K580</f>
        <v/>
      </c>
      <c r="J580" s="487"/>
      <c r="K580" s="487"/>
      <c r="L580" s="488" t="str">
        <f>+M580&amp;N580</f>
        <v/>
      </c>
      <c r="M580" s="487"/>
      <c r="N580" s="487"/>
      <c r="O580" s="488" t="str">
        <f>+P580&amp;Q580</f>
        <v/>
      </c>
      <c r="P580" s="489"/>
      <c r="Q580" s="489"/>
      <c r="R580" s="592" t="str">
        <f>+S580&amp;T580</f>
        <v/>
      </c>
      <c r="S580" s="487"/>
      <c r="T580" s="487"/>
      <c r="U580" s="488" t="str">
        <f>+V580&amp;W580</f>
        <v/>
      </c>
      <c r="V580" s="489"/>
      <c r="W580" s="489"/>
      <c r="X580" s="488" t="str">
        <f>+Y580&amp;Z580</f>
        <v/>
      </c>
      <c r="Y580" s="489"/>
      <c r="Z580" s="489"/>
      <c r="AA580" s="490" t="str">
        <f>+AB580&amp;AC580</f>
        <v>302</v>
      </c>
      <c r="AB580" s="489">
        <v>30</v>
      </c>
      <c r="AC580" s="489">
        <v>2</v>
      </c>
      <c r="AD580" s="27">
        <v>112030</v>
      </c>
      <c r="AE580" s="27" t="s">
        <v>576</v>
      </c>
      <c r="AF580" s="432">
        <f>VLOOKUP(AD580,[5]Hoja1!$A$10:$K$1393,11,0)</f>
        <v>0</v>
      </c>
      <c r="AG580" s="432"/>
      <c r="AH580" s="432">
        <f t="shared" si="107"/>
        <v>0</v>
      </c>
      <c r="AI580" s="445"/>
      <c r="AL580" s="448"/>
      <c r="AM580" s="467">
        <f>VLOOKUP(AD580,[6]BV201101!$A$10:$A$1236,1,0)</f>
        <v>112030</v>
      </c>
    </row>
    <row r="581" spans="1:39" s="467" customFormat="1" ht="12.75" customHeight="1">
      <c r="A581" s="487" t="str">
        <f t="shared" si="108"/>
        <v>1</v>
      </c>
      <c r="B581" s="487" t="str">
        <f t="shared" si="117"/>
        <v>12</v>
      </c>
      <c r="C581" s="487" t="str">
        <f t="shared" si="118"/>
        <v>03</v>
      </c>
      <c r="D581" s="487" t="str">
        <f t="shared" si="119"/>
        <v>2031</v>
      </c>
      <c r="E581" s="487">
        <v>514340000</v>
      </c>
      <c r="F581" s="488"/>
      <c r="G581" s="487"/>
      <c r="H581" s="487"/>
      <c r="I581" s="488"/>
      <c r="J581" s="487"/>
      <c r="K581" s="487"/>
      <c r="L581" s="488"/>
      <c r="M581" s="489"/>
      <c r="N581" s="489"/>
      <c r="O581" s="488"/>
      <c r="P581" s="489"/>
      <c r="Q581" s="489"/>
      <c r="R581" s="592"/>
      <c r="S581" s="487"/>
      <c r="T581" s="487"/>
      <c r="U581" s="488"/>
      <c r="V581" s="489"/>
      <c r="W581" s="489"/>
      <c r="X581" s="488"/>
      <c r="Y581" s="489"/>
      <c r="Z581" s="489"/>
      <c r="AA581" s="490"/>
      <c r="AB581" s="489"/>
      <c r="AC581" s="489"/>
      <c r="AD581" s="27">
        <v>112031</v>
      </c>
      <c r="AE581" s="27" t="s">
        <v>577</v>
      </c>
      <c r="AF581" s="432">
        <f>VLOOKUP(AD581,[5]Hoja1!$A$10:$K$1393,11,0)</f>
        <v>-2488255</v>
      </c>
      <c r="AG581" s="432"/>
      <c r="AH581" s="432">
        <f t="shared" si="107"/>
        <v>-2488</v>
      </c>
      <c r="AI581" s="445"/>
      <c r="AL581" s="448"/>
      <c r="AM581" s="467">
        <f>VLOOKUP(AD581,[6]BV201101!$A$10:$A$1236,1,0)</f>
        <v>112031</v>
      </c>
    </row>
    <row r="582" spans="1:39" s="467" customFormat="1" ht="12.75" customHeight="1">
      <c r="A582" s="487" t="str">
        <f t="shared" si="108"/>
        <v>1</v>
      </c>
      <c r="B582" s="487" t="str">
        <f t="shared" si="117"/>
        <v>12</v>
      </c>
      <c r="C582" s="487" t="str">
        <f t="shared" si="118"/>
        <v>03</v>
      </c>
      <c r="D582" s="487" t="str">
        <f t="shared" si="119"/>
        <v>2032</v>
      </c>
      <c r="E582" s="487">
        <v>514340000</v>
      </c>
      <c r="F582" s="488"/>
      <c r="G582" s="487"/>
      <c r="H582" s="487"/>
      <c r="I582" s="488"/>
      <c r="J582" s="487"/>
      <c r="K582" s="487"/>
      <c r="L582" s="488"/>
      <c r="M582" s="489"/>
      <c r="N582" s="489"/>
      <c r="O582" s="488"/>
      <c r="P582" s="489"/>
      <c r="Q582" s="489"/>
      <c r="R582" s="592"/>
      <c r="S582" s="487"/>
      <c r="T582" s="487"/>
      <c r="U582" s="488"/>
      <c r="V582" s="489"/>
      <c r="W582" s="489"/>
      <c r="X582" s="488"/>
      <c r="Y582" s="489"/>
      <c r="Z582" s="489"/>
      <c r="AA582" s="490" t="str">
        <f>+AB582&amp;AC582</f>
        <v>229</v>
      </c>
      <c r="AB582" s="489">
        <v>22</v>
      </c>
      <c r="AC582" s="489">
        <v>9</v>
      </c>
      <c r="AD582" s="27">
        <v>112032</v>
      </c>
      <c r="AE582" s="27" t="s">
        <v>1900</v>
      </c>
      <c r="AF582" s="432">
        <f>VLOOKUP(AD582,[5]Hoja1!$A$10:$K$1393,11,0)</f>
        <v>0</v>
      </c>
      <c r="AG582" s="432"/>
      <c r="AH582" s="432">
        <f t="shared" si="107"/>
        <v>0</v>
      </c>
      <c r="AI582" s="445"/>
      <c r="AL582" s="448"/>
      <c r="AM582" s="467">
        <f>VLOOKUP(AD582,[6]BV201101!$A$10:$A$1236,1,0)</f>
        <v>112032</v>
      </c>
    </row>
    <row r="583" spans="1:39" s="467" customFormat="1" ht="12.75" customHeight="1">
      <c r="A583" s="487" t="str">
        <f t="shared" si="108"/>
        <v>1</v>
      </c>
      <c r="B583" s="487" t="str">
        <f t="shared" si="117"/>
        <v>12</v>
      </c>
      <c r="C583" s="487" t="str">
        <f t="shared" si="118"/>
        <v>03</v>
      </c>
      <c r="D583" s="487" t="str">
        <f t="shared" si="119"/>
        <v>2033</v>
      </c>
      <c r="E583" s="487">
        <v>511300000</v>
      </c>
      <c r="F583" s="488"/>
      <c r="G583" s="487"/>
      <c r="H583" s="487"/>
      <c r="I583" s="488"/>
      <c r="J583" s="487"/>
      <c r="K583" s="487"/>
      <c r="L583" s="488"/>
      <c r="M583" s="489"/>
      <c r="N583" s="489"/>
      <c r="O583" s="488"/>
      <c r="P583" s="489"/>
      <c r="Q583" s="489"/>
      <c r="R583" s="592"/>
      <c r="S583" s="487"/>
      <c r="T583" s="487"/>
      <c r="U583" s="488"/>
      <c r="V583" s="489"/>
      <c r="W583" s="489"/>
      <c r="X583" s="488"/>
      <c r="Y583" s="489"/>
      <c r="Z583" s="489"/>
      <c r="AA583" s="490"/>
      <c r="AB583" s="489"/>
      <c r="AC583" s="489"/>
      <c r="AD583" s="27">
        <v>112033</v>
      </c>
      <c r="AE583" s="27" t="s">
        <v>2631</v>
      </c>
      <c r="AF583" s="432">
        <f>VLOOKUP(AD583,[5]Hoja1!$A$10:$K$1393,11,0)</f>
        <v>579932737</v>
      </c>
      <c r="AG583" s="432">
        <v>0</v>
      </c>
      <c r="AH583" s="432">
        <f t="shared" si="107"/>
        <v>579933</v>
      </c>
      <c r="AI583" s="445"/>
      <c r="AL583" s="448"/>
    </row>
    <row r="584" spans="1:39" s="467" customFormat="1" ht="12.75" customHeight="1">
      <c r="A584" s="487" t="str">
        <f t="shared" si="108"/>
        <v>1</v>
      </c>
      <c r="B584" s="487" t="str">
        <f t="shared" si="117"/>
        <v>12</v>
      </c>
      <c r="C584" s="487" t="str">
        <f t="shared" si="118"/>
        <v>03</v>
      </c>
      <c r="D584" s="487" t="str">
        <f t="shared" si="119"/>
        <v>2034</v>
      </c>
      <c r="E584" s="487">
        <v>514340000</v>
      </c>
      <c r="F584" s="488"/>
      <c r="G584" s="487"/>
      <c r="H584" s="487"/>
      <c r="I584" s="488"/>
      <c r="J584" s="487"/>
      <c r="K584" s="487"/>
      <c r="L584" s="488"/>
      <c r="M584" s="489"/>
      <c r="N584" s="489"/>
      <c r="O584" s="488"/>
      <c r="P584" s="489"/>
      <c r="Q584" s="489"/>
      <c r="R584" s="592"/>
      <c r="S584" s="487"/>
      <c r="T584" s="487"/>
      <c r="U584" s="488"/>
      <c r="V584" s="489"/>
      <c r="W584" s="489"/>
      <c r="X584" s="488"/>
      <c r="Y584" s="489"/>
      <c r="Z584" s="489"/>
      <c r="AA584" s="490" t="str">
        <f>+AB584&amp;AC584</f>
        <v>229</v>
      </c>
      <c r="AB584" s="489">
        <v>22</v>
      </c>
      <c r="AC584" s="489">
        <v>9</v>
      </c>
      <c r="AD584" s="27">
        <v>112034</v>
      </c>
      <c r="AE584" s="27" t="s">
        <v>2632</v>
      </c>
      <c r="AF584" s="432">
        <f>VLOOKUP(AD584,[5]Hoja1!$A$10:$K$1393,11,0)</f>
        <v>747735</v>
      </c>
      <c r="AG584" s="432">
        <v>0</v>
      </c>
      <c r="AH584" s="432">
        <f t="shared" si="107"/>
        <v>748</v>
      </c>
      <c r="AI584" s="445"/>
      <c r="AL584" s="448"/>
    </row>
    <row r="585" spans="1:39" s="467" customFormat="1" ht="12.75" customHeight="1">
      <c r="A585" s="487" t="str">
        <f t="shared" si="108"/>
        <v>1</v>
      </c>
      <c r="B585" s="487" t="str">
        <f t="shared" si="117"/>
        <v>12</v>
      </c>
      <c r="C585" s="487" t="str">
        <f t="shared" si="118"/>
        <v>03</v>
      </c>
      <c r="D585" s="487" t="str">
        <f t="shared" si="119"/>
        <v>2036</v>
      </c>
      <c r="E585" s="487">
        <v>511300000</v>
      </c>
      <c r="F585" s="488"/>
      <c r="G585" s="487"/>
      <c r="H585" s="487"/>
      <c r="I585" s="488"/>
      <c r="J585" s="487"/>
      <c r="K585" s="487"/>
      <c r="L585" s="488"/>
      <c r="M585" s="489"/>
      <c r="N585" s="489"/>
      <c r="O585" s="488"/>
      <c r="P585" s="489"/>
      <c r="Q585" s="489"/>
      <c r="R585" s="592"/>
      <c r="S585" s="487"/>
      <c r="T585" s="487"/>
      <c r="U585" s="488"/>
      <c r="V585" s="489"/>
      <c r="W585" s="489"/>
      <c r="X585" s="488"/>
      <c r="Y585" s="489"/>
      <c r="Z585" s="489"/>
      <c r="AA585" s="490"/>
      <c r="AB585" s="489"/>
      <c r="AC585" s="489"/>
      <c r="AD585" s="27">
        <v>112036</v>
      </c>
      <c r="AE585" s="27" t="s">
        <v>2633</v>
      </c>
      <c r="AF585" s="432">
        <f>VLOOKUP(AD585,[5]Hoja1!$A$10:$K$1393,11,0)</f>
        <v>225079811</v>
      </c>
      <c r="AG585" s="432">
        <v>0</v>
      </c>
      <c r="AH585" s="432">
        <f t="shared" si="107"/>
        <v>225080</v>
      </c>
      <c r="AI585" s="445"/>
      <c r="AL585" s="448"/>
    </row>
    <row r="586" spans="1:39" s="467" customFormat="1" ht="12.75" customHeight="1">
      <c r="A586" s="487" t="str">
        <f t="shared" si="108"/>
        <v>1</v>
      </c>
      <c r="B586" s="487" t="str">
        <f t="shared" si="91"/>
        <v>13</v>
      </c>
      <c r="C586" s="487" t="str">
        <f t="shared" si="92"/>
        <v>00</v>
      </c>
      <c r="D586" s="487" t="str">
        <f t="shared" si="93"/>
        <v>3001</v>
      </c>
      <c r="E586" s="487">
        <v>511211000</v>
      </c>
      <c r="F586" s="488" t="str">
        <f t="shared" ref="F586:F614" si="120">+G586&amp;H586</f>
        <v/>
      </c>
      <c r="G586" s="487"/>
      <c r="H586" s="487"/>
      <c r="I586" s="488" t="str">
        <f t="shared" ref="I586:I614" si="121">+J586&amp;K586</f>
        <v/>
      </c>
      <c r="J586" s="487"/>
      <c r="K586" s="487"/>
      <c r="L586" s="488" t="str">
        <f t="shared" ref="L586:L614" si="122">+M586&amp;N586</f>
        <v/>
      </c>
      <c r="M586" s="489"/>
      <c r="N586" s="489"/>
      <c r="O586" s="488" t="str">
        <f t="shared" ref="O586:O614" si="123">+P586&amp;Q586</f>
        <v/>
      </c>
      <c r="P586" s="489"/>
      <c r="Q586" s="489"/>
      <c r="R586" s="592" t="str">
        <f t="shared" ref="R586:R614" si="124">+S586&amp;T586</f>
        <v/>
      </c>
      <c r="S586" s="487"/>
      <c r="T586" s="487"/>
      <c r="U586" s="488" t="str">
        <f t="shared" ref="U586:U614" si="125">+V586&amp;W586</f>
        <v/>
      </c>
      <c r="V586" s="489"/>
      <c r="W586" s="489"/>
      <c r="X586" s="488" t="str">
        <f t="shared" ref="X586:X614" si="126">+Y586&amp;Z586</f>
        <v/>
      </c>
      <c r="Y586" s="489"/>
      <c r="Z586" s="489"/>
      <c r="AA586" s="490" t="str">
        <f>+AB586&amp;AC586</f>
        <v>2234</v>
      </c>
      <c r="AB586" s="489">
        <v>22</v>
      </c>
      <c r="AC586" s="489">
        <v>34</v>
      </c>
      <c r="AD586" s="418">
        <v>113001</v>
      </c>
      <c r="AE586" s="27" t="s">
        <v>1274</v>
      </c>
      <c r="AF586" s="432">
        <f>VLOOKUP(AD586,[5]Hoja1!$A$10:$K$1393,11,0)</f>
        <v>46963664588</v>
      </c>
      <c r="AG586" s="432">
        <v>0</v>
      </c>
      <c r="AH586" s="432">
        <f t="shared" si="107"/>
        <v>46963665</v>
      </c>
      <c r="AL586" s="448"/>
      <c r="AM586" s="467">
        <f>VLOOKUP(AD586,[6]BV201101!$A$10:$A$1236,1,0)</f>
        <v>113001</v>
      </c>
    </row>
    <row r="587" spans="1:39" s="467" customFormat="1" ht="12.75" customHeight="1">
      <c r="A587" s="487" t="str">
        <f t="shared" si="108"/>
        <v>1</v>
      </c>
      <c r="B587" s="487" t="str">
        <f t="shared" si="91"/>
        <v>13</v>
      </c>
      <c r="C587" s="487" t="str">
        <f t="shared" si="92"/>
        <v>00</v>
      </c>
      <c r="D587" s="487" t="str">
        <f t="shared" si="93"/>
        <v>3002</v>
      </c>
      <c r="E587" s="487">
        <v>511211000</v>
      </c>
      <c r="F587" s="488" t="str">
        <f t="shared" si="120"/>
        <v/>
      </c>
      <c r="G587" s="487"/>
      <c r="H587" s="487"/>
      <c r="I587" s="488" t="str">
        <f t="shared" si="121"/>
        <v/>
      </c>
      <c r="J587" s="487"/>
      <c r="K587" s="487"/>
      <c r="L587" s="488" t="str">
        <f t="shared" si="122"/>
        <v/>
      </c>
      <c r="M587" s="489"/>
      <c r="N587" s="489"/>
      <c r="O587" s="488" t="str">
        <f t="shared" si="123"/>
        <v/>
      </c>
      <c r="P587" s="489"/>
      <c r="Q587" s="489"/>
      <c r="R587" s="592" t="str">
        <f t="shared" si="124"/>
        <v/>
      </c>
      <c r="S587" s="487"/>
      <c r="T587" s="487"/>
      <c r="U587" s="488" t="str">
        <f t="shared" si="125"/>
        <v/>
      </c>
      <c r="V587" s="489"/>
      <c r="W587" s="489"/>
      <c r="X587" s="488" t="str">
        <f t="shared" si="126"/>
        <v/>
      </c>
      <c r="Y587" s="489"/>
      <c r="Z587" s="489"/>
      <c r="AA587" s="490" t="str">
        <f t="shared" ref="AA587:AA682" si="127">+AB587&amp;AC587</f>
        <v>2244</v>
      </c>
      <c r="AB587" s="489">
        <v>22</v>
      </c>
      <c r="AC587" s="489">
        <v>44</v>
      </c>
      <c r="AD587" s="418">
        <v>113002</v>
      </c>
      <c r="AE587" s="27" t="s">
        <v>1275</v>
      </c>
      <c r="AF587" s="432">
        <f>VLOOKUP(AD587,[5]Hoja1!$A$10:$K$1393,11,0)</f>
        <v>-5538672423</v>
      </c>
      <c r="AG587" s="432"/>
      <c r="AH587" s="432">
        <f t="shared" si="107"/>
        <v>-5538672</v>
      </c>
      <c r="AL587" s="448"/>
      <c r="AM587" s="467">
        <f>VLOOKUP(AD587,[6]BV201101!$A$10:$A$1236,1,0)</f>
        <v>113002</v>
      </c>
    </row>
    <row r="588" spans="1:39" s="467" customFormat="1" ht="12.75" customHeight="1">
      <c r="A588" s="487" t="str">
        <f t="shared" si="108"/>
        <v>1</v>
      </c>
      <c r="B588" s="487" t="str">
        <f t="shared" si="91"/>
        <v>13</v>
      </c>
      <c r="C588" s="487" t="str">
        <f t="shared" si="92"/>
        <v>00</v>
      </c>
      <c r="D588" s="487" t="str">
        <f t="shared" si="93"/>
        <v>3003</v>
      </c>
      <c r="E588" s="487">
        <v>511211000</v>
      </c>
      <c r="F588" s="488" t="str">
        <f t="shared" si="120"/>
        <v/>
      </c>
      <c r="G588" s="487"/>
      <c r="H588" s="487"/>
      <c r="I588" s="488" t="str">
        <f t="shared" si="121"/>
        <v/>
      </c>
      <c r="J588" s="487"/>
      <c r="K588" s="487"/>
      <c r="L588" s="488" t="str">
        <f t="shared" si="122"/>
        <v/>
      </c>
      <c r="M588" s="489"/>
      <c r="N588" s="489"/>
      <c r="O588" s="488" t="str">
        <f t="shared" si="123"/>
        <v/>
      </c>
      <c r="P588" s="489"/>
      <c r="Q588" s="489"/>
      <c r="R588" s="592" t="str">
        <f t="shared" si="124"/>
        <v/>
      </c>
      <c r="S588" s="487"/>
      <c r="T588" s="487"/>
      <c r="U588" s="488" t="str">
        <f t="shared" si="125"/>
        <v/>
      </c>
      <c r="V588" s="489"/>
      <c r="W588" s="489"/>
      <c r="X588" s="488" t="str">
        <f t="shared" si="126"/>
        <v/>
      </c>
      <c r="Y588" s="489"/>
      <c r="Z588" s="489"/>
      <c r="AA588" s="490" t="str">
        <f t="shared" si="127"/>
        <v>2234</v>
      </c>
      <c r="AB588" s="489">
        <v>22</v>
      </c>
      <c r="AC588" s="489">
        <v>34</v>
      </c>
      <c r="AD588" s="418">
        <v>113003</v>
      </c>
      <c r="AE588" s="27" t="s">
        <v>1403</v>
      </c>
      <c r="AF588" s="432">
        <f>VLOOKUP(AD588,[5]Hoja1!$A$10:$K$1393,11,0)</f>
        <v>46616225840</v>
      </c>
      <c r="AG588" s="432"/>
      <c r="AH588" s="432">
        <f t="shared" si="107"/>
        <v>46616226</v>
      </c>
      <c r="AL588" s="473">
        <f>+AG588</f>
        <v>0</v>
      </c>
      <c r="AM588" s="467">
        <f>VLOOKUP(AD588,[6]BV201101!$A$10:$A$1236,1,0)</f>
        <v>113003</v>
      </c>
    </row>
    <row r="589" spans="1:39" s="467" customFormat="1" ht="12.75" customHeight="1">
      <c r="A589" s="487" t="str">
        <f t="shared" si="108"/>
        <v>1</v>
      </c>
      <c r="B589" s="487" t="str">
        <f t="shared" si="91"/>
        <v>13</v>
      </c>
      <c r="C589" s="487" t="str">
        <f t="shared" si="92"/>
        <v>00</v>
      </c>
      <c r="D589" s="487" t="str">
        <f t="shared" si="93"/>
        <v>3004</v>
      </c>
      <c r="E589" s="487">
        <v>511230000</v>
      </c>
      <c r="F589" s="488" t="str">
        <f t="shared" si="120"/>
        <v/>
      </c>
      <c r="G589" s="487"/>
      <c r="H589" s="487"/>
      <c r="I589" s="488" t="str">
        <f t="shared" si="121"/>
        <v/>
      </c>
      <c r="J589" s="487"/>
      <c r="K589" s="487"/>
      <c r="L589" s="488" t="str">
        <f t="shared" si="122"/>
        <v/>
      </c>
      <c r="M589" s="487"/>
      <c r="N589" s="487"/>
      <c r="O589" s="488" t="str">
        <f t="shared" si="123"/>
        <v/>
      </c>
      <c r="P589" s="489"/>
      <c r="Q589" s="489"/>
      <c r="R589" s="592" t="str">
        <f t="shared" si="124"/>
        <v/>
      </c>
      <c r="S589" s="489"/>
      <c r="T589" s="487"/>
      <c r="U589" s="488" t="str">
        <f t="shared" si="125"/>
        <v/>
      </c>
      <c r="V589" s="489"/>
      <c r="W589" s="489"/>
      <c r="X589" s="488" t="str">
        <f t="shared" si="126"/>
        <v/>
      </c>
      <c r="Y589" s="489"/>
      <c r="Z589" s="489"/>
      <c r="AA589" s="490" t="str">
        <f t="shared" si="127"/>
        <v>2232</v>
      </c>
      <c r="AB589" s="489">
        <v>22</v>
      </c>
      <c r="AC589" s="489">
        <v>32</v>
      </c>
      <c r="AD589" s="27">
        <v>113004</v>
      </c>
      <c r="AE589" s="27" t="s">
        <v>426</v>
      </c>
      <c r="AF589" s="432">
        <f>VLOOKUP(AD589,[5]Hoja1!$A$10:$K$1393,11,0)</f>
        <v>180856494</v>
      </c>
      <c r="AG589" s="432"/>
      <c r="AH589" s="432">
        <f t="shared" si="107"/>
        <v>180856</v>
      </c>
      <c r="AL589" s="448"/>
      <c r="AM589" s="467">
        <f>VLOOKUP(AD589,[6]BV201101!$A$10:$A$1236,1,0)</f>
        <v>113004</v>
      </c>
    </row>
    <row r="590" spans="1:39" s="467" customFormat="1" ht="12.75" customHeight="1">
      <c r="A590" s="487" t="str">
        <f t="shared" si="108"/>
        <v>1</v>
      </c>
      <c r="B590" s="487" t="str">
        <f t="shared" si="91"/>
        <v>13</v>
      </c>
      <c r="C590" s="487" t="str">
        <f t="shared" si="92"/>
        <v>00</v>
      </c>
      <c r="D590" s="487" t="str">
        <f t="shared" si="93"/>
        <v>3005</v>
      </c>
      <c r="E590" s="487">
        <v>511230000</v>
      </c>
      <c r="F590" s="488" t="str">
        <f t="shared" si="120"/>
        <v/>
      </c>
      <c r="G590" s="487"/>
      <c r="H590" s="487"/>
      <c r="I590" s="488" t="str">
        <f t="shared" si="121"/>
        <v/>
      </c>
      <c r="J590" s="487"/>
      <c r="K590" s="487"/>
      <c r="L590" s="488" t="str">
        <f t="shared" si="122"/>
        <v/>
      </c>
      <c r="M590" s="487"/>
      <c r="N590" s="487"/>
      <c r="O590" s="488" t="str">
        <f t="shared" si="123"/>
        <v/>
      </c>
      <c r="P590" s="489"/>
      <c r="Q590" s="489"/>
      <c r="R590" s="592" t="str">
        <f t="shared" si="124"/>
        <v/>
      </c>
      <c r="S590" s="489"/>
      <c r="T590" s="487"/>
      <c r="U590" s="488" t="str">
        <f t="shared" si="125"/>
        <v/>
      </c>
      <c r="V590" s="489"/>
      <c r="W590" s="489"/>
      <c r="X590" s="488" t="str">
        <f t="shared" si="126"/>
        <v/>
      </c>
      <c r="Y590" s="489"/>
      <c r="Z590" s="489"/>
      <c r="AA590" s="490" t="str">
        <f t="shared" si="127"/>
        <v>2242</v>
      </c>
      <c r="AB590" s="489">
        <v>22</v>
      </c>
      <c r="AC590" s="489">
        <v>42</v>
      </c>
      <c r="AD590" s="27">
        <v>113005</v>
      </c>
      <c r="AE590" s="27" t="s">
        <v>1276</v>
      </c>
      <c r="AF590" s="432">
        <f>VLOOKUP(AD590,[5]Hoja1!$A$10:$K$1393,11,0)</f>
        <v>-22910411</v>
      </c>
      <c r="AG590" s="432"/>
      <c r="AH590" s="432">
        <f t="shared" si="107"/>
        <v>-22910</v>
      </c>
      <c r="AL590" s="448"/>
      <c r="AM590" s="467">
        <f>VLOOKUP(AD590,[6]BV201101!$A$10:$A$1236,1,0)</f>
        <v>113005</v>
      </c>
    </row>
    <row r="591" spans="1:39" s="467" customFormat="1" ht="12.75" customHeight="1">
      <c r="A591" s="487" t="str">
        <f t="shared" si="108"/>
        <v>1</v>
      </c>
      <c r="B591" s="487" t="str">
        <f t="shared" si="91"/>
        <v>13</v>
      </c>
      <c r="C591" s="487" t="str">
        <f t="shared" si="92"/>
        <v>00</v>
      </c>
      <c r="D591" s="487" t="str">
        <f t="shared" si="93"/>
        <v>3006</v>
      </c>
      <c r="E591" s="487">
        <v>511230000</v>
      </c>
      <c r="F591" s="488" t="str">
        <f t="shared" si="120"/>
        <v/>
      </c>
      <c r="G591" s="487"/>
      <c r="H591" s="487"/>
      <c r="I591" s="488" t="str">
        <f t="shared" si="121"/>
        <v/>
      </c>
      <c r="J591" s="487"/>
      <c r="K591" s="487"/>
      <c r="L591" s="488" t="str">
        <f t="shared" si="122"/>
        <v/>
      </c>
      <c r="M591" s="489"/>
      <c r="N591" s="489"/>
      <c r="O591" s="488" t="str">
        <f t="shared" si="123"/>
        <v/>
      </c>
      <c r="P591" s="489"/>
      <c r="Q591" s="489"/>
      <c r="R591" s="592" t="str">
        <f t="shared" si="124"/>
        <v/>
      </c>
      <c r="S591" s="448"/>
      <c r="T591" s="448"/>
      <c r="U591" s="488" t="str">
        <f t="shared" si="125"/>
        <v/>
      </c>
      <c r="V591" s="489"/>
      <c r="W591" s="489"/>
      <c r="X591" s="488" t="str">
        <f t="shared" si="126"/>
        <v/>
      </c>
      <c r="Y591" s="489"/>
      <c r="Z591" s="489"/>
      <c r="AA591" s="490" t="str">
        <f t="shared" si="127"/>
        <v>2230</v>
      </c>
      <c r="AB591" s="489">
        <v>22</v>
      </c>
      <c r="AC591" s="489">
        <v>30</v>
      </c>
      <c r="AD591" s="27">
        <v>113006</v>
      </c>
      <c r="AE591" s="27" t="s">
        <v>1277</v>
      </c>
      <c r="AF591" s="432">
        <f>VLOOKUP(AD591,[5]Hoja1!$A$10:$K$1393,11,0)</f>
        <v>496335239</v>
      </c>
      <c r="AG591" s="432"/>
      <c r="AH591" s="432">
        <f t="shared" si="107"/>
        <v>496335</v>
      </c>
      <c r="AK591" s="467">
        <f>SUBTOTAL(9,AH591:AH969)</f>
        <v>-94272523</v>
      </c>
      <c r="AL591" s="473">
        <f>+AG591</f>
        <v>0</v>
      </c>
      <c r="AM591" s="467">
        <f>VLOOKUP(AD591,[6]BV201101!$A$10:$A$1236,1,0)</f>
        <v>113006</v>
      </c>
    </row>
    <row r="592" spans="1:39" s="467" customFormat="1" ht="12.75" customHeight="1">
      <c r="A592" s="487" t="str">
        <f t="shared" si="108"/>
        <v>1</v>
      </c>
      <c r="B592" s="487" t="str">
        <f t="shared" si="91"/>
        <v>13</v>
      </c>
      <c r="C592" s="487" t="str">
        <f t="shared" si="92"/>
        <v>00</v>
      </c>
      <c r="D592" s="487" t="str">
        <f t="shared" si="93"/>
        <v>3007</v>
      </c>
      <c r="E592" s="487">
        <v>511230000</v>
      </c>
      <c r="F592" s="488" t="str">
        <f t="shared" si="120"/>
        <v/>
      </c>
      <c r="G592" s="487"/>
      <c r="H592" s="487"/>
      <c r="I592" s="488" t="str">
        <f t="shared" si="121"/>
        <v/>
      </c>
      <c r="J592" s="487"/>
      <c r="K592" s="487"/>
      <c r="L592" s="488" t="str">
        <f t="shared" si="122"/>
        <v/>
      </c>
      <c r="M592" s="489"/>
      <c r="N592" s="489"/>
      <c r="O592" s="488" t="str">
        <f t="shared" si="123"/>
        <v/>
      </c>
      <c r="P592" s="489"/>
      <c r="Q592" s="489"/>
      <c r="R592" s="592" t="str">
        <f t="shared" si="124"/>
        <v/>
      </c>
      <c r="S592" s="448"/>
      <c r="T592" s="448"/>
      <c r="U592" s="488" t="str">
        <f t="shared" si="125"/>
        <v/>
      </c>
      <c r="V592" s="489"/>
      <c r="W592" s="489"/>
      <c r="X592" s="488" t="str">
        <f t="shared" si="126"/>
        <v/>
      </c>
      <c r="Y592" s="489"/>
      <c r="Z592" s="489"/>
      <c r="AA592" s="490" t="str">
        <f t="shared" si="127"/>
        <v>251</v>
      </c>
      <c r="AB592" s="489">
        <v>2</v>
      </c>
      <c r="AC592" s="489">
        <v>51</v>
      </c>
      <c r="AD592" s="27">
        <v>113007</v>
      </c>
      <c r="AE592" s="27" t="s">
        <v>2126</v>
      </c>
      <c r="AF592" s="432">
        <f>VLOOKUP(AD592,[5]Hoja1!$A$10:$K$1393,11,0)</f>
        <v>-156578552</v>
      </c>
      <c r="AG592" s="432"/>
      <c r="AH592" s="432">
        <f t="shared" si="107"/>
        <v>-156579</v>
      </c>
      <c r="AI592" s="1053" t="s">
        <v>1805</v>
      </c>
      <c r="AK592" s="467">
        <f>SUBTOTAL(9,AH970:AH971)</f>
        <v>0</v>
      </c>
      <c r="AL592" s="473">
        <f>+AG592</f>
        <v>0</v>
      </c>
      <c r="AM592" s="467">
        <f>VLOOKUP(AD592,[6]BV201101!$A$10:$A$1236,1,0)</f>
        <v>113007</v>
      </c>
    </row>
    <row r="593" spans="1:39" s="467" customFormat="1" ht="12.75" customHeight="1">
      <c r="A593" s="487" t="str">
        <f t="shared" si="108"/>
        <v>1</v>
      </c>
      <c r="B593" s="487" t="str">
        <f t="shared" si="91"/>
        <v>13</v>
      </c>
      <c r="C593" s="487" t="str">
        <f t="shared" si="92"/>
        <v>00</v>
      </c>
      <c r="D593" s="487" t="str">
        <f t="shared" si="93"/>
        <v>3008</v>
      </c>
      <c r="E593" s="487">
        <v>514420000</v>
      </c>
      <c r="F593" s="488" t="str">
        <f t="shared" si="120"/>
        <v/>
      </c>
      <c r="G593" s="487"/>
      <c r="H593" s="487"/>
      <c r="I593" s="488" t="str">
        <f t="shared" si="121"/>
        <v/>
      </c>
      <c r="J593" s="487"/>
      <c r="K593" s="487"/>
      <c r="L593" s="488" t="str">
        <f t="shared" si="122"/>
        <v/>
      </c>
      <c r="M593" s="489"/>
      <c r="N593" s="489"/>
      <c r="O593" s="488" t="str">
        <f t="shared" si="123"/>
        <v/>
      </c>
      <c r="P593" s="487"/>
      <c r="Q593" s="489"/>
      <c r="R593" s="592" t="str">
        <f t="shared" si="124"/>
        <v/>
      </c>
      <c r="S593" s="448"/>
      <c r="T593" s="448"/>
      <c r="U593" s="488" t="str">
        <f t="shared" si="125"/>
        <v/>
      </c>
      <c r="V593" s="489"/>
      <c r="W593" s="489"/>
      <c r="X593" s="488" t="str">
        <f t="shared" si="126"/>
        <v/>
      </c>
      <c r="Y593" s="489"/>
      <c r="Z593" s="489"/>
      <c r="AA593" s="490"/>
      <c r="AB593" s="489"/>
      <c r="AC593" s="489"/>
      <c r="AD593" s="27">
        <v>113008</v>
      </c>
      <c r="AE593" s="27" t="s">
        <v>1278</v>
      </c>
      <c r="AF593" s="432">
        <f>VLOOKUP(AD593,[5]Hoja1!$A$10:$K$1393,11,0)</f>
        <v>133977162</v>
      </c>
      <c r="AG593" s="432"/>
      <c r="AH593" s="432">
        <f t="shared" si="107"/>
        <v>133977</v>
      </c>
      <c r="AI593" s="445">
        <f>+AH593-AH594</f>
        <v>217558</v>
      </c>
      <c r="AK593" s="467">
        <v>37156366.722999997</v>
      </c>
      <c r="AL593" s="448"/>
      <c r="AM593" s="467">
        <f>VLOOKUP(AD593,[6]BV201101!$A$10:$A$1236,1,0)</f>
        <v>113008</v>
      </c>
    </row>
    <row r="594" spans="1:39" s="467" customFormat="1" ht="12.75" customHeight="1">
      <c r="A594" s="487" t="str">
        <f t="shared" si="108"/>
        <v>1</v>
      </c>
      <c r="B594" s="487" t="str">
        <f t="shared" si="91"/>
        <v>13</v>
      </c>
      <c r="C594" s="487" t="str">
        <f t="shared" si="92"/>
        <v>00</v>
      </c>
      <c r="D594" s="487" t="str">
        <f t="shared" si="93"/>
        <v>3009</v>
      </c>
      <c r="E594" s="487">
        <v>514420000</v>
      </c>
      <c r="F594" s="488" t="str">
        <f t="shared" si="120"/>
        <v/>
      </c>
      <c r="G594" s="487"/>
      <c r="H594" s="487"/>
      <c r="I594" s="488" t="str">
        <f t="shared" si="121"/>
        <v/>
      </c>
      <c r="J594" s="487"/>
      <c r="K594" s="487"/>
      <c r="L594" s="488" t="str">
        <f t="shared" si="122"/>
        <v/>
      </c>
      <c r="M594" s="489"/>
      <c r="N594" s="489"/>
      <c r="O594" s="488" t="str">
        <f t="shared" si="123"/>
        <v/>
      </c>
      <c r="P594" s="487"/>
      <c r="Q594" s="489"/>
      <c r="R594" s="592" t="str">
        <f t="shared" si="124"/>
        <v/>
      </c>
      <c r="S594" s="448"/>
      <c r="T594" s="448"/>
      <c r="U594" s="488" t="str">
        <f t="shared" si="125"/>
        <v/>
      </c>
      <c r="V594" s="489"/>
      <c r="W594" s="489"/>
      <c r="X594" s="488" t="str">
        <f t="shared" si="126"/>
        <v/>
      </c>
      <c r="Y594" s="489"/>
      <c r="Z594" s="489"/>
      <c r="AA594" s="490"/>
      <c r="AB594" s="489"/>
      <c r="AC594" s="489"/>
      <c r="AD594" s="27">
        <v>113009</v>
      </c>
      <c r="AE594" s="27" t="s">
        <v>2127</v>
      </c>
      <c r="AF594" s="432">
        <f>VLOOKUP(AD594,[5]Hoja1!$A$10:$K$1393,11,0)</f>
        <v>-83581246</v>
      </c>
      <c r="AG594" s="432"/>
      <c r="AH594" s="432">
        <f t="shared" si="107"/>
        <v>-83581</v>
      </c>
      <c r="AI594" s="445">
        <f>+AH593+AH594</f>
        <v>50396</v>
      </c>
      <c r="AL594" s="448"/>
      <c r="AM594" s="467">
        <f>VLOOKUP(AD594,[6]BV201101!$A$10:$A$1236,1,0)</f>
        <v>113009</v>
      </c>
    </row>
    <row r="595" spans="1:39" s="467" customFormat="1" ht="12.75" customHeight="1">
      <c r="A595" s="487" t="str">
        <f t="shared" si="108"/>
        <v>1</v>
      </c>
      <c r="B595" s="487" t="str">
        <f t="shared" si="91"/>
        <v>13</v>
      </c>
      <c r="C595" s="487" t="str">
        <f t="shared" si="92"/>
        <v>01</v>
      </c>
      <c r="D595" s="487" t="str">
        <f t="shared" si="93"/>
        <v>3010</v>
      </c>
      <c r="E595" s="487">
        <v>511240000</v>
      </c>
      <c r="F595" s="488" t="str">
        <f t="shared" si="120"/>
        <v/>
      </c>
      <c r="G595" s="487"/>
      <c r="H595" s="487"/>
      <c r="I595" s="488" t="str">
        <f t="shared" si="121"/>
        <v/>
      </c>
      <c r="J595" s="487"/>
      <c r="K595" s="487"/>
      <c r="L595" s="488" t="str">
        <f t="shared" si="122"/>
        <v/>
      </c>
      <c r="M595" s="489"/>
      <c r="N595" s="489"/>
      <c r="O595" s="488" t="str">
        <f t="shared" si="123"/>
        <v/>
      </c>
      <c r="P595" s="489"/>
      <c r="Q595" s="489"/>
      <c r="R595" s="592" t="str">
        <f t="shared" si="124"/>
        <v/>
      </c>
      <c r="S595" s="448"/>
      <c r="T595" s="448"/>
      <c r="U595" s="488" t="str">
        <f t="shared" si="125"/>
        <v/>
      </c>
      <c r="V595" s="489"/>
      <c r="W595" s="489"/>
      <c r="X595" s="488" t="str">
        <f t="shared" si="126"/>
        <v/>
      </c>
      <c r="Y595" s="489"/>
      <c r="Z595" s="489"/>
      <c r="AA595" s="490" t="str">
        <f t="shared" si="127"/>
        <v>2233</v>
      </c>
      <c r="AB595" s="489">
        <v>22</v>
      </c>
      <c r="AC595" s="489">
        <v>33</v>
      </c>
      <c r="AD595" s="27">
        <v>113010</v>
      </c>
      <c r="AE595" s="27" t="s">
        <v>427</v>
      </c>
      <c r="AF595" s="432">
        <f>VLOOKUP(AD595,[5]Hoja1!$A$10:$K$1393,11,0)</f>
        <v>14597808</v>
      </c>
      <c r="AG595" s="432"/>
      <c r="AH595" s="432">
        <f t="shared" ref="AH595:AH659" si="128">ROUND((AF595+AG595)/$AH$2,0)</f>
        <v>14598</v>
      </c>
      <c r="AJ595" s="445"/>
      <c r="AK595" s="467">
        <v>1139772657</v>
      </c>
      <c r="AL595" s="448"/>
      <c r="AM595" s="467">
        <f>VLOOKUP(AD595,[6]BV201101!$A$10:$A$1236,1,0)</f>
        <v>113010</v>
      </c>
    </row>
    <row r="596" spans="1:39" s="467" customFormat="1" ht="12.75" customHeight="1">
      <c r="A596" s="487" t="str">
        <f t="shared" si="108"/>
        <v>1</v>
      </c>
      <c r="B596" s="487" t="str">
        <f t="shared" si="91"/>
        <v>13</v>
      </c>
      <c r="C596" s="487" t="str">
        <f t="shared" si="92"/>
        <v>01</v>
      </c>
      <c r="D596" s="487" t="str">
        <f t="shared" si="93"/>
        <v>3011</v>
      </c>
      <c r="E596" s="487">
        <v>511240000</v>
      </c>
      <c r="F596" s="488" t="str">
        <f t="shared" si="120"/>
        <v/>
      </c>
      <c r="G596" s="487"/>
      <c r="H596" s="487"/>
      <c r="I596" s="488" t="str">
        <f t="shared" si="121"/>
        <v/>
      </c>
      <c r="J596" s="487"/>
      <c r="K596" s="487"/>
      <c r="L596" s="488" t="str">
        <f t="shared" si="122"/>
        <v/>
      </c>
      <c r="M596" s="489"/>
      <c r="N596" s="489"/>
      <c r="O596" s="488" t="str">
        <f t="shared" si="123"/>
        <v/>
      </c>
      <c r="P596" s="489"/>
      <c r="Q596" s="489"/>
      <c r="R596" s="592" t="str">
        <f t="shared" si="124"/>
        <v/>
      </c>
      <c r="S596" s="448"/>
      <c r="T596" s="448"/>
      <c r="U596" s="488" t="str">
        <f t="shared" si="125"/>
        <v/>
      </c>
      <c r="V596" s="489"/>
      <c r="W596" s="489"/>
      <c r="X596" s="488" t="str">
        <f t="shared" si="126"/>
        <v/>
      </c>
      <c r="Y596" s="489"/>
      <c r="Z596" s="489"/>
      <c r="AA596" s="490" t="str">
        <f t="shared" si="127"/>
        <v>2243</v>
      </c>
      <c r="AB596" s="489">
        <v>22</v>
      </c>
      <c r="AC596" s="489">
        <v>43</v>
      </c>
      <c r="AD596" s="27">
        <v>113011</v>
      </c>
      <c r="AE596" s="27" t="s">
        <v>218</v>
      </c>
      <c r="AF596" s="432">
        <f>VLOOKUP(AD596,[5]Hoja1!$A$10:$K$1393,11,0)</f>
        <v>-1818467</v>
      </c>
      <c r="AG596" s="432"/>
      <c r="AH596" s="432">
        <f t="shared" si="128"/>
        <v>-1818</v>
      </c>
      <c r="AL596" s="448"/>
      <c r="AM596" s="467">
        <f>VLOOKUP(AD596,[6]BV201101!$A$10:$A$1236,1,0)</f>
        <v>113011</v>
      </c>
    </row>
    <row r="597" spans="1:39" s="467" customFormat="1" ht="12.75" customHeight="1">
      <c r="A597" s="487" t="str">
        <f t="shared" si="108"/>
        <v>1</v>
      </c>
      <c r="B597" s="487" t="str">
        <f t="shared" si="91"/>
        <v>13</v>
      </c>
      <c r="C597" s="487" t="str">
        <f t="shared" si="92"/>
        <v>01</v>
      </c>
      <c r="D597" s="487" t="str">
        <f t="shared" si="93"/>
        <v>3012</v>
      </c>
      <c r="E597" s="487">
        <v>511220000</v>
      </c>
      <c r="F597" s="488" t="str">
        <f t="shared" si="120"/>
        <v/>
      </c>
      <c r="G597" s="487"/>
      <c r="H597" s="487"/>
      <c r="I597" s="488" t="str">
        <f t="shared" si="121"/>
        <v/>
      </c>
      <c r="J597" s="487"/>
      <c r="K597" s="487"/>
      <c r="L597" s="488" t="str">
        <f t="shared" si="122"/>
        <v/>
      </c>
      <c r="M597" s="489"/>
      <c r="N597" s="489"/>
      <c r="O597" s="488" t="str">
        <f t="shared" si="123"/>
        <v/>
      </c>
      <c r="P597" s="487"/>
      <c r="Q597" s="489"/>
      <c r="R597" s="592" t="str">
        <f t="shared" si="124"/>
        <v/>
      </c>
      <c r="S597" s="448"/>
      <c r="T597" s="448"/>
      <c r="U597" s="488" t="str">
        <f t="shared" si="125"/>
        <v/>
      </c>
      <c r="V597" s="489"/>
      <c r="W597" s="489"/>
      <c r="X597" s="488" t="str">
        <f t="shared" si="126"/>
        <v/>
      </c>
      <c r="Y597" s="489"/>
      <c r="Z597" s="489"/>
      <c r="AA597" s="490" t="str">
        <f t="shared" si="127"/>
        <v>2231</v>
      </c>
      <c r="AB597" s="489">
        <v>22</v>
      </c>
      <c r="AC597" s="489">
        <v>31</v>
      </c>
      <c r="AD597" s="27">
        <v>113012</v>
      </c>
      <c r="AE597" s="27" t="s">
        <v>428</v>
      </c>
      <c r="AF597" s="432">
        <f>VLOOKUP(AD597,[5]Hoja1!$A$10:$K$1393,11,0)</f>
        <v>0</v>
      </c>
      <c r="AG597" s="432"/>
      <c r="AH597" s="432">
        <f t="shared" si="128"/>
        <v>0</v>
      </c>
      <c r="AL597" s="473">
        <f>+AG597</f>
        <v>0</v>
      </c>
      <c r="AM597" s="467">
        <f>VLOOKUP(AD597,[6]BV201101!$A$10:$A$1236,1,0)</f>
        <v>113012</v>
      </c>
    </row>
    <row r="598" spans="1:39" s="467" customFormat="1" ht="12.75" customHeight="1">
      <c r="A598" s="487" t="str">
        <f t="shared" si="108"/>
        <v>1</v>
      </c>
      <c r="B598" s="487" t="str">
        <f t="shared" si="91"/>
        <v>13</v>
      </c>
      <c r="C598" s="487" t="str">
        <f t="shared" si="92"/>
        <v>01</v>
      </c>
      <c r="D598" s="487" t="str">
        <f t="shared" si="93"/>
        <v>3013</v>
      </c>
      <c r="E598" s="487">
        <v>511220000</v>
      </c>
      <c r="F598" s="488" t="str">
        <f t="shared" si="120"/>
        <v/>
      </c>
      <c r="G598" s="487"/>
      <c r="H598" s="487"/>
      <c r="I598" s="488" t="str">
        <f t="shared" si="121"/>
        <v/>
      </c>
      <c r="J598" s="487"/>
      <c r="K598" s="487"/>
      <c r="L598" s="488" t="str">
        <f t="shared" si="122"/>
        <v/>
      </c>
      <c r="M598" s="489"/>
      <c r="N598" s="489"/>
      <c r="O598" s="488" t="str">
        <f t="shared" si="123"/>
        <v/>
      </c>
      <c r="P598" s="487"/>
      <c r="Q598" s="489"/>
      <c r="R598" s="592" t="str">
        <f t="shared" si="124"/>
        <v/>
      </c>
      <c r="S598" s="448"/>
      <c r="T598" s="448"/>
      <c r="U598" s="488" t="str">
        <f t="shared" si="125"/>
        <v/>
      </c>
      <c r="V598" s="489"/>
      <c r="W598" s="489"/>
      <c r="X598" s="488" t="str">
        <f t="shared" si="126"/>
        <v/>
      </c>
      <c r="Y598" s="489"/>
      <c r="Z598" s="489"/>
      <c r="AA598" s="490" t="str">
        <f t="shared" si="127"/>
        <v>2241</v>
      </c>
      <c r="AB598" s="489">
        <v>22</v>
      </c>
      <c r="AC598" s="489">
        <v>41</v>
      </c>
      <c r="AD598" s="27">
        <v>113013</v>
      </c>
      <c r="AE598" s="27" t="s">
        <v>2128</v>
      </c>
      <c r="AF598" s="432">
        <f>VLOOKUP(AD598,[5]Hoja1!$A$10:$K$1393,11,0)</f>
        <v>0</v>
      </c>
      <c r="AG598" s="432"/>
      <c r="AH598" s="432">
        <f t="shared" si="128"/>
        <v>0</v>
      </c>
      <c r="AL598" s="448"/>
      <c r="AM598" s="467">
        <f>VLOOKUP(AD598,[6]BV201101!$A$10:$A$1236,1,0)</f>
        <v>113013</v>
      </c>
    </row>
    <row r="599" spans="1:39" s="467" customFormat="1" ht="12.75" customHeight="1">
      <c r="A599" s="487" t="str">
        <f t="shared" si="108"/>
        <v>1</v>
      </c>
      <c r="B599" s="487" t="str">
        <f t="shared" si="91"/>
        <v>13</v>
      </c>
      <c r="C599" s="487" t="str">
        <f t="shared" si="92"/>
        <v>01</v>
      </c>
      <c r="D599" s="487" t="str">
        <f t="shared" si="93"/>
        <v>3014</v>
      </c>
      <c r="E599" s="487">
        <v>514340000</v>
      </c>
      <c r="F599" s="488" t="str">
        <f t="shared" si="120"/>
        <v/>
      </c>
      <c r="G599" s="487"/>
      <c r="H599" s="487"/>
      <c r="I599" s="488" t="str">
        <f t="shared" si="121"/>
        <v/>
      </c>
      <c r="J599" s="487"/>
      <c r="K599" s="487"/>
      <c r="L599" s="488" t="str">
        <f t="shared" si="122"/>
        <v/>
      </c>
      <c r="M599" s="489"/>
      <c r="N599" s="489"/>
      <c r="O599" s="488" t="str">
        <f t="shared" si="123"/>
        <v/>
      </c>
      <c r="P599" s="487"/>
      <c r="Q599" s="489"/>
      <c r="R599" s="592" t="str">
        <f t="shared" si="124"/>
        <v/>
      </c>
      <c r="S599" s="448"/>
      <c r="T599" s="448"/>
      <c r="U599" s="488" t="str">
        <f t="shared" si="125"/>
        <v/>
      </c>
      <c r="V599" s="489"/>
      <c r="W599" s="489"/>
      <c r="X599" s="488" t="str">
        <f t="shared" si="126"/>
        <v/>
      </c>
      <c r="Y599" s="489"/>
      <c r="Z599" s="489"/>
      <c r="AA599" s="490" t="str">
        <f t="shared" si="127"/>
        <v>229</v>
      </c>
      <c r="AB599" s="489">
        <v>22</v>
      </c>
      <c r="AC599" s="489">
        <v>9</v>
      </c>
      <c r="AD599" s="27">
        <v>113014</v>
      </c>
      <c r="AE599" s="27" t="s">
        <v>264</v>
      </c>
      <c r="AF599" s="432">
        <f>VLOOKUP(AD599,[5]Hoja1!$A$10:$K$1393,11,0)</f>
        <v>0</v>
      </c>
      <c r="AG599" s="432"/>
      <c r="AH599" s="432">
        <f t="shared" si="128"/>
        <v>0</v>
      </c>
      <c r="AL599" s="448"/>
      <c r="AM599" s="467">
        <f>VLOOKUP(AD599,[6]BV201101!$A$10:$A$1236,1,0)</f>
        <v>113014</v>
      </c>
    </row>
    <row r="600" spans="1:39" s="467" customFormat="1" ht="12.75" customHeight="1">
      <c r="A600" s="487" t="str">
        <f t="shared" si="108"/>
        <v>1</v>
      </c>
      <c r="B600" s="487" t="str">
        <f t="shared" si="91"/>
        <v>13</v>
      </c>
      <c r="C600" s="487" t="str">
        <f t="shared" si="92"/>
        <v>01</v>
      </c>
      <c r="D600" s="487" t="str">
        <f t="shared" si="93"/>
        <v>3015</v>
      </c>
      <c r="E600" s="487">
        <v>514340000</v>
      </c>
      <c r="F600" s="488" t="str">
        <f t="shared" si="120"/>
        <v/>
      </c>
      <c r="G600" s="487"/>
      <c r="H600" s="487"/>
      <c r="I600" s="488" t="str">
        <f t="shared" si="121"/>
        <v/>
      </c>
      <c r="J600" s="487"/>
      <c r="K600" s="487"/>
      <c r="L600" s="488" t="str">
        <f t="shared" si="122"/>
        <v/>
      </c>
      <c r="M600" s="489"/>
      <c r="N600" s="489"/>
      <c r="O600" s="488" t="str">
        <f t="shared" si="123"/>
        <v/>
      </c>
      <c r="P600" s="487"/>
      <c r="Q600" s="489"/>
      <c r="R600" s="592" t="str">
        <f t="shared" si="124"/>
        <v/>
      </c>
      <c r="S600" s="448"/>
      <c r="T600" s="448"/>
      <c r="U600" s="488" t="str">
        <f t="shared" si="125"/>
        <v/>
      </c>
      <c r="V600" s="489"/>
      <c r="W600" s="489"/>
      <c r="X600" s="488" t="str">
        <f t="shared" si="126"/>
        <v/>
      </c>
      <c r="Y600" s="489"/>
      <c r="Z600" s="489"/>
      <c r="AA600" s="490" t="str">
        <f t="shared" si="127"/>
        <v>229</v>
      </c>
      <c r="AB600" s="489">
        <v>22</v>
      </c>
      <c r="AC600" s="489">
        <v>9</v>
      </c>
      <c r="AD600" s="27">
        <v>113015</v>
      </c>
      <c r="AE600" s="27" t="s">
        <v>2129</v>
      </c>
      <c r="AF600" s="432">
        <f>VLOOKUP(AD600,[5]Hoja1!$A$10:$K$1393,11,0)</f>
        <v>0</v>
      </c>
      <c r="AG600" s="432"/>
      <c r="AH600" s="432">
        <f t="shared" si="128"/>
        <v>0</v>
      </c>
      <c r="AL600" s="448"/>
      <c r="AM600" s="467">
        <f>VLOOKUP(AD600,[6]BV201101!$A$10:$A$1236,1,0)</f>
        <v>113015</v>
      </c>
    </row>
    <row r="601" spans="1:39" s="467" customFormat="1" ht="12.75" customHeight="1">
      <c r="A601" s="487" t="str">
        <f t="shared" si="108"/>
        <v>1</v>
      </c>
      <c r="B601" s="487" t="str">
        <f t="shared" si="91"/>
        <v>13</v>
      </c>
      <c r="C601" s="487" t="str">
        <f t="shared" si="92"/>
        <v>01</v>
      </c>
      <c r="D601" s="487" t="str">
        <f t="shared" si="93"/>
        <v>3016</v>
      </c>
      <c r="E601" s="487">
        <v>514340000</v>
      </c>
      <c r="F601" s="488" t="str">
        <f t="shared" si="120"/>
        <v/>
      </c>
      <c r="G601" s="487"/>
      <c r="H601" s="487"/>
      <c r="I601" s="488" t="str">
        <f t="shared" si="121"/>
        <v/>
      </c>
      <c r="J601" s="487"/>
      <c r="K601" s="487"/>
      <c r="L601" s="488" t="str">
        <f t="shared" si="122"/>
        <v/>
      </c>
      <c r="M601" s="489"/>
      <c r="N601" s="489"/>
      <c r="O601" s="488" t="str">
        <f t="shared" si="123"/>
        <v/>
      </c>
      <c r="P601" s="487"/>
      <c r="Q601" s="489"/>
      <c r="R601" s="592" t="str">
        <f t="shared" si="124"/>
        <v/>
      </c>
      <c r="S601" s="448"/>
      <c r="T601" s="448"/>
      <c r="U601" s="488" t="str">
        <f t="shared" si="125"/>
        <v/>
      </c>
      <c r="V601" s="489"/>
      <c r="W601" s="489"/>
      <c r="X601" s="488" t="str">
        <f t="shared" si="126"/>
        <v/>
      </c>
      <c r="Y601" s="489"/>
      <c r="Z601" s="489"/>
      <c r="AA601" s="490" t="str">
        <f>+AB601&amp;AC601</f>
        <v>229</v>
      </c>
      <c r="AB601" s="489">
        <v>22</v>
      </c>
      <c r="AC601" s="489">
        <v>9</v>
      </c>
      <c r="AD601" s="27">
        <v>113016</v>
      </c>
      <c r="AE601" s="27" t="s">
        <v>219</v>
      </c>
      <c r="AF601" s="432">
        <f>VLOOKUP(AD601,[5]Hoja1!$A$10:$K$1393,11,0)</f>
        <v>48969628</v>
      </c>
      <c r="AG601" s="432"/>
      <c r="AH601" s="432">
        <f t="shared" si="128"/>
        <v>48970</v>
      </c>
      <c r="AL601" s="448"/>
      <c r="AM601" s="467">
        <f>VLOOKUP(AD601,[6]BV201101!$A$10:$A$1236,1,0)</f>
        <v>113016</v>
      </c>
    </row>
    <row r="602" spans="1:39" s="467" customFormat="1" ht="12.75" customHeight="1">
      <c r="A602" s="487" t="str">
        <f t="shared" si="108"/>
        <v>1</v>
      </c>
      <c r="B602" s="487" t="str">
        <f t="shared" si="91"/>
        <v>13</v>
      </c>
      <c r="C602" s="487" t="str">
        <f t="shared" si="92"/>
        <v>01</v>
      </c>
      <c r="D602" s="487" t="str">
        <f t="shared" si="93"/>
        <v>3017</v>
      </c>
      <c r="E602" s="487">
        <v>511250000</v>
      </c>
      <c r="F602" s="488" t="str">
        <f t="shared" si="120"/>
        <v/>
      </c>
      <c r="G602" s="487"/>
      <c r="H602" s="487"/>
      <c r="I602" s="488" t="str">
        <f t="shared" si="121"/>
        <v/>
      </c>
      <c r="J602" s="487"/>
      <c r="K602" s="487"/>
      <c r="L602" s="488" t="str">
        <f t="shared" si="122"/>
        <v/>
      </c>
      <c r="M602" s="489"/>
      <c r="N602" s="489"/>
      <c r="O602" s="488" t="str">
        <f t="shared" si="123"/>
        <v/>
      </c>
      <c r="P602" s="487"/>
      <c r="Q602" s="489"/>
      <c r="R602" s="592" t="str">
        <f t="shared" si="124"/>
        <v/>
      </c>
      <c r="S602" s="448"/>
      <c r="T602" s="448"/>
      <c r="U602" s="488" t="str">
        <f t="shared" si="125"/>
        <v/>
      </c>
      <c r="V602" s="489"/>
      <c r="W602" s="489"/>
      <c r="X602" s="488" t="str">
        <f t="shared" si="126"/>
        <v/>
      </c>
      <c r="Y602" s="489"/>
      <c r="Z602" s="489"/>
      <c r="AA602" s="490" t="str">
        <f>+AB602&amp;AC602</f>
        <v>2235</v>
      </c>
      <c r="AB602" s="489">
        <v>22</v>
      </c>
      <c r="AC602" s="489">
        <v>35</v>
      </c>
      <c r="AD602" s="27">
        <v>113017</v>
      </c>
      <c r="AE602" s="27" t="s">
        <v>1347</v>
      </c>
      <c r="AF602" s="432">
        <f>VLOOKUP(AD602,[5]Hoja1!$A$10:$K$1393,11,0)</f>
        <v>0</v>
      </c>
      <c r="AG602" s="445"/>
      <c r="AH602" s="432">
        <f t="shared" si="128"/>
        <v>0</v>
      </c>
      <c r="AL602" s="448"/>
      <c r="AM602" s="467">
        <f>VLOOKUP(AD602,[6]BV201101!$A$10:$A$1236,1,0)</f>
        <v>113017</v>
      </c>
    </row>
    <row r="603" spans="1:39" s="467" customFormat="1" ht="12.75" customHeight="1">
      <c r="A603" s="487" t="str">
        <f t="shared" si="108"/>
        <v>1</v>
      </c>
      <c r="B603" s="487" t="str">
        <f t="shared" si="91"/>
        <v>13</v>
      </c>
      <c r="C603" s="487" t="str">
        <f t="shared" si="92"/>
        <v>01</v>
      </c>
      <c r="D603" s="487" t="str">
        <f t="shared" si="93"/>
        <v>3018</v>
      </c>
      <c r="E603" s="487">
        <v>514340000</v>
      </c>
      <c r="F603" s="488" t="str">
        <f t="shared" si="120"/>
        <v/>
      </c>
      <c r="G603" s="487"/>
      <c r="H603" s="487"/>
      <c r="I603" s="488" t="str">
        <f t="shared" si="121"/>
        <v/>
      </c>
      <c r="J603" s="487"/>
      <c r="K603" s="487"/>
      <c r="L603" s="488" t="str">
        <f t="shared" si="122"/>
        <v/>
      </c>
      <c r="M603" s="489"/>
      <c r="N603" s="489"/>
      <c r="O603" s="488" t="str">
        <f t="shared" si="123"/>
        <v/>
      </c>
      <c r="P603" s="487"/>
      <c r="Q603" s="489"/>
      <c r="R603" s="592" t="str">
        <f t="shared" si="124"/>
        <v/>
      </c>
      <c r="S603" s="448"/>
      <c r="T603" s="448"/>
      <c r="U603" s="488" t="str">
        <f t="shared" si="125"/>
        <v/>
      </c>
      <c r="V603" s="489"/>
      <c r="W603" s="489"/>
      <c r="X603" s="488" t="str">
        <f t="shared" si="126"/>
        <v/>
      </c>
      <c r="Y603" s="489"/>
      <c r="Z603" s="489"/>
      <c r="AA603" s="490" t="str">
        <f t="shared" si="127"/>
        <v>229</v>
      </c>
      <c r="AB603" s="489">
        <v>22</v>
      </c>
      <c r="AC603" s="489">
        <v>9</v>
      </c>
      <c r="AD603" s="27">
        <v>113018</v>
      </c>
      <c r="AE603" s="27" t="s">
        <v>2130</v>
      </c>
      <c r="AF603" s="432">
        <f>VLOOKUP(AD603,[5]Hoja1!$A$10:$K$1393,11,0)</f>
        <v>0</v>
      </c>
      <c r="AG603" s="432"/>
      <c r="AH603" s="432">
        <f t="shared" si="128"/>
        <v>0</v>
      </c>
      <c r="AL603" s="448"/>
      <c r="AM603" s="467">
        <f>VLOOKUP(AD603,[6]BV201101!$A$10:$A$1236,1,0)</f>
        <v>113018</v>
      </c>
    </row>
    <row r="604" spans="1:39" s="467" customFormat="1" ht="12.75" customHeight="1">
      <c r="A604" s="487" t="str">
        <f t="shared" si="108"/>
        <v>1</v>
      </c>
      <c r="B604" s="487" t="str">
        <f t="shared" si="91"/>
        <v>13</v>
      </c>
      <c r="C604" s="487" t="str">
        <f t="shared" si="92"/>
        <v>01</v>
      </c>
      <c r="D604" s="487" t="str">
        <f t="shared" si="93"/>
        <v>3019</v>
      </c>
      <c r="E604" s="487">
        <v>511211000</v>
      </c>
      <c r="F604" s="488" t="str">
        <f t="shared" si="120"/>
        <v/>
      </c>
      <c r="G604" s="487"/>
      <c r="H604" s="487"/>
      <c r="I604" s="488" t="str">
        <f t="shared" si="121"/>
        <v/>
      </c>
      <c r="J604" s="487"/>
      <c r="K604" s="487"/>
      <c r="L604" s="488" t="str">
        <f t="shared" si="122"/>
        <v/>
      </c>
      <c r="M604" s="489"/>
      <c r="N604" s="489"/>
      <c r="O604" s="488" t="str">
        <f t="shared" si="123"/>
        <v/>
      </c>
      <c r="P604" s="487"/>
      <c r="Q604" s="489"/>
      <c r="R604" s="592" t="str">
        <f t="shared" si="124"/>
        <v/>
      </c>
      <c r="S604" s="448"/>
      <c r="T604" s="448"/>
      <c r="U604" s="488" t="str">
        <f t="shared" si="125"/>
        <v/>
      </c>
      <c r="V604" s="489"/>
      <c r="W604" s="489"/>
      <c r="X604" s="488" t="str">
        <f t="shared" si="126"/>
        <v/>
      </c>
      <c r="Y604" s="489"/>
      <c r="Z604" s="489"/>
      <c r="AA604" s="490" t="str">
        <f t="shared" si="127"/>
        <v>2234</v>
      </c>
      <c r="AB604" s="489">
        <v>22</v>
      </c>
      <c r="AC604" s="489">
        <v>34</v>
      </c>
      <c r="AD604" s="27">
        <v>113019</v>
      </c>
      <c r="AE604" s="27" t="s">
        <v>1747</v>
      </c>
      <c r="AF604" s="432">
        <f>VLOOKUP(AD604,[5]Hoja1!$A$10:$K$1393,11,0)</f>
        <v>-4495841</v>
      </c>
      <c r="AG604" s="432"/>
      <c r="AH604" s="432">
        <f t="shared" si="128"/>
        <v>-4496</v>
      </c>
      <c r="AL604" s="448"/>
      <c r="AM604" s="467">
        <f>VLOOKUP(AD604,[6]BV201101!$A$10:$A$1236,1,0)</f>
        <v>113019</v>
      </c>
    </row>
    <row r="605" spans="1:39" s="467" customFormat="1" ht="12.75" customHeight="1">
      <c r="A605" s="487" t="str">
        <f t="shared" si="108"/>
        <v>1</v>
      </c>
      <c r="B605" s="487" t="str">
        <f t="shared" si="91"/>
        <v>13</v>
      </c>
      <c r="C605" s="487" t="str">
        <f t="shared" si="92"/>
        <v>02</v>
      </c>
      <c r="D605" s="487" t="str">
        <f t="shared" si="93"/>
        <v>3020</v>
      </c>
      <c r="E605" s="487">
        <v>511211000</v>
      </c>
      <c r="F605" s="488"/>
      <c r="G605" s="487"/>
      <c r="H605" s="487"/>
      <c r="I605" s="488"/>
      <c r="J605" s="487"/>
      <c r="K605" s="487"/>
      <c r="L605" s="488"/>
      <c r="M605" s="489"/>
      <c r="N605" s="489"/>
      <c r="O605" s="488"/>
      <c r="P605" s="487"/>
      <c r="Q605" s="489"/>
      <c r="R605" s="592"/>
      <c r="S605" s="448"/>
      <c r="T605" s="448"/>
      <c r="U605" s="488"/>
      <c r="V605" s="489"/>
      <c r="W605" s="489"/>
      <c r="X605" s="488"/>
      <c r="Y605" s="489"/>
      <c r="Z605" s="489"/>
      <c r="AA605" s="490" t="str">
        <f>+AB605&amp;AC605</f>
        <v>2234</v>
      </c>
      <c r="AB605" s="489">
        <v>22</v>
      </c>
      <c r="AC605" s="489">
        <v>34</v>
      </c>
      <c r="AD605" s="27">
        <v>113020</v>
      </c>
      <c r="AE605" s="27" t="s">
        <v>2131</v>
      </c>
      <c r="AF605" s="432">
        <f>VLOOKUP(AD605,[5]Hoja1!$A$10:$K$1393,11,0)</f>
        <v>0</v>
      </c>
      <c r="AG605" s="432"/>
      <c r="AH605" s="432">
        <f t="shared" si="128"/>
        <v>0</v>
      </c>
      <c r="AL605" s="448"/>
      <c r="AM605" s="467">
        <f>VLOOKUP(AD605,[6]BV201101!$A$10:$A$1236,1,0)</f>
        <v>113020</v>
      </c>
    </row>
    <row r="606" spans="1:39" s="467" customFormat="1" ht="12.75" customHeight="1">
      <c r="A606" s="487" t="str">
        <f t="shared" si="108"/>
        <v>1</v>
      </c>
      <c r="B606" s="487" t="str">
        <f t="shared" si="91"/>
        <v>13</v>
      </c>
      <c r="C606" s="487" t="str">
        <f t="shared" si="92"/>
        <v>02</v>
      </c>
      <c r="D606" s="487" t="str">
        <f t="shared" si="93"/>
        <v>3021</v>
      </c>
      <c r="E606" s="487">
        <v>511211000</v>
      </c>
      <c r="F606" s="488"/>
      <c r="G606" s="487"/>
      <c r="H606" s="487"/>
      <c r="I606" s="488"/>
      <c r="J606" s="487"/>
      <c r="K606" s="487"/>
      <c r="L606" s="488"/>
      <c r="M606" s="489"/>
      <c r="N606" s="489"/>
      <c r="O606" s="488"/>
      <c r="P606" s="487"/>
      <c r="Q606" s="489"/>
      <c r="R606" s="592"/>
      <c r="S606" s="448"/>
      <c r="T606" s="448"/>
      <c r="U606" s="488"/>
      <c r="V606" s="489"/>
      <c r="W606" s="489"/>
      <c r="X606" s="488"/>
      <c r="Y606" s="489"/>
      <c r="Z606" s="489"/>
      <c r="AA606" s="490" t="str">
        <f>+AB606&amp;AC606</f>
        <v>2244</v>
      </c>
      <c r="AB606" s="489">
        <v>22</v>
      </c>
      <c r="AC606" s="489">
        <v>44</v>
      </c>
      <c r="AD606" s="27">
        <v>113021</v>
      </c>
      <c r="AE606" s="27" t="s">
        <v>2132</v>
      </c>
      <c r="AF606" s="432">
        <f>VLOOKUP(AD606,[5]Hoja1!$A$10:$K$1393,11,0)</f>
        <v>0</v>
      </c>
      <c r="AG606" s="432"/>
      <c r="AH606" s="432">
        <f t="shared" si="128"/>
        <v>0</v>
      </c>
      <c r="AL606" s="448"/>
      <c r="AM606" s="467">
        <f>VLOOKUP(AD606,[6]BV201101!$A$10:$A$1236,1,0)</f>
        <v>113021</v>
      </c>
    </row>
    <row r="607" spans="1:39" s="467" customFormat="1" ht="12.75" customHeight="1">
      <c r="A607" s="487" t="str">
        <f t="shared" si="108"/>
        <v>1</v>
      </c>
      <c r="B607" s="487" t="str">
        <f t="shared" si="91"/>
        <v>13</v>
      </c>
      <c r="C607" s="487" t="str">
        <f t="shared" si="92"/>
        <v>02</v>
      </c>
      <c r="D607" s="487" t="str">
        <f t="shared" si="93"/>
        <v>3022</v>
      </c>
      <c r="E607" s="487">
        <v>511211000</v>
      </c>
      <c r="F607" s="488"/>
      <c r="G607" s="487"/>
      <c r="H607" s="487"/>
      <c r="I607" s="488"/>
      <c r="J607" s="487"/>
      <c r="K607" s="487"/>
      <c r="L607" s="488"/>
      <c r="M607" s="489"/>
      <c r="N607" s="489"/>
      <c r="O607" s="488"/>
      <c r="P607" s="487"/>
      <c r="Q607" s="489"/>
      <c r="R607" s="592"/>
      <c r="S607" s="448"/>
      <c r="T607" s="448"/>
      <c r="U607" s="488"/>
      <c r="V607" s="489"/>
      <c r="W607" s="489"/>
      <c r="X607" s="488"/>
      <c r="Y607" s="489"/>
      <c r="Z607" s="489"/>
      <c r="AA607" s="490" t="str">
        <f>+AB607&amp;AC607</f>
        <v>2234</v>
      </c>
      <c r="AB607" s="489">
        <v>22</v>
      </c>
      <c r="AC607" s="489">
        <v>34</v>
      </c>
      <c r="AD607" s="27">
        <v>113022</v>
      </c>
      <c r="AE607" s="27" t="s">
        <v>433</v>
      </c>
      <c r="AF607" s="432">
        <f>VLOOKUP(AD607,[5]Hoja1!$A$10:$K$1393,11,0)</f>
        <v>0</v>
      </c>
      <c r="AG607" s="432"/>
      <c r="AH607" s="432">
        <f t="shared" si="128"/>
        <v>0</v>
      </c>
      <c r="AJ607" s="445"/>
      <c r="AL607" s="448"/>
      <c r="AM607" s="467">
        <f>VLOOKUP(AD607,[6]BV201101!$A$10:$A$1236,1,0)</f>
        <v>113022</v>
      </c>
    </row>
    <row r="608" spans="1:39" s="467" customFormat="1" ht="12.75" customHeight="1">
      <c r="A608" s="487" t="str">
        <f t="shared" si="108"/>
        <v>1</v>
      </c>
      <c r="B608" s="487"/>
      <c r="C608" s="487"/>
      <c r="D608" s="487"/>
      <c r="E608" s="487"/>
      <c r="F608" s="488"/>
      <c r="G608" s="487"/>
      <c r="H608" s="487"/>
      <c r="I608" s="488"/>
      <c r="J608" s="487"/>
      <c r="K608" s="487"/>
      <c r="L608" s="488"/>
      <c r="M608" s="489"/>
      <c r="N608" s="489"/>
      <c r="O608" s="488"/>
      <c r="P608" s="487"/>
      <c r="Q608" s="489"/>
      <c r="R608" s="592"/>
      <c r="S608" s="448"/>
      <c r="T608" s="448"/>
      <c r="U608" s="488"/>
      <c r="V608" s="489"/>
      <c r="W608" s="489"/>
      <c r="X608" s="488"/>
      <c r="Y608" s="489"/>
      <c r="Z608" s="489"/>
      <c r="AA608" s="490"/>
      <c r="AB608" s="489"/>
      <c r="AC608" s="489"/>
      <c r="AD608" s="927">
        <v>113023</v>
      </c>
      <c r="AE608" s="27" t="s">
        <v>2697</v>
      </c>
      <c r="AF608" s="432">
        <f>VLOOKUP(AD608,[5]Hoja1!$A$10:$K$1393,11,0)</f>
        <v>0</v>
      </c>
      <c r="AG608" s="432"/>
      <c r="AH608" s="432">
        <f t="shared" si="128"/>
        <v>0</v>
      </c>
      <c r="AJ608" s="445"/>
      <c r="AL608" s="448"/>
    </row>
    <row r="609" spans="1:39" s="467" customFormat="1" ht="12.75" customHeight="1">
      <c r="A609" s="487" t="str">
        <f t="shared" si="108"/>
        <v>1</v>
      </c>
      <c r="B609" s="487"/>
      <c r="C609" s="487"/>
      <c r="D609" s="487"/>
      <c r="E609" s="487"/>
      <c r="F609" s="488"/>
      <c r="G609" s="487"/>
      <c r="H609" s="487"/>
      <c r="I609" s="488"/>
      <c r="J609" s="487"/>
      <c r="K609" s="487"/>
      <c r="L609" s="488"/>
      <c r="M609" s="489"/>
      <c r="N609" s="489"/>
      <c r="O609" s="488"/>
      <c r="P609" s="487"/>
      <c r="Q609" s="489"/>
      <c r="R609" s="592"/>
      <c r="S609" s="448"/>
      <c r="T609" s="448"/>
      <c r="U609" s="488"/>
      <c r="V609" s="489"/>
      <c r="W609" s="489"/>
      <c r="X609" s="488"/>
      <c r="Y609" s="489"/>
      <c r="Z609" s="489"/>
      <c r="AA609" s="490"/>
      <c r="AB609" s="489"/>
      <c r="AC609" s="489"/>
      <c r="AD609" s="927">
        <v>113024</v>
      </c>
      <c r="AE609" s="27" t="s">
        <v>2698</v>
      </c>
      <c r="AF609" s="432">
        <f>VLOOKUP(AD609,[5]Hoja1!$A$10:$K$1393,11,0)</f>
        <v>0</v>
      </c>
      <c r="AG609" s="432"/>
      <c r="AH609" s="432">
        <f t="shared" si="128"/>
        <v>0</v>
      </c>
      <c r="AJ609" s="445"/>
      <c r="AL609" s="448"/>
    </row>
    <row r="610" spans="1:39" s="467" customFormat="1" ht="12.75" customHeight="1">
      <c r="A610" s="487" t="str">
        <f t="shared" si="108"/>
        <v>1</v>
      </c>
      <c r="B610" s="487"/>
      <c r="C610" s="487"/>
      <c r="D610" s="487"/>
      <c r="E610" s="487"/>
      <c r="F610" s="488"/>
      <c r="G610" s="487"/>
      <c r="H610" s="487"/>
      <c r="I610" s="488"/>
      <c r="J610" s="487"/>
      <c r="K610" s="487"/>
      <c r="L610" s="488"/>
      <c r="M610" s="489"/>
      <c r="N610" s="489"/>
      <c r="O610" s="488"/>
      <c r="P610" s="487"/>
      <c r="Q610" s="489"/>
      <c r="R610" s="592"/>
      <c r="S610" s="448"/>
      <c r="T610" s="448"/>
      <c r="U610" s="488"/>
      <c r="V610" s="489"/>
      <c r="W610" s="489"/>
      <c r="X610" s="488"/>
      <c r="Y610" s="489"/>
      <c r="Z610" s="489"/>
      <c r="AA610" s="490"/>
      <c r="AB610" s="489"/>
      <c r="AC610" s="489"/>
      <c r="AD610" s="927">
        <v>113025</v>
      </c>
      <c r="AE610" s="27" t="s">
        <v>2699</v>
      </c>
      <c r="AF610" s="432">
        <f>VLOOKUP(AD610,[5]Hoja1!$A$10:$K$1393,11,0)</f>
        <v>0</v>
      </c>
      <c r="AG610" s="432"/>
      <c r="AH610" s="432">
        <f t="shared" si="128"/>
        <v>0</v>
      </c>
      <c r="AJ610" s="445"/>
      <c r="AL610" s="448"/>
    </row>
    <row r="611" spans="1:39" s="467" customFormat="1" ht="12.75" customHeight="1">
      <c r="A611" s="487" t="str">
        <f t="shared" si="108"/>
        <v>1</v>
      </c>
      <c r="B611" s="487"/>
      <c r="C611" s="487"/>
      <c r="D611" s="487"/>
      <c r="E611" s="487"/>
      <c r="F611" s="488"/>
      <c r="G611" s="487"/>
      <c r="H611" s="487"/>
      <c r="I611" s="488"/>
      <c r="J611" s="487"/>
      <c r="K611" s="487"/>
      <c r="L611" s="488"/>
      <c r="M611" s="489"/>
      <c r="N611" s="489"/>
      <c r="O611" s="488"/>
      <c r="P611" s="487"/>
      <c r="Q611" s="489"/>
      <c r="R611" s="592"/>
      <c r="S611" s="448"/>
      <c r="T611" s="448"/>
      <c r="U611" s="488"/>
      <c r="V611" s="489"/>
      <c r="W611" s="489"/>
      <c r="X611" s="488"/>
      <c r="Y611" s="489"/>
      <c r="Z611" s="489"/>
      <c r="AA611" s="490"/>
      <c r="AB611" s="489"/>
      <c r="AC611" s="489"/>
      <c r="AD611" s="927">
        <v>113026</v>
      </c>
      <c r="AE611" s="27" t="s">
        <v>2700</v>
      </c>
      <c r="AF611" s="432">
        <f>VLOOKUP(AD611,[5]Hoja1!$A$10:$K$1393,11,0)</f>
        <v>0</v>
      </c>
      <c r="AG611" s="432"/>
      <c r="AH611" s="432">
        <f t="shared" si="128"/>
        <v>0</v>
      </c>
      <c r="AJ611" s="445"/>
      <c r="AL611" s="448"/>
    </row>
    <row r="612" spans="1:39" s="467" customFormat="1" ht="12.75" customHeight="1">
      <c r="A612" s="487" t="str">
        <f t="shared" si="108"/>
        <v>1</v>
      </c>
      <c r="B612" s="487"/>
      <c r="C612" s="487"/>
      <c r="D612" s="487"/>
      <c r="E612" s="487"/>
      <c r="F612" s="488"/>
      <c r="G612" s="487"/>
      <c r="H612" s="487"/>
      <c r="I612" s="488"/>
      <c r="J612" s="487"/>
      <c r="K612" s="487"/>
      <c r="L612" s="488"/>
      <c r="M612" s="489"/>
      <c r="N612" s="489"/>
      <c r="O612" s="488"/>
      <c r="P612" s="487"/>
      <c r="Q612" s="489"/>
      <c r="R612" s="592"/>
      <c r="S612" s="448"/>
      <c r="T612" s="448"/>
      <c r="U612" s="488"/>
      <c r="V612" s="489"/>
      <c r="W612" s="489"/>
      <c r="X612" s="488"/>
      <c r="Y612" s="489"/>
      <c r="Z612" s="489"/>
      <c r="AA612" s="490"/>
      <c r="AB612" s="489"/>
      <c r="AC612" s="489"/>
      <c r="AD612" s="927">
        <v>113027</v>
      </c>
      <c r="AE612" s="27" t="s">
        <v>2700</v>
      </c>
      <c r="AF612" s="432">
        <f>VLOOKUP(AD612,[5]Hoja1!$A$10:$K$1393,11,0)</f>
        <v>0</v>
      </c>
      <c r="AG612" s="432"/>
      <c r="AH612" s="432">
        <f t="shared" si="128"/>
        <v>0</v>
      </c>
      <c r="AJ612" s="445"/>
      <c r="AL612" s="448"/>
    </row>
    <row r="613" spans="1:39" s="467" customFormat="1" ht="12.75" customHeight="1">
      <c r="A613" s="487" t="str">
        <f t="shared" ref="A613:A677" si="129">+LEFT($AD613,1)</f>
        <v>1</v>
      </c>
      <c r="B613" s="487"/>
      <c r="C613" s="487"/>
      <c r="D613" s="487"/>
      <c r="E613" s="487">
        <v>514410000</v>
      </c>
      <c r="F613" s="488"/>
      <c r="G613" s="487"/>
      <c r="H613" s="487"/>
      <c r="I613" s="488"/>
      <c r="J613" s="487"/>
      <c r="K613" s="487"/>
      <c r="L613" s="488"/>
      <c r="M613" s="489"/>
      <c r="N613" s="489"/>
      <c r="O613" s="488"/>
      <c r="P613" s="487"/>
      <c r="Q613" s="489"/>
      <c r="R613" s="592"/>
      <c r="S613" s="448"/>
      <c r="T613" s="448"/>
      <c r="U613" s="488"/>
      <c r="V613" s="489"/>
      <c r="W613" s="489"/>
      <c r="X613" s="488"/>
      <c r="Y613" s="489"/>
      <c r="Z613" s="489"/>
      <c r="AA613" s="490" t="str">
        <f t="shared" si="127"/>
        <v>223</v>
      </c>
      <c r="AB613" s="489">
        <v>22</v>
      </c>
      <c r="AC613" s="489">
        <v>3</v>
      </c>
      <c r="AD613" s="927">
        <v>113028</v>
      </c>
      <c r="AE613" s="27" t="s">
        <v>2701</v>
      </c>
      <c r="AF613" s="432">
        <f>VLOOKUP(AD613,[5]Hoja1!$A$10:$K$1393,11,0)</f>
        <v>-445250</v>
      </c>
      <c r="AG613" s="432"/>
      <c r="AH613" s="432">
        <f t="shared" si="128"/>
        <v>-445</v>
      </c>
      <c r="AJ613" s="445"/>
      <c r="AL613" s="448"/>
    </row>
    <row r="614" spans="1:39" s="467" customFormat="1" ht="12.75" customHeight="1">
      <c r="A614" s="487" t="str">
        <f t="shared" si="129"/>
        <v>1</v>
      </c>
      <c r="B614" s="487" t="str">
        <f t="shared" si="91"/>
        <v>13</v>
      </c>
      <c r="C614" s="487" t="str">
        <f t="shared" si="92"/>
        <v>05</v>
      </c>
      <c r="D614" s="487" t="str">
        <f t="shared" si="93"/>
        <v>3050</v>
      </c>
      <c r="E614" s="487">
        <v>514410000</v>
      </c>
      <c r="F614" s="488" t="str">
        <f t="shared" si="120"/>
        <v/>
      </c>
      <c r="G614" s="487"/>
      <c r="H614" s="487"/>
      <c r="I614" s="488" t="str">
        <f t="shared" si="121"/>
        <v/>
      </c>
      <c r="J614" s="487"/>
      <c r="K614" s="487"/>
      <c r="L614" s="488" t="str">
        <f t="shared" si="122"/>
        <v/>
      </c>
      <c r="M614" s="489"/>
      <c r="N614" s="489"/>
      <c r="O614" s="488" t="str">
        <f t="shared" si="123"/>
        <v/>
      </c>
      <c r="P614" s="487"/>
      <c r="Q614" s="489"/>
      <c r="R614" s="592" t="str">
        <f t="shared" si="124"/>
        <v/>
      </c>
      <c r="S614" s="448"/>
      <c r="T614" s="448"/>
      <c r="U614" s="488" t="str">
        <f t="shared" si="125"/>
        <v/>
      </c>
      <c r="V614" s="489"/>
      <c r="W614" s="489"/>
      <c r="X614" s="488" t="str">
        <f t="shared" si="126"/>
        <v/>
      </c>
      <c r="Y614" s="489"/>
      <c r="Z614" s="489"/>
      <c r="AA614" s="490" t="str">
        <f t="shared" si="127"/>
        <v>223</v>
      </c>
      <c r="AB614" s="489">
        <v>22</v>
      </c>
      <c r="AC614" s="489">
        <v>3</v>
      </c>
      <c r="AD614" s="27">
        <v>113050</v>
      </c>
      <c r="AE614" s="27" t="s">
        <v>1748</v>
      </c>
      <c r="AF614" s="432">
        <f>VLOOKUP(AD614,[5]Hoja1!$A$10:$K$1393,11,0)</f>
        <v>537500</v>
      </c>
      <c r="AG614" s="432">
        <f>-AG1004</f>
        <v>0</v>
      </c>
      <c r="AH614" s="432">
        <f t="shared" si="128"/>
        <v>538</v>
      </c>
      <c r="AJ614" s="445"/>
      <c r="AL614" s="448"/>
      <c r="AM614" s="467">
        <f>VLOOKUP(AD614,[6]BV201101!$A$10:$A$1236,1,0)</f>
        <v>113050</v>
      </c>
    </row>
    <row r="615" spans="1:39" s="467" customFormat="1" ht="12.75" customHeight="1">
      <c r="A615" s="487" t="str">
        <f t="shared" si="129"/>
        <v>1</v>
      </c>
      <c r="B615" s="487" t="str">
        <f t="shared" si="91"/>
        <v>13</v>
      </c>
      <c r="C615" s="487" t="str">
        <f t="shared" si="92"/>
        <v>05</v>
      </c>
      <c r="D615" s="487" t="str">
        <f t="shared" si="93"/>
        <v>3051</v>
      </c>
      <c r="E615" s="487">
        <v>514410000</v>
      </c>
      <c r="F615" s="488" t="str">
        <f t="shared" ref="F615:F701" si="130">+G615&amp;H615</f>
        <v/>
      </c>
      <c r="G615" s="487"/>
      <c r="H615" s="487"/>
      <c r="I615" s="488" t="str">
        <f t="shared" ref="I615:I701" si="131">+J615&amp;K615</f>
        <v/>
      </c>
      <c r="J615" s="487"/>
      <c r="K615" s="487"/>
      <c r="L615" s="488" t="str">
        <f t="shared" ref="L615:L701" si="132">+M615&amp;N615</f>
        <v/>
      </c>
      <c r="M615" s="489"/>
      <c r="N615" s="489"/>
      <c r="O615" s="488" t="str">
        <f t="shared" ref="O615:O701" si="133">+P615&amp;Q615</f>
        <v/>
      </c>
      <c r="P615" s="487"/>
      <c r="Q615" s="489"/>
      <c r="R615" s="592" t="str">
        <f t="shared" ref="R615:R701" si="134">+S615&amp;T615</f>
        <v/>
      </c>
      <c r="S615" s="448"/>
      <c r="T615" s="448"/>
      <c r="U615" s="488" t="str">
        <f t="shared" ref="U615:U701" si="135">+V615&amp;W615</f>
        <v/>
      </c>
      <c r="V615" s="489"/>
      <c r="W615" s="489"/>
      <c r="X615" s="488" t="str">
        <f t="shared" ref="X615:X701" si="136">+Y615&amp;Z615</f>
        <v/>
      </c>
      <c r="Y615" s="489"/>
      <c r="Z615" s="489"/>
      <c r="AA615" s="490" t="str">
        <f t="shared" si="127"/>
        <v>223</v>
      </c>
      <c r="AB615" s="489">
        <v>22</v>
      </c>
      <c r="AC615" s="489">
        <v>3</v>
      </c>
      <c r="AD615" s="27">
        <v>113051</v>
      </c>
      <c r="AE615" s="27" t="s">
        <v>1749</v>
      </c>
      <c r="AF615" s="432">
        <f>VLOOKUP(AD615,[5]Hoja1!$A$10:$K$1393,11,0)</f>
        <v>74367971</v>
      </c>
      <c r="AG615" s="432"/>
      <c r="AH615" s="432">
        <f t="shared" si="128"/>
        <v>74368</v>
      </c>
      <c r="AJ615" s="445"/>
      <c r="AL615" s="448"/>
      <c r="AM615" s="467">
        <f>VLOOKUP(AD615,[6]BV201101!$A$10:$A$1236,1,0)</f>
        <v>113051</v>
      </c>
    </row>
    <row r="616" spans="1:39" s="467" customFormat="1" ht="12.75" customHeight="1">
      <c r="A616" s="487" t="str">
        <f t="shared" si="129"/>
        <v>1</v>
      </c>
      <c r="B616" s="487" t="str">
        <f t="shared" ref="B616:B702" si="137">RIGHT(LEFT($AD616,3),2)</f>
        <v>13</v>
      </c>
      <c r="C616" s="487" t="str">
        <f t="shared" ref="C616:C702" si="138">RIGHT(LEFT($AD616,5),2)</f>
        <v>05</v>
      </c>
      <c r="D616" s="487" t="str">
        <f t="shared" ref="D616:D702" si="139">RIGHT(LEFT($AD616,9),4)</f>
        <v>3052</v>
      </c>
      <c r="E616" s="487">
        <v>514410000</v>
      </c>
      <c r="F616" s="488" t="str">
        <f t="shared" si="130"/>
        <v/>
      </c>
      <c r="G616" s="487"/>
      <c r="H616" s="487"/>
      <c r="I616" s="488" t="str">
        <f t="shared" si="131"/>
        <v/>
      </c>
      <c r="J616" s="487"/>
      <c r="K616" s="487"/>
      <c r="L616" s="488" t="str">
        <f t="shared" si="132"/>
        <v/>
      </c>
      <c r="M616" s="489"/>
      <c r="N616" s="489"/>
      <c r="O616" s="488" t="str">
        <f t="shared" si="133"/>
        <v/>
      </c>
      <c r="P616" s="487"/>
      <c r="Q616" s="489"/>
      <c r="R616" s="592" t="str">
        <f t="shared" si="134"/>
        <v/>
      </c>
      <c r="S616" s="448"/>
      <c r="T616" s="448"/>
      <c r="U616" s="488" t="str">
        <f t="shared" si="135"/>
        <v/>
      </c>
      <c r="V616" s="489"/>
      <c r="W616" s="489"/>
      <c r="X616" s="488" t="str">
        <f t="shared" si="136"/>
        <v/>
      </c>
      <c r="Y616" s="489"/>
      <c r="Z616" s="489"/>
      <c r="AA616" s="490" t="str">
        <f t="shared" si="127"/>
        <v>223</v>
      </c>
      <c r="AB616" s="489">
        <v>22</v>
      </c>
      <c r="AC616" s="489">
        <v>3</v>
      </c>
      <c r="AD616" s="27">
        <v>113052</v>
      </c>
      <c r="AE616" s="27" t="s">
        <v>1750</v>
      </c>
      <c r="AF616" s="432">
        <f>VLOOKUP(AD616,[5]Hoja1!$A$10:$K$1393,11,0)</f>
        <v>6401081</v>
      </c>
      <c r="AG616" s="432"/>
      <c r="AH616" s="432">
        <f t="shared" si="128"/>
        <v>6401</v>
      </c>
      <c r="AJ616" s="445"/>
      <c r="AL616" s="448"/>
      <c r="AM616" s="467">
        <f>VLOOKUP(AD616,[6]BV201101!$A$10:$A$1236,1,0)</f>
        <v>113052</v>
      </c>
    </row>
    <row r="617" spans="1:39" s="467" customFormat="1" ht="12.75" customHeight="1">
      <c r="A617" s="487" t="str">
        <f t="shared" si="129"/>
        <v>1</v>
      </c>
      <c r="B617" s="487" t="str">
        <f t="shared" si="137"/>
        <v>13</v>
      </c>
      <c r="C617" s="487" t="str">
        <f t="shared" si="138"/>
        <v>05</v>
      </c>
      <c r="D617" s="487" t="str">
        <f t="shared" si="139"/>
        <v>3053</v>
      </c>
      <c r="E617" s="487">
        <v>514410000</v>
      </c>
      <c r="F617" s="488" t="str">
        <f t="shared" si="130"/>
        <v/>
      </c>
      <c r="G617" s="487"/>
      <c r="H617" s="487"/>
      <c r="I617" s="488" t="str">
        <f t="shared" si="131"/>
        <v/>
      </c>
      <c r="J617" s="487"/>
      <c r="K617" s="487"/>
      <c r="L617" s="488" t="str">
        <f t="shared" si="132"/>
        <v/>
      </c>
      <c r="M617" s="489"/>
      <c r="N617" s="489"/>
      <c r="O617" s="488" t="str">
        <f t="shared" si="133"/>
        <v/>
      </c>
      <c r="P617" s="487"/>
      <c r="Q617" s="489"/>
      <c r="R617" s="592" t="str">
        <f t="shared" si="134"/>
        <v/>
      </c>
      <c r="S617" s="448"/>
      <c r="T617" s="448"/>
      <c r="U617" s="488" t="str">
        <f t="shared" si="135"/>
        <v/>
      </c>
      <c r="V617" s="489"/>
      <c r="W617" s="489"/>
      <c r="X617" s="488" t="str">
        <f t="shared" si="136"/>
        <v/>
      </c>
      <c r="Y617" s="489"/>
      <c r="Z617" s="489"/>
      <c r="AA617" s="490" t="str">
        <f t="shared" si="127"/>
        <v>223</v>
      </c>
      <c r="AB617" s="489">
        <v>22</v>
      </c>
      <c r="AC617" s="489">
        <v>3</v>
      </c>
      <c r="AD617" s="27">
        <v>113053</v>
      </c>
      <c r="AE617" s="27" t="s">
        <v>1751</v>
      </c>
      <c r="AF617" s="432">
        <f>VLOOKUP(AD617,[5]Hoja1!$A$10:$K$1393,11,0)</f>
        <v>2772289</v>
      </c>
      <c r="AG617" s="432"/>
      <c r="AH617" s="432">
        <f t="shared" si="128"/>
        <v>2772</v>
      </c>
      <c r="AJ617" s="445"/>
      <c r="AL617" s="448"/>
      <c r="AM617" s="467">
        <f>VLOOKUP(AD617,[6]BV201101!$A$10:$A$1236,1,0)</f>
        <v>113053</v>
      </c>
    </row>
    <row r="618" spans="1:39" s="467" customFormat="1" ht="12.75" customHeight="1">
      <c r="A618" s="487" t="str">
        <f t="shared" si="129"/>
        <v>1</v>
      </c>
      <c r="B618" s="487" t="str">
        <f t="shared" si="137"/>
        <v>13</v>
      </c>
      <c r="C618" s="487" t="str">
        <f t="shared" si="138"/>
        <v>05</v>
      </c>
      <c r="D618" s="487" t="str">
        <f t="shared" si="139"/>
        <v>3054</v>
      </c>
      <c r="E618" s="487">
        <v>514410000</v>
      </c>
      <c r="F618" s="488" t="str">
        <f t="shared" si="130"/>
        <v/>
      </c>
      <c r="G618" s="487"/>
      <c r="H618" s="487"/>
      <c r="I618" s="488" t="str">
        <f t="shared" si="131"/>
        <v/>
      </c>
      <c r="J618" s="487"/>
      <c r="K618" s="487"/>
      <c r="L618" s="488" t="str">
        <f t="shared" si="132"/>
        <v/>
      </c>
      <c r="M618" s="489"/>
      <c r="N618" s="489"/>
      <c r="O618" s="488" t="str">
        <f t="shared" si="133"/>
        <v/>
      </c>
      <c r="P618" s="487"/>
      <c r="Q618" s="489"/>
      <c r="R618" s="592" t="str">
        <f t="shared" si="134"/>
        <v/>
      </c>
      <c r="S618" s="448"/>
      <c r="T618" s="448"/>
      <c r="U618" s="488" t="str">
        <f t="shared" si="135"/>
        <v/>
      </c>
      <c r="V618" s="489"/>
      <c r="W618" s="489"/>
      <c r="X618" s="488" t="str">
        <f t="shared" si="136"/>
        <v/>
      </c>
      <c r="Y618" s="489"/>
      <c r="Z618" s="489"/>
      <c r="AA618" s="490" t="str">
        <f t="shared" si="127"/>
        <v>223</v>
      </c>
      <c r="AB618" s="489">
        <v>22</v>
      </c>
      <c r="AC618" s="489">
        <v>3</v>
      </c>
      <c r="AD618" s="27">
        <v>113054</v>
      </c>
      <c r="AE618" s="27" t="s">
        <v>1829</v>
      </c>
      <c r="AF618" s="432">
        <f>VLOOKUP(AD618,[5]Hoja1!$A$10:$K$1393,11,0)</f>
        <v>0</v>
      </c>
      <c r="AG618" s="432"/>
      <c r="AH618" s="432">
        <f t="shared" si="128"/>
        <v>0</v>
      </c>
      <c r="AJ618" s="445"/>
      <c r="AL618" s="448"/>
      <c r="AM618" s="467" t="e">
        <f>VLOOKUP(AD618,[6]BV201101!$A$10:$A$1236,1,0)</f>
        <v>#N/A</v>
      </c>
    </row>
    <row r="619" spans="1:39" s="467" customFormat="1" ht="12.75" customHeight="1">
      <c r="A619" s="487" t="str">
        <f t="shared" si="129"/>
        <v>1</v>
      </c>
      <c r="B619" s="487" t="str">
        <f t="shared" si="137"/>
        <v>13</v>
      </c>
      <c r="C619" s="487" t="str">
        <f t="shared" si="138"/>
        <v>05</v>
      </c>
      <c r="D619" s="487" t="str">
        <f t="shared" si="139"/>
        <v>3055</v>
      </c>
      <c r="E619" s="487">
        <v>514410000</v>
      </c>
      <c r="F619" s="488" t="str">
        <f t="shared" si="130"/>
        <v/>
      </c>
      <c r="G619" s="487"/>
      <c r="H619" s="487"/>
      <c r="I619" s="488" t="str">
        <f t="shared" si="131"/>
        <v/>
      </c>
      <c r="J619" s="487"/>
      <c r="K619" s="487"/>
      <c r="L619" s="488" t="str">
        <f t="shared" si="132"/>
        <v/>
      </c>
      <c r="M619" s="489"/>
      <c r="N619" s="489"/>
      <c r="O619" s="488" t="str">
        <f t="shared" si="133"/>
        <v/>
      </c>
      <c r="P619" s="487"/>
      <c r="Q619" s="489"/>
      <c r="R619" s="592" t="str">
        <f t="shared" si="134"/>
        <v/>
      </c>
      <c r="S619" s="448"/>
      <c r="T619" s="448"/>
      <c r="U619" s="488" t="str">
        <f t="shared" si="135"/>
        <v/>
      </c>
      <c r="V619" s="489"/>
      <c r="W619" s="489"/>
      <c r="X619" s="488" t="str">
        <f t="shared" si="136"/>
        <v/>
      </c>
      <c r="Y619" s="489"/>
      <c r="Z619" s="489"/>
      <c r="AA619" s="490" t="str">
        <f t="shared" si="127"/>
        <v>223</v>
      </c>
      <c r="AB619" s="489">
        <v>22</v>
      </c>
      <c r="AC619" s="489">
        <v>3</v>
      </c>
      <c r="AD619" s="27">
        <v>113055</v>
      </c>
      <c r="AE619" s="27" t="s">
        <v>1830</v>
      </c>
      <c r="AF619" s="432">
        <v>0</v>
      </c>
      <c r="AG619" s="432"/>
      <c r="AH619" s="432">
        <f t="shared" si="128"/>
        <v>0</v>
      </c>
      <c r="AJ619" s="445"/>
      <c r="AL619" s="448"/>
      <c r="AM619" s="467" t="e">
        <f>VLOOKUP(AD619,[6]BV201101!$A$10:$A$1236,1,0)</f>
        <v>#N/A</v>
      </c>
    </row>
    <row r="620" spans="1:39" s="467" customFormat="1" ht="12.75" customHeight="1">
      <c r="A620" s="487" t="str">
        <f t="shared" si="129"/>
        <v>1</v>
      </c>
      <c r="B620" s="487" t="str">
        <f t="shared" si="137"/>
        <v>13</v>
      </c>
      <c r="C620" s="487" t="str">
        <f t="shared" si="138"/>
        <v>06</v>
      </c>
      <c r="D620" s="487" t="str">
        <f t="shared" si="139"/>
        <v>3060</v>
      </c>
      <c r="E620" s="487">
        <v>511211000</v>
      </c>
      <c r="F620" s="488" t="str">
        <f t="shared" si="130"/>
        <v/>
      </c>
      <c r="G620" s="487"/>
      <c r="H620" s="487"/>
      <c r="I620" s="488" t="str">
        <f t="shared" si="131"/>
        <v/>
      </c>
      <c r="J620" s="487"/>
      <c r="K620" s="487"/>
      <c r="L620" s="488" t="str">
        <f t="shared" si="132"/>
        <v/>
      </c>
      <c r="M620" s="489"/>
      <c r="N620" s="489"/>
      <c r="O620" s="488" t="str">
        <f t="shared" si="133"/>
        <v/>
      </c>
      <c r="P620" s="489"/>
      <c r="Q620" s="489"/>
      <c r="R620" s="592" t="str">
        <f t="shared" si="134"/>
        <v/>
      </c>
      <c r="S620" s="487"/>
      <c r="T620" s="487"/>
      <c r="U620" s="488" t="str">
        <f t="shared" si="135"/>
        <v/>
      </c>
      <c r="V620" s="489"/>
      <c r="W620" s="489"/>
      <c r="X620" s="488" t="str">
        <f t="shared" si="136"/>
        <v/>
      </c>
      <c r="Y620" s="489"/>
      <c r="Z620" s="489"/>
      <c r="AA620" s="490" t="str">
        <f>+AB620&amp;AC620</f>
        <v>2234</v>
      </c>
      <c r="AB620" s="489">
        <v>22</v>
      </c>
      <c r="AC620" s="489">
        <v>34</v>
      </c>
      <c r="AD620" s="27">
        <v>113060</v>
      </c>
      <c r="AE620" s="27" t="s">
        <v>1253</v>
      </c>
      <c r="AF620" s="432">
        <f>VLOOKUP(AD620,[5]Hoja1!$A$10:$K$1393,11,0)</f>
        <v>22509114435</v>
      </c>
      <c r="AG620" s="432">
        <v>0</v>
      </c>
      <c r="AH620" s="432">
        <f t="shared" si="128"/>
        <v>22509114</v>
      </c>
      <c r="AJ620" s="445"/>
      <c r="AL620" s="448"/>
      <c r="AM620" s="467">
        <f>VLOOKUP(AD620,[6]BV201101!$A$10:$A$1236,1,0)</f>
        <v>113060</v>
      </c>
    </row>
    <row r="621" spans="1:39" s="467" customFormat="1" ht="12.75" customHeight="1">
      <c r="A621" s="487" t="str">
        <f t="shared" si="129"/>
        <v>1</v>
      </c>
      <c r="B621" s="487" t="str">
        <f t="shared" si="137"/>
        <v>13</v>
      </c>
      <c r="C621" s="487" t="str">
        <f t="shared" si="138"/>
        <v>06</v>
      </c>
      <c r="D621" s="487" t="str">
        <f t="shared" si="139"/>
        <v>3061</v>
      </c>
      <c r="E621" s="487">
        <v>514340000</v>
      </c>
      <c r="F621" s="488"/>
      <c r="G621" s="487"/>
      <c r="H621" s="487"/>
      <c r="I621" s="488"/>
      <c r="J621" s="487"/>
      <c r="K621" s="487"/>
      <c r="L621" s="488"/>
      <c r="M621" s="489"/>
      <c r="N621" s="489"/>
      <c r="O621" s="488"/>
      <c r="P621" s="487"/>
      <c r="Q621" s="489"/>
      <c r="R621" s="592"/>
      <c r="S621" s="448"/>
      <c r="T621" s="448"/>
      <c r="U621" s="488"/>
      <c r="V621" s="489"/>
      <c r="W621" s="489"/>
      <c r="X621" s="488"/>
      <c r="Y621" s="489"/>
      <c r="Z621" s="489"/>
      <c r="AA621" s="490" t="str">
        <f>+AB621&amp;AC621</f>
        <v>2234</v>
      </c>
      <c r="AB621" s="489">
        <v>22</v>
      </c>
      <c r="AC621" s="489">
        <v>34</v>
      </c>
      <c r="AD621" s="27">
        <v>113061</v>
      </c>
      <c r="AE621" s="27" t="s">
        <v>1254</v>
      </c>
      <c r="AF621" s="432">
        <f>VLOOKUP(AD621,[5]Hoja1!$A$10:$K$1393,11,0)</f>
        <v>0</v>
      </c>
      <c r="AG621" s="432"/>
      <c r="AH621" s="432">
        <f t="shared" si="128"/>
        <v>0</v>
      </c>
      <c r="AJ621" s="445"/>
      <c r="AL621" s="448"/>
      <c r="AM621" s="467">
        <f>VLOOKUP(AD621,[6]BV201101!$A$10:$A$1236,1,0)</f>
        <v>113061</v>
      </c>
    </row>
    <row r="622" spans="1:39" s="467" customFormat="1" ht="12.75" customHeight="1">
      <c r="A622" s="487" t="str">
        <f t="shared" si="129"/>
        <v>1</v>
      </c>
      <c r="B622" s="487" t="str">
        <f t="shared" si="137"/>
        <v>13</v>
      </c>
      <c r="C622" s="487" t="str">
        <f t="shared" si="138"/>
        <v>10</v>
      </c>
      <c r="D622" s="487" t="str">
        <f t="shared" si="139"/>
        <v>3101</v>
      </c>
      <c r="E622" s="487">
        <v>514340000</v>
      </c>
      <c r="F622" s="488" t="str">
        <f t="shared" si="130"/>
        <v/>
      </c>
      <c r="G622" s="487"/>
      <c r="H622" s="487"/>
      <c r="I622" s="488" t="str">
        <f t="shared" si="131"/>
        <v/>
      </c>
      <c r="J622" s="487"/>
      <c r="K622" s="487"/>
      <c r="L622" s="488" t="str">
        <f t="shared" si="132"/>
        <v/>
      </c>
      <c r="M622" s="489"/>
      <c r="N622" s="489"/>
      <c r="O622" s="488" t="str">
        <f t="shared" si="133"/>
        <v/>
      </c>
      <c r="P622" s="487"/>
      <c r="Q622" s="489"/>
      <c r="R622" s="592" t="str">
        <f t="shared" si="134"/>
        <v/>
      </c>
      <c r="S622" s="448"/>
      <c r="T622" s="448"/>
      <c r="U622" s="488" t="str">
        <f t="shared" si="135"/>
        <v/>
      </c>
      <c r="V622" s="489"/>
      <c r="W622" s="489"/>
      <c r="X622" s="488" t="str">
        <f t="shared" si="136"/>
        <v/>
      </c>
      <c r="Y622" s="489"/>
      <c r="Z622" s="489"/>
      <c r="AA622" s="490" t="str">
        <f t="shared" si="127"/>
        <v>229</v>
      </c>
      <c r="AB622" s="489">
        <v>22</v>
      </c>
      <c r="AC622" s="489">
        <v>9</v>
      </c>
      <c r="AD622" s="27">
        <v>113101</v>
      </c>
      <c r="AE622" s="27" t="s">
        <v>85</v>
      </c>
      <c r="AF622" s="432">
        <f>VLOOKUP(AD622,[5]Hoja1!$A$10:$K$1393,11,0)</f>
        <v>38657736</v>
      </c>
      <c r="AG622" s="432">
        <v>0</v>
      </c>
      <c r="AH622" s="432">
        <f t="shared" si="128"/>
        <v>38658</v>
      </c>
      <c r="AI622" s="445">
        <f>+AH622</f>
        <v>38658</v>
      </c>
      <c r="AJ622" s="445"/>
      <c r="AL622" s="448"/>
      <c r="AM622" s="467">
        <f>VLOOKUP(AD622,[6]BV201101!$A$10:$A$1236,1,0)</f>
        <v>113101</v>
      </c>
    </row>
    <row r="623" spans="1:39" s="467" customFormat="1" ht="12.75" customHeight="1">
      <c r="A623" s="487" t="str">
        <f t="shared" si="129"/>
        <v>1</v>
      </c>
      <c r="B623" s="487" t="str">
        <f t="shared" si="137"/>
        <v>13</v>
      </c>
      <c r="C623" s="487" t="str">
        <f t="shared" si="138"/>
        <v>10</v>
      </c>
      <c r="D623" s="487" t="str">
        <f t="shared" si="139"/>
        <v>3102</v>
      </c>
      <c r="E623" s="487">
        <v>511250000</v>
      </c>
      <c r="F623" s="488" t="str">
        <f t="shared" si="130"/>
        <v/>
      </c>
      <c r="G623" s="487"/>
      <c r="H623" s="487"/>
      <c r="I623" s="488" t="str">
        <f t="shared" si="131"/>
        <v/>
      </c>
      <c r="J623" s="487"/>
      <c r="K623" s="487"/>
      <c r="L623" s="488" t="str">
        <f t="shared" si="132"/>
        <v/>
      </c>
      <c r="M623" s="489"/>
      <c r="N623" s="489"/>
      <c r="O623" s="488" t="str">
        <f t="shared" si="133"/>
        <v/>
      </c>
      <c r="P623" s="487"/>
      <c r="Q623" s="489"/>
      <c r="R623" s="592" t="str">
        <f t="shared" si="134"/>
        <v/>
      </c>
      <c r="S623" s="448"/>
      <c r="T623" s="448"/>
      <c r="U623" s="488" t="str">
        <f t="shared" si="135"/>
        <v/>
      </c>
      <c r="V623" s="489"/>
      <c r="W623" s="489"/>
      <c r="X623" s="488" t="str">
        <f t="shared" si="136"/>
        <v/>
      </c>
      <c r="Y623" s="489"/>
      <c r="Z623" s="489"/>
      <c r="AA623" s="490" t="str">
        <f t="shared" si="127"/>
        <v>2235</v>
      </c>
      <c r="AB623" s="489">
        <v>22</v>
      </c>
      <c r="AC623" s="489">
        <v>35</v>
      </c>
      <c r="AD623" s="27">
        <v>113102</v>
      </c>
      <c r="AE623" s="27" t="s">
        <v>86</v>
      </c>
      <c r="AF623" s="432">
        <v>0</v>
      </c>
      <c r="AG623" s="432"/>
      <c r="AH623" s="432">
        <f t="shared" si="128"/>
        <v>0</v>
      </c>
      <c r="AJ623" s="445"/>
      <c r="AL623" s="448"/>
      <c r="AM623" s="467" t="e">
        <f>VLOOKUP(AD623,[6]BV201101!$A$10:$A$1236,1,0)</f>
        <v>#N/A</v>
      </c>
    </row>
    <row r="624" spans="1:39" s="467" customFormat="1" ht="12.75" customHeight="1">
      <c r="A624" s="487" t="str">
        <f t="shared" si="129"/>
        <v>1</v>
      </c>
      <c r="B624" s="487" t="str">
        <f t="shared" si="137"/>
        <v>13</v>
      </c>
      <c r="C624" s="487" t="str">
        <f t="shared" si="138"/>
        <v>10</v>
      </c>
      <c r="D624" s="487" t="str">
        <f t="shared" si="139"/>
        <v>3103</v>
      </c>
      <c r="E624" s="487">
        <v>514420000</v>
      </c>
      <c r="F624" s="488" t="str">
        <f t="shared" si="130"/>
        <v/>
      </c>
      <c r="G624" s="487"/>
      <c r="H624" s="487"/>
      <c r="I624" s="488" t="str">
        <f t="shared" si="131"/>
        <v/>
      </c>
      <c r="J624" s="487"/>
      <c r="K624" s="487"/>
      <c r="L624" s="488" t="str">
        <f t="shared" si="132"/>
        <v/>
      </c>
      <c r="M624" s="489"/>
      <c r="N624" s="489"/>
      <c r="O624" s="488" t="str">
        <f t="shared" si="133"/>
        <v/>
      </c>
      <c r="P624" s="487"/>
      <c r="Q624" s="489"/>
      <c r="R624" s="592" t="str">
        <f t="shared" si="134"/>
        <v/>
      </c>
      <c r="S624" s="448"/>
      <c r="T624" s="448"/>
      <c r="U624" s="488" t="str">
        <f t="shared" si="135"/>
        <v/>
      </c>
      <c r="V624" s="489"/>
      <c r="W624" s="489"/>
      <c r="X624" s="488" t="str">
        <f t="shared" si="136"/>
        <v/>
      </c>
      <c r="Y624" s="489"/>
      <c r="Z624" s="489"/>
      <c r="AA624" s="490" t="str">
        <f t="shared" si="127"/>
        <v/>
      </c>
      <c r="AB624" s="489"/>
      <c r="AC624" s="489"/>
      <c r="AD624" s="27">
        <v>113103</v>
      </c>
      <c r="AE624" s="27" t="s">
        <v>1795</v>
      </c>
      <c r="AF624" s="432">
        <v>0</v>
      </c>
      <c r="AG624" s="432"/>
      <c r="AH624" s="432">
        <f t="shared" si="128"/>
        <v>0</v>
      </c>
      <c r="AJ624" s="445"/>
      <c r="AL624" s="448"/>
      <c r="AM624" s="467" t="e">
        <f>VLOOKUP(AD624,[6]BV201101!$A$10:$A$1236,1,0)</f>
        <v>#N/A</v>
      </c>
    </row>
    <row r="625" spans="1:39" s="467" customFormat="1" ht="12.75" customHeight="1">
      <c r="A625" s="487" t="str">
        <f t="shared" si="129"/>
        <v>1</v>
      </c>
      <c r="B625" s="487" t="str">
        <f t="shared" si="137"/>
        <v>13</v>
      </c>
      <c r="C625" s="487" t="str">
        <f t="shared" si="138"/>
        <v>10</v>
      </c>
      <c r="D625" s="487" t="str">
        <f t="shared" si="139"/>
        <v>3104</v>
      </c>
      <c r="E625" s="487">
        <v>511211000</v>
      </c>
      <c r="F625" s="488" t="str">
        <f t="shared" si="130"/>
        <v/>
      </c>
      <c r="G625" s="487"/>
      <c r="H625" s="487"/>
      <c r="I625" s="488" t="str">
        <f t="shared" si="131"/>
        <v/>
      </c>
      <c r="J625" s="487"/>
      <c r="K625" s="487"/>
      <c r="L625" s="488" t="str">
        <f t="shared" si="132"/>
        <v/>
      </c>
      <c r="M625" s="489"/>
      <c r="N625" s="489"/>
      <c r="O625" s="488" t="str">
        <f t="shared" si="133"/>
        <v/>
      </c>
      <c r="P625" s="487"/>
      <c r="Q625" s="489"/>
      <c r="R625" s="592" t="str">
        <f t="shared" si="134"/>
        <v/>
      </c>
      <c r="S625" s="448"/>
      <c r="T625" s="448"/>
      <c r="U625" s="488" t="str">
        <f t="shared" si="135"/>
        <v/>
      </c>
      <c r="V625" s="489"/>
      <c r="W625" s="489"/>
      <c r="X625" s="488" t="str">
        <f t="shared" si="136"/>
        <v/>
      </c>
      <c r="Y625" s="489"/>
      <c r="Z625" s="489"/>
      <c r="AA625" s="490" t="str">
        <f>+AB625&amp;AC625</f>
        <v>2234</v>
      </c>
      <c r="AB625" s="489">
        <v>22</v>
      </c>
      <c r="AC625" s="489">
        <v>34</v>
      </c>
      <c r="AD625" s="27">
        <v>113104</v>
      </c>
      <c r="AE625" s="27" t="s">
        <v>208</v>
      </c>
      <c r="AF625" s="432">
        <v>0</v>
      </c>
      <c r="AG625" s="444"/>
      <c r="AH625" s="432">
        <f t="shared" si="128"/>
        <v>0</v>
      </c>
      <c r="AJ625" s="445"/>
      <c r="AL625" s="448"/>
      <c r="AM625" s="467" t="e">
        <f>VLOOKUP(AD625,[6]BV201101!$A$10:$A$1236,1,0)</f>
        <v>#N/A</v>
      </c>
    </row>
    <row r="626" spans="1:39" s="467" customFormat="1" ht="12.75" customHeight="1">
      <c r="A626" s="487" t="str">
        <f t="shared" si="129"/>
        <v>1</v>
      </c>
      <c r="B626" s="487"/>
      <c r="C626" s="487"/>
      <c r="D626" s="487"/>
      <c r="E626" s="487"/>
      <c r="F626" s="488"/>
      <c r="G626" s="487"/>
      <c r="H626" s="487"/>
      <c r="I626" s="488"/>
      <c r="J626" s="487"/>
      <c r="K626" s="487"/>
      <c r="L626" s="488"/>
      <c r="M626" s="489"/>
      <c r="N626" s="489"/>
      <c r="O626" s="488"/>
      <c r="P626" s="487"/>
      <c r="Q626" s="489"/>
      <c r="R626" s="592"/>
      <c r="S626" s="448"/>
      <c r="T626" s="448"/>
      <c r="U626" s="488"/>
      <c r="V626" s="489"/>
      <c r="W626" s="489"/>
      <c r="X626" s="488"/>
      <c r="Y626" s="489"/>
      <c r="Z626" s="489"/>
      <c r="AA626" s="490"/>
      <c r="AB626" s="489"/>
      <c r="AC626" s="489"/>
      <c r="AD626" s="27">
        <v>113105</v>
      </c>
      <c r="AE626" s="27" t="s">
        <v>2133</v>
      </c>
      <c r="AF626" s="432">
        <v>0</v>
      </c>
      <c r="AG626" s="444"/>
      <c r="AH626" s="432">
        <f t="shared" si="128"/>
        <v>0</v>
      </c>
      <c r="AJ626" s="445"/>
      <c r="AL626" s="448"/>
      <c r="AM626" s="467" t="e">
        <f>VLOOKUP(AD626,[6]BV201101!$A$10:$A$1236,1,0)</f>
        <v>#N/A</v>
      </c>
    </row>
    <row r="627" spans="1:39" s="467" customFormat="1" ht="12.75" customHeight="1">
      <c r="A627" s="487" t="str">
        <f t="shared" si="129"/>
        <v>1</v>
      </c>
      <c r="B627" s="487" t="str">
        <f t="shared" si="137"/>
        <v>14</v>
      </c>
      <c r="C627" s="487" t="str">
        <f t="shared" si="138"/>
        <v>00</v>
      </c>
      <c r="D627" s="487" t="str">
        <f t="shared" si="139"/>
        <v>4001</v>
      </c>
      <c r="E627" s="487">
        <v>511211000</v>
      </c>
      <c r="F627" s="488" t="str">
        <f>+G627&amp;H627</f>
        <v/>
      </c>
      <c r="G627" s="487"/>
      <c r="H627" s="487"/>
      <c r="I627" s="488" t="str">
        <f>+J627&amp;K627</f>
        <v/>
      </c>
      <c r="J627" s="487"/>
      <c r="K627" s="487"/>
      <c r="L627" s="488" t="str">
        <f>+M627&amp;N627</f>
        <v/>
      </c>
      <c r="M627" s="489"/>
      <c r="N627" s="489"/>
      <c r="O627" s="488" t="str">
        <f>+P627&amp;Q627</f>
        <v/>
      </c>
      <c r="P627" s="487"/>
      <c r="Q627" s="489"/>
      <c r="R627" s="592" t="str">
        <f>+S627&amp;T627</f>
        <v/>
      </c>
      <c r="S627" s="448"/>
      <c r="T627" s="448"/>
      <c r="U627" s="488" t="str">
        <f>+V627&amp;W627</f>
        <v/>
      </c>
      <c r="V627" s="489"/>
      <c r="W627" s="489"/>
      <c r="X627" s="488" t="str">
        <f>+Y627&amp;Z627</f>
        <v/>
      </c>
      <c r="Y627" s="489"/>
      <c r="Z627" s="489"/>
      <c r="AA627" s="490" t="str">
        <f>+AB627&amp;AC627</f>
        <v>2234</v>
      </c>
      <c r="AB627" s="489">
        <v>22</v>
      </c>
      <c r="AC627" s="489">
        <v>34</v>
      </c>
      <c r="AD627" s="27">
        <v>114001</v>
      </c>
      <c r="AE627" s="27" t="s">
        <v>220</v>
      </c>
      <c r="AF627" s="432">
        <f>VLOOKUP(AD627,[5]Hoja1!$A$10:$K$1393,11,0)</f>
        <v>3293660985</v>
      </c>
      <c r="AG627" s="444">
        <v>0</v>
      </c>
      <c r="AH627" s="432">
        <f t="shared" si="128"/>
        <v>3293661</v>
      </c>
      <c r="AJ627" s="445"/>
      <c r="AL627" s="448"/>
      <c r="AM627" s="467">
        <f>VLOOKUP(AD627,[6]BV201101!$A$10:$A$1236,1,0)</f>
        <v>114001</v>
      </c>
    </row>
    <row r="628" spans="1:39" s="467" customFormat="1" ht="12.75" customHeight="1">
      <c r="A628" s="487" t="str">
        <f t="shared" si="129"/>
        <v>1</v>
      </c>
      <c r="B628" s="487" t="str">
        <f t="shared" si="137"/>
        <v>14</v>
      </c>
      <c r="C628" s="487" t="str">
        <f t="shared" si="138"/>
        <v>00</v>
      </c>
      <c r="D628" s="487" t="str">
        <f t="shared" si="139"/>
        <v>4002</v>
      </c>
      <c r="E628" s="487">
        <v>514450000</v>
      </c>
      <c r="F628" s="488" t="str">
        <f t="shared" si="130"/>
        <v/>
      </c>
      <c r="G628" s="487"/>
      <c r="H628" s="487"/>
      <c r="I628" s="488" t="str">
        <f t="shared" si="131"/>
        <v/>
      </c>
      <c r="J628" s="487"/>
      <c r="K628" s="487"/>
      <c r="L628" s="488" t="str">
        <f t="shared" si="132"/>
        <v/>
      </c>
      <c r="M628" s="489"/>
      <c r="N628" s="489"/>
      <c r="O628" s="488" t="str">
        <f t="shared" si="133"/>
        <v/>
      </c>
      <c r="P628" s="487"/>
      <c r="Q628" s="489"/>
      <c r="R628" s="592" t="str">
        <f t="shared" si="134"/>
        <v/>
      </c>
      <c r="S628" s="448"/>
      <c r="T628" s="448"/>
      <c r="U628" s="488" t="str">
        <f t="shared" si="135"/>
        <v/>
      </c>
      <c r="V628" s="489"/>
      <c r="W628" s="489"/>
      <c r="X628" s="488" t="str">
        <f t="shared" si="136"/>
        <v/>
      </c>
      <c r="Y628" s="489"/>
      <c r="Z628" s="489"/>
      <c r="AA628" s="490" t="str">
        <f t="shared" si="127"/>
        <v>2215</v>
      </c>
      <c r="AB628" s="489">
        <v>22</v>
      </c>
      <c r="AC628" s="489">
        <v>15</v>
      </c>
      <c r="AD628" s="27">
        <v>114002</v>
      </c>
      <c r="AE628" s="27" t="s">
        <v>1645</v>
      </c>
      <c r="AF628" s="432">
        <f>VLOOKUP(AD628,[5]Hoja1!$A$10:$K$1393,11,0)</f>
        <v>30783870441</v>
      </c>
      <c r="AG628" s="1507">
        <v>-30783870441</v>
      </c>
      <c r="AH628" s="432">
        <f t="shared" si="128"/>
        <v>0</v>
      </c>
      <c r="AI628" s="445"/>
      <c r="AJ628" s="445"/>
      <c r="AL628" s="448"/>
      <c r="AM628" s="467">
        <f>VLOOKUP(AD628,[6]BV201101!$A$10:$A$1236,1,0)</f>
        <v>114002</v>
      </c>
    </row>
    <row r="629" spans="1:39" s="467" customFormat="1" ht="12.75" customHeight="1">
      <c r="A629" s="487" t="str">
        <f t="shared" si="129"/>
        <v>1</v>
      </c>
      <c r="B629" s="487" t="str">
        <f t="shared" si="137"/>
        <v>14</v>
      </c>
      <c r="C629" s="487" t="str">
        <f t="shared" si="138"/>
        <v>00</v>
      </c>
      <c r="D629" s="487" t="str">
        <f t="shared" si="139"/>
        <v>4003</v>
      </c>
      <c r="E629" s="487">
        <v>514440000</v>
      </c>
      <c r="F629" s="488" t="str">
        <f t="shared" si="130"/>
        <v/>
      </c>
      <c r="G629" s="487"/>
      <c r="H629" s="487"/>
      <c r="I629" s="488" t="str">
        <f t="shared" si="131"/>
        <v/>
      </c>
      <c r="J629" s="487"/>
      <c r="K629" s="487"/>
      <c r="L629" s="488" t="str">
        <f t="shared" si="132"/>
        <v/>
      </c>
      <c r="M629" s="489"/>
      <c r="N629" s="489"/>
      <c r="O629" s="488" t="str">
        <f t="shared" si="133"/>
        <v/>
      </c>
      <c r="P629" s="487"/>
      <c r="Q629" s="489"/>
      <c r="R629" s="592" t="str">
        <f t="shared" si="134"/>
        <v/>
      </c>
      <c r="S629" s="448"/>
      <c r="T629" s="448"/>
      <c r="U629" s="488" t="str">
        <f t="shared" si="135"/>
        <v/>
      </c>
      <c r="V629" s="489"/>
      <c r="W629" s="489"/>
      <c r="X629" s="488" t="str">
        <f t="shared" si="136"/>
        <v/>
      </c>
      <c r="Y629" s="489"/>
      <c r="Z629" s="489"/>
      <c r="AA629" s="490" t="str">
        <f t="shared" si="127"/>
        <v/>
      </c>
      <c r="AB629" s="489"/>
      <c r="AC629" s="489"/>
      <c r="AD629" s="27">
        <v>114003</v>
      </c>
      <c r="AE629" s="27" t="s">
        <v>2134</v>
      </c>
      <c r="AF629" s="432">
        <f>VLOOKUP(AD629,[5]Hoja1!$A$10:$K$1393,11,0)</f>
        <v>1338591598</v>
      </c>
      <c r="AG629" s="432"/>
      <c r="AH629" s="432">
        <f t="shared" si="128"/>
        <v>1338592</v>
      </c>
      <c r="AL629" s="448"/>
      <c r="AM629" s="467">
        <f>VLOOKUP(AD629,[6]BV201101!$A$10:$A$1236,1,0)</f>
        <v>114003</v>
      </c>
    </row>
    <row r="630" spans="1:39" s="467" customFormat="1" ht="12.75" customHeight="1">
      <c r="A630" s="487" t="str">
        <f t="shared" si="129"/>
        <v>1</v>
      </c>
      <c r="B630" s="487" t="str">
        <f t="shared" si="137"/>
        <v>14</v>
      </c>
      <c r="C630" s="487" t="str">
        <f t="shared" si="138"/>
        <v>00</v>
      </c>
      <c r="D630" s="487" t="str">
        <f t="shared" si="139"/>
        <v>4004</v>
      </c>
      <c r="E630" s="487">
        <v>514450000</v>
      </c>
      <c r="F630" s="488" t="str">
        <f t="shared" si="130"/>
        <v/>
      </c>
      <c r="G630" s="487"/>
      <c r="H630" s="487"/>
      <c r="I630" s="488" t="str">
        <f t="shared" si="131"/>
        <v/>
      </c>
      <c r="J630" s="487"/>
      <c r="K630" s="487"/>
      <c r="L630" s="488" t="str">
        <f t="shared" si="132"/>
        <v/>
      </c>
      <c r="M630" s="489"/>
      <c r="N630" s="489"/>
      <c r="O630" s="488" t="str">
        <f t="shared" si="133"/>
        <v/>
      </c>
      <c r="P630" s="487"/>
      <c r="Q630" s="489"/>
      <c r="R630" s="592" t="str">
        <f t="shared" si="134"/>
        <v/>
      </c>
      <c r="S630" s="448"/>
      <c r="T630" s="448"/>
      <c r="U630" s="488" t="str">
        <f t="shared" si="135"/>
        <v/>
      </c>
      <c r="V630" s="489"/>
      <c r="W630" s="489"/>
      <c r="X630" s="488" t="str">
        <f t="shared" si="136"/>
        <v/>
      </c>
      <c r="Y630" s="489"/>
      <c r="Z630" s="489"/>
      <c r="AA630" s="490" t="str">
        <f t="shared" si="127"/>
        <v>2212</v>
      </c>
      <c r="AB630" s="489">
        <v>22</v>
      </c>
      <c r="AC630" s="489">
        <v>12</v>
      </c>
      <c r="AD630" s="27">
        <v>114004</v>
      </c>
      <c r="AE630" s="27" t="s">
        <v>2135</v>
      </c>
      <c r="AF630" s="432">
        <f>VLOOKUP(AD630,[5]Hoja1!$A$10:$K$1393,11,0)</f>
        <v>327157</v>
      </c>
      <c r="AG630" s="1507">
        <f>-AF630</f>
        <v>-327157</v>
      </c>
      <c r="AH630" s="432">
        <f t="shared" si="128"/>
        <v>0</v>
      </c>
      <c r="AL630" s="448"/>
      <c r="AM630" s="467">
        <f>VLOOKUP(AD630,[6]BV201101!$A$10:$A$1236,1,0)</f>
        <v>114004</v>
      </c>
    </row>
    <row r="631" spans="1:39" s="467" customFormat="1" ht="12.75" customHeight="1">
      <c r="A631" s="487" t="str">
        <f t="shared" si="129"/>
        <v>1</v>
      </c>
      <c r="B631" s="487" t="str">
        <f t="shared" si="137"/>
        <v>14</v>
      </c>
      <c r="C631" s="487" t="str">
        <f t="shared" si="138"/>
        <v>00</v>
      </c>
      <c r="D631" s="487" t="str">
        <f t="shared" si="139"/>
        <v>4005</v>
      </c>
      <c r="E631" s="487">
        <v>514450000</v>
      </c>
      <c r="F631" s="488" t="str">
        <f t="shared" si="130"/>
        <v/>
      </c>
      <c r="G631" s="487"/>
      <c r="H631" s="487"/>
      <c r="I631" s="488" t="str">
        <f t="shared" si="131"/>
        <v/>
      </c>
      <c r="J631" s="487"/>
      <c r="K631" s="487"/>
      <c r="L631" s="488" t="str">
        <f t="shared" si="132"/>
        <v/>
      </c>
      <c r="M631" s="489"/>
      <c r="N631" s="489"/>
      <c r="O631" s="488" t="str">
        <f t="shared" si="133"/>
        <v/>
      </c>
      <c r="P631" s="487"/>
      <c r="Q631" s="489"/>
      <c r="R631" s="592" t="str">
        <f t="shared" si="134"/>
        <v/>
      </c>
      <c r="S631" s="448"/>
      <c r="T631" s="448"/>
      <c r="U631" s="488" t="str">
        <f t="shared" si="135"/>
        <v/>
      </c>
      <c r="V631" s="489"/>
      <c r="W631" s="489"/>
      <c r="X631" s="488" t="str">
        <f t="shared" si="136"/>
        <v/>
      </c>
      <c r="Y631" s="489"/>
      <c r="Z631" s="489"/>
      <c r="AA631" s="490" t="str">
        <f t="shared" si="127"/>
        <v>2210</v>
      </c>
      <c r="AB631" s="489">
        <v>22</v>
      </c>
      <c r="AC631" s="489">
        <v>10</v>
      </c>
      <c r="AD631" s="27">
        <v>114005</v>
      </c>
      <c r="AE631" s="27" t="s">
        <v>6</v>
      </c>
      <c r="AF631" s="432">
        <v>0</v>
      </c>
      <c r="AG631" s="432">
        <v>0</v>
      </c>
      <c r="AH631" s="432">
        <f t="shared" si="128"/>
        <v>0</v>
      </c>
      <c r="AL631" s="448"/>
      <c r="AM631" s="467" t="e">
        <f>VLOOKUP(AD631,[6]BV201101!$A$10:$A$1236,1,0)</f>
        <v>#N/A</v>
      </c>
    </row>
    <row r="632" spans="1:39" s="467" customFormat="1" ht="12.75" customHeight="1">
      <c r="A632" s="487" t="str">
        <f t="shared" si="129"/>
        <v>1</v>
      </c>
      <c r="B632" s="487" t="str">
        <f t="shared" si="137"/>
        <v>14</v>
      </c>
      <c r="C632" s="487" t="str">
        <f t="shared" si="138"/>
        <v>00</v>
      </c>
      <c r="D632" s="487" t="str">
        <f t="shared" si="139"/>
        <v>4006</v>
      </c>
      <c r="E632" s="487">
        <v>514200000</v>
      </c>
      <c r="F632" s="488"/>
      <c r="G632" s="487"/>
      <c r="H632" s="487"/>
      <c r="I632" s="488"/>
      <c r="J632" s="487"/>
      <c r="K632" s="487"/>
      <c r="L632" s="488"/>
      <c r="M632" s="489"/>
      <c r="N632" s="489"/>
      <c r="O632" s="488"/>
      <c r="P632" s="487"/>
      <c r="Q632" s="489"/>
      <c r="R632" s="592"/>
      <c r="S632" s="448"/>
      <c r="T632" s="448"/>
      <c r="U632" s="488"/>
      <c r="V632" s="489"/>
      <c r="W632" s="489"/>
      <c r="X632" s="488"/>
      <c r="Y632" s="489"/>
      <c r="Z632" s="489"/>
      <c r="AA632" s="490" t="str">
        <f t="shared" si="127"/>
        <v>2211</v>
      </c>
      <c r="AB632" s="489">
        <v>22</v>
      </c>
      <c r="AC632" s="489">
        <v>11</v>
      </c>
      <c r="AD632" s="27">
        <v>114006</v>
      </c>
      <c r="AE632" s="27" t="s">
        <v>1255</v>
      </c>
      <c r="AF632" s="432">
        <f>VLOOKUP(AD632,[5]Hoja1!$A$10:$K$1393,11,0)</f>
        <v>3448998669</v>
      </c>
      <c r="AG632" s="432"/>
      <c r="AH632" s="432">
        <f t="shared" si="128"/>
        <v>3448999</v>
      </c>
      <c r="AL632" s="448"/>
      <c r="AM632" s="467">
        <f>VLOOKUP(AD632,[6]BV201101!$A$10:$A$1236,1,0)</f>
        <v>114006</v>
      </c>
    </row>
    <row r="633" spans="1:39" s="467" customFormat="1" ht="12.75" customHeight="1">
      <c r="A633" s="487" t="str">
        <f t="shared" si="129"/>
        <v>1</v>
      </c>
      <c r="B633" s="487" t="str">
        <f t="shared" si="137"/>
        <v>14</v>
      </c>
      <c r="C633" s="487" t="str">
        <f t="shared" si="138"/>
        <v>00</v>
      </c>
      <c r="D633" s="487" t="str">
        <f t="shared" si="139"/>
        <v>4007</v>
      </c>
      <c r="E633" s="487">
        <v>514340000</v>
      </c>
      <c r="F633" s="488"/>
      <c r="G633" s="487"/>
      <c r="H633" s="487"/>
      <c r="I633" s="488"/>
      <c r="J633" s="487"/>
      <c r="K633" s="487"/>
      <c r="L633" s="488"/>
      <c r="M633" s="489"/>
      <c r="N633" s="489"/>
      <c r="O633" s="488"/>
      <c r="P633" s="487"/>
      <c r="Q633" s="489"/>
      <c r="R633" s="592"/>
      <c r="S633" s="448"/>
      <c r="T633" s="448"/>
      <c r="U633" s="488"/>
      <c r="V633" s="489"/>
      <c r="W633" s="489"/>
      <c r="X633" s="488"/>
      <c r="Y633" s="489"/>
      <c r="Z633" s="489"/>
      <c r="AA633" s="490" t="str">
        <f>+AB633&amp;AC633</f>
        <v>229</v>
      </c>
      <c r="AB633" s="489">
        <v>22</v>
      </c>
      <c r="AC633" s="489">
        <v>9</v>
      </c>
      <c r="AD633" s="27">
        <v>114007</v>
      </c>
      <c r="AE633" s="27" t="s">
        <v>2136</v>
      </c>
      <c r="AF633" s="432">
        <f>VLOOKUP(AD633,[5]Hoja1!$A$10:$K$1393,11,0)</f>
        <v>0</v>
      </c>
      <c r="AG633" s="432">
        <v>0</v>
      </c>
      <c r="AH633" s="432">
        <f t="shared" si="128"/>
        <v>0</v>
      </c>
      <c r="AL633" s="448"/>
      <c r="AM633" s="467">
        <f>VLOOKUP(AD633,[6]BV201101!$A$10:$A$1236,1,0)</f>
        <v>114007</v>
      </c>
    </row>
    <row r="634" spans="1:39" s="467" customFormat="1" ht="12.75" customHeight="1">
      <c r="A634" s="487" t="str">
        <f t="shared" si="129"/>
        <v>1</v>
      </c>
      <c r="B634" s="487" t="str">
        <f t="shared" si="137"/>
        <v>14</v>
      </c>
      <c r="C634" s="487" t="str">
        <f t="shared" si="138"/>
        <v>00</v>
      </c>
      <c r="D634" s="487" t="str">
        <f t="shared" si="139"/>
        <v>4008</v>
      </c>
      <c r="E634" s="487">
        <v>514420000</v>
      </c>
      <c r="F634" s="488"/>
      <c r="G634" s="487"/>
      <c r="H634" s="487"/>
      <c r="I634" s="488"/>
      <c r="J634" s="487"/>
      <c r="K634" s="487"/>
      <c r="L634" s="488"/>
      <c r="M634" s="489"/>
      <c r="N634" s="489"/>
      <c r="O634" s="488"/>
      <c r="P634" s="487"/>
      <c r="Q634" s="489"/>
      <c r="R634" s="592"/>
      <c r="S634" s="448"/>
      <c r="T634" s="448"/>
      <c r="U634" s="488"/>
      <c r="V634" s="489"/>
      <c r="W634" s="489"/>
      <c r="X634" s="488"/>
      <c r="Y634" s="489"/>
      <c r="Z634" s="489"/>
      <c r="AA634" s="490"/>
      <c r="AB634" s="489"/>
      <c r="AC634" s="489"/>
      <c r="AD634" s="27">
        <v>114008</v>
      </c>
      <c r="AE634" s="27" t="s">
        <v>1104</v>
      </c>
      <c r="AF634" s="432">
        <f>VLOOKUP(AD634,[5]Hoja1!$A$10:$K$1393,11,0)</f>
        <v>451644280</v>
      </c>
      <c r="AG634" s="432"/>
      <c r="AH634" s="432">
        <f t="shared" si="128"/>
        <v>451644</v>
      </c>
      <c r="AL634" s="448"/>
      <c r="AM634" s="467">
        <f>VLOOKUP(AD634,[6]BV201101!$A$10:$A$1236,1,0)</f>
        <v>114008</v>
      </c>
    </row>
    <row r="635" spans="1:39" s="467" customFormat="1" ht="12.75" customHeight="1">
      <c r="A635" s="487" t="str">
        <f t="shared" si="129"/>
        <v>1</v>
      </c>
      <c r="B635" s="487" t="str">
        <f t="shared" si="137"/>
        <v>14</v>
      </c>
      <c r="C635" s="487" t="str">
        <f t="shared" si="138"/>
        <v>00</v>
      </c>
      <c r="D635" s="487" t="str">
        <f t="shared" si="139"/>
        <v>4009</v>
      </c>
      <c r="E635" s="487">
        <v>514420000</v>
      </c>
      <c r="F635" s="488"/>
      <c r="G635" s="487"/>
      <c r="H635" s="487"/>
      <c r="I635" s="488"/>
      <c r="J635" s="487"/>
      <c r="K635" s="487"/>
      <c r="L635" s="488"/>
      <c r="M635" s="489"/>
      <c r="N635" s="489"/>
      <c r="O635" s="488"/>
      <c r="P635" s="487"/>
      <c r="Q635" s="489"/>
      <c r="R635" s="592"/>
      <c r="S635" s="448"/>
      <c r="T635" s="448"/>
      <c r="U635" s="488"/>
      <c r="V635" s="489"/>
      <c r="W635" s="489"/>
      <c r="X635" s="488"/>
      <c r="Y635" s="489"/>
      <c r="Z635" s="489"/>
      <c r="AA635" s="490"/>
      <c r="AB635" s="489"/>
      <c r="AC635" s="489"/>
      <c r="AD635" s="27">
        <v>114009</v>
      </c>
      <c r="AE635" s="27" t="s">
        <v>195</v>
      </c>
      <c r="AF635" s="432">
        <f>VLOOKUP(AD635,[5]Hoja1!$A$10:$K$1393,11,0)</f>
        <v>0</v>
      </c>
      <c r="AG635" s="432">
        <f>-AF635</f>
        <v>0</v>
      </c>
      <c r="AH635" s="432">
        <f t="shared" si="128"/>
        <v>0</v>
      </c>
      <c r="AL635" s="448"/>
      <c r="AM635" s="467">
        <f>VLOOKUP(AD635,[6]BV201101!$A$10:$A$1236,1,0)</f>
        <v>114009</v>
      </c>
    </row>
    <row r="636" spans="1:39" s="467" customFormat="1" ht="12.75" customHeight="1">
      <c r="A636" s="487" t="str">
        <f t="shared" si="129"/>
        <v>1</v>
      </c>
      <c r="B636" s="487" t="str">
        <f t="shared" si="137"/>
        <v>14</v>
      </c>
      <c r="C636" s="487" t="str">
        <f t="shared" si="138"/>
        <v>01</v>
      </c>
      <c r="D636" s="487" t="str">
        <f t="shared" si="139"/>
        <v>4010</v>
      </c>
      <c r="E636" s="487">
        <v>514420000</v>
      </c>
      <c r="F636" s="488"/>
      <c r="G636" s="487"/>
      <c r="H636" s="487"/>
      <c r="I636" s="488"/>
      <c r="J636" s="487"/>
      <c r="K636" s="487"/>
      <c r="L636" s="488"/>
      <c r="M636" s="489"/>
      <c r="N636" s="489"/>
      <c r="O636" s="488"/>
      <c r="P636" s="487"/>
      <c r="Q636" s="489"/>
      <c r="R636" s="592"/>
      <c r="S636" s="448"/>
      <c r="T636" s="448"/>
      <c r="U636" s="488"/>
      <c r="V636" s="489"/>
      <c r="W636" s="489"/>
      <c r="X636" s="488"/>
      <c r="Y636" s="489"/>
      <c r="Z636" s="489"/>
      <c r="AA636" s="490"/>
      <c r="AB636" s="489"/>
      <c r="AC636" s="489"/>
      <c r="AD636" s="27">
        <v>114010</v>
      </c>
      <c r="AE636" s="27" t="s">
        <v>2137</v>
      </c>
      <c r="AF636" s="432">
        <f>VLOOKUP(AD636,[5]Hoja1!$A$10:$K$1393,11,0)</f>
        <v>-451644279</v>
      </c>
      <c r="AG636" s="432"/>
      <c r="AH636" s="432">
        <f t="shared" si="128"/>
        <v>-451644</v>
      </c>
      <c r="AL636" s="448"/>
      <c r="AM636" s="467">
        <f>VLOOKUP(AD636,[6]BV201101!$A$10:$A$1236,1,0)</f>
        <v>114010</v>
      </c>
    </row>
    <row r="637" spans="1:39" s="467" customFormat="1" ht="12.75" customHeight="1">
      <c r="A637" s="487" t="str">
        <f t="shared" si="129"/>
        <v>1</v>
      </c>
      <c r="B637" s="487" t="str">
        <f t="shared" si="137"/>
        <v>14</v>
      </c>
      <c r="C637" s="487" t="str">
        <f t="shared" si="138"/>
        <v>01</v>
      </c>
      <c r="D637" s="487" t="str">
        <f t="shared" si="139"/>
        <v>4011</v>
      </c>
      <c r="E637" s="487">
        <v>514340000</v>
      </c>
      <c r="F637" s="488"/>
      <c r="G637" s="487"/>
      <c r="H637" s="487"/>
      <c r="I637" s="488"/>
      <c r="J637" s="487"/>
      <c r="K637" s="487"/>
      <c r="L637" s="488"/>
      <c r="M637" s="489"/>
      <c r="N637" s="489"/>
      <c r="O637" s="488"/>
      <c r="P637" s="487"/>
      <c r="Q637" s="489"/>
      <c r="R637" s="592"/>
      <c r="S637" s="448"/>
      <c r="T637" s="448"/>
      <c r="U637" s="488"/>
      <c r="V637" s="489"/>
      <c r="W637" s="489"/>
      <c r="X637" s="488"/>
      <c r="Y637" s="489"/>
      <c r="Z637" s="489"/>
      <c r="AA637" s="490" t="str">
        <f>+AB637&amp;AC637</f>
        <v>229</v>
      </c>
      <c r="AB637" s="489">
        <v>22</v>
      </c>
      <c r="AC637" s="489">
        <v>9</v>
      </c>
      <c r="AD637" s="27">
        <v>114011</v>
      </c>
      <c r="AE637" s="27" t="s">
        <v>2138</v>
      </c>
      <c r="AF637" s="432">
        <f>VLOOKUP(AD637,[5]Hoja1!$A$10:$K$1393,11,0)</f>
        <v>182526334</v>
      </c>
      <c r="AG637" s="432">
        <f>-AG627</f>
        <v>0</v>
      </c>
      <c r="AH637" s="432">
        <f t="shared" si="128"/>
        <v>182526</v>
      </c>
      <c r="AL637" s="448"/>
      <c r="AM637" s="467">
        <f>VLOOKUP(AD637,[6]BV201101!$A$10:$A$1236,1,0)</f>
        <v>114011</v>
      </c>
    </row>
    <row r="638" spans="1:39" s="467" customFormat="1" ht="12.75" customHeight="1">
      <c r="A638" s="487" t="str">
        <f t="shared" si="129"/>
        <v>1</v>
      </c>
      <c r="B638" s="487" t="str">
        <f t="shared" si="137"/>
        <v>14</v>
      </c>
      <c r="C638" s="487" t="str">
        <f t="shared" si="138"/>
        <v>01</v>
      </c>
      <c r="D638" s="487" t="str">
        <f t="shared" si="139"/>
        <v>4012</v>
      </c>
      <c r="E638" s="487">
        <v>514340000</v>
      </c>
      <c r="F638" s="488"/>
      <c r="G638" s="487"/>
      <c r="H638" s="487"/>
      <c r="I638" s="488"/>
      <c r="J638" s="487"/>
      <c r="K638" s="487"/>
      <c r="L638" s="488"/>
      <c r="M638" s="489"/>
      <c r="N638" s="489"/>
      <c r="O638" s="488"/>
      <c r="P638" s="487"/>
      <c r="Q638" s="489"/>
      <c r="R638" s="592"/>
      <c r="S638" s="448"/>
      <c r="T638" s="448"/>
      <c r="U638" s="488"/>
      <c r="V638" s="489"/>
      <c r="W638" s="489"/>
      <c r="X638" s="488"/>
      <c r="Y638" s="489"/>
      <c r="Z638" s="489"/>
      <c r="AA638" s="490" t="str">
        <f>+AB638&amp;AC638</f>
        <v>229</v>
      </c>
      <c r="AB638" s="489">
        <v>22</v>
      </c>
      <c r="AC638" s="489">
        <v>9</v>
      </c>
      <c r="AD638" s="27">
        <v>114012</v>
      </c>
      <c r="AE638" s="27" t="s">
        <v>2139</v>
      </c>
      <c r="AF638" s="432">
        <f>VLOOKUP(AD638,[5]Hoja1!$A$10:$K$1393,11,0)</f>
        <v>176918463</v>
      </c>
      <c r="AG638" s="432"/>
      <c r="AH638" s="432">
        <f t="shared" si="128"/>
        <v>176918</v>
      </c>
      <c r="AL638" s="448"/>
      <c r="AM638" s="467">
        <f>VLOOKUP(AD638,[6]BV201101!$A$10:$A$1236,1,0)</f>
        <v>114012</v>
      </c>
    </row>
    <row r="639" spans="1:39" s="467" customFormat="1" ht="12.75" customHeight="1">
      <c r="A639" s="487" t="str">
        <f t="shared" si="129"/>
        <v>1</v>
      </c>
      <c r="B639" s="487" t="str">
        <f t="shared" si="137"/>
        <v>14</v>
      </c>
      <c r="C639" s="487" t="str">
        <f t="shared" si="138"/>
        <v>01</v>
      </c>
      <c r="D639" s="487" t="str">
        <f t="shared" si="139"/>
        <v>4013</v>
      </c>
      <c r="E639" s="487">
        <v>514340000</v>
      </c>
      <c r="F639" s="488"/>
      <c r="G639" s="487"/>
      <c r="H639" s="487"/>
      <c r="I639" s="488"/>
      <c r="J639" s="487"/>
      <c r="K639" s="487"/>
      <c r="L639" s="488"/>
      <c r="M639" s="489"/>
      <c r="N639" s="489"/>
      <c r="O639" s="488"/>
      <c r="P639" s="487"/>
      <c r="Q639" s="489"/>
      <c r="R639" s="592"/>
      <c r="S639" s="448"/>
      <c r="T639" s="448"/>
      <c r="U639" s="488"/>
      <c r="V639" s="489"/>
      <c r="W639" s="489"/>
      <c r="X639" s="488"/>
      <c r="Y639" s="489"/>
      <c r="Z639" s="489"/>
      <c r="AA639" s="490" t="str">
        <f>+AB639&amp;AC639</f>
        <v>229</v>
      </c>
      <c r="AB639" s="489">
        <v>22</v>
      </c>
      <c r="AC639" s="489">
        <v>9</v>
      </c>
      <c r="AD639" s="27">
        <v>114013</v>
      </c>
      <c r="AE639" s="27" t="s">
        <v>172</v>
      </c>
      <c r="AF639" s="432">
        <f>VLOOKUP(AD639,[5]Hoja1!$A$10:$K$1393,11,0)</f>
        <v>0</v>
      </c>
      <c r="AG639" s="432">
        <f>-AG962</f>
        <v>0</v>
      </c>
      <c r="AH639" s="432">
        <f t="shared" si="128"/>
        <v>0</v>
      </c>
      <c r="AL639" s="448"/>
      <c r="AM639" s="467">
        <f>VLOOKUP(AD639,[6]BV201101!$A$10:$A$1236,1,0)</f>
        <v>114013</v>
      </c>
    </row>
    <row r="640" spans="1:39" s="467" customFormat="1" ht="12.75" customHeight="1">
      <c r="A640" s="487" t="str">
        <f t="shared" si="129"/>
        <v>1</v>
      </c>
      <c r="B640" s="487" t="str">
        <f t="shared" si="137"/>
        <v>14</v>
      </c>
      <c r="C640" s="487" t="str">
        <f t="shared" si="138"/>
        <v>01</v>
      </c>
      <c r="D640" s="487" t="str">
        <f t="shared" si="139"/>
        <v>4014</v>
      </c>
      <c r="E640" s="487">
        <v>511211000</v>
      </c>
      <c r="F640" s="488" t="str">
        <f>+G640&amp;H640</f>
        <v/>
      </c>
      <c r="G640" s="487"/>
      <c r="H640" s="487"/>
      <c r="I640" s="488" t="str">
        <f>+J640&amp;K640</f>
        <v/>
      </c>
      <c r="J640" s="487"/>
      <c r="K640" s="487"/>
      <c r="L640" s="488" t="str">
        <f>+M640&amp;N640</f>
        <v/>
      </c>
      <c r="M640" s="489"/>
      <c r="N640" s="489"/>
      <c r="O640" s="488" t="str">
        <f>+P640&amp;Q640</f>
        <v/>
      </c>
      <c r="P640" s="487"/>
      <c r="Q640" s="489"/>
      <c r="R640" s="592" t="str">
        <f>+S640&amp;T640</f>
        <v/>
      </c>
      <c r="S640" s="448"/>
      <c r="T640" s="448"/>
      <c r="U640" s="488" t="str">
        <f>+V640&amp;W640</f>
        <v/>
      </c>
      <c r="V640" s="489"/>
      <c r="W640" s="489"/>
      <c r="X640" s="488" t="str">
        <f>+Y640&amp;Z640</f>
        <v/>
      </c>
      <c r="Y640" s="489"/>
      <c r="Z640" s="489"/>
      <c r="AA640" s="490" t="str">
        <f>+AB640&amp;AC640</f>
        <v>2234</v>
      </c>
      <c r="AB640" s="489">
        <v>22</v>
      </c>
      <c r="AC640" s="489">
        <v>34</v>
      </c>
      <c r="AD640" s="27">
        <v>114014</v>
      </c>
      <c r="AE640" s="27" t="s">
        <v>2140</v>
      </c>
      <c r="AF640" s="432">
        <f>VLOOKUP(AD640,[5]Hoja1!$A$10:$K$1393,11,0)</f>
        <v>-81372329</v>
      </c>
      <c r="AG640" s="432">
        <v>0</v>
      </c>
      <c r="AH640" s="432">
        <f t="shared" si="128"/>
        <v>-81372</v>
      </c>
      <c r="AL640" s="448"/>
      <c r="AM640" s="467">
        <f>VLOOKUP(AD640,[6]BV201101!$A$10:$A$1236,1,0)</f>
        <v>114014</v>
      </c>
    </row>
    <row r="641" spans="1:39" s="467" customFormat="1" ht="12.75" customHeight="1">
      <c r="A641" s="487" t="str">
        <f t="shared" si="129"/>
        <v>1</v>
      </c>
      <c r="B641" s="487" t="str">
        <f t="shared" si="137"/>
        <v>14</v>
      </c>
      <c r="C641" s="487" t="str">
        <f t="shared" si="138"/>
        <v>01</v>
      </c>
      <c r="D641" s="487" t="str">
        <f>RIGHT(LEFT($AD641,9),4)</f>
        <v>4015</v>
      </c>
      <c r="E641" s="487">
        <v>514340000</v>
      </c>
      <c r="F641" s="488"/>
      <c r="G641" s="487"/>
      <c r="H641" s="487"/>
      <c r="I641" s="488"/>
      <c r="J641" s="487"/>
      <c r="K641" s="487"/>
      <c r="L641" s="488"/>
      <c r="M641" s="489"/>
      <c r="N641" s="489"/>
      <c r="O641" s="488"/>
      <c r="P641" s="487"/>
      <c r="Q641" s="489"/>
      <c r="R641" s="592"/>
      <c r="S641" s="448"/>
      <c r="T641" s="448"/>
      <c r="U641" s="488"/>
      <c r="V641" s="489"/>
      <c r="W641" s="489"/>
      <c r="X641" s="488"/>
      <c r="Y641" s="489"/>
      <c r="Z641" s="489"/>
      <c r="AA641" s="490" t="str">
        <f>+AB641&amp;AC641</f>
        <v>229</v>
      </c>
      <c r="AB641" s="489">
        <v>22</v>
      </c>
      <c r="AC641" s="489">
        <v>9</v>
      </c>
      <c r="AD641" s="27">
        <v>114015</v>
      </c>
      <c r="AE641" s="27" t="s">
        <v>2141</v>
      </c>
      <c r="AF641" s="432">
        <f>VLOOKUP(AD641,[5]Hoja1!$A$10:$K$1393,11,0)</f>
        <v>0</v>
      </c>
      <c r="AG641" s="432">
        <f>-AG990</f>
        <v>0</v>
      </c>
      <c r="AH641" s="432">
        <f t="shared" si="128"/>
        <v>0</v>
      </c>
      <c r="AL641" s="448"/>
      <c r="AM641" s="467">
        <f>VLOOKUP(AD641,[6]BV201101!$A$10:$A$1236,1,0)</f>
        <v>114015</v>
      </c>
    </row>
    <row r="642" spans="1:39" s="467" customFormat="1" ht="12.75" customHeight="1">
      <c r="A642" s="487" t="str">
        <f t="shared" si="129"/>
        <v>1</v>
      </c>
      <c r="B642" s="487" t="str">
        <f t="shared" si="137"/>
        <v>14</v>
      </c>
      <c r="C642" s="487" t="str">
        <f t="shared" si="138"/>
        <v>01</v>
      </c>
      <c r="D642" s="487" t="str">
        <f>RIGHT(LEFT($AD642,9),4)</f>
        <v>4017</v>
      </c>
      <c r="E642" s="487">
        <v>514450000</v>
      </c>
      <c r="F642" s="488"/>
      <c r="G642" s="487"/>
      <c r="H642" s="487"/>
      <c r="I642" s="488"/>
      <c r="J642" s="487"/>
      <c r="K642" s="487"/>
      <c r="L642" s="488"/>
      <c r="M642" s="489"/>
      <c r="N642" s="489"/>
      <c r="O642" s="488"/>
      <c r="P642" s="487"/>
      <c r="Q642" s="489"/>
      <c r="R642" s="592"/>
      <c r="S642" s="448"/>
      <c r="T642" s="448"/>
      <c r="U642" s="488"/>
      <c r="V642" s="489"/>
      <c r="W642" s="489"/>
      <c r="X642" s="488"/>
      <c r="Y642" s="489"/>
      <c r="Z642" s="489"/>
      <c r="AA642" s="490"/>
      <c r="AB642" s="489"/>
      <c r="AC642" s="489"/>
      <c r="AD642" s="27">
        <v>114017</v>
      </c>
      <c r="AE642" s="27" t="s">
        <v>2142</v>
      </c>
      <c r="AF642" s="432">
        <f>VLOOKUP(AD642,[5]Hoja1!$A$10:$K$1393,11,0)</f>
        <v>135581180</v>
      </c>
      <c r="AG642" s="1507">
        <f>-AG1031</f>
        <v>-135581180</v>
      </c>
      <c r="AH642" s="432">
        <f t="shared" si="128"/>
        <v>0</v>
      </c>
      <c r="AL642" s="448"/>
      <c r="AM642" s="467">
        <f>VLOOKUP(AD642,[6]BV201101!$A$10:$A$1236,1,0)</f>
        <v>114017</v>
      </c>
    </row>
    <row r="643" spans="1:39" s="467" customFormat="1" ht="12.75" customHeight="1">
      <c r="A643" s="487" t="str">
        <f t="shared" si="129"/>
        <v>1</v>
      </c>
      <c r="B643" s="487" t="str">
        <f t="shared" si="137"/>
        <v>14</v>
      </c>
      <c r="C643" s="487" t="str">
        <f t="shared" si="138"/>
        <v>01</v>
      </c>
      <c r="D643" s="487" t="str">
        <f>RIGHT(LEFT($AD643,9),4)</f>
        <v>4018</v>
      </c>
      <c r="E643" s="487">
        <v>514450000</v>
      </c>
      <c r="F643" s="488"/>
      <c r="G643" s="487"/>
      <c r="H643" s="487"/>
      <c r="I643" s="488"/>
      <c r="J643" s="487"/>
      <c r="K643" s="487"/>
      <c r="L643" s="488"/>
      <c r="M643" s="489"/>
      <c r="N643" s="489"/>
      <c r="O643" s="488"/>
      <c r="P643" s="487"/>
      <c r="Q643" s="489"/>
      <c r="R643" s="592"/>
      <c r="S643" s="448"/>
      <c r="T643" s="448"/>
      <c r="U643" s="488"/>
      <c r="V643" s="489"/>
      <c r="W643" s="489"/>
      <c r="X643" s="488"/>
      <c r="Y643" s="489"/>
      <c r="Z643" s="489"/>
      <c r="AA643" s="490"/>
      <c r="AB643" s="489"/>
      <c r="AC643" s="489"/>
      <c r="AD643" s="27">
        <v>114018</v>
      </c>
      <c r="AE643" s="27" t="s">
        <v>2143</v>
      </c>
      <c r="AF643" s="432">
        <f>VLOOKUP(AD643,[5]Hoja1!$A$10:$K$1393,11,0)</f>
        <v>9655496167</v>
      </c>
      <c r="AG643" s="1507">
        <f>-AG1032</f>
        <v>-9655496167</v>
      </c>
      <c r="AH643" s="432">
        <f t="shared" si="128"/>
        <v>0</v>
      </c>
      <c r="AL643" s="448"/>
      <c r="AM643" s="467">
        <f>VLOOKUP(AD643,[6]BV201101!$A$10:$A$1236,1,0)</f>
        <v>114018</v>
      </c>
    </row>
    <row r="644" spans="1:39" s="467" customFormat="1" ht="12.75" customHeight="1">
      <c r="A644" s="487" t="str">
        <f t="shared" si="129"/>
        <v>1</v>
      </c>
      <c r="B644" s="487" t="str">
        <f t="shared" si="137"/>
        <v>14</v>
      </c>
      <c r="C644" s="487" t="str">
        <f t="shared" si="138"/>
        <v>01</v>
      </c>
      <c r="D644" s="487" t="str">
        <f>RIGHT(LEFT($AD644,9),4)</f>
        <v>4019</v>
      </c>
      <c r="E644" s="487">
        <v>512202000</v>
      </c>
      <c r="F644" s="488"/>
      <c r="G644" s="487"/>
      <c r="H644" s="487"/>
      <c r="I644" s="488"/>
      <c r="J644" s="487"/>
      <c r="K644" s="487"/>
      <c r="L644" s="488"/>
      <c r="M644" s="489"/>
      <c r="N644" s="489"/>
      <c r="O644" s="488"/>
      <c r="P644" s="487"/>
      <c r="Q644" s="489"/>
      <c r="R644" s="592"/>
      <c r="S644" s="448"/>
      <c r="T644" s="448"/>
      <c r="U644" s="488"/>
      <c r="V644" s="489"/>
      <c r="W644" s="489"/>
      <c r="X644" s="488"/>
      <c r="Y644" s="489"/>
      <c r="Z644" s="489"/>
      <c r="AA644" s="490"/>
      <c r="AB644" s="489"/>
      <c r="AC644" s="489"/>
      <c r="AD644" s="27">
        <v>114019</v>
      </c>
      <c r="AE644" s="27" t="s">
        <v>2144</v>
      </c>
      <c r="AF644" s="432">
        <f>VLOOKUP(AD644,[5]Hoja1!$A$10:$K$1393,11,0)</f>
        <v>0</v>
      </c>
      <c r="AG644" s="432"/>
      <c r="AH644" s="432">
        <f t="shared" si="128"/>
        <v>0</v>
      </c>
      <c r="AL644" s="448"/>
      <c r="AM644" s="467">
        <f>VLOOKUP(AD644,[6]BV201101!$A$10:$A$1236,1,0)</f>
        <v>114019</v>
      </c>
    </row>
    <row r="645" spans="1:39" s="467" customFormat="1" ht="12.75" customHeight="1">
      <c r="A645" s="487" t="str">
        <f t="shared" si="129"/>
        <v>1</v>
      </c>
      <c r="B645" s="487"/>
      <c r="C645" s="487"/>
      <c r="D645" s="487"/>
      <c r="E645" s="487">
        <v>511211000</v>
      </c>
      <c r="F645" s="488"/>
      <c r="G645" s="487"/>
      <c r="H645" s="487"/>
      <c r="I645" s="488"/>
      <c r="J645" s="487"/>
      <c r="K645" s="487"/>
      <c r="L645" s="488"/>
      <c r="M645" s="489"/>
      <c r="N645" s="489"/>
      <c r="O645" s="488"/>
      <c r="P645" s="487"/>
      <c r="Q645" s="489"/>
      <c r="R645" s="592"/>
      <c r="S645" s="448"/>
      <c r="T645" s="448"/>
      <c r="U645" s="488"/>
      <c r="V645" s="489"/>
      <c r="W645" s="489"/>
      <c r="X645" s="488"/>
      <c r="Y645" s="489"/>
      <c r="Z645" s="489"/>
      <c r="AA645" s="490"/>
      <c r="AB645" s="489"/>
      <c r="AC645" s="489"/>
      <c r="AD645" s="927">
        <v>114027</v>
      </c>
      <c r="AE645" s="27" t="s">
        <v>2702</v>
      </c>
      <c r="AF645" s="432">
        <f>VLOOKUP(AD645,[5]Hoja1!$A$10:$K$1393,11,0)</f>
        <v>0</v>
      </c>
      <c r="AG645" s="432"/>
      <c r="AH645" s="432">
        <f t="shared" si="128"/>
        <v>0</v>
      </c>
      <c r="AL645" s="448"/>
    </row>
    <row r="646" spans="1:39" s="467" customFormat="1" ht="12.75" customHeight="1">
      <c r="A646" s="487" t="str">
        <f t="shared" si="129"/>
        <v>1</v>
      </c>
      <c r="B646" s="487"/>
      <c r="C646" s="487"/>
      <c r="D646" s="487"/>
      <c r="E646" s="487">
        <v>514340000</v>
      </c>
      <c r="F646" s="488"/>
      <c r="G646" s="487"/>
      <c r="H646" s="487"/>
      <c r="I646" s="488"/>
      <c r="J646" s="487"/>
      <c r="K646" s="487"/>
      <c r="L646" s="488"/>
      <c r="M646" s="489"/>
      <c r="N646" s="489"/>
      <c r="O646" s="488"/>
      <c r="P646" s="487"/>
      <c r="Q646" s="489"/>
      <c r="R646" s="592"/>
      <c r="S646" s="448"/>
      <c r="T646" s="448"/>
      <c r="U646" s="488"/>
      <c r="V646" s="489"/>
      <c r="W646" s="489"/>
      <c r="X646" s="488"/>
      <c r="Y646" s="489"/>
      <c r="Z646" s="489"/>
      <c r="AA646" s="490"/>
      <c r="AB646" s="489"/>
      <c r="AC646" s="489"/>
      <c r="AD646" s="927">
        <v>114028</v>
      </c>
      <c r="AE646" s="27" t="s">
        <v>2703</v>
      </c>
      <c r="AF646" s="432">
        <f>VLOOKUP(AD646,[5]Hoja1!$A$10:$K$1393,11,0)</f>
        <v>-186837262</v>
      </c>
      <c r="AG646" s="432"/>
      <c r="AH646" s="432">
        <f t="shared" si="128"/>
        <v>-186837</v>
      </c>
      <c r="AL646" s="448"/>
    </row>
    <row r="647" spans="1:39" s="467" customFormat="1" ht="12.75" customHeight="1">
      <c r="A647" s="487" t="str">
        <f t="shared" si="129"/>
        <v>1</v>
      </c>
      <c r="B647" s="487"/>
      <c r="C647" s="487"/>
      <c r="D647" s="487"/>
      <c r="E647" s="487">
        <v>514340000</v>
      </c>
      <c r="F647" s="488"/>
      <c r="G647" s="487"/>
      <c r="H647" s="487"/>
      <c r="I647" s="488"/>
      <c r="J647" s="487"/>
      <c r="K647" s="487"/>
      <c r="L647" s="488"/>
      <c r="M647" s="489"/>
      <c r="N647" s="489"/>
      <c r="O647" s="488"/>
      <c r="P647" s="487"/>
      <c r="Q647" s="489"/>
      <c r="R647" s="592"/>
      <c r="S647" s="448"/>
      <c r="T647" s="448"/>
      <c r="U647" s="488"/>
      <c r="V647" s="489"/>
      <c r="W647" s="489"/>
      <c r="X647" s="488"/>
      <c r="Y647" s="489"/>
      <c r="Z647" s="489"/>
      <c r="AA647" s="490"/>
      <c r="AB647" s="489"/>
      <c r="AC647" s="489"/>
      <c r="AD647" s="927">
        <v>114029</v>
      </c>
      <c r="AE647" s="27" t="s">
        <v>2704</v>
      </c>
      <c r="AF647" s="432">
        <f>VLOOKUP(AD647,[5]Hoja1!$A$10:$K$1393,11,0)</f>
        <v>-100834438</v>
      </c>
      <c r="AG647" s="432"/>
      <c r="AH647" s="432">
        <f t="shared" si="128"/>
        <v>-100834</v>
      </c>
      <c r="AL647" s="448"/>
    </row>
    <row r="648" spans="1:39" s="467" customFormat="1" ht="12.75" customHeight="1">
      <c r="A648" s="487" t="str">
        <f t="shared" si="129"/>
        <v>1</v>
      </c>
      <c r="B648" s="487"/>
      <c r="C648" s="487"/>
      <c r="D648" s="487"/>
      <c r="E648" s="487">
        <v>511211000</v>
      </c>
      <c r="F648" s="488"/>
      <c r="G648" s="487"/>
      <c r="H648" s="487"/>
      <c r="I648" s="488"/>
      <c r="J648" s="487"/>
      <c r="K648" s="487"/>
      <c r="L648" s="488"/>
      <c r="M648" s="489"/>
      <c r="N648" s="489"/>
      <c r="O648" s="488"/>
      <c r="P648" s="487"/>
      <c r="Q648" s="489"/>
      <c r="R648" s="592"/>
      <c r="S648" s="448"/>
      <c r="T648" s="448"/>
      <c r="U648" s="488"/>
      <c r="V648" s="489"/>
      <c r="W648" s="489"/>
      <c r="X648" s="488"/>
      <c r="Y648" s="489"/>
      <c r="Z648" s="489"/>
      <c r="AA648" s="490"/>
      <c r="AB648" s="489"/>
      <c r="AC648" s="489"/>
      <c r="AD648" s="927">
        <v>114030</v>
      </c>
      <c r="AE648" s="27" t="s">
        <v>2937</v>
      </c>
      <c r="AF648" s="432">
        <f>VLOOKUP(AD648,[5]Hoja1!$A$10:$K$1393,11,0)</f>
        <v>0</v>
      </c>
      <c r="AG648" s="432"/>
      <c r="AH648" s="432">
        <f t="shared" si="128"/>
        <v>0</v>
      </c>
      <c r="AL648" s="448"/>
    </row>
    <row r="649" spans="1:39" s="467" customFormat="1" ht="12.75" customHeight="1">
      <c r="A649" s="487" t="str">
        <f t="shared" si="129"/>
        <v>1</v>
      </c>
      <c r="B649" s="487"/>
      <c r="C649" s="487"/>
      <c r="D649" s="487"/>
      <c r="E649" s="487">
        <v>511211000</v>
      </c>
      <c r="F649" s="488"/>
      <c r="G649" s="487"/>
      <c r="H649" s="487"/>
      <c r="I649" s="488"/>
      <c r="J649" s="487"/>
      <c r="K649" s="487"/>
      <c r="L649" s="488"/>
      <c r="M649" s="489"/>
      <c r="N649" s="489"/>
      <c r="O649" s="488"/>
      <c r="P649" s="487"/>
      <c r="Q649" s="489"/>
      <c r="R649" s="592"/>
      <c r="S649" s="448"/>
      <c r="T649" s="448"/>
      <c r="U649" s="488"/>
      <c r="V649" s="489"/>
      <c r="W649" s="489"/>
      <c r="X649" s="488"/>
      <c r="Y649" s="489"/>
      <c r="Z649" s="489"/>
      <c r="AA649" s="490"/>
      <c r="AB649" s="489"/>
      <c r="AC649" s="489"/>
      <c r="AD649" s="927">
        <v>114032</v>
      </c>
      <c r="AE649" s="27" t="s">
        <v>3092</v>
      </c>
      <c r="AF649" s="432">
        <f>VLOOKUP(AD649,[5]Hoja1!$A$10:$K$1393,11,0)</f>
        <v>-125068732</v>
      </c>
      <c r="AG649" s="432">
        <v>0</v>
      </c>
      <c r="AH649" s="432">
        <f t="shared" si="128"/>
        <v>-125069</v>
      </c>
      <c r="AL649" s="448"/>
    </row>
    <row r="650" spans="1:39" s="467" customFormat="1" ht="12.75" customHeight="1">
      <c r="A650" s="487" t="str">
        <f t="shared" si="129"/>
        <v>1</v>
      </c>
      <c r="B650" s="487" t="str">
        <f t="shared" si="137"/>
        <v>14</v>
      </c>
      <c r="C650" s="487" t="str">
        <f t="shared" si="138"/>
        <v>10</v>
      </c>
      <c r="D650" s="487" t="str">
        <f t="shared" si="139"/>
        <v>4101</v>
      </c>
      <c r="E650" s="487">
        <v>514430000</v>
      </c>
      <c r="F650" s="488" t="str">
        <f t="shared" si="130"/>
        <v/>
      </c>
      <c r="G650" s="487"/>
      <c r="H650" s="487"/>
      <c r="I650" s="488" t="str">
        <f t="shared" si="131"/>
        <v/>
      </c>
      <c r="J650" s="487"/>
      <c r="K650" s="487"/>
      <c r="L650" s="488" t="str">
        <f t="shared" si="132"/>
        <v/>
      </c>
      <c r="M650" s="489"/>
      <c r="N650" s="489"/>
      <c r="O650" s="488" t="str">
        <f t="shared" si="133"/>
        <v/>
      </c>
      <c r="P650" s="487"/>
      <c r="Q650" s="489"/>
      <c r="R650" s="592" t="str">
        <f t="shared" si="134"/>
        <v/>
      </c>
      <c r="S650" s="448"/>
      <c r="T650" s="448"/>
      <c r="U650" s="488" t="str">
        <f t="shared" si="135"/>
        <v/>
      </c>
      <c r="V650" s="489"/>
      <c r="W650" s="489"/>
      <c r="X650" s="488" t="str">
        <f t="shared" si="136"/>
        <v/>
      </c>
      <c r="Y650" s="489"/>
      <c r="Z650" s="489"/>
      <c r="AA650" s="490" t="str">
        <f t="shared" si="127"/>
        <v/>
      </c>
      <c r="AB650" s="489"/>
      <c r="AC650" s="489"/>
      <c r="AD650" s="27">
        <v>114101</v>
      </c>
      <c r="AE650" s="27" t="s">
        <v>249</v>
      </c>
      <c r="AF650" s="432">
        <f>VLOOKUP(AD650,[5]Hoja1!$A$10:$K$1393,11,0)</f>
        <v>2178021682</v>
      </c>
      <c r="AG650" s="432">
        <v>0</v>
      </c>
      <c r="AH650" s="432">
        <f t="shared" si="128"/>
        <v>2178022</v>
      </c>
      <c r="AL650" s="448"/>
      <c r="AM650" s="467">
        <f>VLOOKUP(AD650,[6]BV201101!$A$10:$A$1236,1,0)</f>
        <v>114101</v>
      </c>
    </row>
    <row r="651" spans="1:39" s="467" customFormat="1" ht="12.75" customHeight="1">
      <c r="A651" s="487" t="str">
        <f t="shared" si="129"/>
        <v>1</v>
      </c>
      <c r="B651" s="487" t="str">
        <f t="shared" si="137"/>
        <v>14</v>
      </c>
      <c r="C651" s="487" t="str">
        <f t="shared" si="138"/>
        <v>10</v>
      </c>
      <c r="D651" s="487" t="str">
        <f t="shared" si="139"/>
        <v>4102</v>
      </c>
      <c r="E651" s="487">
        <v>514430000</v>
      </c>
      <c r="F651" s="488" t="str">
        <f t="shared" si="130"/>
        <v/>
      </c>
      <c r="G651" s="487"/>
      <c r="H651" s="487"/>
      <c r="I651" s="488" t="str">
        <f t="shared" si="131"/>
        <v/>
      </c>
      <c r="J651" s="487"/>
      <c r="K651" s="487"/>
      <c r="L651" s="488" t="str">
        <f t="shared" si="132"/>
        <v/>
      </c>
      <c r="M651" s="489"/>
      <c r="N651" s="489"/>
      <c r="O651" s="488" t="str">
        <f t="shared" si="133"/>
        <v/>
      </c>
      <c r="P651" s="487"/>
      <c r="Q651" s="489"/>
      <c r="R651" s="592" t="str">
        <f t="shared" si="134"/>
        <v/>
      </c>
      <c r="S651" s="448"/>
      <c r="T651" s="448"/>
      <c r="U651" s="488" t="str">
        <f t="shared" si="135"/>
        <v/>
      </c>
      <c r="V651" s="489"/>
      <c r="W651" s="489"/>
      <c r="X651" s="488" t="str">
        <f t="shared" si="136"/>
        <v/>
      </c>
      <c r="Y651" s="489"/>
      <c r="Z651" s="489"/>
      <c r="AA651" s="490" t="str">
        <f t="shared" si="127"/>
        <v/>
      </c>
      <c r="AB651" s="489"/>
      <c r="AC651" s="489"/>
      <c r="AD651" s="27">
        <v>114102</v>
      </c>
      <c r="AE651" s="27" t="s">
        <v>221</v>
      </c>
      <c r="AF651" s="432">
        <v>0</v>
      </c>
      <c r="AG651" s="432"/>
      <c r="AH651" s="432">
        <f t="shared" si="128"/>
        <v>0</v>
      </c>
      <c r="AL651" s="448"/>
      <c r="AM651" s="467" t="e">
        <f>VLOOKUP(AD651,[6]BV201101!$A$10:$A$1236,1,0)</f>
        <v>#N/A</v>
      </c>
    </row>
    <row r="652" spans="1:39" s="467" customFormat="1" ht="12.75" customHeight="1">
      <c r="A652" s="487" t="str">
        <f t="shared" si="129"/>
        <v>1</v>
      </c>
      <c r="B652" s="487" t="str">
        <f t="shared" si="137"/>
        <v>15</v>
      </c>
      <c r="C652" s="487" t="str">
        <f t="shared" si="138"/>
        <v>00</v>
      </c>
      <c r="D652" s="487" t="str">
        <f t="shared" si="139"/>
        <v>5001</v>
      </c>
      <c r="E652" s="487">
        <v>514340000</v>
      </c>
      <c r="F652" s="488"/>
      <c r="G652" s="487"/>
      <c r="H652" s="487"/>
      <c r="I652" s="488"/>
      <c r="J652" s="487"/>
      <c r="K652" s="487"/>
      <c r="L652" s="488"/>
      <c r="M652" s="489"/>
      <c r="N652" s="489"/>
      <c r="O652" s="488"/>
      <c r="P652" s="487"/>
      <c r="Q652" s="489"/>
      <c r="R652" s="592"/>
      <c r="S652" s="448"/>
      <c r="T652" s="448"/>
      <c r="U652" s="488"/>
      <c r="V652" s="489"/>
      <c r="W652" s="489"/>
      <c r="X652" s="488"/>
      <c r="Y652" s="489"/>
      <c r="Z652" s="489"/>
      <c r="AA652" s="490" t="str">
        <f t="shared" ref="AA652:AA657" si="140">+AB652&amp;AC652</f>
        <v>229</v>
      </c>
      <c r="AB652" s="489">
        <v>22</v>
      </c>
      <c r="AC652" s="489">
        <v>9</v>
      </c>
      <c r="AD652" s="27">
        <v>115001</v>
      </c>
      <c r="AE652" s="27" t="s">
        <v>248</v>
      </c>
      <c r="AF652" s="432">
        <f>VLOOKUP(AD652,[5]Hoja1!$A$10:$K$1393,11,0)</f>
        <v>148161</v>
      </c>
      <c r="AG652" s="432"/>
      <c r="AH652" s="432">
        <f t="shared" si="128"/>
        <v>148</v>
      </c>
      <c r="AL652" s="448"/>
      <c r="AM652" s="467">
        <f>VLOOKUP(AD652,[6]BV201101!$A$10:$A$1236,1,0)</f>
        <v>115001</v>
      </c>
    </row>
    <row r="653" spans="1:39" s="467" customFormat="1" ht="12.75" customHeight="1">
      <c r="A653" s="487" t="str">
        <f t="shared" si="129"/>
        <v>1</v>
      </c>
      <c r="B653" s="487" t="str">
        <f t="shared" si="137"/>
        <v>15</v>
      </c>
      <c r="C653" s="487" t="str">
        <f t="shared" si="138"/>
        <v>00</v>
      </c>
      <c r="D653" s="487" t="str">
        <f t="shared" si="139"/>
        <v>5002</v>
      </c>
      <c r="E653" s="487">
        <v>514340000</v>
      </c>
      <c r="F653" s="488"/>
      <c r="G653" s="487"/>
      <c r="H653" s="487"/>
      <c r="I653" s="488"/>
      <c r="J653" s="487"/>
      <c r="K653" s="487"/>
      <c r="L653" s="488"/>
      <c r="M653" s="489"/>
      <c r="N653" s="489"/>
      <c r="O653" s="488"/>
      <c r="P653" s="487"/>
      <c r="Q653" s="489"/>
      <c r="R653" s="592"/>
      <c r="S653" s="448"/>
      <c r="T653" s="448"/>
      <c r="U653" s="488"/>
      <c r="V653" s="489"/>
      <c r="W653" s="489"/>
      <c r="X653" s="488"/>
      <c r="Y653" s="489"/>
      <c r="Z653" s="489"/>
      <c r="AA653" s="490" t="str">
        <f t="shared" si="140"/>
        <v>229</v>
      </c>
      <c r="AB653" s="489">
        <v>22</v>
      </c>
      <c r="AC653" s="489">
        <v>9</v>
      </c>
      <c r="AD653" s="27">
        <v>115002</v>
      </c>
      <c r="AE653" s="27" t="s">
        <v>924</v>
      </c>
      <c r="AF653" s="432">
        <v>0</v>
      </c>
      <c r="AG653" s="432"/>
      <c r="AH653" s="432">
        <f t="shared" si="128"/>
        <v>0</v>
      </c>
      <c r="AL653" s="448"/>
      <c r="AM653" s="467" t="e">
        <f>VLOOKUP(AD653,[6]BV201101!$A$10:$A$1236,1,0)</f>
        <v>#N/A</v>
      </c>
    </row>
    <row r="654" spans="1:39" s="467" customFormat="1" ht="12.75" customHeight="1">
      <c r="A654" s="487" t="str">
        <f t="shared" si="129"/>
        <v>1</v>
      </c>
      <c r="B654" s="487" t="str">
        <f t="shared" si="137"/>
        <v>15</v>
      </c>
      <c r="C654" s="487" t="str">
        <f t="shared" si="138"/>
        <v>00</v>
      </c>
      <c r="D654" s="487" t="str">
        <f t="shared" si="139"/>
        <v>5003</v>
      </c>
      <c r="E654" s="487">
        <v>514340000</v>
      </c>
      <c r="F654" s="488"/>
      <c r="G654" s="487"/>
      <c r="H654" s="487"/>
      <c r="I654" s="488"/>
      <c r="J654" s="487"/>
      <c r="K654" s="487"/>
      <c r="L654" s="488"/>
      <c r="M654" s="489"/>
      <c r="N654" s="489"/>
      <c r="O654" s="488"/>
      <c r="P654" s="487"/>
      <c r="Q654" s="489"/>
      <c r="R654" s="592"/>
      <c r="S654" s="448"/>
      <c r="T654" s="448"/>
      <c r="U654" s="488"/>
      <c r="V654" s="489"/>
      <c r="W654" s="489"/>
      <c r="X654" s="488"/>
      <c r="Y654" s="489"/>
      <c r="Z654" s="489"/>
      <c r="AA654" s="490" t="str">
        <f t="shared" si="140"/>
        <v>229</v>
      </c>
      <c r="AB654" s="489">
        <v>22</v>
      </c>
      <c r="AC654" s="489">
        <v>9</v>
      </c>
      <c r="AD654" s="27">
        <v>115003</v>
      </c>
      <c r="AE654" s="27" t="s">
        <v>925</v>
      </c>
      <c r="AF654" s="432">
        <f>VLOOKUP(AD654,[5]Hoja1!$A$10:$K$1393,11,0)</f>
        <v>0</v>
      </c>
      <c r="AG654" s="432"/>
      <c r="AH654" s="432">
        <f t="shared" si="128"/>
        <v>0</v>
      </c>
      <c r="AL654" s="448"/>
      <c r="AM654" s="467">
        <f>VLOOKUP(AD654,[6]BV201101!$A$10:$A$1236,1,0)</f>
        <v>115003</v>
      </c>
    </row>
    <row r="655" spans="1:39" s="467" customFormat="1" ht="12.75" customHeight="1">
      <c r="A655" s="487" t="str">
        <f t="shared" si="129"/>
        <v>1</v>
      </c>
      <c r="B655" s="487" t="str">
        <f t="shared" si="137"/>
        <v>15</v>
      </c>
      <c r="C655" s="487" t="str">
        <f t="shared" si="138"/>
        <v>00</v>
      </c>
      <c r="D655" s="487" t="str">
        <f t="shared" si="139"/>
        <v>5004</v>
      </c>
      <c r="E655" s="487">
        <v>514340000</v>
      </c>
      <c r="F655" s="488"/>
      <c r="G655" s="487"/>
      <c r="H655" s="487"/>
      <c r="I655" s="488"/>
      <c r="J655" s="487"/>
      <c r="K655" s="487"/>
      <c r="L655" s="488"/>
      <c r="M655" s="489"/>
      <c r="N655" s="489"/>
      <c r="O655" s="488"/>
      <c r="P655" s="487"/>
      <c r="Q655" s="489"/>
      <c r="R655" s="592"/>
      <c r="S655" s="448"/>
      <c r="T655" s="448"/>
      <c r="U655" s="488"/>
      <c r="V655" s="489"/>
      <c r="W655" s="489"/>
      <c r="X655" s="488"/>
      <c r="Y655" s="489"/>
      <c r="Z655" s="489"/>
      <c r="AA655" s="490" t="str">
        <f t="shared" si="140"/>
        <v>229</v>
      </c>
      <c r="AB655" s="489">
        <v>22</v>
      </c>
      <c r="AC655" s="489">
        <v>9</v>
      </c>
      <c r="AD655" s="27">
        <v>115004</v>
      </c>
      <c r="AE655" s="27" t="s">
        <v>926</v>
      </c>
      <c r="AF655" s="432">
        <v>0</v>
      </c>
      <c r="AG655" s="432"/>
      <c r="AH655" s="432">
        <f t="shared" si="128"/>
        <v>0</v>
      </c>
      <c r="AL655" s="448"/>
      <c r="AM655" s="467" t="e">
        <f>VLOOKUP(AD655,[6]BV201101!$A$10:$A$1236,1,0)</f>
        <v>#N/A</v>
      </c>
    </row>
    <row r="656" spans="1:39" s="467" customFormat="1" ht="12.75" customHeight="1">
      <c r="A656" s="487" t="str">
        <f t="shared" si="129"/>
        <v>1</v>
      </c>
      <c r="B656" s="487" t="str">
        <f t="shared" si="137"/>
        <v>15</v>
      </c>
      <c r="C656" s="487" t="str">
        <f t="shared" si="138"/>
        <v>00</v>
      </c>
      <c r="D656" s="487" t="str">
        <f t="shared" si="139"/>
        <v>5005</v>
      </c>
      <c r="E656" s="487">
        <v>514340000</v>
      </c>
      <c r="F656" s="488"/>
      <c r="G656" s="487"/>
      <c r="H656" s="487"/>
      <c r="I656" s="488"/>
      <c r="J656" s="487"/>
      <c r="K656" s="487"/>
      <c r="L656" s="488"/>
      <c r="M656" s="489"/>
      <c r="N656" s="489"/>
      <c r="O656" s="488"/>
      <c r="P656" s="487"/>
      <c r="Q656" s="489"/>
      <c r="R656" s="592"/>
      <c r="S656" s="448"/>
      <c r="T656" s="448"/>
      <c r="U656" s="488"/>
      <c r="V656" s="489"/>
      <c r="W656" s="489"/>
      <c r="X656" s="488"/>
      <c r="Y656" s="489"/>
      <c r="Z656" s="489"/>
      <c r="AA656" s="490" t="str">
        <f t="shared" si="140"/>
        <v>229</v>
      </c>
      <c r="AB656" s="489">
        <v>22</v>
      </c>
      <c r="AC656" s="489">
        <v>9</v>
      </c>
      <c r="AD656" s="27">
        <v>115005</v>
      </c>
      <c r="AE656" s="27" t="s">
        <v>927</v>
      </c>
      <c r="AF656" s="432">
        <v>0</v>
      </c>
      <c r="AG656" s="432"/>
      <c r="AH656" s="432">
        <f t="shared" si="128"/>
        <v>0</v>
      </c>
      <c r="AL656" s="448"/>
      <c r="AM656" s="467" t="e">
        <f>VLOOKUP(AD656,[6]BV201101!$A$10:$A$1236,1,0)</f>
        <v>#N/A</v>
      </c>
    </row>
    <row r="657" spans="1:39" s="467" customFormat="1" ht="12.75" customHeight="1">
      <c r="A657" s="487" t="str">
        <f t="shared" si="129"/>
        <v>1</v>
      </c>
      <c r="B657" s="487" t="str">
        <f t="shared" si="137"/>
        <v>15</v>
      </c>
      <c r="C657" s="487" t="str">
        <f t="shared" si="138"/>
        <v>00</v>
      </c>
      <c r="D657" s="487" t="str">
        <f t="shared" si="139"/>
        <v>5006</v>
      </c>
      <c r="E657" s="487">
        <v>514340000</v>
      </c>
      <c r="F657" s="488"/>
      <c r="G657" s="487"/>
      <c r="H657" s="487"/>
      <c r="I657" s="488"/>
      <c r="J657" s="487"/>
      <c r="K657" s="487"/>
      <c r="L657" s="488"/>
      <c r="M657" s="489"/>
      <c r="N657" s="489"/>
      <c r="O657" s="488"/>
      <c r="P657" s="487"/>
      <c r="Q657" s="489"/>
      <c r="R657" s="592"/>
      <c r="S657" s="448"/>
      <c r="T657" s="448"/>
      <c r="U657" s="488"/>
      <c r="V657" s="489"/>
      <c r="W657" s="489"/>
      <c r="X657" s="488"/>
      <c r="Y657" s="489"/>
      <c r="Z657" s="489"/>
      <c r="AA657" s="490" t="str">
        <f t="shared" si="140"/>
        <v>229</v>
      </c>
      <c r="AB657" s="489">
        <v>22</v>
      </c>
      <c r="AC657" s="489">
        <v>9</v>
      </c>
      <c r="AD657" s="27">
        <v>115006</v>
      </c>
      <c r="AE657" s="27" t="s">
        <v>2145</v>
      </c>
      <c r="AF657" s="432">
        <v>0</v>
      </c>
      <c r="AG657" s="432"/>
      <c r="AH657" s="432">
        <f t="shared" si="128"/>
        <v>0</v>
      </c>
      <c r="AL657" s="448"/>
      <c r="AM657" s="467" t="e">
        <f>VLOOKUP(AD657,[6]BV201101!$A$10:$A$1236,1,0)</f>
        <v>#N/A</v>
      </c>
    </row>
    <row r="658" spans="1:39" s="467" customFormat="1" ht="12.75" customHeight="1">
      <c r="A658" s="487" t="str">
        <f t="shared" si="129"/>
        <v>1</v>
      </c>
      <c r="B658" s="487" t="str">
        <f t="shared" si="137"/>
        <v>15</v>
      </c>
      <c r="C658" s="487" t="str">
        <f t="shared" si="138"/>
        <v>01</v>
      </c>
      <c r="D658" s="487" t="str">
        <f t="shared" si="139"/>
        <v>5013</v>
      </c>
      <c r="E658" s="487">
        <v>514340000</v>
      </c>
      <c r="F658" s="488"/>
      <c r="G658" s="487"/>
      <c r="H658" s="487"/>
      <c r="I658" s="488"/>
      <c r="J658" s="487"/>
      <c r="K658" s="487"/>
      <c r="L658" s="488"/>
      <c r="M658" s="489"/>
      <c r="N658" s="489"/>
      <c r="O658" s="488"/>
      <c r="P658" s="487"/>
      <c r="Q658" s="489"/>
      <c r="R658" s="592"/>
      <c r="S658" s="448"/>
      <c r="T658" s="448"/>
      <c r="U658" s="488"/>
      <c r="V658" s="489"/>
      <c r="W658" s="489"/>
      <c r="X658" s="488"/>
      <c r="Y658" s="489"/>
      <c r="Z658" s="489"/>
      <c r="AA658" s="490" t="str">
        <f>+AB658&amp;AC658</f>
        <v>229</v>
      </c>
      <c r="AB658" s="489">
        <v>22</v>
      </c>
      <c r="AC658" s="489">
        <v>9</v>
      </c>
      <c r="AD658" s="27">
        <v>115013</v>
      </c>
      <c r="AE658" s="27" t="s">
        <v>434</v>
      </c>
      <c r="AF658" s="432">
        <f>VLOOKUP(AD658,[5]Hoja1!$A$10:$K$1393,11,0)</f>
        <v>-2238150</v>
      </c>
      <c r="AG658" s="432"/>
      <c r="AH658" s="432">
        <f t="shared" si="128"/>
        <v>-2238</v>
      </c>
      <c r="AL658" s="448"/>
      <c r="AM658" s="467">
        <f>VLOOKUP(AD658,[6]BV201101!$A$10:$A$1236,1,0)</f>
        <v>115013</v>
      </c>
    </row>
    <row r="659" spans="1:39" s="467" customFormat="1" ht="12.75" customHeight="1">
      <c r="A659" s="487" t="str">
        <f t="shared" si="129"/>
        <v>1</v>
      </c>
      <c r="B659" s="487" t="str">
        <f t="shared" si="137"/>
        <v>15</v>
      </c>
      <c r="C659" s="487" t="str">
        <f t="shared" si="138"/>
        <v>01</v>
      </c>
      <c r="D659" s="487" t="str">
        <f t="shared" si="139"/>
        <v>5014</v>
      </c>
      <c r="E659" s="487">
        <v>514340000</v>
      </c>
      <c r="F659" s="488"/>
      <c r="G659" s="487"/>
      <c r="H659" s="487"/>
      <c r="I659" s="488"/>
      <c r="J659" s="487"/>
      <c r="K659" s="487"/>
      <c r="L659" s="488"/>
      <c r="M659" s="489"/>
      <c r="N659" s="489"/>
      <c r="O659" s="488"/>
      <c r="P659" s="487"/>
      <c r="Q659" s="489"/>
      <c r="R659" s="592"/>
      <c r="S659" s="448"/>
      <c r="T659" s="448"/>
      <c r="U659" s="488"/>
      <c r="V659" s="489"/>
      <c r="W659" s="489"/>
      <c r="X659" s="488"/>
      <c r="Y659" s="489"/>
      <c r="Z659" s="489"/>
      <c r="AA659" s="490" t="str">
        <f>+AB659&amp;AC659</f>
        <v>229</v>
      </c>
      <c r="AB659" s="489">
        <v>22</v>
      </c>
      <c r="AC659" s="489">
        <v>9</v>
      </c>
      <c r="AD659" s="27">
        <v>115014</v>
      </c>
      <c r="AE659" s="27" t="s">
        <v>2146</v>
      </c>
      <c r="AF659" s="432">
        <f>VLOOKUP(AD659,[5]Hoja1!$A$10:$K$1393,11,0)</f>
        <v>0</v>
      </c>
      <c r="AG659" s="432"/>
      <c r="AH659" s="432">
        <f t="shared" si="128"/>
        <v>0</v>
      </c>
      <c r="AL659" s="448"/>
      <c r="AM659" s="467">
        <f>VLOOKUP(AD659,[6]BV201101!$A$10:$A$1236,1,0)</f>
        <v>115014</v>
      </c>
    </row>
    <row r="660" spans="1:39" s="467" customFormat="1" ht="12.75" customHeight="1">
      <c r="A660" s="487" t="str">
        <f t="shared" si="129"/>
        <v>1</v>
      </c>
      <c r="B660" s="487" t="str">
        <f t="shared" si="137"/>
        <v>15</v>
      </c>
      <c r="C660" s="487" t="str">
        <f t="shared" si="138"/>
        <v>01</v>
      </c>
      <c r="D660" s="487" t="str">
        <f t="shared" si="139"/>
        <v>5016</v>
      </c>
      <c r="E660" s="487">
        <v>514340000</v>
      </c>
      <c r="F660" s="488"/>
      <c r="G660" s="487"/>
      <c r="H660" s="487"/>
      <c r="I660" s="488"/>
      <c r="J660" s="487"/>
      <c r="K660" s="487"/>
      <c r="L660" s="488"/>
      <c r="M660" s="489"/>
      <c r="N660" s="489"/>
      <c r="O660" s="488"/>
      <c r="P660" s="487"/>
      <c r="Q660" s="489"/>
      <c r="R660" s="592"/>
      <c r="S660" s="448"/>
      <c r="T660" s="448"/>
      <c r="U660" s="488"/>
      <c r="V660" s="489"/>
      <c r="W660" s="489"/>
      <c r="X660" s="488"/>
      <c r="Y660" s="489"/>
      <c r="Z660" s="489"/>
      <c r="AA660" s="490" t="str">
        <f>+AB660&amp;AC660</f>
        <v>229</v>
      </c>
      <c r="AB660" s="489">
        <v>22</v>
      </c>
      <c r="AC660" s="489">
        <v>9</v>
      </c>
      <c r="AD660" s="27">
        <v>115016</v>
      </c>
      <c r="AE660" s="27" t="s">
        <v>2147</v>
      </c>
      <c r="AF660" s="432">
        <f>VLOOKUP(AD660,[5]Hoja1!$A$10:$K$1393,11,0)</f>
        <v>0</v>
      </c>
      <c r="AG660" s="432"/>
      <c r="AH660" s="432">
        <f t="shared" ref="AH660:AH723" si="141">ROUND((AF660+AG660)/$AH$2,0)</f>
        <v>0</v>
      </c>
      <c r="AL660" s="448"/>
      <c r="AM660" s="467">
        <f>VLOOKUP(AD660,[6]BV201101!$A$10:$A$1236,1,0)</f>
        <v>115016</v>
      </c>
    </row>
    <row r="661" spans="1:39" s="467" customFormat="1" ht="12.75" customHeight="1">
      <c r="A661" s="487" t="str">
        <f t="shared" si="129"/>
        <v>2</v>
      </c>
      <c r="B661" s="487" t="str">
        <f t="shared" si="137"/>
        <v>10</v>
      </c>
      <c r="C661" s="487" t="str">
        <f t="shared" si="138"/>
        <v>10</v>
      </c>
      <c r="D661" s="487" t="str">
        <f t="shared" si="139"/>
        <v>0101</v>
      </c>
      <c r="E661" s="487">
        <v>521210000</v>
      </c>
      <c r="F661" s="488" t="str">
        <f t="shared" si="130"/>
        <v/>
      </c>
      <c r="G661" s="487"/>
      <c r="H661" s="487"/>
      <c r="I661" s="488" t="str">
        <f t="shared" si="131"/>
        <v/>
      </c>
      <c r="J661" s="487"/>
      <c r="K661" s="487"/>
      <c r="L661" s="488" t="str">
        <f t="shared" si="132"/>
        <v>651200000212</v>
      </c>
      <c r="M661" s="489">
        <v>651200000</v>
      </c>
      <c r="N661" s="489">
        <v>212</v>
      </c>
      <c r="O661" s="488" t="str">
        <f t="shared" si="133"/>
        <v/>
      </c>
      <c r="P661" s="487"/>
      <c r="Q661" s="489"/>
      <c r="R661" s="592" t="str">
        <f t="shared" si="134"/>
        <v/>
      </c>
      <c r="S661" s="448"/>
      <c r="T661" s="448"/>
      <c r="U661" s="488" t="str">
        <f t="shared" si="135"/>
        <v>621210000212</v>
      </c>
      <c r="V661" s="489">
        <v>621210000</v>
      </c>
      <c r="W661" s="489">
        <v>212</v>
      </c>
      <c r="X661" s="488" t="str">
        <f t="shared" si="136"/>
        <v/>
      </c>
      <c r="Y661" s="489"/>
      <c r="Z661" s="489"/>
      <c r="AA661" s="490" t="str">
        <f t="shared" si="127"/>
        <v>106</v>
      </c>
      <c r="AB661" s="489">
        <v>10</v>
      </c>
      <c r="AC661" s="489">
        <v>6</v>
      </c>
      <c r="AD661" s="27">
        <v>210101</v>
      </c>
      <c r="AE661" s="27" t="s">
        <v>2148</v>
      </c>
      <c r="AF661" s="432">
        <f>VLOOKUP(AD661,[5]Hoja1!$A$10:$K$1393,11,0)</f>
        <v>-1541231560</v>
      </c>
      <c r="AG661" s="432"/>
      <c r="AH661" s="432">
        <f t="shared" si="141"/>
        <v>-1541232</v>
      </c>
      <c r="AL661" s="448"/>
      <c r="AM661" s="467">
        <f>VLOOKUP(AD661,[6]BV201101!$A$10:$A$1236,1,0)</f>
        <v>210101</v>
      </c>
    </row>
    <row r="662" spans="1:39" s="467" customFormat="1" ht="12.75" customHeight="1">
      <c r="A662" s="487" t="str">
        <f t="shared" si="129"/>
        <v>2</v>
      </c>
      <c r="B662" s="487" t="str">
        <f t="shared" si="137"/>
        <v>10</v>
      </c>
      <c r="C662" s="487" t="str">
        <f t="shared" si="138"/>
        <v>10</v>
      </c>
      <c r="D662" s="487" t="str">
        <f t="shared" si="139"/>
        <v>0102</v>
      </c>
      <c r="E662" s="487">
        <v>521210000</v>
      </c>
      <c r="F662" s="488" t="str">
        <f t="shared" si="130"/>
        <v/>
      </c>
      <c r="G662" s="487"/>
      <c r="H662" s="487"/>
      <c r="I662" s="488" t="str">
        <f t="shared" si="131"/>
        <v/>
      </c>
      <c r="J662" s="487"/>
      <c r="K662" s="487"/>
      <c r="L662" s="488" t="str">
        <f t="shared" si="132"/>
        <v>651200000112</v>
      </c>
      <c r="M662" s="489">
        <v>651200000</v>
      </c>
      <c r="N662" s="489">
        <v>112</v>
      </c>
      <c r="O662" s="488" t="str">
        <f t="shared" si="133"/>
        <v/>
      </c>
      <c r="P662" s="487"/>
      <c r="Q662" s="489"/>
      <c r="R662" s="592" t="str">
        <f t="shared" si="134"/>
        <v/>
      </c>
      <c r="S662" s="448"/>
      <c r="T662" s="448"/>
      <c r="U662" s="488" t="str">
        <f t="shared" si="135"/>
        <v>621210000112</v>
      </c>
      <c r="V662" s="489">
        <v>621210000</v>
      </c>
      <c r="W662" s="489">
        <v>112</v>
      </c>
      <c r="X662" s="488" t="str">
        <f t="shared" si="136"/>
        <v/>
      </c>
      <c r="Y662" s="489"/>
      <c r="Z662" s="489"/>
      <c r="AA662" s="490" t="str">
        <f t="shared" si="127"/>
        <v>106</v>
      </c>
      <c r="AB662" s="489">
        <v>10</v>
      </c>
      <c r="AC662" s="489">
        <v>6</v>
      </c>
      <c r="AD662" s="27">
        <v>210102</v>
      </c>
      <c r="AE662" s="27" t="s">
        <v>2149</v>
      </c>
      <c r="AF662" s="432">
        <f>VLOOKUP(AD662,[5]Hoja1!$A$10:$K$1393,11,0)</f>
        <v>-4311356</v>
      </c>
      <c r="AG662" s="432"/>
      <c r="AH662" s="432">
        <f t="shared" si="141"/>
        <v>-4311</v>
      </c>
      <c r="AL662" s="448"/>
      <c r="AM662" s="467">
        <f>VLOOKUP(AD662,[6]BV201101!$A$10:$A$1236,1,0)</f>
        <v>210102</v>
      </c>
    </row>
    <row r="663" spans="1:39" s="467" customFormat="1" ht="12.75" customHeight="1">
      <c r="A663" s="487" t="str">
        <f t="shared" si="129"/>
        <v>2</v>
      </c>
      <c r="B663" s="487" t="str">
        <f t="shared" si="137"/>
        <v>10</v>
      </c>
      <c r="C663" s="487" t="str">
        <f t="shared" si="138"/>
        <v>10</v>
      </c>
      <c r="D663" s="487" t="str">
        <f t="shared" si="139"/>
        <v>0103</v>
      </c>
      <c r="E663" s="487">
        <v>521210000</v>
      </c>
      <c r="F663" s="488" t="str">
        <f t="shared" si="130"/>
        <v/>
      </c>
      <c r="G663" s="487"/>
      <c r="H663" s="487"/>
      <c r="I663" s="488" t="str">
        <f t="shared" si="131"/>
        <v/>
      </c>
      <c r="J663" s="487"/>
      <c r="K663" s="487"/>
      <c r="L663" s="488" t="str">
        <f t="shared" si="132"/>
        <v>651200000210</v>
      </c>
      <c r="M663" s="489">
        <v>651200000</v>
      </c>
      <c r="N663" s="489">
        <v>210</v>
      </c>
      <c r="O663" s="488" t="str">
        <f t="shared" si="133"/>
        <v/>
      </c>
      <c r="P663" s="487"/>
      <c r="Q663" s="489"/>
      <c r="R663" s="592" t="str">
        <f t="shared" si="134"/>
        <v/>
      </c>
      <c r="S663" s="448"/>
      <c r="T663" s="448"/>
      <c r="U663" s="488" t="str">
        <f t="shared" si="135"/>
        <v>621210000210</v>
      </c>
      <c r="V663" s="489">
        <v>621210000</v>
      </c>
      <c r="W663" s="489">
        <v>210</v>
      </c>
      <c r="X663" s="488" t="str">
        <f t="shared" si="136"/>
        <v/>
      </c>
      <c r="Y663" s="489"/>
      <c r="Z663" s="489"/>
      <c r="AA663" s="490" t="str">
        <f t="shared" si="127"/>
        <v>106</v>
      </c>
      <c r="AB663" s="489">
        <v>10</v>
      </c>
      <c r="AC663" s="489">
        <v>6</v>
      </c>
      <c r="AD663" s="27">
        <v>210103</v>
      </c>
      <c r="AE663" s="27" t="s">
        <v>2150</v>
      </c>
      <c r="AF663" s="432">
        <f>VLOOKUP(AD663,[5]Hoja1!$A$10:$K$1393,11,0)</f>
        <v>-563301047</v>
      </c>
      <c r="AG663" s="432"/>
      <c r="AH663" s="432">
        <f t="shared" si="141"/>
        <v>-563301</v>
      </c>
      <c r="AL663" s="448"/>
      <c r="AM663" s="467">
        <f>VLOOKUP(AD663,[6]BV201101!$A$10:$A$1236,1,0)</f>
        <v>210103</v>
      </c>
    </row>
    <row r="664" spans="1:39" s="467" customFormat="1" ht="12.75" customHeight="1">
      <c r="A664" s="487" t="str">
        <f t="shared" si="129"/>
        <v>2</v>
      </c>
      <c r="B664" s="487" t="str">
        <f t="shared" si="137"/>
        <v>10</v>
      </c>
      <c r="C664" s="487" t="str">
        <f t="shared" si="138"/>
        <v>10</v>
      </c>
      <c r="D664" s="487" t="str">
        <f t="shared" si="139"/>
        <v>0104</v>
      </c>
      <c r="E664" s="487">
        <v>521210000</v>
      </c>
      <c r="F664" s="488" t="str">
        <f t="shared" si="130"/>
        <v/>
      </c>
      <c r="G664" s="487"/>
      <c r="H664" s="487"/>
      <c r="I664" s="488" t="str">
        <f t="shared" si="131"/>
        <v/>
      </c>
      <c r="J664" s="487"/>
      <c r="K664" s="487"/>
      <c r="L664" s="488" t="str">
        <f t="shared" si="132"/>
        <v>651200000202</v>
      </c>
      <c r="M664" s="489">
        <v>651200000</v>
      </c>
      <c r="N664" s="489">
        <v>202</v>
      </c>
      <c r="O664" s="488" t="str">
        <f t="shared" si="133"/>
        <v/>
      </c>
      <c r="P664" s="487"/>
      <c r="Q664" s="489"/>
      <c r="R664" s="592" t="str">
        <f t="shared" si="134"/>
        <v/>
      </c>
      <c r="S664" s="448"/>
      <c r="T664" s="448"/>
      <c r="U664" s="488" t="str">
        <f t="shared" si="135"/>
        <v>621210000202</v>
      </c>
      <c r="V664" s="489">
        <v>621210000</v>
      </c>
      <c r="W664" s="489">
        <v>202</v>
      </c>
      <c r="X664" s="488" t="str">
        <f t="shared" si="136"/>
        <v/>
      </c>
      <c r="Y664" s="489"/>
      <c r="Z664" s="489"/>
      <c r="AA664" s="490" t="str">
        <f t="shared" si="127"/>
        <v>106</v>
      </c>
      <c r="AB664" s="489">
        <v>10</v>
      </c>
      <c r="AC664" s="489">
        <v>6</v>
      </c>
      <c r="AD664" s="27">
        <v>210104</v>
      </c>
      <c r="AE664" s="27" t="s">
        <v>2151</v>
      </c>
      <c r="AF664" s="432">
        <f>VLOOKUP(AD664,[5]Hoja1!$A$10:$K$1393,11,0)</f>
        <v>-2158274165</v>
      </c>
      <c r="AG664" s="432"/>
      <c r="AH664" s="432">
        <f t="shared" si="141"/>
        <v>-2158274</v>
      </c>
      <c r="AL664" s="448"/>
      <c r="AM664" s="467">
        <f>VLOOKUP(AD664,[6]BV201101!$A$10:$A$1236,1,0)</f>
        <v>210104</v>
      </c>
    </row>
    <row r="665" spans="1:39" s="467" customFormat="1" ht="12.75" customHeight="1">
      <c r="A665" s="487" t="str">
        <f t="shared" si="129"/>
        <v>2</v>
      </c>
      <c r="B665" s="487" t="str">
        <f t="shared" si="137"/>
        <v>10</v>
      </c>
      <c r="C665" s="487" t="str">
        <f t="shared" si="138"/>
        <v>10</v>
      </c>
      <c r="D665" s="487" t="str">
        <f t="shared" si="139"/>
        <v>0105</v>
      </c>
      <c r="E665" s="487">
        <v>521210000</v>
      </c>
      <c r="F665" s="488" t="str">
        <f t="shared" si="130"/>
        <v/>
      </c>
      <c r="G665" s="487"/>
      <c r="H665" s="487"/>
      <c r="I665" s="488" t="str">
        <f t="shared" si="131"/>
        <v/>
      </c>
      <c r="J665" s="487"/>
      <c r="K665" s="487"/>
      <c r="L665" s="488" t="str">
        <f t="shared" si="132"/>
        <v>651200000102</v>
      </c>
      <c r="M665" s="489">
        <v>651200000</v>
      </c>
      <c r="N665" s="489">
        <v>102</v>
      </c>
      <c r="O665" s="488" t="str">
        <f t="shared" si="133"/>
        <v/>
      </c>
      <c r="P665" s="487"/>
      <c r="Q665" s="489"/>
      <c r="R665" s="592" t="str">
        <f t="shared" si="134"/>
        <v/>
      </c>
      <c r="S665" s="448"/>
      <c r="T665" s="448"/>
      <c r="U665" s="488" t="str">
        <f t="shared" si="135"/>
        <v>621210000102</v>
      </c>
      <c r="V665" s="489">
        <v>621210000</v>
      </c>
      <c r="W665" s="489">
        <v>102</v>
      </c>
      <c r="X665" s="488" t="str">
        <f t="shared" si="136"/>
        <v/>
      </c>
      <c r="Y665" s="489"/>
      <c r="Z665" s="489"/>
      <c r="AA665" s="490" t="str">
        <f t="shared" si="127"/>
        <v>106</v>
      </c>
      <c r="AB665" s="489">
        <v>10</v>
      </c>
      <c r="AC665" s="489">
        <v>6</v>
      </c>
      <c r="AD665" s="27">
        <v>210105</v>
      </c>
      <c r="AE665" s="27" t="s">
        <v>2152</v>
      </c>
      <c r="AF665" s="432">
        <f>VLOOKUP(AD665,[5]Hoja1!$A$10:$K$1393,11,0)</f>
        <v>-14132329</v>
      </c>
      <c r="AG665" s="432"/>
      <c r="AH665" s="432">
        <f t="shared" si="141"/>
        <v>-14132</v>
      </c>
      <c r="AL665" s="448"/>
      <c r="AM665" s="467">
        <f>VLOOKUP(AD665,[6]BV201101!$A$10:$A$1236,1,0)</f>
        <v>210105</v>
      </c>
    </row>
    <row r="666" spans="1:39" s="467" customFormat="1" ht="12.75" customHeight="1">
      <c r="A666" s="487" t="str">
        <f t="shared" si="129"/>
        <v>2</v>
      </c>
      <c r="B666" s="487" t="str">
        <f t="shared" si="137"/>
        <v>10</v>
      </c>
      <c r="C666" s="487" t="str">
        <f t="shared" si="138"/>
        <v>10</v>
      </c>
      <c r="D666" s="487" t="str">
        <f t="shared" si="139"/>
        <v>0106</v>
      </c>
      <c r="E666" s="487">
        <v>521210000</v>
      </c>
      <c r="F666" s="488" t="str">
        <f t="shared" si="130"/>
        <v/>
      </c>
      <c r="G666" s="487"/>
      <c r="H666" s="487"/>
      <c r="I666" s="488" t="str">
        <f t="shared" si="131"/>
        <v/>
      </c>
      <c r="J666" s="487"/>
      <c r="K666" s="487"/>
      <c r="L666" s="488" t="str">
        <f t="shared" si="132"/>
        <v>651200000209</v>
      </c>
      <c r="M666" s="487">
        <v>651200000</v>
      </c>
      <c r="N666" s="487">
        <v>209</v>
      </c>
      <c r="O666" s="488" t="str">
        <f t="shared" si="133"/>
        <v/>
      </c>
      <c r="P666" s="489"/>
      <c r="Q666" s="489"/>
      <c r="R666" s="592" t="str">
        <f t="shared" si="134"/>
        <v/>
      </c>
      <c r="S666" s="487"/>
      <c r="T666" s="487"/>
      <c r="U666" s="488" t="str">
        <f t="shared" si="135"/>
        <v>621210000209</v>
      </c>
      <c r="V666" s="489">
        <v>621210000</v>
      </c>
      <c r="W666" s="489">
        <v>209</v>
      </c>
      <c r="X666" s="488" t="str">
        <f t="shared" si="136"/>
        <v/>
      </c>
      <c r="Y666" s="489"/>
      <c r="Z666" s="489"/>
      <c r="AA666" s="490" t="str">
        <f t="shared" si="127"/>
        <v>106</v>
      </c>
      <c r="AB666" s="489">
        <v>10</v>
      </c>
      <c r="AC666" s="489">
        <v>6</v>
      </c>
      <c r="AD666" s="27">
        <v>210106</v>
      </c>
      <c r="AE666" s="27" t="s">
        <v>250</v>
      </c>
      <c r="AF666" s="432">
        <f>VLOOKUP(AD666,[5]Hoja1!$A$10:$K$1393,11,0)</f>
        <v>-2204382168</v>
      </c>
      <c r="AG666" s="432"/>
      <c r="AH666" s="432">
        <f t="shared" si="141"/>
        <v>-2204382</v>
      </c>
      <c r="AJ666" s="445"/>
      <c r="AL666" s="448"/>
      <c r="AM666" s="467">
        <f>VLOOKUP(AD666,[6]BV201101!$A$10:$A$1236,1,0)</f>
        <v>210106</v>
      </c>
    </row>
    <row r="667" spans="1:39" s="467" customFormat="1" ht="12.75" customHeight="1">
      <c r="A667" s="487" t="str">
        <f t="shared" si="129"/>
        <v>2</v>
      </c>
      <c r="B667" s="487" t="str">
        <f t="shared" si="137"/>
        <v>10</v>
      </c>
      <c r="C667" s="487" t="str">
        <f t="shared" si="138"/>
        <v>10</v>
      </c>
      <c r="D667" s="487" t="str">
        <f t="shared" si="139"/>
        <v>0107</v>
      </c>
      <c r="E667" s="487">
        <v>521210000</v>
      </c>
      <c r="F667" s="488" t="str">
        <f t="shared" si="130"/>
        <v/>
      </c>
      <c r="G667" s="487"/>
      <c r="H667" s="487"/>
      <c r="I667" s="488" t="str">
        <f t="shared" si="131"/>
        <v/>
      </c>
      <c r="J667" s="487"/>
      <c r="K667" s="487"/>
      <c r="L667" s="488" t="str">
        <f t="shared" si="132"/>
        <v>651200000109</v>
      </c>
      <c r="M667" s="487">
        <v>651200000</v>
      </c>
      <c r="N667" s="487">
        <v>109</v>
      </c>
      <c r="O667" s="488" t="str">
        <f t="shared" si="133"/>
        <v/>
      </c>
      <c r="P667" s="489"/>
      <c r="Q667" s="489"/>
      <c r="R667" s="592" t="str">
        <f t="shared" si="134"/>
        <v/>
      </c>
      <c r="S667" s="487"/>
      <c r="T667" s="487"/>
      <c r="U667" s="488" t="str">
        <f t="shared" si="135"/>
        <v>621210000109</v>
      </c>
      <c r="V667" s="489">
        <v>621210000</v>
      </c>
      <c r="W667" s="489">
        <v>109</v>
      </c>
      <c r="X667" s="488" t="str">
        <f t="shared" si="136"/>
        <v/>
      </c>
      <c r="Y667" s="489"/>
      <c r="Z667" s="489"/>
      <c r="AA667" s="490" t="str">
        <f t="shared" si="127"/>
        <v>106</v>
      </c>
      <c r="AB667" s="489">
        <v>10</v>
      </c>
      <c r="AC667" s="489">
        <v>6</v>
      </c>
      <c r="AD667" s="27">
        <v>210107</v>
      </c>
      <c r="AE667" s="27" t="s">
        <v>343</v>
      </c>
      <c r="AF667" s="432">
        <f>VLOOKUP(AD667,[5]Hoja1!$A$10:$K$1393,11,0)</f>
        <v>-118767226</v>
      </c>
      <c r="AG667" s="432"/>
      <c r="AH667" s="432">
        <f t="shared" si="141"/>
        <v>-118767</v>
      </c>
      <c r="AL667" s="448"/>
      <c r="AM667" s="467">
        <f>VLOOKUP(AD667,[6]BV201101!$A$10:$A$1236,1,0)</f>
        <v>210107</v>
      </c>
    </row>
    <row r="668" spans="1:39" s="467" customFormat="1" ht="12.75" customHeight="1">
      <c r="A668" s="487" t="str">
        <f t="shared" si="129"/>
        <v>2</v>
      </c>
      <c r="B668" s="487" t="str">
        <f t="shared" si="137"/>
        <v>10</v>
      </c>
      <c r="C668" s="487" t="str">
        <f t="shared" si="138"/>
        <v>10</v>
      </c>
      <c r="D668" s="487" t="str">
        <f t="shared" si="139"/>
        <v>0108</v>
      </c>
      <c r="E668" s="487">
        <v>521210000</v>
      </c>
      <c r="F668" s="488" t="str">
        <f t="shared" si="130"/>
        <v/>
      </c>
      <c r="G668" s="487"/>
      <c r="H668" s="487"/>
      <c r="I668" s="488" t="str">
        <f t="shared" si="131"/>
        <v/>
      </c>
      <c r="J668" s="487"/>
      <c r="K668" s="487"/>
      <c r="L668" s="488" t="str">
        <f t="shared" si="132"/>
        <v>651200000110</v>
      </c>
      <c r="M668" s="487">
        <v>651200000</v>
      </c>
      <c r="N668" s="487">
        <v>110</v>
      </c>
      <c r="O668" s="488" t="str">
        <f t="shared" si="133"/>
        <v/>
      </c>
      <c r="P668" s="489"/>
      <c r="Q668" s="489"/>
      <c r="R668" s="592" t="str">
        <f t="shared" si="134"/>
        <v/>
      </c>
      <c r="S668" s="487"/>
      <c r="T668" s="487"/>
      <c r="U668" s="488" t="str">
        <f t="shared" si="135"/>
        <v>621210000110</v>
      </c>
      <c r="V668" s="489">
        <v>621210000</v>
      </c>
      <c r="W668" s="489">
        <v>110</v>
      </c>
      <c r="X668" s="488" t="str">
        <f t="shared" si="136"/>
        <v/>
      </c>
      <c r="Y668" s="489"/>
      <c r="Z668" s="489"/>
      <c r="AA668" s="490" t="str">
        <f t="shared" si="127"/>
        <v>106</v>
      </c>
      <c r="AB668" s="489">
        <v>10</v>
      </c>
      <c r="AC668" s="489">
        <v>6</v>
      </c>
      <c r="AD668" s="27">
        <v>210108</v>
      </c>
      <c r="AE668" s="27" t="s">
        <v>1865</v>
      </c>
      <c r="AF668" s="432">
        <f>VLOOKUP(AD668,[5]Hoja1!$A$10:$K$1393,11,0)</f>
        <v>-42271137</v>
      </c>
      <c r="AG668" s="432"/>
      <c r="AH668" s="432">
        <f t="shared" si="141"/>
        <v>-42271</v>
      </c>
      <c r="AL668" s="448"/>
      <c r="AM668" s="467">
        <f>VLOOKUP(AD668,[6]BV201101!$A$10:$A$1236,1,0)</f>
        <v>210108</v>
      </c>
    </row>
    <row r="669" spans="1:39" s="467" customFormat="1" ht="12.75" customHeight="1">
      <c r="A669" s="487" t="str">
        <f t="shared" si="129"/>
        <v>2</v>
      </c>
      <c r="B669" s="487" t="str">
        <f t="shared" si="137"/>
        <v>10</v>
      </c>
      <c r="C669" s="487" t="str">
        <f t="shared" si="138"/>
        <v>10</v>
      </c>
      <c r="D669" s="487" t="str">
        <f t="shared" si="139"/>
        <v>0109</v>
      </c>
      <c r="E669" s="487">
        <v>521210000</v>
      </c>
      <c r="F669" s="488" t="str">
        <f t="shared" si="130"/>
        <v/>
      </c>
      <c r="G669" s="487"/>
      <c r="H669" s="487"/>
      <c r="I669" s="488" t="str">
        <f t="shared" si="131"/>
        <v/>
      </c>
      <c r="J669" s="487"/>
      <c r="K669" s="487"/>
      <c r="L669" s="488" t="str">
        <f t="shared" si="132"/>
        <v>651200000103</v>
      </c>
      <c r="M669" s="487">
        <v>651200000</v>
      </c>
      <c r="N669" s="487">
        <v>103</v>
      </c>
      <c r="O669" s="488" t="str">
        <f t="shared" si="133"/>
        <v/>
      </c>
      <c r="P669" s="489"/>
      <c r="Q669" s="489"/>
      <c r="R669" s="592" t="str">
        <f t="shared" si="134"/>
        <v/>
      </c>
      <c r="S669" s="487"/>
      <c r="T669" s="487"/>
      <c r="U669" s="488" t="str">
        <f t="shared" si="135"/>
        <v>621210000103</v>
      </c>
      <c r="V669" s="489">
        <v>621210000</v>
      </c>
      <c r="W669" s="489">
        <v>103</v>
      </c>
      <c r="X669" s="488" t="str">
        <f t="shared" si="136"/>
        <v/>
      </c>
      <c r="Y669" s="489"/>
      <c r="Z669" s="489"/>
      <c r="AA669" s="490" t="str">
        <f t="shared" si="127"/>
        <v>106</v>
      </c>
      <c r="AB669" s="489">
        <v>10</v>
      </c>
      <c r="AC669" s="489">
        <v>6</v>
      </c>
      <c r="AD669" s="27">
        <v>210109</v>
      </c>
      <c r="AE669" s="27" t="s">
        <v>1451</v>
      </c>
      <c r="AF669" s="432">
        <f>VLOOKUP(AD669,[5]Hoja1!$A$10:$K$1393,11,0)</f>
        <v>-269808682</v>
      </c>
      <c r="AG669" s="432"/>
      <c r="AH669" s="432">
        <f t="shared" si="141"/>
        <v>-269809</v>
      </c>
      <c r="AJ669" s="445"/>
      <c r="AL669" s="448"/>
      <c r="AM669" s="467">
        <f>VLOOKUP(AD669,[6]BV201101!$A$10:$A$1236,1,0)</f>
        <v>210109</v>
      </c>
    </row>
    <row r="670" spans="1:39" s="467" customFormat="1" ht="12.75" customHeight="1">
      <c r="A670" s="487" t="str">
        <f t="shared" si="129"/>
        <v>2</v>
      </c>
      <c r="B670" s="487" t="str">
        <f t="shared" si="137"/>
        <v>10</v>
      </c>
      <c r="C670" s="487" t="str">
        <f t="shared" si="138"/>
        <v>11</v>
      </c>
      <c r="D670" s="487" t="str">
        <f t="shared" si="139"/>
        <v>0110</v>
      </c>
      <c r="E670" s="487">
        <v>521210000</v>
      </c>
      <c r="F670" s="488" t="str">
        <f t="shared" si="130"/>
        <v/>
      </c>
      <c r="G670" s="487"/>
      <c r="H670" s="487"/>
      <c r="I670" s="488" t="str">
        <f t="shared" si="131"/>
        <v/>
      </c>
      <c r="J670" s="487"/>
      <c r="K670" s="487"/>
      <c r="L670" s="488" t="str">
        <f t="shared" si="132"/>
        <v>651200000104</v>
      </c>
      <c r="M670" s="487">
        <v>651200000</v>
      </c>
      <c r="N670" s="487">
        <v>104</v>
      </c>
      <c r="O670" s="488" t="str">
        <f t="shared" si="133"/>
        <v/>
      </c>
      <c r="P670" s="489"/>
      <c r="Q670" s="489"/>
      <c r="R670" s="592" t="str">
        <f t="shared" si="134"/>
        <v/>
      </c>
      <c r="S670" s="487"/>
      <c r="T670" s="487"/>
      <c r="U670" s="488" t="str">
        <f t="shared" si="135"/>
        <v>621210000104</v>
      </c>
      <c r="V670" s="489">
        <v>621210000</v>
      </c>
      <c r="W670" s="489">
        <v>104</v>
      </c>
      <c r="X670" s="488" t="str">
        <f t="shared" si="136"/>
        <v/>
      </c>
      <c r="Y670" s="489"/>
      <c r="Z670" s="489"/>
      <c r="AA670" s="490" t="str">
        <f t="shared" si="127"/>
        <v>106</v>
      </c>
      <c r="AB670" s="489">
        <v>10</v>
      </c>
      <c r="AC670" s="489">
        <v>6</v>
      </c>
      <c r="AD670" s="27">
        <v>210110</v>
      </c>
      <c r="AE670" s="27" t="s">
        <v>507</v>
      </c>
      <c r="AF670" s="432">
        <f>VLOOKUP(AD670,[5]Hoja1!$A$10:$K$1393,11,0)</f>
        <v>-4546507</v>
      </c>
      <c r="AG670" s="432"/>
      <c r="AH670" s="432">
        <f t="shared" si="141"/>
        <v>-4547</v>
      </c>
      <c r="AJ670" s="445"/>
      <c r="AL670" s="448"/>
      <c r="AM670" s="467">
        <f>VLOOKUP(AD670,[6]BV201101!$A$10:$A$1236,1,0)</f>
        <v>210110</v>
      </c>
    </row>
    <row r="671" spans="1:39" s="467" customFormat="1" ht="12.75" customHeight="1">
      <c r="A671" s="487" t="str">
        <f t="shared" si="129"/>
        <v>2</v>
      </c>
      <c r="B671" s="487" t="str">
        <f t="shared" si="137"/>
        <v>10</v>
      </c>
      <c r="C671" s="487" t="str">
        <f t="shared" si="138"/>
        <v>11</v>
      </c>
      <c r="D671" s="487" t="str">
        <f t="shared" si="139"/>
        <v>0111</v>
      </c>
      <c r="E671" s="487">
        <v>521210000</v>
      </c>
      <c r="F671" s="488" t="str">
        <f t="shared" si="130"/>
        <v/>
      </c>
      <c r="G671" s="487"/>
      <c r="H671" s="487"/>
      <c r="I671" s="488" t="str">
        <f t="shared" si="131"/>
        <v/>
      </c>
      <c r="J671" s="487"/>
      <c r="K671" s="487"/>
      <c r="L671" s="488" t="str">
        <f t="shared" si="132"/>
        <v>651200000108</v>
      </c>
      <c r="M671" s="487">
        <v>651200000</v>
      </c>
      <c r="N671" s="487">
        <v>108</v>
      </c>
      <c r="O671" s="488" t="str">
        <f t="shared" si="133"/>
        <v/>
      </c>
      <c r="P671" s="489"/>
      <c r="Q671" s="489"/>
      <c r="R671" s="592" t="str">
        <f t="shared" si="134"/>
        <v/>
      </c>
      <c r="S671" s="487"/>
      <c r="T671" s="487"/>
      <c r="U671" s="488" t="str">
        <f t="shared" si="135"/>
        <v>621210000108</v>
      </c>
      <c r="V671" s="489">
        <v>621210000</v>
      </c>
      <c r="W671" s="489">
        <v>108</v>
      </c>
      <c r="X671" s="488" t="str">
        <f t="shared" si="136"/>
        <v/>
      </c>
      <c r="Y671" s="489"/>
      <c r="Z671" s="489"/>
      <c r="AA671" s="490" t="str">
        <f t="shared" si="127"/>
        <v>106</v>
      </c>
      <c r="AB671" s="489">
        <v>10</v>
      </c>
      <c r="AC671" s="489">
        <v>6</v>
      </c>
      <c r="AD671" s="27">
        <v>210111</v>
      </c>
      <c r="AE671" s="27" t="s">
        <v>2153</v>
      </c>
      <c r="AF671" s="432">
        <f>VLOOKUP(AD671,[5]Hoja1!$A$10:$K$1393,11,0)</f>
        <v>-972797</v>
      </c>
      <c r="AG671" s="432"/>
      <c r="AH671" s="432">
        <f t="shared" si="141"/>
        <v>-973</v>
      </c>
      <c r="AJ671" s="445"/>
      <c r="AL671" s="448"/>
      <c r="AM671" s="467">
        <f>VLOOKUP(AD671,[6]BV201101!$A$10:$A$1236,1,0)</f>
        <v>210111</v>
      </c>
    </row>
    <row r="672" spans="1:39" s="467" customFormat="1" ht="12.75" customHeight="1">
      <c r="A672" s="487" t="str">
        <f t="shared" si="129"/>
        <v>2</v>
      </c>
      <c r="B672" s="487" t="str">
        <f t="shared" si="137"/>
        <v>10</v>
      </c>
      <c r="C672" s="487" t="str">
        <f t="shared" si="138"/>
        <v>11</v>
      </c>
      <c r="D672" s="487" t="str">
        <f t="shared" si="139"/>
        <v>0112</v>
      </c>
      <c r="E672" s="487">
        <v>521210000</v>
      </c>
      <c r="F672" s="488" t="str">
        <f t="shared" si="130"/>
        <v/>
      </c>
      <c r="G672" s="487"/>
      <c r="H672" s="487"/>
      <c r="I672" s="488" t="str">
        <f t="shared" si="131"/>
        <v/>
      </c>
      <c r="J672" s="487"/>
      <c r="K672" s="487"/>
      <c r="L672" s="488" t="str">
        <f t="shared" si="132"/>
        <v>651200000208</v>
      </c>
      <c r="M672" s="487">
        <v>651200000</v>
      </c>
      <c r="N672" s="487">
        <v>208</v>
      </c>
      <c r="O672" s="488" t="str">
        <f t="shared" si="133"/>
        <v/>
      </c>
      <c r="P672" s="489"/>
      <c r="Q672" s="489"/>
      <c r="R672" s="592" t="str">
        <f t="shared" si="134"/>
        <v/>
      </c>
      <c r="S672" s="487"/>
      <c r="T672" s="487"/>
      <c r="U672" s="488" t="str">
        <f t="shared" si="135"/>
        <v>621210000208</v>
      </c>
      <c r="V672" s="489">
        <v>621210000</v>
      </c>
      <c r="W672" s="489">
        <v>208</v>
      </c>
      <c r="X672" s="488" t="str">
        <f t="shared" si="136"/>
        <v/>
      </c>
      <c r="Y672" s="489"/>
      <c r="Z672" s="489"/>
      <c r="AA672" s="490" t="str">
        <f t="shared" si="127"/>
        <v>106</v>
      </c>
      <c r="AB672" s="489">
        <v>10</v>
      </c>
      <c r="AC672" s="489">
        <v>6</v>
      </c>
      <c r="AD672" s="27">
        <v>210112</v>
      </c>
      <c r="AE672" s="27" t="s">
        <v>2154</v>
      </c>
      <c r="AF672" s="432">
        <f>VLOOKUP(AD672,[5]Hoja1!$A$10:$K$1393,11,0)</f>
        <v>0</v>
      </c>
      <c r="AG672" s="432"/>
      <c r="AH672" s="432">
        <f t="shared" si="141"/>
        <v>0</v>
      </c>
      <c r="AJ672" s="445"/>
      <c r="AL672" s="448"/>
      <c r="AM672" s="467">
        <f>VLOOKUP(AD672,[6]BV201101!$A$10:$A$1236,1,0)</f>
        <v>210112</v>
      </c>
    </row>
    <row r="673" spans="1:39" s="467" customFormat="1" ht="12.75" customHeight="1">
      <c r="A673" s="487" t="str">
        <f t="shared" si="129"/>
        <v>2</v>
      </c>
      <c r="B673" s="487" t="str">
        <f t="shared" si="137"/>
        <v>10</v>
      </c>
      <c r="C673" s="487" t="str">
        <f t="shared" si="138"/>
        <v>11</v>
      </c>
      <c r="D673" s="487" t="str">
        <f t="shared" si="139"/>
        <v>0113</v>
      </c>
      <c r="E673" s="487">
        <v>521231000</v>
      </c>
      <c r="F673" s="488" t="str">
        <f t="shared" si="130"/>
        <v/>
      </c>
      <c r="G673" s="487"/>
      <c r="H673" s="487"/>
      <c r="I673" s="488" t="str">
        <f t="shared" si="131"/>
        <v/>
      </c>
      <c r="J673" s="487"/>
      <c r="K673" s="487"/>
      <c r="L673" s="488" t="str">
        <f t="shared" si="132"/>
        <v>653200000114</v>
      </c>
      <c r="M673" s="487">
        <v>653200000</v>
      </c>
      <c r="N673" s="487">
        <v>114</v>
      </c>
      <c r="O673" s="488" t="str">
        <f t="shared" si="133"/>
        <v/>
      </c>
      <c r="P673" s="489"/>
      <c r="Q673" s="489"/>
      <c r="R673" s="592" t="str">
        <f t="shared" si="134"/>
        <v/>
      </c>
      <c r="S673" s="487"/>
      <c r="T673" s="487"/>
      <c r="U673" s="488" t="str">
        <f t="shared" si="135"/>
        <v/>
      </c>
      <c r="V673" s="489"/>
      <c r="W673" s="489"/>
      <c r="X673" s="488" t="str">
        <f t="shared" si="136"/>
        <v/>
      </c>
      <c r="Y673" s="489"/>
      <c r="Z673" s="489"/>
      <c r="AA673" s="490" t="str">
        <f t="shared" si="127"/>
        <v>106</v>
      </c>
      <c r="AB673" s="489">
        <v>10</v>
      </c>
      <c r="AC673" s="489">
        <v>6</v>
      </c>
      <c r="AD673" s="27">
        <v>210113</v>
      </c>
      <c r="AE673" s="27" t="s">
        <v>794</v>
      </c>
      <c r="AF673" s="432">
        <f>VLOOKUP(AD673,[5]Hoja1!$A$10:$K$1393,11,0)</f>
        <v>0</v>
      </c>
      <c r="AG673" s="432"/>
      <c r="AH673" s="432">
        <f t="shared" si="141"/>
        <v>0</v>
      </c>
      <c r="AJ673" s="445"/>
      <c r="AL673" s="448"/>
      <c r="AM673" s="467">
        <f>VLOOKUP(AD673,[6]BV201101!$A$10:$A$1236,1,0)</f>
        <v>210113</v>
      </c>
    </row>
    <row r="674" spans="1:39" s="467" customFormat="1" ht="12.75" customHeight="1">
      <c r="A674" s="487" t="str">
        <f t="shared" si="129"/>
        <v>2</v>
      </c>
      <c r="B674" s="487" t="str">
        <f t="shared" si="137"/>
        <v>10</v>
      </c>
      <c r="C674" s="487" t="str">
        <f t="shared" si="138"/>
        <v>11</v>
      </c>
      <c r="D674" s="487" t="str">
        <f t="shared" si="139"/>
        <v>0114</v>
      </c>
      <c r="E674" s="487">
        <v>521210000</v>
      </c>
      <c r="F674" s="488" t="str">
        <f t="shared" si="130"/>
        <v/>
      </c>
      <c r="G674" s="487"/>
      <c r="H674" s="487"/>
      <c r="I674" s="488" t="str">
        <f t="shared" si="131"/>
        <v/>
      </c>
      <c r="J674" s="487"/>
      <c r="K674" s="487"/>
      <c r="L674" s="488" t="str">
        <f t="shared" si="132"/>
        <v>651200000206</v>
      </c>
      <c r="M674" s="487">
        <v>651200000</v>
      </c>
      <c r="N674" s="487">
        <v>206</v>
      </c>
      <c r="O674" s="488" t="str">
        <f t="shared" si="133"/>
        <v/>
      </c>
      <c r="P674" s="489"/>
      <c r="Q674" s="489"/>
      <c r="R674" s="592" t="str">
        <f t="shared" si="134"/>
        <v/>
      </c>
      <c r="S674" s="487"/>
      <c r="T674" s="487"/>
      <c r="U674" s="488" t="str">
        <f t="shared" si="135"/>
        <v>621210000206</v>
      </c>
      <c r="V674" s="489">
        <v>621210000</v>
      </c>
      <c r="W674" s="489">
        <v>206</v>
      </c>
      <c r="X674" s="488" t="str">
        <f t="shared" si="136"/>
        <v/>
      </c>
      <c r="Y674" s="489"/>
      <c r="Z674" s="489"/>
      <c r="AA674" s="490" t="str">
        <f t="shared" si="127"/>
        <v>106</v>
      </c>
      <c r="AB674" s="489">
        <v>10</v>
      </c>
      <c r="AC674" s="489">
        <v>6</v>
      </c>
      <c r="AD674" s="27">
        <v>210114</v>
      </c>
      <c r="AE674" s="27" t="s">
        <v>795</v>
      </c>
      <c r="AF674" s="432">
        <v>0</v>
      </c>
      <c r="AG674" s="432"/>
      <c r="AH674" s="432">
        <f t="shared" si="141"/>
        <v>0</v>
      </c>
      <c r="AJ674" s="445"/>
      <c r="AL674" s="448"/>
      <c r="AM674" s="467" t="e">
        <f>VLOOKUP(AD674,[6]BV201101!$A$10:$A$1236,1,0)</f>
        <v>#N/A</v>
      </c>
    </row>
    <row r="675" spans="1:39" s="467" customFormat="1" ht="12.75" customHeight="1">
      <c r="A675" s="487" t="str">
        <f t="shared" si="129"/>
        <v>2</v>
      </c>
      <c r="B675" s="487" t="str">
        <f t="shared" si="137"/>
        <v>10</v>
      </c>
      <c r="C675" s="487" t="str">
        <f t="shared" si="138"/>
        <v>11</v>
      </c>
      <c r="D675" s="487" t="str">
        <f t="shared" si="139"/>
        <v>0115</v>
      </c>
      <c r="E675" s="487">
        <v>521210000</v>
      </c>
      <c r="F675" s="488" t="str">
        <f t="shared" si="130"/>
        <v/>
      </c>
      <c r="G675" s="487"/>
      <c r="H675" s="487"/>
      <c r="I675" s="488" t="str">
        <f t="shared" si="131"/>
        <v/>
      </c>
      <c r="J675" s="487"/>
      <c r="K675" s="487"/>
      <c r="L675" s="488" t="str">
        <f t="shared" si="132"/>
        <v>651200000207</v>
      </c>
      <c r="M675" s="487">
        <v>651200000</v>
      </c>
      <c r="N675" s="487">
        <v>207</v>
      </c>
      <c r="O675" s="488" t="str">
        <f t="shared" si="133"/>
        <v/>
      </c>
      <c r="P675" s="489"/>
      <c r="Q675" s="489"/>
      <c r="R675" s="592" t="str">
        <f t="shared" si="134"/>
        <v/>
      </c>
      <c r="S675" s="487"/>
      <c r="T675" s="487"/>
      <c r="U675" s="488" t="str">
        <f t="shared" si="135"/>
        <v>621210000207</v>
      </c>
      <c r="V675" s="489">
        <v>621210000</v>
      </c>
      <c r="W675" s="489">
        <v>207</v>
      </c>
      <c r="X675" s="488" t="str">
        <f t="shared" si="136"/>
        <v/>
      </c>
      <c r="Y675" s="489"/>
      <c r="Z675" s="489"/>
      <c r="AA675" s="490" t="str">
        <f t="shared" si="127"/>
        <v>106</v>
      </c>
      <c r="AB675" s="489">
        <v>10</v>
      </c>
      <c r="AC675" s="489">
        <v>6</v>
      </c>
      <c r="AD675" s="27">
        <v>210115</v>
      </c>
      <c r="AE675" s="27" t="s">
        <v>2155</v>
      </c>
      <c r="AF675" s="432">
        <f>VLOOKUP(AD675,[5]Hoja1!$A$10:$K$1393,11,0)</f>
        <v>-45382757</v>
      </c>
      <c r="AG675" s="432"/>
      <c r="AH675" s="432">
        <f t="shared" si="141"/>
        <v>-45383</v>
      </c>
      <c r="AJ675" s="445"/>
      <c r="AL675" s="448"/>
      <c r="AM675" s="467">
        <f>VLOOKUP(AD675,[6]BV201101!$A$10:$A$1236,1,0)</f>
        <v>210115</v>
      </c>
    </row>
    <row r="676" spans="1:39" s="467" customFormat="1" ht="12.75" customHeight="1">
      <c r="A676" s="487" t="str">
        <f t="shared" si="129"/>
        <v>2</v>
      </c>
      <c r="B676" s="487" t="str">
        <f t="shared" si="137"/>
        <v>10</v>
      </c>
      <c r="C676" s="487" t="str">
        <f t="shared" si="138"/>
        <v>11</v>
      </c>
      <c r="D676" s="487" t="str">
        <f t="shared" si="139"/>
        <v>0116</v>
      </c>
      <c r="E676" s="487">
        <v>521210000</v>
      </c>
      <c r="F676" s="488" t="str">
        <f t="shared" si="130"/>
        <v/>
      </c>
      <c r="G676" s="487"/>
      <c r="H676" s="487"/>
      <c r="I676" s="488" t="str">
        <f t="shared" si="131"/>
        <v/>
      </c>
      <c r="J676" s="487"/>
      <c r="K676" s="487"/>
      <c r="L676" s="488" t="str">
        <f t="shared" si="132"/>
        <v>651200000114</v>
      </c>
      <c r="M676" s="487">
        <v>651200000</v>
      </c>
      <c r="N676" s="487">
        <v>114</v>
      </c>
      <c r="O676" s="488" t="str">
        <f t="shared" si="133"/>
        <v/>
      </c>
      <c r="P676" s="489"/>
      <c r="Q676" s="489"/>
      <c r="R676" s="592" t="str">
        <f t="shared" si="134"/>
        <v/>
      </c>
      <c r="S676" s="487"/>
      <c r="T676" s="487"/>
      <c r="U676" s="488" t="str">
        <f t="shared" si="135"/>
        <v>621210000114</v>
      </c>
      <c r="V676" s="489">
        <v>621210000</v>
      </c>
      <c r="W676" s="489">
        <v>114</v>
      </c>
      <c r="X676" s="488" t="str">
        <f t="shared" si="136"/>
        <v/>
      </c>
      <c r="Y676" s="489"/>
      <c r="Z676" s="489"/>
      <c r="AA676" s="490" t="str">
        <f t="shared" si="127"/>
        <v>106</v>
      </c>
      <c r="AB676" s="489">
        <v>10</v>
      </c>
      <c r="AC676" s="489">
        <v>6</v>
      </c>
      <c r="AD676" s="27">
        <v>210116</v>
      </c>
      <c r="AE676" s="27" t="s">
        <v>2156</v>
      </c>
      <c r="AF676" s="432">
        <f>VLOOKUP(AD676,[5]Hoja1!$A$10:$K$1393,11,0)</f>
        <v>-118930501</v>
      </c>
      <c r="AG676" s="432"/>
      <c r="AH676" s="432">
        <f t="shared" si="141"/>
        <v>-118931</v>
      </c>
      <c r="AJ676" s="445"/>
      <c r="AL676" s="448"/>
      <c r="AM676" s="467">
        <f>VLOOKUP(AD676,[6]BV201101!$A$10:$A$1236,1,0)</f>
        <v>210116</v>
      </c>
    </row>
    <row r="677" spans="1:39" s="467" customFormat="1" ht="12.75" customHeight="1">
      <c r="A677" s="487" t="str">
        <f t="shared" si="129"/>
        <v>2</v>
      </c>
      <c r="B677" s="487" t="str">
        <f t="shared" si="137"/>
        <v>10</v>
      </c>
      <c r="C677" s="487" t="str">
        <f t="shared" si="138"/>
        <v>11</v>
      </c>
      <c r="D677" s="487" t="str">
        <f t="shared" si="139"/>
        <v>0117</v>
      </c>
      <c r="E677" s="487">
        <v>521210000</v>
      </c>
      <c r="F677" s="488" t="str">
        <f t="shared" si="130"/>
        <v/>
      </c>
      <c r="G677" s="487"/>
      <c r="H677" s="487"/>
      <c r="I677" s="488" t="str">
        <f t="shared" si="131"/>
        <v/>
      </c>
      <c r="J677" s="487"/>
      <c r="K677" s="487"/>
      <c r="L677" s="488" t="str">
        <f t="shared" si="132"/>
        <v>651200000202</v>
      </c>
      <c r="M677" s="487">
        <v>651200000</v>
      </c>
      <c r="N677" s="487">
        <v>202</v>
      </c>
      <c r="O677" s="488" t="str">
        <f t="shared" si="133"/>
        <v/>
      </c>
      <c r="P677" s="489"/>
      <c r="Q677" s="489"/>
      <c r="R677" s="592" t="str">
        <f t="shared" si="134"/>
        <v/>
      </c>
      <c r="S677" s="487"/>
      <c r="T677" s="487"/>
      <c r="U677" s="488" t="str">
        <f t="shared" si="135"/>
        <v>621210000202</v>
      </c>
      <c r="V677" s="489">
        <v>621210000</v>
      </c>
      <c r="W677" s="489">
        <v>202</v>
      </c>
      <c r="X677" s="488" t="str">
        <f t="shared" si="136"/>
        <v/>
      </c>
      <c r="Y677" s="489"/>
      <c r="Z677" s="489"/>
      <c r="AA677" s="490" t="str">
        <f t="shared" si="127"/>
        <v>106</v>
      </c>
      <c r="AB677" s="489">
        <v>10</v>
      </c>
      <c r="AC677" s="489">
        <v>6</v>
      </c>
      <c r="AD677" s="27">
        <v>210117</v>
      </c>
      <c r="AE677" s="27" t="s">
        <v>1864</v>
      </c>
      <c r="AF677" s="432">
        <v>0</v>
      </c>
      <c r="AG677" s="432"/>
      <c r="AH677" s="432">
        <f t="shared" si="141"/>
        <v>0</v>
      </c>
      <c r="AJ677" s="445"/>
      <c r="AL677" s="448"/>
      <c r="AM677" s="467" t="e">
        <f>VLOOKUP(AD677,[6]BV201101!$A$10:$A$1236,1,0)</f>
        <v>#N/A</v>
      </c>
    </row>
    <row r="678" spans="1:39" s="467" customFormat="1" ht="12.75" customHeight="1">
      <c r="A678" s="487" t="str">
        <f t="shared" ref="A678:A741" si="142">+LEFT($AD678,1)</f>
        <v>2</v>
      </c>
      <c r="B678" s="487" t="str">
        <f t="shared" si="137"/>
        <v>10</v>
      </c>
      <c r="C678" s="487" t="str">
        <f t="shared" si="138"/>
        <v>11</v>
      </c>
      <c r="D678" s="487" t="str">
        <f t="shared" si="139"/>
        <v>0118</v>
      </c>
      <c r="E678" s="487">
        <v>521210000</v>
      </c>
      <c r="F678" s="488" t="str">
        <f t="shared" si="130"/>
        <v/>
      </c>
      <c r="G678" s="487"/>
      <c r="H678" s="487"/>
      <c r="I678" s="488" t="str">
        <f t="shared" si="131"/>
        <v/>
      </c>
      <c r="J678" s="487"/>
      <c r="K678" s="487"/>
      <c r="L678" s="488" t="str">
        <f t="shared" si="132"/>
        <v>651200000101</v>
      </c>
      <c r="M678" s="487">
        <v>651200000</v>
      </c>
      <c r="N678" s="487">
        <v>101</v>
      </c>
      <c r="O678" s="488" t="str">
        <f t="shared" si="133"/>
        <v/>
      </c>
      <c r="P678" s="489"/>
      <c r="Q678" s="489"/>
      <c r="R678" s="592" t="str">
        <f t="shared" si="134"/>
        <v/>
      </c>
      <c r="S678" s="487"/>
      <c r="T678" s="487"/>
      <c r="U678" s="488" t="str">
        <f t="shared" si="135"/>
        <v>621210000101</v>
      </c>
      <c r="V678" s="489">
        <v>621210000</v>
      </c>
      <c r="W678" s="489">
        <v>101</v>
      </c>
      <c r="X678" s="488" t="str">
        <f t="shared" si="136"/>
        <v/>
      </c>
      <c r="Y678" s="489"/>
      <c r="Z678" s="489"/>
      <c r="AA678" s="490" t="str">
        <f t="shared" si="127"/>
        <v>106</v>
      </c>
      <c r="AB678" s="489">
        <v>10</v>
      </c>
      <c r="AC678" s="489">
        <v>6</v>
      </c>
      <c r="AD678" s="27">
        <v>210118</v>
      </c>
      <c r="AE678" s="27" t="s">
        <v>1865</v>
      </c>
      <c r="AF678" s="432">
        <f>VLOOKUP(AD678,[5]Hoja1!$A$10:$K$1393,11,0)</f>
        <v>-3685917</v>
      </c>
      <c r="AG678" s="432">
        <f>-AG665</f>
        <v>0</v>
      </c>
      <c r="AH678" s="432">
        <f t="shared" si="141"/>
        <v>-3686</v>
      </c>
      <c r="AJ678" s="445"/>
      <c r="AL678" s="448"/>
      <c r="AM678" s="467">
        <f>VLOOKUP(AD678,[6]BV201101!$A$10:$A$1236,1,0)</f>
        <v>210118</v>
      </c>
    </row>
    <row r="679" spans="1:39" s="467" customFormat="1" ht="12.75" customHeight="1">
      <c r="A679" s="487" t="str">
        <f t="shared" si="142"/>
        <v>2</v>
      </c>
      <c r="B679" s="487" t="str">
        <f t="shared" si="137"/>
        <v>10</v>
      </c>
      <c r="C679" s="487" t="str">
        <f t="shared" si="138"/>
        <v>20</v>
      </c>
      <c r="D679" s="487" t="str">
        <f t="shared" si="139"/>
        <v>0201</v>
      </c>
      <c r="E679" s="487">
        <v>521220000</v>
      </c>
      <c r="F679" s="488" t="str">
        <f t="shared" si="130"/>
        <v/>
      </c>
      <c r="G679" s="487"/>
      <c r="H679" s="487"/>
      <c r="I679" s="488" t="str">
        <f t="shared" si="131"/>
        <v/>
      </c>
      <c r="J679" s="487"/>
      <c r="K679" s="487"/>
      <c r="L679" s="488" t="str">
        <f t="shared" si="132"/>
        <v>652200000212</v>
      </c>
      <c r="M679" s="487">
        <v>652200000</v>
      </c>
      <c r="N679" s="487">
        <v>212</v>
      </c>
      <c r="O679" s="488" t="str">
        <f t="shared" si="133"/>
        <v/>
      </c>
      <c r="P679" s="489"/>
      <c r="Q679" s="489"/>
      <c r="R679" s="592" t="str">
        <f t="shared" si="134"/>
        <v/>
      </c>
      <c r="S679" s="487"/>
      <c r="T679" s="487"/>
      <c r="U679" s="488" t="str">
        <f t="shared" si="135"/>
        <v>621220000212</v>
      </c>
      <c r="V679" s="489">
        <v>621220000</v>
      </c>
      <c r="W679" s="489">
        <v>212</v>
      </c>
      <c r="X679" s="488" t="str">
        <f t="shared" si="136"/>
        <v/>
      </c>
      <c r="Y679" s="489"/>
      <c r="Z679" s="489"/>
      <c r="AA679" s="490" t="str">
        <f t="shared" si="127"/>
        <v>1015</v>
      </c>
      <c r="AB679" s="489">
        <v>10</v>
      </c>
      <c r="AC679" s="489">
        <v>15</v>
      </c>
      <c r="AD679" s="27">
        <v>210201</v>
      </c>
      <c r="AE679" s="27" t="s">
        <v>972</v>
      </c>
      <c r="AF679" s="432">
        <v>0</v>
      </c>
      <c r="AG679" s="432"/>
      <c r="AH679" s="432">
        <f t="shared" si="141"/>
        <v>0</v>
      </c>
      <c r="AJ679" s="445"/>
      <c r="AL679" s="448"/>
      <c r="AM679" s="467" t="e">
        <f>VLOOKUP(AD679,[6]BV201101!$A$10:$A$1236,1,0)</f>
        <v>#N/A</v>
      </c>
    </row>
    <row r="680" spans="1:39" s="467" customFormat="1" ht="12.75" customHeight="1">
      <c r="A680" s="487" t="str">
        <f t="shared" si="142"/>
        <v>2</v>
      </c>
      <c r="B680" s="487" t="str">
        <f t="shared" si="137"/>
        <v>10</v>
      </c>
      <c r="C680" s="487" t="str">
        <f t="shared" si="138"/>
        <v>20</v>
      </c>
      <c r="D680" s="487" t="str">
        <f t="shared" si="139"/>
        <v>0202</v>
      </c>
      <c r="E680" s="487">
        <v>521220000</v>
      </c>
      <c r="F680" s="488" t="str">
        <f t="shared" si="130"/>
        <v/>
      </c>
      <c r="G680" s="487"/>
      <c r="H680" s="487"/>
      <c r="I680" s="488" t="str">
        <f t="shared" si="131"/>
        <v/>
      </c>
      <c r="J680" s="487"/>
      <c r="K680" s="487"/>
      <c r="L680" s="488" t="str">
        <f t="shared" si="132"/>
        <v>652200000112</v>
      </c>
      <c r="M680" s="487">
        <v>652200000</v>
      </c>
      <c r="N680" s="487">
        <v>112</v>
      </c>
      <c r="O680" s="488" t="str">
        <f t="shared" si="133"/>
        <v/>
      </c>
      <c r="P680" s="489"/>
      <c r="Q680" s="489"/>
      <c r="R680" s="592" t="str">
        <f t="shared" si="134"/>
        <v/>
      </c>
      <c r="S680" s="487"/>
      <c r="T680" s="487"/>
      <c r="U680" s="488" t="str">
        <f t="shared" si="135"/>
        <v/>
      </c>
      <c r="V680" s="489"/>
      <c r="W680" s="489"/>
      <c r="X680" s="488" t="str">
        <f t="shared" si="136"/>
        <v/>
      </c>
      <c r="Y680" s="489"/>
      <c r="Z680" s="489"/>
      <c r="AA680" s="490" t="str">
        <f t="shared" si="127"/>
        <v>1013</v>
      </c>
      <c r="AB680" s="489">
        <v>10</v>
      </c>
      <c r="AC680" s="489">
        <v>13</v>
      </c>
      <c r="AD680" s="27">
        <v>210202</v>
      </c>
      <c r="AE680" s="27" t="s">
        <v>685</v>
      </c>
      <c r="AF680" s="432">
        <v>0</v>
      </c>
      <c r="AG680" s="432"/>
      <c r="AH680" s="432">
        <f t="shared" si="141"/>
        <v>0</v>
      </c>
      <c r="AJ680" s="445"/>
      <c r="AL680" s="448"/>
      <c r="AM680" s="467" t="e">
        <f>VLOOKUP(AD680,[6]BV201101!$A$10:$A$1236,1,0)</f>
        <v>#N/A</v>
      </c>
    </row>
    <row r="681" spans="1:39" s="467" customFormat="1" ht="12.75" customHeight="1">
      <c r="A681" s="487" t="str">
        <f t="shared" si="142"/>
        <v>2</v>
      </c>
      <c r="B681" s="487" t="str">
        <f t="shared" si="137"/>
        <v>10</v>
      </c>
      <c r="C681" s="487" t="str">
        <f t="shared" si="138"/>
        <v>20</v>
      </c>
      <c r="D681" s="487" t="str">
        <f t="shared" si="139"/>
        <v>0203</v>
      </c>
      <c r="E681" s="487">
        <v>521220000</v>
      </c>
      <c r="F681" s="488" t="str">
        <f t="shared" si="130"/>
        <v/>
      </c>
      <c r="G681" s="487"/>
      <c r="H681" s="487"/>
      <c r="I681" s="488" t="str">
        <f t="shared" si="131"/>
        <v/>
      </c>
      <c r="J681" s="487"/>
      <c r="K681" s="487"/>
      <c r="L681" s="488" t="str">
        <f t="shared" si="132"/>
        <v>652200000210</v>
      </c>
      <c r="M681" s="487">
        <v>652200000</v>
      </c>
      <c r="N681" s="487">
        <v>210</v>
      </c>
      <c r="O681" s="488" t="str">
        <f t="shared" si="133"/>
        <v/>
      </c>
      <c r="P681" s="489"/>
      <c r="Q681" s="489"/>
      <c r="R681" s="592" t="str">
        <f t="shared" si="134"/>
        <v/>
      </c>
      <c r="S681" s="487"/>
      <c r="T681" s="487"/>
      <c r="U681" s="488" t="str">
        <f t="shared" si="135"/>
        <v/>
      </c>
      <c r="V681" s="489"/>
      <c r="W681" s="489"/>
      <c r="X681" s="488" t="str">
        <f t="shared" si="136"/>
        <v/>
      </c>
      <c r="Y681" s="489"/>
      <c r="Z681" s="489"/>
      <c r="AA681" s="490" t="str">
        <f t="shared" si="127"/>
        <v>10132</v>
      </c>
      <c r="AB681" s="489">
        <v>10</v>
      </c>
      <c r="AC681" s="489">
        <v>132</v>
      </c>
      <c r="AD681" s="27">
        <v>210203</v>
      </c>
      <c r="AE681" s="27" t="s">
        <v>2157</v>
      </c>
      <c r="AF681" s="432">
        <v>0</v>
      </c>
      <c r="AG681" s="432"/>
      <c r="AH681" s="432">
        <f t="shared" si="141"/>
        <v>0</v>
      </c>
      <c r="AJ681" s="445"/>
      <c r="AL681" s="448"/>
      <c r="AM681" s="467" t="e">
        <f>VLOOKUP(AD681,[6]BV201101!$A$10:$A$1236,1,0)</f>
        <v>#N/A</v>
      </c>
    </row>
    <row r="682" spans="1:39" s="467" customFormat="1" ht="12.75" customHeight="1">
      <c r="A682" s="487" t="str">
        <f t="shared" si="142"/>
        <v>2</v>
      </c>
      <c r="B682" s="487" t="str">
        <f t="shared" si="137"/>
        <v>10</v>
      </c>
      <c r="C682" s="487" t="str">
        <f t="shared" si="138"/>
        <v>20</v>
      </c>
      <c r="D682" s="487" t="str">
        <f t="shared" si="139"/>
        <v>0204</v>
      </c>
      <c r="E682" s="487">
        <v>521220000</v>
      </c>
      <c r="F682" s="488" t="str">
        <f t="shared" si="130"/>
        <v/>
      </c>
      <c r="G682" s="487"/>
      <c r="H682" s="487"/>
      <c r="I682" s="488" t="str">
        <f t="shared" si="131"/>
        <v/>
      </c>
      <c r="J682" s="487"/>
      <c r="K682" s="487"/>
      <c r="L682" s="488" t="str">
        <f t="shared" si="132"/>
        <v>652200000202</v>
      </c>
      <c r="M682" s="487">
        <v>652200000</v>
      </c>
      <c r="N682" s="487">
        <v>202</v>
      </c>
      <c r="O682" s="488" t="str">
        <f t="shared" si="133"/>
        <v/>
      </c>
      <c r="P682" s="489"/>
      <c r="Q682" s="489"/>
      <c r="R682" s="592" t="str">
        <f t="shared" si="134"/>
        <v/>
      </c>
      <c r="S682" s="487"/>
      <c r="T682" s="487"/>
      <c r="U682" s="488" t="str">
        <f t="shared" si="135"/>
        <v/>
      </c>
      <c r="V682" s="489"/>
      <c r="W682" s="489"/>
      <c r="X682" s="488" t="str">
        <f t="shared" si="136"/>
        <v/>
      </c>
      <c r="Y682" s="489"/>
      <c r="Z682" s="489"/>
      <c r="AA682" s="490" t="str">
        <f t="shared" si="127"/>
        <v>10133</v>
      </c>
      <c r="AB682" s="489">
        <v>10</v>
      </c>
      <c r="AC682" s="489">
        <v>133</v>
      </c>
      <c r="AD682" s="27">
        <v>210204</v>
      </c>
      <c r="AE682" s="27" t="s">
        <v>2158</v>
      </c>
      <c r="AF682" s="432">
        <v>0</v>
      </c>
      <c r="AG682" s="432"/>
      <c r="AH682" s="432">
        <f t="shared" si="141"/>
        <v>0</v>
      </c>
      <c r="AJ682" s="445"/>
      <c r="AL682" s="448"/>
      <c r="AM682" s="467" t="e">
        <f>VLOOKUP(AD682,[6]BV201101!$A$10:$A$1236,1,0)</f>
        <v>#N/A</v>
      </c>
    </row>
    <row r="683" spans="1:39" s="467" customFormat="1" ht="12.75" customHeight="1">
      <c r="A683" s="487" t="str">
        <f t="shared" si="142"/>
        <v>2</v>
      </c>
      <c r="B683" s="487" t="str">
        <f t="shared" si="137"/>
        <v>10</v>
      </c>
      <c r="C683" s="487" t="str">
        <f t="shared" si="138"/>
        <v>20</v>
      </c>
      <c r="D683" s="487" t="str">
        <f t="shared" si="139"/>
        <v>0205</v>
      </c>
      <c r="E683" s="487">
        <v>521220000</v>
      </c>
      <c r="F683" s="488" t="str">
        <f t="shared" si="130"/>
        <v/>
      </c>
      <c r="G683" s="487"/>
      <c r="H683" s="487"/>
      <c r="I683" s="488" t="str">
        <f t="shared" si="131"/>
        <v/>
      </c>
      <c r="J683" s="487"/>
      <c r="K683" s="487"/>
      <c r="L683" s="488" t="str">
        <f t="shared" si="132"/>
        <v>652200000101</v>
      </c>
      <c r="M683" s="487">
        <v>652200000</v>
      </c>
      <c r="N683" s="487">
        <v>101</v>
      </c>
      <c r="O683" s="488" t="str">
        <f t="shared" si="133"/>
        <v/>
      </c>
      <c r="P683" s="489"/>
      <c r="Q683" s="489"/>
      <c r="R683" s="592" t="str">
        <f t="shared" si="134"/>
        <v/>
      </c>
      <c r="S683" s="487"/>
      <c r="T683" s="487"/>
      <c r="U683" s="488" t="str">
        <f t="shared" si="135"/>
        <v/>
      </c>
      <c r="V683" s="489"/>
      <c r="W683" s="489"/>
      <c r="X683" s="488" t="str">
        <f t="shared" si="136"/>
        <v/>
      </c>
      <c r="Y683" s="489"/>
      <c r="Z683" s="489"/>
      <c r="AA683" s="490" t="str">
        <f t="shared" ref="AA683:AA776" si="143">+AB683&amp;AC683</f>
        <v>10134</v>
      </c>
      <c r="AB683" s="489">
        <v>10</v>
      </c>
      <c r="AC683" s="489">
        <v>134</v>
      </c>
      <c r="AD683" s="27">
        <v>210205</v>
      </c>
      <c r="AE683" s="27" t="s">
        <v>2159</v>
      </c>
      <c r="AF683" s="432">
        <v>0</v>
      </c>
      <c r="AG683" s="432"/>
      <c r="AH683" s="432">
        <f t="shared" si="141"/>
        <v>0</v>
      </c>
      <c r="AJ683" s="445"/>
      <c r="AL683" s="448"/>
      <c r="AM683" s="467" t="e">
        <f>VLOOKUP(AD683,[6]BV201101!$A$10:$A$1236,1,0)</f>
        <v>#N/A</v>
      </c>
    </row>
    <row r="684" spans="1:39" s="467" customFormat="1" ht="12.75" customHeight="1">
      <c r="A684" s="487" t="str">
        <f t="shared" si="142"/>
        <v>2</v>
      </c>
      <c r="B684" s="487" t="str">
        <f t="shared" si="137"/>
        <v>10</v>
      </c>
      <c r="C684" s="487" t="str">
        <f t="shared" si="138"/>
        <v>20</v>
      </c>
      <c r="D684" s="487" t="str">
        <f t="shared" si="139"/>
        <v>0206</v>
      </c>
      <c r="E684" s="487">
        <v>521220000</v>
      </c>
      <c r="F684" s="488" t="str">
        <f t="shared" si="130"/>
        <v/>
      </c>
      <c r="G684" s="487"/>
      <c r="H684" s="487"/>
      <c r="I684" s="488" t="str">
        <f t="shared" si="131"/>
        <v/>
      </c>
      <c r="J684" s="487"/>
      <c r="K684" s="487"/>
      <c r="L684" s="488" t="str">
        <f t="shared" si="132"/>
        <v>652200000209</v>
      </c>
      <c r="M684" s="487">
        <v>652200000</v>
      </c>
      <c r="N684" s="487">
        <v>209</v>
      </c>
      <c r="O684" s="488" t="str">
        <f t="shared" si="133"/>
        <v/>
      </c>
      <c r="P684" s="489"/>
      <c r="Q684" s="489"/>
      <c r="R684" s="592" t="str">
        <f t="shared" si="134"/>
        <v/>
      </c>
      <c r="S684" s="487"/>
      <c r="T684" s="487"/>
      <c r="U684" s="488" t="str">
        <f t="shared" si="135"/>
        <v/>
      </c>
      <c r="V684" s="489"/>
      <c r="W684" s="489"/>
      <c r="X684" s="488" t="str">
        <f t="shared" si="136"/>
        <v/>
      </c>
      <c r="Y684" s="489"/>
      <c r="Z684" s="489"/>
      <c r="AA684" s="490" t="str">
        <f t="shared" si="143"/>
        <v>10135</v>
      </c>
      <c r="AB684" s="489">
        <v>10</v>
      </c>
      <c r="AC684" s="489">
        <v>135</v>
      </c>
      <c r="AD684" s="27">
        <v>210206</v>
      </c>
      <c r="AE684" s="27" t="s">
        <v>1030</v>
      </c>
      <c r="AF684" s="432">
        <v>0</v>
      </c>
      <c r="AG684" s="432"/>
      <c r="AH684" s="432">
        <f t="shared" si="141"/>
        <v>0</v>
      </c>
      <c r="AJ684" s="445"/>
      <c r="AL684" s="448"/>
      <c r="AM684" s="467" t="e">
        <f>VLOOKUP(AD684,[6]BV201101!$A$10:$A$1236,1,0)</f>
        <v>#N/A</v>
      </c>
    </row>
    <row r="685" spans="1:39" s="467" customFormat="1" ht="12.75" customHeight="1">
      <c r="A685" s="487" t="str">
        <f t="shared" si="142"/>
        <v>2</v>
      </c>
      <c r="B685" s="487" t="str">
        <f t="shared" si="137"/>
        <v>10</v>
      </c>
      <c r="C685" s="487" t="str">
        <f t="shared" si="138"/>
        <v>20</v>
      </c>
      <c r="D685" s="487" t="str">
        <f t="shared" si="139"/>
        <v>0207</v>
      </c>
      <c r="E685" s="487">
        <v>521220000</v>
      </c>
      <c r="F685" s="488" t="str">
        <f t="shared" si="130"/>
        <v/>
      </c>
      <c r="G685" s="487"/>
      <c r="H685" s="487"/>
      <c r="I685" s="488" t="str">
        <f t="shared" si="131"/>
        <v/>
      </c>
      <c r="J685" s="487"/>
      <c r="K685" s="487"/>
      <c r="L685" s="488" t="str">
        <f t="shared" si="132"/>
        <v>652200000109</v>
      </c>
      <c r="M685" s="489">
        <v>652200000</v>
      </c>
      <c r="N685" s="489">
        <v>109</v>
      </c>
      <c r="O685" s="488" t="str">
        <f t="shared" si="133"/>
        <v/>
      </c>
      <c r="P685" s="487"/>
      <c r="Q685" s="489"/>
      <c r="R685" s="592" t="str">
        <f t="shared" si="134"/>
        <v/>
      </c>
      <c r="S685" s="448"/>
      <c r="T685" s="448"/>
      <c r="U685" s="488" t="str">
        <f t="shared" si="135"/>
        <v/>
      </c>
      <c r="V685" s="489"/>
      <c r="W685" s="489"/>
      <c r="X685" s="488" t="str">
        <f t="shared" si="136"/>
        <v/>
      </c>
      <c r="Y685" s="489"/>
      <c r="Z685" s="489"/>
      <c r="AA685" s="490" t="str">
        <f t="shared" si="143"/>
        <v>10136</v>
      </c>
      <c r="AB685" s="489">
        <v>10</v>
      </c>
      <c r="AC685" s="489">
        <v>136</v>
      </c>
      <c r="AD685" s="27">
        <v>210207</v>
      </c>
      <c r="AE685" s="27" t="s">
        <v>1031</v>
      </c>
      <c r="AF685" s="432">
        <v>0</v>
      </c>
      <c r="AG685" s="432"/>
      <c r="AH685" s="432">
        <f t="shared" si="141"/>
        <v>0</v>
      </c>
      <c r="AJ685" s="445"/>
      <c r="AL685" s="448"/>
      <c r="AM685" s="467" t="e">
        <f>VLOOKUP(AD685,[6]BV201101!$A$10:$A$1236,1,0)</f>
        <v>#N/A</v>
      </c>
    </row>
    <row r="686" spans="1:39" s="467" customFormat="1" ht="12.75" customHeight="1">
      <c r="A686" s="487" t="str">
        <f t="shared" si="142"/>
        <v>2</v>
      </c>
      <c r="B686" s="487" t="str">
        <f t="shared" si="137"/>
        <v>10</v>
      </c>
      <c r="C686" s="487" t="str">
        <f t="shared" si="138"/>
        <v>20</v>
      </c>
      <c r="D686" s="487" t="str">
        <f t="shared" si="139"/>
        <v>0208</v>
      </c>
      <c r="E686" s="487">
        <v>521220000</v>
      </c>
      <c r="F686" s="488" t="str">
        <f t="shared" si="130"/>
        <v/>
      </c>
      <c r="G686" s="487"/>
      <c r="H686" s="487"/>
      <c r="I686" s="488" t="str">
        <f t="shared" si="131"/>
        <v/>
      </c>
      <c r="J686" s="487"/>
      <c r="K686" s="487"/>
      <c r="L686" s="488" t="str">
        <f t="shared" si="132"/>
        <v>652200000101</v>
      </c>
      <c r="M686" s="489">
        <v>652200000</v>
      </c>
      <c r="N686" s="489">
        <v>101</v>
      </c>
      <c r="O686" s="488" t="str">
        <f t="shared" si="133"/>
        <v/>
      </c>
      <c r="P686" s="487"/>
      <c r="Q686" s="489"/>
      <c r="R686" s="592" t="str">
        <f t="shared" si="134"/>
        <v/>
      </c>
      <c r="S686" s="448"/>
      <c r="T686" s="448"/>
      <c r="U686" s="488" t="str">
        <f t="shared" si="135"/>
        <v>621220000101</v>
      </c>
      <c r="V686" s="489">
        <v>621220000</v>
      </c>
      <c r="W686" s="489">
        <v>101</v>
      </c>
      <c r="X686" s="488" t="str">
        <f t="shared" si="136"/>
        <v/>
      </c>
      <c r="Y686" s="489"/>
      <c r="Z686" s="489"/>
      <c r="AA686" s="490" t="str">
        <f t="shared" si="143"/>
        <v>1014</v>
      </c>
      <c r="AB686" s="489">
        <v>10</v>
      </c>
      <c r="AC686" s="489">
        <v>14</v>
      </c>
      <c r="AD686" s="27">
        <v>210208</v>
      </c>
      <c r="AE686" s="27" t="s">
        <v>2160</v>
      </c>
      <c r="AF686" s="432">
        <v>0</v>
      </c>
      <c r="AG686" s="432"/>
      <c r="AH686" s="432">
        <f t="shared" si="141"/>
        <v>0</v>
      </c>
      <c r="AJ686" s="445"/>
      <c r="AL686" s="448"/>
      <c r="AM686" s="467" t="e">
        <f>VLOOKUP(AD686,[6]BV201101!$A$10:$A$1236,1,0)</f>
        <v>#N/A</v>
      </c>
    </row>
    <row r="687" spans="1:39" s="467" customFormat="1" ht="12.75" customHeight="1">
      <c r="A687" s="487" t="str">
        <f t="shared" si="142"/>
        <v>2</v>
      </c>
      <c r="B687" s="487" t="str">
        <f t="shared" si="137"/>
        <v>10</v>
      </c>
      <c r="C687" s="487" t="str">
        <f t="shared" si="138"/>
        <v>20</v>
      </c>
      <c r="D687" s="487" t="str">
        <f t="shared" si="139"/>
        <v>0209</v>
      </c>
      <c r="E687" s="487">
        <v>521232000</v>
      </c>
      <c r="F687" s="488" t="str">
        <f t="shared" si="130"/>
        <v/>
      </c>
      <c r="G687" s="487"/>
      <c r="H687" s="487"/>
      <c r="I687" s="488" t="str">
        <f t="shared" si="131"/>
        <v/>
      </c>
      <c r="J687" s="487"/>
      <c r="K687" s="487"/>
      <c r="L687" s="488" t="str">
        <f t="shared" si="132"/>
        <v>653200000103</v>
      </c>
      <c r="M687" s="489">
        <v>653200000</v>
      </c>
      <c r="N687" s="489">
        <v>103</v>
      </c>
      <c r="O687" s="488" t="str">
        <f t="shared" si="133"/>
        <v/>
      </c>
      <c r="P687" s="489"/>
      <c r="Q687" s="489"/>
      <c r="R687" s="592" t="str">
        <f t="shared" si="134"/>
        <v/>
      </c>
      <c r="S687" s="489"/>
      <c r="T687" s="487"/>
      <c r="U687" s="488" t="str">
        <f t="shared" si="135"/>
        <v/>
      </c>
      <c r="V687" s="489"/>
      <c r="W687" s="489"/>
      <c r="X687" s="488" t="str">
        <f t="shared" si="136"/>
        <v/>
      </c>
      <c r="Y687" s="489"/>
      <c r="Z687" s="489"/>
      <c r="AA687" s="490" t="str">
        <f t="shared" si="143"/>
        <v>10101</v>
      </c>
      <c r="AB687" s="489">
        <v>10</v>
      </c>
      <c r="AC687" s="489">
        <v>101</v>
      </c>
      <c r="AD687" s="27">
        <v>210209</v>
      </c>
      <c r="AE687" s="27" t="s">
        <v>1032</v>
      </c>
      <c r="AF687" s="432">
        <v>0</v>
      </c>
      <c r="AG687" s="432"/>
      <c r="AH687" s="432">
        <f t="shared" si="141"/>
        <v>0</v>
      </c>
      <c r="AJ687" s="445"/>
      <c r="AL687" s="448"/>
      <c r="AM687" s="467" t="e">
        <f>VLOOKUP(AD687,[6]BV201101!$A$10:$A$1236,1,0)</f>
        <v>#N/A</v>
      </c>
    </row>
    <row r="688" spans="1:39" s="467" customFormat="1" ht="12.75" customHeight="1">
      <c r="A688" s="487" t="str">
        <f t="shared" si="142"/>
        <v>2</v>
      </c>
      <c r="B688" s="487" t="str">
        <f t="shared" si="137"/>
        <v>10</v>
      </c>
      <c r="C688" s="487" t="str">
        <f t="shared" si="138"/>
        <v>21</v>
      </c>
      <c r="D688" s="487" t="str">
        <f t="shared" si="139"/>
        <v>0210</v>
      </c>
      <c r="E688" s="487">
        <v>521220000</v>
      </c>
      <c r="F688" s="488" t="str">
        <f t="shared" si="130"/>
        <v/>
      </c>
      <c r="G688" s="487"/>
      <c r="H688" s="487"/>
      <c r="I688" s="488" t="str">
        <f t="shared" si="131"/>
        <v/>
      </c>
      <c r="J688" s="487"/>
      <c r="K688" s="487"/>
      <c r="L688" s="488" t="str">
        <f t="shared" si="132"/>
        <v>652200000104</v>
      </c>
      <c r="M688" s="489">
        <v>652200000</v>
      </c>
      <c r="N688" s="489">
        <v>104</v>
      </c>
      <c r="O688" s="488" t="str">
        <f t="shared" si="133"/>
        <v/>
      </c>
      <c r="P688" s="489"/>
      <c r="Q688" s="489"/>
      <c r="R688" s="592" t="str">
        <f t="shared" si="134"/>
        <v/>
      </c>
      <c r="S688" s="489"/>
      <c r="T688" s="487"/>
      <c r="U688" s="488" t="str">
        <f t="shared" si="135"/>
        <v/>
      </c>
      <c r="V688" s="489"/>
      <c r="W688" s="489"/>
      <c r="X688" s="488" t="str">
        <f t="shared" si="136"/>
        <v/>
      </c>
      <c r="Y688" s="489"/>
      <c r="Z688" s="489"/>
      <c r="AA688" s="490" t="str">
        <f t="shared" si="143"/>
        <v>10137</v>
      </c>
      <c r="AB688" s="489">
        <v>10</v>
      </c>
      <c r="AC688" s="489">
        <v>137</v>
      </c>
      <c r="AD688" s="27">
        <v>210210</v>
      </c>
      <c r="AE688" s="27" t="s">
        <v>1033</v>
      </c>
      <c r="AF688" s="432">
        <v>0</v>
      </c>
      <c r="AG688" s="432"/>
      <c r="AH688" s="432">
        <f t="shared" si="141"/>
        <v>0</v>
      </c>
      <c r="AJ688" s="445"/>
      <c r="AL688" s="448"/>
      <c r="AM688" s="467" t="e">
        <f>VLOOKUP(AD688,[6]BV201101!$A$10:$A$1236,1,0)</f>
        <v>#N/A</v>
      </c>
    </row>
    <row r="689" spans="1:39" s="467" customFormat="1" ht="12.75" customHeight="1">
      <c r="A689" s="487" t="str">
        <f t="shared" si="142"/>
        <v>2</v>
      </c>
      <c r="B689" s="487" t="str">
        <f t="shared" si="137"/>
        <v>10</v>
      </c>
      <c r="C689" s="487" t="str">
        <f t="shared" si="138"/>
        <v>21</v>
      </c>
      <c r="D689" s="487" t="str">
        <f t="shared" si="139"/>
        <v>0211</v>
      </c>
      <c r="E689" s="487">
        <v>521220000</v>
      </c>
      <c r="F689" s="488" t="str">
        <f t="shared" si="130"/>
        <v/>
      </c>
      <c r="G689" s="487"/>
      <c r="H689" s="487"/>
      <c r="I689" s="488" t="str">
        <f t="shared" si="131"/>
        <v/>
      </c>
      <c r="J689" s="487"/>
      <c r="K689" s="487"/>
      <c r="L689" s="488" t="str">
        <f t="shared" si="132"/>
        <v>652200000108</v>
      </c>
      <c r="M689" s="489">
        <v>652200000</v>
      </c>
      <c r="N689" s="489">
        <v>108</v>
      </c>
      <c r="O689" s="488" t="str">
        <f t="shared" si="133"/>
        <v/>
      </c>
      <c r="P689" s="489"/>
      <c r="Q689" s="489"/>
      <c r="R689" s="592" t="str">
        <f t="shared" si="134"/>
        <v/>
      </c>
      <c r="S689" s="489"/>
      <c r="T689" s="487"/>
      <c r="U689" s="488" t="str">
        <f t="shared" si="135"/>
        <v/>
      </c>
      <c r="V689" s="489"/>
      <c r="W689" s="489"/>
      <c r="X689" s="488" t="str">
        <f t="shared" si="136"/>
        <v/>
      </c>
      <c r="Y689" s="489"/>
      <c r="Z689" s="489"/>
      <c r="AA689" s="490" t="str">
        <f t="shared" si="143"/>
        <v>10138</v>
      </c>
      <c r="AB689" s="489">
        <v>10</v>
      </c>
      <c r="AC689" s="489">
        <v>138</v>
      </c>
      <c r="AD689" s="27">
        <v>210211</v>
      </c>
      <c r="AE689" s="27" t="s">
        <v>2161</v>
      </c>
      <c r="AF689" s="432">
        <v>0</v>
      </c>
      <c r="AG689" s="432"/>
      <c r="AH689" s="432">
        <f t="shared" si="141"/>
        <v>0</v>
      </c>
      <c r="AJ689" s="445"/>
      <c r="AL689" s="448"/>
      <c r="AM689" s="467" t="e">
        <f>VLOOKUP(AD689,[6]BV201101!$A$10:$A$1236,1,0)</f>
        <v>#N/A</v>
      </c>
    </row>
    <row r="690" spans="1:39" s="467" customFormat="1" ht="12.75" customHeight="1">
      <c r="A690" s="487" t="str">
        <f t="shared" si="142"/>
        <v>2</v>
      </c>
      <c r="B690" s="487" t="str">
        <f t="shared" si="137"/>
        <v>10</v>
      </c>
      <c r="C690" s="487" t="str">
        <f t="shared" si="138"/>
        <v>21</v>
      </c>
      <c r="D690" s="487" t="str">
        <f t="shared" si="139"/>
        <v>0212</v>
      </c>
      <c r="E690" s="487">
        <v>521220000</v>
      </c>
      <c r="F690" s="488" t="str">
        <f t="shared" si="130"/>
        <v/>
      </c>
      <c r="G690" s="489"/>
      <c r="H690" s="489"/>
      <c r="I690" s="488" t="str">
        <f t="shared" si="131"/>
        <v/>
      </c>
      <c r="J690" s="487"/>
      <c r="K690" s="487"/>
      <c r="L690" s="488" t="str">
        <f t="shared" si="132"/>
        <v>652200000208</v>
      </c>
      <c r="M690" s="487">
        <v>652200000</v>
      </c>
      <c r="N690" s="487">
        <v>208</v>
      </c>
      <c r="O690" s="488" t="str">
        <f t="shared" si="133"/>
        <v/>
      </c>
      <c r="P690" s="489"/>
      <c r="Q690" s="489"/>
      <c r="R690" s="592" t="str">
        <f t="shared" si="134"/>
        <v/>
      </c>
      <c r="S690" s="487"/>
      <c r="T690" s="487"/>
      <c r="U690" s="488" t="str">
        <f t="shared" si="135"/>
        <v/>
      </c>
      <c r="V690" s="489"/>
      <c r="W690" s="489"/>
      <c r="X690" s="488" t="str">
        <f t="shared" si="136"/>
        <v/>
      </c>
      <c r="Y690" s="489"/>
      <c r="Z690" s="489"/>
      <c r="AA690" s="490" t="str">
        <f t="shared" si="143"/>
        <v>10139</v>
      </c>
      <c r="AB690" s="489">
        <v>10</v>
      </c>
      <c r="AC690" s="489">
        <v>139</v>
      </c>
      <c r="AD690" s="27">
        <v>210212</v>
      </c>
      <c r="AE690" s="27" t="s">
        <v>2162</v>
      </c>
      <c r="AF690" s="432">
        <v>0</v>
      </c>
      <c r="AG690" s="432"/>
      <c r="AH690" s="432">
        <f t="shared" si="141"/>
        <v>0</v>
      </c>
      <c r="AJ690" s="445"/>
      <c r="AK690" s="445">
        <f>+AK595+AJ595</f>
        <v>1139772657</v>
      </c>
      <c r="AL690" s="448"/>
      <c r="AM690" s="467" t="e">
        <f>VLOOKUP(AD690,[6]BV201101!$A$10:$A$1236,1,0)</f>
        <v>#N/A</v>
      </c>
    </row>
    <row r="691" spans="1:39" s="467" customFormat="1" ht="12.75" customHeight="1">
      <c r="A691" s="487" t="str">
        <f t="shared" si="142"/>
        <v>2</v>
      </c>
      <c r="B691" s="487" t="str">
        <f t="shared" si="137"/>
        <v>10</v>
      </c>
      <c r="C691" s="487" t="str">
        <f t="shared" si="138"/>
        <v>21</v>
      </c>
      <c r="D691" s="487" t="str">
        <f t="shared" si="139"/>
        <v>0213</v>
      </c>
      <c r="E691" s="487">
        <v>521231000</v>
      </c>
      <c r="F691" s="488" t="str">
        <f t="shared" si="130"/>
        <v/>
      </c>
      <c r="G691" s="487"/>
      <c r="H691" s="487"/>
      <c r="I691" s="488" t="str">
        <f t="shared" si="131"/>
        <v/>
      </c>
      <c r="J691" s="487"/>
      <c r="K691" s="487"/>
      <c r="L691" s="488" t="str">
        <f t="shared" si="132"/>
        <v>653200000114</v>
      </c>
      <c r="M691" s="489">
        <v>653200000</v>
      </c>
      <c r="N691" s="489">
        <v>114</v>
      </c>
      <c r="O691" s="488" t="str">
        <f t="shared" si="133"/>
        <v/>
      </c>
      <c r="P691" s="487"/>
      <c r="Q691" s="489"/>
      <c r="R691" s="592" t="str">
        <f t="shared" si="134"/>
        <v/>
      </c>
      <c r="S691" s="448"/>
      <c r="T691" s="448"/>
      <c r="U691" s="488" t="str">
        <f t="shared" si="135"/>
        <v/>
      </c>
      <c r="V691" s="489"/>
      <c r="W691" s="489"/>
      <c r="X691" s="488" t="str">
        <f t="shared" si="136"/>
        <v/>
      </c>
      <c r="Y691" s="489"/>
      <c r="Z691" s="489"/>
      <c r="AA691" s="490" t="str">
        <f t="shared" si="143"/>
        <v>10100</v>
      </c>
      <c r="AB691" s="489">
        <v>10</v>
      </c>
      <c r="AC691" s="489">
        <v>100</v>
      </c>
      <c r="AD691" s="27">
        <v>210213</v>
      </c>
      <c r="AE691" s="27" t="s">
        <v>574</v>
      </c>
      <c r="AF691" s="432">
        <v>0</v>
      </c>
      <c r="AG691" s="432"/>
      <c r="AH691" s="432">
        <f t="shared" si="141"/>
        <v>0</v>
      </c>
      <c r="AJ691" s="445"/>
      <c r="AL691" s="448"/>
      <c r="AM691" s="467" t="e">
        <f>VLOOKUP(AD691,[6]BV201101!$A$10:$A$1236,1,0)</f>
        <v>#N/A</v>
      </c>
    </row>
    <row r="692" spans="1:39" s="467" customFormat="1" ht="12.75" customHeight="1">
      <c r="A692" s="487" t="str">
        <f t="shared" si="142"/>
        <v>2</v>
      </c>
      <c r="B692" s="487" t="str">
        <f t="shared" si="137"/>
        <v>10</v>
      </c>
      <c r="C692" s="487" t="str">
        <f t="shared" si="138"/>
        <v>21</v>
      </c>
      <c r="D692" s="487" t="str">
        <f t="shared" si="139"/>
        <v>0214</v>
      </c>
      <c r="E692" s="487">
        <v>521220000</v>
      </c>
      <c r="F692" s="488" t="str">
        <f t="shared" si="130"/>
        <v/>
      </c>
      <c r="G692" s="487"/>
      <c r="H692" s="487"/>
      <c r="I692" s="488" t="str">
        <f t="shared" si="131"/>
        <v/>
      </c>
      <c r="J692" s="487"/>
      <c r="K692" s="487"/>
      <c r="L692" s="488" t="str">
        <f t="shared" si="132"/>
        <v>652200000206</v>
      </c>
      <c r="M692" s="489">
        <v>652200000</v>
      </c>
      <c r="N692" s="489">
        <v>206</v>
      </c>
      <c r="O692" s="488" t="str">
        <f t="shared" si="133"/>
        <v/>
      </c>
      <c r="P692" s="487"/>
      <c r="Q692" s="489"/>
      <c r="R692" s="592" t="str">
        <f t="shared" si="134"/>
        <v/>
      </c>
      <c r="S692" s="448"/>
      <c r="T692" s="448"/>
      <c r="U692" s="488" t="str">
        <f t="shared" si="135"/>
        <v/>
      </c>
      <c r="V692" s="489"/>
      <c r="W692" s="489"/>
      <c r="X692" s="488" t="str">
        <f t="shared" si="136"/>
        <v/>
      </c>
      <c r="Y692" s="489"/>
      <c r="Z692" s="489"/>
      <c r="AA692" s="490" t="str">
        <f t="shared" si="143"/>
        <v>10140</v>
      </c>
      <c r="AB692" s="489">
        <v>10</v>
      </c>
      <c r="AC692" s="489">
        <v>140</v>
      </c>
      <c r="AD692" s="27">
        <v>210214</v>
      </c>
      <c r="AE692" s="27" t="s">
        <v>575</v>
      </c>
      <c r="AF692" s="432">
        <v>0</v>
      </c>
      <c r="AG692" s="432"/>
      <c r="AH692" s="432">
        <f t="shared" si="141"/>
        <v>0</v>
      </c>
      <c r="AJ692" s="445"/>
      <c r="AL692" s="448"/>
      <c r="AM692" s="467" t="e">
        <f>VLOOKUP(AD692,[6]BV201101!$A$10:$A$1236,1,0)</f>
        <v>#N/A</v>
      </c>
    </row>
    <row r="693" spans="1:39" s="467" customFormat="1" ht="12.75" customHeight="1">
      <c r="A693" s="487" t="str">
        <f t="shared" si="142"/>
        <v>2</v>
      </c>
      <c r="B693" s="487" t="str">
        <f t="shared" si="137"/>
        <v>10</v>
      </c>
      <c r="C693" s="487" t="str">
        <f t="shared" si="138"/>
        <v>21</v>
      </c>
      <c r="D693" s="487" t="str">
        <f t="shared" si="139"/>
        <v>0215</v>
      </c>
      <c r="E693" s="487">
        <v>521220000</v>
      </c>
      <c r="F693" s="488" t="str">
        <f t="shared" si="130"/>
        <v/>
      </c>
      <c r="G693" s="487"/>
      <c r="H693" s="487"/>
      <c r="I693" s="488" t="str">
        <f t="shared" si="131"/>
        <v/>
      </c>
      <c r="J693" s="487"/>
      <c r="K693" s="487"/>
      <c r="L693" s="488" t="str">
        <f t="shared" si="132"/>
        <v>652200000207</v>
      </c>
      <c r="M693" s="487">
        <v>652200000</v>
      </c>
      <c r="N693" s="487">
        <v>207</v>
      </c>
      <c r="O693" s="488" t="str">
        <f t="shared" si="133"/>
        <v/>
      </c>
      <c r="P693" s="489"/>
      <c r="Q693" s="489"/>
      <c r="R693" s="592" t="str">
        <f t="shared" si="134"/>
        <v/>
      </c>
      <c r="S693" s="487"/>
      <c r="T693" s="487"/>
      <c r="U693" s="488" t="str">
        <f t="shared" si="135"/>
        <v/>
      </c>
      <c r="V693" s="489"/>
      <c r="W693" s="489"/>
      <c r="X693" s="488" t="str">
        <f t="shared" si="136"/>
        <v/>
      </c>
      <c r="Y693" s="489"/>
      <c r="Z693" s="489"/>
      <c r="AA693" s="490" t="str">
        <f t="shared" si="143"/>
        <v>10141</v>
      </c>
      <c r="AB693" s="489">
        <v>10</v>
      </c>
      <c r="AC693" s="489">
        <v>141</v>
      </c>
      <c r="AD693" s="27">
        <v>210215</v>
      </c>
      <c r="AE693" s="27" t="s">
        <v>2163</v>
      </c>
      <c r="AF693" s="432">
        <v>0</v>
      </c>
      <c r="AG693" s="432"/>
      <c r="AH693" s="432">
        <f t="shared" si="141"/>
        <v>0</v>
      </c>
      <c r="AL693" s="448"/>
      <c r="AM693" s="467" t="e">
        <f>VLOOKUP(AD693,[6]BV201101!$A$10:$A$1236,1,0)</f>
        <v>#N/A</v>
      </c>
    </row>
    <row r="694" spans="1:39" s="467" customFormat="1" ht="12.75" customHeight="1">
      <c r="A694" s="487" t="str">
        <f t="shared" si="142"/>
        <v>2</v>
      </c>
      <c r="B694" s="487" t="str">
        <f t="shared" si="137"/>
        <v>10</v>
      </c>
      <c r="C694" s="487" t="str">
        <f t="shared" si="138"/>
        <v>21</v>
      </c>
      <c r="D694" s="487" t="str">
        <f t="shared" si="139"/>
        <v>0216</v>
      </c>
      <c r="E694" s="487">
        <v>521220000</v>
      </c>
      <c r="F694" s="488" t="str">
        <f t="shared" si="130"/>
        <v/>
      </c>
      <c r="G694" s="487"/>
      <c r="H694" s="487"/>
      <c r="I694" s="488" t="str">
        <f t="shared" si="131"/>
        <v/>
      </c>
      <c r="J694" s="487"/>
      <c r="K694" s="487"/>
      <c r="L694" s="488" t="str">
        <f t="shared" si="132"/>
        <v>652200000112</v>
      </c>
      <c r="M694" s="487">
        <v>652200000</v>
      </c>
      <c r="N694" s="487">
        <v>112</v>
      </c>
      <c r="O694" s="488" t="str">
        <f t="shared" si="133"/>
        <v/>
      </c>
      <c r="P694" s="489"/>
      <c r="Q694" s="489"/>
      <c r="R694" s="592" t="str">
        <f t="shared" si="134"/>
        <v/>
      </c>
      <c r="S694" s="487"/>
      <c r="T694" s="487"/>
      <c r="U694" s="488" t="str">
        <f t="shared" si="135"/>
        <v/>
      </c>
      <c r="V694" s="489"/>
      <c r="W694" s="489"/>
      <c r="X694" s="488" t="str">
        <f t="shared" si="136"/>
        <v/>
      </c>
      <c r="Y694" s="489"/>
      <c r="Z694" s="489"/>
      <c r="AA694" s="490" t="str">
        <f t="shared" si="143"/>
        <v>1013</v>
      </c>
      <c r="AB694" s="489">
        <v>10</v>
      </c>
      <c r="AC694" s="489">
        <v>13</v>
      </c>
      <c r="AD694" s="27">
        <v>210216</v>
      </c>
      <c r="AE694" s="27" t="s">
        <v>1089</v>
      </c>
      <c r="AF694" s="432">
        <v>0</v>
      </c>
      <c r="AG694" s="432"/>
      <c r="AH694" s="432">
        <f t="shared" si="141"/>
        <v>0</v>
      </c>
      <c r="AL694" s="448"/>
      <c r="AM694" s="467" t="e">
        <f>VLOOKUP(AD694,[6]BV201101!$A$10:$A$1236,1,0)</f>
        <v>#N/A</v>
      </c>
    </row>
    <row r="695" spans="1:39" s="467" customFormat="1" ht="12.75" customHeight="1">
      <c r="A695" s="487" t="str">
        <f t="shared" si="142"/>
        <v>2</v>
      </c>
      <c r="B695" s="487" t="str">
        <f t="shared" si="137"/>
        <v>10</v>
      </c>
      <c r="C695" s="487" t="str">
        <f t="shared" si="138"/>
        <v>21</v>
      </c>
      <c r="D695" s="487" t="str">
        <f t="shared" si="139"/>
        <v>0217</v>
      </c>
      <c r="E695" s="487">
        <v>521220000</v>
      </c>
      <c r="F695" s="488" t="str">
        <f t="shared" si="130"/>
        <v/>
      </c>
      <c r="G695" s="487"/>
      <c r="H695" s="487"/>
      <c r="I695" s="488" t="str">
        <f t="shared" si="131"/>
        <v/>
      </c>
      <c r="J695" s="487"/>
      <c r="K695" s="487"/>
      <c r="L695" s="488" t="str">
        <f t="shared" si="132"/>
        <v>652200000212</v>
      </c>
      <c r="M695" s="487">
        <v>652200000</v>
      </c>
      <c r="N695" s="487">
        <v>212</v>
      </c>
      <c r="O695" s="488" t="str">
        <f t="shared" si="133"/>
        <v/>
      </c>
      <c r="P695" s="489"/>
      <c r="Q695" s="489"/>
      <c r="R695" s="592" t="str">
        <f t="shared" si="134"/>
        <v/>
      </c>
      <c r="S695" s="487"/>
      <c r="T695" s="487"/>
      <c r="U695" s="488" t="str">
        <f t="shared" si="135"/>
        <v/>
      </c>
      <c r="V695" s="489"/>
      <c r="W695" s="489"/>
      <c r="X695" s="488" t="str">
        <f t="shared" si="136"/>
        <v/>
      </c>
      <c r="Y695" s="489"/>
      <c r="Z695" s="489"/>
      <c r="AA695" s="490" t="str">
        <f t="shared" si="143"/>
        <v>1015</v>
      </c>
      <c r="AB695" s="489">
        <v>10</v>
      </c>
      <c r="AC695" s="489">
        <v>15</v>
      </c>
      <c r="AD695" s="27">
        <v>210217</v>
      </c>
      <c r="AE695" s="27" t="s">
        <v>1090</v>
      </c>
      <c r="AF695" s="432">
        <v>0</v>
      </c>
      <c r="AG695" s="432"/>
      <c r="AH695" s="432">
        <f t="shared" si="141"/>
        <v>0</v>
      </c>
      <c r="AI695" s="445">
        <f>+AH698+AH705+AH708+AH710+AH712+AH718+AH719++AH720+AH721+AH722+AH723+AH724+AH700</f>
        <v>-4822085</v>
      </c>
      <c r="AL695" s="448"/>
      <c r="AM695" s="467" t="e">
        <f>VLOOKUP(AD695,[6]BV201101!$A$10:$A$1236,1,0)</f>
        <v>#N/A</v>
      </c>
    </row>
    <row r="696" spans="1:39" s="467" customFormat="1" ht="12.75" customHeight="1">
      <c r="A696" s="487" t="str">
        <f t="shared" si="142"/>
        <v>2</v>
      </c>
      <c r="B696" s="487" t="str">
        <f t="shared" si="137"/>
        <v>10</v>
      </c>
      <c r="C696" s="487" t="str">
        <f t="shared" si="138"/>
        <v>30</v>
      </c>
      <c r="D696" s="487" t="str">
        <f t="shared" si="139"/>
        <v>0301</v>
      </c>
      <c r="E696" s="487">
        <v>521251000</v>
      </c>
      <c r="F696" s="488" t="str">
        <f t="shared" si="130"/>
        <v/>
      </c>
      <c r="G696" s="487"/>
      <c r="H696" s="487"/>
      <c r="I696" s="488" t="str">
        <f t="shared" si="131"/>
        <v/>
      </c>
      <c r="J696" s="487"/>
      <c r="K696" s="487"/>
      <c r="L696" s="488" t="str">
        <f t="shared" si="132"/>
        <v/>
      </c>
      <c r="M696" s="487"/>
      <c r="N696" s="487"/>
      <c r="O696" s="488" t="str">
        <f t="shared" si="133"/>
        <v/>
      </c>
      <c r="P696" s="489"/>
      <c r="Q696" s="489"/>
      <c r="R696" s="592" t="str">
        <f t="shared" si="134"/>
        <v>691211000202</v>
      </c>
      <c r="S696" s="487">
        <v>691211000</v>
      </c>
      <c r="T696" s="487">
        <v>202</v>
      </c>
      <c r="U696" s="488" t="str">
        <f t="shared" si="135"/>
        <v/>
      </c>
      <c r="V696" s="489"/>
      <c r="W696" s="489"/>
      <c r="X696" s="488" t="str">
        <f t="shared" si="136"/>
        <v/>
      </c>
      <c r="Y696" s="489"/>
      <c r="Z696" s="489"/>
      <c r="AA696" s="490" t="str">
        <f t="shared" si="143"/>
        <v>1036</v>
      </c>
      <c r="AB696" s="489">
        <v>10</v>
      </c>
      <c r="AC696" s="489">
        <v>36</v>
      </c>
      <c r="AD696" s="27">
        <v>210301</v>
      </c>
      <c r="AE696" s="27" t="s">
        <v>2164</v>
      </c>
      <c r="AF696" s="432">
        <f>VLOOKUP(AD696,[5]Hoja1!$A$10:$K$1393,11,0)</f>
        <v>-498234791</v>
      </c>
      <c r="AG696" s="1220">
        <f>-AG307</f>
        <v>0</v>
      </c>
      <c r="AH696" s="432">
        <f t="shared" si="141"/>
        <v>-498235</v>
      </c>
      <c r="AI696" s="875">
        <v>-2794148903</v>
      </c>
      <c r="AJ696" s="445">
        <f>+AF696-AI696</f>
        <v>2295914112</v>
      </c>
      <c r="AL696" s="448"/>
      <c r="AM696" s="467">
        <f>VLOOKUP(AD696,[6]BV201101!$A$10:$A$1236,1,0)</f>
        <v>210301</v>
      </c>
    </row>
    <row r="697" spans="1:39" s="467" customFormat="1" ht="12.75" customHeight="1">
      <c r="A697" s="487" t="str">
        <f t="shared" si="142"/>
        <v>2</v>
      </c>
      <c r="B697" s="487" t="str">
        <f t="shared" si="137"/>
        <v>10</v>
      </c>
      <c r="C697" s="487" t="str">
        <f t="shared" si="138"/>
        <v>30</v>
      </c>
      <c r="D697" s="487" t="str">
        <f t="shared" si="139"/>
        <v>0302</v>
      </c>
      <c r="E697" s="487">
        <v>521251000</v>
      </c>
      <c r="F697" s="488" t="str">
        <f t="shared" si="130"/>
        <v/>
      </c>
      <c r="G697" s="487"/>
      <c r="H697" s="487"/>
      <c r="I697" s="488" t="str">
        <f t="shared" si="131"/>
        <v/>
      </c>
      <c r="J697" s="487"/>
      <c r="K697" s="487"/>
      <c r="L697" s="488" t="str">
        <f t="shared" si="132"/>
        <v/>
      </c>
      <c r="M697" s="487"/>
      <c r="N697" s="487"/>
      <c r="O697" s="488" t="str">
        <f t="shared" si="133"/>
        <v/>
      </c>
      <c r="P697" s="489"/>
      <c r="Q697" s="489"/>
      <c r="R697" s="592" t="str">
        <f t="shared" si="134"/>
        <v>691211000209</v>
      </c>
      <c r="S697" s="487">
        <v>691211000</v>
      </c>
      <c r="T697" s="487">
        <v>209</v>
      </c>
      <c r="U697" s="488" t="str">
        <f t="shared" si="135"/>
        <v/>
      </c>
      <c r="V697" s="489"/>
      <c r="W697" s="489"/>
      <c r="X697" s="488" t="str">
        <f t="shared" si="136"/>
        <v/>
      </c>
      <c r="Y697" s="489"/>
      <c r="Z697" s="489"/>
      <c r="AA697" s="490" t="str">
        <f t="shared" si="143"/>
        <v>1036</v>
      </c>
      <c r="AB697" s="489">
        <v>10</v>
      </c>
      <c r="AC697" s="489">
        <v>36</v>
      </c>
      <c r="AD697" s="27">
        <v>210302</v>
      </c>
      <c r="AE697" s="27" t="s">
        <v>2165</v>
      </c>
      <c r="AF697" s="432">
        <f>VLOOKUP(AD697,[5]Hoja1!$A$10:$K$1393,11,0)</f>
        <v>0</v>
      </c>
      <c r="AG697" s="432"/>
      <c r="AH697" s="432">
        <f t="shared" si="141"/>
        <v>0</v>
      </c>
      <c r="AL697" s="448"/>
      <c r="AM697" s="467">
        <f>VLOOKUP(AD697,[6]BV201101!$A$10:$A$1236,1,0)</f>
        <v>210302</v>
      </c>
    </row>
    <row r="698" spans="1:39" s="467" customFormat="1" ht="12.75" customHeight="1">
      <c r="A698" s="487" t="str">
        <f t="shared" si="142"/>
        <v>2</v>
      </c>
      <c r="B698" s="487" t="str">
        <f t="shared" si="137"/>
        <v>10</v>
      </c>
      <c r="C698" s="487" t="str">
        <f t="shared" si="138"/>
        <v>30</v>
      </c>
      <c r="D698" s="487" t="str">
        <f t="shared" si="139"/>
        <v>0303</v>
      </c>
      <c r="E698" s="590">
        <v>521253000</v>
      </c>
      <c r="F698" s="488" t="str">
        <f t="shared" si="130"/>
        <v/>
      </c>
      <c r="G698" s="487"/>
      <c r="H698" s="487"/>
      <c r="I698" s="488" t="str">
        <f t="shared" si="131"/>
        <v/>
      </c>
      <c r="J698" s="487"/>
      <c r="K698" s="487"/>
      <c r="L698" s="488" t="str">
        <f t="shared" si="132"/>
        <v/>
      </c>
      <c r="M698" s="487"/>
      <c r="N698" s="487"/>
      <c r="O698" s="488" t="str">
        <f t="shared" si="133"/>
        <v/>
      </c>
      <c r="P698" s="489"/>
      <c r="Q698" s="489"/>
      <c r="R698" s="592" t="str">
        <f t="shared" si="134"/>
        <v>691230000209</v>
      </c>
      <c r="S698" s="487">
        <v>691230000</v>
      </c>
      <c r="T698" s="487">
        <v>209</v>
      </c>
      <c r="U698" s="488" t="str">
        <f t="shared" si="135"/>
        <v/>
      </c>
      <c r="V698" s="489"/>
      <c r="W698" s="489"/>
      <c r="X698" s="488" t="str">
        <f t="shared" si="136"/>
        <v/>
      </c>
      <c r="Y698" s="489"/>
      <c r="Z698" s="489"/>
      <c r="AA698" s="490" t="str">
        <f t="shared" si="143"/>
        <v>1037</v>
      </c>
      <c r="AB698" s="489">
        <v>10</v>
      </c>
      <c r="AC698" s="489">
        <v>37</v>
      </c>
      <c r="AD698" s="27">
        <v>210303</v>
      </c>
      <c r="AE698" s="27" t="s">
        <v>2166</v>
      </c>
      <c r="AF698" s="432">
        <f>VLOOKUP(AD698,[5]Hoja1!$A$10:$K$1393,11,0)</f>
        <v>-3470637396</v>
      </c>
      <c r="AG698" s="432"/>
      <c r="AH698" s="432">
        <f t="shared" si="141"/>
        <v>-3470637</v>
      </c>
      <c r="AL698" s="448"/>
      <c r="AM698" s="467">
        <f>VLOOKUP(AD698,[6]BV201101!$A$10:$A$1236,1,0)</f>
        <v>210303</v>
      </c>
    </row>
    <row r="699" spans="1:39" s="467" customFormat="1" ht="12.75" customHeight="1">
      <c r="A699" s="487" t="str">
        <f t="shared" si="142"/>
        <v>2</v>
      </c>
      <c r="B699" s="487" t="str">
        <f t="shared" si="137"/>
        <v>10</v>
      </c>
      <c r="C699" s="487" t="str">
        <f t="shared" si="138"/>
        <v>30</v>
      </c>
      <c r="D699" s="487" t="str">
        <f t="shared" si="139"/>
        <v>0304</v>
      </c>
      <c r="E699" s="487">
        <v>521251000</v>
      </c>
      <c r="F699" s="488" t="str">
        <f t="shared" si="130"/>
        <v/>
      </c>
      <c r="G699" s="487"/>
      <c r="H699" s="487"/>
      <c r="I699" s="488" t="str">
        <f t="shared" si="131"/>
        <v/>
      </c>
      <c r="J699" s="487"/>
      <c r="K699" s="487"/>
      <c r="L699" s="488" t="str">
        <f t="shared" si="132"/>
        <v/>
      </c>
      <c r="M699" s="487"/>
      <c r="N699" s="487"/>
      <c r="O699" s="488" t="str">
        <f t="shared" si="133"/>
        <v/>
      </c>
      <c r="P699" s="489"/>
      <c r="Q699" s="489"/>
      <c r="R699" s="592" t="str">
        <f t="shared" si="134"/>
        <v>691211000212</v>
      </c>
      <c r="S699" s="487">
        <v>691211000</v>
      </c>
      <c r="T699" s="487">
        <v>212</v>
      </c>
      <c r="U699" s="488" t="str">
        <f t="shared" si="135"/>
        <v/>
      </c>
      <c r="V699" s="489"/>
      <c r="W699" s="489"/>
      <c r="X699" s="488" t="str">
        <f t="shared" si="136"/>
        <v/>
      </c>
      <c r="Y699" s="489"/>
      <c r="Z699" s="489"/>
      <c r="AA699" s="490" t="str">
        <f t="shared" si="143"/>
        <v>1036</v>
      </c>
      <c r="AB699" s="489">
        <v>10</v>
      </c>
      <c r="AC699" s="489">
        <v>36</v>
      </c>
      <c r="AD699" s="27">
        <v>210304</v>
      </c>
      <c r="AE699" s="27" t="s">
        <v>1091</v>
      </c>
      <c r="AF699" s="432">
        <f>VLOOKUP(AD699,[5]Hoja1!$A$10:$K$1393,11,0)</f>
        <v>-67172775</v>
      </c>
      <c r="AG699" s="432">
        <v>0</v>
      </c>
      <c r="AH699" s="432">
        <f t="shared" si="141"/>
        <v>-67173</v>
      </c>
      <c r="AL699" s="448"/>
      <c r="AM699" s="467">
        <f>VLOOKUP(AD699,[6]BV201101!$A$10:$A$1236,1,0)</f>
        <v>210304</v>
      </c>
    </row>
    <row r="700" spans="1:39" s="467" customFormat="1" ht="12.75" customHeight="1">
      <c r="A700" s="487" t="str">
        <f t="shared" si="142"/>
        <v>2</v>
      </c>
      <c r="B700" s="487" t="str">
        <f t="shared" si="137"/>
        <v>10</v>
      </c>
      <c r="C700" s="487" t="str">
        <f t="shared" si="138"/>
        <v>30</v>
      </c>
      <c r="D700" s="487" t="str">
        <f t="shared" si="139"/>
        <v>0305</v>
      </c>
      <c r="E700" s="590">
        <v>521253000</v>
      </c>
      <c r="F700" s="488" t="str">
        <f t="shared" si="130"/>
        <v/>
      </c>
      <c r="G700" s="487"/>
      <c r="H700" s="487"/>
      <c r="I700" s="488" t="str">
        <f t="shared" si="131"/>
        <v/>
      </c>
      <c r="J700" s="487"/>
      <c r="K700" s="487"/>
      <c r="L700" s="488" t="str">
        <f t="shared" si="132"/>
        <v/>
      </c>
      <c r="M700" s="487"/>
      <c r="N700" s="487"/>
      <c r="O700" s="488" t="str">
        <f t="shared" si="133"/>
        <v/>
      </c>
      <c r="P700" s="489"/>
      <c r="Q700" s="489"/>
      <c r="R700" s="592" t="str">
        <f t="shared" si="134"/>
        <v>691230000112</v>
      </c>
      <c r="S700" s="487">
        <v>691230000</v>
      </c>
      <c r="T700" s="487">
        <v>112</v>
      </c>
      <c r="U700" s="488" t="str">
        <f t="shared" si="135"/>
        <v/>
      </c>
      <c r="V700" s="489"/>
      <c r="W700" s="489"/>
      <c r="X700" s="488" t="str">
        <f t="shared" si="136"/>
        <v/>
      </c>
      <c r="Y700" s="489"/>
      <c r="Z700" s="489"/>
      <c r="AA700" s="490" t="str">
        <f t="shared" si="143"/>
        <v>1037</v>
      </c>
      <c r="AB700" s="489">
        <v>10</v>
      </c>
      <c r="AC700" s="489">
        <v>37</v>
      </c>
      <c r="AD700" s="27">
        <v>210305</v>
      </c>
      <c r="AE700" s="27" t="s">
        <v>2167</v>
      </c>
      <c r="AF700" s="432">
        <f>VLOOKUP(AD700,[5]Hoja1!$A$10:$K$1393,11,0)</f>
        <v>-538433</v>
      </c>
      <c r="AG700" s="432"/>
      <c r="AH700" s="432">
        <f t="shared" si="141"/>
        <v>-538</v>
      </c>
      <c r="AI700" s="432"/>
      <c r="AL700" s="448"/>
      <c r="AM700" s="467">
        <f>VLOOKUP(AD700,[6]BV201101!$A$10:$A$1236,1,0)</f>
        <v>210305</v>
      </c>
    </row>
    <row r="701" spans="1:39" s="467" customFormat="1" ht="12.75" customHeight="1">
      <c r="A701" s="487" t="str">
        <f t="shared" si="142"/>
        <v>2</v>
      </c>
      <c r="B701" s="487" t="str">
        <f t="shared" si="137"/>
        <v>10</v>
      </c>
      <c r="C701" s="487" t="str">
        <f t="shared" si="138"/>
        <v>30</v>
      </c>
      <c r="D701" s="487" t="str">
        <f t="shared" si="139"/>
        <v>0306</v>
      </c>
      <c r="E701" s="487">
        <v>521251000</v>
      </c>
      <c r="F701" s="488" t="str">
        <f t="shared" si="130"/>
        <v/>
      </c>
      <c r="G701" s="487"/>
      <c r="H701" s="487"/>
      <c r="I701" s="488" t="str">
        <f t="shared" si="131"/>
        <v/>
      </c>
      <c r="J701" s="487"/>
      <c r="K701" s="487"/>
      <c r="L701" s="488" t="str">
        <f t="shared" si="132"/>
        <v/>
      </c>
      <c r="M701" s="487"/>
      <c r="N701" s="487"/>
      <c r="O701" s="488" t="str">
        <f t="shared" si="133"/>
        <v/>
      </c>
      <c r="P701" s="489"/>
      <c r="Q701" s="489"/>
      <c r="R701" s="592" t="str">
        <f t="shared" si="134"/>
        <v>691211000210</v>
      </c>
      <c r="S701" s="487">
        <v>691211000</v>
      </c>
      <c r="T701" s="487">
        <v>210</v>
      </c>
      <c r="U701" s="488" t="str">
        <f t="shared" si="135"/>
        <v/>
      </c>
      <c r="V701" s="489"/>
      <c r="W701" s="489"/>
      <c r="X701" s="488" t="str">
        <f t="shared" si="136"/>
        <v/>
      </c>
      <c r="Y701" s="489"/>
      <c r="Z701" s="489"/>
      <c r="AA701" s="490" t="str">
        <f t="shared" si="143"/>
        <v>1036</v>
      </c>
      <c r="AB701" s="489">
        <v>10</v>
      </c>
      <c r="AC701" s="489">
        <v>36</v>
      </c>
      <c r="AD701" s="27">
        <v>210306</v>
      </c>
      <c r="AE701" s="27" t="s">
        <v>1092</v>
      </c>
      <c r="AF701" s="432">
        <f>VLOOKUP(AD701,[5]Hoja1!$A$10:$K$1393,11,0)</f>
        <v>-206963</v>
      </c>
      <c r="AG701" s="432">
        <v>0</v>
      </c>
      <c r="AH701" s="432">
        <f t="shared" si="141"/>
        <v>-207</v>
      </c>
      <c r="AI701" s="875">
        <v>-15339407</v>
      </c>
      <c r="AJ701" s="876">
        <f>+AF701-AI701</f>
        <v>15132444</v>
      </c>
      <c r="AL701" s="448"/>
      <c r="AM701" s="467">
        <f>VLOOKUP(AD701,[6]BV201101!$A$10:$A$1236,1,0)</f>
        <v>210306</v>
      </c>
    </row>
    <row r="702" spans="1:39" s="467" customFormat="1" ht="12.75" customHeight="1">
      <c r="A702" s="487" t="str">
        <f t="shared" si="142"/>
        <v>2</v>
      </c>
      <c r="B702" s="487" t="str">
        <f t="shared" si="137"/>
        <v>10</v>
      </c>
      <c r="C702" s="487" t="str">
        <f t="shared" si="138"/>
        <v>30</v>
      </c>
      <c r="D702" s="487" t="str">
        <f t="shared" si="139"/>
        <v>0307</v>
      </c>
      <c r="E702" s="487">
        <v>521251000</v>
      </c>
      <c r="F702" s="488" t="str">
        <f t="shared" ref="F702:F795" si="144">+G702&amp;H702</f>
        <v/>
      </c>
      <c r="G702" s="487"/>
      <c r="H702" s="487"/>
      <c r="I702" s="488" t="str">
        <f t="shared" ref="I702:I795" si="145">+J702&amp;K702</f>
        <v/>
      </c>
      <c r="J702" s="487"/>
      <c r="K702" s="487"/>
      <c r="L702" s="488" t="str">
        <f t="shared" ref="L702:L795" si="146">+M702&amp;N702</f>
        <v/>
      </c>
      <c r="M702" s="487"/>
      <c r="N702" s="487"/>
      <c r="O702" s="488" t="str">
        <f t="shared" ref="O702:O795" si="147">+P702&amp;Q702</f>
        <v/>
      </c>
      <c r="P702" s="489"/>
      <c r="Q702" s="489"/>
      <c r="R702" s="592" t="str">
        <f t="shared" ref="R702:R795" si="148">+S702&amp;T702</f>
        <v>691211000101</v>
      </c>
      <c r="S702" s="487">
        <v>691211000</v>
      </c>
      <c r="T702" s="487">
        <v>101</v>
      </c>
      <c r="U702" s="488" t="str">
        <f t="shared" ref="U702:U795" si="149">+V702&amp;W702</f>
        <v/>
      </c>
      <c r="V702" s="489"/>
      <c r="W702" s="489"/>
      <c r="X702" s="488" t="str">
        <f t="shared" ref="X702:X795" si="150">+Y702&amp;Z702</f>
        <v/>
      </c>
      <c r="Y702" s="489"/>
      <c r="Z702" s="489"/>
      <c r="AA702" s="490" t="str">
        <f t="shared" si="143"/>
        <v>1036</v>
      </c>
      <c r="AB702" s="489">
        <v>10</v>
      </c>
      <c r="AC702" s="489">
        <v>36</v>
      </c>
      <c r="AD702" s="27">
        <v>210307</v>
      </c>
      <c r="AE702" s="27" t="s">
        <v>1524</v>
      </c>
      <c r="AF702" s="432">
        <f>VLOOKUP(AD702,[5]Hoja1!$A$10:$K$1393,11,0)</f>
        <v>0</v>
      </c>
      <c r="AG702" s="432"/>
      <c r="AH702" s="432">
        <f t="shared" si="141"/>
        <v>0</v>
      </c>
      <c r="AL702" s="448"/>
      <c r="AM702" s="467">
        <f>VLOOKUP(AD702,[6]BV201101!$A$10:$A$1236,1,0)</f>
        <v>210307</v>
      </c>
    </row>
    <row r="703" spans="1:39" s="467" customFormat="1" ht="12.75" customHeight="1">
      <c r="A703" s="487" t="str">
        <f t="shared" si="142"/>
        <v>2</v>
      </c>
      <c r="B703" s="487" t="str">
        <f t="shared" ref="B703:B796" si="151">RIGHT(LEFT($AD703,3),2)</f>
        <v>10</v>
      </c>
      <c r="C703" s="487" t="str">
        <f t="shared" ref="C703:C796" si="152">RIGHT(LEFT($AD703,5),2)</f>
        <v>30</v>
      </c>
      <c r="D703" s="487" t="str">
        <f t="shared" ref="D703:D796" si="153">RIGHT(LEFT($AD703,9),4)</f>
        <v>0308</v>
      </c>
      <c r="E703" s="487">
        <v>521251000</v>
      </c>
      <c r="F703" s="488" t="str">
        <f t="shared" si="144"/>
        <v/>
      </c>
      <c r="G703" s="487"/>
      <c r="H703" s="487"/>
      <c r="I703" s="488" t="str">
        <f t="shared" si="145"/>
        <v/>
      </c>
      <c r="J703" s="487"/>
      <c r="K703" s="487"/>
      <c r="L703" s="488" t="str">
        <f t="shared" si="146"/>
        <v/>
      </c>
      <c r="M703" s="487"/>
      <c r="N703" s="487"/>
      <c r="O703" s="488" t="str">
        <f t="shared" si="147"/>
        <v/>
      </c>
      <c r="P703" s="489"/>
      <c r="Q703" s="489"/>
      <c r="R703" s="592" t="str">
        <f t="shared" si="148"/>
        <v>691211000109</v>
      </c>
      <c r="S703" s="487">
        <v>691211000</v>
      </c>
      <c r="T703" s="487">
        <v>109</v>
      </c>
      <c r="U703" s="488" t="str">
        <f t="shared" si="149"/>
        <v/>
      </c>
      <c r="V703" s="489"/>
      <c r="W703" s="489"/>
      <c r="X703" s="488" t="str">
        <f t="shared" si="150"/>
        <v/>
      </c>
      <c r="Y703" s="489"/>
      <c r="Z703" s="489"/>
      <c r="AA703" s="490" t="str">
        <f t="shared" si="143"/>
        <v>1036</v>
      </c>
      <c r="AB703" s="489">
        <v>10</v>
      </c>
      <c r="AC703" s="489">
        <v>36</v>
      </c>
      <c r="AD703" s="27">
        <v>210308</v>
      </c>
      <c r="AE703" s="27" t="s">
        <v>1525</v>
      </c>
      <c r="AF703" s="432">
        <f>VLOOKUP(AD703,[5]Hoja1!$A$10:$K$1393,11,0)</f>
        <v>-327494</v>
      </c>
      <c r="AG703" s="432">
        <v>0</v>
      </c>
      <c r="AH703" s="432">
        <f t="shared" si="141"/>
        <v>-327</v>
      </c>
      <c r="AL703" s="448"/>
      <c r="AM703" s="467">
        <f>VLOOKUP(AD703,[6]BV201101!$A$10:$A$1236,1,0)</f>
        <v>210308</v>
      </c>
    </row>
    <row r="704" spans="1:39" s="467" customFormat="1" ht="12.75" customHeight="1">
      <c r="A704" s="487" t="str">
        <f t="shared" si="142"/>
        <v>2</v>
      </c>
      <c r="B704" s="487" t="str">
        <f t="shared" si="151"/>
        <v>10</v>
      </c>
      <c r="C704" s="487" t="str">
        <f t="shared" si="152"/>
        <v>30</v>
      </c>
      <c r="D704" s="487" t="str">
        <f t="shared" si="153"/>
        <v>0309</v>
      </c>
      <c r="E704" s="487">
        <v>521251000</v>
      </c>
      <c r="F704" s="488" t="str">
        <f t="shared" si="144"/>
        <v/>
      </c>
      <c r="G704" s="487"/>
      <c r="H704" s="487"/>
      <c r="I704" s="488" t="str">
        <f t="shared" si="145"/>
        <v/>
      </c>
      <c r="J704" s="487"/>
      <c r="K704" s="487"/>
      <c r="L704" s="488" t="str">
        <f t="shared" si="146"/>
        <v/>
      </c>
      <c r="M704" s="487"/>
      <c r="N704" s="487"/>
      <c r="O704" s="488" t="str">
        <f t="shared" si="147"/>
        <v/>
      </c>
      <c r="P704" s="489"/>
      <c r="Q704" s="489"/>
      <c r="R704" s="592" t="str">
        <f t="shared" si="148"/>
        <v>691211000101</v>
      </c>
      <c r="S704" s="487">
        <v>691211000</v>
      </c>
      <c r="T704" s="487">
        <v>101</v>
      </c>
      <c r="U704" s="488" t="str">
        <f t="shared" si="149"/>
        <v/>
      </c>
      <c r="V704" s="489"/>
      <c r="W704" s="489"/>
      <c r="X704" s="488" t="str">
        <f t="shared" si="150"/>
        <v/>
      </c>
      <c r="Y704" s="489"/>
      <c r="Z704" s="489"/>
      <c r="AA704" s="490" t="str">
        <f t="shared" si="143"/>
        <v>1036</v>
      </c>
      <c r="AB704" s="489">
        <v>10</v>
      </c>
      <c r="AC704" s="489">
        <v>36</v>
      </c>
      <c r="AD704" s="27">
        <v>210309</v>
      </c>
      <c r="AE704" s="27" t="s">
        <v>1526</v>
      </c>
      <c r="AF704" s="432">
        <f>VLOOKUP(AD704,[5]Hoja1!$A$10:$K$1393,11,0)</f>
        <v>0</v>
      </c>
      <c r="AG704" s="432"/>
      <c r="AH704" s="432">
        <f t="shared" si="141"/>
        <v>0</v>
      </c>
      <c r="AL704" s="448"/>
      <c r="AM704" s="467">
        <f>VLOOKUP(AD704,[6]BV201101!$A$10:$A$1236,1,0)</f>
        <v>210309</v>
      </c>
    </row>
    <row r="705" spans="1:39" s="467" customFormat="1" ht="12.75" customHeight="1">
      <c r="A705" s="487" t="str">
        <f t="shared" si="142"/>
        <v>2</v>
      </c>
      <c r="B705" s="487" t="str">
        <f t="shared" si="151"/>
        <v>10</v>
      </c>
      <c r="C705" s="487" t="str">
        <f t="shared" si="152"/>
        <v>31</v>
      </c>
      <c r="D705" s="487" t="str">
        <f t="shared" si="153"/>
        <v>0310</v>
      </c>
      <c r="E705" s="590">
        <v>521253000</v>
      </c>
      <c r="F705" s="488" t="str">
        <f t="shared" si="144"/>
        <v/>
      </c>
      <c r="G705" s="487"/>
      <c r="H705" s="487"/>
      <c r="I705" s="488" t="str">
        <f t="shared" si="145"/>
        <v/>
      </c>
      <c r="J705" s="487"/>
      <c r="K705" s="487"/>
      <c r="L705" s="488" t="str">
        <f t="shared" si="146"/>
        <v/>
      </c>
      <c r="M705" s="487"/>
      <c r="N705" s="487"/>
      <c r="O705" s="488" t="str">
        <f t="shared" si="147"/>
        <v/>
      </c>
      <c r="P705" s="489"/>
      <c r="Q705" s="489"/>
      <c r="R705" s="592" t="str">
        <f t="shared" si="148"/>
        <v>691230000202</v>
      </c>
      <c r="S705" s="487">
        <v>691230000</v>
      </c>
      <c r="T705" s="487">
        <v>202</v>
      </c>
      <c r="U705" s="488" t="str">
        <f t="shared" si="149"/>
        <v/>
      </c>
      <c r="V705" s="489"/>
      <c r="W705" s="489"/>
      <c r="X705" s="488" t="str">
        <f t="shared" si="150"/>
        <v/>
      </c>
      <c r="Y705" s="489"/>
      <c r="Z705" s="489"/>
      <c r="AA705" s="490" t="str">
        <f t="shared" si="143"/>
        <v>1037</v>
      </c>
      <c r="AB705" s="489">
        <v>10</v>
      </c>
      <c r="AC705" s="489">
        <v>37</v>
      </c>
      <c r="AD705" s="27">
        <v>210310</v>
      </c>
      <c r="AE705" s="27" t="s">
        <v>2168</v>
      </c>
      <c r="AF705" s="432">
        <f>VLOOKUP(AD705,[5]Hoja1!$A$10:$K$1393,11,0)</f>
        <v>-592266122</v>
      </c>
      <c r="AG705" s="432"/>
      <c r="AH705" s="432">
        <f t="shared" si="141"/>
        <v>-592266</v>
      </c>
      <c r="AL705" s="448"/>
      <c r="AM705" s="467">
        <f>VLOOKUP(AD705,[6]BV201101!$A$10:$A$1236,1,0)</f>
        <v>210310</v>
      </c>
    </row>
    <row r="706" spans="1:39" s="467" customFormat="1" ht="12.75" customHeight="1">
      <c r="A706" s="487" t="str">
        <f t="shared" si="142"/>
        <v>2</v>
      </c>
      <c r="B706" s="487" t="str">
        <f t="shared" si="151"/>
        <v>10</v>
      </c>
      <c r="C706" s="487" t="str">
        <f t="shared" si="152"/>
        <v>31</v>
      </c>
      <c r="D706" s="487" t="str">
        <f t="shared" si="153"/>
        <v>0311</v>
      </c>
      <c r="E706" s="487">
        <v>521251000</v>
      </c>
      <c r="F706" s="488" t="str">
        <f t="shared" si="144"/>
        <v/>
      </c>
      <c r="G706" s="487"/>
      <c r="H706" s="487"/>
      <c r="I706" s="488" t="str">
        <f t="shared" si="145"/>
        <v/>
      </c>
      <c r="J706" s="487"/>
      <c r="K706" s="487"/>
      <c r="L706" s="488" t="str">
        <f t="shared" si="146"/>
        <v/>
      </c>
      <c r="M706" s="487"/>
      <c r="N706" s="487"/>
      <c r="O706" s="488" t="str">
        <f t="shared" si="147"/>
        <v/>
      </c>
      <c r="P706" s="489"/>
      <c r="Q706" s="489"/>
      <c r="R706" s="592" t="str">
        <f t="shared" si="148"/>
        <v>691211000104</v>
      </c>
      <c r="S706" s="487">
        <v>691211000</v>
      </c>
      <c r="T706" s="487">
        <v>104</v>
      </c>
      <c r="U706" s="488" t="str">
        <f t="shared" si="149"/>
        <v/>
      </c>
      <c r="V706" s="489"/>
      <c r="W706" s="489"/>
      <c r="X706" s="488" t="str">
        <f t="shared" si="150"/>
        <v/>
      </c>
      <c r="Y706" s="489"/>
      <c r="Z706" s="489"/>
      <c r="AA706" s="490" t="str">
        <f t="shared" si="143"/>
        <v>1036</v>
      </c>
      <c r="AB706" s="489">
        <v>10</v>
      </c>
      <c r="AC706" s="489">
        <v>36</v>
      </c>
      <c r="AD706" s="27">
        <v>210311</v>
      </c>
      <c r="AE706" s="27" t="s">
        <v>1527</v>
      </c>
      <c r="AF706" s="432">
        <f>VLOOKUP(AD706,[5]Hoja1!$A$10:$K$1393,11,0)</f>
        <v>0</v>
      </c>
      <c r="AG706" s="432"/>
      <c r="AH706" s="432">
        <f t="shared" si="141"/>
        <v>0</v>
      </c>
      <c r="AL706" s="448"/>
      <c r="AM706" s="467">
        <f>VLOOKUP(AD706,[6]BV201101!$A$10:$A$1236,1,0)</f>
        <v>210311</v>
      </c>
    </row>
    <row r="707" spans="1:39" s="467" customFormat="1" ht="12.75" customHeight="1">
      <c r="A707" s="487" t="str">
        <f t="shared" si="142"/>
        <v>2</v>
      </c>
      <c r="B707" s="487" t="str">
        <f t="shared" si="151"/>
        <v>10</v>
      </c>
      <c r="C707" s="487" t="str">
        <f t="shared" si="152"/>
        <v>31</v>
      </c>
      <c r="D707" s="487" t="str">
        <f t="shared" si="153"/>
        <v>0312</v>
      </c>
      <c r="E707" s="487">
        <v>521251000</v>
      </c>
      <c r="F707" s="488" t="str">
        <f t="shared" si="144"/>
        <v/>
      </c>
      <c r="G707" s="487"/>
      <c r="H707" s="487"/>
      <c r="I707" s="488" t="str">
        <f t="shared" si="145"/>
        <v/>
      </c>
      <c r="J707" s="487"/>
      <c r="K707" s="487"/>
      <c r="L707" s="488" t="str">
        <f t="shared" si="146"/>
        <v/>
      </c>
      <c r="M707" s="487"/>
      <c r="N707" s="487"/>
      <c r="O707" s="488" t="str">
        <f t="shared" si="147"/>
        <v/>
      </c>
      <c r="P707" s="489"/>
      <c r="Q707" s="489"/>
      <c r="R707" s="592" t="str">
        <f t="shared" si="148"/>
        <v>691211000108</v>
      </c>
      <c r="S707" s="487">
        <v>691211000</v>
      </c>
      <c r="T707" s="487">
        <v>108</v>
      </c>
      <c r="U707" s="488" t="str">
        <f t="shared" si="149"/>
        <v/>
      </c>
      <c r="V707" s="489"/>
      <c r="W707" s="489"/>
      <c r="X707" s="488" t="str">
        <f t="shared" si="150"/>
        <v/>
      </c>
      <c r="Y707" s="489"/>
      <c r="Z707" s="489"/>
      <c r="AA707" s="490" t="str">
        <f t="shared" si="143"/>
        <v>1036</v>
      </c>
      <c r="AB707" s="489">
        <v>10</v>
      </c>
      <c r="AC707" s="489">
        <v>36</v>
      </c>
      <c r="AD707" s="27">
        <v>210312</v>
      </c>
      <c r="AE707" s="27" t="s">
        <v>2169</v>
      </c>
      <c r="AF707" s="432">
        <f>VLOOKUP(AD707,[5]Hoja1!$A$10:$K$1393,11,0)</f>
        <v>0</v>
      </c>
      <c r="AG707" s="432"/>
      <c r="AH707" s="432">
        <f t="shared" si="141"/>
        <v>0</v>
      </c>
      <c r="AL707" s="448"/>
      <c r="AM707" s="467">
        <f>VLOOKUP(AD707,[6]BV201101!$A$10:$A$1236,1,0)</f>
        <v>210312</v>
      </c>
    </row>
    <row r="708" spans="1:39" s="467" customFormat="1" ht="12.75" customHeight="1">
      <c r="A708" s="487" t="str">
        <f t="shared" si="142"/>
        <v>2</v>
      </c>
      <c r="B708" s="487" t="str">
        <f t="shared" si="151"/>
        <v>10</v>
      </c>
      <c r="C708" s="487" t="str">
        <f t="shared" si="152"/>
        <v>31</v>
      </c>
      <c r="D708" s="487" t="str">
        <f t="shared" si="153"/>
        <v>0313</v>
      </c>
      <c r="E708" s="590">
        <v>521253000</v>
      </c>
      <c r="F708" s="488" t="str">
        <f t="shared" si="144"/>
        <v/>
      </c>
      <c r="G708" s="487"/>
      <c r="H708" s="487"/>
      <c r="I708" s="488" t="str">
        <f t="shared" si="145"/>
        <v/>
      </c>
      <c r="J708" s="487"/>
      <c r="K708" s="487"/>
      <c r="L708" s="488" t="str">
        <f t="shared" si="146"/>
        <v/>
      </c>
      <c r="M708" s="487"/>
      <c r="N708" s="487"/>
      <c r="O708" s="488" t="str">
        <f t="shared" si="147"/>
        <v/>
      </c>
      <c r="P708" s="489"/>
      <c r="Q708" s="489"/>
      <c r="R708" s="592" t="str">
        <f t="shared" si="148"/>
        <v>691230000207</v>
      </c>
      <c r="S708" s="487">
        <v>691230000</v>
      </c>
      <c r="T708" s="487">
        <v>207</v>
      </c>
      <c r="U708" s="488" t="str">
        <f t="shared" si="149"/>
        <v/>
      </c>
      <c r="V708" s="489"/>
      <c r="W708" s="489"/>
      <c r="X708" s="488" t="str">
        <f t="shared" si="150"/>
        <v/>
      </c>
      <c r="Y708" s="489"/>
      <c r="Z708" s="489"/>
      <c r="AA708" s="490" t="str">
        <f t="shared" si="143"/>
        <v>1037</v>
      </c>
      <c r="AB708" s="489">
        <v>10</v>
      </c>
      <c r="AC708" s="489">
        <v>37</v>
      </c>
      <c r="AD708" s="27">
        <v>210313</v>
      </c>
      <c r="AE708" s="27" t="s">
        <v>2170</v>
      </c>
      <c r="AF708" s="432">
        <f>VLOOKUP(AD708,[5]Hoja1!$A$10:$K$1393,11,0)</f>
        <v>-140208447</v>
      </c>
      <c r="AG708" s="432"/>
      <c r="AH708" s="432">
        <f t="shared" si="141"/>
        <v>-140208</v>
      </c>
      <c r="AL708" s="448"/>
      <c r="AM708" s="467">
        <f>VLOOKUP(AD708,[6]BV201101!$A$10:$A$1236,1,0)</f>
        <v>210313</v>
      </c>
    </row>
    <row r="709" spans="1:39" s="467" customFormat="1" ht="12.75" customHeight="1">
      <c r="A709" s="487" t="str">
        <f t="shared" si="142"/>
        <v>2</v>
      </c>
      <c r="B709" s="487" t="str">
        <f t="shared" si="151"/>
        <v>10</v>
      </c>
      <c r="C709" s="487" t="str">
        <f t="shared" si="152"/>
        <v>31</v>
      </c>
      <c r="D709" s="487" t="str">
        <f t="shared" si="153"/>
        <v>0314</v>
      </c>
      <c r="E709" s="590">
        <v>521253000</v>
      </c>
      <c r="F709" s="488" t="str">
        <f t="shared" si="144"/>
        <v/>
      </c>
      <c r="G709" s="487"/>
      <c r="H709" s="487"/>
      <c r="I709" s="488" t="str">
        <f t="shared" si="145"/>
        <v/>
      </c>
      <c r="J709" s="487"/>
      <c r="K709" s="487"/>
      <c r="L709" s="488" t="str">
        <f t="shared" si="146"/>
        <v/>
      </c>
      <c r="M709" s="487"/>
      <c r="N709" s="487"/>
      <c r="O709" s="488" t="str">
        <f t="shared" si="147"/>
        <v/>
      </c>
      <c r="P709" s="489"/>
      <c r="Q709" s="489"/>
      <c r="R709" s="592" t="str">
        <f t="shared" si="148"/>
        <v>691230000208</v>
      </c>
      <c r="S709" s="487">
        <v>691230000</v>
      </c>
      <c r="T709" s="487">
        <v>208</v>
      </c>
      <c r="U709" s="488" t="str">
        <f t="shared" si="149"/>
        <v/>
      </c>
      <c r="V709" s="489"/>
      <c r="W709" s="489"/>
      <c r="X709" s="488" t="str">
        <f t="shared" si="150"/>
        <v/>
      </c>
      <c r="Y709" s="489"/>
      <c r="Z709" s="489"/>
      <c r="AA709" s="490" t="str">
        <f t="shared" si="143"/>
        <v>1037</v>
      </c>
      <c r="AB709" s="489">
        <v>10</v>
      </c>
      <c r="AC709" s="489">
        <v>37</v>
      </c>
      <c r="AD709" s="27">
        <v>210314</v>
      </c>
      <c r="AE709" s="27" t="s">
        <v>2171</v>
      </c>
      <c r="AF709" s="432">
        <f>VLOOKUP(AD709,[5]Hoja1!$A$10:$K$1393,11,0)</f>
        <v>0</v>
      </c>
      <c r="AG709" s="432"/>
      <c r="AH709" s="432">
        <f t="shared" si="141"/>
        <v>0</v>
      </c>
      <c r="AL709" s="448"/>
      <c r="AM709" s="467">
        <f>VLOOKUP(AD709,[6]BV201101!$A$10:$A$1236,1,0)</f>
        <v>210314</v>
      </c>
    </row>
    <row r="710" spans="1:39" s="467" customFormat="1" ht="12.75" customHeight="1">
      <c r="A710" s="487" t="str">
        <f t="shared" si="142"/>
        <v>2</v>
      </c>
      <c r="B710" s="487" t="str">
        <f t="shared" si="151"/>
        <v>10</v>
      </c>
      <c r="C710" s="487" t="str">
        <f t="shared" si="152"/>
        <v>31</v>
      </c>
      <c r="D710" s="487" t="str">
        <f t="shared" si="153"/>
        <v>0315</v>
      </c>
      <c r="E710" s="590">
        <v>521253000</v>
      </c>
      <c r="F710" s="488" t="str">
        <f t="shared" si="144"/>
        <v/>
      </c>
      <c r="G710" s="487"/>
      <c r="H710" s="487"/>
      <c r="I710" s="488" t="str">
        <f t="shared" si="145"/>
        <v/>
      </c>
      <c r="J710" s="487"/>
      <c r="K710" s="487"/>
      <c r="L710" s="488" t="str">
        <f t="shared" si="146"/>
        <v/>
      </c>
      <c r="M710" s="487"/>
      <c r="N710" s="487"/>
      <c r="O710" s="488" t="str">
        <f t="shared" si="147"/>
        <v/>
      </c>
      <c r="P710" s="489"/>
      <c r="Q710" s="489"/>
      <c r="R710" s="592" t="str">
        <f t="shared" si="148"/>
        <v>691230000210</v>
      </c>
      <c r="S710" s="487">
        <v>691230000</v>
      </c>
      <c r="T710" s="487">
        <v>210</v>
      </c>
      <c r="U710" s="488" t="str">
        <f t="shared" si="149"/>
        <v/>
      </c>
      <c r="V710" s="489"/>
      <c r="W710" s="489"/>
      <c r="X710" s="488" t="str">
        <f t="shared" si="150"/>
        <v/>
      </c>
      <c r="Y710" s="489"/>
      <c r="Z710" s="489"/>
      <c r="AA710" s="490" t="str">
        <f t="shared" si="143"/>
        <v>1037</v>
      </c>
      <c r="AB710" s="489">
        <v>10</v>
      </c>
      <c r="AC710" s="489">
        <v>37</v>
      </c>
      <c r="AD710" s="27">
        <v>210315</v>
      </c>
      <c r="AE710" s="27" t="s">
        <v>2172</v>
      </c>
      <c r="AF710" s="432">
        <f>VLOOKUP(AD710,[5]Hoja1!$A$10:$K$1393,11,0)</f>
        <v>-6907630</v>
      </c>
      <c r="AG710" s="432"/>
      <c r="AH710" s="432">
        <f t="shared" si="141"/>
        <v>-6908</v>
      </c>
      <c r="AI710" s="445"/>
      <c r="AL710" s="448"/>
      <c r="AM710" s="467">
        <f>VLOOKUP(AD710,[6]BV201101!$A$10:$A$1236,1,0)</f>
        <v>210315</v>
      </c>
    </row>
    <row r="711" spans="1:39" s="467" customFormat="1" ht="12.75" customHeight="1">
      <c r="A711" s="487" t="str">
        <f t="shared" si="142"/>
        <v>2</v>
      </c>
      <c r="B711" s="487" t="str">
        <f t="shared" si="151"/>
        <v>10</v>
      </c>
      <c r="C711" s="487" t="str">
        <f t="shared" si="152"/>
        <v>31</v>
      </c>
      <c r="D711" s="487" t="str">
        <f t="shared" si="153"/>
        <v>0316</v>
      </c>
      <c r="E711" s="487">
        <v>521251000</v>
      </c>
      <c r="F711" s="488" t="str">
        <f t="shared" si="144"/>
        <v/>
      </c>
      <c r="G711" s="487"/>
      <c r="H711" s="487"/>
      <c r="I711" s="488" t="str">
        <f t="shared" si="145"/>
        <v/>
      </c>
      <c r="J711" s="487"/>
      <c r="K711" s="487"/>
      <c r="L711" s="488" t="str">
        <f t="shared" si="146"/>
        <v/>
      </c>
      <c r="M711" s="487"/>
      <c r="N711" s="487"/>
      <c r="O711" s="488" t="str">
        <f t="shared" si="147"/>
        <v/>
      </c>
      <c r="P711" s="489"/>
      <c r="Q711" s="489"/>
      <c r="R711" s="592" t="str">
        <f t="shared" si="148"/>
        <v>691211000207</v>
      </c>
      <c r="S711" s="487">
        <v>691211000</v>
      </c>
      <c r="T711" s="487">
        <v>207</v>
      </c>
      <c r="U711" s="488" t="str">
        <f t="shared" si="149"/>
        <v/>
      </c>
      <c r="V711" s="489"/>
      <c r="W711" s="489"/>
      <c r="X711" s="488" t="str">
        <f t="shared" si="150"/>
        <v/>
      </c>
      <c r="Y711" s="489"/>
      <c r="Z711" s="489"/>
      <c r="AA711" s="490" t="str">
        <f t="shared" si="143"/>
        <v>1036</v>
      </c>
      <c r="AB711" s="489">
        <v>10</v>
      </c>
      <c r="AC711" s="489">
        <v>36</v>
      </c>
      <c r="AD711" s="27">
        <v>210316</v>
      </c>
      <c r="AE711" s="27" t="s">
        <v>2173</v>
      </c>
      <c r="AF711" s="432">
        <f>VLOOKUP(AD711,[5]Hoja1!$A$10:$K$1393,11,0)</f>
        <v>-23708795</v>
      </c>
      <c r="AG711" s="432"/>
      <c r="AH711" s="432">
        <f t="shared" si="141"/>
        <v>-23709</v>
      </c>
      <c r="AI711" s="875">
        <v>-75576762</v>
      </c>
      <c r="AJ711" s="876">
        <f>+AF711-AI711</f>
        <v>51867967</v>
      </c>
      <c r="AL711" s="448"/>
      <c r="AM711" s="467">
        <f>VLOOKUP(AD711,[6]BV201101!$A$10:$A$1236,1,0)</f>
        <v>210316</v>
      </c>
    </row>
    <row r="712" spans="1:39" s="467" customFormat="1" ht="12.75" customHeight="1">
      <c r="A712" s="487" t="str">
        <f t="shared" si="142"/>
        <v>2</v>
      </c>
      <c r="B712" s="487" t="str">
        <f t="shared" si="151"/>
        <v>10</v>
      </c>
      <c r="C712" s="487" t="str">
        <f t="shared" si="152"/>
        <v>31</v>
      </c>
      <c r="D712" s="487" t="str">
        <f t="shared" si="153"/>
        <v>0317</v>
      </c>
      <c r="E712" s="590">
        <v>521253000</v>
      </c>
      <c r="F712" s="488" t="str">
        <f t="shared" si="144"/>
        <v/>
      </c>
      <c r="G712" s="487"/>
      <c r="H712" s="487"/>
      <c r="I712" s="488" t="str">
        <f t="shared" si="145"/>
        <v/>
      </c>
      <c r="J712" s="487"/>
      <c r="K712" s="487"/>
      <c r="L712" s="488" t="str">
        <f t="shared" si="146"/>
        <v/>
      </c>
      <c r="M712" s="487"/>
      <c r="N712" s="487"/>
      <c r="O712" s="488" t="str">
        <f t="shared" si="147"/>
        <v/>
      </c>
      <c r="P712" s="489"/>
      <c r="Q712" s="489"/>
      <c r="R712" s="592" t="str">
        <f t="shared" si="148"/>
        <v>691230000212</v>
      </c>
      <c r="S712" s="487">
        <v>691230000</v>
      </c>
      <c r="T712" s="487">
        <v>212</v>
      </c>
      <c r="U712" s="488" t="str">
        <f t="shared" si="149"/>
        <v/>
      </c>
      <c r="V712" s="489"/>
      <c r="W712" s="489"/>
      <c r="X712" s="488" t="str">
        <f t="shared" si="150"/>
        <v/>
      </c>
      <c r="Y712" s="489"/>
      <c r="Z712" s="489"/>
      <c r="AA712" s="490" t="str">
        <f t="shared" si="143"/>
        <v>1037</v>
      </c>
      <c r="AB712" s="489">
        <v>10</v>
      </c>
      <c r="AC712" s="489">
        <v>37</v>
      </c>
      <c r="AD712" s="27">
        <v>210317</v>
      </c>
      <c r="AE712" s="27" t="s">
        <v>2531</v>
      </c>
      <c r="AF712" s="432">
        <f>VLOOKUP(AD712,[5]Hoja1!$A$10:$K$1393,11,0)</f>
        <v>-549582361</v>
      </c>
      <c r="AG712" s="432"/>
      <c r="AH712" s="432">
        <f t="shared" si="141"/>
        <v>-549582</v>
      </c>
      <c r="AL712" s="448"/>
      <c r="AM712" s="467">
        <f>VLOOKUP(AD712,[6]BV201101!$A$10:$A$1236,1,0)</f>
        <v>210317</v>
      </c>
    </row>
    <row r="713" spans="1:39" s="467" customFormat="1" ht="12.75" customHeight="1">
      <c r="A713" s="487" t="str">
        <f t="shared" si="142"/>
        <v>2</v>
      </c>
      <c r="B713" s="487" t="str">
        <f t="shared" si="151"/>
        <v>10</v>
      </c>
      <c r="C713" s="487" t="str">
        <f t="shared" si="152"/>
        <v>31</v>
      </c>
      <c r="D713" s="487" t="str">
        <f t="shared" si="153"/>
        <v>0318</v>
      </c>
      <c r="E713" s="487">
        <v>521251000</v>
      </c>
      <c r="F713" s="488" t="str">
        <f t="shared" si="144"/>
        <v/>
      </c>
      <c r="G713" s="487"/>
      <c r="H713" s="487"/>
      <c r="I713" s="488" t="str">
        <f t="shared" si="145"/>
        <v/>
      </c>
      <c r="J713" s="487"/>
      <c r="K713" s="487"/>
      <c r="L713" s="488" t="str">
        <f t="shared" si="146"/>
        <v/>
      </c>
      <c r="M713" s="487"/>
      <c r="N713" s="487"/>
      <c r="O713" s="488" t="str">
        <f t="shared" si="147"/>
        <v/>
      </c>
      <c r="P713" s="489"/>
      <c r="Q713" s="489"/>
      <c r="R713" s="592" t="str">
        <f t="shared" si="148"/>
        <v>691211000202</v>
      </c>
      <c r="S713" s="487">
        <v>691211000</v>
      </c>
      <c r="T713" s="487">
        <v>202</v>
      </c>
      <c r="U713" s="488" t="str">
        <f t="shared" si="149"/>
        <v/>
      </c>
      <c r="V713" s="489"/>
      <c r="W713" s="489"/>
      <c r="X713" s="488" t="str">
        <f t="shared" si="150"/>
        <v/>
      </c>
      <c r="Y713" s="489"/>
      <c r="Z713" s="489"/>
      <c r="AA713" s="490" t="str">
        <f t="shared" si="143"/>
        <v>1036</v>
      </c>
      <c r="AB713" s="489">
        <v>10</v>
      </c>
      <c r="AC713" s="489">
        <v>36</v>
      </c>
      <c r="AD713" s="27">
        <v>210318</v>
      </c>
      <c r="AE713" s="27" t="s">
        <v>1551</v>
      </c>
      <c r="AF713" s="432">
        <v>0</v>
      </c>
      <c r="AG713" s="432"/>
      <c r="AH713" s="432">
        <f t="shared" si="141"/>
        <v>0</v>
      </c>
      <c r="AL713" s="448"/>
      <c r="AM713" s="467" t="e">
        <f>VLOOKUP(AD713,[6]BV201101!$A$10:$A$1236,1,0)</f>
        <v>#N/A</v>
      </c>
    </row>
    <row r="714" spans="1:39" s="467" customFormat="1" ht="12.75" customHeight="1">
      <c r="A714" s="487" t="str">
        <f t="shared" si="142"/>
        <v>2</v>
      </c>
      <c r="B714" s="487" t="str">
        <f t="shared" si="151"/>
        <v>10</v>
      </c>
      <c r="C714" s="487" t="str">
        <f t="shared" si="152"/>
        <v>31</v>
      </c>
      <c r="D714" s="487" t="str">
        <f t="shared" si="153"/>
        <v>0319</v>
      </c>
      <c r="E714" s="487">
        <v>521251000</v>
      </c>
      <c r="F714" s="488" t="str">
        <f t="shared" si="144"/>
        <v/>
      </c>
      <c r="G714" s="487"/>
      <c r="H714" s="487"/>
      <c r="I714" s="488" t="str">
        <f t="shared" si="145"/>
        <v/>
      </c>
      <c r="J714" s="487"/>
      <c r="K714" s="487"/>
      <c r="L714" s="488" t="str">
        <f t="shared" si="146"/>
        <v/>
      </c>
      <c r="M714" s="487"/>
      <c r="N714" s="487"/>
      <c r="O714" s="488" t="str">
        <f t="shared" si="147"/>
        <v/>
      </c>
      <c r="P714" s="489"/>
      <c r="Q714" s="489"/>
      <c r="R714" s="592" t="str">
        <f t="shared" si="148"/>
        <v>691211000103</v>
      </c>
      <c r="S714" s="487">
        <v>691211000</v>
      </c>
      <c r="T714" s="487">
        <v>103</v>
      </c>
      <c r="U714" s="488" t="str">
        <f t="shared" si="149"/>
        <v/>
      </c>
      <c r="V714" s="489"/>
      <c r="W714" s="489"/>
      <c r="X714" s="488" t="str">
        <f t="shared" si="150"/>
        <v/>
      </c>
      <c r="Y714" s="489"/>
      <c r="Z714" s="489"/>
      <c r="AA714" s="490" t="str">
        <f t="shared" si="143"/>
        <v>1036</v>
      </c>
      <c r="AB714" s="489">
        <v>10</v>
      </c>
      <c r="AC714" s="489">
        <v>36</v>
      </c>
      <c r="AD714" s="27">
        <v>210319</v>
      </c>
      <c r="AE714" s="27" t="s">
        <v>1552</v>
      </c>
      <c r="AF714" s="432">
        <f>VLOOKUP(AD714,[5]Hoja1!$A$10:$K$1393,11,0)</f>
        <v>-103638</v>
      </c>
      <c r="AG714" s="432"/>
      <c r="AH714" s="432">
        <f t="shared" si="141"/>
        <v>-104</v>
      </c>
      <c r="AL714" s="448"/>
      <c r="AM714" s="467">
        <f>VLOOKUP(AD714,[6]BV201101!$A$10:$A$1236,1,0)</f>
        <v>210319</v>
      </c>
    </row>
    <row r="715" spans="1:39" s="467" customFormat="1" ht="12.75" customHeight="1">
      <c r="A715" s="487" t="str">
        <f t="shared" si="142"/>
        <v>2</v>
      </c>
      <c r="B715" s="487" t="str">
        <f t="shared" si="151"/>
        <v>10</v>
      </c>
      <c r="C715" s="487" t="str">
        <f t="shared" si="152"/>
        <v>32</v>
      </c>
      <c r="D715" s="487" t="str">
        <f t="shared" si="153"/>
        <v>0320</v>
      </c>
      <c r="E715" s="487">
        <v>521251000</v>
      </c>
      <c r="F715" s="488" t="str">
        <f t="shared" si="144"/>
        <v/>
      </c>
      <c r="G715" s="487"/>
      <c r="H715" s="487"/>
      <c r="I715" s="488" t="str">
        <f t="shared" si="145"/>
        <v/>
      </c>
      <c r="J715" s="487"/>
      <c r="K715" s="487"/>
      <c r="L715" s="488" t="str">
        <f t="shared" si="146"/>
        <v/>
      </c>
      <c r="M715" s="487"/>
      <c r="N715" s="487"/>
      <c r="O715" s="488" t="str">
        <f t="shared" si="147"/>
        <v/>
      </c>
      <c r="P715" s="489"/>
      <c r="Q715" s="489"/>
      <c r="R715" s="592" t="str">
        <f t="shared" si="148"/>
        <v>691211000110</v>
      </c>
      <c r="S715" s="487">
        <v>691211000</v>
      </c>
      <c r="T715" s="487">
        <v>110</v>
      </c>
      <c r="U715" s="488" t="str">
        <f t="shared" si="149"/>
        <v/>
      </c>
      <c r="V715" s="489"/>
      <c r="W715" s="489"/>
      <c r="X715" s="488" t="str">
        <f t="shared" si="150"/>
        <v/>
      </c>
      <c r="Y715" s="489"/>
      <c r="Z715" s="489"/>
      <c r="AA715" s="490" t="str">
        <f t="shared" si="143"/>
        <v>1036</v>
      </c>
      <c r="AB715" s="489">
        <v>10</v>
      </c>
      <c r="AC715" s="489">
        <v>36</v>
      </c>
      <c r="AD715" s="27">
        <v>210320</v>
      </c>
      <c r="AE715" s="27" t="s">
        <v>317</v>
      </c>
      <c r="AF715" s="432">
        <f>VLOOKUP(AD715,[5]Hoja1!$A$10:$K$1393,11,0)</f>
        <v>0</v>
      </c>
      <c r="AG715" s="432"/>
      <c r="AH715" s="432">
        <f t="shared" si="141"/>
        <v>0</v>
      </c>
      <c r="AI715" s="875">
        <v>-51195119</v>
      </c>
      <c r="AJ715" s="445">
        <f>+AI715-AF715</f>
        <v>-51195119</v>
      </c>
      <c r="AL715" s="448"/>
      <c r="AM715" s="467">
        <f>VLOOKUP(AD715,[6]BV201101!$A$10:$A$1236,1,0)</f>
        <v>210320</v>
      </c>
    </row>
    <row r="716" spans="1:39" s="467" customFormat="1" ht="12.75" customHeight="1">
      <c r="A716" s="487" t="str">
        <f t="shared" si="142"/>
        <v>2</v>
      </c>
      <c r="B716" s="487" t="str">
        <f t="shared" si="151"/>
        <v>10</v>
      </c>
      <c r="C716" s="487" t="str">
        <f t="shared" si="152"/>
        <v>32</v>
      </c>
      <c r="D716" s="487" t="str">
        <f t="shared" si="153"/>
        <v>0321</v>
      </c>
      <c r="E716" s="487">
        <v>521232000</v>
      </c>
      <c r="F716" s="488" t="str">
        <f t="shared" si="144"/>
        <v/>
      </c>
      <c r="G716" s="487"/>
      <c r="H716" s="487"/>
      <c r="I716" s="488" t="str">
        <f t="shared" si="145"/>
        <v/>
      </c>
      <c r="J716" s="487"/>
      <c r="K716" s="487"/>
      <c r="L716" s="488" t="str">
        <f t="shared" si="146"/>
        <v>653200000103</v>
      </c>
      <c r="M716" s="487">
        <v>653200000</v>
      </c>
      <c r="N716" s="487">
        <v>103</v>
      </c>
      <c r="O716" s="488" t="str">
        <f t="shared" si="147"/>
        <v/>
      </c>
      <c r="P716" s="489"/>
      <c r="Q716" s="489"/>
      <c r="R716" s="592" t="str">
        <f t="shared" si="148"/>
        <v/>
      </c>
      <c r="S716" s="487"/>
      <c r="T716" s="487"/>
      <c r="U716" s="488" t="str">
        <f t="shared" si="149"/>
        <v/>
      </c>
      <c r="V716" s="489"/>
      <c r="W716" s="489"/>
      <c r="X716" s="488" t="str">
        <f t="shared" si="150"/>
        <v/>
      </c>
      <c r="Y716" s="489"/>
      <c r="Z716" s="489"/>
      <c r="AA716" s="490" t="str">
        <f t="shared" si="143"/>
        <v>10101</v>
      </c>
      <c r="AB716" s="489">
        <v>10</v>
      </c>
      <c r="AC716" s="489">
        <v>101</v>
      </c>
      <c r="AD716" s="27">
        <v>210321</v>
      </c>
      <c r="AE716" s="27" t="s">
        <v>164</v>
      </c>
      <c r="AF716" s="432">
        <f>VLOOKUP(AD716,[5]Hoja1!$A$10:$K$1393,11,0)</f>
        <v>-32541716367</v>
      </c>
      <c r="AG716" s="432"/>
      <c r="AH716" s="432">
        <f t="shared" si="141"/>
        <v>-32541716</v>
      </c>
      <c r="AI716" s="876">
        <f>+AI715+AI711+AI701+AI696</f>
        <v>-2936260191</v>
      </c>
      <c r="AJ716" s="445">
        <f>+AF715+AF711+AF701+AF696</f>
        <v>-522150549</v>
      </c>
      <c r="AL716" s="448"/>
      <c r="AM716" s="467">
        <f>VLOOKUP(AD716,[6]BV201101!$A$10:$A$1236,1,0)</f>
        <v>210321</v>
      </c>
    </row>
    <row r="717" spans="1:39" s="467" customFormat="1" ht="12.75" customHeight="1">
      <c r="A717" s="487" t="str">
        <f t="shared" si="142"/>
        <v>2</v>
      </c>
      <c r="B717" s="487" t="str">
        <f t="shared" si="151"/>
        <v>10</v>
      </c>
      <c r="C717" s="487" t="str">
        <f t="shared" si="152"/>
        <v>32</v>
      </c>
      <c r="D717" s="487" t="str">
        <f t="shared" si="153"/>
        <v>0322</v>
      </c>
      <c r="E717" s="487">
        <v>521231000</v>
      </c>
      <c r="F717" s="488" t="str">
        <f t="shared" si="144"/>
        <v/>
      </c>
      <c r="G717" s="487"/>
      <c r="H717" s="487"/>
      <c r="I717" s="488" t="str">
        <f t="shared" si="145"/>
        <v/>
      </c>
      <c r="J717" s="487"/>
      <c r="K717" s="487"/>
      <c r="L717" s="488" t="str">
        <f t="shared" si="146"/>
        <v>653200000114</v>
      </c>
      <c r="M717" s="487">
        <v>653200000</v>
      </c>
      <c r="N717" s="487">
        <v>114</v>
      </c>
      <c r="O717" s="488" t="str">
        <f t="shared" si="147"/>
        <v/>
      </c>
      <c r="P717" s="489"/>
      <c r="Q717" s="489"/>
      <c r="R717" s="592" t="str">
        <f t="shared" si="148"/>
        <v/>
      </c>
      <c r="S717" s="487"/>
      <c r="T717" s="487"/>
      <c r="U717" s="488" t="str">
        <f t="shared" si="149"/>
        <v/>
      </c>
      <c r="V717" s="489"/>
      <c r="W717" s="489"/>
      <c r="X717" s="488" t="str">
        <f t="shared" si="150"/>
        <v/>
      </c>
      <c r="Y717" s="489"/>
      <c r="Z717" s="489"/>
      <c r="AA717" s="490" t="str">
        <f t="shared" si="143"/>
        <v>10100</v>
      </c>
      <c r="AB717" s="489">
        <v>10</v>
      </c>
      <c r="AC717" s="489">
        <v>100</v>
      </c>
      <c r="AD717" s="27">
        <v>210322</v>
      </c>
      <c r="AE717" s="27" t="s">
        <v>165</v>
      </c>
      <c r="AF717" s="432">
        <f>VLOOKUP(AD717,[5]Hoja1!$A$10:$K$1393,11,0)</f>
        <v>0</v>
      </c>
      <c r="AG717" s="432"/>
      <c r="AH717" s="432">
        <f t="shared" si="141"/>
        <v>0</v>
      </c>
      <c r="AJ717" s="491"/>
      <c r="AK717" s="491"/>
      <c r="AL717" s="448"/>
      <c r="AM717" s="467">
        <f>VLOOKUP(AD717,[6]BV201101!$A$10:$A$1236,1,0)</f>
        <v>210322</v>
      </c>
    </row>
    <row r="718" spans="1:39" s="467" customFormat="1" ht="12.75" customHeight="1">
      <c r="A718" s="487" t="str">
        <f t="shared" si="142"/>
        <v>2</v>
      </c>
      <c r="B718" s="487" t="str">
        <f t="shared" si="151"/>
        <v>10</v>
      </c>
      <c r="C718" s="487" t="str">
        <f t="shared" si="152"/>
        <v>32</v>
      </c>
      <c r="D718" s="487" t="str">
        <f t="shared" si="153"/>
        <v>0323</v>
      </c>
      <c r="E718" s="590">
        <v>521253000</v>
      </c>
      <c r="F718" s="488"/>
      <c r="G718" s="487"/>
      <c r="H718" s="487"/>
      <c r="I718" s="488"/>
      <c r="J718" s="487"/>
      <c r="K718" s="487"/>
      <c r="L718" s="488"/>
      <c r="M718" s="487"/>
      <c r="N718" s="487"/>
      <c r="O718" s="488"/>
      <c r="P718" s="489"/>
      <c r="Q718" s="489"/>
      <c r="R718" s="592" t="str">
        <f t="shared" si="148"/>
        <v>691230000101</v>
      </c>
      <c r="S718" s="487">
        <v>691230000</v>
      </c>
      <c r="T718" s="487">
        <v>101</v>
      </c>
      <c r="U718" s="488"/>
      <c r="V718" s="489"/>
      <c r="W718" s="489"/>
      <c r="X718" s="488"/>
      <c r="Y718" s="489"/>
      <c r="Z718" s="489"/>
      <c r="AA718" s="490" t="str">
        <f t="shared" si="143"/>
        <v>1037</v>
      </c>
      <c r="AB718" s="489">
        <v>10</v>
      </c>
      <c r="AC718" s="489">
        <v>37</v>
      </c>
      <c r="AD718" s="27">
        <v>210323</v>
      </c>
      <c r="AE718" s="27" t="s">
        <v>2174</v>
      </c>
      <c r="AF718" s="432">
        <f>VLOOKUP(AD718,[5]Hoja1!$A$10:$K$1393,11,0)</f>
        <v>-3618008</v>
      </c>
      <c r="AG718" s="432"/>
      <c r="AH718" s="432">
        <f t="shared" si="141"/>
        <v>-3618</v>
      </c>
      <c r="AJ718" s="491"/>
      <c r="AK718" s="491"/>
      <c r="AL718" s="448"/>
      <c r="AM718" s="467">
        <f>VLOOKUP(AD718,[6]BV201101!$A$10:$A$1236,1,0)</f>
        <v>210323</v>
      </c>
    </row>
    <row r="719" spans="1:39" s="467" customFormat="1" ht="12.75" customHeight="1">
      <c r="A719" s="487" t="str">
        <f t="shared" si="142"/>
        <v>2</v>
      </c>
      <c r="B719" s="487" t="str">
        <f t="shared" si="151"/>
        <v>10</v>
      </c>
      <c r="C719" s="487" t="str">
        <f t="shared" si="152"/>
        <v>32</v>
      </c>
      <c r="D719" s="487" t="str">
        <f t="shared" si="153"/>
        <v>0324</v>
      </c>
      <c r="E719" s="590">
        <v>521253000</v>
      </c>
      <c r="F719" s="488"/>
      <c r="G719" s="487"/>
      <c r="H719" s="487"/>
      <c r="I719" s="488"/>
      <c r="J719" s="487"/>
      <c r="K719" s="487"/>
      <c r="L719" s="488"/>
      <c r="M719" s="487"/>
      <c r="N719" s="487"/>
      <c r="O719" s="488"/>
      <c r="P719" s="489"/>
      <c r="Q719" s="489"/>
      <c r="R719" s="592" t="str">
        <f t="shared" si="148"/>
        <v>691230000102</v>
      </c>
      <c r="S719" s="487">
        <v>691230000</v>
      </c>
      <c r="T719" s="487">
        <v>102</v>
      </c>
      <c r="U719" s="488"/>
      <c r="V719" s="489"/>
      <c r="W719" s="489"/>
      <c r="X719" s="488"/>
      <c r="Y719" s="489"/>
      <c r="Z719" s="489"/>
      <c r="AA719" s="490" t="str">
        <f t="shared" si="143"/>
        <v>1037</v>
      </c>
      <c r="AB719" s="489">
        <v>10</v>
      </c>
      <c r="AC719" s="489">
        <v>37</v>
      </c>
      <c r="AD719" s="27">
        <v>210324</v>
      </c>
      <c r="AE719" s="27" t="s">
        <v>2175</v>
      </c>
      <c r="AF719" s="432">
        <f>VLOOKUP(AD719,[5]Hoja1!$A$10:$K$1393,11,0)</f>
        <v>-3036081</v>
      </c>
      <c r="AG719" s="432"/>
      <c r="AH719" s="432">
        <f t="shared" si="141"/>
        <v>-3036</v>
      </c>
      <c r="AJ719" s="491"/>
      <c r="AK719" s="491"/>
      <c r="AL719" s="448"/>
      <c r="AM719" s="467">
        <f>VLOOKUP(AD719,[6]BV201101!$A$10:$A$1236,1,0)</f>
        <v>210324</v>
      </c>
    </row>
    <row r="720" spans="1:39" s="467" customFormat="1" ht="12.75" customHeight="1">
      <c r="A720" s="487" t="str">
        <f t="shared" si="142"/>
        <v>2</v>
      </c>
      <c r="B720" s="487" t="str">
        <f t="shared" si="151"/>
        <v>10</v>
      </c>
      <c r="C720" s="487" t="str">
        <f t="shared" si="152"/>
        <v>32</v>
      </c>
      <c r="D720" s="487" t="str">
        <f t="shared" si="153"/>
        <v>0325</v>
      </c>
      <c r="E720" s="590">
        <v>521253000</v>
      </c>
      <c r="F720" s="488"/>
      <c r="G720" s="487"/>
      <c r="H720" s="487"/>
      <c r="I720" s="488"/>
      <c r="J720" s="487"/>
      <c r="K720" s="487"/>
      <c r="L720" s="488"/>
      <c r="M720" s="487"/>
      <c r="N720" s="487"/>
      <c r="O720" s="488"/>
      <c r="P720" s="489"/>
      <c r="Q720" s="489"/>
      <c r="R720" s="592" t="str">
        <f t="shared" si="148"/>
        <v>691230000103</v>
      </c>
      <c r="S720" s="487">
        <v>691230000</v>
      </c>
      <c r="T720" s="487">
        <v>103</v>
      </c>
      <c r="U720" s="488"/>
      <c r="V720" s="489"/>
      <c r="W720" s="489"/>
      <c r="X720" s="488"/>
      <c r="Y720" s="489"/>
      <c r="Z720" s="489"/>
      <c r="AA720" s="490" t="str">
        <f t="shared" si="143"/>
        <v>1037</v>
      </c>
      <c r="AB720" s="489">
        <v>10</v>
      </c>
      <c r="AC720" s="489">
        <v>37</v>
      </c>
      <c r="AD720" s="27">
        <v>210325</v>
      </c>
      <c r="AE720" s="27" t="s">
        <v>2176</v>
      </c>
      <c r="AF720" s="432">
        <f>VLOOKUP(AD720,[5]Hoja1!$A$10:$K$1393,11,0)</f>
        <v>-18198037</v>
      </c>
      <c r="AG720" s="432"/>
      <c r="AH720" s="432">
        <f t="shared" si="141"/>
        <v>-18198</v>
      </c>
      <c r="AJ720" s="491"/>
      <c r="AK720" s="491"/>
      <c r="AL720" s="448"/>
      <c r="AM720" s="467">
        <f>VLOOKUP(AD720,[6]BV201101!$A$10:$A$1236,1,0)</f>
        <v>210325</v>
      </c>
    </row>
    <row r="721" spans="1:39" s="467" customFormat="1" ht="12.75" customHeight="1">
      <c r="A721" s="487" t="str">
        <f t="shared" si="142"/>
        <v>2</v>
      </c>
      <c r="B721" s="487" t="str">
        <f t="shared" si="151"/>
        <v>10</v>
      </c>
      <c r="C721" s="487" t="str">
        <f t="shared" si="152"/>
        <v>32</v>
      </c>
      <c r="D721" s="487" t="str">
        <f t="shared" si="153"/>
        <v>0326</v>
      </c>
      <c r="E721" s="590">
        <v>521253000</v>
      </c>
      <c r="F721" s="488"/>
      <c r="G721" s="487"/>
      <c r="H721" s="487"/>
      <c r="I721" s="488"/>
      <c r="J721" s="487"/>
      <c r="K721" s="487"/>
      <c r="L721" s="488"/>
      <c r="M721" s="487"/>
      <c r="N721" s="487"/>
      <c r="O721" s="488"/>
      <c r="P721" s="489"/>
      <c r="Q721" s="489"/>
      <c r="R721" s="592" t="str">
        <f t="shared" si="148"/>
        <v>691230000104</v>
      </c>
      <c r="S721" s="487">
        <v>691230000</v>
      </c>
      <c r="T721" s="487">
        <v>104</v>
      </c>
      <c r="U721" s="488"/>
      <c r="V721" s="489"/>
      <c r="W721" s="489"/>
      <c r="X721" s="488"/>
      <c r="Y721" s="489"/>
      <c r="Z721" s="489"/>
      <c r="AA721" s="490" t="str">
        <f t="shared" si="143"/>
        <v>1037</v>
      </c>
      <c r="AB721" s="489">
        <v>10</v>
      </c>
      <c r="AC721" s="489">
        <v>37</v>
      </c>
      <c r="AD721" s="27">
        <v>210326</v>
      </c>
      <c r="AE721" s="27" t="s">
        <v>2177</v>
      </c>
      <c r="AF721" s="432">
        <f>VLOOKUP(AD721,[5]Hoja1!$A$10:$K$1393,11,0)</f>
        <v>-2815261</v>
      </c>
      <c r="AG721" s="432"/>
      <c r="AH721" s="432">
        <f t="shared" si="141"/>
        <v>-2815</v>
      </c>
      <c r="AJ721" s="491"/>
      <c r="AK721" s="491"/>
      <c r="AL721" s="448"/>
      <c r="AM721" s="467">
        <f>VLOOKUP(AD721,[6]BV201101!$A$10:$A$1236,1,0)</f>
        <v>210326</v>
      </c>
    </row>
    <row r="722" spans="1:39" s="467" customFormat="1" ht="12.75" customHeight="1">
      <c r="A722" s="487" t="str">
        <f t="shared" si="142"/>
        <v>2</v>
      </c>
      <c r="B722" s="487" t="str">
        <f t="shared" si="151"/>
        <v>10</v>
      </c>
      <c r="C722" s="487" t="str">
        <f t="shared" si="152"/>
        <v>32</v>
      </c>
      <c r="D722" s="487" t="str">
        <f t="shared" si="153"/>
        <v>0327</v>
      </c>
      <c r="E722" s="590">
        <v>521253000</v>
      </c>
      <c r="F722" s="488"/>
      <c r="G722" s="487"/>
      <c r="H722" s="487"/>
      <c r="I722" s="488"/>
      <c r="J722" s="487"/>
      <c r="K722" s="487"/>
      <c r="L722" s="488"/>
      <c r="M722" s="487"/>
      <c r="N722" s="487"/>
      <c r="O722" s="488"/>
      <c r="P722" s="489"/>
      <c r="Q722" s="489"/>
      <c r="R722" s="592" t="str">
        <f t="shared" si="148"/>
        <v>691230000108</v>
      </c>
      <c r="S722" s="487">
        <v>691230000</v>
      </c>
      <c r="T722" s="487">
        <v>108</v>
      </c>
      <c r="U722" s="488"/>
      <c r="V722" s="489"/>
      <c r="W722" s="489"/>
      <c r="X722" s="488"/>
      <c r="Y722" s="489"/>
      <c r="Z722" s="489"/>
      <c r="AA722" s="490" t="str">
        <f t="shared" si="143"/>
        <v>1037</v>
      </c>
      <c r="AB722" s="489">
        <v>10</v>
      </c>
      <c r="AC722" s="489">
        <v>37</v>
      </c>
      <c r="AD722" s="27">
        <v>210327</v>
      </c>
      <c r="AE722" s="27" t="s">
        <v>2178</v>
      </c>
      <c r="AF722" s="432">
        <f>VLOOKUP(AD722,[5]Hoja1!$A$10:$K$1393,11,0)</f>
        <v>-278738</v>
      </c>
      <c r="AG722" s="432"/>
      <c r="AH722" s="432">
        <f t="shared" si="141"/>
        <v>-279</v>
      </c>
      <c r="AJ722" s="491"/>
      <c r="AK722" s="491"/>
      <c r="AL722" s="448"/>
      <c r="AM722" s="467">
        <f>VLOOKUP(AD722,[6]BV201101!$A$10:$A$1236,1,0)</f>
        <v>210327</v>
      </c>
    </row>
    <row r="723" spans="1:39" s="467" customFormat="1" ht="12.75" customHeight="1">
      <c r="A723" s="487" t="str">
        <f t="shared" si="142"/>
        <v>2</v>
      </c>
      <c r="B723" s="487" t="str">
        <f t="shared" si="151"/>
        <v>10</v>
      </c>
      <c r="C723" s="487" t="str">
        <f t="shared" si="152"/>
        <v>32</v>
      </c>
      <c r="D723" s="487" t="str">
        <f t="shared" si="153"/>
        <v>0328</v>
      </c>
      <c r="E723" s="590">
        <v>521253000</v>
      </c>
      <c r="F723" s="488"/>
      <c r="G723" s="487"/>
      <c r="H723" s="487"/>
      <c r="I723" s="488"/>
      <c r="J723" s="487"/>
      <c r="K723" s="487"/>
      <c r="L723" s="488"/>
      <c r="M723" s="487"/>
      <c r="N723" s="487"/>
      <c r="O723" s="488"/>
      <c r="P723" s="489"/>
      <c r="Q723" s="489"/>
      <c r="R723" s="592" t="str">
        <f t="shared" si="148"/>
        <v>691230000109</v>
      </c>
      <c r="S723" s="487">
        <v>691230000</v>
      </c>
      <c r="T723" s="487">
        <v>109</v>
      </c>
      <c r="U723" s="488"/>
      <c r="V723" s="489"/>
      <c r="W723" s="489"/>
      <c r="X723" s="488"/>
      <c r="Y723" s="489"/>
      <c r="Z723" s="489"/>
      <c r="AA723" s="490" t="str">
        <f t="shared" si="143"/>
        <v>1037</v>
      </c>
      <c r="AB723" s="489">
        <v>10</v>
      </c>
      <c r="AC723" s="489">
        <v>37</v>
      </c>
      <c r="AD723" s="27">
        <v>210328</v>
      </c>
      <c r="AE723" s="27" t="s">
        <v>2179</v>
      </c>
      <c r="AF723" s="432">
        <f>VLOOKUP(AD723,[5]Hoja1!$A$10:$K$1393,11,0)</f>
        <v>-30878626</v>
      </c>
      <c r="AG723" s="432"/>
      <c r="AH723" s="432">
        <f t="shared" si="141"/>
        <v>-30879</v>
      </c>
      <c r="AJ723" s="491"/>
      <c r="AK723" s="491"/>
      <c r="AL723" s="448"/>
      <c r="AM723" s="467">
        <f>VLOOKUP(AD723,[6]BV201101!$A$10:$A$1236,1,0)</f>
        <v>210328</v>
      </c>
    </row>
    <row r="724" spans="1:39" s="467" customFormat="1" ht="12.75" customHeight="1">
      <c r="A724" s="487" t="str">
        <f t="shared" si="142"/>
        <v>2</v>
      </c>
      <c r="B724" s="487" t="str">
        <f t="shared" si="151"/>
        <v>10</v>
      </c>
      <c r="C724" s="487" t="str">
        <f t="shared" si="152"/>
        <v>32</v>
      </c>
      <c r="D724" s="487" t="str">
        <f t="shared" si="153"/>
        <v>0329</v>
      </c>
      <c r="E724" s="590">
        <v>521253000</v>
      </c>
      <c r="F724" s="488"/>
      <c r="G724" s="487"/>
      <c r="H724" s="487"/>
      <c r="I724" s="488"/>
      <c r="J724" s="487"/>
      <c r="K724" s="487"/>
      <c r="L724" s="488"/>
      <c r="M724" s="487"/>
      <c r="N724" s="487"/>
      <c r="O724" s="488"/>
      <c r="P724" s="489"/>
      <c r="Q724" s="489"/>
      <c r="R724" s="592" t="str">
        <f t="shared" si="148"/>
        <v>691230000110</v>
      </c>
      <c r="S724" s="487">
        <v>691230000</v>
      </c>
      <c r="T724" s="487">
        <v>110</v>
      </c>
      <c r="U724" s="488"/>
      <c r="V724" s="489"/>
      <c r="W724" s="489"/>
      <c r="X724" s="488"/>
      <c r="Y724" s="489"/>
      <c r="Z724" s="489"/>
      <c r="AA724" s="490" t="str">
        <f t="shared" si="143"/>
        <v>1037</v>
      </c>
      <c r="AB724" s="489">
        <v>10</v>
      </c>
      <c r="AC724" s="489">
        <v>37</v>
      </c>
      <c r="AD724" s="27">
        <v>210329</v>
      </c>
      <c r="AE724" s="27" t="s">
        <v>2180</v>
      </c>
      <c r="AF724" s="432">
        <f>VLOOKUP(AD724,[5]Hoja1!$A$10:$K$1393,11,0)</f>
        <v>-3120700</v>
      </c>
      <c r="AG724" s="432"/>
      <c r="AH724" s="432">
        <f t="shared" ref="AH724:AH790" si="154">ROUND((AF724+AG724)/$AH$2,0)</f>
        <v>-3121</v>
      </c>
      <c r="AJ724" s="491"/>
      <c r="AK724" s="491"/>
      <c r="AL724" s="448"/>
      <c r="AM724" s="467">
        <f>VLOOKUP(AD724,[6]BV201101!$A$10:$A$1236,1,0)</f>
        <v>210329</v>
      </c>
    </row>
    <row r="725" spans="1:39" s="467" customFormat="1" ht="12.75" customHeight="1">
      <c r="A725" s="487" t="str">
        <f t="shared" si="142"/>
        <v>2</v>
      </c>
      <c r="B725" s="487" t="str">
        <f t="shared" si="151"/>
        <v>10</v>
      </c>
      <c r="C725" s="487" t="str">
        <f t="shared" si="152"/>
        <v>33</v>
      </c>
      <c r="D725" s="487" t="str">
        <f t="shared" si="153"/>
        <v>0331</v>
      </c>
      <c r="E725" s="487">
        <v>521120000</v>
      </c>
      <c r="F725" s="488" t="str">
        <f t="shared" si="144"/>
        <v/>
      </c>
      <c r="G725" s="487"/>
      <c r="H725" s="487"/>
      <c r="I725" s="488" t="str">
        <f t="shared" si="145"/>
        <v/>
      </c>
      <c r="J725" s="487"/>
      <c r="K725" s="487"/>
      <c r="L725" s="488" t="str">
        <f t="shared" si="146"/>
        <v/>
      </c>
      <c r="M725" s="487"/>
      <c r="N725" s="487"/>
      <c r="O725" s="488" t="str">
        <f t="shared" si="147"/>
        <v>695210000420</v>
      </c>
      <c r="P725" s="489">
        <v>695210000</v>
      </c>
      <c r="Q725" s="489">
        <v>420</v>
      </c>
      <c r="R725" s="592" t="str">
        <f t="shared" si="148"/>
        <v>691211000420</v>
      </c>
      <c r="S725" s="487">
        <v>691211000</v>
      </c>
      <c r="T725" s="487">
        <v>420</v>
      </c>
      <c r="U725" s="488" t="str">
        <f t="shared" si="149"/>
        <v/>
      </c>
      <c r="V725" s="489"/>
      <c r="W725" s="489"/>
      <c r="X725" s="488" t="str">
        <f t="shared" si="150"/>
        <v/>
      </c>
      <c r="Y725" s="489"/>
      <c r="Z725" s="489"/>
      <c r="AA725" s="490" t="str">
        <f t="shared" si="143"/>
        <v>1051</v>
      </c>
      <c r="AB725" s="489">
        <v>10</v>
      </c>
      <c r="AC725" s="489">
        <v>51</v>
      </c>
      <c r="AD725" s="27">
        <v>210331</v>
      </c>
      <c r="AE725" s="27" t="s">
        <v>169</v>
      </c>
      <c r="AF725" s="432">
        <f>VLOOKUP(AD725,[5]Hoja1!$A$10:$K$1393,11,0)</f>
        <v>0</v>
      </c>
      <c r="AG725" s="432"/>
      <c r="AH725" s="432">
        <f t="shared" si="154"/>
        <v>0</v>
      </c>
      <c r="AL725" s="448"/>
      <c r="AM725" s="467">
        <f>VLOOKUP(AD725,[6]BV201101!$A$10:$A$1236,1,0)</f>
        <v>210331</v>
      </c>
    </row>
    <row r="726" spans="1:39" s="467" customFormat="1" ht="12.75" customHeight="1">
      <c r="A726" s="487" t="str">
        <f t="shared" si="142"/>
        <v>2</v>
      </c>
      <c r="B726" s="487" t="str">
        <f t="shared" si="151"/>
        <v>10</v>
      </c>
      <c r="C726" s="487" t="str">
        <f t="shared" si="152"/>
        <v>33</v>
      </c>
      <c r="D726" s="487" t="str">
        <f t="shared" si="153"/>
        <v>0332</v>
      </c>
      <c r="E726" s="487">
        <v>521120000</v>
      </c>
      <c r="F726" s="488" t="str">
        <f t="shared" si="144"/>
        <v/>
      </c>
      <c r="G726" s="487"/>
      <c r="H726" s="487"/>
      <c r="I726" s="488" t="str">
        <f t="shared" si="145"/>
        <v/>
      </c>
      <c r="J726" s="487"/>
      <c r="K726" s="487"/>
      <c r="L726" s="488" t="str">
        <f t="shared" si="146"/>
        <v/>
      </c>
      <c r="M726" s="487"/>
      <c r="N726" s="487"/>
      <c r="O726" s="488" t="str">
        <f t="shared" si="147"/>
        <v>695210000420</v>
      </c>
      <c r="P726" s="489">
        <v>695210000</v>
      </c>
      <c r="Q726" s="489">
        <v>420</v>
      </c>
      <c r="R726" s="592" t="str">
        <f t="shared" si="148"/>
        <v>691211000420</v>
      </c>
      <c r="S726" s="487">
        <v>691211000</v>
      </c>
      <c r="T726" s="487">
        <v>420</v>
      </c>
      <c r="U726" s="488" t="str">
        <f t="shared" si="149"/>
        <v/>
      </c>
      <c r="V726" s="489"/>
      <c r="W726" s="489"/>
      <c r="X726" s="488" t="str">
        <f t="shared" si="150"/>
        <v/>
      </c>
      <c r="Y726" s="489"/>
      <c r="Z726" s="489"/>
      <c r="AA726" s="490" t="str">
        <f t="shared" si="143"/>
        <v>1051</v>
      </c>
      <c r="AB726" s="489">
        <v>10</v>
      </c>
      <c r="AC726" s="489">
        <v>51</v>
      </c>
      <c r="AD726" s="27">
        <v>210332</v>
      </c>
      <c r="AE726" s="27" t="s">
        <v>170</v>
      </c>
      <c r="AF726" s="432">
        <f>VLOOKUP(AD726,[5]Hoja1!$A$10:$K$1393,11,0)</f>
        <v>-6067342496</v>
      </c>
      <c r="AG726" s="432"/>
      <c r="AH726" s="432">
        <f t="shared" si="154"/>
        <v>-6067342</v>
      </c>
      <c r="AI726" s="445">
        <f>+AH699+AH701+AH696+AH702+AH703+AH711+AH714+AH715+AH728+AH729+AH731+AH733</f>
        <v>-2671206</v>
      </c>
      <c r="AL726" s="448"/>
      <c r="AM726" s="467">
        <f>VLOOKUP(AD726,[6]BV201101!$A$10:$A$1236,1,0)</f>
        <v>210332</v>
      </c>
    </row>
    <row r="727" spans="1:39" s="467" customFormat="1" ht="12.75" customHeight="1">
      <c r="A727" s="487" t="str">
        <f t="shared" si="142"/>
        <v>2</v>
      </c>
      <c r="B727" s="487" t="str">
        <f t="shared" si="151"/>
        <v>10</v>
      </c>
      <c r="C727" s="487" t="str">
        <f t="shared" si="152"/>
        <v>33</v>
      </c>
      <c r="D727" s="487" t="str">
        <f t="shared" si="153"/>
        <v>0333</v>
      </c>
      <c r="E727" s="487">
        <v>521120000</v>
      </c>
      <c r="F727" s="488" t="str">
        <f>+G727&amp;H727</f>
        <v/>
      </c>
      <c r="G727" s="487"/>
      <c r="H727" s="487"/>
      <c r="I727" s="488" t="str">
        <f>+J727&amp;K727</f>
        <v/>
      </c>
      <c r="J727" s="487"/>
      <c r="K727" s="487"/>
      <c r="L727" s="488" t="str">
        <f>+M727&amp;N727</f>
        <v/>
      </c>
      <c r="M727" s="487"/>
      <c r="N727" s="487"/>
      <c r="O727" s="488" t="str">
        <f>+P727&amp;Q727</f>
        <v>695210000420</v>
      </c>
      <c r="P727" s="489">
        <v>695210000</v>
      </c>
      <c r="Q727" s="489">
        <v>420</v>
      </c>
      <c r="R727" s="592" t="str">
        <f t="shared" ref="R727:R745" si="155">+S727&amp;T727</f>
        <v>691211000420</v>
      </c>
      <c r="S727" s="487">
        <v>691211000</v>
      </c>
      <c r="T727" s="487">
        <v>420</v>
      </c>
      <c r="U727" s="488" t="str">
        <f>+V727&amp;W727</f>
        <v/>
      </c>
      <c r="V727" s="489"/>
      <c r="W727" s="489"/>
      <c r="X727" s="488" t="str">
        <f>+Y727&amp;Z727</f>
        <v/>
      </c>
      <c r="Y727" s="489"/>
      <c r="Z727" s="489"/>
      <c r="AA727" s="490" t="str">
        <f t="shared" ref="AA727:AA746" si="156">+AB727&amp;AC727</f>
        <v>1051</v>
      </c>
      <c r="AB727" s="489">
        <v>10</v>
      </c>
      <c r="AC727" s="489">
        <v>51</v>
      </c>
      <c r="AD727" s="27">
        <v>210333</v>
      </c>
      <c r="AE727" s="27" t="s">
        <v>168</v>
      </c>
      <c r="AF727" s="432">
        <f>VLOOKUP(AD727,[5]Hoja1!$A$10:$K$1393,11,0)</f>
        <v>0</v>
      </c>
      <c r="AG727" s="432"/>
      <c r="AH727" s="432">
        <f t="shared" si="154"/>
        <v>0</v>
      </c>
      <c r="AI727" s="467">
        <v>2510495</v>
      </c>
      <c r="AL727" s="448"/>
      <c r="AM727" s="467">
        <f>VLOOKUP(AD727,[6]BV201101!$A$10:$A$1236,1,0)</f>
        <v>210333</v>
      </c>
    </row>
    <row r="728" spans="1:39" s="467" customFormat="1" ht="12.75" customHeight="1">
      <c r="A728" s="487" t="str">
        <f t="shared" si="142"/>
        <v>2</v>
      </c>
      <c r="B728" s="487" t="str">
        <f t="shared" si="151"/>
        <v>10</v>
      </c>
      <c r="C728" s="487" t="str">
        <f t="shared" si="152"/>
        <v>33</v>
      </c>
      <c r="D728" s="487" t="str">
        <f t="shared" si="153"/>
        <v>0334</v>
      </c>
      <c r="E728" s="487">
        <v>521251000</v>
      </c>
      <c r="F728" s="488"/>
      <c r="G728" s="487"/>
      <c r="H728" s="487"/>
      <c r="I728" s="488"/>
      <c r="J728" s="487"/>
      <c r="K728" s="487"/>
      <c r="L728" s="488"/>
      <c r="M728" s="487"/>
      <c r="N728" s="487"/>
      <c r="O728" s="488"/>
      <c r="P728" s="489"/>
      <c r="Q728" s="489"/>
      <c r="R728" s="592" t="str">
        <f t="shared" si="155"/>
        <v>691211000109</v>
      </c>
      <c r="S728" s="487">
        <v>691211000</v>
      </c>
      <c r="T728" s="487">
        <v>109</v>
      </c>
      <c r="U728" s="488"/>
      <c r="V728" s="489"/>
      <c r="W728" s="489"/>
      <c r="X728" s="488"/>
      <c r="Y728" s="489"/>
      <c r="Z728" s="489"/>
      <c r="AA728" s="490" t="str">
        <f t="shared" si="156"/>
        <v>1036</v>
      </c>
      <c r="AB728" s="489">
        <v>10</v>
      </c>
      <c r="AC728" s="489">
        <v>36</v>
      </c>
      <c r="AD728" s="27">
        <v>210334</v>
      </c>
      <c r="AE728" s="27" t="s">
        <v>2577</v>
      </c>
      <c r="AF728" s="432">
        <f>VLOOKUP(AD728,[5]Hoja1!$A$10:$K$1393,11,0)</f>
        <v>-4778123251</v>
      </c>
      <c r="AG728" s="1507">
        <f>-AF728-2539478</f>
        <v>4775583773</v>
      </c>
      <c r="AH728" s="432">
        <f t="shared" si="154"/>
        <v>-2539</v>
      </c>
      <c r="AI728" s="445">
        <f>+AI727+AI726</f>
        <v>-160711</v>
      </c>
      <c r="AL728" s="448"/>
    </row>
    <row r="729" spans="1:39" s="467" customFormat="1" ht="12.75" customHeight="1">
      <c r="A729" s="487" t="str">
        <f t="shared" si="142"/>
        <v>2</v>
      </c>
      <c r="B729" s="487" t="str">
        <f t="shared" si="151"/>
        <v>10</v>
      </c>
      <c r="C729" s="487" t="str">
        <f t="shared" si="152"/>
        <v>33</v>
      </c>
      <c r="D729" s="487" t="str">
        <f t="shared" si="153"/>
        <v>0334</v>
      </c>
      <c r="E729" s="590">
        <v>521251000</v>
      </c>
      <c r="F729" s="488"/>
      <c r="G729" s="487"/>
      <c r="H729" s="487"/>
      <c r="I729" s="488"/>
      <c r="J729" s="487"/>
      <c r="K729" s="487"/>
      <c r="L729" s="488"/>
      <c r="M729" s="487"/>
      <c r="N729" s="487"/>
      <c r="O729" s="488"/>
      <c r="P729" s="489"/>
      <c r="Q729" s="489"/>
      <c r="R729" s="592" t="str">
        <f t="shared" si="155"/>
        <v>691211000103</v>
      </c>
      <c r="S729" s="487">
        <v>691211000</v>
      </c>
      <c r="T729" s="487">
        <v>103</v>
      </c>
      <c r="U729" s="488"/>
      <c r="V729" s="489"/>
      <c r="W729" s="489"/>
      <c r="X729" s="488"/>
      <c r="Y729" s="489"/>
      <c r="Z729" s="489"/>
      <c r="AA729" s="490" t="str">
        <f t="shared" si="156"/>
        <v>1036</v>
      </c>
      <c r="AB729" s="489">
        <v>10</v>
      </c>
      <c r="AC729" s="489">
        <v>36</v>
      </c>
      <c r="AD729" s="27">
        <v>210334</v>
      </c>
      <c r="AE729" s="599" t="s">
        <v>2577</v>
      </c>
      <c r="AF729" s="432">
        <v>0</v>
      </c>
      <c r="AG729" s="1507">
        <v>-56595342</v>
      </c>
      <c r="AH729" s="432">
        <f t="shared" si="154"/>
        <v>-56595</v>
      </c>
      <c r="AL729" s="448"/>
    </row>
    <row r="730" spans="1:39" s="467" customFormat="1" ht="12.75" customHeight="1">
      <c r="A730" s="487" t="str">
        <f t="shared" si="142"/>
        <v>2</v>
      </c>
      <c r="B730" s="487" t="str">
        <f t="shared" si="151"/>
        <v>10</v>
      </c>
      <c r="C730" s="487" t="str">
        <f t="shared" si="152"/>
        <v>33</v>
      </c>
      <c r="D730" s="487" t="str">
        <f t="shared" si="153"/>
        <v>0334</v>
      </c>
      <c r="E730" s="590">
        <v>521251000</v>
      </c>
      <c r="F730" s="488"/>
      <c r="G730" s="487"/>
      <c r="H730" s="487"/>
      <c r="I730" s="488"/>
      <c r="J730" s="487"/>
      <c r="K730" s="487"/>
      <c r="L730" s="488"/>
      <c r="M730" s="487"/>
      <c r="N730" s="487"/>
      <c r="O730" s="488"/>
      <c r="P730" s="489"/>
      <c r="Q730" s="489"/>
      <c r="R730" s="592" t="str">
        <f t="shared" si="155"/>
        <v>691211000102</v>
      </c>
      <c r="S730" s="487">
        <v>691211000</v>
      </c>
      <c r="T730" s="487">
        <v>102</v>
      </c>
      <c r="U730" s="488"/>
      <c r="V730" s="489"/>
      <c r="W730" s="489"/>
      <c r="X730" s="488"/>
      <c r="Y730" s="489"/>
      <c r="Z730" s="489"/>
      <c r="AA730" s="490" t="str">
        <f t="shared" si="156"/>
        <v>1036</v>
      </c>
      <c r="AB730" s="489">
        <v>10</v>
      </c>
      <c r="AC730" s="489">
        <v>36</v>
      </c>
      <c r="AD730" s="27">
        <v>210334</v>
      </c>
      <c r="AE730" s="599" t="s">
        <v>2577</v>
      </c>
      <c r="AF730" s="432">
        <v>0</v>
      </c>
      <c r="AG730" s="1507">
        <v>0</v>
      </c>
      <c r="AH730" s="432">
        <f t="shared" si="154"/>
        <v>0</v>
      </c>
      <c r="AL730" s="448"/>
    </row>
    <row r="731" spans="1:39" s="467" customFormat="1" ht="12.75" customHeight="1">
      <c r="A731" s="487" t="str">
        <f t="shared" si="142"/>
        <v>2</v>
      </c>
      <c r="B731" s="487" t="str">
        <f t="shared" si="151"/>
        <v>10</v>
      </c>
      <c r="C731" s="487" t="str">
        <f t="shared" si="152"/>
        <v>33</v>
      </c>
      <c r="D731" s="487" t="str">
        <f t="shared" si="153"/>
        <v>0334</v>
      </c>
      <c r="E731" s="590">
        <v>521251000</v>
      </c>
      <c r="F731" s="488"/>
      <c r="G731" s="487"/>
      <c r="H731" s="487"/>
      <c r="I731" s="488"/>
      <c r="J731" s="487"/>
      <c r="K731" s="487"/>
      <c r="L731" s="488"/>
      <c r="M731" s="487"/>
      <c r="N731" s="487"/>
      <c r="O731" s="488"/>
      <c r="P731" s="489"/>
      <c r="Q731" s="489"/>
      <c r="R731" s="592" t="str">
        <f t="shared" si="155"/>
        <v>691211000110</v>
      </c>
      <c r="S731" s="487">
        <v>691211000</v>
      </c>
      <c r="T731" s="487">
        <v>110</v>
      </c>
      <c r="U731" s="488"/>
      <c r="V731" s="489"/>
      <c r="W731" s="489"/>
      <c r="X731" s="488"/>
      <c r="Y731" s="489"/>
      <c r="Z731" s="489"/>
      <c r="AA731" s="490" t="str">
        <f t="shared" si="156"/>
        <v>1036</v>
      </c>
      <c r="AB731" s="489">
        <v>10</v>
      </c>
      <c r="AC731" s="489">
        <v>36</v>
      </c>
      <c r="AD731" s="27">
        <v>210334</v>
      </c>
      <c r="AE731" s="599" t="s">
        <v>2577</v>
      </c>
      <c r="AF731" s="432">
        <v>0</v>
      </c>
      <c r="AG731" s="1507">
        <v>-15036366</v>
      </c>
      <c r="AH731" s="432">
        <f t="shared" si="154"/>
        <v>-15036</v>
      </c>
      <c r="AL731" s="448"/>
    </row>
    <row r="732" spans="1:39" s="467" customFormat="1" ht="12.75" customHeight="1">
      <c r="A732" s="487" t="str">
        <f t="shared" si="142"/>
        <v>2</v>
      </c>
      <c r="B732" s="487" t="str">
        <f t="shared" si="151"/>
        <v>10</v>
      </c>
      <c r="C732" s="487" t="str">
        <f t="shared" si="152"/>
        <v>33</v>
      </c>
      <c r="D732" s="487" t="str">
        <f t="shared" si="153"/>
        <v>0334</v>
      </c>
      <c r="E732" s="590">
        <v>521251000</v>
      </c>
      <c r="F732" s="488"/>
      <c r="G732" s="487"/>
      <c r="H732" s="487"/>
      <c r="I732" s="488"/>
      <c r="J732" s="487"/>
      <c r="K732" s="487"/>
      <c r="L732" s="488"/>
      <c r="M732" s="487"/>
      <c r="N732" s="487"/>
      <c r="O732" s="488"/>
      <c r="P732" s="489"/>
      <c r="Q732" s="489"/>
      <c r="R732" s="592" t="str">
        <f t="shared" si="155"/>
        <v>691211000114</v>
      </c>
      <c r="S732" s="487">
        <v>691211000</v>
      </c>
      <c r="T732" s="487">
        <v>114</v>
      </c>
      <c r="U732" s="488"/>
      <c r="V732" s="489"/>
      <c r="W732" s="489"/>
      <c r="X732" s="488"/>
      <c r="Y732" s="489"/>
      <c r="Z732" s="489"/>
      <c r="AA732" s="490" t="str">
        <f t="shared" si="156"/>
        <v>1036</v>
      </c>
      <c r="AB732" s="489">
        <v>10</v>
      </c>
      <c r="AC732" s="489">
        <v>36</v>
      </c>
      <c r="AD732" s="27">
        <v>210334</v>
      </c>
      <c r="AE732" s="599" t="s">
        <v>2577</v>
      </c>
      <c r="AF732" s="432">
        <v>0</v>
      </c>
      <c r="AG732" s="1507">
        <v>0</v>
      </c>
      <c r="AH732" s="432">
        <f t="shared" si="154"/>
        <v>0</v>
      </c>
      <c r="AL732" s="448"/>
    </row>
    <row r="733" spans="1:39" s="467" customFormat="1" ht="12.75" customHeight="1">
      <c r="A733" s="487" t="str">
        <f t="shared" si="142"/>
        <v>2</v>
      </c>
      <c r="B733" s="487" t="str">
        <f t="shared" si="151"/>
        <v>10</v>
      </c>
      <c r="C733" s="487" t="str">
        <f t="shared" si="152"/>
        <v>33</v>
      </c>
      <c r="D733" s="487" t="str">
        <f t="shared" si="153"/>
        <v>0334</v>
      </c>
      <c r="E733" s="590">
        <v>521251000</v>
      </c>
      <c r="F733" s="488"/>
      <c r="G733" s="487"/>
      <c r="H733" s="487"/>
      <c r="I733" s="488"/>
      <c r="J733" s="487"/>
      <c r="K733" s="487"/>
      <c r="L733" s="488"/>
      <c r="M733" s="487"/>
      <c r="N733" s="487"/>
      <c r="O733" s="488"/>
      <c r="P733" s="489"/>
      <c r="Q733" s="489"/>
      <c r="R733" s="592" t="str">
        <f t="shared" si="155"/>
        <v>691211000202</v>
      </c>
      <c r="S733" s="487">
        <v>691211000</v>
      </c>
      <c r="T733" s="487">
        <v>202</v>
      </c>
      <c r="U733" s="488"/>
      <c r="V733" s="489"/>
      <c r="W733" s="489"/>
      <c r="X733" s="488"/>
      <c r="Y733" s="489"/>
      <c r="Z733" s="489"/>
      <c r="AA733" s="490" t="str">
        <f t="shared" si="156"/>
        <v>1036</v>
      </c>
      <c r="AB733" s="489">
        <v>10</v>
      </c>
      <c r="AC733" s="489">
        <v>36</v>
      </c>
      <c r="AD733" s="27">
        <v>210334</v>
      </c>
      <c r="AE733" s="599" t="s">
        <v>2577</v>
      </c>
      <c r="AF733" s="432">
        <v>0</v>
      </c>
      <c r="AG733" s="1507">
        <v>-2007281453</v>
      </c>
      <c r="AH733" s="432">
        <f t="shared" si="154"/>
        <v>-2007281</v>
      </c>
      <c r="AL733" s="448"/>
    </row>
    <row r="734" spans="1:39" s="467" customFormat="1" ht="12.75" customHeight="1">
      <c r="A734" s="487" t="str">
        <f t="shared" si="142"/>
        <v>2</v>
      </c>
      <c r="B734" s="487" t="str">
        <f t="shared" si="151"/>
        <v>10</v>
      </c>
      <c r="C734" s="487" t="str">
        <f t="shared" si="152"/>
        <v>33</v>
      </c>
      <c r="D734" s="487" t="str">
        <f t="shared" si="153"/>
        <v>0334</v>
      </c>
      <c r="E734" s="590">
        <v>521251000</v>
      </c>
      <c r="F734" s="488"/>
      <c r="G734" s="487"/>
      <c r="H734" s="487"/>
      <c r="I734" s="488"/>
      <c r="J734" s="487"/>
      <c r="K734" s="487"/>
      <c r="L734" s="488"/>
      <c r="M734" s="487"/>
      <c r="N734" s="487"/>
      <c r="O734" s="488"/>
      <c r="P734" s="489"/>
      <c r="Q734" s="489"/>
      <c r="R734" s="592" t="str">
        <f t="shared" si="155"/>
        <v>691211000209</v>
      </c>
      <c r="S734" s="487">
        <v>691211000</v>
      </c>
      <c r="T734" s="487">
        <v>209</v>
      </c>
      <c r="U734" s="488"/>
      <c r="V734" s="489"/>
      <c r="W734" s="489"/>
      <c r="X734" s="488"/>
      <c r="Y734" s="489"/>
      <c r="Z734" s="489"/>
      <c r="AA734" s="490" t="str">
        <f t="shared" si="156"/>
        <v>1036</v>
      </c>
      <c r="AB734" s="489">
        <v>10</v>
      </c>
      <c r="AC734" s="489">
        <v>36</v>
      </c>
      <c r="AD734" s="27">
        <v>210334</v>
      </c>
      <c r="AE734" s="599" t="s">
        <v>2577</v>
      </c>
      <c r="AF734" s="432">
        <v>0</v>
      </c>
      <c r="AG734" s="1507">
        <v>0</v>
      </c>
      <c r="AH734" s="432">
        <f t="shared" si="154"/>
        <v>0</v>
      </c>
      <c r="AL734" s="448"/>
    </row>
    <row r="735" spans="1:39" s="467" customFormat="1" ht="12.75" customHeight="1">
      <c r="A735" s="487" t="str">
        <f t="shared" si="142"/>
        <v>2</v>
      </c>
      <c r="B735" s="487" t="str">
        <f t="shared" si="151"/>
        <v>10</v>
      </c>
      <c r="C735" s="487" t="str">
        <f t="shared" si="152"/>
        <v>33</v>
      </c>
      <c r="D735" s="487" t="str">
        <f t="shared" si="153"/>
        <v>0334</v>
      </c>
      <c r="E735" s="590">
        <v>521251000</v>
      </c>
      <c r="F735" s="488"/>
      <c r="G735" s="487"/>
      <c r="H735" s="487"/>
      <c r="I735" s="488"/>
      <c r="J735" s="487"/>
      <c r="K735" s="487"/>
      <c r="L735" s="488"/>
      <c r="M735" s="487"/>
      <c r="N735" s="487"/>
      <c r="O735" s="488"/>
      <c r="P735" s="489"/>
      <c r="Q735" s="489"/>
      <c r="R735" s="592" t="str">
        <f t="shared" si="155"/>
        <v>691211000210</v>
      </c>
      <c r="S735" s="487">
        <v>691211000</v>
      </c>
      <c r="T735" s="487">
        <v>210</v>
      </c>
      <c r="U735" s="488"/>
      <c r="V735" s="489"/>
      <c r="W735" s="489"/>
      <c r="X735" s="488"/>
      <c r="Y735" s="489"/>
      <c r="Z735" s="489"/>
      <c r="AA735" s="490" t="str">
        <f t="shared" si="156"/>
        <v>1036</v>
      </c>
      <c r="AB735" s="489">
        <v>10</v>
      </c>
      <c r="AC735" s="489">
        <v>36</v>
      </c>
      <c r="AD735" s="27">
        <v>210334</v>
      </c>
      <c r="AE735" s="599" t="s">
        <v>2577</v>
      </c>
      <c r="AF735" s="432">
        <v>0</v>
      </c>
      <c r="AG735" s="1507">
        <v>-911069</v>
      </c>
      <c r="AH735" s="432">
        <f t="shared" si="154"/>
        <v>-911</v>
      </c>
      <c r="AL735" s="448"/>
    </row>
    <row r="736" spans="1:39" s="467" customFormat="1" ht="12.75" customHeight="1">
      <c r="A736" s="487" t="str">
        <f t="shared" si="142"/>
        <v>2</v>
      </c>
      <c r="B736" s="487" t="str">
        <f t="shared" si="151"/>
        <v>10</v>
      </c>
      <c r="C736" s="487" t="str">
        <f t="shared" si="152"/>
        <v>33</v>
      </c>
      <c r="D736" s="487" t="str">
        <f t="shared" si="153"/>
        <v>0334</v>
      </c>
      <c r="E736" s="590">
        <v>521251000</v>
      </c>
      <c r="F736" s="488"/>
      <c r="G736" s="487"/>
      <c r="H736" s="487"/>
      <c r="I736" s="488"/>
      <c r="J736" s="487"/>
      <c r="K736" s="487"/>
      <c r="L736" s="488"/>
      <c r="M736" s="487"/>
      <c r="N736" s="487"/>
      <c r="O736" s="488"/>
      <c r="P736" s="489"/>
      <c r="Q736" s="489"/>
      <c r="R736" s="592" t="str">
        <f t="shared" si="155"/>
        <v>691211000212</v>
      </c>
      <c r="S736" s="487">
        <v>691211000</v>
      </c>
      <c r="T736" s="487">
        <v>212</v>
      </c>
      <c r="U736" s="488"/>
      <c r="V736" s="489"/>
      <c r="W736" s="489"/>
      <c r="X736" s="488"/>
      <c r="Y736" s="489"/>
      <c r="Z736" s="489"/>
      <c r="AA736" s="490" t="str">
        <f t="shared" si="156"/>
        <v>1036</v>
      </c>
      <c r="AB736" s="489">
        <v>10</v>
      </c>
      <c r="AC736" s="489">
        <v>36</v>
      </c>
      <c r="AD736" s="27">
        <v>210334</v>
      </c>
      <c r="AE736" s="599" t="s">
        <v>2577</v>
      </c>
      <c r="AF736" s="432">
        <v>0</v>
      </c>
      <c r="AG736" s="1507">
        <v>0</v>
      </c>
      <c r="AH736" s="432">
        <f t="shared" si="154"/>
        <v>0</v>
      </c>
      <c r="AL736" s="448"/>
    </row>
    <row r="737" spans="1:39" s="467" customFormat="1" ht="12.75" customHeight="1">
      <c r="A737" s="487" t="str">
        <f t="shared" si="142"/>
        <v>2</v>
      </c>
      <c r="B737" s="487" t="str">
        <f t="shared" si="151"/>
        <v>10</v>
      </c>
      <c r="C737" s="487" t="str">
        <f t="shared" si="152"/>
        <v>34</v>
      </c>
      <c r="D737" s="487" t="str">
        <f t="shared" si="153"/>
        <v>0343</v>
      </c>
      <c r="E737" s="590">
        <v>521252000</v>
      </c>
      <c r="F737" s="488"/>
      <c r="G737" s="487"/>
      <c r="H737" s="487"/>
      <c r="I737" s="488"/>
      <c r="J737" s="487"/>
      <c r="K737" s="487"/>
      <c r="L737" s="488"/>
      <c r="M737" s="487"/>
      <c r="N737" s="487"/>
      <c r="O737" s="488"/>
      <c r="P737" s="489"/>
      <c r="Q737" s="489"/>
      <c r="R737" s="592" t="str">
        <f t="shared" si="155"/>
        <v>691221000102</v>
      </c>
      <c r="S737" s="487">
        <v>691221000</v>
      </c>
      <c r="T737" s="487">
        <v>102</v>
      </c>
      <c r="U737" s="488"/>
      <c r="V737" s="489"/>
      <c r="W737" s="489"/>
      <c r="X737" s="488"/>
      <c r="Y737" s="489"/>
      <c r="Z737" s="489"/>
      <c r="AA737" s="490" t="str">
        <f t="shared" si="156"/>
        <v>1050</v>
      </c>
      <c r="AB737" s="489">
        <v>10</v>
      </c>
      <c r="AC737" s="489">
        <v>50</v>
      </c>
      <c r="AD737" s="27">
        <v>210343</v>
      </c>
      <c r="AE737" s="599" t="s">
        <v>2607</v>
      </c>
      <c r="AF737" s="432">
        <v>0</v>
      </c>
      <c r="AG737" s="1191">
        <v>-80399196</v>
      </c>
      <c r="AH737" s="432">
        <f t="shared" si="154"/>
        <v>-80399</v>
      </c>
      <c r="AI737" s="445">
        <f>+AH737+AH738+AH739+AH740+AH741+AH742+AH743+AH744+AH745</f>
        <v>-2695758</v>
      </c>
      <c r="AL737" s="448"/>
    </row>
    <row r="738" spans="1:39" s="467" customFormat="1" ht="12.75" customHeight="1">
      <c r="A738" s="487" t="str">
        <f t="shared" si="142"/>
        <v>2</v>
      </c>
      <c r="B738" s="487" t="str">
        <f t="shared" si="151"/>
        <v>10</v>
      </c>
      <c r="C738" s="487" t="str">
        <f t="shared" si="152"/>
        <v>34</v>
      </c>
      <c r="D738" s="487" t="str">
        <f t="shared" si="153"/>
        <v>0344</v>
      </c>
      <c r="E738" s="590">
        <v>521252000</v>
      </c>
      <c r="F738" s="488"/>
      <c r="G738" s="487"/>
      <c r="H738" s="487"/>
      <c r="I738" s="488"/>
      <c r="J738" s="487"/>
      <c r="K738" s="487"/>
      <c r="L738" s="488"/>
      <c r="M738" s="487"/>
      <c r="N738" s="487"/>
      <c r="O738" s="488"/>
      <c r="P738" s="489"/>
      <c r="Q738" s="489"/>
      <c r="R738" s="592" t="str">
        <f t="shared" si="155"/>
        <v>691221000103</v>
      </c>
      <c r="S738" s="487">
        <v>691221000</v>
      </c>
      <c r="T738" s="487">
        <v>103</v>
      </c>
      <c r="U738" s="488"/>
      <c r="V738" s="489"/>
      <c r="W738" s="489"/>
      <c r="X738" s="488"/>
      <c r="Y738" s="489"/>
      <c r="Z738" s="489"/>
      <c r="AA738" s="490" t="str">
        <f t="shared" si="156"/>
        <v>1050</v>
      </c>
      <c r="AB738" s="489">
        <v>10</v>
      </c>
      <c r="AC738" s="489">
        <v>50</v>
      </c>
      <c r="AD738" s="27">
        <v>210344</v>
      </c>
      <c r="AE738" s="599" t="s">
        <v>2607</v>
      </c>
      <c r="AF738" s="432">
        <v>0</v>
      </c>
      <c r="AG738" s="1191">
        <f>-31685561-464905</f>
        <v>-32150466</v>
      </c>
      <c r="AH738" s="432">
        <f t="shared" si="154"/>
        <v>-32150</v>
      </c>
      <c r="AL738" s="448"/>
    </row>
    <row r="739" spans="1:39" s="467" customFormat="1" ht="12.75" customHeight="1">
      <c r="A739" s="487" t="str">
        <f t="shared" si="142"/>
        <v>2</v>
      </c>
      <c r="B739" s="487" t="str">
        <f t="shared" si="151"/>
        <v>10</v>
      </c>
      <c r="C739" s="487" t="str">
        <f t="shared" si="152"/>
        <v>34</v>
      </c>
      <c r="D739" s="487" t="str">
        <f t="shared" si="153"/>
        <v>0345</v>
      </c>
      <c r="E739" s="590">
        <v>521252000</v>
      </c>
      <c r="F739" s="488"/>
      <c r="G739" s="487"/>
      <c r="H739" s="487"/>
      <c r="I739" s="488"/>
      <c r="J739" s="487"/>
      <c r="K739" s="487"/>
      <c r="L739" s="488"/>
      <c r="M739" s="487"/>
      <c r="N739" s="487"/>
      <c r="O739" s="488"/>
      <c r="P739" s="489"/>
      <c r="Q739" s="489"/>
      <c r="R739" s="592" t="str">
        <f t="shared" si="155"/>
        <v>691221000109</v>
      </c>
      <c r="S739" s="487">
        <v>691221000</v>
      </c>
      <c r="T739" s="487">
        <v>109</v>
      </c>
      <c r="U739" s="488"/>
      <c r="V739" s="489"/>
      <c r="W739" s="489"/>
      <c r="X739" s="488"/>
      <c r="Y739" s="489"/>
      <c r="Z739" s="489"/>
      <c r="AA739" s="490" t="str">
        <f t="shared" si="156"/>
        <v>1050</v>
      </c>
      <c r="AB739" s="489">
        <v>10</v>
      </c>
      <c r="AC739" s="489">
        <v>50</v>
      </c>
      <c r="AD739" s="27">
        <v>210345</v>
      </c>
      <c r="AE739" s="599" t="s">
        <v>2938</v>
      </c>
      <c r="AF739" s="432">
        <v>0</v>
      </c>
      <c r="AG739" s="1191">
        <v>-13661069</v>
      </c>
      <c r="AH739" s="432">
        <f t="shared" si="154"/>
        <v>-13661</v>
      </c>
      <c r="AL739" s="448"/>
    </row>
    <row r="740" spans="1:39" s="467" customFormat="1" ht="12.75" customHeight="1">
      <c r="A740" s="487" t="str">
        <f t="shared" si="142"/>
        <v>2</v>
      </c>
      <c r="B740" s="487" t="str">
        <f t="shared" si="151"/>
        <v>10</v>
      </c>
      <c r="C740" s="487" t="str">
        <f t="shared" si="152"/>
        <v>34</v>
      </c>
      <c r="D740" s="487" t="str">
        <f t="shared" si="153"/>
        <v>0346</v>
      </c>
      <c r="E740" s="590">
        <v>521252000</v>
      </c>
      <c r="F740" s="488"/>
      <c r="G740" s="487"/>
      <c r="H740" s="487"/>
      <c r="I740" s="488"/>
      <c r="J740" s="487"/>
      <c r="K740" s="487"/>
      <c r="L740" s="488"/>
      <c r="M740" s="487"/>
      <c r="N740" s="487"/>
      <c r="O740" s="488"/>
      <c r="P740" s="489"/>
      <c r="Q740" s="489"/>
      <c r="R740" s="592" t="str">
        <f t="shared" si="155"/>
        <v>691221000110</v>
      </c>
      <c r="S740" s="487">
        <v>691221000</v>
      </c>
      <c r="T740" s="487">
        <v>110</v>
      </c>
      <c r="U740" s="488"/>
      <c r="V740" s="489"/>
      <c r="W740" s="489"/>
      <c r="X740" s="488"/>
      <c r="Y740" s="489"/>
      <c r="Z740" s="489"/>
      <c r="AA740" s="490" t="str">
        <f t="shared" si="156"/>
        <v>1050</v>
      </c>
      <c r="AB740" s="489">
        <v>10</v>
      </c>
      <c r="AC740" s="489">
        <v>50</v>
      </c>
      <c r="AD740" s="27">
        <v>210346</v>
      </c>
      <c r="AE740" s="599" t="s">
        <v>2607</v>
      </c>
      <c r="AF740" s="432">
        <v>0</v>
      </c>
      <c r="AG740" s="1191">
        <v>-26728306</v>
      </c>
      <c r="AH740" s="432">
        <f t="shared" si="154"/>
        <v>-26728</v>
      </c>
      <c r="AL740" s="448"/>
    </row>
    <row r="741" spans="1:39" s="467" customFormat="1" ht="12.75" customHeight="1">
      <c r="A741" s="487" t="str">
        <f t="shared" si="142"/>
        <v>2</v>
      </c>
      <c r="B741" s="487" t="str">
        <f t="shared" si="151"/>
        <v>10</v>
      </c>
      <c r="C741" s="487" t="str">
        <f t="shared" si="152"/>
        <v>34</v>
      </c>
      <c r="D741" s="487" t="str">
        <f t="shared" si="153"/>
        <v>0347</v>
      </c>
      <c r="E741" s="590">
        <v>521252000</v>
      </c>
      <c r="F741" s="488"/>
      <c r="G741" s="487"/>
      <c r="H741" s="487"/>
      <c r="I741" s="488"/>
      <c r="J741" s="487"/>
      <c r="K741" s="487"/>
      <c r="L741" s="488"/>
      <c r="M741" s="487"/>
      <c r="N741" s="487"/>
      <c r="O741" s="488"/>
      <c r="P741" s="489"/>
      <c r="Q741" s="489"/>
      <c r="R741" s="592" t="str">
        <f t="shared" si="155"/>
        <v>691221000114</v>
      </c>
      <c r="S741" s="487">
        <v>691221000</v>
      </c>
      <c r="T741" s="487">
        <v>114</v>
      </c>
      <c r="U741" s="488"/>
      <c r="V741" s="489"/>
      <c r="W741" s="489"/>
      <c r="X741" s="488"/>
      <c r="Y741" s="489"/>
      <c r="Z741" s="489"/>
      <c r="AA741" s="490" t="str">
        <f t="shared" si="156"/>
        <v>1050</v>
      </c>
      <c r="AB741" s="489">
        <v>10</v>
      </c>
      <c r="AC741" s="489">
        <v>50</v>
      </c>
      <c r="AD741" s="27">
        <v>210347</v>
      </c>
      <c r="AE741" s="599" t="s">
        <v>2607</v>
      </c>
      <c r="AF741" s="432">
        <v>0</v>
      </c>
      <c r="AG741" s="1191">
        <v>-22592482</v>
      </c>
      <c r="AH741" s="432">
        <f t="shared" si="154"/>
        <v>-22592</v>
      </c>
      <c r="AL741" s="448"/>
    </row>
    <row r="742" spans="1:39" s="467" customFormat="1" ht="12.75" customHeight="1">
      <c r="A742" s="487" t="str">
        <f t="shared" ref="A742:A808" si="157">+LEFT($AD742,1)</f>
        <v>2</v>
      </c>
      <c r="B742" s="487" t="str">
        <f t="shared" si="151"/>
        <v>10</v>
      </c>
      <c r="C742" s="487" t="str">
        <f t="shared" si="152"/>
        <v>34</v>
      </c>
      <c r="D742" s="487" t="str">
        <f t="shared" si="153"/>
        <v>0348</v>
      </c>
      <c r="E742" s="590">
        <v>521252000</v>
      </c>
      <c r="F742" s="488"/>
      <c r="G742" s="487"/>
      <c r="H742" s="487"/>
      <c r="I742" s="488"/>
      <c r="J742" s="487"/>
      <c r="K742" s="487"/>
      <c r="L742" s="488"/>
      <c r="M742" s="487"/>
      <c r="N742" s="487"/>
      <c r="O742" s="488"/>
      <c r="P742" s="489"/>
      <c r="Q742" s="489"/>
      <c r="R742" s="592" t="str">
        <f t="shared" si="155"/>
        <v>691221000202</v>
      </c>
      <c r="S742" s="487">
        <v>691221000</v>
      </c>
      <c r="T742" s="487">
        <v>202</v>
      </c>
      <c r="U742" s="488"/>
      <c r="V742" s="489"/>
      <c r="W742" s="489"/>
      <c r="X742" s="488"/>
      <c r="Y742" s="489"/>
      <c r="Z742" s="489"/>
      <c r="AA742" s="490" t="str">
        <f t="shared" si="156"/>
        <v>1050</v>
      </c>
      <c r="AB742" s="489">
        <v>10</v>
      </c>
      <c r="AC742" s="489">
        <v>50</v>
      </c>
      <c r="AD742" s="27">
        <v>210348</v>
      </c>
      <c r="AE742" s="599" t="s">
        <v>2607</v>
      </c>
      <c r="AF742" s="432">
        <v>0</v>
      </c>
      <c r="AG742" s="1188">
        <f>-2018599483-2271000</f>
        <v>-2020870483</v>
      </c>
      <c r="AH742" s="432">
        <f t="shared" si="154"/>
        <v>-2020870</v>
      </c>
      <c r="AL742" s="448"/>
    </row>
    <row r="743" spans="1:39" s="467" customFormat="1" ht="12.75" customHeight="1">
      <c r="A743" s="487" t="str">
        <f t="shared" si="157"/>
        <v>2</v>
      </c>
      <c r="B743" s="487" t="str">
        <f t="shared" si="151"/>
        <v>10</v>
      </c>
      <c r="C743" s="487" t="str">
        <f t="shared" si="152"/>
        <v>34</v>
      </c>
      <c r="D743" s="487" t="str">
        <f t="shared" si="153"/>
        <v>0341</v>
      </c>
      <c r="E743" s="590">
        <v>521252000</v>
      </c>
      <c r="F743" s="488"/>
      <c r="G743" s="487"/>
      <c r="H743" s="487"/>
      <c r="I743" s="488"/>
      <c r="J743" s="487"/>
      <c r="K743" s="487"/>
      <c r="L743" s="488"/>
      <c r="M743" s="487"/>
      <c r="N743" s="487"/>
      <c r="O743" s="488"/>
      <c r="P743" s="489"/>
      <c r="Q743" s="489"/>
      <c r="R743" s="592" t="str">
        <f t="shared" si="155"/>
        <v>691221000207</v>
      </c>
      <c r="S743" s="487">
        <v>691221000</v>
      </c>
      <c r="T743" s="487">
        <v>207</v>
      </c>
      <c r="U743" s="488"/>
      <c r="V743" s="489"/>
      <c r="W743" s="489"/>
      <c r="X743" s="488"/>
      <c r="Y743" s="489"/>
      <c r="Z743" s="489"/>
      <c r="AA743" s="490" t="str">
        <f t="shared" si="156"/>
        <v>1050</v>
      </c>
      <c r="AB743" s="489">
        <v>10</v>
      </c>
      <c r="AC743" s="489">
        <v>50</v>
      </c>
      <c r="AD743" s="27">
        <v>210341</v>
      </c>
      <c r="AE743" s="599" t="s">
        <v>2607</v>
      </c>
      <c r="AF743" s="432">
        <v>0</v>
      </c>
      <c r="AG743" s="1191">
        <v>-49276533</v>
      </c>
      <c r="AH743" s="432">
        <f t="shared" si="154"/>
        <v>-49277</v>
      </c>
      <c r="AL743" s="448"/>
    </row>
    <row r="744" spans="1:39" s="467" customFormat="1" ht="12.75" customHeight="1">
      <c r="A744" s="487" t="str">
        <f t="shared" si="157"/>
        <v>2</v>
      </c>
      <c r="B744" s="487" t="str">
        <f t="shared" si="151"/>
        <v>10</v>
      </c>
      <c r="C744" s="487" t="str">
        <f t="shared" si="152"/>
        <v>34</v>
      </c>
      <c r="D744" s="487" t="str">
        <f t="shared" si="153"/>
        <v>0349</v>
      </c>
      <c r="E744" s="590">
        <v>521252000</v>
      </c>
      <c r="F744" s="488"/>
      <c r="G744" s="487"/>
      <c r="H744" s="487"/>
      <c r="I744" s="488"/>
      <c r="J744" s="487"/>
      <c r="K744" s="487"/>
      <c r="L744" s="488"/>
      <c r="M744" s="487"/>
      <c r="N744" s="487"/>
      <c r="O744" s="488"/>
      <c r="P744" s="489"/>
      <c r="Q744" s="489"/>
      <c r="R744" s="592" t="str">
        <f t="shared" si="155"/>
        <v>691221000210</v>
      </c>
      <c r="S744" s="487">
        <v>691221000</v>
      </c>
      <c r="T744" s="487">
        <v>210</v>
      </c>
      <c r="U744" s="488"/>
      <c r="V744" s="489"/>
      <c r="W744" s="489"/>
      <c r="X744" s="488"/>
      <c r="Y744" s="489"/>
      <c r="Z744" s="489"/>
      <c r="AA744" s="490" t="str">
        <f t="shared" si="156"/>
        <v>1050</v>
      </c>
      <c r="AB744" s="489">
        <v>10</v>
      </c>
      <c r="AC744" s="489">
        <v>50</v>
      </c>
      <c r="AD744" s="27">
        <v>210349</v>
      </c>
      <c r="AE744" s="599" t="s">
        <v>2607</v>
      </c>
      <c r="AF744" s="432">
        <v>0</v>
      </c>
      <c r="AG744" s="1191">
        <v>-58291940</v>
      </c>
      <c r="AH744" s="432">
        <f t="shared" si="154"/>
        <v>-58292</v>
      </c>
      <c r="AL744" s="448"/>
    </row>
    <row r="745" spans="1:39" s="467" customFormat="1" ht="12.75" customHeight="1">
      <c r="A745" s="487" t="str">
        <f t="shared" si="157"/>
        <v>2</v>
      </c>
      <c r="B745" s="487" t="str">
        <f t="shared" si="151"/>
        <v>10</v>
      </c>
      <c r="C745" s="487" t="str">
        <f t="shared" si="152"/>
        <v>34</v>
      </c>
      <c r="D745" s="487" t="str">
        <f t="shared" si="153"/>
        <v>0342</v>
      </c>
      <c r="E745" s="590">
        <v>521252000</v>
      </c>
      <c r="F745" s="488"/>
      <c r="G745" s="487"/>
      <c r="H745" s="487"/>
      <c r="I745" s="488"/>
      <c r="J745" s="487"/>
      <c r="K745" s="487"/>
      <c r="L745" s="488"/>
      <c r="M745" s="487"/>
      <c r="N745" s="487"/>
      <c r="O745" s="488"/>
      <c r="P745" s="489"/>
      <c r="Q745" s="489"/>
      <c r="R745" s="592" t="str">
        <f t="shared" si="155"/>
        <v>691221000212</v>
      </c>
      <c r="S745" s="487">
        <v>691221000</v>
      </c>
      <c r="T745" s="487">
        <v>212</v>
      </c>
      <c r="U745" s="488"/>
      <c r="V745" s="489"/>
      <c r="W745" s="489"/>
      <c r="X745" s="488"/>
      <c r="Y745" s="489"/>
      <c r="Z745" s="489"/>
      <c r="AA745" s="490" t="str">
        <f t="shared" si="156"/>
        <v>1050</v>
      </c>
      <c r="AB745" s="489">
        <v>10</v>
      </c>
      <c r="AC745" s="489">
        <v>50</v>
      </c>
      <c r="AD745" s="27">
        <v>210342</v>
      </c>
      <c r="AE745" s="599" t="s">
        <v>2607</v>
      </c>
      <c r="AF745" s="432">
        <v>0</v>
      </c>
      <c r="AG745" s="1191">
        <v>-391789068</v>
      </c>
      <c r="AH745" s="432">
        <f t="shared" si="154"/>
        <v>-391789</v>
      </c>
      <c r="AL745" s="448"/>
    </row>
    <row r="746" spans="1:39" s="467" customFormat="1" ht="12.75" customHeight="1">
      <c r="A746" s="487" t="str">
        <f t="shared" si="157"/>
        <v>2</v>
      </c>
      <c r="B746" s="487" t="str">
        <f t="shared" si="151"/>
        <v>10</v>
      </c>
      <c r="C746" s="487" t="str">
        <f t="shared" si="152"/>
        <v>35</v>
      </c>
      <c r="D746" s="487" t="str">
        <f t="shared" si="153"/>
        <v>0351</v>
      </c>
      <c r="E746" s="487">
        <v>521232000</v>
      </c>
      <c r="F746" s="488"/>
      <c r="G746" s="487"/>
      <c r="H746" s="487"/>
      <c r="I746" s="488"/>
      <c r="J746" s="487"/>
      <c r="K746" s="487"/>
      <c r="L746" s="488"/>
      <c r="M746" s="487"/>
      <c r="N746" s="487"/>
      <c r="O746" s="488"/>
      <c r="P746" s="489"/>
      <c r="Q746" s="489"/>
      <c r="R746" s="592"/>
      <c r="S746" s="487"/>
      <c r="T746" s="487"/>
      <c r="U746" s="488"/>
      <c r="V746" s="489"/>
      <c r="W746" s="489"/>
      <c r="X746" s="488"/>
      <c r="Y746" s="489"/>
      <c r="Z746" s="489"/>
      <c r="AA746" s="490" t="str">
        <f t="shared" si="156"/>
        <v>10101</v>
      </c>
      <c r="AB746" s="489">
        <v>10</v>
      </c>
      <c r="AC746" s="489">
        <v>101</v>
      </c>
      <c r="AD746" s="27">
        <v>210351</v>
      </c>
      <c r="AE746" s="27" t="s">
        <v>171</v>
      </c>
      <c r="AF746" s="432">
        <f>VLOOKUP(AD746,[5]Hoja1!$A$10:$K$1393,11,0)</f>
        <v>-318549725</v>
      </c>
      <c r="AG746" s="432"/>
      <c r="AH746" s="432">
        <f t="shared" si="154"/>
        <v>-318550</v>
      </c>
      <c r="AL746" s="448"/>
      <c r="AM746" s="467">
        <f>VLOOKUP(AD746,[6]BV201101!$A$10:$A$1236,1,0)</f>
        <v>210351</v>
      </c>
    </row>
    <row r="747" spans="1:39" s="467" customFormat="1" ht="12.75" customHeight="1">
      <c r="A747" s="487" t="str">
        <f t="shared" si="157"/>
        <v>2</v>
      </c>
      <c r="B747" s="487" t="str">
        <f t="shared" si="151"/>
        <v>10</v>
      </c>
      <c r="C747" s="487" t="str">
        <f t="shared" si="152"/>
        <v>35</v>
      </c>
      <c r="D747" s="487" t="str">
        <f t="shared" si="153"/>
        <v>0352</v>
      </c>
      <c r="E747" s="487">
        <v>521231000</v>
      </c>
      <c r="F747" s="488" t="str">
        <f t="shared" si="144"/>
        <v/>
      </c>
      <c r="G747" s="487"/>
      <c r="H747" s="487"/>
      <c r="I747" s="488" t="str">
        <f t="shared" si="145"/>
        <v/>
      </c>
      <c r="J747" s="487"/>
      <c r="K747" s="487"/>
      <c r="L747" s="488"/>
      <c r="M747" s="487"/>
      <c r="N747" s="487"/>
      <c r="O747" s="488" t="str">
        <f t="shared" si="147"/>
        <v/>
      </c>
      <c r="P747" s="489"/>
      <c r="Q747" s="489"/>
      <c r="R747" s="592" t="str">
        <f t="shared" si="148"/>
        <v/>
      </c>
      <c r="S747" s="487"/>
      <c r="T747" s="487"/>
      <c r="U747" s="488" t="str">
        <f t="shared" si="149"/>
        <v/>
      </c>
      <c r="V747" s="489"/>
      <c r="W747" s="489"/>
      <c r="X747" s="488" t="str">
        <f t="shared" si="150"/>
        <v/>
      </c>
      <c r="Y747" s="489"/>
      <c r="Z747" s="489"/>
      <c r="AA747" s="490" t="str">
        <f t="shared" si="143"/>
        <v>10100</v>
      </c>
      <c r="AB747" s="489">
        <v>10</v>
      </c>
      <c r="AC747" s="489">
        <v>100</v>
      </c>
      <c r="AD747" s="27">
        <v>210352</v>
      </c>
      <c r="AE747" s="27" t="s">
        <v>483</v>
      </c>
      <c r="AF747" s="432">
        <f>VLOOKUP(AD747,[5]Hoja1!$A$10:$K$1393,11,0)</f>
        <v>0</v>
      </c>
      <c r="AG747" s="432"/>
      <c r="AH747" s="432">
        <f t="shared" si="154"/>
        <v>0</v>
      </c>
      <c r="AJ747" s="491"/>
      <c r="AL747" s="448"/>
      <c r="AM747" s="467">
        <f>VLOOKUP(AD747,[6]BV201101!$A$10:$A$1236,1,0)</f>
        <v>210352</v>
      </c>
    </row>
    <row r="748" spans="1:39" s="467" customFormat="1" ht="12.75" customHeight="1">
      <c r="A748" s="487" t="str">
        <f t="shared" si="157"/>
        <v>2</v>
      </c>
      <c r="B748" s="487" t="str">
        <f t="shared" si="151"/>
        <v>10</v>
      </c>
      <c r="C748" s="487" t="str">
        <f t="shared" si="152"/>
        <v>35</v>
      </c>
      <c r="D748" s="487" t="str">
        <f t="shared" si="153"/>
        <v>0354</v>
      </c>
      <c r="E748" s="487">
        <v>521120000</v>
      </c>
      <c r="F748" s="488" t="str">
        <f t="shared" ref="F748" si="158">+G748&amp;H748</f>
        <v/>
      </c>
      <c r="G748" s="487"/>
      <c r="H748" s="487"/>
      <c r="I748" s="488" t="str">
        <f t="shared" ref="I748" si="159">+J748&amp;K748</f>
        <v/>
      </c>
      <c r="J748" s="487"/>
      <c r="K748" s="487"/>
      <c r="L748" s="488" t="str">
        <f t="shared" ref="L748" si="160">+M748&amp;N748</f>
        <v/>
      </c>
      <c r="M748" s="487"/>
      <c r="N748" s="487"/>
      <c r="O748" s="488" t="str">
        <f t="shared" ref="O748" si="161">+P748&amp;Q748</f>
        <v>695210000420</v>
      </c>
      <c r="P748" s="489">
        <v>695210000</v>
      </c>
      <c r="Q748" s="489">
        <v>420</v>
      </c>
      <c r="R748" s="592" t="str">
        <f t="shared" ref="R748" si="162">+S748&amp;T748</f>
        <v>691211000420</v>
      </c>
      <c r="S748" s="487">
        <v>691211000</v>
      </c>
      <c r="T748" s="487">
        <v>420</v>
      </c>
      <c r="U748" s="488"/>
      <c r="V748" s="489"/>
      <c r="W748" s="489"/>
      <c r="X748" s="488"/>
      <c r="Y748" s="489"/>
      <c r="Z748" s="489"/>
      <c r="AA748" s="490"/>
      <c r="AB748" s="489"/>
      <c r="AC748" s="489"/>
      <c r="AD748" s="1021">
        <v>210354</v>
      </c>
      <c r="AE748" s="1021" t="s">
        <v>3527</v>
      </c>
      <c r="AF748" s="432">
        <f>VLOOKUP(AD748,[5]Hoja1!$A$10:$K$1393,11,0)</f>
        <v>-1094225099</v>
      </c>
      <c r="AG748" s="432"/>
      <c r="AH748" s="432">
        <f t="shared" si="154"/>
        <v>-1094225</v>
      </c>
      <c r="AJ748" s="491"/>
      <c r="AL748" s="448"/>
    </row>
    <row r="749" spans="1:39" s="467" customFormat="1" ht="12.75" customHeight="1">
      <c r="A749" s="487" t="str">
        <f t="shared" si="157"/>
        <v>2</v>
      </c>
      <c r="B749" s="487" t="str">
        <f t="shared" si="151"/>
        <v>10</v>
      </c>
      <c r="C749" s="487" t="str">
        <f t="shared" si="152"/>
        <v>35</v>
      </c>
      <c r="D749" s="487" t="str">
        <f t="shared" si="153"/>
        <v>0355</v>
      </c>
      <c r="E749" s="487">
        <v>521120000</v>
      </c>
      <c r="F749" s="488" t="str">
        <f t="shared" ref="F749" si="163">+G749&amp;H749</f>
        <v/>
      </c>
      <c r="G749" s="487"/>
      <c r="H749" s="487"/>
      <c r="I749" s="488" t="str">
        <f t="shared" ref="I749" si="164">+J749&amp;K749</f>
        <v/>
      </c>
      <c r="J749" s="487"/>
      <c r="K749" s="487"/>
      <c r="L749" s="488" t="str">
        <f t="shared" ref="L749" si="165">+M749&amp;N749</f>
        <v/>
      </c>
      <c r="M749" s="487"/>
      <c r="N749" s="487"/>
      <c r="O749" s="488" t="str">
        <f t="shared" ref="O749" si="166">+P749&amp;Q749</f>
        <v>695210000420</v>
      </c>
      <c r="P749" s="489">
        <v>695210000</v>
      </c>
      <c r="Q749" s="489">
        <v>420</v>
      </c>
      <c r="R749" s="592" t="str">
        <f t="shared" ref="R749" si="167">+S749&amp;T749</f>
        <v>691211000420</v>
      </c>
      <c r="S749" s="487">
        <v>691211000</v>
      </c>
      <c r="T749" s="487">
        <v>420</v>
      </c>
      <c r="U749" s="488"/>
      <c r="V749" s="489"/>
      <c r="W749" s="489"/>
      <c r="X749" s="488"/>
      <c r="Y749" s="489"/>
      <c r="Z749" s="489"/>
      <c r="AA749" s="490"/>
      <c r="AB749" s="489"/>
      <c r="AC749" s="489"/>
      <c r="AD749" s="1021">
        <v>210355</v>
      </c>
      <c r="AE749" s="1021" t="s">
        <v>3528</v>
      </c>
      <c r="AF749" s="432">
        <f>VLOOKUP(AD749,[5]Hoja1!$A$10:$K$1393,11,0)</f>
        <v>-960856</v>
      </c>
      <c r="AG749" s="432"/>
      <c r="AH749" s="432">
        <f t="shared" si="154"/>
        <v>-961</v>
      </c>
      <c r="AJ749" s="491"/>
      <c r="AL749" s="448"/>
    </row>
    <row r="750" spans="1:39" s="467" customFormat="1" ht="12.75" customHeight="1">
      <c r="A750" s="487" t="str">
        <f t="shared" si="157"/>
        <v>2</v>
      </c>
      <c r="B750" s="487" t="str">
        <f t="shared" si="151"/>
        <v>10</v>
      </c>
      <c r="C750" s="487" t="str">
        <f t="shared" si="152"/>
        <v>40</v>
      </c>
      <c r="D750" s="487" t="str">
        <f t="shared" si="153"/>
        <v>0401</v>
      </c>
      <c r="E750" s="487">
        <v>522400000</v>
      </c>
      <c r="F750" s="488" t="str">
        <f t="shared" si="144"/>
        <v/>
      </c>
      <c r="G750" s="487"/>
      <c r="H750" s="487"/>
      <c r="I750" s="488" t="str">
        <f t="shared" si="145"/>
        <v/>
      </c>
      <c r="J750" s="487"/>
      <c r="K750" s="487"/>
      <c r="L750" s="488" t="str">
        <f t="shared" si="146"/>
        <v/>
      </c>
      <c r="M750" s="487"/>
      <c r="N750" s="487"/>
      <c r="O750" s="488" t="str">
        <f t="shared" si="147"/>
        <v/>
      </c>
      <c r="P750" s="489"/>
      <c r="Q750" s="489"/>
      <c r="R750" s="592" t="str">
        <f t="shared" si="148"/>
        <v/>
      </c>
      <c r="S750" s="487"/>
      <c r="T750" s="487"/>
      <c r="U750" s="488" t="str">
        <f t="shared" si="149"/>
        <v/>
      </c>
      <c r="V750" s="489"/>
      <c r="W750" s="489"/>
      <c r="X750" s="488" t="str">
        <f t="shared" si="150"/>
        <v/>
      </c>
      <c r="Y750" s="489"/>
      <c r="Z750" s="489"/>
      <c r="AA750" s="490" t="str">
        <f t="shared" si="143"/>
        <v>2221</v>
      </c>
      <c r="AB750" s="489">
        <v>22</v>
      </c>
      <c r="AC750" s="489">
        <v>21</v>
      </c>
      <c r="AD750" s="27">
        <v>210401</v>
      </c>
      <c r="AE750" s="27" t="s">
        <v>1072</v>
      </c>
      <c r="AF750" s="432">
        <f>VLOOKUP(AD750,[5]Hoja1!$A$10:$K$1393,11,0)</f>
        <v>-2972983091</v>
      </c>
      <c r="AG750" s="432"/>
      <c r="AH750" s="432">
        <f t="shared" si="154"/>
        <v>-2972983</v>
      </c>
      <c r="AJ750" s="491"/>
      <c r="AK750" s="445"/>
      <c r="AL750" s="448"/>
      <c r="AM750" s="467">
        <f>VLOOKUP(AD750,[6]BV201101!$A$10:$A$1236,1,0)</f>
        <v>210401</v>
      </c>
    </row>
    <row r="751" spans="1:39" s="467" customFormat="1" ht="12.75" customHeight="1">
      <c r="A751" s="487" t="str">
        <f t="shared" si="157"/>
        <v>2</v>
      </c>
      <c r="B751" s="487" t="str">
        <f t="shared" si="151"/>
        <v>10</v>
      </c>
      <c r="C751" s="487" t="str">
        <f t="shared" si="152"/>
        <v>40</v>
      </c>
      <c r="D751" s="487" t="str">
        <f t="shared" si="153"/>
        <v>0402</v>
      </c>
      <c r="E751" s="487">
        <v>522400000</v>
      </c>
      <c r="F751" s="488" t="str">
        <f t="shared" si="144"/>
        <v/>
      </c>
      <c r="G751" s="487"/>
      <c r="H751" s="487"/>
      <c r="I751" s="488" t="str">
        <f t="shared" si="145"/>
        <v/>
      </c>
      <c r="J751" s="487"/>
      <c r="K751" s="487"/>
      <c r="L751" s="488" t="str">
        <f t="shared" si="146"/>
        <v/>
      </c>
      <c r="M751" s="487"/>
      <c r="N751" s="487"/>
      <c r="O751" s="488" t="str">
        <f t="shared" si="147"/>
        <v/>
      </c>
      <c r="P751" s="489"/>
      <c r="Q751" s="489"/>
      <c r="R751" s="592" t="str">
        <f t="shared" si="148"/>
        <v/>
      </c>
      <c r="S751" s="487"/>
      <c r="T751" s="487"/>
      <c r="U751" s="488" t="str">
        <f t="shared" si="149"/>
        <v/>
      </c>
      <c r="V751" s="489"/>
      <c r="W751" s="489"/>
      <c r="X751" s="488" t="str">
        <f t="shared" si="150"/>
        <v/>
      </c>
      <c r="Y751" s="489"/>
      <c r="Z751" s="489"/>
      <c r="AA751" s="490" t="str">
        <f t="shared" si="143"/>
        <v>2221</v>
      </c>
      <c r="AB751" s="489">
        <v>22</v>
      </c>
      <c r="AC751" s="489">
        <v>21</v>
      </c>
      <c r="AD751" s="27">
        <v>210402</v>
      </c>
      <c r="AE751" s="27" t="s">
        <v>56</v>
      </c>
      <c r="AF751" s="432">
        <v>0</v>
      </c>
      <c r="AG751" s="432"/>
      <c r="AH751" s="432">
        <f t="shared" si="154"/>
        <v>0</v>
      </c>
      <c r="AL751" s="448"/>
      <c r="AM751" s="467" t="e">
        <f>VLOOKUP(AD751,[6]BV201101!$A$10:$A$1236,1,0)</f>
        <v>#N/A</v>
      </c>
    </row>
    <row r="752" spans="1:39" s="467" customFormat="1" ht="12.75" customHeight="1">
      <c r="A752" s="487" t="str">
        <f t="shared" si="157"/>
        <v>2</v>
      </c>
      <c r="B752" s="487" t="str">
        <f t="shared" si="151"/>
        <v>10</v>
      </c>
      <c r="C752" s="487" t="str">
        <f t="shared" si="152"/>
        <v>40</v>
      </c>
      <c r="D752" s="487" t="str">
        <f t="shared" si="153"/>
        <v>0403</v>
      </c>
      <c r="E752" s="487">
        <v>522400000</v>
      </c>
      <c r="F752" s="488" t="str">
        <f t="shared" si="144"/>
        <v/>
      </c>
      <c r="G752" s="487"/>
      <c r="H752" s="487"/>
      <c r="I752" s="488" t="str">
        <f t="shared" si="145"/>
        <v/>
      </c>
      <c r="J752" s="487"/>
      <c r="K752" s="487"/>
      <c r="L752" s="488" t="str">
        <f t="shared" si="146"/>
        <v/>
      </c>
      <c r="M752" s="487"/>
      <c r="N752" s="487"/>
      <c r="O752" s="488" t="str">
        <f t="shared" si="147"/>
        <v/>
      </c>
      <c r="P752" s="489"/>
      <c r="Q752" s="489"/>
      <c r="R752" s="592" t="str">
        <f t="shared" si="148"/>
        <v/>
      </c>
      <c r="S752" s="487"/>
      <c r="T752" s="487"/>
      <c r="U752" s="488" t="str">
        <f t="shared" si="149"/>
        <v/>
      </c>
      <c r="V752" s="489"/>
      <c r="W752" s="489"/>
      <c r="X752" s="488" t="str">
        <f t="shared" si="150"/>
        <v/>
      </c>
      <c r="Y752" s="489"/>
      <c r="Z752" s="489"/>
      <c r="AA752" s="490" t="str">
        <f t="shared" si="143"/>
        <v>2221</v>
      </c>
      <c r="AB752" s="489">
        <v>22</v>
      </c>
      <c r="AC752" s="489">
        <v>21</v>
      </c>
      <c r="AD752" s="27">
        <v>210403</v>
      </c>
      <c r="AE752" s="27" t="s">
        <v>484</v>
      </c>
      <c r="AF752" s="432">
        <f>VLOOKUP(AD752,[5]Hoja1!$A$10:$K$1393,11,0)</f>
        <v>-13273375</v>
      </c>
      <c r="AG752" s="432"/>
      <c r="AH752" s="432">
        <f t="shared" si="154"/>
        <v>-13273</v>
      </c>
      <c r="AL752" s="448"/>
      <c r="AM752" s="467">
        <f>VLOOKUP(AD752,[6]BV201101!$A$10:$A$1236,1,0)</f>
        <v>210403</v>
      </c>
    </row>
    <row r="753" spans="1:39" s="467" customFormat="1" ht="12.75" customHeight="1">
      <c r="A753" s="487" t="str">
        <f t="shared" si="157"/>
        <v>2</v>
      </c>
      <c r="B753" s="487" t="str">
        <f t="shared" si="151"/>
        <v>10</v>
      </c>
      <c r="C753" s="487" t="str">
        <f t="shared" si="152"/>
        <v>40</v>
      </c>
      <c r="D753" s="487" t="str">
        <f t="shared" si="153"/>
        <v>0404</v>
      </c>
      <c r="E753" s="487">
        <v>522400000</v>
      </c>
      <c r="F753" s="488" t="str">
        <f t="shared" si="144"/>
        <v/>
      </c>
      <c r="G753" s="487"/>
      <c r="H753" s="487"/>
      <c r="I753" s="488" t="str">
        <f t="shared" si="145"/>
        <v/>
      </c>
      <c r="J753" s="487"/>
      <c r="K753" s="487"/>
      <c r="L753" s="488" t="str">
        <f t="shared" si="146"/>
        <v/>
      </c>
      <c r="M753" s="487"/>
      <c r="N753" s="487"/>
      <c r="O753" s="488" t="str">
        <f t="shared" si="147"/>
        <v/>
      </c>
      <c r="P753" s="489"/>
      <c r="Q753" s="489"/>
      <c r="R753" s="592" t="str">
        <f t="shared" si="148"/>
        <v/>
      </c>
      <c r="S753" s="487"/>
      <c r="T753" s="487"/>
      <c r="U753" s="488" t="str">
        <f t="shared" si="149"/>
        <v/>
      </c>
      <c r="V753" s="489"/>
      <c r="W753" s="489"/>
      <c r="X753" s="488" t="str">
        <f t="shared" si="150"/>
        <v/>
      </c>
      <c r="Y753" s="489"/>
      <c r="Z753" s="489"/>
      <c r="AA753" s="490" t="str">
        <f t="shared" si="143"/>
        <v>2221</v>
      </c>
      <c r="AB753" s="489">
        <v>22</v>
      </c>
      <c r="AC753" s="489">
        <v>21</v>
      </c>
      <c r="AD753" s="27">
        <v>210404</v>
      </c>
      <c r="AE753" s="27" t="s">
        <v>2181</v>
      </c>
      <c r="AF753" s="432">
        <f>VLOOKUP(AD753,[5]Hoja1!$A$10:$K$1393,11,0)</f>
        <v>0</v>
      </c>
      <c r="AG753" s="432"/>
      <c r="AH753" s="432">
        <f t="shared" si="154"/>
        <v>0</v>
      </c>
      <c r="AK753" s="491"/>
      <c r="AL753" s="448"/>
      <c r="AM753" s="467">
        <f>VLOOKUP(AD753,[6]BV201101!$A$10:$A$1236,1,0)</f>
        <v>210404</v>
      </c>
    </row>
    <row r="754" spans="1:39" s="467" customFormat="1" ht="12.75" customHeight="1">
      <c r="A754" s="487" t="str">
        <f t="shared" si="157"/>
        <v>2</v>
      </c>
      <c r="B754" s="487" t="str">
        <f t="shared" si="151"/>
        <v>10</v>
      </c>
      <c r="C754" s="487" t="str">
        <f t="shared" si="152"/>
        <v>50</v>
      </c>
      <c r="D754" s="487" t="str">
        <f t="shared" si="153"/>
        <v>0501</v>
      </c>
      <c r="E754" s="487">
        <v>524470000</v>
      </c>
      <c r="F754" s="488" t="str">
        <f t="shared" si="144"/>
        <v/>
      </c>
      <c r="G754" s="487"/>
      <c r="H754" s="487"/>
      <c r="I754" s="488" t="str">
        <f t="shared" si="145"/>
        <v/>
      </c>
      <c r="J754" s="487"/>
      <c r="K754" s="487"/>
      <c r="L754" s="488" t="str">
        <f t="shared" si="146"/>
        <v/>
      </c>
      <c r="M754" s="487"/>
      <c r="N754" s="487"/>
      <c r="O754" s="488" t="str">
        <f t="shared" si="147"/>
        <v/>
      </c>
      <c r="P754" s="489"/>
      <c r="Q754" s="489"/>
      <c r="R754" s="592" t="str">
        <f t="shared" si="148"/>
        <v/>
      </c>
      <c r="S754" s="487"/>
      <c r="T754" s="487"/>
      <c r="U754" s="488" t="str">
        <f t="shared" si="149"/>
        <v/>
      </c>
      <c r="V754" s="489"/>
      <c r="W754" s="489"/>
      <c r="X754" s="488" t="str">
        <f t="shared" si="150"/>
        <v/>
      </c>
      <c r="Y754" s="489"/>
      <c r="Z754" s="489"/>
      <c r="AA754" s="490" t="str">
        <f t="shared" si="143"/>
        <v>2222</v>
      </c>
      <c r="AB754" s="489">
        <v>22</v>
      </c>
      <c r="AC754" s="489">
        <v>22</v>
      </c>
      <c r="AD754" s="27">
        <v>210501</v>
      </c>
      <c r="AE754" s="27" t="s">
        <v>57</v>
      </c>
      <c r="AF754" s="432">
        <v>0</v>
      </c>
      <c r="AG754" s="432"/>
      <c r="AH754" s="432">
        <f t="shared" si="154"/>
        <v>0</v>
      </c>
      <c r="AK754" s="491"/>
      <c r="AL754" s="448"/>
      <c r="AM754" s="467">
        <f>VLOOKUP(AD754,[6]BV201101!$A$10:$A$1236,1,0)</f>
        <v>210501</v>
      </c>
    </row>
    <row r="755" spans="1:39" s="467" customFormat="1" ht="12.75" customHeight="1">
      <c r="A755" s="487" t="str">
        <f t="shared" si="157"/>
        <v>2</v>
      </c>
      <c r="B755" s="487" t="str">
        <f t="shared" si="151"/>
        <v>10</v>
      </c>
      <c r="C755" s="487" t="str">
        <f t="shared" si="152"/>
        <v>50</v>
      </c>
      <c r="D755" s="487" t="str">
        <f t="shared" si="153"/>
        <v>0502</v>
      </c>
      <c r="E755" s="487">
        <v>524470000</v>
      </c>
      <c r="F755" s="488" t="str">
        <f t="shared" si="144"/>
        <v/>
      </c>
      <c r="G755" s="487"/>
      <c r="H755" s="487"/>
      <c r="I755" s="488" t="str">
        <f t="shared" si="145"/>
        <v/>
      </c>
      <c r="J755" s="487"/>
      <c r="K755" s="487"/>
      <c r="L755" s="488" t="str">
        <f t="shared" si="146"/>
        <v/>
      </c>
      <c r="M755" s="487"/>
      <c r="N755" s="487"/>
      <c r="O755" s="488" t="str">
        <f t="shared" si="147"/>
        <v/>
      </c>
      <c r="P755" s="489"/>
      <c r="Q755" s="489"/>
      <c r="R755" s="592" t="str">
        <f t="shared" si="148"/>
        <v/>
      </c>
      <c r="S755" s="487"/>
      <c r="T755" s="487"/>
      <c r="U755" s="488" t="str">
        <f t="shared" si="149"/>
        <v/>
      </c>
      <c r="V755" s="489"/>
      <c r="W755" s="489"/>
      <c r="X755" s="488" t="str">
        <f t="shared" si="150"/>
        <v/>
      </c>
      <c r="Y755" s="489"/>
      <c r="Z755" s="489"/>
      <c r="AA755" s="490" t="str">
        <f t="shared" si="143"/>
        <v>2222</v>
      </c>
      <c r="AB755" s="489">
        <v>22</v>
      </c>
      <c r="AC755" s="489">
        <v>22</v>
      </c>
      <c r="AD755" s="27">
        <v>210502</v>
      </c>
      <c r="AE755" s="27" t="s">
        <v>58</v>
      </c>
      <c r="AF755" s="432">
        <f>VLOOKUP(AD755,[5]Hoja1!$A$10:$K$1393,11,0)</f>
        <v>0</v>
      </c>
      <c r="AG755" s="432"/>
      <c r="AH755" s="432">
        <f t="shared" si="154"/>
        <v>0</v>
      </c>
      <c r="AI755" s="445">
        <f>+AH756+AH819+AH838+AH855+AH858+AH860+AH863+AH865+AH867+AH884+AH885+AH888+AH892+AH893+AH897+AH898+AH904+AH908+AH912+AH915+AH919+AH945+AH947+AH948+AH954+AH956+AH957+AH960+AH961+AH963+AH964+AH967+AH970+AH972+AH975+AH976+AH999</f>
        <v>-13223744</v>
      </c>
      <c r="AK755" s="491"/>
      <c r="AL755" s="448"/>
      <c r="AM755" s="467">
        <f>VLOOKUP(AD755,[6]BV201101!$A$10:$A$1236,1,0)</f>
        <v>210502</v>
      </c>
    </row>
    <row r="756" spans="1:39" s="467" customFormat="1" ht="12.75" customHeight="1">
      <c r="A756" s="487" t="str">
        <f t="shared" si="157"/>
        <v>2</v>
      </c>
      <c r="B756" s="487" t="str">
        <f t="shared" si="151"/>
        <v>10</v>
      </c>
      <c r="C756" s="487" t="str">
        <f t="shared" si="152"/>
        <v>50</v>
      </c>
      <c r="D756" s="487" t="str">
        <f t="shared" si="153"/>
        <v>0503</v>
      </c>
      <c r="E756" s="487">
        <v>524440000</v>
      </c>
      <c r="F756" s="488" t="str">
        <f t="shared" si="144"/>
        <v/>
      </c>
      <c r="G756" s="487"/>
      <c r="H756" s="487"/>
      <c r="I756" s="488" t="str">
        <f t="shared" si="145"/>
        <v/>
      </c>
      <c r="J756" s="487"/>
      <c r="K756" s="487"/>
      <c r="L756" s="488" t="str">
        <f t="shared" si="146"/>
        <v/>
      </c>
      <c r="M756" s="487"/>
      <c r="N756" s="487"/>
      <c r="O756" s="488" t="str">
        <f t="shared" si="147"/>
        <v/>
      </c>
      <c r="P756" s="489"/>
      <c r="Q756" s="489"/>
      <c r="R756" s="592" t="str">
        <f t="shared" si="148"/>
        <v/>
      </c>
      <c r="S756" s="487"/>
      <c r="T756" s="487"/>
      <c r="U756" s="488" t="str">
        <f t="shared" si="149"/>
        <v/>
      </c>
      <c r="V756" s="489"/>
      <c r="W756" s="489"/>
      <c r="X756" s="488" t="str">
        <f t="shared" si="150"/>
        <v/>
      </c>
      <c r="Y756" s="489"/>
      <c r="Z756" s="489"/>
      <c r="AA756" s="490" t="str">
        <f t="shared" si="143"/>
        <v>2222</v>
      </c>
      <c r="AB756" s="489">
        <v>22</v>
      </c>
      <c r="AC756" s="489">
        <v>22</v>
      </c>
      <c r="AD756" s="27">
        <v>210503</v>
      </c>
      <c r="AE756" s="27" t="s">
        <v>155</v>
      </c>
      <c r="AF756" s="432">
        <f>VLOOKUP(AD756,[5]Hoja1!$A$10:$K$1393,11,0)</f>
        <v>-120227705</v>
      </c>
      <c r="AG756" s="432"/>
      <c r="AH756" s="432">
        <f t="shared" si="154"/>
        <v>-120228</v>
      </c>
      <c r="AK756" s="491"/>
      <c r="AL756" s="448"/>
      <c r="AM756" s="467">
        <f>VLOOKUP(AD756,[6]BV201101!$A$10:$A$1236,1,0)</f>
        <v>210503</v>
      </c>
    </row>
    <row r="757" spans="1:39" s="467" customFormat="1" ht="12.75" customHeight="1">
      <c r="A757" s="487" t="str">
        <f t="shared" si="157"/>
        <v>2</v>
      </c>
      <c r="B757" s="487" t="str">
        <f t="shared" si="151"/>
        <v>10</v>
      </c>
      <c r="C757" s="487" t="str">
        <f t="shared" si="152"/>
        <v>51</v>
      </c>
      <c r="D757" s="487" t="str">
        <f t="shared" si="153"/>
        <v>0513</v>
      </c>
      <c r="E757" s="487">
        <v>524450000</v>
      </c>
      <c r="F757" s="488"/>
      <c r="G757" s="487"/>
      <c r="H757" s="487"/>
      <c r="I757" s="488"/>
      <c r="J757" s="487"/>
      <c r="K757" s="487"/>
      <c r="L757" s="488"/>
      <c r="M757" s="487"/>
      <c r="N757" s="487"/>
      <c r="O757" s="488"/>
      <c r="P757" s="489"/>
      <c r="Q757" s="489"/>
      <c r="R757" s="592"/>
      <c r="S757" s="487"/>
      <c r="T757" s="487"/>
      <c r="U757" s="488"/>
      <c r="V757" s="489"/>
      <c r="W757" s="489"/>
      <c r="X757" s="488"/>
      <c r="Y757" s="489"/>
      <c r="Z757" s="489"/>
      <c r="AA757" s="490"/>
      <c r="AB757" s="489"/>
      <c r="AC757" s="489"/>
      <c r="AD757" s="27">
        <v>210513</v>
      </c>
      <c r="AE757" s="27" t="s">
        <v>1097</v>
      </c>
      <c r="AF757" s="432">
        <f>VLOOKUP(AD757,[5]Hoja1!$A$10:$K$1393,11,0)</f>
        <v>-8919573</v>
      </c>
      <c r="AG757" s="432"/>
      <c r="AH757" s="432">
        <f t="shared" si="154"/>
        <v>-8920</v>
      </c>
      <c r="AK757" s="491"/>
      <c r="AL757" s="448"/>
      <c r="AM757" s="467">
        <f>VLOOKUP(AD757,[6]BV201101!$A$10:$A$1236,1,0)</f>
        <v>210513</v>
      </c>
    </row>
    <row r="758" spans="1:39" s="467" customFormat="1" ht="12.75" customHeight="1">
      <c r="A758" s="487" t="str">
        <f t="shared" si="157"/>
        <v>2</v>
      </c>
      <c r="B758" s="487" t="str">
        <f t="shared" si="151"/>
        <v>10</v>
      </c>
      <c r="C758" s="487" t="str">
        <f t="shared" si="152"/>
        <v>53</v>
      </c>
      <c r="D758" s="487" t="str">
        <f t="shared" si="153"/>
        <v>0532</v>
      </c>
      <c r="E758" s="487">
        <v>524470000</v>
      </c>
      <c r="F758" s="488"/>
      <c r="G758" s="487"/>
      <c r="H758" s="487"/>
      <c r="I758" s="488"/>
      <c r="J758" s="487"/>
      <c r="K758" s="487"/>
      <c r="L758" s="488"/>
      <c r="M758" s="487"/>
      <c r="N758" s="487"/>
      <c r="O758" s="488"/>
      <c r="P758" s="489"/>
      <c r="Q758" s="489"/>
      <c r="R758" s="592"/>
      <c r="S758" s="487"/>
      <c r="T758" s="487"/>
      <c r="U758" s="488"/>
      <c r="V758" s="489"/>
      <c r="W758" s="489"/>
      <c r="X758" s="488"/>
      <c r="Y758" s="489"/>
      <c r="Z758" s="489"/>
      <c r="AA758" s="490"/>
      <c r="AB758" s="489"/>
      <c r="AC758" s="489"/>
      <c r="AD758" s="27">
        <v>210532</v>
      </c>
      <c r="AE758" s="27" t="s">
        <v>3091</v>
      </c>
      <c r="AF758" s="432">
        <f>VLOOKUP(AD758,[5]Hoja1!$A$10:$K$1393,11,0)</f>
        <v>0</v>
      </c>
      <c r="AG758" s="432"/>
      <c r="AH758" s="432">
        <f t="shared" si="154"/>
        <v>0</v>
      </c>
      <c r="AK758" s="491"/>
      <c r="AL758" s="448"/>
    </row>
    <row r="759" spans="1:39" s="467" customFormat="1" ht="12.75" customHeight="1">
      <c r="A759" s="487" t="str">
        <f t="shared" si="157"/>
        <v>2</v>
      </c>
      <c r="B759" s="487" t="str">
        <f t="shared" si="151"/>
        <v>10</v>
      </c>
      <c r="C759" s="487" t="str">
        <f t="shared" si="152"/>
        <v>70</v>
      </c>
      <c r="D759" s="487" t="str">
        <f t="shared" si="153"/>
        <v>0701</v>
      </c>
      <c r="E759" s="487"/>
      <c r="F759" s="488" t="str">
        <f t="shared" si="144"/>
        <v/>
      </c>
      <c r="G759" s="487"/>
      <c r="H759" s="487"/>
      <c r="I759" s="488" t="str">
        <f t="shared" si="145"/>
        <v/>
      </c>
      <c r="J759" s="487"/>
      <c r="K759" s="487"/>
      <c r="L759" s="488" t="str">
        <f t="shared" si="146"/>
        <v/>
      </c>
      <c r="M759" s="487"/>
      <c r="N759" s="487"/>
      <c r="O759" s="488" t="str">
        <f t="shared" si="147"/>
        <v/>
      </c>
      <c r="P759" s="489"/>
      <c r="Q759" s="489"/>
      <c r="R759" s="592" t="str">
        <f t="shared" si="148"/>
        <v/>
      </c>
      <c r="S759" s="487"/>
      <c r="T759" s="487"/>
      <c r="U759" s="488" t="str">
        <f t="shared" si="149"/>
        <v/>
      </c>
      <c r="V759" s="489"/>
      <c r="W759" s="489"/>
      <c r="X759" s="488" t="str">
        <f t="shared" si="150"/>
        <v/>
      </c>
      <c r="Y759" s="489"/>
      <c r="Z759" s="489"/>
      <c r="AA759" s="490" t="str">
        <f t="shared" si="143"/>
        <v/>
      </c>
      <c r="AB759" s="489"/>
      <c r="AC759" s="489"/>
      <c r="AD759" s="27">
        <v>210701</v>
      </c>
      <c r="AE759" s="27" t="s">
        <v>830</v>
      </c>
      <c r="AF759" s="432">
        <v>0</v>
      </c>
      <c r="AG759" s="432"/>
      <c r="AH759" s="432">
        <f t="shared" si="154"/>
        <v>0</v>
      </c>
      <c r="AK759" s="491"/>
      <c r="AL759" s="448"/>
      <c r="AM759" s="467" t="e">
        <f>VLOOKUP(AD759,[6]BV201101!$A$10:$A$1236,1,0)</f>
        <v>#N/A</v>
      </c>
    </row>
    <row r="760" spans="1:39" s="467" customFormat="1" ht="12.75" customHeight="1">
      <c r="A760" s="487" t="str">
        <f t="shared" si="157"/>
        <v>2</v>
      </c>
      <c r="B760" s="487" t="str">
        <f t="shared" si="151"/>
        <v>10</v>
      </c>
      <c r="C760" s="487" t="str">
        <f t="shared" si="152"/>
        <v>70</v>
      </c>
      <c r="D760" s="487" t="str">
        <f t="shared" si="153"/>
        <v>0702</v>
      </c>
      <c r="E760" s="487"/>
      <c r="F760" s="488" t="str">
        <f t="shared" si="144"/>
        <v/>
      </c>
      <c r="G760" s="487"/>
      <c r="H760" s="487"/>
      <c r="I760" s="488" t="str">
        <f t="shared" si="145"/>
        <v/>
      </c>
      <c r="J760" s="487"/>
      <c r="K760" s="487"/>
      <c r="L760" s="488" t="str">
        <f t="shared" si="146"/>
        <v/>
      </c>
      <c r="M760" s="487"/>
      <c r="N760" s="487"/>
      <c r="O760" s="488" t="str">
        <f t="shared" si="147"/>
        <v/>
      </c>
      <c r="P760" s="489"/>
      <c r="Q760" s="489"/>
      <c r="R760" s="592" t="str">
        <f t="shared" si="148"/>
        <v/>
      </c>
      <c r="S760" s="487"/>
      <c r="T760" s="487"/>
      <c r="U760" s="488" t="str">
        <f t="shared" si="149"/>
        <v/>
      </c>
      <c r="V760" s="489"/>
      <c r="W760" s="489"/>
      <c r="X760" s="488" t="str">
        <f t="shared" si="150"/>
        <v/>
      </c>
      <c r="Y760" s="489"/>
      <c r="Z760" s="489"/>
      <c r="AA760" s="490" t="str">
        <f t="shared" si="143"/>
        <v/>
      </c>
      <c r="AB760" s="489"/>
      <c r="AC760" s="489"/>
      <c r="AD760" s="27">
        <v>210702</v>
      </c>
      <c r="AE760" s="27" t="s">
        <v>1777</v>
      </c>
      <c r="AF760" s="432">
        <v>0</v>
      </c>
      <c r="AG760" s="432"/>
      <c r="AH760" s="432">
        <f t="shared" si="154"/>
        <v>0</v>
      </c>
      <c r="AK760" s="491"/>
      <c r="AL760" s="448"/>
      <c r="AM760" s="467" t="e">
        <f>VLOOKUP(AD760,[6]BV201101!$A$10:$A$1236,1,0)</f>
        <v>#N/A</v>
      </c>
    </row>
    <row r="761" spans="1:39" s="467" customFormat="1" ht="12.75" customHeight="1">
      <c r="A761" s="487" t="str">
        <f t="shared" si="157"/>
        <v>2</v>
      </c>
      <c r="B761" s="487" t="str">
        <f t="shared" si="151"/>
        <v>10</v>
      </c>
      <c r="C761" s="487" t="str">
        <f t="shared" si="152"/>
        <v>70</v>
      </c>
      <c r="D761" s="487" t="str">
        <f t="shared" si="153"/>
        <v>0703</v>
      </c>
      <c r="E761" s="487"/>
      <c r="F761" s="488" t="str">
        <f t="shared" si="144"/>
        <v/>
      </c>
      <c r="G761" s="487"/>
      <c r="H761" s="487"/>
      <c r="I761" s="488" t="str">
        <f t="shared" si="145"/>
        <v/>
      </c>
      <c r="J761" s="487"/>
      <c r="K761" s="487"/>
      <c r="L761" s="488" t="str">
        <f t="shared" si="146"/>
        <v/>
      </c>
      <c r="M761" s="487"/>
      <c r="N761" s="487"/>
      <c r="O761" s="488" t="str">
        <f t="shared" si="147"/>
        <v/>
      </c>
      <c r="P761" s="489"/>
      <c r="Q761" s="489"/>
      <c r="R761" s="592" t="str">
        <f t="shared" si="148"/>
        <v/>
      </c>
      <c r="S761" s="487"/>
      <c r="T761" s="487"/>
      <c r="U761" s="488" t="str">
        <f t="shared" si="149"/>
        <v/>
      </c>
      <c r="V761" s="489"/>
      <c r="W761" s="489"/>
      <c r="X761" s="488" t="str">
        <f t="shared" si="150"/>
        <v/>
      </c>
      <c r="Y761" s="489"/>
      <c r="Z761" s="489"/>
      <c r="AA761" s="490" t="str">
        <f t="shared" si="143"/>
        <v/>
      </c>
      <c r="AB761" s="489"/>
      <c r="AC761" s="489"/>
      <c r="AD761" s="27">
        <v>210703</v>
      </c>
      <c r="AE761" s="27" t="s">
        <v>1778</v>
      </c>
      <c r="AF761" s="432">
        <v>0</v>
      </c>
      <c r="AG761" s="432"/>
      <c r="AH761" s="432">
        <f t="shared" si="154"/>
        <v>0</v>
      </c>
      <c r="AK761" s="491"/>
      <c r="AL761" s="448"/>
      <c r="AM761" s="467" t="e">
        <f>VLOOKUP(AD761,[6]BV201101!$A$10:$A$1236,1,0)</f>
        <v>#N/A</v>
      </c>
    </row>
    <row r="762" spans="1:39" s="467" customFormat="1" ht="12.75" customHeight="1">
      <c r="A762" s="487" t="str">
        <f t="shared" si="157"/>
        <v>2</v>
      </c>
      <c r="B762" s="487" t="str">
        <f t="shared" si="151"/>
        <v>10</v>
      </c>
      <c r="C762" s="487" t="str">
        <f t="shared" si="152"/>
        <v>70</v>
      </c>
      <c r="D762" s="487" t="str">
        <f t="shared" si="153"/>
        <v>0704</v>
      </c>
      <c r="E762" s="487"/>
      <c r="F762" s="488" t="str">
        <f t="shared" si="144"/>
        <v/>
      </c>
      <c r="G762" s="487"/>
      <c r="H762" s="487"/>
      <c r="I762" s="488" t="str">
        <f t="shared" si="145"/>
        <v/>
      </c>
      <c r="J762" s="487"/>
      <c r="K762" s="487"/>
      <c r="L762" s="488" t="str">
        <f t="shared" si="146"/>
        <v/>
      </c>
      <c r="M762" s="487"/>
      <c r="N762" s="487"/>
      <c r="O762" s="488" t="str">
        <f t="shared" si="147"/>
        <v/>
      </c>
      <c r="P762" s="489"/>
      <c r="Q762" s="489"/>
      <c r="R762" s="592" t="str">
        <f t="shared" si="148"/>
        <v/>
      </c>
      <c r="S762" s="487"/>
      <c r="T762" s="487"/>
      <c r="U762" s="488" t="str">
        <f t="shared" si="149"/>
        <v/>
      </c>
      <c r="V762" s="489"/>
      <c r="W762" s="489"/>
      <c r="X762" s="488" t="str">
        <f t="shared" si="150"/>
        <v/>
      </c>
      <c r="Y762" s="489"/>
      <c r="Z762" s="489"/>
      <c r="AA762" s="490" t="str">
        <f t="shared" si="143"/>
        <v/>
      </c>
      <c r="AB762" s="489"/>
      <c r="AC762" s="489"/>
      <c r="AD762" s="27">
        <v>210704</v>
      </c>
      <c r="AE762" s="27" t="s">
        <v>1779</v>
      </c>
      <c r="AF762" s="432">
        <v>0</v>
      </c>
      <c r="AG762" s="432"/>
      <c r="AH762" s="432">
        <f t="shared" si="154"/>
        <v>0</v>
      </c>
      <c r="AK762" s="491"/>
      <c r="AL762" s="448"/>
      <c r="AM762" s="467" t="e">
        <f>VLOOKUP(AD762,[6]BV201101!$A$10:$A$1236,1,0)</f>
        <v>#N/A</v>
      </c>
    </row>
    <row r="763" spans="1:39" s="467" customFormat="1" ht="12.75" customHeight="1">
      <c r="A763" s="487" t="str">
        <f t="shared" si="157"/>
        <v>2</v>
      </c>
      <c r="B763" s="487" t="str">
        <f t="shared" si="151"/>
        <v>10</v>
      </c>
      <c r="C763" s="487" t="str">
        <f t="shared" si="152"/>
        <v>70</v>
      </c>
      <c r="D763" s="487" t="str">
        <f t="shared" si="153"/>
        <v>0705</v>
      </c>
      <c r="E763" s="487"/>
      <c r="F763" s="488" t="str">
        <f t="shared" si="144"/>
        <v/>
      </c>
      <c r="G763" s="487"/>
      <c r="H763" s="487"/>
      <c r="I763" s="488" t="str">
        <f t="shared" si="145"/>
        <v/>
      </c>
      <c r="J763" s="487"/>
      <c r="K763" s="487"/>
      <c r="L763" s="488" t="str">
        <f t="shared" si="146"/>
        <v/>
      </c>
      <c r="M763" s="487"/>
      <c r="N763" s="487"/>
      <c r="O763" s="488" t="str">
        <f t="shared" si="147"/>
        <v/>
      </c>
      <c r="P763" s="489"/>
      <c r="Q763" s="489"/>
      <c r="R763" s="592" t="str">
        <f t="shared" si="148"/>
        <v/>
      </c>
      <c r="S763" s="487"/>
      <c r="T763" s="487"/>
      <c r="U763" s="488" t="str">
        <f t="shared" si="149"/>
        <v/>
      </c>
      <c r="V763" s="489"/>
      <c r="W763" s="489"/>
      <c r="X763" s="488" t="str">
        <f t="shared" si="150"/>
        <v/>
      </c>
      <c r="Y763" s="489"/>
      <c r="Z763" s="489"/>
      <c r="AA763" s="490" t="str">
        <f t="shared" si="143"/>
        <v/>
      </c>
      <c r="AB763" s="489"/>
      <c r="AC763" s="489"/>
      <c r="AD763" s="27">
        <v>210705</v>
      </c>
      <c r="AE763" s="27" t="s">
        <v>1780</v>
      </c>
      <c r="AF763" s="432">
        <v>0</v>
      </c>
      <c r="AG763" s="432"/>
      <c r="AH763" s="432">
        <f t="shared" si="154"/>
        <v>0</v>
      </c>
      <c r="AK763" s="491"/>
      <c r="AL763" s="448"/>
      <c r="AM763" s="467" t="e">
        <f>VLOOKUP(AD763,[6]BV201101!$A$10:$A$1236,1,0)</f>
        <v>#N/A</v>
      </c>
    </row>
    <row r="764" spans="1:39" s="467" customFormat="1" ht="12.75" customHeight="1">
      <c r="A764" s="487" t="str">
        <f t="shared" si="157"/>
        <v>2</v>
      </c>
      <c r="B764" s="487" t="str">
        <f t="shared" si="151"/>
        <v>10</v>
      </c>
      <c r="C764" s="487" t="str">
        <f t="shared" si="152"/>
        <v>70</v>
      </c>
      <c r="D764" s="487" t="str">
        <f t="shared" si="153"/>
        <v>0706</v>
      </c>
      <c r="E764" s="487"/>
      <c r="F764" s="488" t="str">
        <f t="shared" si="144"/>
        <v/>
      </c>
      <c r="G764" s="487"/>
      <c r="H764" s="487"/>
      <c r="I764" s="488" t="str">
        <f t="shared" si="145"/>
        <v/>
      </c>
      <c r="J764" s="487"/>
      <c r="K764" s="487"/>
      <c r="L764" s="488" t="str">
        <f t="shared" si="146"/>
        <v/>
      </c>
      <c r="M764" s="487"/>
      <c r="N764" s="487"/>
      <c r="O764" s="488" t="str">
        <f t="shared" si="147"/>
        <v/>
      </c>
      <c r="P764" s="489"/>
      <c r="Q764" s="489"/>
      <c r="R764" s="592" t="str">
        <f t="shared" si="148"/>
        <v/>
      </c>
      <c r="S764" s="487"/>
      <c r="T764" s="487"/>
      <c r="U764" s="488" t="str">
        <f t="shared" si="149"/>
        <v/>
      </c>
      <c r="V764" s="489"/>
      <c r="W764" s="489"/>
      <c r="X764" s="488" t="str">
        <f t="shared" si="150"/>
        <v/>
      </c>
      <c r="Y764" s="489"/>
      <c r="Z764" s="489"/>
      <c r="AA764" s="490" t="str">
        <f t="shared" si="143"/>
        <v/>
      </c>
      <c r="AB764" s="489"/>
      <c r="AC764" s="489"/>
      <c r="AD764" s="27">
        <v>210706</v>
      </c>
      <c r="AE764" s="27" t="s">
        <v>2002</v>
      </c>
      <c r="AF764" s="432">
        <v>0</v>
      </c>
      <c r="AG764" s="432"/>
      <c r="AH764" s="432">
        <f t="shared" si="154"/>
        <v>0</v>
      </c>
      <c r="AK764" s="491"/>
      <c r="AL764" s="448"/>
      <c r="AM764" s="467" t="e">
        <f>VLOOKUP(AD764,[6]BV201101!$A$10:$A$1236,1,0)</f>
        <v>#N/A</v>
      </c>
    </row>
    <row r="765" spans="1:39" s="467" customFormat="1" ht="12.75" customHeight="1">
      <c r="A765" s="487" t="str">
        <f t="shared" si="157"/>
        <v>2</v>
      </c>
      <c r="B765" s="487" t="str">
        <f t="shared" si="151"/>
        <v>10</v>
      </c>
      <c r="C765" s="487" t="str">
        <f t="shared" si="152"/>
        <v>70</v>
      </c>
      <c r="D765" s="487" t="str">
        <f t="shared" si="153"/>
        <v>0707</v>
      </c>
      <c r="E765" s="487"/>
      <c r="F765" s="488" t="str">
        <f t="shared" si="144"/>
        <v/>
      </c>
      <c r="G765" s="487"/>
      <c r="H765" s="487"/>
      <c r="I765" s="488" t="str">
        <f t="shared" si="145"/>
        <v/>
      </c>
      <c r="J765" s="487"/>
      <c r="K765" s="487"/>
      <c r="L765" s="488" t="str">
        <f t="shared" si="146"/>
        <v/>
      </c>
      <c r="M765" s="487"/>
      <c r="N765" s="487"/>
      <c r="O765" s="488" t="str">
        <f t="shared" si="147"/>
        <v/>
      </c>
      <c r="P765" s="489"/>
      <c r="Q765" s="489"/>
      <c r="R765" s="592" t="str">
        <f t="shared" si="148"/>
        <v/>
      </c>
      <c r="S765" s="487"/>
      <c r="T765" s="487"/>
      <c r="U765" s="488" t="str">
        <f t="shared" si="149"/>
        <v/>
      </c>
      <c r="V765" s="489"/>
      <c r="W765" s="489"/>
      <c r="X765" s="488" t="str">
        <f t="shared" si="150"/>
        <v/>
      </c>
      <c r="Y765" s="489"/>
      <c r="Z765" s="489"/>
      <c r="AA765" s="490" t="str">
        <f t="shared" si="143"/>
        <v/>
      </c>
      <c r="AB765" s="489"/>
      <c r="AC765" s="489"/>
      <c r="AD765" s="27">
        <v>210707</v>
      </c>
      <c r="AE765" s="27" t="s">
        <v>1718</v>
      </c>
      <c r="AF765" s="432">
        <v>0</v>
      </c>
      <c r="AG765" s="432"/>
      <c r="AH765" s="432">
        <f t="shared" si="154"/>
        <v>0</v>
      </c>
      <c r="AK765" s="491"/>
      <c r="AL765" s="448"/>
      <c r="AM765" s="467" t="e">
        <f>VLOOKUP(AD765,[6]BV201101!$A$10:$A$1236,1,0)</f>
        <v>#N/A</v>
      </c>
    </row>
    <row r="766" spans="1:39" s="467" customFormat="1" ht="12.75" customHeight="1">
      <c r="A766" s="487" t="str">
        <f t="shared" si="157"/>
        <v>2</v>
      </c>
      <c r="B766" s="487" t="str">
        <f t="shared" si="151"/>
        <v>10</v>
      </c>
      <c r="C766" s="487" t="str">
        <f t="shared" si="152"/>
        <v>70</v>
      </c>
      <c r="D766" s="487" t="str">
        <f t="shared" si="153"/>
        <v>0708</v>
      </c>
      <c r="E766" s="487"/>
      <c r="F766" s="488" t="str">
        <f t="shared" si="144"/>
        <v/>
      </c>
      <c r="G766" s="487"/>
      <c r="H766" s="487"/>
      <c r="I766" s="488" t="str">
        <f t="shared" si="145"/>
        <v/>
      </c>
      <c r="J766" s="487"/>
      <c r="K766" s="487"/>
      <c r="L766" s="488" t="str">
        <f t="shared" si="146"/>
        <v/>
      </c>
      <c r="M766" s="487"/>
      <c r="N766" s="487"/>
      <c r="O766" s="488" t="str">
        <f t="shared" si="147"/>
        <v/>
      </c>
      <c r="P766" s="489"/>
      <c r="Q766" s="489"/>
      <c r="R766" s="592" t="str">
        <f t="shared" si="148"/>
        <v/>
      </c>
      <c r="S766" s="487"/>
      <c r="T766" s="487"/>
      <c r="U766" s="488" t="str">
        <f t="shared" si="149"/>
        <v/>
      </c>
      <c r="V766" s="489"/>
      <c r="W766" s="489"/>
      <c r="X766" s="488" t="str">
        <f t="shared" si="150"/>
        <v/>
      </c>
      <c r="Y766" s="489"/>
      <c r="Z766" s="489"/>
      <c r="AA766" s="490" t="str">
        <f t="shared" si="143"/>
        <v/>
      </c>
      <c r="AB766" s="489"/>
      <c r="AC766" s="489"/>
      <c r="AD766" s="27">
        <v>210708</v>
      </c>
      <c r="AE766" s="27" t="s">
        <v>59</v>
      </c>
      <c r="AF766" s="432">
        <f>VLOOKUP(AD766,[5]Hoja1!$A$10:$K$1393,11,0)</f>
        <v>0</v>
      </c>
      <c r="AG766" s="432"/>
      <c r="AH766" s="432">
        <f t="shared" si="154"/>
        <v>0</v>
      </c>
      <c r="AK766" s="491"/>
      <c r="AL766" s="448"/>
      <c r="AM766" s="467">
        <f>VLOOKUP(AD766,[6]BV201101!$A$10:$A$1236,1,0)</f>
        <v>210708</v>
      </c>
    </row>
    <row r="767" spans="1:39" s="467" customFormat="1" ht="12.75" customHeight="1">
      <c r="A767" s="487" t="str">
        <f t="shared" si="157"/>
        <v>2</v>
      </c>
      <c r="B767" s="487" t="str">
        <f t="shared" si="151"/>
        <v>10</v>
      </c>
      <c r="C767" s="487" t="str">
        <f t="shared" si="152"/>
        <v>70</v>
      </c>
      <c r="D767" s="487" t="str">
        <f t="shared" si="153"/>
        <v>0709</v>
      </c>
      <c r="E767" s="487"/>
      <c r="F767" s="488" t="str">
        <f t="shared" si="144"/>
        <v/>
      </c>
      <c r="G767" s="487"/>
      <c r="H767" s="487"/>
      <c r="I767" s="488" t="str">
        <f t="shared" si="145"/>
        <v/>
      </c>
      <c r="J767" s="487"/>
      <c r="K767" s="487"/>
      <c r="L767" s="488" t="str">
        <f t="shared" si="146"/>
        <v/>
      </c>
      <c r="M767" s="487"/>
      <c r="N767" s="487"/>
      <c r="O767" s="488" t="str">
        <f t="shared" si="147"/>
        <v/>
      </c>
      <c r="P767" s="489"/>
      <c r="Q767" s="489"/>
      <c r="R767" s="592" t="str">
        <f t="shared" si="148"/>
        <v/>
      </c>
      <c r="S767" s="487"/>
      <c r="T767" s="487"/>
      <c r="U767" s="488" t="str">
        <f t="shared" si="149"/>
        <v/>
      </c>
      <c r="V767" s="489"/>
      <c r="W767" s="489"/>
      <c r="X767" s="488" t="str">
        <f t="shared" si="150"/>
        <v/>
      </c>
      <c r="Y767" s="489"/>
      <c r="Z767" s="489"/>
      <c r="AA767" s="490" t="str">
        <f t="shared" si="143"/>
        <v/>
      </c>
      <c r="AB767" s="489"/>
      <c r="AC767" s="489"/>
      <c r="AD767" s="27">
        <v>210709</v>
      </c>
      <c r="AE767" s="27" t="s">
        <v>1440</v>
      </c>
      <c r="AF767" s="432">
        <v>0</v>
      </c>
      <c r="AG767" s="432"/>
      <c r="AH767" s="432">
        <f t="shared" si="154"/>
        <v>0</v>
      </c>
      <c r="AJ767" s="445"/>
      <c r="AL767" s="448"/>
      <c r="AM767" s="467" t="e">
        <f>VLOOKUP(AD767,[6]BV201101!$A$10:$A$1236,1,0)</f>
        <v>#N/A</v>
      </c>
    </row>
    <row r="768" spans="1:39" s="467" customFormat="1" ht="12.75" customHeight="1">
      <c r="A768" s="487" t="str">
        <f t="shared" si="157"/>
        <v>2</v>
      </c>
      <c r="B768" s="487" t="str">
        <f t="shared" si="151"/>
        <v>10</v>
      </c>
      <c r="C768" s="487" t="str">
        <f t="shared" si="152"/>
        <v>71</v>
      </c>
      <c r="D768" s="487" t="str">
        <f t="shared" si="153"/>
        <v>0710</v>
      </c>
      <c r="E768" s="487"/>
      <c r="F768" s="488" t="str">
        <f t="shared" si="144"/>
        <v/>
      </c>
      <c r="G768" s="487"/>
      <c r="H768" s="487"/>
      <c r="I768" s="488" t="str">
        <f t="shared" si="145"/>
        <v/>
      </c>
      <c r="J768" s="487"/>
      <c r="K768" s="487"/>
      <c r="L768" s="488" t="str">
        <f t="shared" si="146"/>
        <v/>
      </c>
      <c r="M768" s="487"/>
      <c r="N768" s="487"/>
      <c r="O768" s="488" t="str">
        <f t="shared" si="147"/>
        <v/>
      </c>
      <c r="P768" s="489"/>
      <c r="Q768" s="489"/>
      <c r="R768" s="592" t="str">
        <f t="shared" si="148"/>
        <v/>
      </c>
      <c r="S768" s="487"/>
      <c r="T768" s="487"/>
      <c r="U768" s="488" t="str">
        <f t="shared" si="149"/>
        <v/>
      </c>
      <c r="V768" s="489"/>
      <c r="W768" s="489"/>
      <c r="X768" s="488" t="str">
        <f t="shared" si="150"/>
        <v/>
      </c>
      <c r="Y768" s="489"/>
      <c r="Z768" s="489"/>
      <c r="AA768" s="490" t="str">
        <f t="shared" si="143"/>
        <v/>
      </c>
      <c r="AB768" s="489"/>
      <c r="AC768" s="489"/>
      <c r="AD768" s="27">
        <v>210710</v>
      </c>
      <c r="AE768" s="27" t="s">
        <v>222</v>
      </c>
      <c r="AF768" s="432">
        <v>0</v>
      </c>
      <c r="AG768" s="432"/>
      <c r="AH768" s="432">
        <f t="shared" si="154"/>
        <v>0</v>
      </c>
      <c r="AL768" s="448"/>
      <c r="AM768" s="467" t="e">
        <f>VLOOKUP(AD768,[6]BV201101!$A$10:$A$1236,1,0)</f>
        <v>#N/A</v>
      </c>
    </row>
    <row r="769" spans="1:39" s="467" customFormat="1" ht="12.75" customHeight="1">
      <c r="A769" s="487" t="str">
        <f t="shared" si="157"/>
        <v>2</v>
      </c>
      <c r="B769" s="487" t="str">
        <f t="shared" si="151"/>
        <v>10</v>
      </c>
      <c r="C769" s="487" t="str">
        <f t="shared" si="152"/>
        <v>71</v>
      </c>
      <c r="D769" s="487" t="str">
        <f t="shared" si="153"/>
        <v>0711</v>
      </c>
      <c r="E769" s="487">
        <v>524470000</v>
      </c>
      <c r="F769" s="488"/>
      <c r="G769" s="487"/>
      <c r="H769" s="487"/>
      <c r="I769" s="488"/>
      <c r="J769" s="487"/>
      <c r="K769" s="487"/>
      <c r="L769" s="488"/>
      <c r="M769" s="487"/>
      <c r="N769" s="487"/>
      <c r="O769" s="488"/>
      <c r="P769" s="489"/>
      <c r="Q769" s="489"/>
      <c r="R769" s="592"/>
      <c r="S769" s="487"/>
      <c r="T769" s="487"/>
      <c r="U769" s="488"/>
      <c r="V769" s="489"/>
      <c r="W769" s="489"/>
      <c r="X769" s="488"/>
      <c r="Y769" s="489"/>
      <c r="Z769" s="489"/>
      <c r="AA769" s="490" t="str">
        <f>+AB769&amp;AC769</f>
        <v>2222</v>
      </c>
      <c r="AB769" s="489">
        <v>22</v>
      </c>
      <c r="AC769" s="489">
        <v>22</v>
      </c>
      <c r="AD769" s="27">
        <v>210711</v>
      </c>
      <c r="AE769" s="27" t="s">
        <v>2182</v>
      </c>
      <c r="AF769" s="432">
        <f>VLOOKUP(AD769,[5]Hoja1!$A$10:$K$1393,11,0)</f>
        <v>0</v>
      </c>
      <c r="AG769" s="432"/>
      <c r="AH769" s="432">
        <f t="shared" si="154"/>
        <v>0</v>
      </c>
      <c r="AI769" s="445">
        <f>+AH121+AH834+AH862+AH870+AH990</f>
        <v>-599401</v>
      </c>
      <c r="AL769" s="448"/>
      <c r="AM769" s="467">
        <f>VLOOKUP(AD769,[6]BV201101!$A$10:$A$1236,1,0)</f>
        <v>210711</v>
      </c>
    </row>
    <row r="770" spans="1:39" s="467" customFormat="1" ht="12.75" customHeight="1">
      <c r="A770" s="487" t="str">
        <f t="shared" si="157"/>
        <v>2</v>
      </c>
      <c r="B770" s="487" t="str">
        <f t="shared" si="151"/>
        <v>10</v>
      </c>
      <c r="C770" s="487" t="str">
        <f t="shared" si="152"/>
        <v>72</v>
      </c>
      <c r="D770" s="487" t="str">
        <f t="shared" si="153"/>
        <v>0720</v>
      </c>
      <c r="E770" s="487">
        <v>524470000</v>
      </c>
      <c r="F770" s="488"/>
      <c r="G770" s="487"/>
      <c r="H770" s="487"/>
      <c r="I770" s="488"/>
      <c r="J770" s="487"/>
      <c r="K770" s="487"/>
      <c r="L770" s="488"/>
      <c r="M770" s="487"/>
      <c r="N770" s="487"/>
      <c r="O770" s="488"/>
      <c r="P770" s="489"/>
      <c r="Q770" s="489"/>
      <c r="R770" s="592"/>
      <c r="S770" s="487"/>
      <c r="T770" s="487"/>
      <c r="U770" s="488"/>
      <c r="V770" s="489"/>
      <c r="W770" s="489"/>
      <c r="X770" s="488"/>
      <c r="Y770" s="489"/>
      <c r="Z770" s="489"/>
      <c r="AA770" s="490"/>
      <c r="AB770" s="489"/>
      <c r="AC770" s="489"/>
      <c r="AD770" s="27">
        <v>210720</v>
      </c>
      <c r="AE770" s="27" t="s">
        <v>2575</v>
      </c>
      <c r="AF770" s="432">
        <f>VLOOKUP(AD770,[5]Hoja1!$A$10:$K$1393,11,0)</f>
        <v>0</v>
      </c>
      <c r="AG770" s="432"/>
      <c r="AH770" s="432">
        <f t="shared" si="154"/>
        <v>0</v>
      </c>
      <c r="AI770" s="445"/>
      <c r="AL770" s="448"/>
    </row>
    <row r="771" spans="1:39" s="467" customFormat="1" ht="12.75" customHeight="1">
      <c r="A771" s="487" t="str">
        <f t="shared" si="157"/>
        <v>2</v>
      </c>
      <c r="B771" s="487" t="str">
        <f t="shared" si="151"/>
        <v>10</v>
      </c>
      <c r="C771" s="487" t="str">
        <f t="shared" si="152"/>
        <v>80</v>
      </c>
      <c r="D771" s="487" t="str">
        <f t="shared" si="153"/>
        <v>0801</v>
      </c>
      <c r="E771" s="487">
        <v>523100000</v>
      </c>
      <c r="F771" s="488" t="str">
        <f t="shared" si="144"/>
        <v/>
      </c>
      <c r="G771" s="487"/>
      <c r="H771" s="487"/>
      <c r="I771" s="488" t="str">
        <f t="shared" si="145"/>
        <v/>
      </c>
      <c r="J771" s="487"/>
      <c r="K771" s="487"/>
      <c r="L771" s="488" t="str">
        <f t="shared" si="146"/>
        <v/>
      </c>
      <c r="M771" s="487"/>
      <c r="N771" s="487"/>
      <c r="O771" s="488" t="str">
        <f t="shared" si="147"/>
        <v/>
      </c>
      <c r="P771" s="489"/>
      <c r="Q771" s="489"/>
      <c r="R771" s="592" t="str">
        <f t="shared" si="148"/>
        <v/>
      </c>
      <c r="S771" s="487"/>
      <c r="T771" s="487"/>
      <c r="U771" s="488" t="str">
        <f t="shared" si="149"/>
        <v/>
      </c>
      <c r="V771" s="489"/>
      <c r="W771" s="489"/>
      <c r="X771" s="488" t="str">
        <f t="shared" si="150"/>
        <v/>
      </c>
      <c r="Y771" s="489"/>
      <c r="Z771" s="489"/>
      <c r="AA771" s="490" t="str">
        <f t="shared" si="143"/>
        <v>151</v>
      </c>
      <c r="AB771" s="489">
        <v>15</v>
      </c>
      <c r="AC771" s="489">
        <v>1</v>
      </c>
      <c r="AD771" s="27">
        <v>210801</v>
      </c>
      <c r="AE771" s="27" t="s">
        <v>1073</v>
      </c>
      <c r="AF771" s="432">
        <v>0</v>
      </c>
      <c r="AG771" s="432"/>
      <c r="AH771" s="432">
        <f t="shared" si="154"/>
        <v>0</v>
      </c>
      <c r="AJ771" s="445"/>
      <c r="AL771" s="448"/>
      <c r="AM771" s="467" t="e">
        <f>VLOOKUP(AD771,[6]BV201101!$A$10:$A$1236,1,0)</f>
        <v>#N/A</v>
      </c>
    </row>
    <row r="772" spans="1:39" s="467" customFormat="1" ht="12.75" customHeight="1">
      <c r="A772" s="487" t="str">
        <f t="shared" si="157"/>
        <v>2</v>
      </c>
      <c r="B772" s="487" t="str">
        <f t="shared" si="151"/>
        <v>10</v>
      </c>
      <c r="C772" s="487" t="str">
        <f t="shared" si="152"/>
        <v>90</v>
      </c>
      <c r="D772" s="487" t="str">
        <f t="shared" si="153"/>
        <v>0901</v>
      </c>
      <c r="E772" s="487">
        <v>524200000</v>
      </c>
      <c r="F772" s="488" t="str">
        <f t="shared" si="144"/>
        <v/>
      </c>
      <c r="G772" s="487"/>
      <c r="H772" s="487"/>
      <c r="I772" s="488" t="str">
        <f t="shared" si="145"/>
        <v/>
      </c>
      <c r="J772" s="487"/>
      <c r="K772" s="487"/>
      <c r="L772" s="488" t="str">
        <f t="shared" si="146"/>
        <v/>
      </c>
      <c r="M772" s="487"/>
      <c r="N772" s="487"/>
      <c r="O772" s="488" t="str">
        <f t="shared" si="147"/>
        <v/>
      </c>
      <c r="P772" s="489"/>
      <c r="Q772" s="489"/>
      <c r="R772" s="592" t="str">
        <f t="shared" si="148"/>
        <v/>
      </c>
      <c r="S772" s="487"/>
      <c r="T772" s="487"/>
      <c r="U772" s="488" t="str">
        <f t="shared" si="149"/>
        <v/>
      </c>
      <c r="V772" s="489"/>
      <c r="W772" s="489"/>
      <c r="X772" s="488" t="str">
        <f t="shared" si="150"/>
        <v/>
      </c>
      <c r="Y772" s="489"/>
      <c r="Z772" s="489"/>
      <c r="AA772" s="490" t="str">
        <f t="shared" si="143"/>
        <v/>
      </c>
      <c r="AB772" s="489"/>
      <c r="AC772" s="489"/>
      <c r="AD772" s="27">
        <v>210901</v>
      </c>
      <c r="AE772" s="27" t="s">
        <v>1074</v>
      </c>
      <c r="AF772" s="432">
        <f>VLOOKUP(AD772,[5]Hoja1!$A$10:$K$1393,11,0)</f>
        <v>-131090374</v>
      </c>
      <c r="AG772" s="432"/>
      <c r="AH772" s="432">
        <f t="shared" si="154"/>
        <v>-131090</v>
      </c>
      <c r="AI772" s="445">
        <f>+AG772+AI800</f>
        <v>0</v>
      </c>
      <c r="AL772" s="448"/>
      <c r="AM772" s="467">
        <f>VLOOKUP(AD772,[6]BV201101!$A$10:$A$1236,1,0)</f>
        <v>210901</v>
      </c>
    </row>
    <row r="773" spans="1:39" s="467" customFormat="1" ht="12.75" customHeight="1">
      <c r="A773" s="487" t="str">
        <f t="shared" si="157"/>
        <v>2</v>
      </c>
      <c r="B773" s="487" t="str">
        <f t="shared" si="151"/>
        <v>10</v>
      </c>
      <c r="C773" s="487" t="str">
        <f t="shared" si="152"/>
        <v>90</v>
      </c>
      <c r="D773" s="487" t="str">
        <f t="shared" si="153"/>
        <v>0902</v>
      </c>
      <c r="E773" s="487">
        <v>524200000</v>
      </c>
      <c r="F773" s="488" t="str">
        <f t="shared" si="144"/>
        <v/>
      </c>
      <c r="G773" s="487"/>
      <c r="H773" s="487"/>
      <c r="I773" s="488" t="str">
        <f t="shared" si="145"/>
        <v/>
      </c>
      <c r="J773" s="487"/>
      <c r="K773" s="487"/>
      <c r="L773" s="488" t="str">
        <f t="shared" si="146"/>
        <v/>
      </c>
      <c r="M773" s="487"/>
      <c r="N773" s="487"/>
      <c r="O773" s="488" t="str">
        <f t="shared" si="147"/>
        <v/>
      </c>
      <c r="P773" s="489"/>
      <c r="Q773" s="489"/>
      <c r="R773" s="592" t="str">
        <f t="shared" si="148"/>
        <v/>
      </c>
      <c r="S773" s="487"/>
      <c r="T773" s="487"/>
      <c r="U773" s="488" t="str">
        <f t="shared" si="149"/>
        <v/>
      </c>
      <c r="V773" s="489"/>
      <c r="W773" s="489"/>
      <c r="X773" s="488" t="str">
        <f t="shared" si="150"/>
        <v/>
      </c>
      <c r="Y773" s="489"/>
      <c r="Z773" s="489"/>
      <c r="AA773" s="490" t="str">
        <f t="shared" si="143"/>
        <v/>
      </c>
      <c r="AB773" s="489"/>
      <c r="AC773" s="489"/>
      <c r="AD773" s="27">
        <v>210902</v>
      </c>
      <c r="AE773" s="27" t="s">
        <v>632</v>
      </c>
      <c r="AF773" s="432">
        <f>VLOOKUP(AD773,[5]Hoja1!$A$10:$K$1393,11,0)</f>
        <v>-64793036</v>
      </c>
      <c r="AG773" s="432"/>
      <c r="AH773" s="432">
        <f t="shared" si="154"/>
        <v>-64793</v>
      </c>
      <c r="AL773" s="448"/>
      <c r="AM773" s="467">
        <f>VLOOKUP(AD773,[6]BV201101!$A$10:$A$1236,1,0)</f>
        <v>210902</v>
      </c>
    </row>
    <row r="774" spans="1:39" s="467" customFormat="1" ht="12.75" customHeight="1">
      <c r="A774" s="487" t="str">
        <f t="shared" si="157"/>
        <v>2</v>
      </c>
      <c r="B774" s="487" t="str">
        <f t="shared" si="151"/>
        <v>10</v>
      </c>
      <c r="C774" s="487" t="str">
        <f t="shared" si="152"/>
        <v>90</v>
      </c>
      <c r="D774" s="487" t="str">
        <f t="shared" si="153"/>
        <v>0903</v>
      </c>
      <c r="E774" s="487">
        <v>524200000</v>
      </c>
      <c r="F774" s="488" t="str">
        <f t="shared" si="144"/>
        <v/>
      </c>
      <c r="G774" s="487"/>
      <c r="H774" s="487"/>
      <c r="I774" s="488" t="str">
        <f t="shared" si="145"/>
        <v/>
      </c>
      <c r="J774" s="487"/>
      <c r="K774" s="487"/>
      <c r="L774" s="488" t="str">
        <f t="shared" si="146"/>
        <v/>
      </c>
      <c r="M774" s="487"/>
      <c r="N774" s="487"/>
      <c r="O774" s="488" t="str">
        <f t="shared" si="147"/>
        <v/>
      </c>
      <c r="P774" s="489"/>
      <c r="Q774" s="489"/>
      <c r="R774" s="592" t="str">
        <f t="shared" si="148"/>
        <v/>
      </c>
      <c r="S774" s="487"/>
      <c r="T774" s="487"/>
      <c r="U774" s="488" t="str">
        <f t="shared" si="149"/>
        <v/>
      </c>
      <c r="V774" s="489"/>
      <c r="W774" s="489"/>
      <c r="X774" s="488" t="str">
        <f t="shared" si="150"/>
        <v/>
      </c>
      <c r="Y774" s="489"/>
      <c r="Z774" s="489"/>
      <c r="AA774" s="490" t="str">
        <f t="shared" si="143"/>
        <v/>
      </c>
      <c r="AB774" s="489"/>
      <c r="AC774" s="489"/>
      <c r="AD774" s="27">
        <v>210903</v>
      </c>
      <c r="AE774" s="27" t="s">
        <v>2183</v>
      </c>
      <c r="AF774" s="432">
        <f>VLOOKUP(AD774,[5]Hoja1!$A$10:$K$1393,11,0)</f>
        <v>-987782763</v>
      </c>
      <c r="AG774" s="432"/>
      <c r="AH774" s="432">
        <f t="shared" si="154"/>
        <v>-987783</v>
      </c>
      <c r="AL774" s="448"/>
      <c r="AM774" s="467">
        <f>VLOOKUP(AD774,[6]BV201101!$A$10:$A$1236,1,0)</f>
        <v>210903</v>
      </c>
    </row>
    <row r="775" spans="1:39" s="467" customFormat="1" ht="12.75" customHeight="1">
      <c r="A775" s="487" t="str">
        <f t="shared" si="157"/>
        <v>2</v>
      </c>
      <c r="B775" s="487" t="str">
        <f t="shared" si="151"/>
        <v>10</v>
      </c>
      <c r="C775" s="487" t="str">
        <f t="shared" si="152"/>
        <v>90</v>
      </c>
      <c r="D775" s="487" t="str">
        <f t="shared" si="153"/>
        <v>0904</v>
      </c>
      <c r="E775" s="487">
        <v>524200000</v>
      </c>
      <c r="F775" s="488" t="str">
        <f t="shared" si="144"/>
        <v/>
      </c>
      <c r="G775" s="487"/>
      <c r="H775" s="487"/>
      <c r="I775" s="488" t="str">
        <f t="shared" si="145"/>
        <v/>
      </c>
      <c r="J775" s="487"/>
      <c r="K775" s="487"/>
      <c r="L775" s="488" t="str">
        <f t="shared" si="146"/>
        <v/>
      </c>
      <c r="M775" s="487"/>
      <c r="N775" s="487"/>
      <c r="O775" s="488" t="str">
        <f t="shared" si="147"/>
        <v/>
      </c>
      <c r="P775" s="489"/>
      <c r="Q775" s="489"/>
      <c r="R775" s="592" t="str">
        <f t="shared" si="148"/>
        <v/>
      </c>
      <c r="S775" s="487"/>
      <c r="T775" s="487"/>
      <c r="U775" s="488" t="str">
        <f t="shared" si="149"/>
        <v/>
      </c>
      <c r="V775" s="489"/>
      <c r="W775" s="489"/>
      <c r="X775" s="488" t="str">
        <f t="shared" si="150"/>
        <v/>
      </c>
      <c r="Y775" s="489"/>
      <c r="Z775" s="489"/>
      <c r="AA775" s="490" t="str">
        <f t="shared" si="143"/>
        <v/>
      </c>
      <c r="AB775" s="489"/>
      <c r="AC775" s="489"/>
      <c r="AD775" s="27">
        <v>210904</v>
      </c>
      <c r="AE775" s="27" t="s">
        <v>60</v>
      </c>
      <c r="AF775" s="432">
        <f>VLOOKUP(AD775,[5]Hoja1!$A$10:$K$1393,11,0)</f>
        <v>-6984148</v>
      </c>
      <c r="AG775" s="432"/>
      <c r="AH775" s="432">
        <f t="shared" si="154"/>
        <v>-6984</v>
      </c>
      <c r="AL775" s="448"/>
      <c r="AM775" s="467">
        <f>VLOOKUP(AD775,[6]BV201101!$A$10:$A$1236,1,0)</f>
        <v>210904</v>
      </c>
    </row>
    <row r="776" spans="1:39" s="467" customFormat="1" ht="12.75" customHeight="1">
      <c r="A776" s="487" t="str">
        <f t="shared" si="157"/>
        <v>2</v>
      </c>
      <c r="B776" s="487" t="str">
        <f t="shared" si="151"/>
        <v>10</v>
      </c>
      <c r="C776" s="487" t="str">
        <f t="shared" si="152"/>
        <v>90</v>
      </c>
      <c r="D776" s="487" t="str">
        <f t="shared" si="153"/>
        <v>0905</v>
      </c>
      <c r="E776" s="487">
        <v>524200000</v>
      </c>
      <c r="F776" s="488" t="str">
        <f t="shared" si="144"/>
        <v/>
      </c>
      <c r="G776" s="487"/>
      <c r="H776" s="487"/>
      <c r="I776" s="488" t="str">
        <f t="shared" si="145"/>
        <v/>
      </c>
      <c r="J776" s="487"/>
      <c r="K776" s="487"/>
      <c r="L776" s="488" t="str">
        <f t="shared" si="146"/>
        <v/>
      </c>
      <c r="M776" s="487"/>
      <c r="N776" s="487"/>
      <c r="O776" s="488" t="str">
        <f t="shared" si="147"/>
        <v/>
      </c>
      <c r="P776" s="489"/>
      <c r="Q776" s="489"/>
      <c r="R776" s="592" t="str">
        <f t="shared" si="148"/>
        <v/>
      </c>
      <c r="S776" s="487"/>
      <c r="T776" s="487"/>
      <c r="U776" s="488" t="str">
        <f t="shared" si="149"/>
        <v/>
      </c>
      <c r="V776" s="489"/>
      <c r="W776" s="489"/>
      <c r="X776" s="488" t="str">
        <f t="shared" si="150"/>
        <v/>
      </c>
      <c r="Y776" s="489"/>
      <c r="Z776" s="489"/>
      <c r="AA776" s="490" t="str">
        <f t="shared" si="143"/>
        <v/>
      </c>
      <c r="AB776" s="489"/>
      <c r="AC776" s="489"/>
      <c r="AD776" s="27">
        <v>210905</v>
      </c>
      <c r="AE776" s="27" t="s">
        <v>633</v>
      </c>
      <c r="AF776" s="432">
        <f>VLOOKUP(AD776,[5]Hoja1!$A$10:$K$1393,11,0)</f>
        <v>-1711276</v>
      </c>
      <c r="AG776" s="432"/>
      <c r="AH776" s="432">
        <f t="shared" si="154"/>
        <v>-1711</v>
      </c>
      <c r="AL776" s="448"/>
      <c r="AM776" s="467">
        <f>VLOOKUP(AD776,[6]BV201101!$A$10:$A$1236,1,0)</f>
        <v>210905</v>
      </c>
    </row>
    <row r="777" spans="1:39" s="467" customFormat="1" ht="12.75" customHeight="1">
      <c r="A777" s="487" t="str">
        <f t="shared" si="157"/>
        <v>2</v>
      </c>
      <c r="B777" s="487" t="str">
        <f t="shared" si="151"/>
        <v>10</v>
      </c>
      <c r="C777" s="487" t="str">
        <f t="shared" si="152"/>
        <v>90</v>
      </c>
      <c r="D777" s="487" t="str">
        <f t="shared" si="153"/>
        <v>0906</v>
      </c>
      <c r="E777" s="487">
        <v>524200000</v>
      </c>
      <c r="F777" s="488" t="str">
        <f t="shared" si="144"/>
        <v/>
      </c>
      <c r="G777" s="487"/>
      <c r="H777" s="487"/>
      <c r="I777" s="488" t="str">
        <f t="shared" si="145"/>
        <v/>
      </c>
      <c r="J777" s="487"/>
      <c r="K777" s="487"/>
      <c r="L777" s="488" t="str">
        <f t="shared" si="146"/>
        <v/>
      </c>
      <c r="M777" s="487"/>
      <c r="N777" s="487"/>
      <c r="O777" s="488" t="str">
        <f t="shared" si="147"/>
        <v/>
      </c>
      <c r="P777" s="489"/>
      <c r="Q777" s="489"/>
      <c r="R777" s="592" t="str">
        <f t="shared" si="148"/>
        <v/>
      </c>
      <c r="S777" s="487"/>
      <c r="T777" s="487"/>
      <c r="U777" s="488" t="str">
        <f t="shared" si="149"/>
        <v/>
      </c>
      <c r="V777" s="489"/>
      <c r="W777" s="489"/>
      <c r="X777" s="488" t="str">
        <f t="shared" si="150"/>
        <v/>
      </c>
      <c r="Y777" s="489"/>
      <c r="Z777" s="489"/>
      <c r="AA777" s="490" t="str">
        <f t="shared" ref="AA777:AA850" si="168">+AB777&amp;AC777</f>
        <v/>
      </c>
      <c r="AB777" s="489"/>
      <c r="AC777" s="489"/>
      <c r="AD777" s="27">
        <v>210906</v>
      </c>
      <c r="AE777" s="27" t="s">
        <v>2184</v>
      </c>
      <c r="AF777" s="432">
        <f>VLOOKUP(AD777,[5]Hoja1!$A$10:$K$1393,11,0)</f>
        <v>-66337175</v>
      </c>
      <c r="AG777" s="432"/>
      <c r="AH777" s="432">
        <f t="shared" si="154"/>
        <v>-66337</v>
      </c>
      <c r="AL777" s="448"/>
      <c r="AM777" s="467">
        <f>VLOOKUP(AD777,[6]BV201101!$A$10:$A$1236,1,0)</f>
        <v>210906</v>
      </c>
    </row>
    <row r="778" spans="1:39" s="467" customFormat="1" ht="12.75" customHeight="1">
      <c r="A778" s="487" t="str">
        <f t="shared" si="157"/>
        <v>2</v>
      </c>
      <c r="B778" s="487" t="str">
        <f t="shared" si="151"/>
        <v>10</v>
      </c>
      <c r="C778" s="487" t="str">
        <f t="shared" si="152"/>
        <v>90</v>
      </c>
      <c r="D778" s="487" t="str">
        <f t="shared" si="153"/>
        <v>0907</v>
      </c>
      <c r="E778" s="487">
        <v>524200000</v>
      </c>
      <c r="F778" s="488" t="str">
        <f t="shared" si="144"/>
        <v/>
      </c>
      <c r="G778" s="487"/>
      <c r="H778" s="487"/>
      <c r="I778" s="488" t="str">
        <f t="shared" si="145"/>
        <v/>
      </c>
      <c r="J778" s="487"/>
      <c r="K778" s="487"/>
      <c r="L778" s="488" t="str">
        <f t="shared" si="146"/>
        <v/>
      </c>
      <c r="M778" s="487"/>
      <c r="N778" s="487"/>
      <c r="O778" s="488" t="str">
        <f t="shared" si="147"/>
        <v/>
      </c>
      <c r="P778" s="489"/>
      <c r="Q778" s="489"/>
      <c r="R778" s="592" t="str">
        <f t="shared" si="148"/>
        <v/>
      </c>
      <c r="S778" s="487"/>
      <c r="T778" s="487"/>
      <c r="U778" s="488" t="str">
        <f t="shared" si="149"/>
        <v/>
      </c>
      <c r="V778" s="489"/>
      <c r="W778" s="489"/>
      <c r="X778" s="488" t="str">
        <f t="shared" si="150"/>
        <v/>
      </c>
      <c r="Y778" s="489"/>
      <c r="Z778" s="489"/>
      <c r="AA778" s="490" t="str">
        <f t="shared" si="168"/>
        <v/>
      </c>
      <c r="AB778" s="489"/>
      <c r="AC778" s="489"/>
      <c r="AD778" s="27">
        <v>210907</v>
      </c>
      <c r="AE778" s="27" t="s">
        <v>634</v>
      </c>
      <c r="AF778" s="432">
        <f>VLOOKUP(AD778,[5]Hoja1!$A$10:$K$1393,11,0)</f>
        <v>-9598254</v>
      </c>
      <c r="AG778" s="432"/>
      <c r="AH778" s="432">
        <f t="shared" si="154"/>
        <v>-9598</v>
      </c>
      <c r="AL778" s="448"/>
      <c r="AM778" s="467">
        <f>VLOOKUP(AD778,[6]BV201101!$A$10:$A$1236,1,0)</f>
        <v>210907</v>
      </c>
    </row>
    <row r="779" spans="1:39" s="467" customFormat="1" ht="12.75" customHeight="1">
      <c r="A779" s="487" t="str">
        <f t="shared" si="157"/>
        <v>2</v>
      </c>
      <c r="B779" s="487" t="str">
        <f t="shared" si="151"/>
        <v>10</v>
      </c>
      <c r="C779" s="487" t="str">
        <f t="shared" si="152"/>
        <v>90</v>
      </c>
      <c r="D779" s="487" t="str">
        <f t="shared" si="153"/>
        <v>0908</v>
      </c>
      <c r="E779" s="487">
        <v>524200000</v>
      </c>
      <c r="F779" s="488" t="str">
        <f t="shared" si="144"/>
        <v/>
      </c>
      <c r="G779" s="487"/>
      <c r="H779" s="487"/>
      <c r="I779" s="488" t="str">
        <f t="shared" si="145"/>
        <v/>
      </c>
      <c r="J779" s="487"/>
      <c r="K779" s="487"/>
      <c r="L779" s="488" t="str">
        <f t="shared" si="146"/>
        <v/>
      </c>
      <c r="M779" s="487"/>
      <c r="N779" s="487"/>
      <c r="O779" s="488" t="str">
        <f t="shared" si="147"/>
        <v/>
      </c>
      <c r="P779" s="489"/>
      <c r="Q779" s="489"/>
      <c r="R779" s="592" t="str">
        <f t="shared" si="148"/>
        <v/>
      </c>
      <c r="S779" s="487"/>
      <c r="T779" s="487"/>
      <c r="U779" s="488" t="str">
        <f t="shared" si="149"/>
        <v/>
      </c>
      <c r="V779" s="489"/>
      <c r="W779" s="489"/>
      <c r="X779" s="488" t="str">
        <f t="shared" si="150"/>
        <v/>
      </c>
      <c r="Y779" s="489"/>
      <c r="Z779" s="489"/>
      <c r="AA779" s="490" t="str">
        <f t="shared" si="168"/>
        <v/>
      </c>
      <c r="AB779" s="489"/>
      <c r="AC779" s="489"/>
      <c r="AD779" s="27">
        <v>210908</v>
      </c>
      <c r="AE779" s="27" t="s">
        <v>2185</v>
      </c>
      <c r="AF779" s="432">
        <f>VLOOKUP(AD779,[5]Hoja1!$A$10:$K$1393,11,0)</f>
        <v>-19516382</v>
      </c>
      <c r="AG779" s="432"/>
      <c r="AH779" s="432">
        <f t="shared" si="154"/>
        <v>-19516</v>
      </c>
      <c r="AL779" s="448"/>
      <c r="AM779" s="467">
        <f>VLOOKUP(AD779,[6]BV201101!$A$10:$A$1236,1,0)</f>
        <v>210908</v>
      </c>
    </row>
    <row r="780" spans="1:39" s="467" customFormat="1" ht="12.75" customHeight="1">
      <c r="A780" s="487" t="str">
        <f t="shared" si="157"/>
        <v>2</v>
      </c>
      <c r="B780" s="487" t="str">
        <f t="shared" si="151"/>
        <v>10</v>
      </c>
      <c r="C780" s="487" t="str">
        <f t="shared" si="152"/>
        <v>90</v>
      </c>
      <c r="D780" s="487" t="str">
        <f t="shared" si="153"/>
        <v>0909</v>
      </c>
      <c r="E780" s="487">
        <v>524200000</v>
      </c>
      <c r="F780" s="488" t="str">
        <f t="shared" si="144"/>
        <v/>
      </c>
      <c r="G780" s="487"/>
      <c r="H780" s="487"/>
      <c r="I780" s="488" t="str">
        <f t="shared" si="145"/>
        <v/>
      </c>
      <c r="J780" s="487"/>
      <c r="K780" s="487"/>
      <c r="L780" s="488" t="str">
        <f t="shared" si="146"/>
        <v/>
      </c>
      <c r="M780" s="487"/>
      <c r="N780" s="487"/>
      <c r="O780" s="488" t="str">
        <f t="shared" si="147"/>
        <v/>
      </c>
      <c r="P780" s="489"/>
      <c r="Q780" s="489"/>
      <c r="R780" s="592" t="str">
        <f t="shared" si="148"/>
        <v/>
      </c>
      <c r="S780" s="487"/>
      <c r="T780" s="487"/>
      <c r="U780" s="488" t="str">
        <f t="shared" si="149"/>
        <v/>
      </c>
      <c r="V780" s="489"/>
      <c r="W780" s="489"/>
      <c r="X780" s="488" t="str">
        <f t="shared" si="150"/>
        <v/>
      </c>
      <c r="Y780" s="489"/>
      <c r="Z780" s="489"/>
      <c r="AA780" s="490" t="str">
        <f t="shared" si="168"/>
        <v/>
      </c>
      <c r="AB780" s="489"/>
      <c r="AC780" s="489"/>
      <c r="AD780" s="27">
        <v>210909</v>
      </c>
      <c r="AE780" s="27" t="s">
        <v>2186</v>
      </c>
      <c r="AF780" s="432">
        <f>VLOOKUP(AD780,[5]Hoja1!$A$10:$K$1393,11,0)</f>
        <v>-641162003</v>
      </c>
      <c r="AG780" s="432"/>
      <c r="AH780" s="432">
        <f t="shared" si="154"/>
        <v>-641162</v>
      </c>
      <c r="AL780" s="448"/>
      <c r="AM780" s="467">
        <f>VLOOKUP(AD780,[6]BV201101!$A$10:$A$1236,1,0)</f>
        <v>210909</v>
      </c>
    </row>
    <row r="781" spans="1:39" s="467" customFormat="1" ht="12.75" customHeight="1">
      <c r="A781" s="487" t="str">
        <f t="shared" si="157"/>
        <v>2</v>
      </c>
      <c r="B781" s="487" t="str">
        <f t="shared" si="151"/>
        <v>10</v>
      </c>
      <c r="C781" s="487" t="str">
        <f t="shared" si="152"/>
        <v>91</v>
      </c>
      <c r="D781" s="487" t="str">
        <f t="shared" si="153"/>
        <v>0910</v>
      </c>
      <c r="E781" s="487">
        <v>524200000</v>
      </c>
      <c r="F781" s="488" t="str">
        <f t="shared" si="144"/>
        <v/>
      </c>
      <c r="G781" s="487"/>
      <c r="H781" s="487"/>
      <c r="I781" s="488" t="str">
        <f t="shared" si="145"/>
        <v/>
      </c>
      <c r="J781" s="487"/>
      <c r="K781" s="487"/>
      <c r="L781" s="488" t="str">
        <f t="shared" si="146"/>
        <v/>
      </c>
      <c r="M781" s="487"/>
      <c r="N781" s="487"/>
      <c r="O781" s="488" t="str">
        <f t="shared" si="147"/>
        <v/>
      </c>
      <c r="P781" s="489"/>
      <c r="Q781" s="489"/>
      <c r="R781" s="592" t="str">
        <f t="shared" si="148"/>
        <v/>
      </c>
      <c r="S781" s="487"/>
      <c r="T781" s="487"/>
      <c r="U781" s="488" t="str">
        <f t="shared" si="149"/>
        <v/>
      </c>
      <c r="V781" s="489"/>
      <c r="W781" s="489"/>
      <c r="X781" s="488" t="str">
        <f t="shared" si="150"/>
        <v/>
      </c>
      <c r="Y781" s="489"/>
      <c r="Z781" s="489"/>
      <c r="AA781" s="490" t="str">
        <f t="shared" si="168"/>
        <v/>
      </c>
      <c r="AB781" s="489"/>
      <c r="AC781" s="489"/>
      <c r="AD781" s="27">
        <v>210910</v>
      </c>
      <c r="AE781" s="27" t="s">
        <v>635</v>
      </c>
      <c r="AF781" s="432">
        <f>VLOOKUP(AD781,[5]Hoja1!$A$10:$K$1393,11,0)</f>
        <v>0</v>
      </c>
      <c r="AG781" s="432"/>
      <c r="AH781" s="432">
        <f t="shared" si="154"/>
        <v>0</v>
      </c>
      <c r="AL781" s="448"/>
      <c r="AM781" s="467">
        <f>VLOOKUP(AD781,[6]BV201101!$A$10:$A$1236,1,0)</f>
        <v>210910</v>
      </c>
    </row>
    <row r="782" spans="1:39" s="467" customFormat="1" ht="12.75" customHeight="1">
      <c r="A782" s="487" t="str">
        <f t="shared" si="157"/>
        <v>2</v>
      </c>
      <c r="B782" s="487" t="str">
        <f t="shared" si="151"/>
        <v>10</v>
      </c>
      <c r="C782" s="487" t="str">
        <f t="shared" si="152"/>
        <v>91</v>
      </c>
      <c r="D782" s="487" t="str">
        <f t="shared" si="153"/>
        <v>0911</v>
      </c>
      <c r="E782" s="487">
        <v>524200000</v>
      </c>
      <c r="F782" s="488" t="str">
        <f t="shared" si="144"/>
        <v/>
      </c>
      <c r="G782" s="487"/>
      <c r="H782" s="487"/>
      <c r="I782" s="488" t="str">
        <f t="shared" si="145"/>
        <v/>
      </c>
      <c r="J782" s="487"/>
      <c r="K782" s="487"/>
      <c r="L782" s="488" t="str">
        <f t="shared" si="146"/>
        <v/>
      </c>
      <c r="M782" s="487"/>
      <c r="N782" s="487"/>
      <c r="O782" s="488" t="str">
        <f t="shared" si="147"/>
        <v/>
      </c>
      <c r="P782" s="489"/>
      <c r="Q782" s="489"/>
      <c r="R782" s="592" t="str">
        <f t="shared" si="148"/>
        <v/>
      </c>
      <c r="S782" s="487"/>
      <c r="T782" s="487"/>
      <c r="U782" s="488" t="str">
        <f t="shared" si="149"/>
        <v/>
      </c>
      <c r="V782" s="489"/>
      <c r="W782" s="489"/>
      <c r="X782" s="488" t="str">
        <f t="shared" si="150"/>
        <v/>
      </c>
      <c r="Y782" s="489"/>
      <c r="Z782" s="489"/>
      <c r="AA782" s="490" t="str">
        <f t="shared" si="168"/>
        <v/>
      </c>
      <c r="AB782" s="489"/>
      <c r="AC782" s="489"/>
      <c r="AD782" s="27">
        <v>210911</v>
      </c>
      <c r="AE782" s="27" t="s">
        <v>636</v>
      </c>
      <c r="AF782" s="432">
        <f>VLOOKUP(AD782,[5]Hoja1!$A$10:$K$1393,11,0)</f>
        <v>-1914619</v>
      </c>
      <c r="AG782" s="432"/>
      <c r="AH782" s="432">
        <f t="shared" si="154"/>
        <v>-1915</v>
      </c>
      <c r="AL782" s="448"/>
      <c r="AM782" s="467">
        <f>VLOOKUP(AD782,[6]BV201101!$A$10:$A$1236,1,0)</f>
        <v>210911</v>
      </c>
    </row>
    <row r="783" spans="1:39" s="467" customFormat="1" ht="12.75" customHeight="1">
      <c r="A783" s="487" t="str">
        <f t="shared" si="157"/>
        <v>2</v>
      </c>
      <c r="B783" s="487" t="str">
        <f t="shared" si="151"/>
        <v>10</v>
      </c>
      <c r="C783" s="487" t="str">
        <f t="shared" si="152"/>
        <v>91</v>
      </c>
      <c r="D783" s="487" t="str">
        <f t="shared" si="153"/>
        <v>0912</v>
      </c>
      <c r="E783" s="487">
        <v>524200000</v>
      </c>
      <c r="F783" s="488" t="str">
        <f t="shared" si="144"/>
        <v/>
      </c>
      <c r="G783" s="487"/>
      <c r="H783" s="487"/>
      <c r="I783" s="488" t="str">
        <f t="shared" si="145"/>
        <v/>
      </c>
      <c r="J783" s="487"/>
      <c r="K783" s="487"/>
      <c r="L783" s="488" t="str">
        <f t="shared" si="146"/>
        <v/>
      </c>
      <c r="M783" s="487"/>
      <c r="N783" s="487"/>
      <c r="O783" s="488" t="str">
        <f t="shared" si="147"/>
        <v/>
      </c>
      <c r="P783" s="489"/>
      <c r="Q783" s="489"/>
      <c r="R783" s="592" t="str">
        <f t="shared" si="148"/>
        <v/>
      </c>
      <c r="S783" s="487"/>
      <c r="T783" s="487"/>
      <c r="U783" s="488" t="str">
        <f t="shared" si="149"/>
        <v/>
      </c>
      <c r="V783" s="489"/>
      <c r="W783" s="489"/>
      <c r="X783" s="488" t="str">
        <f t="shared" si="150"/>
        <v/>
      </c>
      <c r="Y783" s="489"/>
      <c r="Z783" s="489"/>
      <c r="AA783" s="490" t="str">
        <f t="shared" si="168"/>
        <v/>
      </c>
      <c r="AB783" s="489"/>
      <c r="AC783" s="489"/>
      <c r="AD783" s="27">
        <v>210912</v>
      </c>
      <c r="AE783" s="27" t="s">
        <v>1300</v>
      </c>
      <c r="AF783" s="432">
        <f>VLOOKUP(AD783,[5]Hoja1!$A$10:$K$1393,11,0)</f>
        <v>0</v>
      </c>
      <c r="AG783" s="432"/>
      <c r="AH783" s="432">
        <f t="shared" si="154"/>
        <v>0</v>
      </c>
      <c r="AL783" s="448"/>
      <c r="AM783" s="467">
        <f>VLOOKUP(AD783,[6]BV201101!$A$10:$A$1236,1,0)</f>
        <v>210912</v>
      </c>
    </row>
    <row r="784" spans="1:39" s="467" customFormat="1" ht="12.75" customHeight="1">
      <c r="A784" s="487" t="str">
        <f t="shared" si="157"/>
        <v>2</v>
      </c>
      <c r="B784" s="487" t="str">
        <f t="shared" si="151"/>
        <v>10</v>
      </c>
      <c r="C784" s="487" t="str">
        <f t="shared" si="152"/>
        <v>91</v>
      </c>
      <c r="D784" s="487" t="str">
        <f t="shared" si="153"/>
        <v>0913</v>
      </c>
      <c r="E784" s="487">
        <v>524200000</v>
      </c>
      <c r="F784" s="488" t="str">
        <f t="shared" si="144"/>
        <v/>
      </c>
      <c r="G784" s="487"/>
      <c r="H784" s="487"/>
      <c r="I784" s="488" t="str">
        <f t="shared" si="145"/>
        <v/>
      </c>
      <c r="J784" s="487"/>
      <c r="K784" s="487"/>
      <c r="L784" s="488" t="str">
        <f t="shared" si="146"/>
        <v/>
      </c>
      <c r="M784" s="487"/>
      <c r="N784" s="487"/>
      <c r="O784" s="488" t="str">
        <f t="shared" si="147"/>
        <v/>
      </c>
      <c r="P784" s="489"/>
      <c r="Q784" s="489"/>
      <c r="R784" s="592" t="str">
        <f t="shared" si="148"/>
        <v/>
      </c>
      <c r="S784" s="487"/>
      <c r="T784" s="487"/>
      <c r="U784" s="488" t="str">
        <f t="shared" si="149"/>
        <v/>
      </c>
      <c r="V784" s="489"/>
      <c r="W784" s="489"/>
      <c r="X784" s="488" t="str">
        <f t="shared" si="150"/>
        <v/>
      </c>
      <c r="Y784" s="489"/>
      <c r="Z784" s="489"/>
      <c r="AA784" s="490" t="str">
        <f t="shared" si="168"/>
        <v/>
      </c>
      <c r="AB784" s="489"/>
      <c r="AC784" s="489"/>
      <c r="AD784" s="27">
        <v>210913</v>
      </c>
      <c r="AE784" s="27" t="s">
        <v>637</v>
      </c>
      <c r="AF784" s="432">
        <f>VLOOKUP(AD784,[5]Hoja1!$A$10:$K$1393,11,0)</f>
        <v>-334363</v>
      </c>
      <c r="AG784" s="432"/>
      <c r="AH784" s="432">
        <f t="shared" si="154"/>
        <v>-334</v>
      </c>
      <c r="AL784" s="448"/>
      <c r="AM784" s="467">
        <f>VLOOKUP(AD784,[6]BV201101!$A$10:$A$1236,1,0)</f>
        <v>210913</v>
      </c>
    </row>
    <row r="785" spans="1:39" s="467" customFormat="1" ht="12.75" customHeight="1">
      <c r="A785" s="487" t="str">
        <f t="shared" si="157"/>
        <v>2</v>
      </c>
      <c r="B785" s="487" t="str">
        <f t="shared" si="151"/>
        <v>10</v>
      </c>
      <c r="C785" s="487" t="str">
        <f t="shared" si="152"/>
        <v>91</v>
      </c>
      <c r="D785" s="487" t="str">
        <f t="shared" si="153"/>
        <v>0914</v>
      </c>
      <c r="E785" s="487">
        <v>524200000</v>
      </c>
      <c r="F785" s="488" t="str">
        <f t="shared" si="144"/>
        <v/>
      </c>
      <c r="G785" s="487"/>
      <c r="H785" s="487"/>
      <c r="I785" s="488" t="str">
        <f t="shared" si="145"/>
        <v/>
      </c>
      <c r="J785" s="487"/>
      <c r="K785" s="487"/>
      <c r="L785" s="488" t="str">
        <f t="shared" si="146"/>
        <v/>
      </c>
      <c r="M785" s="487"/>
      <c r="N785" s="487"/>
      <c r="O785" s="488" t="str">
        <f t="shared" si="147"/>
        <v/>
      </c>
      <c r="P785" s="489"/>
      <c r="Q785" s="489"/>
      <c r="R785" s="592" t="str">
        <f t="shared" si="148"/>
        <v/>
      </c>
      <c r="S785" s="487"/>
      <c r="T785" s="487"/>
      <c r="U785" s="488" t="str">
        <f t="shared" si="149"/>
        <v/>
      </c>
      <c r="V785" s="489"/>
      <c r="W785" s="489"/>
      <c r="X785" s="488" t="str">
        <f t="shared" si="150"/>
        <v/>
      </c>
      <c r="Y785" s="489"/>
      <c r="Z785" s="489"/>
      <c r="AA785" s="490" t="str">
        <f t="shared" si="168"/>
        <v/>
      </c>
      <c r="AB785" s="489"/>
      <c r="AC785" s="489"/>
      <c r="AD785" s="27">
        <v>210914</v>
      </c>
      <c r="AE785" s="27" t="s">
        <v>638</v>
      </c>
      <c r="AF785" s="432">
        <f>VLOOKUP(AD785,[5]Hoja1!$A$10:$K$1393,11,0)</f>
        <v>0</v>
      </c>
      <c r="AG785" s="432"/>
      <c r="AH785" s="432">
        <f t="shared" si="154"/>
        <v>0</v>
      </c>
      <c r="AL785" s="448"/>
      <c r="AM785" s="467">
        <f>VLOOKUP(AD785,[6]BV201101!$A$10:$A$1236,1,0)</f>
        <v>210914</v>
      </c>
    </row>
    <row r="786" spans="1:39" s="467" customFormat="1" ht="12.75" customHeight="1">
      <c r="A786" s="487" t="str">
        <f t="shared" si="157"/>
        <v>2</v>
      </c>
      <c r="B786" s="487" t="str">
        <f t="shared" si="151"/>
        <v>10</v>
      </c>
      <c r="C786" s="487" t="str">
        <f t="shared" si="152"/>
        <v>91</v>
      </c>
      <c r="D786" s="487" t="str">
        <f t="shared" si="153"/>
        <v>0915</v>
      </c>
      <c r="E786" s="487">
        <v>524200000</v>
      </c>
      <c r="F786" s="488" t="str">
        <f t="shared" si="144"/>
        <v/>
      </c>
      <c r="G786" s="487"/>
      <c r="H786" s="487"/>
      <c r="I786" s="488" t="str">
        <f t="shared" si="145"/>
        <v/>
      </c>
      <c r="J786" s="487"/>
      <c r="K786" s="487"/>
      <c r="L786" s="488" t="str">
        <f t="shared" si="146"/>
        <v/>
      </c>
      <c r="M786" s="487"/>
      <c r="N786" s="487"/>
      <c r="O786" s="488" t="str">
        <f t="shared" si="147"/>
        <v/>
      </c>
      <c r="P786" s="489"/>
      <c r="Q786" s="489"/>
      <c r="R786" s="592" t="str">
        <f t="shared" si="148"/>
        <v/>
      </c>
      <c r="S786" s="487"/>
      <c r="T786" s="487"/>
      <c r="U786" s="488" t="str">
        <f t="shared" si="149"/>
        <v/>
      </c>
      <c r="V786" s="489"/>
      <c r="W786" s="489"/>
      <c r="X786" s="488" t="str">
        <f t="shared" si="150"/>
        <v/>
      </c>
      <c r="Y786" s="489"/>
      <c r="Z786" s="489"/>
      <c r="AA786" s="490" t="str">
        <f t="shared" si="168"/>
        <v/>
      </c>
      <c r="AB786" s="489"/>
      <c r="AC786" s="489"/>
      <c r="AD786" s="27">
        <v>210915</v>
      </c>
      <c r="AE786" s="27" t="s">
        <v>639</v>
      </c>
      <c r="AF786" s="432">
        <f>VLOOKUP(AD786,[5]Hoja1!$A$10:$K$1393,11,0)</f>
        <v>0</v>
      </c>
      <c r="AG786" s="432"/>
      <c r="AH786" s="432">
        <f t="shared" si="154"/>
        <v>0</v>
      </c>
      <c r="AL786" s="448"/>
      <c r="AM786" s="467">
        <f>VLOOKUP(AD786,[6]BV201101!$A$10:$A$1236,1,0)</f>
        <v>210915</v>
      </c>
    </row>
    <row r="787" spans="1:39" s="467" customFormat="1" ht="12.75" customHeight="1">
      <c r="A787" s="487" t="str">
        <f t="shared" si="157"/>
        <v>2</v>
      </c>
      <c r="B787" s="487" t="str">
        <f t="shared" si="151"/>
        <v>10</v>
      </c>
      <c r="C787" s="487" t="str">
        <f t="shared" si="152"/>
        <v>91</v>
      </c>
      <c r="D787" s="487" t="str">
        <f t="shared" si="153"/>
        <v>0916</v>
      </c>
      <c r="E787" s="487">
        <v>524200000</v>
      </c>
      <c r="F787" s="488" t="str">
        <f t="shared" si="144"/>
        <v/>
      </c>
      <c r="G787" s="487"/>
      <c r="H787" s="487"/>
      <c r="I787" s="488" t="str">
        <f t="shared" si="145"/>
        <v/>
      </c>
      <c r="J787" s="487"/>
      <c r="K787" s="487"/>
      <c r="L787" s="488" t="str">
        <f t="shared" si="146"/>
        <v/>
      </c>
      <c r="M787" s="487"/>
      <c r="N787" s="487"/>
      <c r="O787" s="488" t="str">
        <f t="shared" si="147"/>
        <v/>
      </c>
      <c r="P787" s="489"/>
      <c r="Q787" s="489"/>
      <c r="R787" s="592" t="str">
        <f t="shared" si="148"/>
        <v/>
      </c>
      <c r="S787" s="487"/>
      <c r="T787" s="487"/>
      <c r="U787" s="488" t="str">
        <f t="shared" si="149"/>
        <v/>
      </c>
      <c r="V787" s="489"/>
      <c r="W787" s="489"/>
      <c r="X787" s="488" t="str">
        <f t="shared" si="150"/>
        <v/>
      </c>
      <c r="Y787" s="489"/>
      <c r="Z787" s="489"/>
      <c r="AA787" s="490" t="str">
        <f t="shared" si="168"/>
        <v/>
      </c>
      <c r="AB787" s="489"/>
      <c r="AC787" s="489"/>
      <c r="AD787" s="27">
        <v>210916</v>
      </c>
      <c r="AE787" s="27" t="s">
        <v>640</v>
      </c>
      <c r="AF787" s="432">
        <f>VLOOKUP(AD787,[5]Hoja1!$A$10:$K$1393,11,0)</f>
        <v>0</v>
      </c>
      <c r="AG787" s="432"/>
      <c r="AH787" s="432">
        <f t="shared" si="154"/>
        <v>0</v>
      </c>
      <c r="AL787" s="448"/>
      <c r="AM787" s="467">
        <f>VLOOKUP(AD787,[6]BV201101!$A$10:$A$1236,1,0)</f>
        <v>210916</v>
      </c>
    </row>
    <row r="788" spans="1:39" s="467" customFormat="1" ht="12.75" customHeight="1">
      <c r="A788" s="487" t="str">
        <f t="shared" si="157"/>
        <v>2</v>
      </c>
      <c r="B788" s="487" t="str">
        <f t="shared" si="151"/>
        <v>10</v>
      </c>
      <c r="C788" s="487" t="str">
        <f t="shared" si="152"/>
        <v>91</v>
      </c>
      <c r="D788" s="487" t="str">
        <f t="shared" si="153"/>
        <v>0917</v>
      </c>
      <c r="E788" s="487">
        <v>524200000</v>
      </c>
      <c r="F788" s="488" t="str">
        <f t="shared" si="144"/>
        <v/>
      </c>
      <c r="G788" s="487"/>
      <c r="H788" s="487"/>
      <c r="I788" s="488" t="str">
        <f t="shared" si="145"/>
        <v/>
      </c>
      <c r="J788" s="487"/>
      <c r="K788" s="487"/>
      <c r="L788" s="488" t="str">
        <f t="shared" si="146"/>
        <v/>
      </c>
      <c r="M788" s="487"/>
      <c r="N788" s="487"/>
      <c r="O788" s="488" t="str">
        <f t="shared" si="147"/>
        <v/>
      </c>
      <c r="P788" s="489"/>
      <c r="Q788" s="489"/>
      <c r="R788" s="592" t="str">
        <f t="shared" si="148"/>
        <v/>
      </c>
      <c r="S788" s="487"/>
      <c r="T788" s="487"/>
      <c r="U788" s="488" t="str">
        <f t="shared" si="149"/>
        <v/>
      </c>
      <c r="V788" s="489"/>
      <c r="W788" s="489"/>
      <c r="X788" s="488" t="str">
        <f t="shared" si="150"/>
        <v/>
      </c>
      <c r="Y788" s="489"/>
      <c r="Z788" s="489"/>
      <c r="AA788" s="490" t="str">
        <f t="shared" si="168"/>
        <v/>
      </c>
      <c r="AB788" s="489"/>
      <c r="AC788" s="489"/>
      <c r="AD788" s="27">
        <v>210917</v>
      </c>
      <c r="AE788" s="27" t="s">
        <v>1301</v>
      </c>
      <c r="AF788" s="432">
        <f>VLOOKUP(AD788,[5]Hoja1!$A$10:$K$1393,11,0)</f>
        <v>-304825</v>
      </c>
      <c r="AG788" s="432"/>
      <c r="AH788" s="432">
        <f t="shared" si="154"/>
        <v>-305</v>
      </c>
      <c r="AL788" s="448"/>
      <c r="AM788" s="467">
        <f>VLOOKUP(AD788,[6]BV201101!$A$10:$A$1236,1,0)</f>
        <v>210917</v>
      </c>
    </row>
    <row r="789" spans="1:39" s="467" customFormat="1" ht="12.75" customHeight="1">
      <c r="A789" s="487" t="str">
        <f t="shared" si="157"/>
        <v>2</v>
      </c>
      <c r="B789" s="487" t="str">
        <f t="shared" si="151"/>
        <v>10</v>
      </c>
      <c r="C789" s="487" t="str">
        <f t="shared" si="152"/>
        <v>91</v>
      </c>
      <c r="D789" s="487" t="str">
        <f t="shared" si="153"/>
        <v>0918</v>
      </c>
      <c r="E789" s="487">
        <v>524200000</v>
      </c>
      <c r="F789" s="488" t="str">
        <f t="shared" si="144"/>
        <v/>
      </c>
      <c r="G789" s="487"/>
      <c r="H789" s="487"/>
      <c r="I789" s="488" t="str">
        <f t="shared" si="145"/>
        <v/>
      </c>
      <c r="J789" s="487"/>
      <c r="K789" s="487"/>
      <c r="L789" s="488" t="str">
        <f t="shared" si="146"/>
        <v/>
      </c>
      <c r="M789" s="487"/>
      <c r="N789" s="487"/>
      <c r="O789" s="488" t="str">
        <f t="shared" si="147"/>
        <v/>
      </c>
      <c r="P789" s="489"/>
      <c r="Q789" s="489"/>
      <c r="R789" s="592" t="str">
        <f t="shared" si="148"/>
        <v/>
      </c>
      <c r="S789" s="487"/>
      <c r="T789" s="487"/>
      <c r="U789" s="488" t="str">
        <f t="shared" si="149"/>
        <v/>
      </c>
      <c r="V789" s="489"/>
      <c r="W789" s="489"/>
      <c r="X789" s="488" t="str">
        <f t="shared" si="150"/>
        <v/>
      </c>
      <c r="Y789" s="489"/>
      <c r="Z789" s="489"/>
      <c r="AA789" s="490" t="str">
        <f t="shared" si="168"/>
        <v/>
      </c>
      <c r="AB789" s="489"/>
      <c r="AC789" s="489"/>
      <c r="AD789" s="27">
        <v>210918</v>
      </c>
      <c r="AE789" s="27" t="s">
        <v>1005</v>
      </c>
      <c r="AF789" s="432">
        <f>VLOOKUP(AD789,[5]Hoja1!$A$10:$K$1393,11,0)</f>
        <v>0</v>
      </c>
      <c r="AG789" s="432"/>
      <c r="AH789" s="432">
        <f t="shared" si="154"/>
        <v>0</v>
      </c>
      <c r="AI789" s="445">
        <f>+AH108</f>
        <v>56094027</v>
      </c>
      <c r="AJ789" s="445">
        <f>+AI789+AH789</f>
        <v>56094027</v>
      </c>
      <c r="AL789" s="448"/>
      <c r="AM789" s="467">
        <f>VLOOKUP(AD789,[6]BV201101!$A$10:$A$1236,1,0)</f>
        <v>210918</v>
      </c>
    </row>
    <row r="790" spans="1:39" s="467" customFormat="1" ht="12.75" customHeight="1">
      <c r="A790" s="487" t="str">
        <f t="shared" si="157"/>
        <v>2</v>
      </c>
      <c r="B790" s="487" t="str">
        <f t="shared" si="151"/>
        <v>10</v>
      </c>
      <c r="C790" s="487" t="str">
        <f t="shared" si="152"/>
        <v>91</v>
      </c>
      <c r="D790" s="487" t="str">
        <f t="shared" si="153"/>
        <v>0919</v>
      </c>
      <c r="E790" s="487">
        <v>524200000</v>
      </c>
      <c r="F790" s="488" t="str">
        <f t="shared" si="144"/>
        <v/>
      </c>
      <c r="G790" s="487"/>
      <c r="H790" s="487"/>
      <c r="I790" s="488" t="str">
        <f t="shared" si="145"/>
        <v/>
      </c>
      <c r="J790" s="487"/>
      <c r="K790" s="487"/>
      <c r="L790" s="488" t="str">
        <f t="shared" si="146"/>
        <v/>
      </c>
      <c r="M790" s="487"/>
      <c r="N790" s="487"/>
      <c r="O790" s="488" t="str">
        <f t="shared" si="147"/>
        <v/>
      </c>
      <c r="P790" s="489"/>
      <c r="Q790" s="489"/>
      <c r="R790" s="592" t="str">
        <f t="shared" si="148"/>
        <v/>
      </c>
      <c r="S790" s="487"/>
      <c r="T790" s="487"/>
      <c r="U790" s="488" t="str">
        <f t="shared" si="149"/>
        <v/>
      </c>
      <c r="V790" s="489"/>
      <c r="W790" s="489"/>
      <c r="X790" s="488" t="str">
        <f t="shared" si="150"/>
        <v/>
      </c>
      <c r="Y790" s="489"/>
      <c r="Z790" s="489"/>
      <c r="AA790" s="490" t="str">
        <f t="shared" si="168"/>
        <v/>
      </c>
      <c r="AB790" s="489"/>
      <c r="AC790" s="489"/>
      <c r="AD790" s="27">
        <v>210919</v>
      </c>
      <c r="AE790" s="27" t="s">
        <v>1568</v>
      </c>
      <c r="AF790" s="432">
        <f>VLOOKUP(AD790,[5]Hoja1!$A$10:$K$1393,11,0)</f>
        <v>0</v>
      </c>
      <c r="AG790" s="432"/>
      <c r="AH790" s="432">
        <f t="shared" si="154"/>
        <v>0</v>
      </c>
      <c r="AI790" s="491"/>
      <c r="AJ790" s="445"/>
      <c r="AK790" s="491"/>
      <c r="AL790" s="448"/>
      <c r="AM790" s="467">
        <f>VLOOKUP(AD790,[6]BV201101!$A$10:$A$1236,1,0)</f>
        <v>210919</v>
      </c>
    </row>
    <row r="791" spans="1:39" s="467" customFormat="1" ht="12.75" customHeight="1">
      <c r="A791" s="487" t="str">
        <f t="shared" si="157"/>
        <v>2</v>
      </c>
      <c r="B791" s="487" t="str">
        <f t="shared" si="151"/>
        <v>10</v>
      </c>
      <c r="C791" s="487" t="str">
        <f t="shared" si="152"/>
        <v>92</v>
      </c>
      <c r="D791" s="487" t="str">
        <f t="shared" si="153"/>
        <v>0920</v>
      </c>
      <c r="E791" s="487">
        <v>524200000</v>
      </c>
      <c r="F791" s="488" t="str">
        <f t="shared" si="144"/>
        <v/>
      </c>
      <c r="G791" s="487"/>
      <c r="H791" s="487"/>
      <c r="I791" s="488" t="str">
        <f t="shared" si="145"/>
        <v/>
      </c>
      <c r="J791" s="487"/>
      <c r="K791" s="487"/>
      <c r="L791" s="488" t="str">
        <f t="shared" si="146"/>
        <v/>
      </c>
      <c r="M791" s="487"/>
      <c r="N791" s="487"/>
      <c r="O791" s="488" t="str">
        <f t="shared" si="147"/>
        <v/>
      </c>
      <c r="P791" s="489"/>
      <c r="Q791" s="489"/>
      <c r="R791" s="592" t="str">
        <f t="shared" si="148"/>
        <v/>
      </c>
      <c r="S791" s="487"/>
      <c r="T791" s="487"/>
      <c r="U791" s="488" t="str">
        <f t="shared" si="149"/>
        <v/>
      </c>
      <c r="V791" s="489"/>
      <c r="W791" s="489"/>
      <c r="X791" s="488" t="str">
        <f t="shared" si="150"/>
        <v/>
      </c>
      <c r="Y791" s="489"/>
      <c r="Z791" s="489"/>
      <c r="AA791" s="490" t="str">
        <f t="shared" si="168"/>
        <v/>
      </c>
      <c r="AB791" s="489"/>
      <c r="AC791" s="489"/>
      <c r="AD791" s="27">
        <v>210920</v>
      </c>
      <c r="AE791" s="27" t="s">
        <v>1569</v>
      </c>
      <c r="AF791" s="432">
        <f>VLOOKUP(AD791,[5]Hoja1!$A$10:$K$1393,11,0)</f>
        <v>-4730454</v>
      </c>
      <c r="AG791" s="432"/>
      <c r="AH791" s="432">
        <f t="shared" ref="AH791:AH854" si="169">ROUND((AF791+AG791)/$AH$2,0)</f>
        <v>-4730</v>
      </c>
      <c r="AI791" s="445"/>
      <c r="AK791" s="491"/>
      <c r="AL791" s="448"/>
      <c r="AM791" s="467">
        <f>VLOOKUP(AD791,[6]BV201101!$A$10:$A$1236,1,0)</f>
        <v>210920</v>
      </c>
    </row>
    <row r="792" spans="1:39" s="467" customFormat="1" ht="12.75" customHeight="1">
      <c r="A792" s="487" t="str">
        <f t="shared" si="157"/>
        <v>2</v>
      </c>
      <c r="B792" s="487" t="str">
        <f t="shared" si="151"/>
        <v>10</v>
      </c>
      <c r="C792" s="487" t="str">
        <f t="shared" si="152"/>
        <v>92</v>
      </c>
      <c r="D792" s="487" t="str">
        <f t="shared" si="153"/>
        <v>0921</v>
      </c>
      <c r="E792" s="487">
        <v>524200000</v>
      </c>
      <c r="F792" s="488" t="str">
        <f t="shared" si="144"/>
        <v/>
      </c>
      <c r="G792" s="487"/>
      <c r="H792" s="487"/>
      <c r="I792" s="488" t="str">
        <f t="shared" si="145"/>
        <v/>
      </c>
      <c r="J792" s="487"/>
      <c r="K792" s="487"/>
      <c r="L792" s="488" t="str">
        <f t="shared" si="146"/>
        <v/>
      </c>
      <c r="M792" s="487"/>
      <c r="N792" s="487"/>
      <c r="O792" s="488" t="str">
        <f t="shared" si="147"/>
        <v/>
      </c>
      <c r="P792" s="489"/>
      <c r="Q792" s="489"/>
      <c r="R792" s="592" t="str">
        <f t="shared" si="148"/>
        <v/>
      </c>
      <c r="S792" s="487"/>
      <c r="T792" s="487"/>
      <c r="U792" s="488" t="str">
        <f t="shared" si="149"/>
        <v/>
      </c>
      <c r="V792" s="489"/>
      <c r="W792" s="489"/>
      <c r="X792" s="488" t="str">
        <f t="shared" si="150"/>
        <v/>
      </c>
      <c r="Y792" s="489"/>
      <c r="Z792" s="489"/>
      <c r="AA792" s="490" t="str">
        <f t="shared" si="168"/>
        <v/>
      </c>
      <c r="AB792" s="489"/>
      <c r="AC792" s="489"/>
      <c r="AD792" s="27">
        <v>210921</v>
      </c>
      <c r="AE792" s="27" t="s">
        <v>1570</v>
      </c>
      <c r="AF792" s="432">
        <f>VLOOKUP(AD792,[5]Hoja1!$A$10:$K$1393,11,0)</f>
        <v>0</v>
      </c>
      <c r="AG792" s="432"/>
      <c r="AH792" s="432">
        <f t="shared" si="169"/>
        <v>0</v>
      </c>
      <c r="AI792" s="445"/>
      <c r="AK792" s="491"/>
      <c r="AL792" s="448"/>
      <c r="AM792" s="467">
        <f>VLOOKUP(AD792,[6]BV201101!$A$10:$A$1236,1,0)</f>
        <v>210921</v>
      </c>
    </row>
    <row r="793" spans="1:39" s="467" customFormat="1" ht="12.75" customHeight="1">
      <c r="A793" s="487" t="str">
        <f t="shared" si="157"/>
        <v>2</v>
      </c>
      <c r="B793" s="487" t="str">
        <f t="shared" si="151"/>
        <v>10</v>
      </c>
      <c r="C793" s="487" t="str">
        <f t="shared" si="152"/>
        <v>92</v>
      </c>
      <c r="D793" s="487" t="str">
        <f t="shared" si="153"/>
        <v>0922</v>
      </c>
      <c r="E793" s="487">
        <v>524200000</v>
      </c>
      <c r="F793" s="488" t="str">
        <f t="shared" si="144"/>
        <v/>
      </c>
      <c r="G793" s="487"/>
      <c r="H793" s="487"/>
      <c r="I793" s="488" t="str">
        <f t="shared" si="145"/>
        <v/>
      </c>
      <c r="J793" s="487"/>
      <c r="K793" s="487"/>
      <c r="L793" s="488" t="str">
        <f t="shared" si="146"/>
        <v/>
      </c>
      <c r="M793" s="489"/>
      <c r="N793" s="489"/>
      <c r="O793" s="488" t="str">
        <f t="shared" si="147"/>
        <v/>
      </c>
      <c r="P793" s="489"/>
      <c r="Q793" s="489"/>
      <c r="R793" s="592" t="str">
        <f t="shared" si="148"/>
        <v/>
      </c>
      <c r="S793" s="487"/>
      <c r="T793" s="487"/>
      <c r="U793" s="488" t="str">
        <f t="shared" si="149"/>
        <v/>
      </c>
      <c r="V793" s="489"/>
      <c r="W793" s="489"/>
      <c r="X793" s="488" t="str">
        <f t="shared" si="150"/>
        <v/>
      </c>
      <c r="Y793" s="489"/>
      <c r="Z793" s="489"/>
      <c r="AA793" s="490" t="str">
        <f t="shared" si="168"/>
        <v/>
      </c>
      <c r="AB793" s="489"/>
      <c r="AC793" s="489"/>
      <c r="AD793" s="27">
        <v>210922</v>
      </c>
      <c r="AE793" s="27" t="s">
        <v>1571</v>
      </c>
      <c r="AF793" s="432">
        <f>VLOOKUP(AD793,[5]Hoja1!$A$10:$K$1393,11,0)</f>
        <v>0</v>
      </c>
      <c r="AG793" s="432"/>
      <c r="AH793" s="432">
        <f t="shared" si="169"/>
        <v>0</v>
      </c>
      <c r="AL793" s="448"/>
      <c r="AM793" s="467">
        <f>VLOOKUP(AD793,[6]BV201101!$A$10:$A$1236,1,0)</f>
        <v>210922</v>
      </c>
    </row>
    <row r="794" spans="1:39" s="467" customFormat="1" ht="12.75" customHeight="1">
      <c r="A794" s="487" t="str">
        <f t="shared" si="157"/>
        <v>2</v>
      </c>
      <c r="B794" s="487" t="str">
        <f t="shared" si="151"/>
        <v>10</v>
      </c>
      <c r="C794" s="487" t="str">
        <f t="shared" si="152"/>
        <v>92</v>
      </c>
      <c r="D794" s="487" t="str">
        <f t="shared" si="153"/>
        <v>0923</v>
      </c>
      <c r="E794" s="487">
        <v>524200000</v>
      </c>
      <c r="F794" s="488" t="str">
        <f t="shared" si="144"/>
        <v/>
      </c>
      <c r="G794" s="487"/>
      <c r="H794" s="487"/>
      <c r="I794" s="488" t="str">
        <f t="shared" si="145"/>
        <v/>
      </c>
      <c r="J794" s="487"/>
      <c r="K794" s="487"/>
      <c r="L794" s="488" t="str">
        <f t="shared" si="146"/>
        <v/>
      </c>
      <c r="M794" s="487"/>
      <c r="N794" s="487"/>
      <c r="O794" s="488" t="str">
        <f t="shared" si="147"/>
        <v/>
      </c>
      <c r="P794" s="489"/>
      <c r="Q794" s="489"/>
      <c r="R794" s="592" t="str">
        <f t="shared" si="148"/>
        <v/>
      </c>
      <c r="S794" s="487"/>
      <c r="T794" s="487"/>
      <c r="U794" s="488" t="str">
        <f t="shared" si="149"/>
        <v/>
      </c>
      <c r="V794" s="489"/>
      <c r="W794" s="489"/>
      <c r="X794" s="488" t="str">
        <f t="shared" si="150"/>
        <v/>
      </c>
      <c r="Y794" s="489"/>
      <c r="Z794" s="489"/>
      <c r="AA794" s="490" t="str">
        <f t="shared" si="168"/>
        <v/>
      </c>
      <c r="AB794" s="489"/>
      <c r="AC794" s="489"/>
      <c r="AD794" s="27">
        <v>210923</v>
      </c>
      <c r="AE794" s="27" t="s">
        <v>798</v>
      </c>
      <c r="AF794" s="432">
        <f>VLOOKUP(AD794,[5]Hoja1!$A$10:$K$1393,11,0)</f>
        <v>0</v>
      </c>
      <c r="AG794" s="432"/>
      <c r="AH794" s="432">
        <f t="shared" si="169"/>
        <v>0</v>
      </c>
      <c r="AL794" s="448"/>
      <c r="AM794" s="467">
        <f>VLOOKUP(AD794,[6]BV201101!$A$10:$A$1236,1,0)</f>
        <v>210923</v>
      </c>
    </row>
    <row r="795" spans="1:39" s="467" customFormat="1" ht="12.75" customHeight="1">
      <c r="A795" s="487" t="str">
        <f t="shared" si="157"/>
        <v>2</v>
      </c>
      <c r="B795" s="487" t="str">
        <f t="shared" si="151"/>
        <v>10</v>
      </c>
      <c r="C795" s="487" t="str">
        <f t="shared" si="152"/>
        <v>92</v>
      </c>
      <c r="D795" s="487" t="str">
        <f t="shared" si="153"/>
        <v>0924</v>
      </c>
      <c r="E795" s="487">
        <v>524200000</v>
      </c>
      <c r="F795" s="488" t="str">
        <f t="shared" si="144"/>
        <v/>
      </c>
      <c r="G795" s="487"/>
      <c r="H795" s="487"/>
      <c r="I795" s="488" t="str">
        <f t="shared" si="145"/>
        <v/>
      </c>
      <c r="J795" s="487"/>
      <c r="K795" s="487"/>
      <c r="L795" s="488" t="str">
        <f t="shared" si="146"/>
        <v/>
      </c>
      <c r="M795" s="489"/>
      <c r="N795" s="489"/>
      <c r="O795" s="488" t="str">
        <f t="shared" si="147"/>
        <v/>
      </c>
      <c r="P795" s="489"/>
      <c r="Q795" s="489"/>
      <c r="R795" s="592" t="str">
        <f t="shared" si="148"/>
        <v/>
      </c>
      <c r="S795" s="487"/>
      <c r="T795" s="487"/>
      <c r="U795" s="488" t="str">
        <f t="shared" si="149"/>
        <v/>
      </c>
      <c r="V795" s="489"/>
      <c r="W795" s="489"/>
      <c r="X795" s="488" t="str">
        <f t="shared" si="150"/>
        <v/>
      </c>
      <c r="Y795" s="489"/>
      <c r="Z795" s="489"/>
      <c r="AA795" s="490" t="str">
        <f t="shared" si="168"/>
        <v/>
      </c>
      <c r="AB795" s="489"/>
      <c r="AC795" s="489"/>
      <c r="AD795" s="27">
        <v>210924</v>
      </c>
      <c r="AE795" s="27" t="s">
        <v>799</v>
      </c>
      <c r="AF795" s="432">
        <f>VLOOKUP(AD795,[5]Hoja1!$A$10:$K$1393,11,0)</f>
        <v>0</v>
      </c>
      <c r="AG795" s="432"/>
      <c r="AH795" s="432">
        <f t="shared" si="169"/>
        <v>0</v>
      </c>
      <c r="AL795" s="448"/>
      <c r="AM795" s="467">
        <f>VLOOKUP(AD795,[6]BV201101!$A$10:$A$1236,1,0)</f>
        <v>210924</v>
      </c>
    </row>
    <row r="796" spans="1:39" s="467" customFormat="1" ht="12.75" customHeight="1">
      <c r="A796" s="487" t="str">
        <f t="shared" si="157"/>
        <v>2</v>
      </c>
      <c r="B796" s="487" t="str">
        <f t="shared" si="151"/>
        <v>10</v>
      </c>
      <c r="C796" s="487" t="str">
        <f t="shared" si="152"/>
        <v>92</v>
      </c>
      <c r="D796" s="487" t="str">
        <f t="shared" si="153"/>
        <v>0925</v>
      </c>
      <c r="E796" s="487">
        <v>524200000</v>
      </c>
      <c r="F796" s="488" t="str">
        <f>+G796&amp;H796</f>
        <v/>
      </c>
      <c r="G796" s="487"/>
      <c r="H796" s="487"/>
      <c r="I796" s="488" t="str">
        <f>+J796&amp;K796</f>
        <v/>
      </c>
      <c r="J796" s="487"/>
      <c r="K796" s="487"/>
      <c r="L796" s="488" t="str">
        <f>+M796&amp;N796</f>
        <v/>
      </c>
      <c r="M796" s="489"/>
      <c r="N796" s="489"/>
      <c r="O796" s="488" t="str">
        <f>+P796&amp;Q796</f>
        <v/>
      </c>
      <c r="P796" s="489"/>
      <c r="Q796" s="489"/>
      <c r="R796" s="592" t="str">
        <f>+S796&amp;T796</f>
        <v/>
      </c>
      <c r="S796" s="487"/>
      <c r="T796" s="487"/>
      <c r="U796" s="488" t="str">
        <f>+V796&amp;W796</f>
        <v/>
      </c>
      <c r="V796" s="489"/>
      <c r="W796" s="489"/>
      <c r="X796" s="488" t="str">
        <f>+Y796&amp;Z796</f>
        <v/>
      </c>
      <c r="Y796" s="489"/>
      <c r="Z796" s="489"/>
      <c r="AA796" s="490" t="str">
        <f t="shared" si="168"/>
        <v/>
      </c>
      <c r="AB796" s="489"/>
      <c r="AC796" s="489"/>
      <c r="AD796" s="27">
        <v>210925</v>
      </c>
      <c r="AE796" s="27" t="s">
        <v>1268</v>
      </c>
      <c r="AF796" s="432">
        <f>VLOOKUP(AD796,[5]Hoja1!$A$10:$K$1393,11,0)</f>
        <v>0</v>
      </c>
      <c r="AG796" s="432"/>
      <c r="AH796" s="432">
        <f t="shared" si="169"/>
        <v>0</v>
      </c>
      <c r="AL796" s="448"/>
      <c r="AM796" s="467">
        <f>VLOOKUP(AD796,[6]BV201101!$A$10:$A$1236,1,0)</f>
        <v>210925</v>
      </c>
    </row>
    <row r="797" spans="1:39" s="467" customFormat="1" ht="12.75" customHeight="1">
      <c r="A797" s="487" t="str">
        <f t="shared" si="157"/>
        <v>2</v>
      </c>
      <c r="B797" s="487" t="str">
        <f t="shared" ref="B797:B967" si="170">RIGHT(LEFT($AD797,3),2)</f>
        <v>10</v>
      </c>
      <c r="C797" s="487" t="str">
        <f t="shared" ref="C797:C967" si="171">RIGHT(LEFT($AD797,5),2)</f>
        <v>92</v>
      </c>
      <c r="D797" s="487" t="str">
        <f t="shared" ref="D797:D967" si="172">RIGHT(LEFT($AD797,9),4)</f>
        <v>0926</v>
      </c>
      <c r="E797" s="487">
        <v>524200000</v>
      </c>
      <c r="F797" s="488" t="str">
        <f>+G797&amp;H797</f>
        <v/>
      </c>
      <c r="G797" s="487"/>
      <c r="H797" s="487"/>
      <c r="I797" s="488" t="str">
        <f>+J797&amp;K797</f>
        <v/>
      </c>
      <c r="J797" s="487"/>
      <c r="K797" s="487"/>
      <c r="L797" s="488" t="str">
        <f>+M797&amp;N797</f>
        <v/>
      </c>
      <c r="M797" s="487"/>
      <c r="N797" s="487"/>
      <c r="O797" s="488" t="str">
        <f>+P797&amp;Q797</f>
        <v/>
      </c>
      <c r="P797" s="489"/>
      <c r="Q797" s="489"/>
      <c r="R797" s="592" t="str">
        <f>+S797&amp;T797</f>
        <v/>
      </c>
      <c r="S797" s="487"/>
      <c r="T797" s="487"/>
      <c r="U797" s="488" t="str">
        <f>+V797&amp;W797</f>
        <v/>
      </c>
      <c r="V797" s="489"/>
      <c r="W797" s="489"/>
      <c r="X797" s="488" t="str">
        <f>+Y797&amp;Z797</f>
        <v/>
      </c>
      <c r="Y797" s="489"/>
      <c r="Z797" s="489"/>
      <c r="AA797" s="490" t="str">
        <f t="shared" si="168"/>
        <v/>
      </c>
      <c r="AB797" s="489"/>
      <c r="AC797" s="489"/>
      <c r="AD797" s="27">
        <v>210926</v>
      </c>
      <c r="AE797" s="27" t="s">
        <v>1269</v>
      </c>
      <c r="AF797" s="432">
        <f>VLOOKUP(AD797,[5]Hoja1!$A$10:$K$1393,11,0)</f>
        <v>0</v>
      </c>
      <c r="AG797" s="432"/>
      <c r="AH797" s="432">
        <f t="shared" si="169"/>
        <v>0</v>
      </c>
      <c r="AL797" s="448"/>
      <c r="AM797" s="467">
        <f>VLOOKUP(AD797,[6]BV201101!$A$10:$A$1236,1,0)</f>
        <v>210926</v>
      </c>
    </row>
    <row r="798" spans="1:39" s="467" customFormat="1" ht="12.75" customHeight="1">
      <c r="A798" s="487" t="str">
        <f t="shared" si="157"/>
        <v>2</v>
      </c>
      <c r="B798" s="487" t="str">
        <f t="shared" si="170"/>
        <v>10</v>
      </c>
      <c r="C798" s="487" t="str">
        <f t="shared" si="171"/>
        <v>92</v>
      </c>
      <c r="D798" s="487" t="str">
        <f t="shared" si="172"/>
        <v>0927</v>
      </c>
      <c r="E798" s="487">
        <v>524200000</v>
      </c>
      <c r="F798" s="488" t="str">
        <f>+G798&amp;H798</f>
        <v/>
      </c>
      <c r="G798" s="487"/>
      <c r="H798" s="487"/>
      <c r="I798" s="488" t="str">
        <f>+J798&amp;K798</f>
        <v/>
      </c>
      <c r="J798" s="487"/>
      <c r="K798" s="487"/>
      <c r="L798" s="488" t="str">
        <f>+M798&amp;N798</f>
        <v/>
      </c>
      <c r="M798" s="487"/>
      <c r="N798" s="487"/>
      <c r="O798" s="488" t="str">
        <f>+P798&amp;Q798</f>
        <v/>
      </c>
      <c r="P798" s="489"/>
      <c r="Q798" s="489"/>
      <c r="R798" s="592" t="str">
        <f>+S798&amp;T798</f>
        <v/>
      </c>
      <c r="S798" s="487"/>
      <c r="T798" s="487"/>
      <c r="U798" s="488" t="str">
        <f>+V798&amp;W798</f>
        <v/>
      </c>
      <c r="V798" s="489"/>
      <c r="W798" s="489"/>
      <c r="X798" s="488" t="str">
        <f>+Y798&amp;Z798</f>
        <v/>
      </c>
      <c r="Y798" s="489"/>
      <c r="Z798" s="489"/>
      <c r="AA798" s="490" t="str">
        <f t="shared" si="168"/>
        <v/>
      </c>
      <c r="AB798" s="489"/>
      <c r="AC798" s="489"/>
      <c r="AD798" s="27">
        <v>210927</v>
      </c>
      <c r="AE798" s="27" t="s">
        <v>1270</v>
      </c>
      <c r="AF798" s="432">
        <v>0</v>
      </c>
      <c r="AG798" s="432"/>
      <c r="AH798" s="432">
        <f t="shared" si="169"/>
        <v>0</v>
      </c>
      <c r="AI798" s="491"/>
      <c r="AJ798" s="491"/>
      <c r="AL798" s="448"/>
      <c r="AM798" s="467" t="e">
        <f>VLOOKUP(AD798,[6]BV201101!$A$10:$A$1236,1,0)</f>
        <v>#N/A</v>
      </c>
    </row>
    <row r="799" spans="1:39" s="467" customFormat="1" ht="12.75" customHeight="1">
      <c r="A799" s="487" t="str">
        <f t="shared" si="157"/>
        <v>2</v>
      </c>
      <c r="B799" s="487" t="str">
        <f t="shared" si="170"/>
        <v>10</v>
      </c>
      <c r="C799" s="487" t="str">
        <f t="shared" si="171"/>
        <v>92</v>
      </c>
      <c r="D799" s="487" t="str">
        <f t="shared" si="172"/>
        <v>0928</v>
      </c>
      <c r="E799" s="487">
        <v>524200000</v>
      </c>
      <c r="F799" s="488"/>
      <c r="G799" s="487"/>
      <c r="H799" s="487"/>
      <c r="I799" s="488"/>
      <c r="J799" s="487"/>
      <c r="K799" s="487"/>
      <c r="L799" s="488"/>
      <c r="M799" s="487"/>
      <c r="N799" s="487"/>
      <c r="O799" s="488"/>
      <c r="P799" s="489"/>
      <c r="Q799" s="489"/>
      <c r="R799" s="592"/>
      <c r="S799" s="487"/>
      <c r="T799" s="487"/>
      <c r="U799" s="488"/>
      <c r="V799" s="489"/>
      <c r="W799" s="489"/>
      <c r="X799" s="488"/>
      <c r="Y799" s="489"/>
      <c r="Z799" s="489"/>
      <c r="AA799" s="490"/>
      <c r="AB799" s="489"/>
      <c r="AC799" s="489"/>
      <c r="AD799" s="27">
        <v>210928</v>
      </c>
      <c r="AE799" s="27" t="s">
        <v>2187</v>
      </c>
      <c r="AF799" s="432">
        <v>0</v>
      </c>
      <c r="AG799" s="432"/>
      <c r="AH799" s="432">
        <f t="shared" si="169"/>
        <v>0</v>
      </c>
      <c r="AI799" s="491"/>
      <c r="AJ799" s="491"/>
      <c r="AL799" s="448"/>
      <c r="AM799" s="467" t="e">
        <f>VLOOKUP(AD799,[6]BV201101!$A$10:$A$1236,1,0)</f>
        <v>#N/A</v>
      </c>
    </row>
    <row r="800" spans="1:39" s="467" customFormat="1" ht="12.75" customHeight="1">
      <c r="A800" s="487" t="str">
        <f t="shared" si="157"/>
        <v>2</v>
      </c>
      <c r="B800" s="487" t="str">
        <f t="shared" si="170"/>
        <v>11</v>
      </c>
      <c r="C800" s="487" t="str">
        <f t="shared" si="171"/>
        <v>00</v>
      </c>
      <c r="D800" s="487" t="str">
        <f t="shared" si="172"/>
        <v>1001</v>
      </c>
      <c r="E800" s="487">
        <v>524130000</v>
      </c>
      <c r="F800" s="488" t="str">
        <f t="shared" ref="F800:F813" si="173">+G800&amp;H800</f>
        <v/>
      </c>
      <c r="G800" s="487"/>
      <c r="H800" s="487"/>
      <c r="I800" s="488" t="str">
        <f t="shared" ref="I800:I813" si="174">+J800&amp;K800</f>
        <v/>
      </c>
      <c r="J800" s="487"/>
      <c r="K800" s="487"/>
      <c r="L800" s="488" t="str">
        <f t="shared" ref="L800:L813" si="175">+M800&amp;N800</f>
        <v/>
      </c>
      <c r="M800" s="487"/>
      <c r="N800" s="487"/>
      <c r="O800" s="488" t="str">
        <f t="shared" ref="O800:O813" si="176">+P800&amp;Q800</f>
        <v/>
      </c>
      <c r="P800" s="489"/>
      <c r="Q800" s="489"/>
      <c r="R800" s="592" t="str">
        <f t="shared" ref="R800:R813" si="177">+S800&amp;T800</f>
        <v/>
      </c>
      <c r="S800" s="487"/>
      <c r="T800" s="487"/>
      <c r="U800" s="488" t="str">
        <f t="shared" ref="U800:U813" si="178">+V800&amp;W800</f>
        <v/>
      </c>
      <c r="V800" s="489"/>
      <c r="W800" s="489"/>
      <c r="X800" s="488" t="str">
        <f t="shared" ref="X800:X813" si="179">+Y800&amp;Z800</f>
        <v/>
      </c>
      <c r="Y800" s="489"/>
      <c r="Z800" s="489"/>
      <c r="AA800" s="490" t="str">
        <f t="shared" si="168"/>
        <v/>
      </c>
      <c r="AB800" s="489"/>
      <c r="AC800" s="489"/>
      <c r="AD800" s="27">
        <v>211001</v>
      </c>
      <c r="AE800" s="27" t="s">
        <v>1302</v>
      </c>
      <c r="AF800" s="432">
        <f>VLOOKUP(AD800,[5]Hoja1!$A$10:$K$1393,11,0)</f>
        <v>-70096812</v>
      </c>
      <c r="AG800" s="432">
        <v>0</v>
      </c>
      <c r="AH800" s="432">
        <f t="shared" si="169"/>
        <v>-70097</v>
      </c>
      <c r="AI800" s="445">
        <f>+AG800+AG835</f>
        <v>0</v>
      </c>
      <c r="AL800" s="448"/>
      <c r="AM800" s="467">
        <f>VLOOKUP(AD800,[6]BV201101!$A$10:$A$1236,1,0)</f>
        <v>211001</v>
      </c>
    </row>
    <row r="801" spans="1:39" s="467" customFormat="1" ht="12.75" customHeight="1">
      <c r="A801" s="487" t="str">
        <f t="shared" si="157"/>
        <v>2</v>
      </c>
      <c r="B801" s="487" t="str">
        <f t="shared" si="170"/>
        <v>11</v>
      </c>
      <c r="C801" s="487" t="str">
        <f t="shared" si="171"/>
        <v>00</v>
      </c>
      <c r="D801" s="487" t="str">
        <f t="shared" si="172"/>
        <v>1002</v>
      </c>
      <c r="E801" s="487">
        <v>524130000</v>
      </c>
      <c r="F801" s="488" t="str">
        <f t="shared" si="173"/>
        <v/>
      </c>
      <c r="G801" s="487"/>
      <c r="H801" s="487"/>
      <c r="I801" s="488" t="str">
        <f t="shared" si="174"/>
        <v/>
      </c>
      <c r="J801" s="487"/>
      <c r="K801" s="487"/>
      <c r="L801" s="488" t="str">
        <f t="shared" si="175"/>
        <v/>
      </c>
      <c r="M801" s="487"/>
      <c r="N801" s="487"/>
      <c r="O801" s="488" t="str">
        <f t="shared" si="176"/>
        <v/>
      </c>
      <c r="P801" s="489"/>
      <c r="Q801" s="489"/>
      <c r="R801" s="592" t="str">
        <f t="shared" si="177"/>
        <v/>
      </c>
      <c r="S801" s="487"/>
      <c r="T801" s="487"/>
      <c r="U801" s="488" t="str">
        <f t="shared" si="178"/>
        <v/>
      </c>
      <c r="V801" s="489"/>
      <c r="W801" s="489"/>
      <c r="X801" s="488" t="str">
        <f t="shared" si="179"/>
        <v/>
      </c>
      <c r="Y801" s="489"/>
      <c r="Z801" s="489"/>
      <c r="AA801" s="490" t="str">
        <f t="shared" si="168"/>
        <v/>
      </c>
      <c r="AB801" s="489"/>
      <c r="AC801" s="489"/>
      <c r="AD801" s="27">
        <v>211002</v>
      </c>
      <c r="AE801" s="27" t="s">
        <v>2188</v>
      </c>
      <c r="AF801" s="432">
        <f>VLOOKUP(AD801,[5]Hoja1!$A$10:$K$1393,11,0)</f>
        <v>-17697420</v>
      </c>
      <c r="AG801" s="432"/>
      <c r="AH801" s="432">
        <f t="shared" si="169"/>
        <v>-17697</v>
      </c>
      <c r="AL801" s="448"/>
      <c r="AM801" s="467">
        <f>VLOOKUP(AD801,[6]BV201101!$A$10:$A$1236,1,0)</f>
        <v>211002</v>
      </c>
    </row>
    <row r="802" spans="1:39" s="467" customFormat="1" ht="12.75" customHeight="1">
      <c r="A802" s="487" t="str">
        <f t="shared" si="157"/>
        <v>2</v>
      </c>
      <c r="B802" s="487" t="str">
        <f t="shared" si="170"/>
        <v>11</v>
      </c>
      <c r="C802" s="487" t="str">
        <f t="shared" si="171"/>
        <v>00</v>
      </c>
      <c r="D802" s="487" t="str">
        <f t="shared" si="172"/>
        <v>1003</v>
      </c>
      <c r="E802" s="487">
        <v>514120000</v>
      </c>
      <c r="F802" s="488" t="str">
        <f t="shared" si="173"/>
        <v/>
      </c>
      <c r="G802" s="487"/>
      <c r="H802" s="487"/>
      <c r="I802" s="488" t="str">
        <f t="shared" si="174"/>
        <v/>
      </c>
      <c r="J802" s="487"/>
      <c r="K802" s="487"/>
      <c r="L802" s="488" t="str">
        <f t="shared" si="175"/>
        <v/>
      </c>
      <c r="M802" s="487"/>
      <c r="N802" s="487"/>
      <c r="O802" s="488" t="str">
        <f t="shared" si="176"/>
        <v/>
      </c>
      <c r="P802" s="489"/>
      <c r="Q802" s="489"/>
      <c r="R802" s="592" t="str">
        <f t="shared" si="177"/>
        <v/>
      </c>
      <c r="S802" s="487"/>
      <c r="T802" s="487"/>
      <c r="U802" s="488" t="str">
        <f t="shared" si="178"/>
        <v/>
      </c>
      <c r="V802" s="489"/>
      <c r="W802" s="489"/>
      <c r="X802" s="488" t="str">
        <f t="shared" si="179"/>
        <v/>
      </c>
      <c r="Y802" s="489"/>
      <c r="Z802" s="489"/>
      <c r="AA802" s="490" t="str">
        <f t="shared" si="168"/>
        <v/>
      </c>
      <c r="AB802" s="489"/>
      <c r="AC802" s="489"/>
      <c r="AD802" s="27">
        <v>211003</v>
      </c>
      <c r="AE802" s="27" t="s">
        <v>1308</v>
      </c>
      <c r="AF802" s="432">
        <f>VLOOKUP(AD802,[5]Hoja1!$A$10:$K$1393,11,0)</f>
        <v>-234341632</v>
      </c>
      <c r="AG802" s="1507">
        <f>-AF802</f>
        <v>234341632</v>
      </c>
      <c r="AH802" s="432">
        <f t="shared" si="169"/>
        <v>0</v>
      </c>
      <c r="AL802" s="448"/>
      <c r="AM802" s="467">
        <f>VLOOKUP(AD802,[6]BV201101!$A$10:$A$1236,1,0)</f>
        <v>211003</v>
      </c>
    </row>
    <row r="803" spans="1:39" s="467" customFormat="1" ht="12.75" customHeight="1">
      <c r="A803" s="487" t="str">
        <f t="shared" si="157"/>
        <v>2</v>
      </c>
      <c r="B803" s="487" t="str">
        <f t="shared" si="170"/>
        <v>11</v>
      </c>
      <c r="C803" s="487" t="str">
        <f t="shared" si="171"/>
        <v>00</v>
      </c>
      <c r="D803" s="487" t="str">
        <f t="shared" si="172"/>
        <v>1004</v>
      </c>
      <c r="E803" s="487">
        <v>524130000</v>
      </c>
      <c r="F803" s="488" t="str">
        <f t="shared" si="173"/>
        <v/>
      </c>
      <c r="G803" s="487"/>
      <c r="H803" s="487"/>
      <c r="I803" s="488" t="str">
        <f t="shared" si="174"/>
        <v/>
      </c>
      <c r="J803" s="487"/>
      <c r="K803" s="487"/>
      <c r="L803" s="488" t="str">
        <f t="shared" si="175"/>
        <v/>
      </c>
      <c r="M803" s="487"/>
      <c r="N803" s="487"/>
      <c r="O803" s="488" t="str">
        <f t="shared" si="176"/>
        <v/>
      </c>
      <c r="P803" s="489"/>
      <c r="Q803" s="489"/>
      <c r="R803" s="592" t="str">
        <f t="shared" si="177"/>
        <v/>
      </c>
      <c r="S803" s="487"/>
      <c r="T803" s="487"/>
      <c r="U803" s="488" t="str">
        <f t="shared" si="178"/>
        <v/>
      </c>
      <c r="V803" s="489"/>
      <c r="W803" s="489"/>
      <c r="X803" s="488" t="str">
        <f t="shared" si="179"/>
        <v/>
      </c>
      <c r="Y803" s="489"/>
      <c r="Z803" s="489"/>
      <c r="AA803" s="490" t="str">
        <f t="shared" si="168"/>
        <v/>
      </c>
      <c r="AB803" s="489"/>
      <c r="AC803" s="489"/>
      <c r="AD803" s="27">
        <v>211004</v>
      </c>
      <c r="AE803" s="27" t="s">
        <v>29</v>
      </c>
      <c r="AF803" s="432">
        <f>VLOOKUP(AD803,[5]Hoja1!$A$10:$K$1393,11,0)</f>
        <v>-17068661</v>
      </c>
      <c r="AG803" s="432"/>
      <c r="AH803" s="432">
        <f t="shared" si="169"/>
        <v>-17069</v>
      </c>
      <c r="AL803" s="448"/>
      <c r="AM803" s="467">
        <f>VLOOKUP(AD803,[6]BV201101!$A$10:$A$1236,1,0)</f>
        <v>211004</v>
      </c>
    </row>
    <row r="804" spans="1:39" s="467" customFormat="1" ht="12.75" customHeight="1">
      <c r="A804" s="487" t="str">
        <f t="shared" si="157"/>
        <v>2</v>
      </c>
      <c r="B804" s="487" t="str">
        <f t="shared" si="170"/>
        <v>11</v>
      </c>
      <c r="C804" s="487" t="str">
        <f t="shared" si="171"/>
        <v>00</v>
      </c>
      <c r="D804" s="487" t="str">
        <f t="shared" si="172"/>
        <v>1005</v>
      </c>
      <c r="E804" s="487">
        <v>524110000</v>
      </c>
      <c r="F804" s="488" t="str">
        <f t="shared" si="173"/>
        <v/>
      </c>
      <c r="G804" s="487"/>
      <c r="H804" s="487"/>
      <c r="I804" s="488" t="str">
        <f t="shared" si="174"/>
        <v/>
      </c>
      <c r="J804" s="487"/>
      <c r="K804" s="487"/>
      <c r="L804" s="488" t="str">
        <f t="shared" si="175"/>
        <v/>
      </c>
      <c r="M804" s="487"/>
      <c r="N804" s="487"/>
      <c r="O804" s="488" t="str">
        <f t="shared" si="176"/>
        <v/>
      </c>
      <c r="P804" s="489"/>
      <c r="Q804" s="489"/>
      <c r="R804" s="592" t="str">
        <f t="shared" si="177"/>
        <v/>
      </c>
      <c r="S804" s="487"/>
      <c r="T804" s="487"/>
      <c r="U804" s="488" t="str">
        <f t="shared" si="178"/>
        <v/>
      </c>
      <c r="V804" s="489"/>
      <c r="W804" s="489"/>
      <c r="X804" s="488" t="str">
        <f t="shared" si="179"/>
        <v/>
      </c>
      <c r="Y804" s="489"/>
      <c r="Z804" s="489"/>
      <c r="AA804" s="490" t="str">
        <f t="shared" si="168"/>
        <v/>
      </c>
      <c r="AB804" s="489"/>
      <c r="AC804" s="489"/>
      <c r="AD804" s="27">
        <v>211005</v>
      </c>
      <c r="AE804" s="27" t="s">
        <v>32</v>
      </c>
      <c r="AF804" s="432">
        <f>VLOOKUP(AD804,[5]Hoja1!$A$10:$K$1393,11,0)</f>
        <v>-637095357</v>
      </c>
      <c r="AG804" s="1508">
        <f>-AG444</f>
        <v>443777025</v>
      </c>
      <c r="AH804" s="432">
        <f t="shared" si="169"/>
        <v>-193318</v>
      </c>
      <c r="AL804" s="448"/>
      <c r="AM804" s="467">
        <f>VLOOKUP(AD804,[6]BV201101!$A$10:$A$1236,1,0)</f>
        <v>211005</v>
      </c>
    </row>
    <row r="805" spans="1:39" s="467" customFormat="1" ht="12.75" customHeight="1">
      <c r="A805" s="487" t="str">
        <f t="shared" si="157"/>
        <v>2</v>
      </c>
      <c r="B805" s="487" t="str">
        <f t="shared" si="170"/>
        <v>11</v>
      </c>
      <c r="C805" s="487" t="str">
        <f t="shared" si="171"/>
        <v>00</v>
      </c>
      <c r="D805" s="487" t="str">
        <f t="shared" si="172"/>
        <v>1006</v>
      </c>
      <c r="E805" s="487">
        <v>524120000</v>
      </c>
      <c r="F805" s="488" t="str">
        <f t="shared" si="173"/>
        <v/>
      </c>
      <c r="G805" s="487"/>
      <c r="H805" s="487"/>
      <c r="I805" s="488" t="str">
        <f t="shared" si="174"/>
        <v/>
      </c>
      <c r="J805" s="487"/>
      <c r="K805" s="487"/>
      <c r="L805" s="488" t="str">
        <f t="shared" si="175"/>
        <v/>
      </c>
      <c r="M805" s="487"/>
      <c r="N805" s="487"/>
      <c r="O805" s="488" t="str">
        <f t="shared" si="176"/>
        <v/>
      </c>
      <c r="P805" s="489"/>
      <c r="Q805" s="489"/>
      <c r="R805" s="592" t="str">
        <f t="shared" si="177"/>
        <v/>
      </c>
      <c r="S805" s="487"/>
      <c r="T805" s="487"/>
      <c r="U805" s="488" t="str">
        <f t="shared" si="178"/>
        <v/>
      </c>
      <c r="V805" s="489"/>
      <c r="W805" s="489"/>
      <c r="X805" s="488" t="str">
        <f t="shared" si="179"/>
        <v/>
      </c>
      <c r="Y805" s="489"/>
      <c r="Z805" s="489"/>
      <c r="AA805" s="490" t="str">
        <f t="shared" si="168"/>
        <v/>
      </c>
      <c r="AB805" s="489"/>
      <c r="AC805" s="489"/>
      <c r="AD805" s="27">
        <v>211006</v>
      </c>
      <c r="AE805" s="27" t="s">
        <v>2189</v>
      </c>
      <c r="AF805" s="432">
        <f>VLOOKUP(AD805,[5]Hoja1!$A$10:$K$1393,11,0)</f>
        <v>-1376735420</v>
      </c>
      <c r="AG805" s="432">
        <v>0</v>
      </c>
      <c r="AH805" s="432">
        <f t="shared" si="169"/>
        <v>-1376735</v>
      </c>
      <c r="AL805" s="448"/>
      <c r="AM805" s="467">
        <f>VLOOKUP(AD805,[6]BV201101!$A$10:$A$1236,1,0)</f>
        <v>211006</v>
      </c>
    </row>
    <row r="806" spans="1:39" s="467" customFormat="1" ht="12.75" customHeight="1">
      <c r="A806" s="487" t="str">
        <f t="shared" si="157"/>
        <v>2</v>
      </c>
      <c r="B806" s="487" t="str">
        <f t="shared" si="170"/>
        <v>11</v>
      </c>
      <c r="C806" s="487" t="str">
        <f t="shared" si="171"/>
        <v>00</v>
      </c>
      <c r="D806" s="487" t="str">
        <f t="shared" si="172"/>
        <v>1007</v>
      </c>
      <c r="E806" s="487">
        <v>524120000</v>
      </c>
      <c r="F806" s="488" t="str">
        <f t="shared" si="173"/>
        <v/>
      </c>
      <c r="G806" s="487"/>
      <c r="H806" s="487"/>
      <c r="I806" s="488" t="str">
        <f t="shared" si="174"/>
        <v/>
      </c>
      <c r="J806" s="487"/>
      <c r="K806" s="487"/>
      <c r="L806" s="488" t="str">
        <f t="shared" si="175"/>
        <v/>
      </c>
      <c r="M806" s="487"/>
      <c r="N806" s="487"/>
      <c r="O806" s="488" t="str">
        <f t="shared" si="176"/>
        <v/>
      </c>
      <c r="P806" s="489"/>
      <c r="Q806" s="489"/>
      <c r="R806" s="592" t="str">
        <f t="shared" si="177"/>
        <v/>
      </c>
      <c r="S806" s="487"/>
      <c r="T806" s="487"/>
      <c r="U806" s="488" t="str">
        <f t="shared" si="178"/>
        <v/>
      </c>
      <c r="V806" s="489"/>
      <c r="W806" s="489"/>
      <c r="X806" s="488" t="str">
        <f t="shared" si="179"/>
        <v/>
      </c>
      <c r="Y806" s="489"/>
      <c r="Z806" s="489"/>
      <c r="AA806" s="490" t="str">
        <f t="shared" si="168"/>
        <v/>
      </c>
      <c r="AB806" s="489"/>
      <c r="AC806" s="489"/>
      <c r="AD806" s="27">
        <v>211007</v>
      </c>
      <c r="AE806" s="27" t="s">
        <v>31</v>
      </c>
      <c r="AF806" s="432">
        <f>VLOOKUP(AD806,[5]Hoja1!$A$10:$K$1393,11,0)</f>
        <v>-157696138</v>
      </c>
      <c r="AG806" s="432">
        <v>0</v>
      </c>
      <c r="AH806" s="432">
        <f t="shared" si="169"/>
        <v>-157696</v>
      </c>
      <c r="AL806" s="448"/>
      <c r="AM806" s="467">
        <f>VLOOKUP(AD806,[6]BV201101!$A$10:$A$1236,1,0)</f>
        <v>211007</v>
      </c>
    </row>
    <row r="807" spans="1:39" s="467" customFormat="1" ht="12.75" customHeight="1">
      <c r="A807" s="487" t="str">
        <f t="shared" si="157"/>
        <v>2</v>
      </c>
      <c r="B807" s="487" t="str">
        <f t="shared" si="170"/>
        <v>11</v>
      </c>
      <c r="C807" s="487" t="str">
        <f t="shared" si="171"/>
        <v>00</v>
      </c>
      <c r="D807" s="487" t="str">
        <f t="shared" si="172"/>
        <v>1008</v>
      </c>
      <c r="E807" s="487">
        <v>524140000</v>
      </c>
      <c r="F807" s="488" t="str">
        <f t="shared" si="173"/>
        <v/>
      </c>
      <c r="G807" s="487"/>
      <c r="H807" s="487"/>
      <c r="I807" s="488" t="str">
        <f t="shared" si="174"/>
        <v/>
      </c>
      <c r="J807" s="487"/>
      <c r="K807" s="487"/>
      <c r="L807" s="488" t="str">
        <f t="shared" si="175"/>
        <v/>
      </c>
      <c r="M807" s="487"/>
      <c r="N807" s="487"/>
      <c r="O807" s="488" t="str">
        <f t="shared" si="176"/>
        <v/>
      </c>
      <c r="P807" s="489"/>
      <c r="Q807" s="489"/>
      <c r="R807" s="592" t="str">
        <f t="shared" si="177"/>
        <v/>
      </c>
      <c r="S807" s="487"/>
      <c r="T807" s="487"/>
      <c r="U807" s="488" t="str">
        <f t="shared" si="178"/>
        <v/>
      </c>
      <c r="V807" s="489"/>
      <c r="W807" s="489"/>
      <c r="X807" s="488" t="str">
        <f t="shared" si="179"/>
        <v/>
      </c>
      <c r="Y807" s="489"/>
      <c r="Z807" s="489"/>
      <c r="AA807" s="490" t="str">
        <f t="shared" si="168"/>
        <v/>
      </c>
      <c r="AB807" s="489"/>
      <c r="AC807" s="489"/>
      <c r="AD807" s="27">
        <v>211008</v>
      </c>
      <c r="AE807" s="27" t="s">
        <v>33</v>
      </c>
      <c r="AF807" s="432">
        <f>VLOOKUP(AD807,[5]Hoja1!$A$10:$K$1393,11,0)</f>
        <v>-1007611</v>
      </c>
      <c r="AG807" s="432"/>
      <c r="AH807" s="432">
        <f t="shared" si="169"/>
        <v>-1008</v>
      </c>
      <c r="AL807" s="448"/>
      <c r="AM807" s="467">
        <f>VLOOKUP(AD807,[6]BV201101!$A$10:$A$1236,1,0)</f>
        <v>211008</v>
      </c>
    </row>
    <row r="808" spans="1:39" s="467" customFormat="1" ht="12.75" customHeight="1">
      <c r="A808" s="487" t="str">
        <f t="shared" si="157"/>
        <v>2</v>
      </c>
      <c r="B808" s="487" t="str">
        <f t="shared" si="170"/>
        <v>11</v>
      </c>
      <c r="C808" s="487" t="str">
        <f t="shared" si="171"/>
        <v>00</v>
      </c>
      <c r="D808" s="487" t="str">
        <f t="shared" si="172"/>
        <v>1009</v>
      </c>
      <c r="E808" s="487">
        <v>524130000</v>
      </c>
      <c r="F808" s="488" t="str">
        <f t="shared" si="173"/>
        <v/>
      </c>
      <c r="G808" s="489"/>
      <c r="H808" s="489"/>
      <c r="I808" s="488" t="str">
        <f t="shared" si="174"/>
        <v/>
      </c>
      <c r="J808" s="487"/>
      <c r="K808" s="487"/>
      <c r="L808" s="488" t="str">
        <f t="shared" si="175"/>
        <v/>
      </c>
      <c r="M808" s="487"/>
      <c r="N808" s="487"/>
      <c r="O808" s="488" t="str">
        <f t="shared" si="176"/>
        <v/>
      </c>
      <c r="P808" s="489"/>
      <c r="Q808" s="489"/>
      <c r="R808" s="592" t="str">
        <f t="shared" si="177"/>
        <v/>
      </c>
      <c r="S808" s="487"/>
      <c r="T808" s="487"/>
      <c r="U808" s="488" t="str">
        <f t="shared" si="178"/>
        <v/>
      </c>
      <c r="V808" s="489"/>
      <c r="W808" s="489"/>
      <c r="X808" s="488" t="str">
        <f t="shared" si="179"/>
        <v/>
      </c>
      <c r="Y808" s="489"/>
      <c r="Z808" s="489"/>
      <c r="AA808" s="490" t="str">
        <f t="shared" si="168"/>
        <v/>
      </c>
      <c r="AB808" s="489"/>
      <c r="AC808" s="489"/>
      <c r="AD808" s="27">
        <v>211009</v>
      </c>
      <c r="AE808" s="27" t="s">
        <v>1565</v>
      </c>
      <c r="AF808" s="432">
        <f>VLOOKUP(AD808,[5]Hoja1!$A$10:$K$1393,11,0)</f>
        <v>-6846724</v>
      </c>
      <c r="AG808" s="432"/>
      <c r="AH808" s="432">
        <f t="shared" si="169"/>
        <v>-6847</v>
      </c>
      <c r="AL808" s="448"/>
      <c r="AM808" s="467">
        <f>VLOOKUP(AD808,[6]BV201101!$A$10:$A$1236,1,0)</f>
        <v>211009</v>
      </c>
    </row>
    <row r="809" spans="1:39" s="467" customFormat="1" ht="12.75" customHeight="1">
      <c r="A809" s="487" t="str">
        <f t="shared" ref="A809:A872" si="180">+LEFT($AD809,1)</f>
        <v>2</v>
      </c>
      <c r="B809" s="487" t="str">
        <f t="shared" si="170"/>
        <v>11</v>
      </c>
      <c r="C809" s="487" t="str">
        <f t="shared" si="171"/>
        <v>01</v>
      </c>
      <c r="D809" s="487" t="str">
        <f t="shared" si="172"/>
        <v>1010</v>
      </c>
      <c r="E809" s="487">
        <v>524130000</v>
      </c>
      <c r="F809" s="488" t="str">
        <f t="shared" si="173"/>
        <v/>
      </c>
      <c r="G809" s="489"/>
      <c r="H809" s="489"/>
      <c r="I809" s="488" t="str">
        <f t="shared" si="174"/>
        <v/>
      </c>
      <c r="J809" s="487"/>
      <c r="K809" s="487"/>
      <c r="L809" s="488" t="str">
        <f t="shared" si="175"/>
        <v/>
      </c>
      <c r="M809" s="487"/>
      <c r="N809" s="487"/>
      <c r="O809" s="488" t="str">
        <f t="shared" si="176"/>
        <v/>
      </c>
      <c r="P809" s="489"/>
      <c r="Q809" s="489"/>
      <c r="R809" s="592" t="str">
        <f t="shared" si="177"/>
        <v/>
      </c>
      <c r="S809" s="487"/>
      <c r="T809" s="487"/>
      <c r="U809" s="488" t="str">
        <f t="shared" si="178"/>
        <v/>
      </c>
      <c r="V809" s="489"/>
      <c r="W809" s="489"/>
      <c r="X809" s="488" t="str">
        <f t="shared" si="179"/>
        <v/>
      </c>
      <c r="Y809" s="489"/>
      <c r="Z809" s="489"/>
      <c r="AA809" s="490" t="str">
        <f t="shared" si="168"/>
        <v/>
      </c>
      <c r="AB809" s="489"/>
      <c r="AC809" s="489"/>
      <c r="AD809" s="27">
        <v>211010</v>
      </c>
      <c r="AE809" s="27" t="s">
        <v>2190</v>
      </c>
      <c r="AF809" s="432">
        <f>VLOOKUP(AD809,[5]Hoja1!$A$10:$K$1393,11,0)</f>
        <v>-2143437</v>
      </c>
      <c r="AG809" s="432">
        <v>0</v>
      </c>
      <c r="AH809" s="432">
        <f t="shared" si="169"/>
        <v>-2143</v>
      </c>
      <c r="AL809" s="448"/>
      <c r="AM809" s="467">
        <f>VLOOKUP(AD809,[6]BV201101!$A$10:$A$1236,1,0)</f>
        <v>211010</v>
      </c>
    </row>
    <row r="810" spans="1:39" s="467" customFormat="1" ht="12.75" customHeight="1">
      <c r="A810" s="487" t="str">
        <f t="shared" si="180"/>
        <v>2</v>
      </c>
      <c r="B810" s="487" t="str">
        <f t="shared" si="170"/>
        <v>11</v>
      </c>
      <c r="C810" s="487" t="str">
        <f t="shared" si="171"/>
        <v>01</v>
      </c>
      <c r="D810" s="487" t="str">
        <f t="shared" si="172"/>
        <v>1011</v>
      </c>
      <c r="E810" s="487">
        <v>524470000</v>
      </c>
      <c r="F810" s="488" t="str">
        <f t="shared" si="173"/>
        <v/>
      </c>
      <c r="G810" s="487"/>
      <c r="H810" s="487"/>
      <c r="I810" s="488" t="str">
        <f t="shared" si="174"/>
        <v/>
      </c>
      <c r="J810" s="487"/>
      <c r="K810" s="487"/>
      <c r="L810" s="488" t="str">
        <f t="shared" si="175"/>
        <v/>
      </c>
      <c r="M810" s="487"/>
      <c r="N810" s="487"/>
      <c r="O810" s="488" t="str">
        <f t="shared" si="176"/>
        <v/>
      </c>
      <c r="P810" s="489"/>
      <c r="Q810" s="489"/>
      <c r="R810" s="592" t="str">
        <f t="shared" si="177"/>
        <v/>
      </c>
      <c r="S810" s="487"/>
      <c r="T810" s="487"/>
      <c r="U810" s="488" t="str">
        <f t="shared" si="178"/>
        <v/>
      </c>
      <c r="V810" s="489"/>
      <c r="W810" s="489"/>
      <c r="X810" s="488" t="str">
        <f t="shared" si="179"/>
        <v/>
      </c>
      <c r="Y810" s="489"/>
      <c r="Z810" s="489"/>
      <c r="AA810" s="490" t="str">
        <f t="shared" si="168"/>
        <v>2223</v>
      </c>
      <c r="AB810" s="489">
        <v>22</v>
      </c>
      <c r="AC810" s="489">
        <v>23</v>
      </c>
      <c r="AD810" s="27">
        <v>211011</v>
      </c>
      <c r="AE810" s="27" t="s">
        <v>1656</v>
      </c>
      <c r="AF810" s="432">
        <f>VLOOKUP(AD810,[5]Hoja1!$A$10:$K$1393,11,0)</f>
        <v>-1</v>
      </c>
      <c r="AG810" s="432">
        <v>0</v>
      </c>
      <c r="AH810" s="432">
        <f t="shared" si="169"/>
        <v>0</v>
      </c>
      <c r="AL810" s="448"/>
      <c r="AM810" s="467">
        <f>VLOOKUP(AD810,[6]BV201101!$A$10:$A$1236,1,0)</f>
        <v>211011</v>
      </c>
    </row>
    <row r="811" spans="1:39" s="467" customFormat="1" ht="12.75" customHeight="1">
      <c r="A811" s="487" t="str">
        <f t="shared" si="180"/>
        <v>2</v>
      </c>
      <c r="B811" s="487" t="str">
        <f t="shared" si="170"/>
        <v>11</v>
      </c>
      <c r="C811" s="487" t="str">
        <f t="shared" si="171"/>
        <v>01</v>
      </c>
      <c r="D811" s="487" t="str">
        <f t="shared" si="172"/>
        <v>1012</v>
      </c>
      <c r="E811" s="487">
        <v>524140000</v>
      </c>
      <c r="F811" s="488" t="str">
        <f t="shared" si="173"/>
        <v/>
      </c>
      <c r="G811" s="487"/>
      <c r="H811" s="487"/>
      <c r="I811" s="488" t="str">
        <f t="shared" si="174"/>
        <v/>
      </c>
      <c r="J811" s="487"/>
      <c r="K811" s="487"/>
      <c r="L811" s="488" t="str">
        <f t="shared" si="175"/>
        <v/>
      </c>
      <c r="M811" s="487"/>
      <c r="N811" s="487"/>
      <c r="O811" s="488" t="str">
        <f t="shared" si="176"/>
        <v/>
      </c>
      <c r="P811" s="489"/>
      <c r="Q811" s="489"/>
      <c r="R811" s="592" t="str">
        <f t="shared" si="177"/>
        <v/>
      </c>
      <c r="S811" s="487"/>
      <c r="T811" s="487"/>
      <c r="U811" s="488" t="str">
        <f t="shared" si="178"/>
        <v/>
      </c>
      <c r="V811" s="489"/>
      <c r="W811" s="489"/>
      <c r="X811" s="488" t="str">
        <f t="shared" si="179"/>
        <v/>
      </c>
      <c r="Y811" s="489"/>
      <c r="Z811" s="489"/>
      <c r="AA811" s="490" t="str">
        <f t="shared" si="168"/>
        <v/>
      </c>
      <c r="AB811" s="489"/>
      <c r="AC811" s="489"/>
      <c r="AD811" s="27">
        <v>211012</v>
      </c>
      <c r="AE811" s="27" t="s">
        <v>30</v>
      </c>
      <c r="AF811" s="432">
        <f>VLOOKUP(AD811,[5]Hoja1!$A$10:$K$1393,11,0)</f>
        <v>-5830363</v>
      </c>
      <c r="AG811" s="432"/>
      <c r="AH811" s="432">
        <f t="shared" si="169"/>
        <v>-5830</v>
      </c>
      <c r="AL811" s="448"/>
      <c r="AM811" s="467">
        <f>VLOOKUP(AD811,[6]BV201101!$A$10:$A$1236,1,0)</f>
        <v>211012</v>
      </c>
    </row>
    <row r="812" spans="1:39" s="467" customFormat="1" ht="12.75" customHeight="1">
      <c r="A812" s="487" t="str">
        <f t="shared" si="180"/>
        <v>2</v>
      </c>
      <c r="B812" s="487" t="str">
        <f t="shared" si="170"/>
        <v>11</v>
      </c>
      <c r="C812" s="487" t="str">
        <f t="shared" si="171"/>
        <v>01</v>
      </c>
      <c r="D812" s="487" t="str">
        <f t="shared" si="172"/>
        <v>1013</v>
      </c>
      <c r="E812" s="487">
        <v>524130000</v>
      </c>
      <c r="F812" s="488" t="str">
        <f t="shared" si="173"/>
        <v/>
      </c>
      <c r="G812" s="487"/>
      <c r="H812" s="487"/>
      <c r="I812" s="488" t="str">
        <f t="shared" si="174"/>
        <v/>
      </c>
      <c r="J812" s="487"/>
      <c r="K812" s="487"/>
      <c r="L812" s="488" t="str">
        <f t="shared" si="175"/>
        <v/>
      </c>
      <c r="M812" s="487"/>
      <c r="N812" s="487"/>
      <c r="O812" s="488" t="str">
        <f t="shared" si="176"/>
        <v/>
      </c>
      <c r="P812" s="489"/>
      <c r="Q812" s="489"/>
      <c r="R812" s="592" t="str">
        <f t="shared" si="177"/>
        <v/>
      </c>
      <c r="S812" s="487"/>
      <c r="T812" s="487"/>
      <c r="U812" s="488" t="str">
        <f t="shared" si="178"/>
        <v/>
      </c>
      <c r="V812" s="489"/>
      <c r="W812" s="489"/>
      <c r="X812" s="488" t="str">
        <f t="shared" si="179"/>
        <v/>
      </c>
      <c r="Y812" s="489"/>
      <c r="Z812" s="489"/>
      <c r="AA812" s="490" t="str">
        <f t="shared" si="168"/>
        <v/>
      </c>
      <c r="AB812" s="489"/>
      <c r="AC812" s="489"/>
      <c r="AD812" s="27">
        <v>211013</v>
      </c>
      <c r="AE812" s="27" t="s">
        <v>1562</v>
      </c>
      <c r="AF812" s="432">
        <f>VLOOKUP(AD812,[5]Hoja1!$A$10:$K$1393,11,0)</f>
        <v>0</v>
      </c>
      <c r="AG812" s="432"/>
      <c r="AH812" s="432">
        <f t="shared" si="169"/>
        <v>0</v>
      </c>
      <c r="AL812" s="448"/>
      <c r="AM812" s="467">
        <f>VLOOKUP(AD812,[6]BV201101!$A$10:$A$1236,1,0)</f>
        <v>211013</v>
      </c>
    </row>
    <row r="813" spans="1:39" s="467" customFormat="1" ht="12.75" customHeight="1">
      <c r="A813" s="487" t="str">
        <f t="shared" si="180"/>
        <v>2</v>
      </c>
      <c r="B813" s="487" t="str">
        <f t="shared" si="170"/>
        <v>11</v>
      </c>
      <c r="C813" s="487" t="str">
        <f t="shared" si="171"/>
        <v>01</v>
      </c>
      <c r="D813" s="487" t="str">
        <f t="shared" si="172"/>
        <v>1014</v>
      </c>
      <c r="E813" s="487">
        <v>524110000</v>
      </c>
      <c r="F813" s="488" t="str">
        <f t="shared" si="173"/>
        <v/>
      </c>
      <c r="G813" s="487"/>
      <c r="H813" s="487"/>
      <c r="I813" s="488" t="str">
        <f t="shared" si="174"/>
        <v/>
      </c>
      <c r="J813" s="487"/>
      <c r="K813" s="487"/>
      <c r="L813" s="488" t="str">
        <f t="shared" si="175"/>
        <v/>
      </c>
      <c r="M813" s="487"/>
      <c r="N813" s="487"/>
      <c r="O813" s="488" t="str">
        <f t="shared" si="176"/>
        <v/>
      </c>
      <c r="P813" s="489"/>
      <c r="Q813" s="489"/>
      <c r="R813" s="592" t="str">
        <f t="shared" si="177"/>
        <v/>
      </c>
      <c r="S813" s="487"/>
      <c r="T813" s="487"/>
      <c r="U813" s="488" t="str">
        <f t="shared" si="178"/>
        <v/>
      </c>
      <c r="V813" s="489"/>
      <c r="W813" s="489"/>
      <c r="X813" s="488" t="str">
        <f t="shared" si="179"/>
        <v/>
      </c>
      <c r="Y813" s="489"/>
      <c r="Z813" s="489"/>
      <c r="AA813" s="490" t="str">
        <f t="shared" si="168"/>
        <v/>
      </c>
      <c r="AB813" s="489"/>
      <c r="AC813" s="489"/>
      <c r="AD813" s="27">
        <v>211014</v>
      </c>
      <c r="AE813" s="27" t="s">
        <v>154</v>
      </c>
      <c r="AF813" s="432">
        <f>VLOOKUP(AD813,[5]Hoja1!$A$10:$K$1393,11,0)</f>
        <v>0</v>
      </c>
      <c r="AG813" s="432"/>
      <c r="AH813" s="432">
        <f t="shared" si="169"/>
        <v>0</v>
      </c>
      <c r="AL813" s="448"/>
      <c r="AM813" s="467">
        <f>VLOOKUP(AD813,[6]BV201101!$A$10:$A$1236,1,0)</f>
        <v>211014</v>
      </c>
    </row>
    <row r="814" spans="1:39" s="467" customFormat="1" ht="12.75" customHeight="1">
      <c r="A814" s="487" t="str">
        <f t="shared" si="180"/>
        <v>2</v>
      </c>
      <c r="B814" s="487" t="str">
        <f t="shared" si="170"/>
        <v>11</v>
      </c>
      <c r="C814" s="487" t="str">
        <f t="shared" si="171"/>
        <v>01</v>
      </c>
      <c r="D814" s="487" t="str">
        <f t="shared" si="172"/>
        <v>1015</v>
      </c>
      <c r="E814" s="487">
        <v>524470000</v>
      </c>
      <c r="F814" s="488"/>
      <c r="G814" s="487"/>
      <c r="H814" s="487"/>
      <c r="I814" s="488"/>
      <c r="J814" s="487"/>
      <c r="K814" s="487"/>
      <c r="L814" s="488"/>
      <c r="M814" s="487"/>
      <c r="N814" s="487"/>
      <c r="O814" s="488"/>
      <c r="P814" s="489"/>
      <c r="Q814" s="489"/>
      <c r="R814" s="592"/>
      <c r="S814" s="487"/>
      <c r="T814" s="487"/>
      <c r="U814" s="488"/>
      <c r="V814" s="489"/>
      <c r="W814" s="489"/>
      <c r="X814" s="488"/>
      <c r="Y814" s="489"/>
      <c r="Z814" s="489"/>
      <c r="AA814" s="490" t="str">
        <f>+AB814&amp;AC814</f>
        <v>2222</v>
      </c>
      <c r="AB814" s="489">
        <v>22</v>
      </c>
      <c r="AC814" s="489">
        <v>22</v>
      </c>
      <c r="AD814" s="27">
        <v>211015</v>
      </c>
      <c r="AE814" s="27" t="s">
        <v>401</v>
      </c>
      <c r="AF814" s="432">
        <v>0</v>
      </c>
      <c r="AG814" s="432"/>
      <c r="AH814" s="432">
        <f t="shared" si="169"/>
        <v>0</v>
      </c>
      <c r="AI814" s="491">
        <f>+AH1766-AI769</f>
        <v>599401</v>
      </c>
      <c r="AL814" s="448"/>
      <c r="AM814" s="467" t="e">
        <f>VLOOKUP(AD814,[6]BV201101!$A$10:$A$1236,1,0)</f>
        <v>#N/A</v>
      </c>
    </row>
    <row r="815" spans="1:39" s="467" customFormat="1" ht="12.75" customHeight="1">
      <c r="A815" s="487" t="str">
        <f t="shared" si="180"/>
        <v>2</v>
      </c>
      <c r="B815" s="487" t="str">
        <f t="shared" si="170"/>
        <v>11</v>
      </c>
      <c r="C815" s="487" t="str">
        <f t="shared" si="171"/>
        <v>01</v>
      </c>
      <c r="D815" s="487" t="str">
        <f t="shared" si="172"/>
        <v>1016</v>
      </c>
      <c r="E815" s="487">
        <v>524110000</v>
      </c>
      <c r="F815" s="488"/>
      <c r="G815" s="487"/>
      <c r="H815" s="487"/>
      <c r="I815" s="488"/>
      <c r="J815" s="487"/>
      <c r="K815" s="487"/>
      <c r="L815" s="488"/>
      <c r="M815" s="487"/>
      <c r="N815" s="487"/>
      <c r="O815" s="488"/>
      <c r="P815" s="489"/>
      <c r="Q815" s="489"/>
      <c r="R815" s="592"/>
      <c r="S815" s="487"/>
      <c r="T815" s="487"/>
      <c r="U815" s="488"/>
      <c r="V815" s="489"/>
      <c r="W815" s="489"/>
      <c r="X815" s="488"/>
      <c r="Y815" s="489"/>
      <c r="Z815" s="489"/>
      <c r="AA815" s="490"/>
      <c r="AB815" s="489"/>
      <c r="AC815" s="489"/>
      <c r="AD815" s="27">
        <v>211016</v>
      </c>
      <c r="AE815" s="27" t="s">
        <v>402</v>
      </c>
      <c r="AF815" s="432">
        <v>0</v>
      </c>
      <c r="AG815" s="432"/>
      <c r="AH815" s="432">
        <f t="shared" si="169"/>
        <v>0</v>
      </c>
      <c r="AL815" s="448"/>
      <c r="AM815" s="467" t="e">
        <f>VLOOKUP(AD815,[6]BV201101!$A$10:$A$1236,1,0)</f>
        <v>#N/A</v>
      </c>
    </row>
    <row r="816" spans="1:39" s="467" customFormat="1" ht="12.75" customHeight="1">
      <c r="A816" s="487" t="str">
        <f t="shared" si="180"/>
        <v>2</v>
      </c>
      <c r="B816" s="487" t="str">
        <f t="shared" si="170"/>
        <v>11</v>
      </c>
      <c r="C816" s="487" t="str">
        <f t="shared" si="171"/>
        <v>01</v>
      </c>
      <c r="D816" s="487" t="str">
        <f t="shared" si="172"/>
        <v>1017</v>
      </c>
      <c r="E816" s="487">
        <v>524110000</v>
      </c>
      <c r="F816" s="488"/>
      <c r="G816" s="487"/>
      <c r="H816" s="487"/>
      <c r="I816" s="488"/>
      <c r="J816" s="487"/>
      <c r="K816" s="487"/>
      <c r="L816" s="488"/>
      <c r="M816" s="487"/>
      <c r="N816" s="487"/>
      <c r="O816" s="488"/>
      <c r="P816" s="489"/>
      <c r="Q816" s="489"/>
      <c r="R816" s="592"/>
      <c r="S816" s="487"/>
      <c r="T816" s="487"/>
      <c r="U816" s="488"/>
      <c r="V816" s="489"/>
      <c r="W816" s="489"/>
      <c r="X816" s="488"/>
      <c r="Y816" s="489"/>
      <c r="Z816" s="489"/>
      <c r="AA816" s="490"/>
      <c r="AB816" s="489"/>
      <c r="AC816" s="489"/>
      <c r="AD816" s="27">
        <v>211017</v>
      </c>
      <c r="AE816" s="27" t="s">
        <v>581</v>
      </c>
      <c r="AF816" s="432">
        <f>VLOOKUP(AD816,[5]Hoja1!$A$10:$K$1393,11,0)</f>
        <v>-402083</v>
      </c>
      <c r="AG816" s="432"/>
      <c r="AH816" s="432">
        <f t="shared" si="169"/>
        <v>-402</v>
      </c>
      <c r="AL816" s="448"/>
      <c r="AM816" s="467">
        <f>VLOOKUP(AD816,[6]BV201101!$A$10:$A$1236,1,0)</f>
        <v>211017</v>
      </c>
    </row>
    <row r="817" spans="1:39" s="467" customFormat="1" ht="12.75" customHeight="1">
      <c r="A817" s="487" t="str">
        <f t="shared" si="180"/>
        <v>2</v>
      </c>
      <c r="B817" s="487" t="str">
        <f t="shared" si="170"/>
        <v>11</v>
      </c>
      <c r="C817" s="487" t="str">
        <f t="shared" si="171"/>
        <v>01</v>
      </c>
      <c r="D817" s="487" t="str">
        <f t="shared" si="172"/>
        <v>1018</v>
      </c>
      <c r="E817" s="487">
        <v>524130000</v>
      </c>
      <c r="F817" s="488"/>
      <c r="G817" s="487"/>
      <c r="H817" s="487"/>
      <c r="I817" s="488"/>
      <c r="J817" s="487"/>
      <c r="K817" s="487"/>
      <c r="L817" s="488"/>
      <c r="M817" s="487"/>
      <c r="N817" s="487"/>
      <c r="O817" s="488"/>
      <c r="P817" s="489"/>
      <c r="Q817" s="489"/>
      <c r="R817" s="592"/>
      <c r="S817" s="487"/>
      <c r="T817" s="487"/>
      <c r="U817" s="488"/>
      <c r="V817" s="489"/>
      <c r="W817" s="489"/>
      <c r="X817" s="488"/>
      <c r="Y817" s="489"/>
      <c r="Z817" s="489"/>
      <c r="AA817" s="490"/>
      <c r="AB817" s="489"/>
      <c r="AC817" s="489"/>
      <c r="AD817" s="27">
        <v>211018</v>
      </c>
      <c r="AE817" s="27" t="s">
        <v>1411</v>
      </c>
      <c r="AF817" s="432">
        <f>VLOOKUP(AD817,[5]Hoja1!$A$10:$K$1393,11,0)</f>
        <v>-5102499</v>
      </c>
      <c r="AG817" s="432"/>
      <c r="AH817" s="432">
        <f t="shared" si="169"/>
        <v>-5102</v>
      </c>
      <c r="AL817" s="448"/>
      <c r="AM817" s="467">
        <f>VLOOKUP(AD817,[6]BV201101!$A$10:$A$1236,1,0)</f>
        <v>211018</v>
      </c>
    </row>
    <row r="818" spans="1:39" s="467" customFormat="1" ht="12.75" customHeight="1">
      <c r="A818" s="487" t="str">
        <f t="shared" si="180"/>
        <v>2</v>
      </c>
      <c r="B818" s="487" t="str">
        <f t="shared" si="170"/>
        <v>11</v>
      </c>
      <c r="C818" s="487" t="str">
        <f t="shared" si="171"/>
        <v>01</v>
      </c>
      <c r="D818" s="487" t="str">
        <f t="shared" si="172"/>
        <v>1019</v>
      </c>
      <c r="E818" s="487">
        <v>524130000</v>
      </c>
      <c r="F818" s="488"/>
      <c r="G818" s="487"/>
      <c r="H818" s="487"/>
      <c r="I818" s="488"/>
      <c r="J818" s="487"/>
      <c r="K818" s="487"/>
      <c r="L818" s="488"/>
      <c r="M818" s="487"/>
      <c r="N818" s="487"/>
      <c r="O818" s="488"/>
      <c r="P818" s="489"/>
      <c r="Q818" s="489"/>
      <c r="R818" s="592"/>
      <c r="S818" s="487"/>
      <c r="T818" s="487"/>
      <c r="U818" s="488"/>
      <c r="V818" s="489"/>
      <c r="W818" s="489"/>
      <c r="X818" s="488"/>
      <c r="Y818" s="489"/>
      <c r="Z818" s="489"/>
      <c r="AA818" s="490"/>
      <c r="AB818" s="489"/>
      <c r="AC818" s="489"/>
      <c r="AD818" s="27">
        <v>211019</v>
      </c>
      <c r="AE818" s="27" t="s">
        <v>2605</v>
      </c>
      <c r="AF818" s="432">
        <f>VLOOKUP(AD818,[5]Hoja1!$A$10:$K$1393,11,0)</f>
        <v>-35763938</v>
      </c>
      <c r="AG818" s="432"/>
      <c r="AH818" s="432">
        <f t="shared" si="169"/>
        <v>-35764</v>
      </c>
      <c r="AL818" s="448"/>
    </row>
    <row r="819" spans="1:39" s="467" customFormat="1" ht="12.75" customHeight="1">
      <c r="A819" s="487" t="str">
        <f t="shared" si="180"/>
        <v>2</v>
      </c>
      <c r="B819" s="487" t="str">
        <f t="shared" si="170"/>
        <v>11</v>
      </c>
      <c r="C819" s="487" t="str">
        <f t="shared" si="171"/>
        <v>10</v>
      </c>
      <c r="D819" s="487" t="str">
        <f t="shared" si="172"/>
        <v>1101</v>
      </c>
      <c r="E819" s="487">
        <v>524470000</v>
      </c>
      <c r="F819" s="488" t="str">
        <f t="shared" ref="F819:F829" si="181">+G819&amp;H819</f>
        <v/>
      </c>
      <c r="G819" s="487"/>
      <c r="H819" s="487"/>
      <c r="I819" s="488" t="str">
        <f t="shared" ref="I819:I829" si="182">+J819&amp;K819</f>
        <v/>
      </c>
      <c r="J819" s="487"/>
      <c r="K819" s="487"/>
      <c r="L819" s="488" t="str">
        <f t="shared" ref="L819:L829" si="183">+M819&amp;N819</f>
        <v/>
      </c>
      <c r="M819" s="487"/>
      <c r="N819" s="487"/>
      <c r="O819" s="488" t="str">
        <f t="shared" ref="O819:O829" si="184">+P819&amp;Q819</f>
        <v/>
      </c>
      <c r="P819" s="489"/>
      <c r="Q819" s="489"/>
      <c r="R819" s="592" t="str">
        <f t="shared" ref="R819:R829" si="185">+S819&amp;T819</f>
        <v/>
      </c>
      <c r="S819" s="487"/>
      <c r="T819" s="487"/>
      <c r="U819" s="488" t="str">
        <f t="shared" ref="U819:U829" si="186">+V819&amp;W819</f>
        <v/>
      </c>
      <c r="V819" s="489"/>
      <c r="W819" s="489"/>
      <c r="X819" s="488" t="str">
        <f t="shared" ref="X819:X829" si="187">+Y819&amp;Z819</f>
        <v/>
      </c>
      <c r="Y819" s="489"/>
      <c r="Z819" s="489"/>
      <c r="AA819" s="490" t="str">
        <f t="shared" si="168"/>
        <v>2222</v>
      </c>
      <c r="AB819" s="489">
        <v>22</v>
      </c>
      <c r="AC819" s="489">
        <v>22</v>
      </c>
      <c r="AD819" s="27">
        <v>211101</v>
      </c>
      <c r="AE819" s="27" t="s">
        <v>1674</v>
      </c>
      <c r="AF819" s="432">
        <f>VLOOKUP(AD819,[5]Hoja1!$A$10:$K$1393,11,0)</f>
        <v>-8677583641</v>
      </c>
      <c r="AG819" s="432">
        <f>-AG454</f>
        <v>0</v>
      </c>
      <c r="AH819" s="432">
        <f t="shared" si="169"/>
        <v>-8677584</v>
      </c>
      <c r="AL819" s="448"/>
      <c r="AM819" s="467">
        <f>VLOOKUP(AD819,[6]BV201101!$A$10:$A$1236,1,0)</f>
        <v>211101</v>
      </c>
    </row>
    <row r="820" spans="1:39" s="467" customFormat="1" ht="12.75" customHeight="1">
      <c r="A820" s="487" t="str">
        <f t="shared" si="180"/>
        <v>2</v>
      </c>
      <c r="B820" s="487" t="str">
        <f t="shared" si="170"/>
        <v>11</v>
      </c>
      <c r="C820" s="487" t="str">
        <f t="shared" si="171"/>
        <v>10</v>
      </c>
      <c r="D820" s="487" t="str">
        <f t="shared" si="172"/>
        <v>1102</v>
      </c>
      <c r="E820" s="487">
        <v>524450000</v>
      </c>
      <c r="F820" s="488" t="str">
        <f t="shared" si="181"/>
        <v/>
      </c>
      <c r="G820" s="487"/>
      <c r="H820" s="487"/>
      <c r="I820" s="488" t="str">
        <f t="shared" si="182"/>
        <v/>
      </c>
      <c r="J820" s="487"/>
      <c r="K820" s="487"/>
      <c r="L820" s="488" t="str">
        <f t="shared" si="183"/>
        <v/>
      </c>
      <c r="M820" s="487"/>
      <c r="N820" s="487"/>
      <c r="O820" s="488" t="str">
        <f t="shared" si="184"/>
        <v/>
      </c>
      <c r="P820" s="489"/>
      <c r="Q820" s="489"/>
      <c r="R820" s="592" t="str">
        <f t="shared" si="185"/>
        <v/>
      </c>
      <c r="S820" s="487"/>
      <c r="T820" s="487"/>
      <c r="U820" s="488" t="str">
        <f t="shared" si="186"/>
        <v/>
      </c>
      <c r="V820" s="489"/>
      <c r="W820" s="489"/>
      <c r="X820" s="488" t="str">
        <f t="shared" si="187"/>
        <v/>
      </c>
      <c r="Y820" s="489"/>
      <c r="Z820" s="489"/>
      <c r="AA820" s="490" t="str">
        <f t="shared" si="168"/>
        <v/>
      </c>
      <c r="AB820" s="489"/>
      <c r="AC820" s="489"/>
      <c r="AD820" s="27">
        <v>211102</v>
      </c>
      <c r="AE820" s="27" t="s">
        <v>1653</v>
      </c>
      <c r="AF820" s="432">
        <v>0</v>
      </c>
      <c r="AG820" s="432"/>
      <c r="AH820" s="432">
        <f t="shared" si="169"/>
        <v>0</v>
      </c>
      <c r="AL820" s="448"/>
      <c r="AM820" s="467" t="e">
        <f>VLOOKUP(AD820,[6]BV201101!$A$10:$A$1236,1,0)</f>
        <v>#N/A</v>
      </c>
    </row>
    <row r="821" spans="1:39" s="467" customFormat="1" ht="12.75" customHeight="1">
      <c r="A821" s="487" t="str">
        <f t="shared" si="180"/>
        <v>2</v>
      </c>
      <c r="B821" s="487" t="str">
        <f t="shared" si="170"/>
        <v>11</v>
      </c>
      <c r="C821" s="487" t="str">
        <f t="shared" si="171"/>
        <v>10</v>
      </c>
      <c r="D821" s="487" t="str">
        <f t="shared" si="172"/>
        <v>1103</v>
      </c>
      <c r="E821" s="487"/>
      <c r="F821" s="488" t="str">
        <f t="shared" si="181"/>
        <v/>
      </c>
      <c r="G821" s="487"/>
      <c r="H821" s="487"/>
      <c r="I821" s="488" t="str">
        <f t="shared" si="182"/>
        <v/>
      </c>
      <c r="J821" s="487"/>
      <c r="K821" s="487"/>
      <c r="L821" s="488" t="str">
        <f t="shared" si="183"/>
        <v/>
      </c>
      <c r="M821" s="487"/>
      <c r="N821" s="487"/>
      <c r="O821" s="488" t="str">
        <f t="shared" si="184"/>
        <v/>
      </c>
      <c r="P821" s="489"/>
      <c r="Q821" s="489"/>
      <c r="R821" s="592" t="str">
        <f t="shared" si="185"/>
        <v/>
      </c>
      <c r="S821" s="487"/>
      <c r="T821" s="487"/>
      <c r="U821" s="488" t="str">
        <f t="shared" si="186"/>
        <v/>
      </c>
      <c r="V821" s="489"/>
      <c r="W821" s="489"/>
      <c r="X821" s="488" t="str">
        <f t="shared" si="187"/>
        <v/>
      </c>
      <c r="Y821" s="489"/>
      <c r="Z821" s="489"/>
      <c r="AA821" s="490" t="str">
        <f t="shared" si="168"/>
        <v/>
      </c>
      <c r="AB821" s="489"/>
      <c r="AC821" s="489"/>
      <c r="AD821" s="27">
        <v>211103</v>
      </c>
      <c r="AE821" s="27" t="s">
        <v>2191</v>
      </c>
      <c r="AF821" s="432">
        <f>VLOOKUP(AD821,[5]Hoja1!$A$10:$K$1393,11,0)</f>
        <v>0</v>
      </c>
      <c r="AG821" s="432"/>
      <c r="AH821" s="432">
        <f t="shared" si="169"/>
        <v>0</v>
      </c>
      <c r="AL821" s="448"/>
      <c r="AM821" s="467">
        <f>VLOOKUP(AD821,[6]BV201101!$A$10:$A$1236,1,0)</f>
        <v>211103</v>
      </c>
    </row>
    <row r="822" spans="1:39" s="467" customFormat="1" ht="12.75" customHeight="1">
      <c r="A822" s="487" t="str">
        <f t="shared" si="180"/>
        <v>2</v>
      </c>
      <c r="B822" s="487" t="str">
        <f t="shared" si="170"/>
        <v>11</v>
      </c>
      <c r="C822" s="487" t="str">
        <f t="shared" si="171"/>
        <v>10</v>
      </c>
      <c r="D822" s="487" t="str">
        <f t="shared" si="172"/>
        <v>1104</v>
      </c>
      <c r="E822" s="487"/>
      <c r="F822" s="488" t="str">
        <f t="shared" si="181"/>
        <v/>
      </c>
      <c r="G822" s="487"/>
      <c r="H822" s="487"/>
      <c r="I822" s="488" t="str">
        <f t="shared" si="182"/>
        <v/>
      </c>
      <c r="J822" s="487"/>
      <c r="K822" s="487"/>
      <c r="L822" s="488" t="str">
        <f t="shared" si="183"/>
        <v/>
      </c>
      <c r="M822" s="487"/>
      <c r="N822" s="487"/>
      <c r="O822" s="488" t="str">
        <f t="shared" si="184"/>
        <v/>
      </c>
      <c r="P822" s="489"/>
      <c r="Q822" s="489"/>
      <c r="R822" s="592" t="str">
        <f t="shared" si="185"/>
        <v/>
      </c>
      <c r="S822" s="487"/>
      <c r="T822" s="487"/>
      <c r="U822" s="488" t="str">
        <f t="shared" si="186"/>
        <v/>
      </c>
      <c r="V822" s="489"/>
      <c r="W822" s="489"/>
      <c r="X822" s="488" t="str">
        <f t="shared" si="187"/>
        <v/>
      </c>
      <c r="Y822" s="489"/>
      <c r="Z822" s="489"/>
      <c r="AA822" s="490" t="str">
        <f t="shared" si="168"/>
        <v/>
      </c>
      <c r="AB822" s="489"/>
      <c r="AC822" s="489"/>
      <c r="AD822" s="27">
        <v>211104</v>
      </c>
      <c r="AE822" s="27" t="s">
        <v>2192</v>
      </c>
      <c r="AF822" s="432">
        <v>0</v>
      </c>
      <c r="AG822" s="432"/>
      <c r="AH822" s="432">
        <f t="shared" si="169"/>
        <v>0</v>
      </c>
      <c r="AL822" s="448"/>
      <c r="AM822" s="467" t="e">
        <f>VLOOKUP(AD822,[6]BV201101!$A$10:$A$1236,1,0)</f>
        <v>#N/A</v>
      </c>
    </row>
    <row r="823" spans="1:39" s="467" customFormat="1" ht="12.75" customHeight="1">
      <c r="A823" s="487" t="str">
        <f t="shared" si="180"/>
        <v>2</v>
      </c>
      <c r="B823" s="487" t="str">
        <f t="shared" si="170"/>
        <v>11</v>
      </c>
      <c r="C823" s="487" t="str">
        <f t="shared" si="171"/>
        <v>10</v>
      </c>
      <c r="D823" s="487" t="str">
        <f t="shared" si="172"/>
        <v>1105</v>
      </c>
      <c r="E823" s="487">
        <v>524420000</v>
      </c>
      <c r="F823" s="488" t="str">
        <f t="shared" si="181"/>
        <v/>
      </c>
      <c r="G823" s="487"/>
      <c r="H823" s="487"/>
      <c r="I823" s="488" t="str">
        <f t="shared" si="182"/>
        <v/>
      </c>
      <c r="J823" s="487"/>
      <c r="K823" s="487"/>
      <c r="L823" s="488" t="str">
        <f t="shared" si="183"/>
        <v/>
      </c>
      <c r="M823" s="487"/>
      <c r="N823" s="487"/>
      <c r="O823" s="488" t="str">
        <f t="shared" si="184"/>
        <v/>
      </c>
      <c r="P823" s="489"/>
      <c r="Q823" s="489"/>
      <c r="R823" s="592" t="str">
        <f t="shared" si="185"/>
        <v/>
      </c>
      <c r="S823" s="487"/>
      <c r="T823" s="487"/>
      <c r="U823" s="488" t="str">
        <f t="shared" si="186"/>
        <v/>
      </c>
      <c r="V823" s="489"/>
      <c r="W823" s="489"/>
      <c r="X823" s="488" t="str">
        <f t="shared" si="187"/>
        <v/>
      </c>
      <c r="Y823" s="489"/>
      <c r="Z823" s="489"/>
      <c r="AA823" s="490">
        <f>VALUE(+AB823&amp;AC823)</f>
        <v>2225</v>
      </c>
      <c r="AB823" s="489">
        <v>22</v>
      </c>
      <c r="AC823" s="489">
        <v>25</v>
      </c>
      <c r="AD823" s="27">
        <v>211105</v>
      </c>
      <c r="AE823" s="27" t="s">
        <v>1652</v>
      </c>
      <c r="AF823" s="432">
        <f>VLOOKUP(AD823,[5]Hoja1!$A$10:$K$1393,11,0)</f>
        <v>-32018586509</v>
      </c>
      <c r="AG823" s="432"/>
      <c r="AH823" s="432">
        <f t="shared" si="169"/>
        <v>-32018587</v>
      </c>
      <c r="AL823" s="448"/>
      <c r="AM823" s="467">
        <f>VLOOKUP(AD823,[6]BV201101!$A$10:$A$1236,1,0)</f>
        <v>211105</v>
      </c>
    </row>
    <row r="824" spans="1:39" s="467" customFormat="1" ht="12.75" customHeight="1">
      <c r="A824" s="487" t="str">
        <f t="shared" si="180"/>
        <v>2</v>
      </c>
      <c r="B824" s="487" t="str">
        <f t="shared" si="170"/>
        <v>11</v>
      </c>
      <c r="C824" s="487" t="str">
        <f t="shared" si="171"/>
        <v>10</v>
      </c>
      <c r="D824" s="487" t="str">
        <f t="shared" si="172"/>
        <v>1106</v>
      </c>
      <c r="E824" s="487">
        <v>524470000</v>
      </c>
      <c r="F824" s="488" t="str">
        <f t="shared" si="181"/>
        <v/>
      </c>
      <c r="G824" s="487"/>
      <c r="H824" s="487"/>
      <c r="I824" s="488" t="str">
        <f t="shared" si="182"/>
        <v/>
      </c>
      <c r="J824" s="487"/>
      <c r="K824" s="487"/>
      <c r="L824" s="488" t="str">
        <f t="shared" si="183"/>
        <v/>
      </c>
      <c r="M824" s="487"/>
      <c r="N824" s="487"/>
      <c r="O824" s="488" t="str">
        <f t="shared" si="184"/>
        <v/>
      </c>
      <c r="P824" s="489"/>
      <c r="Q824" s="489"/>
      <c r="R824" s="592" t="str">
        <f t="shared" si="185"/>
        <v/>
      </c>
      <c r="S824" s="487"/>
      <c r="T824" s="487"/>
      <c r="U824" s="488" t="str">
        <f t="shared" si="186"/>
        <v/>
      </c>
      <c r="V824" s="489"/>
      <c r="W824" s="489"/>
      <c r="X824" s="488" t="str">
        <f t="shared" si="187"/>
        <v/>
      </c>
      <c r="Y824" s="489"/>
      <c r="Z824" s="489"/>
      <c r="AA824" s="490" t="str">
        <f>+AB824&amp;AC824</f>
        <v>302</v>
      </c>
      <c r="AB824" s="489">
        <v>30</v>
      </c>
      <c r="AC824" s="489">
        <v>2</v>
      </c>
      <c r="AD824" s="27">
        <v>211106</v>
      </c>
      <c r="AE824" s="27" t="s">
        <v>764</v>
      </c>
      <c r="AF824" s="432">
        <f>VLOOKUP(AD824,[5]Hoja1!$A$10:$K$1393,11,0)</f>
        <v>0</v>
      </c>
      <c r="AG824" s="432">
        <v>0</v>
      </c>
      <c r="AH824" s="432">
        <f t="shared" si="169"/>
        <v>0</v>
      </c>
      <c r="AL824" s="448"/>
      <c r="AM824" s="467">
        <f>VLOOKUP(AD824,[6]BV201101!$A$10:$A$1236,1,0)</f>
        <v>211106</v>
      </c>
    </row>
    <row r="825" spans="1:39" s="467" customFormat="1" ht="12.75" customHeight="1">
      <c r="A825" s="487" t="str">
        <f t="shared" si="180"/>
        <v>2</v>
      </c>
      <c r="B825" s="487" t="str">
        <f t="shared" si="170"/>
        <v>11</v>
      </c>
      <c r="C825" s="487" t="str">
        <f t="shared" si="171"/>
        <v>10</v>
      </c>
      <c r="D825" s="487" t="str">
        <f t="shared" si="172"/>
        <v>1107</v>
      </c>
      <c r="E825" s="487">
        <v>524470000</v>
      </c>
      <c r="F825" s="488" t="str">
        <f t="shared" si="181"/>
        <v/>
      </c>
      <c r="G825" s="487"/>
      <c r="H825" s="487"/>
      <c r="I825" s="488" t="str">
        <f t="shared" si="182"/>
        <v/>
      </c>
      <c r="J825" s="487"/>
      <c r="K825" s="487"/>
      <c r="L825" s="488" t="str">
        <f t="shared" si="183"/>
        <v/>
      </c>
      <c r="M825" s="487"/>
      <c r="N825" s="487"/>
      <c r="O825" s="488" t="str">
        <f t="shared" si="184"/>
        <v/>
      </c>
      <c r="P825" s="489"/>
      <c r="Q825" s="489"/>
      <c r="R825" s="592" t="str">
        <f t="shared" si="185"/>
        <v/>
      </c>
      <c r="S825" s="487"/>
      <c r="T825" s="487"/>
      <c r="U825" s="488" t="str">
        <f t="shared" si="186"/>
        <v/>
      </c>
      <c r="V825" s="489"/>
      <c r="W825" s="489"/>
      <c r="X825" s="488" t="str">
        <f t="shared" si="187"/>
        <v/>
      </c>
      <c r="Y825" s="489"/>
      <c r="Z825" s="489"/>
      <c r="AA825" s="490" t="str">
        <f t="shared" si="168"/>
        <v>2223</v>
      </c>
      <c r="AB825" s="489">
        <v>22</v>
      </c>
      <c r="AC825" s="489">
        <v>23</v>
      </c>
      <c r="AD825" s="27">
        <v>211107</v>
      </c>
      <c r="AE825" s="27" t="s">
        <v>1657</v>
      </c>
      <c r="AF825" s="432">
        <v>0</v>
      </c>
      <c r="AG825" s="432"/>
      <c r="AH825" s="432">
        <f t="shared" si="169"/>
        <v>0</v>
      </c>
      <c r="AL825" s="448"/>
      <c r="AM825" s="467" t="e">
        <f>VLOOKUP(AD825,[6]BV201101!$A$10:$A$1236,1,0)</f>
        <v>#N/A</v>
      </c>
    </row>
    <row r="826" spans="1:39" s="467" customFormat="1" ht="12.75" customHeight="1">
      <c r="A826" s="487" t="str">
        <f t="shared" si="180"/>
        <v>2</v>
      </c>
      <c r="B826" s="487" t="str">
        <f t="shared" si="170"/>
        <v>11</v>
      </c>
      <c r="C826" s="487" t="str">
        <f t="shared" si="171"/>
        <v>10</v>
      </c>
      <c r="D826" s="487" t="str">
        <f t="shared" si="172"/>
        <v>1108</v>
      </c>
      <c r="E826" s="487">
        <v>524470000</v>
      </c>
      <c r="F826" s="488" t="str">
        <f t="shared" si="181"/>
        <v/>
      </c>
      <c r="G826" s="487"/>
      <c r="H826" s="487"/>
      <c r="I826" s="488" t="str">
        <f t="shared" si="182"/>
        <v/>
      </c>
      <c r="J826" s="487"/>
      <c r="K826" s="487"/>
      <c r="L826" s="488" t="str">
        <f t="shared" si="183"/>
        <v/>
      </c>
      <c r="M826" s="487"/>
      <c r="N826" s="487"/>
      <c r="O826" s="488" t="str">
        <f t="shared" si="184"/>
        <v/>
      </c>
      <c r="P826" s="489"/>
      <c r="Q826" s="489"/>
      <c r="R826" s="592" t="str">
        <f t="shared" si="185"/>
        <v/>
      </c>
      <c r="S826" s="487"/>
      <c r="T826" s="487"/>
      <c r="U826" s="488" t="str">
        <f t="shared" si="186"/>
        <v/>
      </c>
      <c r="V826" s="489"/>
      <c r="W826" s="489"/>
      <c r="X826" s="488" t="str">
        <f t="shared" si="187"/>
        <v/>
      </c>
      <c r="Y826" s="489"/>
      <c r="Z826" s="489"/>
      <c r="AA826" s="490" t="str">
        <f>+AB826&amp;AC826</f>
        <v>301</v>
      </c>
      <c r="AB826" s="489">
        <v>30</v>
      </c>
      <c r="AC826" s="489">
        <v>1</v>
      </c>
      <c r="AD826" s="27">
        <v>211108</v>
      </c>
      <c r="AE826" s="27" t="s">
        <v>1658</v>
      </c>
      <c r="AF826" s="432">
        <f>VLOOKUP(AD826,[5]Hoja1!$A$10:$K$1393,11,0)</f>
        <v>0</v>
      </c>
      <c r="AG826" s="432">
        <v>0</v>
      </c>
      <c r="AH826" s="432">
        <f t="shared" si="169"/>
        <v>0</v>
      </c>
      <c r="AL826" s="448"/>
      <c r="AM826" s="467">
        <f>VLOOKUP(AD826,[6]BV201101!$A$10:$A$1236,1,0)</f>
        <v>211108</v>
      </c>
    </row>
    <row r="827" spans="1:39" s="467" customFormat="1" ht="12.75" customHeight="1">
      <c r="A827" s="487" t="str">
        <f t="shared" si="180"/>
        <v>2</v>
      </c>
      <c r="B827" s="487" t="str">
        <f t="shared" si="170"/>
        <v>11</v>
      </c>
      <c r="C827" s="487" t="str">
        <f t="shared" si="171"/>
        <v>10</v>
      </c>
      <c r="D827" s="487" t="str">
        <f t="shared" si="172"/>
        <v>1109</v>
      </c>
      <c r="E827" s="487">
        <v>524470000</v>
      </c>
      <c r="F827" s="488" t="str">
        <f t="shared" si="181"/>
        <v/>
      </c>
      <c r="G827" s="489"/>
      <c r="H827" s="489"/>
      <c r="I827" s="488" t="str">
        <f t="shared" si="182"/>
        <v/>
      </c>
      <c r="J827" s="487"/>
      <c r="K827" s="487"/>
      <c r="L827" s="488" t="str">
        <f t="shared" si="183"/>
        <v/>
      </c>
      <c r="M827" s="487"/>
      <c r="N827" s="487"/>
      <c r="O827" s="488" t="str">
        <f t="shared" si="184"/>
        <v/>
      </c>
      <c r="P827" s="489"/>
      <c r="Q827" s="489"/>
      <c r="R827" s="592" t="str">
        <f t="shared" si="185"/>
        <v/>
      </c>
      <c r="S827" s="487"/>
      <c r="T827" s="487"/>
      <c r="U827" s="488" t="str">
        <f t="shared" si="186"/>
        <v/>
      </c>
      <c r="V827" s="489"/>
      <c r="W827" s="489"/>
      <c r="X827" s="488" t="str">
        <f t="shared" si="187"/>
        <v/>
      </c>
      <c r="Y827" s="489"/>
      <c r="Z827" s="489"/>
      <c r="AA827" s="490" t="str">
        <f t="shared" si="168"/>
        <v>2222</v>
      </c>
      <c r="AB827" s="489">
        <v>22</v>
      </c>
      <c r="AC827" s="489">
        <v>22</v>
      </c>
      <c r="AD827" s="27">
        <v>211109</v>
      </c>
      <c r="AE827" s="27" t="s">
        <v>7</v>
      </c>
      <c r="AF827" s="432">
        <v>0</v>
      </c>
      <c r="AG827" s="432"/>
      <c r="AH827" s="432">
        <f t="shared" si="169"/>
        <v>0</v>
      </c>
      <c r="AL827" s="448"/>
      <c r="AM827" s="467" t="e">
        <f>VLOOKUP(AD827,[6]BV201101!$A$10:$A$1236,1,0)</f>
        <v>#N/A</v>
      </c>
    </row>
    <row r="828" spans="1:39" s="467" customFormat="1" ht="12.75" customHeight="1">
      <c r="A828" s="487" t="str">
        <f t="shared" si="180"/>
        <v>2</v>
      </c>
      <c r="B828" s="487" t="str">
        <f t="shared" si="170"/>
        <v>11</v>
      </c>
      <c r="C828" s="487" t="str">
        <f t="shared" si="171"/>
        <v>11</v>
      </c>
      <c r="D828" s="487" t="str">
        <f t="shared" si="172"/>
        <v>1110</v>
      </c>
      <c r="E828" s="487">
        <v>524420000</v>
      </c>
      <c r="F828" s="488" t="str">
        <f t="shared" si="181"/>
        <v/>
      </c>
      <c r="G828" s="489"/>
      <c r="H828" s="489"/>
      <c r="I828" s="488" t="str">
        <f t="shared" si="182"/>
        <v/>
      </c>
      <c r="J828" s="487"/>
      <c r="K828" s="487"/>
      <c r="L828" s="488" t="str">
        <f t="shared" si="183"/>
        <v/>
      </c>
      <c r="M828" s="487"/>
      <c r="N828" s="487"/>
      <c r="O828" s="488" t="str">
        <f t="shared" si="184"/>
        <v/>
      </c>
      <c r="P828" s="489"/>
      <c r="Q828" s="489"/>
      <c r="R828" s="592" t="str">
        <f t="shared" si="185"/>
        <v/>
      </c>
      <c r="S828" s="487"/>
      <c r="T828" s="487"/>
      <c r="U828" s="488" t="str">
        <f t="shared" si="186"/>
        <v/>
      </c>
      <c r="V828" s="489"/>
      <c r="W828" s="489"/>
      <c r="X828" s="488" t="str">
        <f t="shared" si="187"/>
        <v/>
      </c>
      <c r="Y828" s="489"/>
      <c r="Z828" s="489"/>
      <c r="AA828" s="490" t="str">
        <f t="shared" si="168"/>
        <v>2227</v>
      </c>
      <c r="AB828" s="489">
        <v>22</v>
      </c>
      <c r="AC828" s="489">
        <v>27</v>
      </c>
      <c r="AD828" s="27">
        <v>211110</v>
      </c>
      <c r="AE828" s="27" t="s">
        <v>199</v>
      </c>
      <c r="AF828" s="432">
        <v>0</v>
      </c>
      <c r="AG828" s="432"/>
      <c r="AH828" s="432">
        <f t="shared" si="169"/>
        <v>0</v>
      </c>
      <c r="AL828" s="448"/>
      <c r="AM828" s="467" t="e">
        <f>VLOOKUP(AD828,[6]BV201101!$A$10:$A$1236,1,0)</f>
        <v>#N/A</v>
      </c>
    </row>
    <row r="829" spans="1:39" s="467" customFormat="1" ht="12.75" customHeight="1">
      <c r="A829" s="487" t="str">
        <f t="shared" si="180"/>
        <v>2</v>
      </c>
      <c r="B829" s="487" t="str">
        <f t="shared" si="170"/>
        <v>11</v>
      </c>
      <c r="C829" s="487" t="str">
        <f t="shared" si="171"/>
        <v>11</v>
      </c>
      <c r="D829" s="487" t="str">
        <f t="shared" si="172"/>
        <v>1111</v>
      </c>
      <c r="E829" s="487">
        <v>511160000</v>
      </c>
      <c r="F829" s="488" t="str">
        <f t="shared" si="181"/>
        <v/>
      </c>
      <c r="G829" s="487"/>
      <c r="H829" s="487"/>
      <c r="I829" s="488" t="str">
        <f t="shared" si="182"/>
        <v/>
      </c>
      <c r="J829" s="487"/>
      <c r="K829" s="487"/>
      <c r="L829" s="488" t="str">
        <f t="shared" si="183"/>
        <v/>
      </c>
      <c r="M829" s="487"/>
      <c r="N829" s="487"/>
      <c r="O829" s="488" t="str">
        <f t="shared" si="184"/>
        <v/>
      </c>
      <c r="P829" s="489"/>
      <c r="Q829" s="489"/>
      <c r="R829" s="592" t="str">
        <f t="shared" si="185"/>
        <v/>
      </c>
      <c r="S829" s="487"/>
      <c r="T829" s="487"/>
      <c r="U829" s="488" t="str">
        <f t="shared" si="186"/>
        <v/>
      </c>
      <c r="V829" s="489"/>
      <c r="W829" s="489"/>
      <c r="X829" s="488" t="str">
        <f t="shared" si="187"/>
        <v/>
      </c>
      <c r="Y829" s="489"/>
      <c r="Z829" s="489"/>
      <c r="AA829" s="490" t="str">
        <f>+AB829&amp;AC829</f>
        <v>302</v>
      </c>
      <c r="AB829" s="489">
        <v>30</v>
      </c>
      <c r="AC829" s="489">
        <v>2</v>
      </c>
      <c r="AD829" s="27">
        <v>211111</v>
      </c>
      <c r="AE829" s="27" t="s">
        <v>1542</v>
      </c>
      <c r="AF829" s="432">
        <f>VLOOKUP(AD829,[5]Hoja1!$A$10:$K$1393,11,0)</f>
        <v>0</v>
      </c>
      <c r="AG829" s="432"/>
      <c r="AH829" s="432">
        <f t="shared" si="169"/>
        <v>0</v>
      </c>
      <c r="AL829" s="448"/>
      <c r="AM829" s="467">
        <f>VLOOKUP(AD829,[6]BV201101!$A$10:$A$1236,1,0)</f>
        <v>211111</v>
      </c>
    </row>
    <row r="830" spans="1:39" s="467" customFormat="1" ht="12.75" customHeight="1">
      <c r="A830" s="487" t="str">
        <f t="shared" si="180"/>
        <v>2</v>
      </c>
      <c r="B830" s="487" t="str">
        <f t="shared" si="170"/>
        <v>11</v>
      </c>
      <c r="C830" s="487" t="str">
        <f t="shared" si="171"/>
        <v>11</v>
      </c>
      <c r="D830" s="487" t="str">
        <f t="shared" si="172"/>
        <v>1113</v>
      </c>
      <c r="E830" s="487">
        <v>524470000</v>
      </c>
      <c r="F830" s="488"/>
      <c r="G830" s="487"/>
      <c r="H830" s="487"/>
      <c r="I830" s="488"/>
      <c r="J830" s="487"/>
      <c r="K830" s="487"/>
      <c r="L830" s="488"/>
      <c r="M830" s="487"/>
      <c r="N830" s="487"/>
      <c r="O830" s="488"/>
      <c r="P830" s="489"/>
      <c r="Q830" s="489"/>
      <c r="R830" s="592"/>
      <c r="S830" s="487"/>
      <c r="T830" s="487"/>
      <c r="U830" s="488"/>
      <c r="V830" s="489"/>
      <c r="W830" s="489"/>
      <c r="X830" s="488"/>
      <c r="Y830" s="489"/>
      <c r="Z830" s="489"/>
      <c r="AA830" s="490" t="str">
        <f>+AB830&amp;AC830</f>
        <v>2222</v>
      </c>
      <c r="AB830" s="489">
        <v>22</v>
      </c>
      <c r="AC830" s="489">
        <v>22</v>
      </c>
      <c r="AD830" s="27">
        <v>211113</v>
      </c>
      <c r="AE830" s="27" t="s">
        <v>1335</v>
      </c>
      <c r="AF830" s="432">
        <f>VLOOKUP(AD830,[5]Hoja1!$A$10:$K$1393,11,0)</f>
        <v>0</v>
      </c>
      <c r="AG830" s="432"/>
      <c r="AH830" s="432">
        <f t="shared" si="169"/>
        <v>0</v>
      </c>
      <c r="AL830" s="448"/>
      <c r="AM830" s="467">
        <f>VLOOKUP(AD830,[6]BV201101!$A$10:$A$1236,1,0)</f>
        <v>211113</v>
      </c>
    </row>
    <row r="831" spans="1:39" s="467" customFormat="1" ht="12.75" customHeight="1">
      <c r="A831" s="487" t="str">
        <f t="shared" si="180"/>
        <v>2</v>
      </c>
      <c r="B831" s="487" t="str">
        <f t="shared" si="170"/>
        <v>11</v>
      </c>
      <c r="C831" s="487" t="str">
        <f t="shared" si="171"/>
        <v>11</v>
      </c>
      <c r="D831" s="487" t="str">
        <f t="shared" si="172"/>
        <v>1114</v>
      </c>
      <c r="E831" s="487">
        <v>511160000</v>
      </c>
      <c r="F831" s="488"/>
      <c r="G831" s="487"/>
      <c r="H831" s="487"/>
      <c r="I831" s="488"/>
      <c r="J831" s="487"/>
      <c r="K831" s="487"/>
      <c r="L831" s="488"/>
      <c r="M831" s="487"/>
      <c r="N831" s="487"/>
      <c r="O831" s="488"/>
      <c r="P831" s="489"/>
      <c r="Q831" s="489"/>
      <c r="R831" s="592"/>
      <c r="S831" s="487"/>
      <c r="T831" s="487"/>
      <c r="U831" s="488"/>
      <c r="V831" s="489"/>
      <c r="W831" s="489"/>
      <c r="X831" s="488"/>
      <c r="Y831" s="489"/>
      <c r="Z831" s="489"/>
      <c r="AA831" s="490" t="str">
        <f>+AB831&amp;AC831</f>
        <v>301</v>
      </c>
      <c r="AB831" s="489">
        <v>30</v>
      </c>
      <c r="AC831" s="489">
        <v>1</v>
      </c>
      <c r="AD831" s="27">
        <v>211114</v>
      </c>
      <c r="AE831" s="27" t="s">
        <v>2193</v>
      </c>
      <c r="AF831" s="432">
        <f>VLOOKUP(AD831,[5]Hoja1!$A$10:$K$1393,11,0)</f>
        <v>0</v>
      </c>
      <c r="AG831" s="432"/>
      <c r="AH831" s="432">
        <f t="shared" si="169"/>
        <v>0</v>
      </c>
      <c r="AL831" s="448"/>
      <c r="AM831" s="467">
        <f>VLOOKUP(AD831,[6]BV201101!$A$10:$A$1236,1,0)</f>
        <v>211114</v>
      </c>
    </row>
    <row r="832" spans="1:39" s="467" customFormat="1" ht="12.75" customHeight="1">
      <c r="A832" s="487" t="str">
        <f t="shared" si="180"/>
        <v>2</v>
      </c>
      <c r="B832" s="487" t="str">
        <f t="shared" si="170"/>
        <v>11</v>
      </c>
      <c r="C832" s="487" t="str">
        <f t="shared" si="171"/>
        <v>11</v>
      </c>
      <c r="D832" s="487" t="str">
        <f t="shared" si="172"/>
        <v>1116</v>
      </c>
      <c r="E832" s="487">
        <v>524470000</v>
      </c>
      <c r="F832" s="488"/>
      <c r="G832" s="487"/>
      <c r="H832" s="487"/>
      <c r="I832" s="488"/>
      <c r="J832" s="487"/>
      <c r="K832" s="487"/>
      <c r="L832" s="488"/>
      <c r="M832" s="487"/>
      <c r="N832" s="487"/>
      <c r="O832" s="488"/>
      <c r="P832" s="489"/>
      <c r="Q832" s="489"/>
      <c r="R832" s="592"/>
      <c r="S832" s="487"/>
      <c r="T832" s="487"/>
      <c r="U832" s="488"/>
      <c r="V832" s="489"/>
      <c r="W832" s="489"/>
      <c r="X832" s="488"/>
      <c r="Y832" s="489"/>
      <c r="Z832" s="489"/>
      <c r="AA832" s="490"/>
      <c r="AB832" s="489"/>
      <c r="AC832" s="489"/>
      <c r="AD832" s="27">
        <v>211116</v>
      </c>
      <c r="AE832" s="27" t="s">
        <v>2719</v>
      </c>
      <c r="AF832" s="432">
        <f>VLOOKUP(AD832,[5]Hoja1!$A$10:$K$1393,11,0)</f>
        <v>-362122500</v>
      </c>
      <c r="AG832" s="432"/>
      <c r="AH832" s="432">
        <f t="shared" si="169"/>
        <v>-362123</v>
      </c>
      <c r="AL832" s="448"/>
    </row>
    <row r="833" spans="1:39" s="467" customFormat="1" ht="12.75" customHeight="1">
      <c r="A833" s="487" t="str">
        <f t="shared" si="180"/>
        <v>2</v>
      </c>
      <c r="B833" s="487" t="str">
        <f t="shared" si="170"/>
        <v>11</v>
      </c>
      <c r="C833" s="487" t="str">
        <f t="shared" si="171"/>
        <v>20</v>
      </c>
      <c r="D833" s="487" t="str">
        <f t="shared" si="172"/>
        <v>1201</v>
      </c>
      <c r="E833" s="487">
        <v>524450000</v>
      </c>
      <c r="F833" s="488" t="str">
        <f t="shared" ref="F833:F863" si="188">+G833&amp;H833</f>
        <v/>
      </c>
      <c r="G833" s="489"/>
      <c r="H833" s="489"/>
      <c r="I833" s="488" t="str">
        <f t="shared" ref="I833:I863" si="189">+J833&amp;K833</f>
        <v/>
      </c>
      <c r="J833" s="487"/>
      <c r="K833" s="487"/>
      <c r="L833" s="488" t="str">
        <f t="shared" ref="L833:L863" si="190">+M833&amp;N833</f>
        <v/>
      </c>
      <c r="M833" s="487"/>
      <c r="N833" s="487"/>
      <c r="O833" s="488" t="str">
        <f t="shared" ref="O833:O863" si="191">+P833&amp;Q833</f>
        <v/>
      </c>
      <c r="P833" s="489"/>
      <c r="Q833" s="489"/>
      <c r="R833" s="592" t="str">
        <f t="shared" ref="R833:R863" si="192">+S833&amp;T833</f>
        <v/>
      </c>
      <c r="S833" s="487"/>
      <c r="T833" s="487"/>
      <c r="U833" s="488" t="str">
        <f t="shared" ref="U833:U863" si="193">+V833&amp;W833</f>
        <v/>
      </c>
      <c r="V833" s="489"/>
      <c r="W833" s="489"/>
      <c r="X833" s="488" t="str">
        <f t="shared" ref="X833:X863" si="194">+Y833&amp;Z833</f>
        <v/>
      </c>
      <c r="Y833" s="489"/>
      <c r="Z833" s="489"/>
      <c r="AA833" s="490" t="str">
        <f t="shared" si="168"/>
        <v/>
      </c>
      <c r="AB833" s="489"/>
      <c r="AC833" s="489"/>
      <c r="AD833" s="27">
        <v>211201</v>
      </c>
      <c r="AE833" s="27" t="s">
        <v>840</v>
      </c>
      <c r="AF833" s="432">
        <f>VLOOKUP(AD833,[5]Hoja1!$A$10:$K$1393,11,0)</f>
        <v>-588834611</v>
      </c>
      <c r="AG833" s="1507">
        <v>-14363964</v>
      </c>
      <c r="AH833" s="432">
        <f t="shared" si="169"/>
        <v>-603199</v>
      </c>
      <c r="AI833" s="494"/>
      <c r="AL833" s="448"/>
      <c r="AM833" s="467">
        <f>VLOOKUP(AD833,[6]BV201101!$A$10:$A$1236,1,0)</f>
        <v>211201</v>
      </c>
    </row>
    <row r="834" spans="1:39" s="467" customFormat="1" ht="12.75" customHeight="1">
      <c r="A834" s="487" t="str">
        <f t="shared" si="180"/>
        <v>2</v>
      </c>
      <c r="B834" s="487" t="str">
        <f t="shared" si="170"/>
        <v>11</v>
      </c>
      <c r="C834" s="487" t="str">
        <f t="shared" si="171"/>
        <v>20</v>
      </c>
      <c r="D834" s="487" t="str">
        <f t="shared" si="172"/>
        <v>1202</v>
      </c>
      <c r="E834" s="487">
        <v>524470000</v>
      </c>
      <c r="F834" s="488" t="str">
        <f t="shared" si="188"/>
        <v/>
      </c>
      <c r="G834" s="489"/>
      <c r="H834" s="489"/>
      <c r="I834" s="488" t="str">
        <f t="shared" si="189"/>
        <v/>
      </c>
      <c r="J834" s="487"/>
      <c r="K834" s="487"/>
      <c r="L834" s="488" t="str">
        <f t="shared" si="190"/>
        <v/>
      </c>
      <c r="M834" s="487"/>
      <c r="N834" s="487"/>
      <c r="O834" s="488" t="str">
        <f t="shared" si="191"/>
        <v/>
      </c>
      <c r="P834" s="489"/>
      <c r="Q834" s="489"/>
      <c r="R834" s="592" t="str">
        <f t="shared" si="192"/>
        <v/>
      </c>
      <c r="S834" s="487"/>
      <c r="T834" s="487"/>
      <c r="U834" s="488" t="str">
        <f t="shared" si="193"/>
        <v/>
      </c>
      <c r="V834" s="489"/>
      <c r="W834" s="489"/>
      <c r="X834" s="488" t="str">
        <f t="shared" si="194"/>
        <v/>
      </c>
      <c r="Y834" s="489"/>
      <c r="Z834" s="489"/>
      <c r="AA834" s="490" t="str">
        <f t="shared" si="168"/>
        <v>2223</v>
      </c>
      <c r="AB834" s="489">
        <v>22</v>
      </c>
      <c r="AC834" s="489">
        <v>23</v>
      </c>
      <c r="AD834" s="27">
        <v>211202</v>
      </c>
      <c r="AE834" s="27" t="s">
        <v>1654</v>
      </c>
      <c r="AF834" s="432">
        <f>VLOOKUP(AD834,[5]Hoja1!$A$10:$K$1393,11,0)</f>
        <v>-3219097</v>
      </c>
      <c r="AG834" s="432"/>
      <c r="AH834" s="432">
        <f t="shared" si="169"/>
        <v>-3219</v>
      </c>
      <c r="AL834" s="448"/>
      <c r="AM834" s="467">
        <f>VLOOKUP(AD834,[6]BV201101!$A$10:$A$1236,1,0)</f>
        <v>211202</v>
      </c>
    </row>
    <row r="835" spans="1:39" s="467" customFormat="1" ht="12.75" customHeight="1">
      <c r="A835" s="487" t="str">
        <f t="shared" si="180"/>
        <v>2</v>
      </c>
      <c r="B835" s="487" t="str">
        <f t="shared" si="170"/>
        <v>11</v>
      </c>
      <c r="C835" s="487" t="str">
        <f t="shared" si="171"/>
        <v>20</v>
      </c>
      <c r="D835" s="487" t="str">
        <f t="shared" si="172"/>
        <v>1203</v>
      </c>
      <c r="E835" s="487">
        <v>524310000</v>
      </c>
      <c r="F835" s="488" t="str">
        <f t="shared" si="188"/>
        <v/>
      </c>
      <c r="G835" s="489"/>
      <c r="H835" s="489"/>
      <c r="I835" s="488" t="str">
        <f t="shared" si="189"/>
        <v/>
      </c>
      <c r="J835" s="487"/>
      <c r="K835" s="487"/>
      <c r="L835" s="488" t="str">
        <f t="shared" si="190"/>
        <v/>
      </c>
      <c r="M835" s="487"/>
      <c r="N835" s="487"/>
      <c r="O835" s="488" t="str">
        <f t="shared" si="191"/>
        <v/>
      </c>
      <c r="P835" s="489"/>
      <c r="Q835" s="489"/>
      <c r="R835" s="592" t="str">
        <f t="shared" si="192"/>
        <v/>
      </c>
      <c r="S835" s="487"/>
      <c r="T835" s="487"/>
      <c r="U835" s="488" t="str">
        <f t="shared" si="193"/>
        <v/>
      </c>
      <c r="V835" s="489"/>
      <c r="W835" s="489"/>
      <c r="X835" s="488" t="str">
        <f t="shared" si="194"/>
        <v/>
      </c>
      <c r="Y835" s="489"/>
      <c r="Z835" s="489"/>
      <c r="AA835" s="490" t="str">
        <f t="shared" si="168"/>
        <v/>
      </c>
      <c r="AB835" s="489"/>
      <c r="AC835" s="489"/>
      <c r="AD835" s="27">
        <v>211203</v>
      </c>
      <c r="AE835" s="27" t="s">
        <v>2194</v>
      </c>
      <c r="AF835" s="432">
        <f>VLOOKUP(AD835,[5]Hoja1!$A$10:$K$1393,11,0)</f>
        <v>25051564</v>
      </c>
      <c r="AG835" s="432"/>
      <c r="AH835" s="432">
        <f t="shared" si="169"/>
        <v>25052</v>
      </c>
      <c r="AL835" s="448"/>
      <c r="AM835" s="467">
        <f>VLOOKUP(AD835,[6]BV201101!$A$10:$A$1236,1,0)</f>
        <v>211203</v>
      </c>
    </row>
    <row r="836" spans="1:39" s="467" customFormat="1" ht="12.75" customHeight="1">
      <c r="A836" s="487" t="str">
        <f t="shared" si="180"/>
        <v>2</v>
      </c>
      <c r="B836" s="487" t="str">
        <f t="shared" si="170"/>
        <v>11</v>
      </c>
      <c r="C836" s="487" t="str">
        <f t="shared" si="171"/>
        <v>20</v>
      </c>
      <c r="D836" s="487" t="str">
        <f t="shared" si="172"/>
        <v>1204</v>
      </c>
      <c r="E836" s="487">
        <v>524330000</v>
      </c>
      <c r="F836" s="488" t="str">
        <f t="shared" si="188"/>
        <v/>
      </c>
      <c r="G836" s="489"/>
      <c r="H836" s="489"/>
      <c r="I836" s="488" t="str">
        <f t="shared" si="189"/>
        <v/>
      </c>
      <c r="J836" s="487"/>
      <c r="K836" s="487"/>
      <c r="L836" s="488" t="str">
        <f t="shared" si="190"/>
        <v/>
      </c>
      <c r="M836" s="487"/>
      <c r="N836" s="487"/>
      <c r="O836" s="488" t="str">
        <f t="shared" si="191"/>
        <v/>
      </c>
      <c r="P836" s="489"/>
      <c r="Q836" s="489"/>
      <c r="R836" s="592" t="str">
        <f t="shared" si="192"/>
        <v/>
      </c>
      <c r="S836" s="487"/>
      <c r="T836" s="487"/>
      <c r="U836" s="488" t="str">
        <f t="shared" si="193"/>
        <v/>
      </c>
      <c r="V836" s="489"/>
      <c r="W836" s="489"/>
      <c r="X836" s="488" t="str">
        <f t="shared" si="194"/>
        <v/>
      </c>
      <c r="Y836" s="489"/>
      <c r="Z836" s="489"/>
      <c r="AA836" s="490" t="str">
        <f t="shared" si="168"/>
        <v/>
      </c>
      <c r="AB836" s="489"/>
      <c r="AC836" s="489"/>
      <c r="AD836" s="27">
        <v>211204</v>
      </c>
      <c r="AE836" s="27" t="s">
        <v>2195</v>
      </c>
      <c r="AF836" s="432">
        <f>VLOOKUP(AD836,[5]Hoja1!$A$10:$K$1393,11,0)</f>
        <v>-35933505</v>
      </c>
      <c r="AG836" s="432">
        <v>0</v>
      </c>
      <c r="AH836" s="432">
        <f t="shared" si="169"/>
        <v>-35934</v>
      </c>
      <c r="AL836" s="448"/>
      <c r="AM836" s="467">
        <f>VLOOKUP(AD836,[6]BV201101!$A$10:$A$1236,1,0)</f>
        <v>211204</v>
      </c>
    </row>
    <row r="837" spans="1:39" s="467" customFormat="1" ht="12.75" customHeight="1">
      <c r="A837" s="487" t="str">
        <f t="shared" si="180"/>
        <v>2</v>
      </c>
      <c r="B837" s="487" t="str">
        <f t="shared" si="170"/>
        <v>11</v>
      </c>
      <c r="C837" s="487" t="str">
        <f t="shared" si="171"/>
        <v>20</v>
      </c>
      <c r="D837" s="487" t="str">
        <f t="shared" si="172"/>
        <v>1205</v>
      </c>
      <c r="E837" s="487">
        <v>524420000</v>
      </c>
      <c r="F837" s="488" t="str">
        <f t="shared" si="188"/>
        <v/>
      </c>
      <c r="G837" s="489"/>
      <c r="H837" s="489"/>
      <c r="I837" s="488" t="str">
        <f t="shared" si="189"/>
        <v/>
      </c>
      <c r="J837" s="487"/>
      <c r="K837" s="487"/>
      <c r="L837" s="488" t="str">
        <f t="shared" si="190"/>
        <v/>
      </c>
      <c r="M837" s="487"/>
      <c r="N837" s="487"/>
      <c r="O837" s="488" t="str">
        <f t="shared" si="191"/>
        <v/>
      </c>
      <c r="P837" s="489"/>
      <c r="Q837" s="489"/>
      <c r="R837" s="592" t="str">
        <f t="shared" si="192"/>
        <v/>
      </c>
      <c r="S837" s="487"/>
      <c r="T837" s="487"/>
      <c r="U837" s="488" t="str">
        <f t="shared" si="193"/>
        <v/>
      </c>
      <c r="V837" s="489"/>
      <c r="W837" s="489"/>
      <c r="X837" s="488" t="str">
        <f t="shared" si="194"/>
        <v/>
      </c>
      <c r="Y837" s="489"/>
      <c r="Z837" s="489"/>
      <c r="AA837" s="490" t="str">
        <f t="shared" si="168"/>
        <v>2227</v>
      </c>
      <c r="AB837" s="489">
        <v>22</v>
      </c>
      <c r="AC837" s="489">
        <v>27</v>
      </c>
      <c r="AD837" s="27">
        <v>211205</v>
      </c>
      <c r="AE837" s="27" t="s">
        <v>1309</v>
      </c>
      <c r="AF837" s="432">
        <f>VLOOKUP(AD837,[5]Hoja1!$A$10:$K$1393,11,0)</f>
        <v>0</v>
      </c>
      <c r="AG837" s="432"/>
      <c r="AH837" s="432">
        <f t="shared" si="169"/>
        <v>0</v>
      </c>
      <c r="AL837" s="448"/>
      <c r="AM837" s="467">
        <f>VLOOKUP(AD837,[6]BV201101!$A$10:$A$1236,1,0)</f>
        <v>211205</v>
      </c>
    </row>
    <row r="838" spans="1:39" s="467" customFormat="1" ht="12.75" customHeight="1">
      <c r="A838" s="487" t="str">
        <f t="shared" si="180"/>
        <v>2</v>
      </c>
      <c r="B838" s="487" t="str">
        <f t="shared" si="170"/>
        <v>11</v>
      </c>
      <c r="C838" s="487" t="str">
        <f t="shared" si="171"/>
        <v>20</v>
      </c>
      <c r="D838" s="487" t="str">
        <f t="shared" si="172"/>
        <v>1206</v>
      </c>
      <c r="E838" s="487">
        <v>524470000</v>
      </c>
      <c r="F838" s="488" t="str">
        <f t="shared" si="188"/>
        <v/>
      </c>
      <c r="G838" s="489"/>
      <c r="H838" s="489"/>
      <c r="I838" s="488" t="str">
        <f t="shared" si="189"/>
        <v/>
      </c>
      <c r="J838" s="487"/>
      <c r="K838" s="487"/>
      <c r="L838" s="488" t="str">
        <f t="shared" si="190"/>
        <v/>
      </c>
      <c r="M838" s="487"/>
      <c r="N838" s="487"/>
      <c r="O838" s="488" t="str">
        <f t="shared" si="191"/>
        <v/>
      </c>
      <c r="P838" s="489"/>
      <c r="Q838" s="489"/>
      <c r="R838" s="592" t="str">
        <f t="shared" si="192"/>
        <v/>
      </c>
      <c r="S838" s="487"/>
      <c r="T838" s="487"/>
      <c r="U838" s="488" t="str">
        <f t="shared" si="193"/>
        <v/>
      </c>
      <c r="V838" s="489"/>
      <c r="W838" s="489"/>
      <c r="X838" s="488" t="str">
        <f t="shared" si="194"/>
        <v/>
      </c>
      <c r="Y838" s="489"/>
      <c r="Z838" s="489"/>
      <c r="AA838" s="490" t="str">
        <f t="shared" si="168"/>
        <v>2222</v>
      </c>
      <c r="AB838" s="489">
        <v>22</v>
      </c>
      <c r="AC838" s="489">
        <v>22</v>
      </c>
      <c r="AD838" s="27">
        <v>211206</v>
      </c>
      <c r="AE838" s="27" t="s">
        <v>2196</v>
      </c>
      <c r="AF838" s="432">
        <f>VLOOKUP(AD838,[5]Hoja1!$A$10:$K$1393,11,0)</f>
        <v>-234833007</v>
      </c>
      <c r="AG838" s="432"/>
      <c r="AH838" s="432">
        <f t="shared" si="169"/>
        <v>-234833</v>
      </c>
      <c r="AL838" s="448"/>
      <c r="AM838" s="467">
        <f>VLOOKUP(AD838,[6]BV201101!$A$10:$A$1236,1,0)</f>
        <v>211206</v>
      </c>
    </row>
    <row r="839" spans="1:39" s="467" customFormat="1" ht="12.75" customHeight="1">
      <c r="A839" s="487" t="str">
        <f t="shared" si="180"/>
        <v>2</v>
      </c>
      <c r="B839" s="487" t="str">
        <f t="shared" si="170"/>
        <v>11</v>
      </c>
      <c r="C839" s="487" t="str">
        <f t="shared" si="171"/>
        <v>20</v>
      </c>
      <c r="D839" s="487" t="str">
        <f t="shared" si="172"/>
        <v>1207</v>
      </c>
      <c r="E839" s="487">
        <v>524470000</v>
      </c>
      <c r="F839" s="488" t="str">
        <f t="shared" si="188"/>
        <v/>
      </c>
      <c r="G839" s="489"/>
      <c r="H839" s="489"/>
      <c r="I839" s="488" t="str">
        <f t="shared" si="189"/>
        <v/>
      </c>
      <c r="J839" s="487"/>
      <c r="K839" s="487"/>
      <c r="L839" s="488" t="str">
        <f t="shared" si="190"/>
        <v/>
      </c>
      <c r="M839" s="487"/>
      <c r="N839" s="487"/>
      <c r="O839" s="488" t="str">
        <f t="shared" si="191"/>
        <v/>
      </c>
      <c r="P839" s="489"/>
      <c r="Q839" s="489"/>
      <c r="R839" s="592" t="str">
        <f t="shared" si="192"/>
        <v/>
      </c>
      <c r="S839" s="487"/>
      <c r="T839" s="487"/>
      <c r="U839" s="488" t="str">
        <f t="shared" si="193"/>
        <v/>
      </c>
      <c r="V839" s="489"/>
      <c r="W839" s="489"/>
      <c r="X839" s="488" t="str">
        <f t="shared" si="194"/>
        <v/>
      </c>
      <c r="Y839" s="489"/>
      <c r="Z839" s="489"/>
      <c r="AA839" s="490" t="str">
        <f t="shared" si="168"/>
        <v>2222</v>
      </c>
      <c r="AB839" s="489">
        <v>22</v>
      </c>
      <c r="AC839" s="489">
        <v>22</v>
      </c>
      <c r="AD839" s="27">
        <v>211207</v>
      </c>
      <c r="AE839" s="27" t="s">
        <v>1659</v>
      </c>
      <c r="AF839" s="432">
        <f>VLOOKUP(AD839,[5]Hoja1!$A$10:$K$1393,11,0)</f>
        <v>0</v>
      </c>
      <c r="AG839" s="432"/>
      <c r="AH839" s="432">
        <f t="shared" si="169"/>
        <v>0</v>
      </c>
      <c r="AL839" s="448"/>
      <c r="AM839" s="467">
        <f>VLOOKUP(AD839,[6]BV201101!$A$10:$A$1236,1,0)</f>
        <v>211207</v>
      </c>
    </row>
    <row r="840" spans="1:39" s="467" customFormat="1" ht="12.75" customHeight="1">
      <c r="A840" s="487" t="str">
        <f t="shared" si="180"/>
        <v>2</v>
      </c>
      <c r="B840" s="487" t="str">
        <f t="shared" si="170"/>
        <v>11</v>
      </c>
      <c r="C840" s="487" t="str">
        <f t="shared" si="171"/>
        <v>20</v>
      </c>
      <c r="D840" s="487" t="str">
        <f t="shared" si="172"/>
        <v>1208</v>
      </c>
      <c r="E840" s="487">
        <v>524470000</v>
      </c>
      <c r="F840" s="488" t="str">
        <f t="shared" si="188"/>
        <v/>
      </c>
      <c r="G840" s="489"/>
      <c r="H840" s="489"/>
      <c r="I840" s="488" t="str">
        <f t="shared" si="189"/>
        <v/>
      </c>
      <c r="J840" s="487"/>
      <c r="K840" s="487"/>
      <c r="L840" s="488" t="str">
        <f t="shared" si="190"/>
        <v/>
      </c>
      <c r="M840" s="487"/>
      <c r="N840" s="487"/>
      <c r="O840" s="488" t="str">
        <f t="shared" si="191"/>
        <v/>
      </c>
      <c r="P840" s="489"/>
      <c r="Q840" s="489"/>
      <c r="R840" s="592" t="str">
        <f t="shared" si="192"/>
        <v/>
      </c>
      <c r="S840" s="487"/>
      <c r="T840" s="487"/>
      <c r="U840" s="488" t="str">
        <f t="shared" si="193"/>
        <v/>
      </c>
      <c r="V840" s="489"/>
      <c r="W840" s="489"/>
      <c r="X840" s="488" t="str">
        <f t="shared" si="194"/>
        <v/>
      </c>
      <c r="Y840" s="489"/>
      <c r="Z840" s="489"/>
      <c r="AA840" s="490" t="str">
        <f t="shared" si="168"/>
        <v>2222</v>
      </c>
      <c r="AB840" s="489">
        <v>22</v>
      </c>
      <c r="AC840" s="489">
        <v>22</v>
      </c>
      <c r="AD840" s="27">
        <v>211208</v>
      </c>
      <c r="AE840" s="27" t="s">
        <v>1655</v>
      </c>
      <c r="AF840" s="432">
        <f>VLOOKUP(AD840,[5]Hoja1!$A$10:$K$1393,11,0)</f>
        <v>-688212796</v>
      </c>
      <c r="AG840" s="1507">
        <f>-AG417</f>
        <v>688212796</v>
      </c>
      <c r="AH840" s="432">
        <f t="shared" si="169"/>
        <v>0</v>
      </c>
      <c r="AL840" s="448"/>
      <c r="AM840" s="467">
        <f>VLOOKUP(AD840,[6]BV201101!$A$10:$A$1236,1,0)</f>
        <v>211208</v>
      </c>
    </row>
    <row r="841" spans="1:39" s="467" customFormat="1" ht="12.75" customHeight="1">
      <c r="A841" s="487" t="str">
        <f t="shared" si="180"/>
        <v>2</v>
      </c>
      <c r="B841" s="487" t="str">
        <f t="shared" si="170"/>
        <v>11</v>
      </c>
      <c r="C841" s="487" t="str">
        <f t="shared" si="171"/>
        <v>20</v>
      </c>
      <c r="D841" s="487" t="str">
        <f t="shared" si="172"/>
        <v>1209</v>
      </c>
      <c r="E841" s="487">
        <v>524470000</v>
      </c>
      <c r="F841" s="488" t="str">
        <f t="shared" si="188"/>
        <v/>
      </c>
      <c r="G841" s="489"/>
      <c r="H841" s="489"/>
      <c r="I841" s="488" t="str">
        <f t="shared" si="189"/>
        <v/>
      </c>
      <c r="J841" s="487"/>
      <c r="K841" s="487"/>
      <c r="L841" s="488" t="str">
        <f t="shared" si="190"/>
        <v/>
      </c>
      <c r="M841" s="487"/>
      <c r="N841" s="487"/>
      <c r="O841" s="488" t="str">
        <f t="shared" si="191"/>
        <v/>
      </c>
      <c r="P841" s="489"/>
      <c r="Q841" s="489"/>
      <c r="R841" s="592" t="str">
        <f t="shared" si="192"/>
        <v/>
      </c>
      <c r="S841" s="487"/>
      <c r="T841" s="487"/>
      <c r="U841" s="488" t="str">
        <f t="shared" si="193"/>
        <v/>
      </c>
      <c r="V841" s="489"/>
      <c r="W841" s="489"/>
      <c r="X841" s="488" t="str">
        <f t="shared" si="194"/>
        <v/>
      </c>
      <c r="Y841" s="489"/>
      <c r="Z841" s="489"/>
      <c r="AA841" s="490" t="str">
        <f>+AB841&amp;AC841</f>
        <v>2222</v>
      </c>
      <c r="AB841" s="489">
        <v>22</v>
      </c>
      <c r="AC841" s="489">
        <v>22</v>
      </c>
      <c r="AD841" s="27">
        <v>211209</v>
      </c>
      <c r="AE841" s="27" t="s">
        <v>1310</v>
      </c>
      <c r="AF841" s="432">
        <f>VLOOKUP(AD841,[5]Hoja1!$A$10:$K$1393,11,0)</f>
        <v>0</v>
      </c>
      <c r="AG841" s="432"/>
      <c r="AH841" s="432">
        <f t="shared" si="169"/>
        <v>0</v>
      </c>
      <c r="AL841" s="448"/>
      <c r="AM841" s="467">
        <f>VLOOKUP(AD841,[6]BV201101!$A$10:$A$1236,1,0)</f>
        <v>211209</v>
      </c>
    </row>
    <row r="842" spans="1:39" s="467" customFormat="1" ht="12.75" customHeight="1">
      <c r="A842" s="487" t="str">
        <f t="shared" si="180"/>
        <v>2</v>
      </c>
      <c r="B842" s="487" t="str">
        <f t="shared" si="170"/>
        <v>11</v>
      </c>
      <c r="C842" s="487" t="str">
        <f t="shared" si="171"/>
        <v>21</v>
      </c>
      <c r="D842" s="487" t="str">
        <f t="shared" si="172"/>
        <v>1210</v>
      </c>
      <c r="E842" s="487"/>
      <c r="F842" s="488" t="str">
        <f t="shared" si="188"/>
        <v/>
      </c>
      <c r="G842" s="489"/>
      <c r="H842" s="489"/>
      <c r="I842" s="488" t="str">
        <f t="shared" si="189"/>
        <v/>
      </c>
      <c r="J842" s="487"/>
      <c r="K842" s="487"/>
      <c r="L842" s="488" t="str">
        <f t="shared" si="190"/>
        <v/>
      </c>
      <c r="M842" s="487"/>
      <c r="N842" s="487"/>
      <c r="O842" s="488" t="str">
        <f t="shared" si="191"/>
        <v/>
      </c>
      <c r="P842" s="489"/>
      <c r="Q842" s="489"/>
      <c r="R842" s="592" t="str">
        <f t="shared" si="192"/>
        <v/>
      </c>
      <c r="S842" s="487"/>
      <c r="T842" s="487"/>
      <c r="U842" s="488" t="str">
        <f t="shared" si="193"/>
        <v/>
      </c>
      <c r="V842" s="489"/>
      <c r="W842" s="489"/>
      <c r="X842" s="488" t="str">
        <f t="shared" si="194"/>
        <v/>
      </c>
      <c r="Y842" s="489"/>
      <c r="Z842" s="489"/>
      <c r="AA842" s="490" t="str">
        <f t="shared" si="168"/>
        <v/>
      </c>
      <c r="AB842" s="489"/>
      <c r="AC842" s="489"/>
      <c r="AD842" s="27">
        <v>211210</v>
      </c>
      <c r="AE842" s="27" t="s">
        <v>2197</v>
      </c>
      <c r="AF842" s="432">
        <f>VLOOKUP(AD842,[5]Hoja1!$A$10:$K$1393,11,0)</f>
        <v>0</v>
      </c>
      <c r="AG842" s="432"/>
      <c r="AH842" s="432">
        <f t="shared" si="169"/>
        <v>0</v>
      </c>
      <c r="AL842" s="448"/>
      <c r="AM842" s="467" t="e">
        <f>VLOOKUP(AD842,[6]BV201101!$A$10:$A$1236,1,0)</f>
        <v>#N/A</v>
      </c>
    </row>
    <row r="843" spans="1:39" s="467" customFormat="1" ht="12.75" customHeight="1">
      <c r="A843" s="487" t="str">
        <f t="shared" si="180"/>
        <v>2</v>
      </c>
      <c r="B843" s="487" t="str">
        <f t="shared" si="170"/>
        <v>11</v>
      </c>
      <c r="C843" s="487" t="str">
        <f t="shared" si="171"/>
        <v>21</v>
      </c>
      <c r="D843" s="487" t="str">
        <f t="shared" si="172"/>
        <v>1211</v>
      </c>
      <c r="E843" s="487">
        <v>524470000</v>
      </c>
      <c r="F843" s="488" t="str">
        <f t="shared" si="188"/>
        <v/>
      </c>
      <c r="G843" s="489"/>
      <c r="H843" s="489"/>
      <c r="I843" s="488" t="str">
        <f t="shared" si="189"/>
        <v/>
      </c>
      <c r="J843" s="487"/>
      <c r="K843" s="487"/>
      <c r="L843" s="488" t="str">
        <f t="shared" si="190"/>
        <v/>
      </c>
      <c r="M843" s="487"/>
      <c r="N843" s="487"/>
      <c r="O843" s="488" t="str">
        <f t="shared" si="191"/>
        <v/>
      </c>
      <c r="P843" s="489"/>
      <c r="Q843" s="489"/>
      <c r="R843" s="592" t="str">
        <f t="shared" si="192"/>
        <v/>
      </c>
      <c r="S843" s="487"/>
      <c r="T843" s="487"/>
      <c r="U843" s="488" t="str">
        <f t="shared" si="193"/>
        <v/>
      </c>
      <c r="V843" s="489"/>
      <c r="W843" s="489"/>
      <c r="X843" s="488" t="str">
        <f t="shared" si="194"/>
        <v/>
      </c>
      <c r="Y843" s="489"/>
      <c r="Z843" s="489"/>
      <c r="AA843" s="490" t="str">
        <f>+AB843&amp;AC843</f>
        <v>2222</v>
      </c>
      <c r="AB843" s="489">
        <v>22</v>
      </c>
      <c r="AC843" s="489">
        <v>22</v>
      </c>
      <c r="AD843" s="27">
        <v>211211</v>
      </c>
      <c r="AE843" s="27" t="s">
        <v>1311</v>
      </c>
      <c r="AF843" s="432">
        <f>VLOOKUP(AD843,[5]Hoja1!$A$10:$K$1393,11,0)</f>
        <v>0</v>
      </c>
      <c r="AG843" s="432"/>
      <c r="AH843" s="432">
        <f t="shared" si="169"/>
        <v>0</v>
      </c>
      <c r="AL843" s="448"/>
      <c r="AM843" s="467">
        <f>VLOOKUP(AD843,[6]BV201101!$A$10:$A$1236,1,0)</f>
        <v>211211</v>
      </c>
    </row>
    <row r="844" spans="1:39" s="467" customFormat="1" ht="12.75" customHeight="1">
      <c r="A844" s="487" t="str">
        <f t="shared" si="180"/>
        <v>2</v>
      </c>
      <c r="B844" s="487" t="str">
        <f t="shared" si="170"/>
        <v>11</v>
      </c>
      <c r="C844" s="487" t="str">
        <f t="shared" si="171"/>
        <v>21</v>
      </c>
      <c r="D844" s="487" t="str">
        <f t="shared" si="172"/>
        <v>1212</v>
      </c>
      <c r="E844" s="487">
        <v>524470000</v>
      </c>
      <c r="F844" s="488" t="str">
        <f t="shared" si="188"/>
        <v/>
      </c>
      <c r="G844" s="489"/>
      <c r="H844" s="489"/>
      <c r="I844" s="488" t="str">
        <f t="shared" si="189"/>
        <v/>
      </c>
      <c r="J844" s="487"/>
      <c r="K844" s="487"/>
      <c r="L844" s="488" t="str">
        <f t="shared" si="190"/>
        <v/>
      </c>
      <c r="M844" s="487"/>
      <c r="N844" s="487"/>
      <c r="O844" s="488" t="str">
        <f t="shared" si="191"/>
        <v/>
      </c>
      <c r="P844" s="489"/>
      <c r="Q844" s="489"/>
      <c r="R844" s="592" t="str">
        <f t="shared" si="192"/>
        <v/>
      </c>
      <c r="S844" s="487"/>
      <c r="T844" s="487"/>
      <c r="U844" s="488" t="str">
        <f t="shared" si="193"/>
        <v/>
      </c>
      <c r="V844" s="489"/>
      <c r="W844" s="489"/>
      <c r="X844" s="488" t="str">
        <f t="shared" si="194"/>
        <v/>
      </c>
      <c r="Y844" s="489"/>
      <c r="Z844" s="489"/>
      <c r="AA844" s="490" t="str">
        <f>+AB844&amp;AC844</f>
        <v>2222</v>
      </c>
      <c r="AB844" s="489">
        <v>22</v>
      </c>
      <c r="AC844" s="489">
        <v>22</v>
      </c>
      <c r="AD844" s="27">
        <v>211212</v>
      </c>
      <c r="AE844" s="27" t="s">
        <v>2198</v>
      </c>
      <c r="AF844" s="432">
        <f>VLOOKUP(AD844,[5]Hoja1!$A$10:$K$1393,11,0)</f>
        <v>0</v>
      </c>
      <c r="AG844" s="432"/>
      <c r="AH844" s="432">
        <f t="shared" si="169"/>
        <v>0</v>
      </c>
      <c r="AL844" s="448"/>
      <c r="AM844" s="467">
        <f>VLOOKUP(AD844,[6]BV201101!$A$10:$A$1236,1,0)</f>
        <v>211212</v>
      </c>
    </row>
    <row r="845" spans="1:39" s="467" customFormat="1" ht="12.75" customHeight="1">
      <c r="A845" s="487" t="str">
        <f t="shared" si="180"/>
        <v>2</v>
      </c>
      <c r="B845" s="487" t="str">
        <f t="shared" si="170"/>
        <v>11</v>
      </c>
      <c r="C845" s="487" t="str">
        <f t="shared" si="171"/>
        <v>21</v>
      </c>
      <c r="D845" s="487" t="str">
        <f t="shared" si="172"/>
        <v>1213</v>
      </c>
      <c r="E845" s="487">
        <v>524470000</v>
      </c>
      <c r="F845" s="488" t="str">
        <f>+G845&amp;H845</f>
        <v/>
      </c>
      <c r="G845" s="489"/>
      <c r="H845" s="489"/>
      <c r="I845" s="488" t="str">
        <f>+J845&amp;K845</f>
        <v/>
      </c>
      <c r="J845" s="487"/>
      <c r="K845" s="487"/>
      <c r="L845" s="488" t="str">
        <f>+M845&amp;N845</f>
        <v/>
      </c>
      <c r="M845" s="487"/>
      <c r="N845" s="487"/>
      <c r="O845" s="488" t="str">
        <f>+P845&amp;Q845</f>
        <v/>
      </c>
      <c r="P845" s="489"/>
      <c r="Q845" s="489"/>
      <c r="R845" s="592" t="str">
        <f>+S845&amp;T845</f>
        <v/>
      </c>
      <c r="S845" s="487"/>
      <c r="T845" s="487"/>
      <c r="U845" s="488" t="str">
        <f>+V845&amp;W845</f>
        <v/>
      </c>
      <c r="V845" s="489"/>
      <c r="W845" s="489"/>
      <c r="X845" s="488" t="str">
        <f>+Y845&amp;Z845</f>
        <v/>
      </c>
      <c r="Y845" s="489"/>
      <c r="Z845" s="489"/>
      <c r="AA845" s="490" t="str">
        <f>+AB845&amp;AC845</f>
        <v>2222</v>
      </c>
      <c r="AB845" s="489">
        <v>22</v>
      </c>
      <c r="AC845" s="489">
        <v>22</v>
      </c>
      <c r="AD845" s="27">
        <v>211213</v>
      </c>
      <c r="AE845" s="27" t="s">
        <v>2199</v>
      </c>
      <c r="AF845" s="432">
        <f>VLOOKUP(AD845,[5]Hoja1!$A$10:$K$1393,11,0)</f>
        <v>0</v>
      </c>
      <c r="AG845" s="432"/>
      <c r="AH845" s="432">
        <f t="shared" si="169"/>
        <v>0</v>
      </c>
      <c r="AL845" s="448"/>
      <c r="AM845" s="467">
        <f>VLOOKUP(AD845,[6]BV201101!$A$10:$A$1236,1,0)</f>
        <v>211213</v>
      </c>
    </row>
    <row r="846" spans="1:39" s="467" customFormat="1" ht="12.75" customHeight="1">
      <c r="A846" s="487" t="str">
        <f t="shared" si="180"/>
        <v>2</v>
      </c>
      <c r="B846" s="487" t="str">
        <f t="shared" si="170"/>
        <v>11</v>
      </c>
      <c r="C846" s="487" t="str">
        <f t="shared" si="171"/>
        <v>21</v>
      </c>
      <c r="D846" s="487" t="str">
        <f t="shared" si="172"/>
        <v>1214</v>
      </c>
      <c r="E846" s="487"/>
      <c r="F846" s="488" t="str">
        <f t="shared" si="188"/>
        <v/>
      </c>
      <c r="G846" s="489"/>
      <c r="H846" s="489"/>
      <c r="I846" s="488" t="str">
        <f t="shared" si="189"/>
        <v/>
      </c>
      <c r="J846" s="487"/>
      <c r="K846" s="487"/>
      <c r="L846" s="488" t="str">
        <f t="shared" si="190"/>
        <v/>
      </c>
      <c r="M846" s="487"/>
      <c r="N846" s="487"/>
      <c r="O846" s="488" t="str">
        <f t="shared" si="191"/>
        <v/>
      </c>
      <c r="P846" s="489"/>
      <c r="Q846" s="489"/>
      <c r="R846" s="592" t="str">
        <f t="shared" si="192"/>
        <v/>
      </c>
      <c r="S846" s="487"/>
      <c r="T846" s="487"/>
      <c r="U846" s="488" t="str">
        <f t="shared" si="193"/>
        <v/>
      </c>
      <c r="V846" s="489"/>
      <c r="W846" s="489"/>
      <c r="X846" s="488" t="str">
        <f t="shared" si="194"/>
        <v/>
      </c>
      <c r="Y846" s="489"/>
      <c r="Z846" s="489"/>
      <c r="AA846" s="490" t="str">
        <f t="shared" si="168"/>
        <v/>
      </c>
      <c r="AB846" s="489"/>
      <c r="AC846" s="489"/>
      <c r="AD846" s="27">
        <v>211214</v>
      </c>
      <c r="AE846" s="27" t="s">
        <v>2200</v>
      </c>
      <c r="AF846" s="432">
        <v>0</v>
      </c>
      <c r="AG846" s="432"/>
      <c r="AH846" s="432">
        <f t="shared" si="169"/>
        <v>0</v>
      </c>
      <c r="AL846" s="448"/>
      <c r="AM846" s="467" t="e">
        <f>VLOOKUP(AD846,[6]BV201101!$A$10:$A$1236,1,0)</f>
        <v>#N/A</v>
      </c>
    </row>
    <row r="847" spans="1:39" s="467" customFormat="1" ht="12.75" customHeight="1">
      <c r="A847" s="487" t="str">
        <f t="shared" si="180"/>
        <v>2</v>
      </c>
      <c r="B847" s="487" t="str">
        <f t="shared" si="170"/>
        <v>11</v>
      </c>
      <c r="C847" s="487" t="str">
        <f t="shared" si="171"/>
        <v>21</v>
      </c>
      <c r="D847" s="487" t="str">
        <f t="shared" si="172"/>
        <v>1215</v>
      </c>
      <c r="E847" s="487"/>
      <c r="F847" s="488" t="str">
        <f t="shared" si="188"/>
        <v/>
      </c>
      <c r="G847" s="489"/>
      <c r="H847" s="489"/>
      <c r="I847" s="488" t="str">
        <f t="shared" si="189"/>
        <v/>
      </c>
      <c r="J847" s="487"/>
      <c r="K847" s="487"/>
      <c r="L847" s="488" t="str">
        <f t="shared" si="190"/>
        <v/>
      </c>
      <c r="M847" s="487"/>
      <c r="N847" s="487"/>
      <c r="O847" s="488" t="str">
        <f t="shared" si="191"/>
        <v/>
      </c>
      <c r="P847" s="489"/>
      <c r="Q847" s="489"/>
      <c r="R847" s="592" t="str">
        <f t="shared" si="192"/>
        <v/>
      </c>
      <c r="S847" s="487"/>
      <c r="T847" s="487"/>
      <c r="U847" s="488" t="str">
        <f t="shared" si="193"/>
        <v/>
      </c>
      <c r="V847" s="489"/>
      <c r="W847" s="489"/>
      <c r="X847" s="488" t="str">
        <f t="shared" si="194"/>
        <v/>
      </c>
      <c r="Y847" s="489"/>
      <c r="Z847" s="489"/>
      <c r="AA847" s="490" t="str">
        <f t="shared" si="168"/>
        <v/>
      </c>
      <c r="AB847" s="489"/>
      <c r="AC847" s="489"/>
      <c r="AD847" s="27">
        <v>211215</v>
      </c>
      <c r="AE847" s="27" t="s">
        <v>2201</v>
      </c>
      <c r="AF847" s="432">
        <f>VLOOKUP(AD847,[5]Hoja1!$A$10:$K$1393,11,0)</f>
        <v>0</v>
      </c>
      <c r="AG847" s="432"/>
      <c r="AH847" s="432">
        <f t="shared" si="169"/>
        <v>0</v>
      </c>
      <c r="AL847" s="448"/>
      <c r="AM847" s="467">
        <f>VLOOKUP(AD847,[6]BV201101!$A$10:$A$1236,1,0)</f>
        <v>211215</v>
      </c>
    </row>
    <row r="848" spans="1:39" s="467" customFormat="1" ht="12.75" customHeight="1">
      <c r="A848" s="487" t="str">
        <f t="shared" si="180"/>
        <v>2</v>
      </c>
      <c r="B848" s="487" t="str">
        <f t="shared" si="170"/>
        <v>11</v>
      </c>
      <c r="C848" s="487" t="str">
        <f t="shared" si="171"/>
        <v>21</v>
      </c>
      <c r="D848" s="487" t="str">
        <f t="shared" si="172"/>
        <v>1216</v>
      </c>
      <c r="E848" s="487"/>
      <c r="F848" s="488" t="str">
        <f t="shared" si="188"/>
        <v/>
      </c>
      <c r="G848" s="489"/>
      <c r="H848" s="489"/>
      <c r="I848" s="488" t="str">
        <f t="shared" si="189"/>
        <v/>
      </c>
      <c r="J848" s="487"/>
      <c r="K848" s="487"/>
      <c r="L848" s="488" t="str">
        <f t="shared" si="190"/>
        <v/>
      </c>
      <c r="M848" s="487"/>
      <c r="N848" s="487"/>
      <c r="O848" s="488" t="str">
        <f t="shared" si="191"/>
        <v/>
      </c>
      <c r="P848" s="489"/>
      <c r="Q848" s="489"/>
      <c r="R848" s="592" t="str">
        <f t="shared" si="192"/>
        <v/>
      </c>
      <c r="S848" s="487"/>
      <c r="T848" s="487"/>
      <c r="U848" s="488" t="str">
        <f t="shared" si="193"/>
        <v/>
      </c>
      <c r="V848" s="489"/>
      <c r="W848" s="489"/>
      <c r="X848" s="488" t="str">
        <f t="shared" si="194"/>
        <v/>
      </c>
      <c r="Y848" s="489"/>
      <c r="Z848" s="489"/>
      <c r="AA848" s="490" t="str">
        <f t="shared" si="168"/>
        <v/>
      </c>
      <c r="AB848" s="489"/>
      <c r="AC848" s="489"/>
      <c r="AD848" s="27">
        <v>211216</v>
      </c>
      <c r="AE848" s="27" t="s">
        <v>2202</v>
      </c>
      <c r="AF848" s="432">
        <v>0</v>
      </c>
      <c r="AG848" s="432"/>
      <c r="AH848" s="432">
        <f t="shared" si="169"/>
        <v>0</v>
      </c>
      <c r="AL848" s="448"/>
      <c r="AM848" s="467" t="e">
        <f>VLOOKUP(AD848,[6]BV201101!$A$10:$A$1236,1,0)</f>
        <v>#N/A</v>
      </c>
    </row>
    <row r="849" spans="1:39" s="467" customFormat="1" ht="12.75" customHeight="1">
      <c r="A849" s="487" t="str">
        <f t="shared" si="180"/>
        <v>2</v>
      </c>
      <c r="B849" s="487" t="str">
        <f t="shared" si="170"/>
        <v>11</v>
      </c>
      <c r="C849" s="487" t="str">
        <f t="shared" si="171"/>
        <v>21</v>
      </c>
      <c r="D849" s="487" t="str">
        <f t="shared" si="172"/>
        <v>1217</v>
      </c>
      <c r="E849" s="487"/>
      <c r="F849" s="488" t="str">
        <f t="shared" si="188"/>
        <v/>
      </c>
      <c r="G849" s="489"/>
      <c r="H849" s="489"/>
      <c r="I849" s="488" t="str">
        <f t="shared" si="189"/>
        <v/>
      </c>
      <c r="J849" s="487"/>
      <c r="K849" s="487"/>
      <c r="L849" s="488" t="str">
        <f t="shared" si="190"/>
        <v/>
      </c>
      <c r="M849" s="487"/>
      <c r="N849" s="487"/>
      <c r="O849" s="488" t="str">
        <f t="shared" si="191"/>
        <v/>
      </c>
      <c r="P849" s="489"/>
      <c r="Q849" s="489"/>
      <c r="R849" s="592" t="str">
        <f t="shared" si="192"/>
        <v/>
      </c>
      <c r="S849" s="487"/>
      <c r="T849" s="487"/>
      <c r="U849" s="488" t="str">
        <f t="shared" si="193"/>
        <v/>
      </c>
      <c r="V849" s="489"/>
      <c r="W849" s="489"/>
      <c r="X849" s="488" t="str">
        <f t="shared" si="194"/>
        <v/>
      </c>
      <c r="Y849" s="489"/>
      <c r="Z849" s="489"/>
      <c r="AA849" s="490" t="str">
        <f t="shared" si="168"/>
        <v/>
      </c>
      <c r="AB849" s="489"/>
      <c r="AC849" s="489"/>
      <c r="AD849" s="27">
        <v>211217</v>
      </c>
      <c r="AE849" s="27" t="s">
        <v>1312</v>
      </c>
      <c r="AF849" s="432">
        <v>0</v>
      </c>
      <c r="AG849" s="432"/>
      <c r="AH849" s="432">
        <f t="shared" si="169"/>
        <v>0</v>
      </c>
      <c r="AL849" s="448"/>
      <c r="AM849" s="467" t="e">
        <f>VLOOKUP(AD849,[6]BV201101!$A$10:$A$1236,1,0)</f>
        <v>#N/A</v>
      </c>
    </row>
    <row r="850" spans="1:39" s="467" customFormat="1" ht="12.75" customHeight="1">
      <c r="A850" s="487" t="str">
        <f t="shared" si="180"/>
        <v>2</v>
      </c>
      <c r="B850" s="487" t="str">
        <f t="shared" si="170"/>
        <v>11</v>
      </c>
      <c r="C850" s="487" t="str">
        <f t="shared" si="171"/>
        <v>21</v>
      </c>
      <c r="D850" s="487" t="str">
        <f t="shared" si="172"/>
        <v>1218</v>
      </c>
      <c r="E850" s="487"/>
      <c r="F850" s="488" t="str">
        <f t="shared" si="188"/>
        <v/>
      </c>
      <c r="G850" s="489"/>
      <c r="H850" s="489"/>
      <c r="I850" s="488" t="str">
        <f t="shared" si="189"/>
        <v/>
      </c>
      <c r="J850" s="487"/>
      <c r="K850" s="487"/>
      <c r="L850" s="488" t="str">
        <f t="shared" si="190"/>
        <v/>
      </c>
      <c r="M850" s="487"/>
      <c r="N850" s="487"/>
      <c r="O850" s="488" t="str">
        <f t="shared" si="191"/>
        <v/>
      </c>
      <c r="P850" s="489"/>
      <c r="Q850" s="489"/>
      <c r="R850" s="592" t="str">
        <f t="shared" si="192"/>
        <v/>
      </c>
      <c r="S850" s="487"/>
      <c r="T850" s="487"/>
      <c r="U850" s="488" t="str">
        <f t="shared" si="193"/>
        <v/>
      </c>
      <c r="V850" s="489"/>
      <c r="W850" s="489"/>
      <c r="X850" s="488" t="str">
        <f t="shared" si="194"/>
        <v/>
      </c>
      <c r="Y850" s="489"/>
      <c r="Z850" s="489"/>
      <c r="AA850" s="490" t="str">
        <f t="shared" si="168"/>
        <v/>
      </c>
      <c r="AB850" s="489"/>
      <c r="AC850" s="489"/>
      <c r="AD850" s="27">
        <v>211218</v>
      </c>
      <c r="AE850" s="27" t="s">
        <v>1313</v>
      </c>
      <c r="AF850" s="432">
        <f>VLOOKUP(AD850,[5]Hoja1!$A$10:$K$1393,11,0)</f>
        <v>0</v>
      </c>
      <c r="AG850" s="432"/>
      <c r="AH850" s="432">
        <f t="shared" si="169"/>
        <v>0</v>
      </c>
      <c r="AL850" s="448"/>
      <c r="AM850" s="467" t="e">
        <f>VLOOKUP(AD850,[6]BV201101!$A$10:$A$1236,1,0)</f>
        <v>#N/A</v>
      </c>
    </row>
    <row r="851" spans="1:39" s="467" customFormat="1" ht="12.75" customHeight="1">
      <c r="A851" s="487" t="str">
        <f t="shared" si="180"/>
        <v>2</v>
      </c>
      <c r="B851" s="487" t="str">
        <f t="shared" si="170"/>
        <v>11</v>
      </c>
      <c r="C851" s="487" t="str">
        <f t="shared" si="171"/>
        <v>21</v>
      </c>
      <c r="D851" s="487" t="str">
        <f t="shared" si="172"/>
        <v>1219</v>
      </c>
      <c r="E851" s="487">
        <v>524470000</v>
      </c>
      <c r="F851" s="488" t="str">
        <f t="shared" si="188"/>
        <v/>
      </c>
      <c r="G851" s="489"/>
      <c r="H851" s="489"/>
      <c r="I851" s="488" t="str">
        <f t="shared" si="189"/>
        <v/>
      </c>
      <c r="J851" s="487"/>
      <c r="K851" s="487"/>
      <c r="L851" s="488" t="str">
        <f t="shared" si="190"/>
        <v/>
      </c>
      <c r="M851" s="487"/>
      <c r="N851" s="487"/>
      <c r="O851" s="488" t="str">
        <f t="shared" si="191"/>
        <v/>
      </c>
      <c r="P851" s="489"/>
      <c r="Q851" s="489"/>
      <c r="R851" s="592" t="str">
        <f t="shared" si="192"/>
        <v/>
      </c>
      <c r="S851" s="487"/>
      <c r="T851" s="487"/>
      <c r="U851" s="488" t="str">
        <f t="shared" si="193"/>
        <v/>
      </c>
      <c r="V851" s="489"/>
      <c r="W851" s="489"/>
      <c r="X851" s="488" t="str">
        <f t="shared" si="194"/>
        <v/>
      </c>
      <c r="Y851" s="489"/>
      <c r="Z851" s="489"/>
      <c r="AA851" s="490" t="str">
        <f t="shared" ref="AA851:AA856" si="195">+AB851&amp;AC851</f>
        <v>2222</v>
      </c>
      <c r="AB851" s="489">
        <v>22</v>
      </c>
      <c r="AC851" s="489">
        <v>22</v>
      </c>
      <c r="AD851" s="27">
        <v>211219</v>
      </c>
      <c r="AE851" s="27" t="s">
        <v>1314</v>
      </c>
      <c r="AF851" s="432">
        <f>VLOOKUP(AD851,[5]Hoja1!$A$10:$K$1393,11,0)</f>
        <v>0</v>
      </c>
      <c r="AG851" s="432"/>
      <c r="AH851" s="432">
        <f t="shared" si="169"/>
        <v>0</v>
      </c>
      <c r="AL851" s="448"/>
      <c r="AM851" s="467" t="e">
        <f>VLOOKUP(AD851,[6]BV201101!$A$10:$A$1236,1,0)</f>
        <v>#N/A</v>
      </c>
    </row>
    <row r="852" spans="1:39" s="467" customFormat="1" ht="12.75" customHeight="1">
      <c r="A852" s="487" t="str">
        <f t="shared" si="180"/>
        <v>2</v>
      </c>
      <c r="B852" s="487" t="str">
        <f t="shared" si="170"/>
        <v>11</v>
      </c>
      <c r="C852" s="487" t="str">
        <f t="shared" si="171"/>
        <v>22</v>
      </c>
      <c r="D852" s="487" t="str">
        <f t="shared" si="172"/>
        <v>1220</v>
      </c>
      <c r="E852" s="487">
        <v>524470000</v>
      </c>
      <c r="F852" s="488" t="str">
        <f t="shared" si="188"/>
        <v/>
      </c>
      <c r="G852" s="489"/>
      <c r="H852" s="489"/>
      <c r="I852" s="488" t="str">
        <f t="shared" si="189"/>
        <v/>
      </c>
      <c r="J852" s="487"/>
      <c r="K852" s="487"/>
      <c r="L852" s="488" t="str">
        <f t="shared" si="190"/>
        <v/>
      </c>
      <c r="M852" s="487"/>
      <c r="N852" s="487"/>
      <c r="O852" s="488" t="str">
        <f t="shared" si="191"/>
        <v/>
      </c>
      <c r="P852" s="489"/>
      <c r="Q852" s="489"/>
      <c r="R852" s="592" t="str">
        <f t="shared" si="192"/>
        <v/>
      </c>
      <c r="S852" s="487"/>
      <c r="T852" s="487"/>
      <c r="U852" s="488" t="str">
        <f t="shared" si="193"/>
        <v/>
      </c>
      <c r="V852" s="489"/>
      <c r="W852" s="489"/>
      <c r="X852" s="488" t="str">
        <f t="shared" si="194"/>
        <v/>
      </c>
      <c r="Y852" s="489"/>
      <c r="Z852" s="489"/>
      <c r="AA852" s="490" t="str">
        <f t="shared" si="195"/>
        <v>2222</v>
      </c>
      <c r="AB852" s="489">
        <v>22</v>
      </c>
      <c r="AC852" s="489">
        <v>22</v>
      </c>
      <c r="AD852" s="27">
        <v>211220</v>
      </c>
      <c r="AE852" s="27" t="s">
        <v>396</v>
      </c>
      <c r="AF852" s="432">
        <v>0</v>
      </c>
      <c r="AG852" s="432"/>
      <c r="AH852" s="432">
        <f t="shared" si="169"/>
        <v>0</v>
      </c>
      <c r="AL852" s="448"/>
      <c r="AM852" s="467" t="e">
        <f>VLOOKUP(AD852,[6]BV201101!$A$10:$A$1236,1,0)</f>
        <v>#N/A</v>
      </c>
    </row>
    <row r="853" spans="1:39" s="467" customFormat="1" ht="12.75" customHeight="1">
      <c r="A853" s="487" t="str">
        <f t="shared" si="180"/>
        <v>2</v>
      </c>
      <c r="B853" s="487" t="str">
        <f t="shared" si="170"/>
        <v>11</v>
      </c>
      <c r="C853" s="487" t="str">
        <f t="shared" si="171"/>
        <v>22</v>
      </c>
      <c r="D853" s="487" t="str">
        <f t="shared" si="172"/>
        <v>1221</v>
      </c>
      <c r="E853" s="487">
        <v>524410000</v>
      </c>
      <c r="F853" s="488" t="str">
        <f t="shared" si="188"/>
        <v/>
      </c>
      <c r="G853" s="489"/>
      <c r="H853" s="489"/>
      <c r="I853" s="488" t="str">
        <f t="shared" si="189"/>
        <v/>
      </c>
      <c r="J853" s="487"/>
      <c r="K853" s="487"/>
      <c r="L853" s="488" t="str">
        <f t="shared" si="190"/>
        <v/>
      </c>
      <c r="M853" s="487"/>
      <c r="N853" s="487"/>
      <c r="O853" s="488" t="str">
        <f t="shared" si="191"/>
        <v/>
      </c>
      <c r="P853" s="489"/>
      <c r="Q853" s="489"/>
      <c r="R853" s="592" t="str">
        <f t="shared" si="192"/>
        <v/>
      </c>
      <c r="S853" s="487"/>
      <c r="T853" s="487"/>
      <c r="U853" s="488" t="str">
        <f t="shared" si="193"/>
        <v/>
      </c>
      <c r="V853" s="489"/>
      <c r="W853" s="489"/>
      <c r="X853" s="488" t="str">
        <f t="shared" si="194"/>
        <v/>
      </c>
      <c r="Y853" s="489"/>
      <c r="Z853" s="489"/>
      <c r="AA853" s="490" t="str">
        <f t="shared" si="195"/>
        <v/>
      </c>
      <c r="AB853" s="489"/>
      <c r="AC853" s="489"/>
      <c r="AD853" s="27">
        <v>211221</v>
      </c>
      <c r="AE853" s="27" t="s">
        <v>274</v>
      </c>
      <c r="AF853" s="432">
        <f>VLOOKUP(AD853,[5]Hoja1!$A$10:$K$1393,11,0)</f>
        <v>0</v>
      </c>
      <c r="AG853" s="432"/>
      <c r="AH853" s="432">
        <f t="shared" si="169"/>
        <v>0</v>
      </c>
      <c r="AL853" s="448"/>
      <c r="AM853" s="467">
        <f>VLOOKUP(AD853,[6]BV201101!$A$10:$A$1236,1,0)</f>
        <v>211221</v>
      </c>
    </row>
    <row r="854" spans="1:39" s="467" customFormat="1" ht="12.75" customHeight="1">
      <c r="A854" s="487" t="str">
        <f t="shared" si="180"/>
        <v>2</v>
      </c>
      <c r="B854" s="487" t="str">
        <f t="shared" si="170"/>
        <v>11</v>
      </c>
      <c r="C854" s="487" t="str">
        <f t="shared" si="171"/>
        <v>22</v>
      </c>
      <c r="D854" s="487" t="str">
        <f t="shared" si="172"/>
        <v>1222</v>
      </c>
      <c r="E854" s="487">
        <v>524470000</v>
      </c>
      <c r="F854" s="488" t="str">
        <f t="shared" si="188"/>
        <v/>
      </c>
      <c r="G854" s="489"/>
      <c r="H854" s="489"/>
      <c r="I854" s="488" t="str">
        <f t="shared" si="189"/>
        <v/>
      </c>
      <c r="J854" s="487"/>
      <c r="K854" s="487"/>
      <c r="L854" s="488" t="str">
        <f t="shared" si="190"/>
        <v/>
      </c>
      <c r="M854" s="487"/>
      <c r="N854" s="487"/>
      <c r="O854" s="488" t="str">
        <f t="shared" si="191"/>
        <v/>
      </c>
      <c r="P854" s="489"/>
      <c r="Q854" s="489"/>
      <c r="R854" s="592" t="str">
        <f t="shared" si="192"/>
        <v/>
      </c>
      <c r="S854" s="487"/>
      <c r="T854" s="487"/>
      <c r="U854" s="488" t="str">
        <f t="shared" si="193"/>
        <v/>
      </c>
      <c r="V854" s="489"/>
      <c r="W854" s="489"/>
      <c r="X854" s="488" t="str">
        <f t="shared" si="194"/>
        <v/>
      </c>
      <c r="Y854" s="489"/>
      <c r="Z854" s="489"/>
      <c r="AA854" s="490" t="str">
        <f t="shared" si="195"/>
        <v>2222</v>
      </c>
      <c r="AB854" s="489">
        <v>22</v>
      </c>
      <c r="AC854" s="489">
        <v>22</v>
      </c>
      <c r="AD854" s="27">
        <v>211222</v>
      </c>
      <c r="AE854" s="27" t="s">
        <v>364</v>
      </c>
      <c r="AF854" s="432">
        <f>VLOOKUP(AD854,[5]Hoja1!$A$10:$K$1393,11,0)</f>
        <v>0</v>
      </c>
      <c r="AG854" s="432"/>
      <c r="AH854" s="432">
        <f t="shared" si="169"/>
        <v>0</v>
      </c>
      <c r="AL854" s="448"/>
      <c r="AM854" s="467">
        <f>VLOOKUP(AD854,[6]BV201101!$A$10:$A$1236,1,0)</f>
        <v>211222</v>
      </c>
    </row>
    <row r="855" spans="1:39" s="467" customFormat="1" ht="12.75" customHeight="1">
      <c r="A855" s="487" t="str">
        <f t="shared" si="180"/>
        <v>2</v>
      </c>
      <c r="B855" s="487" t="str">
        <f t="shared" si="170"/>
        <v>11</v>
      </c>
      <c r="C855" s="487" t="str">
        <f t="shared" si="171"/>
        <v>22</v>
      </c>
      <c r="D855" s="487" t="str">
        <f t="shared" si="172"/>
        <v>1223</v>
      </c>
      <c r="E855" s="487">
        <v>524470000</v>
      </c>
      <c r="F855" s="488" t="str">
        <f t="shared" si="188"/>
        <v/>
      </c>
      <c r="G855" s="489"/>
      <c r="H855" s="489"/>
      <c r="I855" s="488" t="str">
        <f t="shared" si="189"/>
        <v/>
      </c>
      <c r="J855" s="487"/>
      <c r="K855" s="487"/>
      <c r="L855" s="488" t="str">
        <f t="shared" si="190"/>
        <v/>
      </c>
      <c r="M855" s="487"/>
      <c r="N855" s="487"/>
      <c r="O855" s="488" t="str">
        <f t="shared" si="191"/>
        <v/>
      </c>
      <c r="P855" s="489"/>
      <c r="Q855" s="489"/>
      <c r="R855" s="592" t="str">
        <f t="shared" si="192"/>
        <v/>
      </c>
      <c r="S855" s="487"/>
      <c r="T855" s="487"/>
      <c r="U855" s="488" t="str">
        <f t="shared" si="193"/>
        <v/>
      </c>
      <c r="V855" s="489"/>
      <c r="W855" s="489"/>
      <c r="X855" s="488" t="str">
        <f t="shared" si="194"/>
        <v/>
      </c>
      <c r="Y855" s="489"/>
      <c r="Z855" s="489"/>
      <c r="AA855" s="490" t="str">
        <f t="shared" si="195"/>
        <v>2222</v>
      </c>
      <c r="AB855" s="489">
        <v>22</v>
      </c>
      <c r="AC855" s="489">
        <v>22</v>
      </c>
      <c r="AD855" s="27">
        <v>211223</v>
      </c>
      <c r="AE855" s="27" t="s">
        <v>1337</v>
      </c>
      <c r="AF855" s="432">
        <f>VLOOKUP(AD855,[5]Hoja1!$A$10:$K$1393,11,0)</f>
        <v>-6824390571</v>
      </c>
      <c r="AG855" s="1508">
        <f>-AG428</f>
        <v>6809545676</v>
      </c>
      <c r="AH855" s="432">
        <f t="shared" ref="AH855:AH918" si="196">ROUND((AF855+AG855)/$AH$2,0)</f>
        <v>-14845</v>
      </c>
      <c r="AJ855" s="467">
        <v>4272372428</v>
      </c>
      <c r="AL855" s="448"/>
      <c r="AM855" s="467">
        <f>VLOOKUP(AD855,[6]BV201101!$A$10:$A$1236,1,0)</f>
        <v>211223</v>
      </c>
    </row>
    <row r="856" spans="1:39" s="467" customFormat="1" ht="12.75" customHeight="1">
      <c r="A856" s="487" t="str">
        <f t="shared" si="180"/>
        <v>2</v>
      </c>
      <c r="B856" s="487" t="str">
        <f t="shared" si="170"/>
        <v>11</v>
      </c>
      <c r="C856" s="487" t="str">
        <f t="shared" si="171"/>
        <v>22</v>
      </c>
      <c r="D856" s="487" t="str">
        <f t="shared" si="172"/>
        <v>1224</v>
      </c>
      <c r="E856" s="487">
        <v>524470000</v>
      </c>
      <c r="F856" s="488" t="str">
        <f t="shared" si="188"/>
        <v/>
      </c>
      <c r="G856" s="489"/>
      <c r="H856" s="489"/>
      <c r="I856" s="488" t="str">
        <f t="shared" si="189"/>
        <v/>
      </c>
      <c r="J856" s="487"/>
      <c r="K856" s="487"/>
      <c r="L856" s="488" t="str">
        <f t="shared" si="190"/>
        <v/>
      </c>
      <c r="M856" s="487"/>
      <c r="N856" s="487"/>
      <c r="O856" s="488" t="str">
        <f t="shared" si="191"/>
        <v/>
      </c>
      <c r="P856" s="489"/>
      <c r="Q856" s="489"/>
      <c r="R856" s="592" t="str">
        <f t="shared" si="192"/>
        <v/>
      </c>
      <c r="S856" s="487"/>
      <c r="T856" s="487"/>
      <c r="U856" s="488" t="str">
        <f t="shared" si="193"/>
        <v/>
      </c>
      <c r="V856" s="489"/>
      <c r="W856" s="489"/>
      <c r="X856" s="488" t="str">
        <f t="shared" si="194"/>
        <v/>
      </c>
      <c r="Y856" s="489"/>
      <c r="Z856" s="489"/>
      <c r="AA856" s="490" t="str">
        <f t="shared" si="195"/>
        <v>2222</v>
      </c>
      <c r="AB856" s="489">
        <v>22</v>
      </c>
      <c r="AC856" s="489">
        <v>22</v>
      </c>
      <c r="AD856" s="27">
        <v>211224</v>
      </c>
      <c r="AE856" s="27" t="s">
        <v>365</v>
      </c>
      <c r="AF856" s="432">
        <v>0</v>
      </c>
      <c r="AG856" s="432"/>
      <c r="AH856" s="432">
        <f t="shared" si="196"/>
        <v>0</v>
      </c>
      <c r="AL856" s="448"/>
      <c r="AM856" s="467" t="e">
        <f>VLOOKUP(AD856,[6]BV201101!$A$10:$A$1236,1,0)</f>
        <v>#N/A</v>
      </c>
    </row>
    <row r="857" spans="1:39" s="467" customFormat="1" ht="12.75" customHeight="1">
      <c r="A857" s="487" t="str">
        <f t="shared" si="180"/>
        <v>2</v>
      </c>
      <c r="B857" s="487" t="str">
        <f t="shared" si="170"/>
        <v>11</v>
      </c>
      <c r="C857" s="487" t="str">
        <f t="shared" si="171"/>
        <v>22</v>
      </c>
      <c r="D857" s="487" t="str">
        <f t="shared" si="172"/>
        <v>1225</v>
      </c>
      <c r="E857" s="487">
        <v>524410000</v>
      </c>
      <c r="F857" s="488" t="str">
        <f t="shared" si="188"/>
        <v/>
      </c>
      <c r="G857" s="489"/>
      <c r="H857" s="489"/>
      <c r="I857" s="488" t="str">
        <f t="shared" si="189"/>
        <v/>
      </c>
      <c r="J857" s="487"/>
      <c r="K857" s="487"/>
      <c r="L857" s="488" t="str">
        <f t="shared" si="190"/>
        <v/>
      </c>
      <c r="M857" s="487"/>
      <c r="N857" s="487"/>
      <c r="O857" s="488" t="str">
        <f t="shared" si="191"/>
        <v/>
      </c>
      <c r="P857" s="489"/>
      <c r="Q857" s="489"/>
      <c r="R857" s="592" t="str">
        <f t="shared" si="192"/>
        <v/>
      </c>
      <c r="S857" s="487"/>
      <c r="T857" s="487"/>
      <c r="U857" s="488" t="str">
        <f t="shared" si="193"/>
        <v/>
      </c>
      <c r="V857" s="489"/>
      <c r="W857" s="489"/>
      <c r="X857" s="488" t="str">
        <f t="shared" si="194"/>
        <v/>
      </c>
      <c r="Y857" s="489"/>
      <c r="Z857" s="489"/>
      <c r="AA857" s="490"/>
      <c r="AB857" s="489"/>
      <c r="AC857" s="489"/>
      <c r="AD857" s="27">
        <v>211225</v>
      </c>
      <c r="AE857" s="27" t="s">
        <v>366</v>
      </c>
      <c r="AF857" s="432">
        <f>VLOOKUP(AD857,[5]Hoja1!$A$10:$K$1393,11,0)</f>
        <v>0</v>
      </c>
      <c r="AG857" s="444">
        <f>-AG897-AG896-AG898</f>
        <v>0</v>
      </c>
      <c r="AH857" s="432">
        <f t="shared" si="196"/>
        <v>0</v>
      </c>
      <c r="AL857" s="448"/>
      <c r="AM857" s="467">
        <f>VLOOKUP(AD857,[6]BV201101!$A$10:$A$1236,1,0)</f>
        <v>211225</v>
      </c>
    </row>
    <row r="858" spans="1:39" s="467" customFormat="1" ht="12.75" customHeight="1">
      <c r="A858" s="487" t="str">
        <f t="shared" si="180"/>
        <v>2</v>
      </c>
      <c r="B858" s="487" t="str">
        <f t="shared" si="170"/>
        <v>11</v>
      </c>
      <c r="C858" s="487" t="str">
        <f t="shared" si="171"/>
        <v>22</v>
      </c>
      <c r="D858" s="487" t="str">
        <f t="shared" si="172"/>
        <v>1226</v>
      </c>
      <c r="E858" s="487">
        <v>524470000</v>
      </c>
      <c r="F858" s="488" t="str">
        <f t="shared" si="188"/>
        <v/>
      </c>
      <c r="G858" s="489"/>
      <c r="H858" s="489"/>
      <c r="I858" s="488" t="str">
        <f t="shared" si="189"/>
        <v/>
      </c>
      <c r="J858" s="487"/>
      <c r="K858" s="487"/>
      <c r="L858" s="488" t="str">
        <f t="shared" si="190"/>
        <v/>
      </c>
      <c r="M858" s="487"/>
      <c r="N858" s="487"/>
      <c r="O858" s="488" t="str">
        <f t="shared" si="191"/>
        <v/>
      </c>
      <c r="P858" s="489"/>
      <c r="Q858" s="489"/>
      <c r="R858" s="592" t="str">
        <f t="shared" si="192"/>
        <v/>
      </c>
      <c r="S858" s="487"/>
      <c r="T858" s="487"/>
      <c r="U858" s="488" t="str">
        <f t="shared" si="193"/>
        <v/>
      </c>
      <c r="V858" s="489"/>
      <c r="W858" s="489"/>
      <c r="X858" s="488" t="str">
        <f t="shared" si="194"/>
        <v/>
      </c>
      <c r="Y858" s="489"/>
      <c r="Z858" s="489"/>
      <c r="AA858" s="490" t="str">
        <f t="shared" ref="AA858:AA863" si="197">+AB858&amp;AC858</f>
        <v>2222</v>
      </c>
      <c r="AB858" s="489">
        <v>22</v>
      </c>
      <c r="AC858" s="489">
        <v>22</v>
      </c>
      <c r="AD858" s="27">
        <v>211226</v>
      </c>
      <c r="AE858" s="27" t="s">
        <v>1587</v>
      </c>
      <c r="AF858" s="432">
        <f>VLOOKUP(AD858,[5]Hoja1!$A$10:$K$1393,11,0)</f>
        <v>0</v>
      </c>
      <c r="AG858" s="432"/>
      <c r="AH858" s="432">
        <f t="shared" si="196"/>
        <v>0</v>
      </c>
      <c r="AL858" s="448"/>
      <c r="AM858" s="467">
        <f>VLOOKUP(AD858,[6]BV201101!$A$10:$A$1236,1,0)</f>
        <v>211226</v>
      </c>
    </row>
    <row r="859" spans="1:39" s="467" customFormat="1" ht="12.75" customHeight="1">
      <c r="A859" s="487" t="str">
        <f t="shared" si="180"/>
        <v>2</v>
      </c>
      <c r="B859" s="487" t="str">
        <f t="shared" si="170"/>
        <v>11</v>
      </c>
      <c r="C859" s="487" t="str">
        <f t="shared" si="171"/>
        <v>22</v>
      </c>
      <c r="D859" s="487" t="str">
        <f t="shared" si="172"/>
        <v>1227</v>
      </c>
      <c r="E859" s="487">
        <v>524440000</v>
      </c>
      <c r="F859" s="488" t="str">
        <f t="shared" si="188"/>
        <v/>
      </c>
      <c r="G859" s="489"/>
      <c r="H859" s="489"/>
      <c r="I859" s="488" t="str">
        <f t="shared" si="189"/>
        <v/>
      </c>
      <c r="J859" s="487"/>
      <c r="K859" s="487"/>
      <c r="L859" s="488" t="str">
        <f t="shared" si="190"/>
        <v/>
      </c>
      <c r="M859" s="487"/>
      <c r="N859" s="487"/>
      <c r="O859" s="488" t="str">
        <f t="shared" si="191"/>
        <v/>
      </c>
      <c r="P859" s="489"/>
      <c r="Q859" s="489"/>
      <c r="R859" s="592" t="str">
        <f t="shared" si="192"/>
        <v/>
      </c>
      <c r="S859" s="487"/>
      <c r="T859" s="487"/>
      <c r="U859" s="488" t="str">
        <f t="shared" si="193"/>
        <v/>
      </c>
      <c r="V859" s="489"/>
      <c r="W859" s="489"/>
      <c r="X859" s="488" t="str">
        <f t="shared" si="194"/>
        <v/>
      </c>
      <c r="Y859" s="489"/>
      <c r="Z859" s="489"/>
      <c r="AA859" s="490" t="str">
        <f t="shared" si="197"/>
        <v>229</v>
      </c>
      <c r="AB859" s="489">
        <v>22</v>
      </c>
      <c r="AC859" s="489">
        <v>9</v>
      </c>
      <c r="AD859" s="27">
        <v>211227</v>
      </c>
      <c r="AE859" s="27" t="s">
        <v>2203</v>
      </c>
      <c r="AF859" s="432">
        <f>VLOOKUP(AD859,[5]Hoja1!$A$10:$K$1393,11,0)</f>
        <v>0</v>
      </c>
      <c r="AG859" s="1203">
        <v>0</v>
      </c>
      <c r="AH859" s="432">
        <f t="shared" si="196"/>
        <v>0</v>
      </c>
      <c r="AL859" s="448"/>
      <c r="AM859" s="467">
        <f>VLOOKUP(AD859,[6]BV201101!$A$10:$A$1236,1,0)</f>
        <v>211227</v>
      </c>
    </row>
    <row r="860" spans="1:39" s="467" customFormat="1" ht="12.75" customHeight="1">
      <c r="A860" s="487" t="str">
        <f t="shared" si="180"/>
        <v>2</v>
      </c>
      <c r="B860" s="487" t="str">
        <f t="shared" si="170"/>
        <v>11</v>
      </c>
      <c r="C860" s="487" t="str">
        <f t="shared" si="171"/>
        <v>22</v>
      </c>
      <c r="D860" s="487" t="str">
        <f t="shared" si="172"/>
        <v>1228</v>
      </c>
      <c r="E860" s="487">
        <v>524470000</v>
      </c>
      <c r="F860" s="488" t="str">
        <f t="shared" si="188"/>
        <v/>
      </c>
      <c r="G860" s="487"/>
      <c r="H860" s="487"/>
      <c r="I860" s="488" t="str">
        <f t="shared" si="189"/>
        <v/>
      </c>
      <c r="J860" s="487"/>
      <c r="K860" s="487"/>
      <c r="L860" s="488" t="str">
        <f t="shared" si="190"/>
        <v/>
      </c>
      <c r="M860" s="487"/>
      <c r="N860" s="487"/>
      <c r="O860" s="488" t="str">
        <f t="shared" si="191"/>
        <v/>
      </c>
      <c r="P860" s="489"/>
      <c r="Q860" s="489"/>
      <c r="R860" s="592" t="str">
        <f t="shared" si="192"/>
        <v/>
      </c>
      <c r="S860" s="487"/>
      <c r="T860" s="487"/>
      <c r="U860" s="488" t="str">
        <f t="shared" si="193"/>
        <v/>
      </c>
      <c r="V860" s="489"/>
      <c r="W860" s="489"/>
      <c r="X860" s="488" t="str">
        <f t="shared" si="194"/>
        <v/>
      </c>
      <c r="Y860" s="489"/>
      <c r="Z860" s="489"/>
      <c r="AA860" s="490" t="str">
        <f t="shared" si="197"/>
        <v>2222</v>
      </c>
      <c r="AB860" s="489">
        <v>22</v>
      </c>
      <c r="AC860" s="489">
        <v>22</v>
      </c>
      <c r="AD860" s="27">
        <v>211228</v>
      </c>
      <c r="AE860" s="27" t="s">
        <v>2204</v>
      </c>
      <c r="AF860" s="432">
        <f>VLOOKUP(AD860,[5]Hoja1!$A$10:$K$1393,11,0)</f>
        <v>-515310281</v>
      </c>
      <c r="AG860" s="432"/>
      <c r="AH860" s="432">
        <f t="shared" si="196"/>
        <v>-515310</v>
      </c>
      <c r="AL860" s="448"/>
      <c r="AM860" s="467">
        <f>VLOOKUP(AD860,[6]BV201101!$A$10:$A$1236,1,0)</f>
        <v>211228</v>
      </c>
    </row>
    <row r="861" spans="1:39" s="467" customFormat="1" ht="12.75" customHeight="1">
      <c r="A861" s="487" t="str">
        <f t="shared" si="180"/>
        <v>2</v>
      </c>
      <c r="B861" s="487" t="str">
        <f t="shared" si="170"/>
        <v>11</v>
      </c>
      <c r="C861" s="487" t="str">
        <f t="shared" si="171"/>
        <v>22</v>
      </c>
      <c r="D861" s="487" t="str">
        <f t="shared" si="172"/>
        <v>1229</v>
      </c>
      <c r="E861" s="487">
        <v>524450000</v>
      </c>
      <c r="F861" s="488" t="str">
        <f t="shared" si="188"/>
        <v/>
      </c>
      <c r="G861" s="489"/>
      <c r="H861" s="489"/>
      <c r="I861" s="488" t="str">
        <f t="shared" si="189"/>
        <v/>
      </c>
      <c r="J861" s="487"/>
      <c r="K861" s="487"/>
      <c r="L861" s="488" t="str">
        <f t="shared" si="190"/>
        <v/>
      </c>
      <c r="M861" s="487"/>
      <c r="N861" s="487"/>
      <c r="O861" s="488" t="str">
        <f t="shared" si="191"/>
        <v/>
      </c>
      <c r="P861" s="489"/>
      <c r="Q861" s="489"/>
      <c r="R861" s="592" t="str">
        <f t="shared" si="192"/>
        <v/>
      </c>
      <c r="S861" s="487"/>
      <c r="T861" s="487"/>
      <c r="U861" s="488" t="str">
        <f t="shared" si="193"/>
        <v/>
      </c>
      <c r="V861" s="489"/>
      <c r="W861" s="489"/>
      <c r="X861" s="488" t="str">
        <f t="shared" si="194"/>
        <v/>
      </c>
      <c r="Y861" s="489"/>
      <c r="Z861" s="489"/>
      <c r="AA861" s="490" t="str">
        <f t="shared" si="197"/>
        <v/>
      </c>
      <c r="AB861" s="489"/>
      <c r="AC861" s="489"/>
      <c r="AD861" s="27">
        <v>211229</v>
      </c>
      <c r="AE861" s="27" t="s">
        <v>200</v>
      </c>
      <c r="AF861" s="432">
        <f>VLOOKUP(AD861,[5]Hoja1!$A$10:$K$1393,11,0)</f>
        <v>-22256714</v>
      </c>
      <c r="AG861" s="432"/>
      <c r="AH861" s="432">
        <f t="shared" si="196"/>
        <v>-22257</v>
      </c>
      <c r="AL861" s="448"/>
      <c r="AM861" s="467">
        <f>VLOOKUP(AD861,[6]BV201101!$A$10:$A$1236,1,0)</f>
        <v>211229</v>
      </c>
    </row>
    <row r="862" spans="1:39" s="467" customFormat="1" ht="12.75" customHeight="1">
      <c r="A862" s="487" t="str">
        <f t="shared" si="180"/>
        <v>2</v>
      </c>
      <c r="B862" s="487" t="str">
        <f t="shared" si="170"/>
        <v>11</v>
      </c>
      <c r="C862" s="487" t="str">
        <f t="shared" si="171"/>
        <v>23</v>
      </c>
      <c r="D862" s="487" t="str">
        <f t="shared" si="172"/>
        <v>1230</v>
      </c>
      <c r="E862" s="487">
        <v>524470000</v>
      </c>
      <c r="F862" s="488" t="str">
        <f t="shared" si="188"/>
        <v/>
      </c>
      <c r="G862" s="489"/>
      <c r="H862" s="489"/>
      <c r="I862" s="488" t="str">
        <f t="shared" si="189"/>
        <v/>
      </c>
      <c r="J862" s="487"/>
      <c r="K862" s="487"/>
      <c r="L862" s="488" t="str">
        <f t="shared" si="190"/>
        <v/>
      </c>
      <c r="M862" s="487"/>
      <c r="N862" s="487"/>
      <c r="O862" s="488" t="str">
        <f t="shared" si="191"/>
        <v/>
      </c>
      <c r="P862" s="489"/>
      <c r="Q862" s="489"/>
      <c r="R862" s="592" t="str">
        <f t="shared" si="192"/>
        <v/>
      </c>
      <c r="S862" s="487"/>
      <c r="T862" s="487"/>
      <c r="U862" s="488" t="str">
        <f t="shared" si="193"/>
        <v/>
      </c>
      <c r="V862" s="489"/>
      <c r="W862" s="489"/>
      <c r="X862" s="488" t="str">
        <f t="shared" si="194"/>
        <v/>
      </c>
      <c r="Y862" s="489"/>
      <c r="Z862" s="489"/>
      <c r="AA862" s="490" t="str">
        <f t="shared" si="197"/>
        <v>2223</v>
      </c>
      <c r="AB862" s="489">
        <v>22</v>
      </c>
      <c r="AC862" s="489">
        <v>23</v>
      </c>
      <c r="AD862" s="27">
        <v>211230</v>
      </c>
      <c r="AE862" s="27" t="s">
        <v>201</v>
      </c>
      <c r="AF862" s="432">
        <f>VLOOKUP(AD862,[5]Hoja1!$A$10:$K$1393,11,0)</f>
        <v>0</v>
      </c>
      <c r="AG862" s="432"/>
      <c r="AH862" s="432">
        <f t="shared" si="196"/>
        <v>0</v>
      </c>
      <c r="AJ862" s="491"/>
      <c r="AL862" s="448"/>
      <c r="AM862" s="467">
        <f>VLOOKUP(AD862,[6]BV201101!$A$10:$A$1236,1,0)</f>
        <v>211230</v>
      </c>
    </row>
    <row r="863" spans="1:39" s="467" customFormat="1" ht="12.75" customHeight="1">
      <c r="A863" s="487" t="str">
        <f t="shared" si="180"/>
        <v>2</v>
      </c>
      <c r="B863" s="487" t="str">
        <f t="shared" si="170"/>
        <v>11</v>
      </c>
      <c r="C863" s="487" t="str">
        <f t="shared" si="171"/>
        <v>23</v>
      </c>
      <c r="D863" s="487" t="str">
        <f t="shared" si="172"/>
        <v>1231</v>
      </c>
      <c r="E863" s="487">
        <v>524470000</v>
      </c>
      <c r="F863" s="488" t="str">
        <f t="shared" si="188"/>
        <v/>
      </c>
      <c r="G863" s="489"/>
      <c r="H863" s="489"/>
      <c r="I863" s="488" t="str">
        <f t="shared" si="189"/>
        <v/>
      </c>
      <c r="J863" s="487"/>
      <c r="K863" s="487"/>
      <c r="L863" s="488" t="str">
        <f t="shared" si="190"/>
        <v/>
      </c>
      <c r="M863" s="487"/>
      <c r="N863" s="487"/>
      <c r="O863" s="488" t="str">
        <f t="shared" si="191"/>
        <v/>
      </c>
      <c r="P863" s="489"/>
      <c r="Q863" s="489"/>
      <c r="R863" s="592" t="str">
        <f t="shared" si="192"/>
        <v/>
      </c>
      <c r="S863" s="487"/>
      <c r="T863" s="487"/>
      <c r="U863" s="488" t="str">
        <f t="shared" si="193"/>
        <v/>
      </c>
      <c r="V863" s="489"/>
      <c r="W863" s="489"/>
      <c r="X863" s="488" t="str">
        <f t="shared" si="194"/>
        <v/>
      </c>
      <c r="Y863" s="489"/>
      <c r="Z863" s="489"/>
      <c r="AA863" s="490" t="str">
        <f t="shared" si="197"/>
        <v>2222</v>
      </c>
      <c r="AB863" s="489">
        <v>22</v>
      </c>
      <c r="AC863" s="489">
        <v>22</v>
      </c>
      <c r="AD863" s="27">
        <v>211231</v>
      </c>
      <c r="AE863" s="27" t="s">
        <v>2205</v>
      </c>
      <c r="AF863" s="432">
        <f>VLOOKUP(AD863,[5]Hoja1!$A$10:$K$1393,11,0)</f>
        <v>-5468360</v>
      </c>
      <c r="AG863" s="432"/>
      <c r="AH863" s="432">
        <f t="shared" si="196"/>
        <v>-5468</v>
      </c>
      <c r="AJ863" s="491"/>
      <c r="AL863" s="448"/>
      <c r="AM863" s="467">
        <f>VLOOKUP(AD863,[6]BV201101!$A$10:$A$1236,1,0)</f>
        <v>211231</v>
      </c>
    </row>
    <row r="864" spans="1:39" s="467" customFormat="1" ht="12.75" customHeight="1">
      <c r="A864" s="487" t="str">
        <f t="shared" si="180"/>
        <v>2</v>
      </c>
      <c r="B864" s="487" t="str">
        <f t="shared" si="170"/>
        <v>11</v>
      </c>
      <c r="C864" s="487" t="str">
        <f t="shared" si="171"/>
        <v>23</v>
      </c>
      <c r="D864" s="487" t="str">
        <f t="shared" si="172"/>
        <v>1232</v>
      </c>
      <c r="E864" s="487"/>
      <c r="F864" s="488"/>
      <c r="G864" s="489"/>
      <c r="H864" s="489"/>
      <c r="I864" s="488"/>
      <c r="J864" s="487"/>
      <c r="K864" s="487"/>
      <c r="L864" s="488"/>
      <c r="M864" s="487"/>
      <c r="N864" s="487"/>
      <c r="O864" s="488"/>
      <c r="P864" s="489"/>
      <c r="Q864" s="489"/>
      <c r="R864" s="592"/>
      <c r="S864" s="487"/>
      <c r="T864" s="487"/>
      <c r="U864" s="488"/>
      <c r="V864" s="489"/>
      <c r="W864" s="489"/>
      <c r="X864" s="488"/>
      <c r="Y864" s="489"/>
      <c r="Z864" s="489"/>
      <c r="AA864" s="490"/>
      <c r="AB864" s="489"/>
      <c r="AC864" s="489"/>
      <c r="AD864" s="27">
        <v>211232</v>
      </c>
      <c r="AE864" s="27" t="s">
        <v>499</v>
      </c>
      <c r="AF864" s="432">
        <v>0</v>
      </c>
      <c r="AG864" s="432"/>
      <c r="AH864" s="432">
        <f t="shared" si="196"/>
        <v>0</v>
      </c>
      <c r="AJ864" s="491"/>
      <c r="AL864" s="448"/>
      <c r="AM864" s="467" t="e">
        <f>VLOOKUP(AD864,[6]BV201101!$A$10:$A$1236,1,0)</f>
        <v>#N/A</v>
      </c>
    </row>
    <row r="865" spans="1:39" s="467" customFormat="1" ht="12.75" customHeight="1">
      <c r="A865" s="487" t="str">
        <f t="shared" si="180"/>
        <v>2</v>
      </c>
      <c r="B865" s="487" t="str">
        <f t="shared" si="170"/>
        <v>11</v>
      </c>
      <c r="C865" s="487" t="str">
        <f t="shared" si="171"/>
        <v>23</v>
      </c>
      <c r="D865" s="487" t="str">
        <f t="shared" si="172"/>
        <v>1233</v>
      </c>
      <c r="E865" s="487">
        <v>524470000</v>
      </c>
      <c r="F865" s="488"/>
      <c r="G865" s="489"/>
      <c r="H865" s="489"/>
      <c r="I865" s="488"/>
      <c r="J865" s="487"/>
      <c r="K865" s="487"/>
      <c r="L865" s="488"/>
      <c r="M865" s="487"/>
      <c r="N865" s="487"/>
      <c r="O865" s="488"/>
      <c r="P865" s="489"/>
      <c r="Q865" s="489"/>
      <c r="R865" s="592"/>
      <c r="S865" s="487"/>
      <c r="T865" s="487"/>
      <c r="U865" s="488"/>
      <c r="V865" s="489"/>
      <c r="W865" s="489"/>
      <c r="X865" s="488"/>
      <c r="Y865" s="489"/>
      <c r="Z865" s="489"/>
      <c r="AA865" s="490" t="str">
        <f>+AB865&amp;AC865</f>
        <v>2222</v>
      </c>
      <c r="AB865" s="489">
        <v>22</v>
      </c>
      <c r="AC865" s="489">
        <v>22</v>
      </c>
      <c r="AD865" s="27">
        <v>211233</v>
      </c>
      <c r="AE865" s="27" t="s">
        <v>2206</v>
      </c>
      <c r="AF865" s="432">
        <f>VLOOKUP(AD865,[5]Hoja1!$A$10:$K$1393,11,0)</f>
        <v>-895538000</v>
      </c>
      <c r="AG865" s="929">
        <v>0</v>
      </c>
      <c r="AH865" s="432">
        <f t="shared" si="196"/>
        <v>-895538</v>
      </c>
      <c r="AJ865" s="491"/>
      <c r="AL865" s="448"/>
      <c r="AM865" s="467">
        <f>VLOOKUP(AD865,[6]BV201101!$A$10:$A$1236,1,0)</f>
        <v>211233</v>
      </c>
    </row>
    <row r="866" spans="1:39" s="467" customFormat="1" ht="12.75" customHeight="1">
      <c r="A866" s="487" t="str">
        <f t="shared" si="180"/>
        <v>2</v>
      </c>
      <c r="B866" s="487" t="str">
        <f t="shared" si="170"/>
        <v>11</v>
      </c>
      <c r="C866" s="487" t="str">
        <f t="shared" si="171"/>
        <v>23</v>
      </c>
      <c r="D866" s="487" t="str">
        <f t="shared" si="172"/>
        <v>1234</v>
      </c>
      <c r="E866" s="487"/>
      <c r="F866" s="488"/>
      <c r="G866" s="489"/>
      <c r="H866" s="489"/>
      <c r="I866" s="488"/>
      <c r="J866" s="487"/>
      <c r="K866" s="487"/>
      <c r="L866" s="488"/>
      <c r="M866" s="487"/>
      <c r="N866" s="487"/>
      <c r="O866" s="488"/>
      <c r="P866" s="489"/>
      <c r="Q866" s="489"/>
      <c r="R866" s="592"/>
      <c r="S866" s="487"/>
      <c r="T866" s="487"/>
      <c r="U866" s="488"/>
      <c r="V866" s="489"/>
      <c r="W866" s="489"/>
      <c r="X866" s="488"/>
      <c r="Y866" s="489"/>
      <c r="Z866" s="489"/>
      <c r="AA866" s="490"/>
      <c r="AB866" s="489"/>
      <c r="AC866" s="489"/>
      <c r="AD866" s="27">
        <v>211234</v>
      </c>
      <c r="AE866" s="27" t="s">
        <v>2207</v>
      </c>
      <c r="AF866" s="432">
        <v>0</v>
      </c>
      <c r="AG866" s="432"/>
      <c r="AH866" s="432">
        <f t="shared" si="196"/>
        <v>0</v>
      </c>
      <c r="AJ866" s="491"/>
      <c r="AL866" s="448"/>
      <c r="AM866" s="467" t="e">
        <f>VLOOKUP(AD866,[6]BV201101!$A$10:$A$1236,1,0)</f>
        <v>#N/A</v>
      </c>
    </row>
    <row r="867" spans="1:39" s="467" customFormat="1" ht="12.75" customHeight="1">
      <c r="A867" s="487" t="str">
        <f t="shared" si="180"/>
        <v>2</v>
      </c>
      <c r="B867" s="487" t="str">
        <f t="shared" si="170"/>
        <v>11</v>
      </c>
      <c r="C867" s="487" t="str">
        <f t="shared" si="171"/>
        <v>23</v>
      </c>
      <c r="D867" s="487" t="str">
        <f t="shared" si="172"/>
        <v>1235</v>
      </c>
      <c r="E867" s="487">
        <v>524470000</v>
      </c>
      <c r="F867" s="488"/>
      <c r="G867" s="489"/>
      <c r="H867" s="489"/>
      <c r="I867" s="488"/>
      <c r="J867" s="487"/>
      <c r="K867" s="487"/>
      <c r="L867" s="488"/>
      <c r="M867" s="487"/>
      <c r="N867" s="487"/>
      <c r="O867" s="488"/>
      <c r="P867" s="489"/>
      <c r="Q867" s="489"/>
      <c r="R867" s="592"/>
      <c r="S867" s="487"/>
      <c r="T867" s="487"/>
      <c r="U867" s="488"/>
      <c r="V867" s="489"/>
      <c r="W867" s="489"/>
      <c r="X867" s="488"/>
      <c r="Y867" s="489"/>
      <c r="Z867" s="489"/>
      <c r="AA867" s="490" t="str">
        <f>+AB867&amp;AC867</f>
        <v>2222</v>
      </c>
      <c r="AB867" s="489">
        <v>22</v>
      </c>
      <c r="AC867" s="489">
        <v>22</v>
      </c>
      <c r="AD867" s="27">
        <v>211235</v>
      </c>
      <c r="AE867" s="27" t="s">
        <v>1655</v>
      </c>
      <c r="AF867" s="432">
        <f>VLOOKUP(AD867,[5]Hoja1!$A$10:$K$1393,11,0)</f>
        <v>-468428722</v>
      </c>
      <c r="AG867" s="1507">
        <f>-AF867</f>
        <v>468428722</v>
      </c>
      <c r="AH867" s="432">
        <f t="shared" si="196"/>
        <v>0</v>
      </c>
      <c r="AJ867" s="491"/>
      <c r="AL867" s="448"/>
      <c r="AM867" s="467">
        <f>VLOOKUP(AD867,[6]BV201101!$A$10:$A$1236,1,0)</f>
        <v>211235</v>
      </c>
    </row>
    <row r="868" spans="1:39" s="467" customFormat="1" ht="12.75" customHeight="1">
      <c r="A868" s="487" t="str">
        <f t="shared" si="180"/>
        <v>2</v>
      </c>
      <c r="B868" s="487" t="str">
        <f t="shared" si="170"/>
        <v>11</v>
      </c>
      <c r="C868" s="487" t="str">
        <f t="shared" si="171"/>
        <v>23</v>
      </c>
      <c r="D868" s="487" t="str">
        <f t="shared" si="172"/>
        <v>1236</v>
      </c>
      <c r="E868" s="487">
        <v>524470000</v>
      </c>
      <c r="F868" s="488"/>
      <c r="G868" s="489"/>
      <c r="H868" s="489"/>
      <c r="I868" s="488"/>
      <c r="J868" s="487"/>
      <c r="K868" s="487"/>
      <c r="L868" s="488"/>
      <c r="M868" s="487"/>
      <c r="N868" s="487"/>
      <c r="O868" s="488"/>
      <c r="P868" s="489"/>
      <c r="Q868" s="489"/>
      <c r="R868" s="592"/>
      <c r="S868" s="487"/>
      <c r="T868" s="487"/>
      <c r="U868" s="488"/>
      <c r="V868" s="489"/>
      <c r="W868" s="489"/>
      <c r="X868" s="488"/>
      <c r="Y868" s="489"/>
      <c r="Z868" s="489"/>
      <c r="AA868" s="490" t="str">
        <f>+AB868&amp;AC868</f>
        <v>2222</v>
      </c>
      <c r="AB868" s="489">
        <v>22</v>
      </c>
      <c r="AC868" s="489">
        <v>22</v>
      </c>
      <c r="AD868" s="27">
        <v>211236</v>
      </c>
      <c r="AE868" s="27" t="s">
        <v>2208</v>
      </c>
      <c r="AF868" s="432">
        <f>VLOOKUP(AD868,[5]Hoja1!$A$10:$K$1393,11,0)</f>
        <v>0</v>
      </c>
      <c r="AG868" s="432"/>
      <c r="AH868" s="432">
        <f t="shared" si="196"/>
        <v>0</v>
      </c>
      <c r="AJ868" s="491"/>
      <c r="AL868" s="448"/>
      <c r="AM868" s="467">
        <f>VLOOKUP(AD868,[6]BV201101!$A$10:$A$1236,1,0)</f>
        <v>211236</v>
      </c>
    </row>
    <row r="869" spans="1:39" s="467" customFormat="1" ht="12.75" customHeight="1">
      <c r="A869" s="487" t="str">
        <f t="shared" si="180"/>
        <v>2</v>
      </c>
      <c r="B869" s="487" t="str">
        <f t="shared" si="170"/>
        <v>11</v>
      </c>
      <c r="C869" s="487" t="str">
        <f t="shared" si="171"/>
        <v>23</v>
      </c>
      <c r="D869" s="487" t="str">
        <f t="shared" si="172"/>
        <v>1237</v>
      </c>
      <c r="E869" s="487">
        <v>524470000</v>
      </c>
      <c r="F869" s="488"/>
      <c r="G869" s="489"/>
      <c r="H869" s="489"/>
      <c r="I869" s="488"/>
      <c r="J869" s="487"/>
      <c r="K869" s="487"/>
      <c r="L869" s="488"/>
      <c r="M869" s="487"/>
      <c r="N869" s="487"/>
      <c r="O869" s="488"/>
      <c r="P869" s="489"/>
      <c r="Q869" s="489"/>
      <c r="R869" s="592"/>
      <c r="S869" s="487"/>
      <c r="T869" s="487"/>
      <c r="U869" s="488"/>
      <c r="V869" s="489"/>
      <c r="W869" s="489"/>
      <c r="X869" s="488"/>
      <c r="Y869" s="489"/>
      <c r="Z869" s="489"/>
      <c r="AA869" s="490"/>
      <c r="AB869" s="489"/>
      <c r="AC869" s="489"/>
      <c r="AD869" s="927">
        <v>211237</v>
      </c>
      <c r="AE869" s="27" t="s">
        <v>2705</v>
      </c>
      <c r="AF869" s="432">
        <f>VLOOKUP(AD869,[5]Hoja1!$A$10:$K$1393,11,0)</f>
        <v>-11629940516</v>
      </c>
      <c r="AG869" s="432">
        <f>-AG429</f>
        <v>0</v>
      </c>
      <c r="AH869" s="432">
        <f t="shared" si="196"/>
        <v>-11629941</v>
      </c>
      <c r="AJ869" s="491"/>
      <c r="AL869" s="448"/>
    </row>
    <row r="870" spans="1:39" s="467" customFormat="1" ht="12.75" customHeight="1">
      <c r="A870" s="487" t="str">
        <f t="shared" si="180"/>
        <v>2</v>
      </c>
      <c r="B870" s="487" t="str">
        <f t="shared" si="170"/>
        <v>11</v>
      </c>
      <c r="C870" s="487" t="str">
        <f t="shared" si="171"/>
        <v>23</v>
      </c>
      <c r="D870" s="487" t="str">
        <f t="shared" si="172"/>
        <v>1238</v>
      </c>
      <c r="E870" s="487">
        <v>524470000</v>
      </c>
      <c r="F870" s="488"/>
      <c r="G870" s="489"/>
      <c r="H870" s="489"/>
      <c r="I870" s="488"/>
      <c r="J870" s="487"/>
      <c r="K870" s="487"/>
      <c r="L870" s="488"/>
      <c r="M870" s="487"/>
      <c r="N870" s="487"/>
      <c r="O870" s="488"/>
      <c r="P870" s="489"/>
      <c r="Q870" s="489"/>
      <c r="R870" s="592"/>
      <c r="S870" s="487"/>
      <c r="T870" s="487"/>
      <c r="U870" s="488"/>
      <c r="V870" s="489"/>
      <c r="W870" s="489"/>
      <c r="X870" s="488"/>
      <c r="Y870" s="489"/>
      <c r="Z870" s="489"/>
      <c r="AA870" s="490" t="str">
        <f>+AB870&amp;AC870</f>
        <v>22223</v>
      </c>
      <c r="AB870" s="489">
        <v>22</v>
      </c>
      <c r="AC870" s="489">
        <v>223</v>
      </c>
      <c r="AD870" s="27">
        <v>211238</v>
      </c>
      <c r="AE870" s="27" t="s">
        <v>2209</v>
      </c>
      <c r="AF870" s="432">
        <f>VLOOKUP(AD870,[5]Hoja1!$A$10:$K$1393,11,0)</f>
        <v>-725971</v>
      </c>
      <c r="AG870" s="432"/>
      <c r="AH870" s="432">
        <f t="shared" si="196"/>
        <v>-726</v>
      </c>
      <c r="AJ870" s="491"/>
      <c r="AL870" s="448"/>
      <c r="AM870" s="467">
        <f>VLOOKUP(AD870,[6]BV201101!$A$10:$A$1236,1,0)</f>
        <v>211238</v>
      </c>
    </row>
    <row r="871" spans="1:39" s="467" customFormat="1" ht="12.75" customHeight="1">
      <c r="A871" s="487" t="str">
        <f t="shared" si="180"/>
        <v>2</v>
      </c>
      <c r="B871" s="487" t="str">
        <f t="shared" si="170"/>
        <v>11</v>
      </c>
      <c r="C871" s="487" t="str">
        <f t="shared" si="171"/>
        <v>23</v>
      </c>
      <c r="D871" s="487" t="str">
        <f t="shared" si="172"/>
        <v>1239</v>
      </c>
      <c r="E871" s="487">
        <v>524450000</v>
      </c>
      <c r="F871" s="488"/>
      <c r="G871" s="489"/>
      <c r="H871" s="489"/>
      <c r="I871" s="488"/>
      <c r="J871" s="487"/>
      <c r="K871" s="487"/>
      <c r="L871" s="488"/>
      <c r="M871" s="487"/>
      <c r="N871" s="487"/>
      <c r="O871" s="488"/>
      <c r="P871" s="489"/>
      <c r="Q871" s="489"/>
      <c r="R871" s="592"/>
      <c r="S871" s="487"/>
      <c r="T871" s="487"/>
      <c r="U871" s="488"/>
      <c r="V871" s="489"/>
      <c r="W871" s="489"/>
      <c r="X871" s="488"/>
      <c r="Y871" s="489"/>
      <c r="Z871" s="489"/>
      <c r="AA871" s="490"/>
      <c r="AB871" s="489"/>
      <c r="AC871" s="489"/>
      <c r="AD871" s="27">
        <v>211239</v>
      </c>
      <c r="AE871" s="27" t="s">
        <v>1190</v>
      </c>
      <c r="AF871" s="432">
        <f>VLOOKUP(AD871,[5]Hoja1!$A$10:$K$1393,11,0)</f>
        <v>-1878808</v>
      </c>
      <c r="AG871" s="432"/>
      <c r="AH871" s="432">
        <f t="shared" si="196"/>
        <v>-1879</v>
      </c>
      <c r="AJ871" s="491"/>
      <c r="AL871" s="448"/>
      <c r="AM871" s="467">
        <f>VLOOKUP(AD871,[6]BV201101!$A$10:$A$1236,1,0)</f>
        <v>211239</v>
      </c>
    </row>
    <row r="872" spans="1:39" s="467" customFormat="1" ht="12.75" customHeight="1">
      <c r="A872" s="487" t="str">
        <f t="shared" si="180"/>
        <v>2</v>
      </c>
      <c r="B872" s="487" t="str">
        <f t="shared" si="170"/>
        <v>11</v>
      </c>
      <c r="C872" s="487" t="str">
        <f t="shared" si="171"/>
        <v>24</v>
      </c>
      <c r="D872" s="487" t="str">
        <f t="shared" si="172"/>
        <v>1240</v>
      </c>
      <c r="E872" s="487">
        <v>524450000</v>
      </c>
      <c r="F872" s="488"/>
      <c r="G872" s="489"/>
      <c r="H872" s="489"/>
      <c r="I872" s="488"/>
      <c r="J872" s="487"/>
      <c r="K872" s="487"/>
      <c r="L872" s="488"/>
      <c r="M872" s="487"/>
      <c r="N872" s="487"/>
      <c r="O872" s="488"/>
      <c r="P872" s="489"/>
      <c r="Q872" s="489"/>
      <c r="R872" s="592"/>
      <c r="S872" s="487"/>
      <c r="T872" s="487"/>
      <c r="U872" s="488"/>
      <c r="V872" s="489"/>
      <c r="W872" s="489"/>
      <c r="X872" s="488"/>
      <c r="Y872" s="489"/>
      <c r="Z872" s="489"/>
      <c r="AA872" s="490"/>
      <c r="AB872" s="489"/>
      <c r="AC872" s="489"/>
      <c r="AD872" s="27">
        <v>211240</v>
      </c>
      <c r="AE872" s="27" t="s">
        <v>2210</v>
      </c>
      <c r="AF872" s="432">
        <f>VLOOKUP(AD872,[5]Hoja1!$A$10:$K$1393,11,0)</f>
        <v>-51827715</v>
      </c>
      <c r="AG872" s="432"/>
      <c r="AH872" s="432">
        <f t="shared" si="196"/>
        <v>-51828</v>
      </c>
      <c r="AJ872" s="491"/>
      <c r="AL872" s="448"/>
      <c r="AM872" s="467">
        <f>VLOOKUP(AD872,[6]BV201101!$A$10:$A$1236,1,0)</f>
        <v>211240</v>
      </c>
    </row>
    <row r="873" spans="1:39" s="467" customFormat="1" ht="12.75" customHeight="1">
      <c r="A873" s="487" t="str">
        <f t="shared" ref="A873:A936" si="198">+LEFT($AD873,1)</f>
        <v>2</v>
      </c>
      <c r="B873" s="487" t="str">
        <f t="shared" si="170"/>
        <v>11</v>
      </c>
      <c r="C873" s="487" t="str">
        <f t="shared" si="171"/>
        <v>24</v>
      </c>
      <c r="D873" s="487" t="str">
        <f t="shared" si="172"/>
        <v>1241</v>
      </c>
      <c r="E873" s="487">
        <v>524450000</v>
      </c>
      <c r="F873" s="488"/>
      <c r="G873" s="489"/>
      <c r="H873" s="489"/>
      <c r="I873" s="488"/>
      <c r="J873" s="487"/>
      <c r="K873" s="487"/>
      <c r="L873" s="488"/>
      <c r="M873" s="487"/>
      <c r="N873" s="487"/>
      <c r="O873" s="488"/>
      <c r="P873" s="489"/>
      <c r="Q873" s="489"/>
      <c r="R873" s="592"/>
      <c r="S873" s="487"/>
      <c r="T873" s="487"/>
      <c r="U873" s="488"/>
      <c r="V873" s="489"/>
      <c r="W873" s="489"/>
      <c r="X873" s="488"/>
      <c r="Y873" s="489"/>
      <c r="Z873" s="489"/>
      <c r="AA873" s="490"/>
      <c r="AB873" s="489"/>
      <c r="AC873" s="489"/>
      <c r="AD873" s="27">
        <v>211241</v>
      </c>
      <c r="AE873" s="27" t="s">
        <v>1191</v>
      </c>
      <c r="AF873" s="432">
        <f>VLOOKUP(AD873,[5]Hoja1!$A$10:$K$1393,11,0)</f>
        <v>0</v>
      </c>
      <c r="AG873" s="432"/>
      <c r="AH873" s="432">
        <f t="shared" si="196"/>
        <v>0</v>
      </c>
      <c r="AJ873" s="491"/>
      <c r="AL873" s="448"/>
      <c r="AM873" s="467">
        <f>VLOOKUP(AD873,[6]BV201101!$A$10:$A$1236,1,0)</f>
        <v>211241</v>
      </c>
    </row>
    <row r="874" spans="1:39" s="467" customFormat="1" ht="12.75" customHeight="1">
      <c r="A874" s="487" t="str">
        <f t="shared" si="198"/>
        <v>2</v>
      </c>
      <c r="B874" s="487" t="str">
        <f t="shared" si="170"/>
        <v>11</v>
      </c>
      <c r="C874" s="487" t="str">
        <f t="shared" si="171"/>
        <v>24</v>
      </c>
      <c r="D874" s="487" t="str">
        <f t="shared" si="172"/>
        <v>1242</v>
      </c>
      <c r="E874" s="487">
        <v>524450000</v>
      </c>
      <c r="F874" s="488"/>
      <c r="G874" s="489"/>
      <c r="H874" s="489"/>
      <c r="I874" s="488"/>
      <c r="J874" s="487"/>
      <c r="K874" s="487"/>
      <c r="L874" s="488"/>
      <c r="M874" s="487"/>
      <c r="N874" s="487"/>
      <c r="O874" s="488"/>
      <c r="P874" s="489"/>
      <c r="Q874" s="489"/>
      <c r="R874" s="592"/>
      <c r="S874" s="487"/>
      <c r="T874" s="487"/>
      <c r="U874" s="488"/>
      <c r="V874" s="489"/>
      <c r="W874" s="489"/>
      <c r="X874" s="488"/>
      <c r="Y874" s="489"/>
      <c r="Z874" s="489"/>
      <c r="AA874" s="490"/>
      <c r="AB874" s="489"/>
      <c r="AC874" s="489"/>
      <c r="AD874" s="27">
        <v>211242</v>
      </c>
      <c r="AE874" s="27" t="s">
        <v>1192</v>
      </c>
      <c r="AF874" s="432">
        <f>VLOOKUP(AD874,[5]Hoja1!$A$10:$K$1393,11,0)</f>
        <v>0</v>
      </c>
      <c r="AG874" s="432"/>
      <c r="AH874" s="432">
        <f t="shared" si="196"/>
        <v>0</v>
      </c>
      <c r="AJ874" s="491"/>
      <c r="AL874" s="448"/>
      <c r="AM874" s="467">
        <f>VLOOKUP(AD874,[6]BV201101!$A$10:$A$1236,1,0)</f>
        <v>211242</v>
      </c>
    </row>
    <row r="875" spans="1:39" s="467" customFormat="1" ht="12.75" customHeight="1">
      <c r="A875" s="487" t="str">
        <f t="shared" si="198"/>
        <v>2</v>
      </c>
      <c r="B875" s="487" t="str">
        <f t="shared" si="170"/>
        <v>11</v>
      </c>
      <c r="C875" s="487" t="str">
        <f t="shared" si="171"/>
        <v>24</v>
      </c>
      <c r="D875" s="487" t="str">
        <f t="shared" si="172"/>
        <v>1243</v>
      </c>
      <c r="E875" s="487">
        <v>524450000</v>
      </c>
      <c r="F875" s="488"/>
      <c r="G875" s="489"/>
      <c r="H875" s="489"/>
      <c r="I875" s="488"/>
      <c r="J875" s="487"/>
      <c r="K875" s="487"/>
      <c r="L875" s="488"/>
      <c r="M875" s="487"/>
      <c r="N875" s="487"/>
      <c r="O875" s="488"/>
      <c r="P875" s="489"/>
      <c r="Q875" s="489"/>
      <c r="R875" s="592"/>
      <c r="S875" s="487"/>
      <c r="T875" s="487"/>
      <c r="U875" s="488"/>
      <c r="V875" s="489"/>
      <c r="W875" s="489"/>
      <c r="X875" s="488"/>
      <c r="Y875" s="489"/>
      <c r="Z875" s="489"/>
      <c r="AA875" s="490"/>
      <c r="AB875" s="489"/>
      <c r="AC875" s="489"/>
      <c r="AD875" s="27">
        <v>211243</v>
      </c>
      <c r="AE875" s="27" t="s">
        <v>1193</v>
      </c>
      <c r="AF875" s="432">
        <f>VLOOKUP(AD875,[5]Hoja1!$A$10:$K$1393,11,0)</f>
        <v>0</v>
      </c>
      <c r="AG875" s="432"/>
      <c r="AH875" s="432">
        <f t="shared" si="196"/>
        <v>0</v>
      </c>
      <c r="AJ875" s="491"/>
      <c r="AL875" s="448"/>
      <c r="AM875" s="467">
        <f>VLOOKUP(AD875,[6]BV201101!$A$10:$A$1236,1,0)</f>
        <v>211243</v>
      </c>
    </row>
    <row r="876" spans="1:39" s="467" customFormat="1" ht="12.75" customHeight="1">
      <c r="A876" s="487" t="str">
        <f t="shared" si="198"/>
        <v>2</v>
      </c>
      <c r="B876" s="487" t="str">
        <f t="shared" si="170"/>
        <v>11</v>
      </c>
      <c r="C876" s="487" t="str">
        <f t="shared" si="171"/>
        <v>24</v>
      </c>
      <c r="D876" s="487" t="str">
        <f t="shared" si="172"/>
        <v>1244</v>
      </c>
      <c r="E876" s="487">
        <v>524450000</v>
      </c>
      <c r="F876" s="488"/>
      <c r="G876" s="489"/>
      <c r="H876" s="489"/>
      <c r="I876" s="488"/>
      <c r="J876" s="487"/>
      <c r="K876" s="487"/>
      <c r="L876" s="488"/>
      <c r="M876" s="487"/>
      <c r="N876" s="487"/>
      <c r="O876" s="488"/>
      <c r="P876" s="489"/>
      <c r="Q876" s="489"/>
      <c r="R876" s="592"/>
      <c r="S876" s="487"/>
      <c r="T876" s="487"/>
      <c r="U876" s="488"/>
      <c r="V876" s="489"/>
      <c r="W876" s="489"/>
      <c r="X876" s="488"/>
      <c r="Y876" s="489"/>
      <c r="Z876" s="489"/>
      <c r="AA876" s="490"/>
      <c r="AB876" s="489"/>
      <c r="AC876" s="489"/>
      <c r="AD876" s="27">
        <v>211244</v>
      </c>
      <c r="AE876" s="27" t="s">
        <v>765</v>
      </c>
      <c r="AF876" s="432">
        <f>VLOOKUP(AD876,[5]Hoja1!$A$10:$K$1393,11,0)</f>
        <v>0</v>
      </c>
      <c r="AG876" s="432"/>
      <c r="AH876" s="432">
        <f t="shared" si="196"/>
        <v>0</v>
      </c>
      <c r="AJ876" s="491"/>
      <c r="AL876" s="448"/>
      <c r="AM876" s="467">
        <f>VLOOKUP(AD876,[6]BV201101!$A$10:$A$1236,1,0)</f>
        <v>211244</v>
      </c>
    </row>
    <row r="877" spans="1:39" s="467" customFormat="1" ht="12.75" customHeight="1">
      <c r="A877" s="487" t="str">
        <f t="shared" si="198"/>
        <v>2</v>
      </c>
      <c r="B877" s="487" t="str">
        <f t="shared" si="170"/>
        <v>11</v>
      </c>
      <c r="C877" s="487" t="str">
        <f t="shared" si="171"/>
        <v>24</v>
      </c>
      <c r="D877" s="487" t="str">
        <f t="shared" si="172"/>
        <v>1245</v>
      </c>
      <c r="E877" s="487">
        <v>524450000</v>
      </c>
      <c r="F877" s="488"/>
      <c r="G877" s="489"/>
      <c r="H877" s="489"/>
      <c r="I877" s="488"/>
      <c r="J877" s="487"/>
      <c r="K877" s="487"/>
      <c r="L877" s="488"/>
      <c r="M877" s="487"/>
      <c r="N877" s="487"/>
      <c r="O877" s="488"/>
      <c r="P877" s="489"/>
      <c r="Q877" s="489"/>
      <c r="R877" s="592"/>
      <c r="S877" s="487"/>
      <c r="T877" s="487"/>
      <c r="U877" s="488"/>
      <c r="V877" s="489"/>
      <c r="W877" s="489"/>
      <c r="X877" s="488"/>
      <c r="Y877" s="489"/>
      <c r="Z877" s="489"/>
      <c r="AA877" s="490"/>
      <c r="AB877" s="489"/>
      <c r="AC877" s="489"/>
      <c r="AD877" s="27">
        <v>211245</v>
      </c>
      <c r="AE877" s="27" t="s">
        <v>1194</v>
      </c>
      <c r="AF877" s="432">
        <f>VLOOKUP(AD877,[5]Hoja1!$A$10:$K$1393,11,0)</f>
        <v>0</v>
      </c>
      <c r="AG877" s="432"/>
      <c r="AH877" s="432">
        <f t="shared" si="196"/>
        <v>0</v>
      </c>
      <c r="AJ877" s="491"/>
      <c r="AL877" s="448"/>
      <c r="AM877" s="467">
        <f>VLOOKUP(AD877,[6]BV201101!$A$10:$A$1236,1,0)</f>
        <v>211245</v>
      </c>
    </row>
    <row r="878" spans="1:39" s="467" customFormat="1" ht="12.75" customHeight="1">
      <c r="A878" s="487" t="str">
        <f t="shared" si="198"/>
        <v>2</v>
      </c>
      <c r="B878" s="487" t="str">
        <f t="shared" si="170"/>
        <v>11</v>
      </c>
      <c r="C878" s="487" t="str">
        <f t="shared" si="171"/>
        <v>24</v>
      </c>
      <c r="D878" s="487" t="str">
        <f t="shared" si="172"/>
        <v>1246</v>
      </c>
      <c r="E878" s="487">
        <v>524450000</v>
      </c>
      <c r="F878" s="488"/>
      <c r="G878" s="489"/>
      <c r="H878" s="489"/>
      <c r="I878" s="488"/>
      <c r="J878" s="487"/>
      <c r="K878" s="487"/>
      <c r="L878" s="488"/>
      <c r="M878" s="487"/>
      <c r="N878" s="487"/>
      <c r="O878" s="488"/>
      <c r="P878" s="489"/>
      <c r="Q878" s="489"/>
      <c r="R878" s="592"/>
      <c r="S878" s="487"/>
      <c r="T878" s="487"/>
      <c r="U878" s="488"/>
      <c r="V878" s="489"/>
      <c r="W878" s="489"/>
      <c r="X878" s="488"/>
      <c r="Y878" s="489"/>
      <c r="Z878" s="489"/>
      <c r="AA878" s="490"/>
      <c r="AB878" s="489"/>
      <c r="AC878" s="489"/>
      <c r="AD878" s="27">
        <v>211246</v>
      </c>
      <c r="AE878" s="27" t="s">
        <v>1195</v>
      </c>
      <c r="AF878" s="432">
        <v>0</v>
      </c>
      <c r="AG878" s="432"/>
      <c r="AH878" s="432">
        <f t="shared" si="196"/>
        <v>0</v>
      </c>
      <c r="AJ878" s="491"/>
      <c r="AL878" s="448"/>
      <c r="AM878" s="467" t="e">
        <f>VLOOKUP(AD878,[6]BV201101!$A$10:$A$1236,1,0)</f>
        <v>#N/A</v>
      </c>
    </row>
    <row r="879" spans="1:39" s="467" customFormat="1" ht="12.75" customHeight="1">
      <c r="A879" s="487" t="str">
        <f t="shared" si="198"/>
        <v>2</v>
      </c>
      <c r="B879" s="487" t="str">
        <f t="shared" si="170"/>
        <v>11</v>
      </c>
      <c r="C879" s="487" t="str">
        <f t="shared" si="171"/>
        <v>24</v>
      </c>
      <c r="D879" s="487" t="str">
        <f t="shared" si="172"/>
        <v>1247</v>
      </c>
      <c r="E879" s="487">
        <v>524450000</v>
      </c>
      <c r="F879" s="488"/>
      <c r="G879" s="489"/>
      <c r="H879" s="489"/>
      <c r="I879" s="488"/>
      <c r="J879" s="487"/>
      <c r="K879" s="487"/>
      <c r="L879" s="488"/>
      <c r="M879" s="487"/>
      <c r="N879" s="487"/>
      <c r="O879" s="488"/>
      <c r="P879" s="489"/>
      <c r="Q879" s="489"/>
      <c r="R879" s="592"/>
      <c r="S879" s="487"/>
      <c r="T879" s="487"/>
      <c r="U879" s="488"/>
      <c r="V879" s="489"/>
      <c r="W879" s="489"/>
      <c r="X879" s="488"/>
      <c r="Y879" s="489"/>
      <c r="Z879" s="489"/>
      <c r="AA879" s="490"/>
      <c r="AB879" s="489"/>
      <c r="AC879" s="489"/>
      <c r="AD879" s="27">
        <v>211247</v>
      </c>
      <c r="AE879" s="27" t="s">
        <v>2211</v>
      </c>
      <c r="AF879" s="432">
        <f>VLOOKUP(AD879,[5]Hoja1!$A$10:$K$1393,11,0)</f>
        <v>0</v>
      </c>
      <c r="AG879" s="432"/>
      <c r="AH879" s="432">
        <f t="shared" si="196"/>
        <v>0</v>
      </c>
      <c r="AJ879" s="491"/>
      <c r="AL879" s="448"/>
      <c r="AM879" s="467">
        <f>VLOOKUP(AD879,[6]BV201101!$A$10:$A$1236,1,0)</f>
        <v>211247</v>
      </c>
    </row>
    <row r="880" spans="1:39" s="467" customFormat="1" ht="12.75" customHeight="1">
      <c r="A880" s="487" t="str">
        <f t="shared" si="198"/>
        <v>2</v>
      </c>
      <c r="B880" s="487" t="str">
        <f t="shared" si="170"/>
        <v>11</v>
      </c>
      <c r="C880" s="487" t="str">
        <f t="shared" si="171"/>
        <v>24</v>
      </c>
      <c r="D880" s="487" t="str">
        <f t="shared" si="172"/>
        <v>1248</v>
      </c>
      <c r="E880" s="487">
        <v>524450000</v>
      </c>
      <c r="F880" s="488"/>
      <c r="G880" s="489"/>
      <c r="H880" s="489"/>
      <c r="I880" s="488"/>
      <c r="J880" s="487"/>
      <c r="K880" s="487"/>
      <c r="L880" s="488"/>
      <c r="M880" s="487"/>
      <c r="N880" s="487"/>
      <c r="O880" s="488"/>
      <c r="P880" s="489"/>
      <c r="Q880" s="489"/>
      <c r="R880" s="592"/>
      <c r="S880" s="487"/>
      <c r="T880" s="487"/>
      <c r="U880" s="488"/>
      <c r="V880" s="489"/>
      <c r="W880" s="489"/>
      <c r="X880" s="488"/>
      <c r="Y880" s="489"/>
      <c r="Z880" s="489"/>
      <c r="AA880" s="490"/>
      <c r="AB880" s="489"/>
      <c r="AC880" s="489"/>
      <c r="AD880" s="27">
        <v>211248</v>
      </c>
      <c r="AE880" s="27" t="s">
        <v>2212</v>
      </c>
      <c r="AF880" s="432">
        <f>VLOOKUP(AD880,[5]Hoja1!$A$10:$K$1393,11,0)</f>
        <v>0</v>
      </c>
      <c r="AG880" s="432"/>
      <c r="AH880" s="432">
        <f t="shared" si="196"/>
        <v>0</v>
      </c>
      <c r="AJ880" s="491"/>
      <c r="AL880" s="448"/>
      <c r="AM880" s="467">
        <f>VLOOKUP(AD880,[6]BV201101!$A$10:$A$1236,1,0)</f>
        <v>211248</v>
      </c>
    </row>
    <row r="881" spans="1:39" s="467" customFormat="1" ht="12.75" customHeight="1">
      <c r="A881" s="487" t="str">
        <f t="shared" si="198"/>
        <v>2</v>
      </c>
      <c r="B881" s="487" t="str">
        <f t="shared" si="170"/>
        <v>11</v>
      </c>
      <c r="C881" s="487" t="str">
        <f t="shared" si="171"/>
        <v>24</v>
      </c>
      <c r="D881" s="487" t="str">
        <f t="shared" si="172"/>
        <v>1249</v>
      </c>
      <c r="E881" s="487">
        <v>524450000</v>
      </c>
      <c r="F881" s="488"/>
      <c r="G881" s="489"/>
      <c r="H881" s="489"/>
      <c r="I881" s="488"/>
      <c r="J881" s="487"/>
      <c r="K881" s="487"/>
      <c r="L881" s="488"/>
      <c r="M881" s="487"/>
      <c r="N881" s="487"/>
      <c r="O881" s="488"/>
      <c r="P881" s="489"/>
      <c r="Q881" s="489"/>
      <c r="R881" s="592"/>
      <c r="S881" s="487"/>
      <c r="T881" s="487"/>
      <c r="U881" s="488"/>
      <c r="V881" s="489"/>
      <c r="W881" s="489"/>
      <c r="X881" s="488"/>
      <c r="Y881" s="489"/>
      <c r="Z881" s="489"/>
      <c r="AA881" s="490"/>
      <c r="AB881" s="489"/>
      <c r="AC881" s="489"/>
      <c r="AD881" s="27">
        <v>211249</v>
      </c>
      <c r="AE881" s="27" t="s">
        <v>190</v>
      </c>
      <c r="AF881" s="432">
        <v>0</v>
      </c>
      <c r="AG881" s="432"/>
      <c r="AH881" s="432">
        <f t="shared" si="196"/>
        <v>0</v>
      </c>
      <c r="AJ881" s="491"/>
      <c r="AL881" s="448"/>
      <c r="AM881" s="467" t="e">
        <f>VLOOKUP(AD881,[6]BV201101!$A$10:$A$1236,1,0)</f>
        <v>#N/A</v>
      </c>
    </row>
    <row r="882" spans="1:39" s="467" customFormat="1" ht="12.75" customHeight="1">
      <c r="A882" s="487" t="str">
        <f t="shared" si="198"/>
        <v>2</v>
      </c>
      <c r="B882" s="487" t="str">
        <f t="shared" si="170"/>
        <v>11</v>
      </c>
      <c r="C882" s="487" t="str">
        <f t="shared" si="171"/>
        <v>25</v>
      </c>
      <c r="D882" s="487" t="str">
        <f t="shared" si="172"/>
        <v>1250</v>
      </c>
      <c r="E882" s="487">
        <v>524470000</v>
      </c>
      <c r="F882" s="488" t="str">
        <f>+G882&amp;H882</f>
        <v/>
      </c>
      <c r="G882" s="489"/>
      <c r="H882" s="489"/>
      <c r="I882" s="488" t="str">
        <f>+J882&amp;K882</f>
        <v/>
      </c>
      <c r="J882" s="487"/>
      <c r="K882" s="487"/>
      <c r="L882" s="488" t="str">
        <f>+M882&amp;N882</f>
        <v/>
      </c>
      <c r="M882" s="487"/>
      <c r="N882" s="487"/>
      <c r="O882" s="488" t="str">
        <f>+P882&amp;Q882</f>
        <v/>
      </c>
      <c r="P882" s="489"/>
      <c r="Q882" s="489"/>
      <c r="R882" s="592" t="str">
        <f>+S882&amp;T882</f>
        <v/>
      </c>
      <c r="S882" s="487"/>
      <c r="T882" s="487"/>
      <c r="U882" s="488" t="str">
        <f>+V882&amp;W882</f>
        <v/>
      </c>
      <c r="V882" s="489"/>
      <c r="W882" s="489"/>
      <c r="X882" s="488" t="str">
        <f>+Y882&amp;Z882</f>
        <v/>
      </c>
      <c r="Y882" s="489"/>
      <c r="Z882" s="489"/>
      <c r="AA882" s="490" t="str">
        <f>+AB882&amp;AC882</f>
        <v>2222</v>
      </c>
      <c r="AB882" s="489">
        <v>22</v>
      </c>
      <c r="AC882" s="489">
        <v>22</v>
      </c>
      <c r="AD882" s="27">
        <v>211250</v>
      </c>
      <c r="AE882" s="27" t="s">
        <v>1129</v>
      </c>
      <c r="AF882" s="432">
        <f>VLOOKUP(AD882,[5]Hoja1!$A$10:$K$1393,11,0)</f>
        <v>0</v>
      </c>
      <c r="AG882" s="432"/>
      <c r="AH882" s="432">
        <f t="shared" si="196"/>
        <v>0</v>
      </c>
      <c r="AL882" s="448"/>
      <c r="AM882" s="467">
        <f>VLOOKUP(AD882,[6]BV201101!$A$10:$A$1236,1,0)</f>
        <v>211250</v>
      </c>
    </row>
    <row r="883" spans="1:39" s="467" customFormat="1" ht="12.75" customHeight="1">
      <c r="A883" s="487" t="str">
        <f t="shared" si="198"/>
        <v>2</v>
      </c>
      <c r="B883" s="487" t="str">
        <f t="shared" si="170"/>
        <v>11</v>
      </c>
      <c r="C883" s="487" t="str">
        <f t="shared" si="171"/>
        <v>25</v>
      </c>
      <c r="D883" s="487" t="str">
        <f t="shared" si="172"/>
        <v>1251</v>
      </c>
      <c r="E883" s="487">
        <v>524470000</v>
      </c>
      <c r="F883" s="488" t="str">
        <f>+G883&amp;H883</f>
        <v/>
      </c>
      <c r="G883" s="489"/>
      <c r="H883" s="489"/>
      <c r="I883" s="488" t="str">
        <f>+J883&amp;K883</f>
        <v/>
      </c>
      <c r="J883" s="487"/>
      <c r="K883" s="487"/>
      <c r="L883" s="488" t="str">
        <f>+M883&amp;N883</f>
        <v/>
      </c>
      <c r="M883" s="487"/>
      <c r="N883" s="487"/>
      <c r="O883" s="488" t="str">
        <f>+P883&amp;Q883</f>
        <v/>
      </c>
      <c r="P883" s="489"/>
      <c r="Q883" s="489"/>
      <c r="R883" s="592" t="str">
        <f>+S883&amp;T883</f>
        <v/>
      </c>
      <c r="S883" s="487"/>
      <c r="T883" s="487"/>
      <c r="U883" s="488" t="str">
        <f>+V883&amp;W883</f>
        <v/>
      </c>
      <c r="V883" s="489"/>
      <c r="W883" s="489"/>
      <c r="X883" s="488" t="str">
        <f>+Y883&amp;Z883</f>
        <v/>
      </c>
      <c r="Y883" s="489"/>
      <c r="Z883" s="489"/>
      <c r="AA883" s="490" t="str">
        <f>+AB883&amp;AC883</f>
        <v>2222</v>
      </c>
      <c r="AB883" s="489">
        <v>22</v>
      </c>
      <c r="AC883" s="489">
        <v>22</v>
      </c>
      <c r="AD883" s="27">
        <v>211251</v>
      </c>
      <c r="AE883" s="27" t="s">
        <v>1130</v>
      </c>
      <c r="AF883" s="432">
        <f>VLOOKUP(AD883,[5]Hoja1!$A$10:$K$1393,11,0)</f>
        <v>0</v>
      </c>
      <c r="AG883" s="432">
        <f>-AG889</f>
        <v>0</v>
      </c>
      <c r="AH883" s="432">
        <f t="shared" si="196"/>
        <v>0</v>
      </c>
      <c r="AL883" s="448"/>
      <c r="AM883" s="467">
        <f>VLOOKUP(AD883,[6]BV201101!$A$10:$A$1236,1,0)</f>
        <v>211251</v>
      </c>
    </row>
    <row r="884" spans="1:39" s="467" customFormat="1" ht="12.75" customHeight="1">
      <c r="A884" s="487" t="str">
        <f t="shared" si="198"/>
        <v>2</v>
      </c>
      <c r="B884" s="487" t="str">
        <f t="shared" si="170"/>
        <v>11</v>
      </c>
      <c r="C884" s="487" t="str">
        <f t="shared" si="171"/>
        <v>25</v>
      </c>
      <c r="D884" s="487" t="str">
        <f t="shared" si="172"/>
        <v>1252</v>
      </c>
      <c r="E884" s="487">
        <v>524470000</v>
      </c>
      <c r="F884" s="488" t="str">
        <f>+G884&amp;H884</f>
        <v/>
      </c>
      <c r="G884" s="489"/>
      <c r="H884" s="489"/>
      <c r="I884" s="488" t="str">
        <f>+J884&amp;K884</f>
        <v/>
      </c>
      <c r="J884" s="487"/>
      <c r="K884" s="487"/>
      <c r="L884" s="488" t="str">
        <f>+M884&amp;N884</f>
        <v/>
      </c>
      <c r="M884" s="487"/>
      <c r="N884" s="487"/>
      <c r="O884" s="488" t="str">
        <f>+P884&amp;Q884</f>
        <v/>
      </c>
      <c r="P884" s="489"/>
      <c r="Q884" s="489"/>
      <c r="R884" s="592" t="str">
        <f>+S884&amp;T884</f>
        <v/>
      </c>
      <c r="S884" s="487"/>
      <c r="T884" s="487"/>
      <c r="U884" s="488" t="str">
        <f>+V884&amp;W884</f>
        <v/>
      </c>
      <c r="V884" s="489"/>
      <c r="W884" s="489"/>
      <c r="X884" s="488" t="str">
        <f>+Y884&amp;Z884</f>
        <v/>
      </c>
      <c r="Y884" s="489"/>
      <c r="Z884" s="489"/>
      <c r="AA884" s="490" t="str">
        <f>+AB884&amp;AC884</f>
        <v>2222</v>
      </c>
      <c r="AB884" s="489">
        <v>22</v>
      </c>
      <c r="AC884" s="489">
        <v>22</v>
      </c>
      <c r="AD884" s="27">
        <v>211252</v>
      </c>
      <c r="AE884" s="27" t="s">
        <v>2213</v>
      </c>
      <c r="AF884" s="432">
        <f>VLOOKUP(AD884,[5]Hoja1!$A$10:$K$1393,11,0)</f>
        <v>-302000</v>
      </c>
      <c r="AG884" s="432"/>
      <c r="AH884" s="432">
        <f t="shared" si="196"/>
        <v>-302</v>
      </c>
      <c r="AL884" s="448"/>
      <c r="AM884" s="467">
        <f>VLOOKUP(AD884,[6]BV201101!$A$10:$A$1236,1,0)</f>
        <v>211252</v>
      </c>
    </row>
    <row r="885" spans="1:39" s="467" customFormat="1" ht="12.75" customHeight="1">
      <c r="A885" s="487" t="str">
        <f t="shared" si="198"/>
        <v>2</v>
      </c>
      <c r="B885" s="487" t="str">
        <f t="shared" si="170"/>
        <v>11</v>
      </c>
      <c r="C885" s="487" t="str">
        <f t="shared" si="171"/>
        <v>25</v>
      </c>
      <c r="D885" s="487" t="str">
        <f t="shared" si="172"/>
        <v>1253</v>
      </c>
      <c r="E885" s="487">
        <v>524470000</v>
      </c>
      <c r="F885" s="488" t="str">
        <f>+G885&amp;H885</f>
        <v/>
      </c>
      <c r="G885" s="489"/>
      <c r="H885" s="489"/>
      <c r="I885" s="488" t="str">
        <f>+J885&amp;K885</f>
        <v/>
      </c>
      <c r="J885" s="487"/>
      <c r="K885" s="487"/>
      <c r="L885" s="488" t="str">
        <f>+M885&amp;N885</f>
        <v/>
      </c>
      <c r="M885" s="487"/>
      <c r="N885" s="487"/>
      <c r="O885" s="488" t="str">
        <f>+P885&amp;Q885</f>
        <v/>
      </c>
      <c r="P885" s="489"/>
      <c r="Q885" s="489"/>
      <c r="R885" s="592" t="str">
        <f>+S885&amp;T885</f>
        <v/>
      </c>
      <c r="S885" s="487"/>
      <c r="T885" s="487"/>
      <c r="U885" s="488" t="str">
        <f>+V885&amp;W885</f>
        <v/>
      </c>
      <c r="V885" s="489"/>
      <c r="W885" s="489"/>
      <c r="X885" s="488" t="str">
        <f>+Y885&amp;Z885</f>
        <v/>
      </c>
      <c r="Y885" s="489"/>
      <c r="Z885" s="489"/>
      <c r="AA885" s="490" t="str">
        <f>+AB885&amp;AC885</f>
        <v>2222</v>
      </c>
      <c r="AB885" s="489">
        <v>22</v>
      </c>
      <c r="AC885" s="489">
        <v>22</v>
      </c>
      <c r="AD885" s="27">
        <v>211253</v>
      </c>
      <c r="AE885" s="27" t="s">
        <v>2214</v>
      </c>
      <c r="AF885" s="432">
        <f>VLOOKUP(AD885,[5]Hoja1!$A$10:$K$1393,11,0)</f>
        <v>-451343</v>
      </c>
      <c r="AG885" s="1507">
        <f>-AG630</f>
        <v>327157</v>
      </c>
      <c r="AH885" s="432">
        <f t="shared" si="196"/>
        <v>-124</v>
      </c>
      <c r="AL885" s="448"/>
      <c r="AM885" s="467">
        <f>VLOOKUP(AD885,[6]BV201101!$A$10:$A$1236,1,0)</f>
        <v>211253</v>
      </c>
    </row>
    <row r="886" spans="1:39" s="467" customFormat="1" ht="12.75" customHeight="1">
      <c r="A886" s="487" t="str">
        <f t="shared" si="198"/>
        <v>2</v>
      </c>
      <c r="B886" s="487" t="str">
        <f t="shared" si="170"/>
        <v>11</v>
      </c>
      <c r="C886" s="487" t="str">
        <f t="shared" si="171"/>
        <v>25</v>
      </c>
      <c r="D886" s="487" t="str">
        <f t="shared" si="172"/>
        <v>1254</v>
      </c>
      <c r="E886" s="487">
        <v>514450000</v>
      </c>
      <c r="F886" s="488"/>
      <c r="G886" s="489"/>
      <c r="H886" s="489"/>
      <c r="I886" s="488"/>
      <c r="J886" s="487"/>
      <c r="K886" s="487"/>
      <c r="L886" s="488"/>
      <c r="M886" s="487"/>
      <c r="N886" s="487"/>
      <c r="O886" s="488"/>
      <c r="P886" s="489"/>
      <c r="Q886" s="489"/>
      <c r="R886" s="592"/>
      <c r="S886" s="487"/>
      <c r="T886" s="487"/>
      <c r="U886" s="488"/>
      <c r="V886" s="489"/>
      <c r="W886" s="489"/>
      <c r="X886" s="488"/>
      <c r="Y886" s="489"/>
      <c r="Z886" s="489"/>
      <c r="AA886" s="490"/>
      <c r="AB886" s="489"/>
      <c r="AC886" s="489"/>
      <c r="AD886" s="927">
        <v>211254</v>
      </c>
      <c r="AE886" s="27" t="s">
        <v>2706</v>
      </c>
      <c r="AF886" s="432">
        <f>VLOOKUP(AD886,[5]Hoja1!$A$10:$K$1393,11,0)</f>
        <v>-4935414213</v>
      </c>
      <c r="AG886" s="1507">
        <f>-AG434</f>
        <v>4935414213</v>
      </c>
      <c r="AH886" s="432">
        <f t="shared" si="196"/>
        <v>0</v>
      </c>
      <c r="AL886" s="448"/>
    </row>
    <row r="887" spans="1:39" s="467" customFormat="1" ht="12.75" customHeight="1">
      <c r="A887" s="487" t="str">
        <f t="shared" si="198"/>
        <v>2</v>
      </c>
      <c r="B887" s="487" t="str">
        <f t="shared" si="170"/>
        <v>11</v>
      </c>
      <c r="C887" s="487" t="str">
        <f t="shared" si="171"/>
        <v>25</v>
      </c>
      <c r="D887" s="487" t="str">
        <f t="shared" si="172"/>
        <v>1255</v>
      </c>
      <c r="E887" s="487"/>
      <c r="F887" s="488"/>
      <c r="G887" s="489"/>
      <c r="H887" s="489"/>
      <c r="I887" s="488"/>
      <c r="J887" s="487"/>
      <c r="K887" s="487"/>
      <c r="L887" s="488"/>
      <c r="M887" s="487"/>
      <c r="N887" s="487"/>
      <c r="O887" s="488"/>
      <c r="P887" s="489"/>
      <c r="Q887" s="489"/>
      <c r="R887" s="592"/>
      <c r="S887" s="487"/>
      <c r="T887" s="487"/>
      <c r="U887" s="488"/>
      <c r="V887" s="489"/>
      <c r="W887" s="489"/>
      <c r="X887" s="488"/>
      <c r="Y887" s="489"/>
      <c r="Z887" s="489"/>
      <c r="AA887" s="490"/>
      <c r="AB887" s="489"/>
      <c r="AC887" s="489"/>
      <c r="AD887" s="27">
        <v>211255</v>
      </c>
      <c r="AE887" s="27" t="s">
        <v>500</v>
      </c>
      <c r="AF887" s="432">
        <v>0</v>
      </c>
      <c r="AG887" s="432"/>
      <c r="AH887" s="432">
        <f t="shared" si="196"/>
        <v>0</v>
      </c>
      <c r="AL887" s="448"/>
      <c r="AM887" s="467" t="e">
        <f>VLOOKUP(AD887,[6]BV201101!$A$10:$A$1236,1,0)</f>
        <v>#N/A</v>
      </c>
    </row>
    <row r="888" spans="1:39" s="467" customFormat="1" ht="12.75" customHeight="1">
      <c r="A888" s="487" t="str">
        <f t="shared" si="198"/>
        <v>2</v>
      </c>
      <c r="B888" s="487" t="str">
        <f t="shared" si="170"/>
        <v>11</v>
      </c>
      <c r="C888" s="487" t="str">
        <f t="shared" si="171"/>
        <v>25</v>
      </c>
      <c r="D888" s="487" t="str">
        <f t="shared" si="172"/>
        <v>1256</v>
      </c>
      <c r="E888" s="487">
        <v>524470000</v>
      </c>
      <c r="F888" s="488"/>
      <c r="G888" s="489"/>
      <c r="H888" s="489"/>
      <c r="I888" s="488"/>
      <c r="J888" s="487"/>
      <c r="K888" s="487"/>
      <c r="L888" s="488"/>
      <c r="M888" s="487"/>
      <c r="N888" s="487"/>
      <c r="O888" s="488"/>
      <c r="P888" s="489"/>
      <c r="Q888" s="489"/>
      <c r="R888" s="592"/>
      <c r="S888" s="487"/>
      <c r="T888" s="487"/>
      <c r="U888" s="488"/>
      <c r="V888" s="489"/>
      <c r="W888" s="489"/>
      <c r="X888" s="488"/>
      <c r="Y888" s="489"/>
      <c r="Z888" s="489"/>
      <c r="AA888" s="490" t="str">
        <f>+AB888&amp;AC888</f>
        <v>2222</v>
      </c>
      <c r="AB888" s="489">
        <v>22</v>
      </c>
      <c r="AC888" s="489">
        <v>22</v>
      </c>
      <c r="AD888" s="27">
        <v>211256</v>
      </c>
      <c r="AE888" s="27" t="s">
        <v>1580</v>
      </c>
      <c r="AF888" s="432">
        <f>VLOOKUP(AD888,[5]Hoja1!$A$10:$K$1393,11,0)</f>
        <v>-63283939</v>
      </c>
      <c r="AG888" s="432"/>
      <c r="AH888" s="432">
        <f t="shared" si="196"/>
        <v>-63284</v>
      </c>
      <c r="AL888" s="448"/>
      <c r="AM888" s="467">
        <f>VLOOKUP(AD888,[6]BV201101!$A$10:$A$1236,1,0)</f>
        <v>211256</v>
      </c>
    </row>
    <row r="889" spans="1:39" s="467" customFormat="1" ht="12.75" customHeight="1">
      <c r="A889" s="487" t="str">
        <f t="shared" si="198"/>
        <v>2</v>
      </c>
      <c r="B889" s="487" t="str">
        <f t="shared" si="170"/>
        <v>11</v>
      </c>
      <c r="C889" s="487" t="str">
        <f t="shared" si="171"/>
        <v>25</v>
      </c>
      <c r="D889" s="487" t="str">
        <f t="shared" si="172"/>
        <v>1257</v>
      </c>
      <c r="E889" s="487">
        <v>524470000</v>
      </c>
      <c r="F889" s="488" t="str">
        <f>+G889&amp;H889</f>
        <v/>
      </c>
      <c r="G889" s="489"/>
      <c r="H889" s="489"/>
      <c r="I889" s="488" t="str">
        <f>+J889&amp;K889</f>
        <v/>
      </c>
      <c r="J889" s="487"/>
      <c r="K889" s="487"/>
      <c r="L889" s="488" t="str">
        <f>+M889&amp;N889</f>
        <v/>
      </c>
      <c r="M889" s="487"/>
      <c r="N889" s="487"/>
      <c r="O889" s="488" t="str">
        <f>+P889&amp;Q889</f>
        <v/>
      </c>
      <c r="P889" s="489"/>
      <c r="Q889" s="489"/>
      <c r="R889" s="592" t="str">
        <f>+S889&amp;T889</f>
        <v/>
      </c>
      <c r="S889" s="487"/>
      <c r="T889" s="487"/>
      <c r="U889" s="488" t="str">
        <f>+V889&amp;W889</f>
        <v/>
      </c>
      <c r="V889" s="489"/>
      <c r="W889" s="489"/>
      <c r="X889" s="488" t="str">
        <f>+Y889&amp;Z889</f>
        <v/>
      </c>
      <c r="Y889" s="489"/>
      <c r="Z889" s="489"/>
      <c r="AA889" s="490" t="str">
        <f>+AB889&amp;AC889</f>
        <v>2222</v>
      </c>
      <c r="AB889" s="489">
        <v>22</v>
      </c>
      <c r="AC889" s="489">
        <v>22</v>
      </c>
      <c r="AD889" s="27">
        <v>211257</v>
      </c>
      <c r="AE889" s="27" t="s">
        <v>2</v>
      </c>
      <c r="AF889" s="432">
        <f>VLOOKUP(AD889,[5]Hoja1!$A$10:$K$1393,11,0)</f>
        <v>0</v>
      </c>
      <c r="AG889" s="432">
        <f>-AF889</f>
        <v>0</v>
      </c>
      <c r="AH889" s="432">
        <f t="shared" si="196"/>
        <v>0</v>
      </c>
      <c r="AL889" s="448"/>
      <c r="AM889" s="467">
        <f>VLOOKUP(AD889,[6]BV201101!$A$10:$A$1236,1,0)</f>
        <v>211257</v>
      </c>
    </row>
    <row r="890" spans="1:39" s="467" customFormat="1" ht="12.75" customHeight="1">
      <c r="A890" s="487" t="str">
        <f t="shared" si="198"/>
        <v>2</v>
      </c>
      <c r="B890" s="487" t="str">
        <f t="shared" si="170"/>
        <v>11</v>
      </c>
      <c r="C890" s="487" t="str">
        <f t="shared" si="171"/>
        <v>25</v>
      </c>
      <c r="D890" s="487" t="str">
        <f t="shared" si="172"/>
        <v>1258</v>
      </c>
      <c r="E890" s="487">
        <v>524410000</v>
      </c>
      <c r="F890" s="488"/>
      <c r="G890" s="489"/>
      <c r="H890" s="489"/>
      <c r="I890" s="488"/>
      <c r="J890" s="487"/>
      <c r="K890" s="487"/>
      <c r="L890" s="488"/>
      <c r="M890" s="487"/>
      <c r="N890" s="487"/>
      <c r="O890" s="488"/>
      <c r="P890" s="489"/>
      <c r="Q890" s="489"/>
      <c r="R890" s="592"/>
      <c r="S890" s="487"/>
      <c r="T890" s="487"/>
      <c r="U890" s="488"/>
      <c r="V890" s="489"/>
      <c r="W890" s="489"/>
      <c r="X890" s="488"/>
      <c r="Y890" s="489"/>
      <c r="Z890" s="489"/>
      <c r="AA890" s="490"/>
      <c r="AB890" s="489"/>
      <c r="AC890" s="489"/>
      <c r="AD890" s="27">
        <v>211258</v>
      </c>
      <c r="AE890" s="27" t="s">
        <v>1</v>
      </c>
      <c r="AF890" s="432">
        <f>VLOOKUP(AD890,[5]Hoja1!$A$10:$K$1393,11,0)</f>
        <v>-5213219</v>
      </c>
      <c r="AG890" s="432"/>
      <c r="AH890" s="432">
        <f t="shared" si="196"/>
        <v>-5213</v>
      </c>
      <c r="AL890" s="448"/>
      <c r="AM890" s="467">
        <f>VLOOKUP(AD890,[6]BV201101!$A$10:$A$1236,1,0)</f>
        <v>211258</v>
      </c>
    </row>
    <row r="891" spans="1:39" s="467" customFormat="1" ht="12.75" customHeight="1">
      <c r="A891" s="487" t="str">
        <f t="shared" si="198"/>
        <v>2</v>
      </c>
      <c r="B891" s="487" t="str">
        <f t="shared" si="170"/>
        <v>11</v>
      </c>
      <c r="C891" s="487" t="str">
        <f t="shared" si="171"/>
        <v>25</v>
      </c>
      <c r="D891" s="487" t="str">
        <f t="shared" si="172"/>
        <v>1259</v>
      </c>
      <c r="E891" s="487">
        <v>524410000</v>
      </c>
      <c r="F891" s="488"/>
      <c r="G891" s="489"/>
      <c r="H891" s="489"/>
      <c r="I891" s="488"/>
      <c r="J891" s="487"/>
      <c r="K891" s="487"/>
      <c r="L891" s="488"/>
      <c r="M891" s="487"/>
      <c r="N891" s="487"/>
      <c r="O891" s="488"/>
      <c r="P891" s="489"/>
      <c r="Q891" s="489"/>
      <c r="R891" s="592"/>
      <c r="S891" s="487"/>
      <c r="T891" s="487"/>
      <c r="U891" s="488"/>
      <c r="V891" s="489"/>
      <c r="W891" s="489"/>
      <c r="X891" s="488"/>
      <c r="Y891" s="489"/>
      <c r="Z891" s="489"/>
      <c r="AA891" s="490"/>
      <c r="AB891" s="489"/>
      <c r="AC891" s="489"/>
      <c r="AD891" s="27">
        <v>211259</v>
      </c>
      <c r="AE891" s="27" t="s">
        <v>3</v>
      </c>
      <c r="AF891" s="432">
        <f>VLOOKUP(AD891,[5]Hoja1!$A$10:$K$1393,11,0)</f>
        <v>-815538037</v>
      </c>
      <c r="AG891" s="432"/>
      <c r="AH891" s="432">
        <f t="shared" si="196"/>
        <v>-815538</v>
      </c>
      <c r="AL891" s="448"/>
      <c r="AM891" s="467">
        <f>VLOOKUP(AD891,[6]BV201101!$A$10:$A$1236,1,0)</f>
        <v>211259</v>
      </c>
    </row>
    <row r="892" spans="1:39" s="467" customFormat="1" ht="12.75" customHeight="1">
      <c r="A892" s="487" t="str">
        <f t="shared" si="198"/>
        <v>2</v>
      </c>
      <c r="B892" s="487" t="str">
        <f t="shared" si="170"/>
        <v>11</v>
      </c>
      <c r="C892" s="487" t="str">
        <f t="shared" si="171"/>
        <v>26</v>
      </c>
      <c r="D892" s="487" t="str">
        <f t="shared" si="172"/>
        <v>1260</v>
      </c>
      <c r="E892" s="487">
        <v>524470000</v>
      </c>
      <c r="F892" s="488" t="str">
        <f>+G892&amp;H892</f>
        <v/>
      </c>
      <c r="G892" s="489"/>
      <c r="H892" s="489"/>
      <c r="I892" s="488" t="str">
        <f>+J892&amp;K892</f>
        <v/>
      </c>
      <c r="J892" s="487"/>
      <c r="K892" s="487"/>
      <c r="L892" s="488" t="str">
        <f>+M892&amp;N892</f>
        <v/>
      </c>
      <c r="M892" s="487"/>
      <c r="N892" s="487"/>
      <c r="O892" s="488" t="str">
        <f>+P892&amp;Q892</f>
        <v/>
      </c>
      <c r="P892" s="489"/>
      <c r="Q892" s="489"/>
      <c r="R892" s="592" t="str">
        <f>+S892&amp;T892</f>
        <v/>
      </c>
      <c r="S892" s="487"/>
      <c r="T892" s="487"/>
      <c r="U892" s="488" t="str">
        <f>+V892&amp;W892</f>
        <v/>
      </c>
      <c r="V892" s="489"/>
      <c r="W892" s="489"/>
      <c r="X892" s="488" t="str">
        <f>+Y892&amp;Z892</f>
        <v/>
      </c>
      <c r="Y892" s="489"/>
      <c r="Z892" s="489"/>
      <c r="AA892" s="490" t="str">
        <f>+AB892&amp;AC892</f>
        <v>2222</v>
      </c>
      <c r="AB892" s="489">
        <v>22</v>
      </c>
      <c r="AC892" s="489">
        <v>22</v>
      </c>
      <c r="AD892" s="27">
        <v>211260</v>
      </c>
      <c r="AE892" s="27" t="s">
        <v>2215</v>
      </c>
      <c r="AF892" s="432">
        <f>VLOOKUP(AD892,[5]Hoja1!$A$10:$K$1393,11,0)</f>
        <v>-100656624</v>
      </c>
      <c r="AG892" s="432"/>
      <c r="AH892" s="432">
        <f t="shared" si="196"/>
        <v>-100657</v>
      </c>
      <c r="AL892" s="448"/>
      <c r="AM892" s="467">
        <f>VLOOKUP(AD892,[6]BV201101!$A$10:$A$1236,1,0)</f>
        <v>211260</v>
      </c>
    </row>
    <row r="893" spans="1:39" s="467" customFormat="1" ht="12.75" customHeight="1">
      <c r="A893" s="487" t="str">
        <f t="shared" si="198"/>
        <v>2</v>
      </c>
      <c r="B893" s="487" t="str">
        <f t="shared" si="170"/>
        <v>11</v>
      </c>
      <c r="C893" s="487" t="str">
        <f t="shared" si="171"/>
        <v>26</v>
      </c>
      <c r="D893" s="487" t="str">
        <f t="shared" si="172"/>
        <v>1261</v>
      </c>
      <c r="E893" s="487">
        <v>524470000</v>
      </c>
      <c r="F893" s="488" t="str">
        <f>+G893&amp;H893</f>
        <v/>
      </c>
      <c r="G893" s="489"/>
      <c r="H893" s="489"/>
      <c r="I893" s="488" t="str">
        <f>+J893&amp;K893</f>
        <v/>
      </c>
      <c r="J893" s="487"/>
      <c r="K893" s="487"/>
      <c r="L893" s="488" t="str">
        <f>+M893&amp;N893</f>
        <v/>
      </c>
      <c r="M893" s="487"/>
      <c r="N893" s="487"/>
      <c r="O893" s="488" t="str">
        <f>+P893&amp;Q893</f>
        <v/>
      </c>
      <c r="P893" s="489"/>
      <c r="Q893" s="489"/>
      <c r="R893" s="592" t="str">
        <f>+S893&amp;T893</f>
        <v/>
      </c>
      <c r="S893" s="487"/>
      <c r="T893" s="487"/>
      <c r="U893" s="488" t="str">
        <f>+V893&amp;W893</f>
        <v/>
      </c>
      <c r="V893" s="489"/>
      <c r="W893" s="489"/>
      <c r="X893" s="488" t="str">
        <f>+Y893&amp;Z893</f>
        <v/>
      </c>
      <c r="Y893" s="489"/>
      <c r="Z893" s="489"/>
      <c r="AA893" s="490" t="str">
        <f>+AB893&amp;AC893</f>
        <v>2222</v>
      </c>
      <c r="AB893" s="489">
        <v>22</v>
      </c>
      <c r="AC893" s="489">
        <v>22</v>
      </c>
      <c r="AD893" s="27">
        <v>211261</v>
      </c>
      <c r="AE893" s="27" t="s">
        <v>4</v>
      </c>
      <c r="AF893" s="432">
        <f>VLOOKUP(AD893,[5]Hoja1!$A$10:$K$1393,11,0)</f>
        <v>-195219983</v>
      </c>
      <c r="AG893" s="1203">
        <v>0</v>
      </c>
      <c r="AH893" s="432">
        <f t="shared" si="196"/>
        <v>-195220</v>
      </c>
      <c r="AL893" s="448"/>
      <c r="AM893" s="467">
        <f>VLOOKUP(AD893,[6]BV201101!$A$10:$A$1236,1,0)</f>
        <v>211261</v>
      </c>
    </row>
    <row r="894" spans="1:39" s="467" customFormat="1" ht="12.75" customHeight="1">
      <c r="A894" s="487" t="str">
        <f t="shared" si="198"/>
        <v>2</v>
      </c>
      <c r="B894" s="487" t="str">
        <f t="shared" si="170"/>
        <v>11</v>
      </c>
      <c r="C894" s="487" t="str">
        <f t="shared" si="171"/>
        <v>26</v>
      </c>
      <c r="D894" s="487" t="str">
        <f t="shared" si="172"/>
        <v>1262</v>
      </c>
      <c r="E894" s="487">
        <v>524450000</v>
      </c>
      <c r="F894" s="488"/>
      <c r="G894" s="489"/>
      <c r="H894" s="489"/>
      <c r="I894" s="488"/>
      <c r="J894" s="487"/>
      <c r="K894" s="487"/>
      <c r="L894" s="488"/>
      <c r="M894" s="487"/>
      <c r="N894" s="487"/>
      <c r="O894" s="488"/>
      <c r="P894" s="489"/>
      <c r="Q894" s="489"/>
      <c r="R894" s="592"/>
      <c r="S894" s="487"/>
      <c r="T894" s="487"/>
      <c r="U894" s="488"/>
      <c r="V894" s="489"/>
      <c r="W894" s="489"/>
      <c r="X894" s="488"/>
      <c r="Y894" s="489"/>
      <c r="Z894" s="489"/>
      <c r="AA894" s="490" t="str">
        <f>+AB894&amp;AC894</f>
        <v xml:space="preserve"> </v>
      </c>
      <c r="AB894" s="489" t="s">
        <v>1805</v>
      </c>
      <c r="AC894" s="489"/>
      <c r="AD894" s="27">
        <v>211262</v>
      </c>
      <c r="AE894" s="27" t="s">
        <v>5</v>
      </c>
      <c r="AF894" s="432">
        <f>VLOOKUP(AD894,[5]Hoja1!$A$10:$K$1393,11,0)</f>
        <v>0</v>
      </c>
      <c r="AG894" s="432"/>
      <c r="AH894" s="432">
        <f t="shared" si="196"/>
        <v>0</v>
      </c>
      <c r="AL894" s="448"/>
      <c r="AM894" s="467">
        <f>VLOOKUP(AD894,[6]BV201101!$A$10:$A$1236,1,0)</f>
        <v>211262</v>
      </c>
    </row>
    <row r="895" spans="1:39" s="467" customFormat="1" ht="12.75" customHeight="1">
      <c r="A895" s="487" t="str">
        <f t="shared" si="198"/>
        <v>2</v>
      </c>
      <c r="B895" s="487" t="str">
        <f t="shared" si="170"/>
        <v>11</v>
      </c>
      <c r="C895" s="487" t="str">
        <f t="shared" si="171"/>
        <v>26</v>
      </c>
      <c r="D895" s="487" t="str">
        <f t="shared" si="172"/>
        <v>1263</v>
      </c>
      <c r="E895" s="487">
        <v>524470000</v>
      </c>
      <c r="F895" s="488" t="str">
        <f t="shared" ref="F895:F900" si="199">+G895&amp;H895</f>
        <v/>
      </c>
      <c r="G895" s="487"/>
      <c r="H895" s="487"/>
      <c r="I895" s="488" t="str">
        <f t="shared" ref="I895:I900" si="200">+J895&amp;K895</f>
        <v/>
      </c>
      <c r="J895" s="487"/>
      <c r="K895" s="487"/>
      <c r="L895" s="488" t="str">
        <f t="shared" ref="L895:L900" si="201">+M895&amp;N895</f>
        <v/>
      </c>
      <c r="M895" s="489"/>
      <c r="N895" s="489"/>
      <c r="O895" s="488" t="str">
        <f t="shared" ref="O895:O900" si="202">+P895&amp;Q895</f>
        <v/>
      </c>
      <c r="P895" s="489"/>
      <c r="Q895" s="489"/>
      <c r="R895" s="592" t="str">
        <f t="shared" ref="R895:R900" si="203">+S895&amp;T895</f>
        <v/>
      </c>
      <c r="S895" s="487"/>
      <c r="T895" s="487"/>
      <c r="U895" s="488" t="str">
        <f t="shared" ref="U895:U900" si="204">+V895&amp;W895</f>
        <v/>
      </c>
      <c r="V895" s="489"/>
      <c r="W895" s="489"/>
      <c r="X895" s="488" t="str">
        <f t="shared" ref="X895:X900" si="205">+Y895&amp;Z895</f>
        <v/>
      </c>
      <c r="Y895" s="489"/>
      <c r="Z895" s="489"/>
      <c r="AA895" s="490" t="str">
        <f t="shared" ref="AA895:AA901" si="206">+AB895&amp;AC895</f>
        <v>2222</v>
      </c>
      <c r="AB895" s="489">
        <v>22</v>
      </c>
      <c r="AC895" s="489">
        <v>22</v>
      </c>
      <c r="AD895" s="27">
        <v>211263</v>
      </c>
      <c r="AE895" s="27" t="s">
        <v>2216</v>
      </c>
      <c r="AF895" s="432">
        <v>0</v>
      </c>
      <c r="AG895" s="432"/>
      <c r="AH895" s="432">
        <f t="shared" si="196"/>
        <v>0</v>
      </c>
      <c r="AL895" s="448"/>
      <c r="AM895" s="467" t="e">
        <f>VLOOKUP(AD895,[6]BV201101!$A$10:$A$1236,1,0)</f>
        <v>#N/A</v>
      </c>
    </row>
    <row r="896" spans="1:39" s="467" customFormat="1" ht="12.75" customHeight="1">
      <c r="A896" s="487" t="str">
        <f t="shared" si="198"/>
        <v>2</v>
      </c>
      <c r="B896" s="487" t="str">
        <f t="shared" si="170"/>
        <v>11</v>
      </c>
      <c r="C896" s="487" t="str">
        <f t="shared" si="171"/>
        <v>26</v>
      </c>
      <c r="D896" s="487" t="str">
        <f t="shared" si="172"/>
        <v>1264</v>
      </c>
      <c r="E896" s="487">
        <v>524470000</v>
      </c>
      <c r="F896" s="488" t="str">
        <f t="shared" si="199"/>
        <v/>
      </c>
      <c r="G896" s="489"/>
      <c r="H896" s="489"/>
      <c r="I896" s="488" t="str">
        <f t="shared" si="200"/>
        <v/>
      </c>
      <c r="J896" s="487"/>
      <c r="K896" s="487"/>
      <c r="L896" s="488" t="str">
        <f t="shared" si="201"/>
        <v/>
      </c>
      <c r="M896" s="487"/>
      <c r="N896" s="487"/>
      <c r="O896" s="488" t="str">
        <f t="shared" si="202"/>
        <v/>
      </c>
      <c r="P896" s="489"/>
      <c r="Q896" s="489"/>
      <c r="R896" s="592" t="str">
        <f t="shared" si="203"/>
        <v/>
      </c>
      <c r="S896" s="487"/>
      <c r="T896" s="487"/>
      <c r="U896" s="488" t="str">
        <f t="shared" si="204"/>
        <v/>
      </c>
      <c r="V896" s="489"/>
      <c r="W896" s="489"/>
      <c r="X896" s="488" t="str">
        <f t="shared" si="205"/>
        <v/>
      </c>
      <c r="Y896" s="489"/>
      <c r="Z896" s="489"/>
      <c r="AA896" s="490" t="str">
        <f t="shared" si="206"/>
        <v>2222</v>
      </c>
      <c r="AB896" s="489">
        <v>22</v>
      </c>
      <c r="AC896" s="489">
        <v>22</v>
      </c>
      <c r="AD896" s="27">
        <v>211264</v>
      </c>
      <c r="AE896" s="27" t="s">
        <v>274</v>
      </c>
      <c r="AF896" s="432">
        <f>VLOOKUP(AD896,[5]Hoja1!$A$10:$K$1393,11,0)</f>
        <v>0</v>
      </c>
      <c r="AG896" s="444">
        <f>-AF896</f>
        <v>0</v>
      </c>
      <c r="AH896" s="432">
        <f t="shared" si="196"/>
        <v>0</v>
      </c>
      <c r="AL896" s="448"/>
      <c r="AM896" s="467">
        <f>VLOOKUP(AD896,[6]BV201101!$A$10:$A$1236,1,0)</f>
        <v>211264</v>
      </c>
    </row>
    <row r="897" spans="1:39" s="467" customFormat="1" ht="12.75" customHeight="1">
      <c r="A897" s="487" t="str">
        <f t="shared" si="198"/>
        <v>2</v>
      </c>
      <c r="B897" s="487" t="str">
        <f t="shared" si="170"/>
        <v>11</v>
      </c>
      <c r="C897" s="487" t="str">
        <f t="shared" si="171"/>
        <v>26</v>
      </c>
      <c r="D897" s="487" t="str">
        <f t="shared" si="172"/>
        <v>1265</v>
      </c>
      <c r="E897" s="487">
        <v>524470000</v>
      </c>
      <c r="F897" s="488" t="str">
        <f t="shared" si="199"/>
        <v/>
      </c>
      <c r="G897" s="489"/>
      <c r="H897" s="489"/>
      <c r="I897" s="488" t="str">
        <f t="shared" si="200"/>
        <v/>
      </c>
      <c r="J897" s="487"/>
      <c r="K897" s="487"/>
      <c r="L897" s="488" t="str">
        <f t="shared" si="201"/>
        <v/>
      </c>
      <c r="M897" s="487"/>
      <c r="N897" s="487"/>
      <c r="O897" s="488" t="str">
        <f t="shared" si="202"/>
        <v/>
      </c>
      <c r="P897" s="489"/>
      <c r="Q897" s="489"/>
      <c r="R897" s="592" t="str">
        <f t="shared" si="203"/>
        <v/>
      </c>
      <c r="S897" s="487"/>
      <c r="T897" s="487"/>
      <c r="U897" s="488" t="str">
        <f t="shared" si="204"/>
        <v/>
      </c>
      <c r="V897" s="489"/>
      <c r="W897" s="489"/>
      <c r="X897" s="488" t="str">
        <f t="shared" si="205"/>
        <v/>
      </c>
      <c r="Y897" s="489"/>
      <c r="Z897" s="489"/>
      <c r="AA897" s="490" t="str">
        <f t="shared" si="206"/>
        <v>2222</v>
      </c>
      <c r="AB897" s="489">
        <v>22</v>
      </c>
      <c r="AC897" s="489">
        <v>22</v>
      </c>
      <c r="AD897" s="27">
        <v>211265</v>
      </c>
      <c r="AE897" s="27" t="s">
        <v>2217</v>
      </c>
      <c r="AF897" s="432">
        <f>VLOOKUP(AD897,[5]Hoja1!$A$10:$K$1393,11,0)</f>
        <v>-226146739</v>
      </c>
      <c r="AG897" s="444"/>
      <c r="AH897" s="432">
        <f t="shared" si="196"/>
        <v>-226147</v>
      </c>
      <c r="AL897" s="448"/>
      <c r="AM897" s="467">
        <f>VLOOKUP(AD897,[6]BV201101!$A$10:$A$1236,1,0)</f>
        <v>211265</v>
      </c>
    </row>
    <row r="898" spans="1:39" s="467" customFormat="1" ht="12.75" customHeight="1">
      <c r="A898" s="487" t="str">
        <f t="shared" si="198"/>
        <v>2</v>
      </c>
      <c r="B898" s="487" t="str">
        <f t="shared" si="170"/>
        <v>11</v>
      </c>
      <c r="C898" s="487" t="str">
        <f t="shared" si="171"/>
        <v>26</v>
      </c>
      <c r="D898" s="487" t="str">
        <f t="shared" si="172"/>
        <v>1266</v>
      </c>
      <c r="E898" s="487">
        <v>524470000</v>
      </c>
      <c r="F898" s="488" t="str">
        <f t="shared" si="199"/>
        <v/>
      </c>
      <c r="G898" s="489"/>
      <c r="H898" s="489"/>
      <c r="I898" s="488" t="str">
        <f t="shared" si="200"/>
        <v/>
      </c>
      <c r="J898" s="487"/>
      <c r="K898" s="487"/>
      <c r="L898" s="488" t="str">
        <f t="shared" si="201"/>
        <v/>
      </c>
      <c r="M898" s="487"/>
      <c r="N898" s="487"/>
      <c r="O898" s="488" t="str">
        <f t="shared" si="202"/>
        <v/>
      </c>
      <c r="P898" s="489"/>
      <c r="Q898" s="489"/>
      <c r="R898" s="592" t="str">
        <f t="shared" si="203"/>
        <v/>
      </c>
      <c r="S898" s="487"/>
      <c r="T898" s="487"/>
      <c r="U898" s="488" t="str">
        <f t="shared" si="204"/>
        <v/>
      </c>
      <c r="V898" s="489"/>
      <c r="W898" s="489"/>
      <c r="X898" s="488" t="str">
        <f t="shared" si="205"/>
        <v/>
      </c>
      <c r="Y898" s="489"/>
      <c r="Z898" s="489"/>
      <c r="AA898" s="490" t="str">
        <f t="shared" si="206"/>
        <v>2222</v>
      </c>
      <c r="AB898" s="489">
        <v>22</v>
      </c>
      <c r="AC898" s="489">
        <v>22</v>
      </c>
      <c r="AD898" s="27">
        <v>211266</v>
      </c>
      <c r="AE898" s="27" t="s">
        <v>2218</v>
      </c>
      <c r="AF898" s="432">
        <f>VLOOKUP(AD898,[5]Hoja1!$A$10:$K$1393,11,0)</f>
        <v>-198419278</v>
      </c>
      <c r="AG898" s="444"/>
      <c r="AH898" s="432">
        <f t="shared" si="196"/>
        <v>-198419</v>
      </c>
      <c r="AL898" s="448"/>
      <c r="AM898" s="467">
        <f>VLOOKUP(AD898,[6]BV201101!$A$10:$A$1236,1,0)</f>
        <v>211266</v>
      </c>
    </row>
    <row r="899" spans="1:39" s="467" customFormat="1" ht="12.75" customHeight="1">
      <c r="A899" s="487" t="str">
        <f t="shared" si="198"/>
        <v>2</v>
      </c>
      <c r="B899" s="487" t="str">
        <f t="shared" si="170"/>
        <v>11</v>
      </c>
      <c r="C899" s="487" t="str">
        <f t="shared" si="171"/>
        <v>26</v>
      </c>
      <c r="D899" s="487" t="str">
        <f t="shared" si="172"/>
        <v>1267</v>
      </c>
      <c r="E899" s="487">
        <v>522200000</v>
      </c>
      <c r="F899" s="488" t="str">
        <f t="shared" si="199"/>
        <v/>
      </c>
      <c r="G899" s="487"/>
      <c r="H899" s="487"/>
      <c r="I899" s="488" t="str">
        <f t="shared" si="200"/>
        <v/>
      </c>
      <c r="J899" s="487"/>
      <c r="K899" s="487"/>
      <c r="L899" s="488" t="str">
        <f t="shared" si="201"/>
        <v/>
      </c>
      <c r="M899" s="489"/>
      <c r="N899" s="489"/>
      <c r="O899" s="488" t="str">
        <f t="shared" si="202"/>
        <v/>
      </c>
      <c r="P899" s="489"/>
      <c r="Q899" s="489"/>
      <c r="R899" s="592" t="str">
        <f t="shared" si="203"/>
        <v/>
      </c>
      <c r="S899" s="487"/>
      <c r="T899" s="487"/>
      <c r="U899" s="488" t="str">
        <f t="shared" si="204"/>
        <v/>
      </c>
      <c r="V899" s="489"/>
      <c r="W899" s="489"/>
      <c r="X899" s="488" t="str">
        <f t="shared" si="205"/>
        <v/>
      </c>
      <c r="Y899" s="489"/>
      <c r="Z899" s="489"/>
      <c r="AA899" s="490" t="str">
        <f t="shared" si="206"/>
        <v>22201</v>
      </c>
      <c r="AB899" s="489">
        <v>22</v>
      </c>
      <c r="AC899" s="489">
        <v>201</v>
      </c>
      <c r="AD899" s="27">
        <v>211267</v>
      </c>
      <c r="AE899" s="27" t="s">
        <v>1675</v>
      </c>
      <c r="AF899" s="432">
        <f>VLOOKUP(AD899,[5]Hoja1!$A$10:$K$1393,11,0)</f>
        <v>-1913535638</v>
      </c>
      <c r="AG899" s="432"/>
      <c r="AH899" s="432">
        <f t="shared" si="196"/>
        <v>-1913536</v>
      </c>
      <c r="AL899" s="448"/>
      <c r="AM899" s="467">
        <f>VLOOKUP(AD899,[6]BV201101!$A$10:$A$1236,1,0)</f>
        <v>211267</v>
      </c>
    </row>
    <row r="900" spans="1:39" s="467" customFormat="1" ht="12.75" customHeight="1">
      <c r="A900" s="487" t="str">
        <f t="shared" si="198"/>
        <v>2</v>
      </c>
      <c r="B900" s="487" t="str">
        <f t="shared" si="170"/>
        <v>11</v>
      </c>
      <c r="C900" s="487" t="str">
        <f t="shared" si="171"/>
        <v>26</v>
      </c>
      <c r="D900" s="487" t="str">
        <f t="shared" si="172"/>
        <v>1268</v>
      </c>
      <c r="E900" s="487">
        <v>524470000</v>
      </c>
      <c r="F900" s="488" t="str">
        <f t="shared" si="199"/>
        <v/>
      </c>
      <c r="G900" s="487"/>
      <c r="H900" s="487"/>
      <c r="I900" s="488" t="str">
        <f t="shared" si="200"/>
        <v/>
      </c>
      <c r="J900" s="487"/>
      <c r="K900" s="487"/>
      <c r="L900" s="488" t="str">
        <f t="shared" si="201"/>
        <v/>
      </c>
      <c r="M900" s="489"/>
      <c r="N900" s="489"/>
      <c r="O900" s="488" t="str">
        <f t="shared" si="202"/>
        <v/>
      </c>
      <c r="P900" s="489"/>
      <c r="Q900" s="489"/>
      <c r="R900" s="592" t="str">
        <f t="shared" si="203"/>
        <v/>
      </c>
      <c r="S900" s="487"/>
      <c r="T900" s="487"/>
      <c r="U900" s="488" t="str">
        <f t="shared" si="204"/>
        <v/>
      </c>
      <c r="V900" s="489"/>
      <c r="W900" s="489"/>
      <c r="X900" s="488" t="str">
        <f t="shared" si="205"/>
        <v/>
      </c>
      <c r="Y900" s="489"/>
      <c r="Z900" s="489"/>
      <c r="AA900" s="490" t="str">
        <f t="shared" si="206"/>
        <v>2222</v>
      </c>
      <c r="AB900" s="489">
        <v>22</v>
      </c>
      <c r="AC900" s="489">
        <v>22</v>
      </c>
      <c r="AD900" s="27">
        <v>211268</v>
      </c>
      <c r="AE900" s="27" t="s">
        <v>1676</v>
      </c>
      <c r="AF900" s="432">
        <v>0</v>
      </c>
      <c r="AG900" s="432"/>
      <c r="AH900" s="432">
        <f t="shared" si="196"/>
        <v>0</v>
      </c>
      <c r="AL900" s="448"/>
      <c r="AM900" s="467" t="e">
        <f>VLOOKUP(AD900,[6]BV201101!$A$10:$A$1236,1,0)</f>
        <v>#N/A</v>
      </c>
    </row>
    <row r="901" spans="1:39" s="467" customFormat="1" ht="12.75" customHeight="1">
      <c r="A901" s="487" t="str">
        <f t="shared" si="198"/>
        <v>2</v>
      </c>
      <c r="B901" s="487" t="str">
        <f t="shared" si="170"/>
        <v>11</v>
      </c>
      <c r="C901" s="487" t="str">
        <f t="shared" si="171"/>
        <v>26</v>
      </c>
      <c r="D901" s="487" t="str">
        <f t="shared" si="172"/>
        <v>1269</v>
      </c>
      <c r="E901" s="777">
        <v>524470000</v>
      </c>
      <c r="F901" s="778" t="str">
        <f>+G901&amp;H901</f>
        <v/>
      </c>
      <c r="G901" s="777"/>
      <c r="H901" s="777"/>
      <c r="I901" s="778" t="str">
        <f>+J901&amp;K901</f>
        <v/>
      </c>
      <c r="J901" s="777"/>
      <c r="K901" s="777"/>
      <c r="L901" s="778" t="str">
        <f>+M901&amp;N901</f>
        <v/>
      </c>
      <c r="M901" s="779"/>
      <c r="N901" s="779"/>
      <c r="O901" s="778" t="str">
        <f>+P901&amp;Q901</f>
        <v/>
      </c>
      <c r="P901" s="779"/>
      <c r="Q901" s="779"/>
      <c r="R901" s="780" t="str">
        <f>+S901&amp;T901</f>
        <v/>
      </c>
      <c r="S901" s="777"/>
      <c r="T901" s="777"/>
      <c r="U901" s="778" t="str">
        <f>+V901&amp;W901</f>
        <v/>
      </c>
      <c r="V901" s="779"/>
      <c r="W901" s="779"/>
      <c r="X901" s="778" t="str">
        <f>+Y901&amp;Z901</f>
        <v/>
      </c>
      <c r="Y901" s="779"/>
      <c r="Z901" s="779"/>
      <c r="AA901" s="781" t="str">
        <f t="shared" si="206"/>
        <v>2222</v>
      </c>
      <c r="AB901" s="779">
        <v>22</v>
      </c>
      <c r="AC901" s="489">
        <v>22</v>
      </c>
      <c r="AD901" s="782">
        <v>211269</v>
      </c>
      <c r="AE901" s="782" t="s">
        <v>2219</v>
      </c>
      <c r="AF901" s="432">
        <f>VLOOKUP(AD901,[5]Hoja1!$A$10:$K$1393,11,0)</f>
        <v>-479083231</v>
      </c>
      <c r="AG901" s="1507">
        <f>-AG902</f>
        <v>-166137535</v>
      </c>
      <c r="AH901" s="432">
        <f t="shared" si="196"/>
        <v>-645221</v>
      </c>
      <c r="AL901" s="448"/>
      <c r="AM901" s="467">
        <f>VLOOKUP(AD901,[6]BV201101!$A$10:$A$1236,1,0)</f>
        <v>211269</v>
      </c>
    </row>
    <row r="902" spans="1:39" s="467" customFormat="1" ht="12.75" customHeight="1">
      <c r="A902" s="487" t="str">
        <f t="shared" si="198"/>
        <v>2</v>
      </c>
      <c r="B902" s="487" t="str">
        <f t="shared" si="170"/>
        <v>11</v>
      </c>
      <c r="C902" s="487" t="str">
        <f t="shared" si="171"/>
        <v>26</v>
      </c>
      <c r="D902" s="487" t="str">
        <f t="shared" si="172"/>
        <v>1269</v>
      </c>
      <c r="E902" s="777">
        <v>514340000</v>
      </c>
      <c r="F902" s="778" t="str">
        <f>+G902&amp;H902</f>
        <v/>
      </c>
      <c r="G902" s="777"/>
      <c r="H902" s="777"/>
      <c r="I902" s="778" t="str">
        <f>+J902&amp;K902</f>
        <v/>
      </c>
      <c r="J902" s="777"/>
      <c r="K902" s="777"/>
      <c r="L902" s="778" t="str">
        <f>+M902&amp;N902</f>
        <v/>
      </c>
      <c r="M902" s="779"/>
      <c r="N902" s="779"/>
      <c r="O902" s="778" t="str">
        <f>+P902&amp;Q902</f>
        <v/>
      </c>
      <c r="P902" s="777"/>
      <c r="Q902" s="779"/>
      <c r="R902" s="780" t="str">
        <f>+S902&amp;T902</f>
        <v/>
      </c>
      <c r="S902" s="783"/>
      <c r="T902" s="783"/>
      <c r="U902" s="778" t="str">
        <f>+V902&amp;W902</f>
        <v/>
      </c>
      <c r="V902" s="779"/>
      <c r="W902" s="779"/>
      <c r="X902" s="778" t="str">
        <f>+Y902&amp;Z902</f>
        <v/>
      </c>
      <c r="Y902" s="779"/>
      <c r="Z902" s="779"/>
      <c r="AA902" s="781" t="str">
        <f>+AB902&amp;AC902</f>
        <v>2222</v>
      </c>
      <c r="AB902" s="779">
        <v>22</v>
      </c>
      <c r="AC902" s="489">
        <v>22</v>
      </c>
      <c r="AD902" s="784">
        <v>211269</v>
      </c>
      <c r="AE902" s="782" t="s">
        <v>2219</v>
      </c>
      <c r="AF902" s="432">
        <v>0</v>
      </c>
      <c r="AG902" s="1511">
        <v>166137535</v>
      </c>
      <c r="AH902" s="432">
        <f t="shared" si="196"/>
        <v>166138</v>
      </c>
      <c r="AJ902" s="445"/>
      <c r="AL902" s="448"/>
      <c r="AM902" s="467">
        <f>VLOOKUP(AD902,[6]BV201101!$A$10:$A$1236,1,0)</f>
        <v>211269</v>
      </c>
    </row>
    <row r="903" spans="1:39" s="467" customFormat="1" ht="12.75" customHeight="1">
      <c r="A903" s="487" t="str">
        <f t="shared" si="198"/>
        <v>2</v>
      </c>
      <c r="B903" s="487" t="str">
        <f t="shared" si="170"/>
        <v>11</v>
      </c>
      <c r="C903" s="487" t="str">
        <f t="shared" si="171"/>
        <v>27</v>
      </c>
      <c r="D903" s="487" t="str">
        <f t="shared" si="172"/>
        <v>1270</v>
      </c>
      <c r="E903" s="487">
        <v>524470000</v>
      </c>
      <c r="F903" s="488" t="str">
        <f t="shared" ref="F903:F914" si="207">+G903&amp;H903</f>
        <v/>
      </c>
      <c r="G903" s="487"/>
      <c r="H903" s="487"/>
      <c r="I903" s="488" t="str">
        <f t="shared" ref="I903:I914" si="208">+J903&amp;K903</f>
        <v/>
      </c>
      <c r="J903" s="487"/>
      <c r="K903" s="487"/>
      <c r="L903" s="488" t="str">
        <f t="shared" ref="L903:L914" si="209">+M903&amp;N903</f>
        <v/>
      </c>
      <c r="M903" s="489"/>
      <c r="N903" s="489"/>
      <c r="O903" s="488" t="str">
        <f t="shared" ref="O903:O914" si="210">+P903&amp;Q903</f>
        <v/>
      </c>
      <c r="P903" s="489"/>
      <c r="Q903" s="489"/>
      <c r="R903" s="592" t="str">
        <f t="shared" ref="R903:R914" si="211">+S903&amp;T903</f>
        <v/>
      </c>
      <c r="S903" s="487"/>
      <c r="T903" s="487"/>
      <c r="U903" s="488" t="str">
        <f t="shared" ref="U903:U914" si="212">+V903&amp;W903</f>
        <v/>
      </c>
      <c r="V903" s="489"/>
      <c r="W903" s="489"/>
      <c r="X903" s="488" t="str">
        <f t="shared" ref="X903:X914" si="213">+Y903&amp;Z903</f>
        <v/>
      </c>
      <c r="Y903" s="489"/>
      <c r="Z903" s="489"/>
      <c r="AA903" s="490" t="str">
        <f t="shared" ref="AA903:AA914" si="214">+AB903&amp;AC903</f>
        <v>2222</v>
      </c>
      <c r="AB903" s="489">
        <v>22</v>
      </c>
      <c r="AC903" s="489">
        <v>22</v>
      </c>
      <c r="AD903" s="27">
        <v>211270</v>
      </c>
      <c r="AE903" s="27" t="s">
        <v>570</v>
      </c>
      <c r="AF903" s="432">
        <v>0</v>
      </c>
      <c r="AG903" s="432"/>
      <c r="AH903" s="432">
        <f t="shared" si="196"/>
        <v>0</v>
      </c>
      <c r="AL903" s="448"/>
      <c r="AM903" s="467">
        <f>VLOOKUP(AD903,[6]BV201101!$A$10:$A$1236,1,0)</f>
        <v>211270</v>
      </c>
    </row>
    <row r="904" spans="1:39" s="467" customFormat="1" ht="12.75" customHeight="1">
      <c r="A904" s="487" t="str">
        <f t="shared" si="198"/>
        <v>2</v>
      </c>
      <c r="B904" s="487" t="str">
        <f t="shared" si="170"/>
        <v>11</v>
      </c>
      <c r="C904" s="487" t="str">
        <f t="shared" si="171"/>
        <v>27</v>
      </c>
      <c r="D904" s="487" t="str">
        <f t="shared" si="172"/>
        <v>1271</v>
      </c>
      <c r="E904" s="487">
        <v>524470000</v>
      </c>
      <c r="F904" s="488" t="str">
        <f t="shared" si="207"/>
        <v/>
      </c>
      <c r="G904" s="487"/>
      <c r="H904" s="487"/>
      <c r="I904" s="488" t="str">
        <f t="shared" si="208"/>
        <v/>
      </c>
      <c r="J904" s="487"/>
      <c r="K904" s="487"/>
      <c r="L904" s="488" t="str">
        <f t="shared" si="209"/>
        <v/>
      </c>
      <c r="M904" s="489"/>
      <c r="N904" s="489"/>
      <c r="O904" s="488" t="str">
        <f t="shared" si="210"/>
        <v/>
      </c>
      <c r="P904" s="489"/>
      <c r="Q904" s="489"/>
      <c r="R904" s="592" t="str">
        <f t="shared" si="211"/>
        <v/>
      </c>
      <c r="S904" s="487"/>
      <c r="T904" s="487"/>
      <c r="U904" s="488" t="str">
        <f t="shared" si="212"/>
        <v/>
      </c>
      <c r="V904" s="489"/>
      <c r="W904" s="489"/>
      <c r="X904" s="488" t="str">
        <f t="shared" si="213"/>
        <v/>
      </c>
      <c r="Y904" s="489"/>
      <c r="Z904" s="489"/>
      <c r="AA904" s="490" t="str">
        <f t="shared" si="214"/>
        <v>2222</v>
      </c>
      <c r="AB904" s="489">
        <v>22</v>
      </c>
      <c r="AC904" s="489">
        <v>22</v>
      </c>
      <c r="AD904" s="27">
        <v>211271</v>
      </c>
      <c r="AE904" s="27" t="s">
        <v>571</v>
      </c>
      <c r="AF904" s="432">
        <f>VLOOKUP(AD904,[5]Hoja1!$A$10:$K$1393,11,0)</f>
        <v>-63683442</v>
      </c>
      <c r="AG904" s="432"/>
      <c r="AH904" s="432">
        <f t="shared" si="196"/>
        <v>-63683</v>
      </c>
      <c r="AL904" s="448"/>
      <c r="AM904" s="467">
        <f>VLOOKUP(AD904,[6]BV201101!$A$10:$A$1236,1,0)</f>
        <v>211271</v>
      </c>
    </row>
    <row r="905" spans="1:39" s="467" customFormat="1" ht="12.75" customHeight="1">
      <c r="A905" s="487" t="str">
        <f t="shared" si="198"/>
        <v>2</v>
      </c>
      <c r="B905" s="487" t="str">
        <f t="shared" si="170"/>
        <v>11</v>
      </c>
      <c r="C905" s="487" t="str">
        <f t="shared" si="171"/>
        <v>27</v>
      </c>
      <c r="D905" s="487" t="str">
        <f t="shared" si="172"/>
        <v>1272</v>
      </c>
      <c r="E905" s="487">
        <v>524470000</v>
      </c>
      <c r="F905" s="488" t="str">
        <f t="shared" si="207"/>
        <v/>
      </c>
      <c r="G905" s="487"/>
      <c r="H905" s="487"/>
      <c r="I905" s="488" t="str">
        <f t="shared" si="208"/>
        <v/>
      </c>
      <c r="J905" s="487"/>
      <c r="K905" s="487"/>
      <c r="L905" s="488" t="str">
        <f t="shared" si="209"/>
        <v/>
      </c>
      <c r="M905" s="489"/>
      <c r="N905" s="489"/>
      <c r="O905" s="488" t="str">
        <f t="shared" si="210"/>
        <v/>
      </c>
      <c r="P905" s="489"/>
      <c r="Q905" s="489"/>
      <c r="R905" s="592" t="str">
        <f t="shared" si="211"/>
        <v/>
      </c>
      <c r="S905" s="487"/>
      <c r="T905" s="487"/>
      <c r="U905" s="488" t="str">
        <f t="shared" si="212"/>
        <v/>
      </c>
      <c r="V905" s="489"/>
      <c r="W905" s="489"/>
      <c r="X905" s="488" t="str">
        <f t="shared" si="213"/>
        <v/>
      </c>
      <c r="Y905" s="489"/>
      <c r="Z905" s="489"/>
      <c r="AA905" s="490" t="str">
        <f t="shared" si="214"/>
        <v>2222</v>
      </c>
      <c r="AB905" s="489">
        <v>22</v>
      </c>
      <c r="AC905" s="489">
        <v>22</v>
      </c>
      <c r="AD905" s="27">
        <v>211272</v>
      </c>
      <c r="AE905" s="27" t="s">
        <v>2220</v>
      </c>
      <c r="AF905" s="432">
        <v>0</v>
      </c>
      <c r="AG905" s="432"/>
      <c r="AH905" s="432">
        <f t="shared" si="196"/>
        <v>0</v>
      </c>
      <c r="AL905" s="448"/>
      <c r="AM905" s="467" t="e">
        <f>VLOOKUP(AD905,[6]BV201101!$A$10:$A$1236,1,0)</f>
        <v>#N/A</v>
      </c>
    </row>
    <row r="906" spans="1:39" s="467" customFormat="1" ht="12.75" customHeight="1">
      <c r="A906" s="487" t="str">
        <f t="shared" si="198"/>
        <v>2</v>
      </c>
      <c r="B906" s="487" t="str">
        <f t="shared" si="170"/>
        <v>11</v>
      </c>
      <c r="C906" s="487" t="str">
        <f t="shared" si="171"/>
        <v>27</v>
      </c>
      <c r="D906" s="487" t="str">
        <f t="shared" si="172"/>
        <v>1273</v>
      </c>
      <c r="E906" s="487">
        <v>524470000</v>
      </c>
      <c r="F906" s="488" t="str">
        <f t="shared" si="207"/>
        <v/>
      </c>
      <c r="G906" s="487"/>
      <c r="H906" s="487"/>
      <c r="I906" s="488" t="str">
        <f t="shared" si="208"/>
        <v/>
      </c>
      <c r="J906" s="487"/>
      <c r="K906" s="487"/>
      <c r="L906" s="488" t="str">
        <f t="shared" si="209"/>
        <v/>
      </c>
      <c r="M906" s="489"/>
      <c r="N906" s="489"/>
      <c r="O906" s="488" t="str">
        <f t="shared" si="210"/>
        <v/>
      </c>
      <c r="P906" s="489"/>
      <c r="Q906" s="489"/>
      <c r="R906" s="592" t="str">
        <f t="shared" si="211"/>
        <v/>
      </c>
      <c r="S906" s="487"/>
      <c r="T906" s="487"/>
      <c r="U906" s="488" t="str">
        <f t="shared" si="212"/>
        <v/>
      </c>
      <c r="V906" s="489"/>
      <c r="W906" s="489"/>
      <c r="X906" s="488" t="str">
        <f t="shared" si="213"/>
        <v/>
      </c>
      <c r="Y906" s="489"/>
      <c r="Z906" s="489"/>
      <c r="AA906" s="490" t="str">
        <f t="shared" si="214"/>
        <v>2222</v>
      </c>
      <c r="AB906" s="489">
        <v>22</v>
      </c>
      <c r="AC906" s="489">
        <v>22</v>
      </c>
      <c r="AD906" s="27">
        <v>211273</v>
      </c>
      <c r="AE906" s="27" t="s">
        <v>454</v>
      </c>
      <c r="AF906" s="432">
        <f>VLOOKUP(AD906,[5]Hoja1!$A$10:$K$1393,11,0)</f>
        <v>0</v>
      </c>
      <c r="AG906" s="432"/>
      <c r="AH906" s="432">
        <f t="shared" si="196"/>
        <v>0</v>
      </c>
      <c r="AL906" s="448"/>
      <c r="AM906" s="467">
        <f>VLOOKUP(AD906,[6]BV201101!$A$10:$A$1236,1,0)</f>
        <v>211273</v>
      </c>
    </row>
    <row r="907" spans="1:39" s="467" customFormat="1" ht="12.75" customHeight="1">
      <c r="A907" s="487" t="str">
        <f t="shared" si="198"/>
        <v>2</v>
      </c>
      <c r="B907" s="487" t="str">
        <f t="shared" si="170"/>
        <v>11</v>
      </c>
      <c r="C907" s="487" t="str">
        <f t="shared" si="171"/>
        <v>27</v>
      </c>
      <c r="D907" s="487" t="str">
        <f t="shared" si="172"/>
        <v>1274</v>
      </c>
      <c r="E907" s="487">
        <v>524470000</v>
      </c>
      <c r="F907" s="488" t="str">
        <f t="shared" si="207"/>
        <v/>
      </c>
      <c r="G907" s="487"/>
      <c r="H907" s="487"/>
      <c r="I907" s="488" t="str">
        <f t="shared" si="208"/>
        <v/>
      </c>
      <c r="J907" s="487"/>
      <c r="K907" s="487"/>
      <c r="L907" s="488" t="str">
        <f t="shared" si="209"/>
        <v/>
      </c>
      <c r="M907" s="489"/>
      <c r="N907" s="489"/>
      <c r="O907" s="488" t="str">
        <f t="shared" si="210"/>
        <v/>
      </c>
      <c r="P907" s="489"/>
      <c r="Q907" s="489"/>
      <c r="R907" s="592" t="str">
        <f t="shared" si="211"/>
        <v/>
      </c>
      <c r="S907" s="487"/>
      <c r="T907" s="487"/>
      <c r="U907" s="488" t="str">
        <f t="shared" si="212"/>
        <v/>
      </c>
      <c r="V907" s="489"/>
      <c r="W907" s="489"/>
      <c r="X907" s="488" t="str">
        <f t="shared" si="213"/>
        <v/>
      </c>
      <c r="Y907" s="489"/>
      <c r="Z907" s="489"/>
      <c r="AA907" s="490" t="str">
        <f t="shared" si="214"/>
        <v>2222</v>
      </c>
      <c r="AB907" s="489">
        <v>22</v>
      </c>
      <c r="AC907" s="489">
        <v>22</v>
      </c>
      <c r="AD907" s="27">
        <v>211274</v>
      </c>
      <c r="AE907" s="27" t="s">
        <v>1677</v>
      </c>
      <c r="AF907" s="432">
        <f>VLOOKUP(AD907,[5]Hoja1!$A$10:$K$1393,11,0)</f>
        <v>0</v>
      </c>
      <c r="AG907" s="432"/>
      <c r="AH907" s="432">
        <f t="shared" si="196"/>
        <v>0</v>
      </c>
      <c r="AL907" s="448"/>
      <c r="AM907" s="467">
        <f>VLOOKUP(AD907,[6]BV201101!$A$10:$A$1236,1,0)</f>
        <v>211274</v>
      </c>
    </row>
    <row r="908" spans="1:39" s="467" customFormat="1" ht="12.75" customHeight="1">
      <c r="A908" s="487" t="str">
        <f t="shared" si="198"/>
        <v>2</v>
      </c>
      <c r="B908" s="487" t="str">
        <f t="shared" si="170"/>
        <v>11</v>
      </c>
      <c r="C908" s="487" t="str">
        <f t="shared" si="171"/>
        <v>27</v>
      </c>
      <c r="D908" s="487" t="str">
        <f t="shared" si="172"/>
        <v>1275</v>
      </c>
      <c r="E908" s="487">
        <v>524470000</v>
      </c>
      <c r="F908" s="488" t="str">
        <f t="shared" si="207"/>
        <v/>
      </c>
      <c r="G908" s="487"/>
      <c r="H908" s="487"/>
      <c r="I908" s="488" t="str">
        <f t="shared" si="208"/>
        <v/>
      </c>
      <c r="J908" s="487"/>
      <c r="K908" s="487"/>
      <c r="L908" s="488" t="str">
        <f t="shared" si="209"/>
        <v/>
      </c>
      <c r="M908" s="489"/>
      <c r="N908" s="489"/>
      <c r="O908" s="488" t="str">
        <f t="shared" si="210"/>
        <v/>
      </c>
      <c r="P908" s="489"/>
      <c r="Q908" s="489"/>
      <c r="R908" s="592" t="str">
        <f t="shared" si="211"/>
        <v/>
      </c>
      <c r="S908" s="487"/>
      <c r="T908" s="487"/>
      <c r="U908" s="488" t="str">
        <f t="shared" si="212"/>
        <v/>
      </c>
      <c r="V908" s="489"/>
      <c r="W908" s="489"/>
      <c r="X908" s="488" t="str">
        <f t="shared" si="213"/>
        <v/>
      </c>
      <c r="Y908" s="489"/>
      <c r="Z908" s="489"/>
      <c r="AA908" s="490" t="str">
        <f t="shared" si="214"/>
        <v>2222</v>
      </c>
      <c r="AB908" s="489">
        <v>22</v>
      </c>
      <c r="AC908" s="489">
        <v>22</v>
      </c>
      <c r="AD908" s="27">
        <v>211275</v>
      </c>
      <c r="AE908" s="27" t="s">
        <v>202</v>
      </c>
      <c r="AF908" s="432">
        <f>VLOOKUP(AD908,[5]Hoja1!$A$10:$K$1393,11,0)</f>
        <v>-246226877</v>
      </c>
      <c r="AG908" s="432"/>
      <c r="AH908" s="432">
        <f t="shared" si="196"/>
        <v>-246227</v>
      </c>
      <c r="AL908" s="448"/>
      <c r="AM908" s="467">
        <f>VLOOKUP(AD908,[6]BV201101!$A$10:$A$1236,1,0)</f>
        <v>211275</v>
      </c>
    </row>
    <row r="909" spans="1:39" s="467" customFormat="1" ht="12.75" customHeight="1">
      <c r="A909" s="487" t="str">
        <f t="shared" si="198"/>
        <v>2</v>
      </c>
      <c r="B909" s="487" t="str">
        <f t="shared" si="170"/>
        <v>11</v>
      </c>
      <c r="C909" s="487" t="str">
        <f t="shared" si="171"/>
        <v>27</v>
      </c>
      <c r="D909" s="487" t="str">
        <f t="shared" si="172"/>
        <v>1276</v>
      </c>
      <c r="E909" s="487">
        <v>524470000</v>
      </c>
      <c r="F909" s="488" t="str">
        <f t="shared" si="207"/>
        <v/>
      </c>
      <c r="G909" s="489"/>
      <c r="H909" s="489"/>
      <c r="I909" s="488" t="str">
        <f t="shared" si="208"/>
        <v/>
      </c>
      <c r="J909" s="487"/>
      <c r="K909" s="487"/>
      <c r="L909" s="488" t="str">
        <f t="shared" si="209"/>
        <v/>
      </c>
      <c r="M909" s="487"/>
      <c r="N909" s="487"/>
      <c r="O909" s="488" t="str">
        <f t="shared" si="210"/>
        <v/>
      </c>
      <c r="P909" s="489"/>
      <c r="Q909" s="489"/>
      <c r="R909" s="592" t="str">
        <f t="shared" si="211"/>
        <v/>
      </c>
      <c r="S909" s="487"/>
      <c r="T909" s="487"/>
      <c r="U909" s="488" t="str">
        <f t="shared" si="212"/>
        <v/>
      </c>
      <c r="V909" s="489"/>
      <c r="W909" s="489"/>
      <c r="X909" s="488" t="str">
        <f t="shared" si="213"/>
        <v/>
      </c>
      <c r="Y909" s="489"/>
      <c r="Z909" s="489"/>
      <c r="AA909" s="490" t="str">
        <f t="shared" si="214"/>
        <v>2222</v>
      </c>
      <c r="AB909" s="489">
        <v>22</v>
      </c>
      <c r="AC909" s="489">
        <v>22</v>
      </c>
      <c r="AD909" s="27">
        <v>211276</v>
      </c>
      <c r="AE909" s="27" t="s">
        <v>2221</v>
      </c>
      <c r="AF909" s="432">
        <f>VLOOKUP(AD909,[5]Hoja1!$A$10:$K$1393,11,0)</f>
        <v>0</v>
      </c>
      <c r="AG909" s="432"/>
      <c r="AH909" s="432">
        <f t="shared" si="196"/>
        <v>0</v>
      </c>
      <c r="AL909" s="448"/>
      <c r="AM909" s="467">
        <f>VLOOKUP(AD909,[6]BV201101!$A$10:$A$1236,1,0)</f>
        <v>211276</v>
      </c>
    </row>
    <row r="910" spans="1:39" s="467" customFormat="1" ht="12.75" customHeight="1">
      <c r="A910" s="487" t="str">
        <f t="shared" si="198"/>
        <v>2</v>
      </c>
      <c r="B910" s="487" t="str">
        <f t="shared" si="170"/>
        <v>11</v>
      </c>
      <c r="C910" s="487" t="str">
        <f t="shared" si="171"/>
        <v>27</v>
      </c>
      <c r="D910" s="487" t="str">
        <f t="shared" si="172"/>
        <v>1277</v>
      </c>
      <c r="E910" s="487">
        <v>514410000</v>
      </c>
      <c r="F910" s="488" t="str">
        <f t="shared" si="207"/>
        <v/>
      </c>
      <c r="G910" s="489"/>
      <c r="H910" s="489"/>
      <c r="I910" s="488" t="str">
        <f t="shared" si="208"/>
        <v/>
      </c>
      <c r="J910" s="487"/>
      <c r="K910" s="487"/>
      <c r="L910" s="488" t="str">
        <f t="shared" si="209"/>
        <v/>
      </c>
      <c r="M910" s="487"/>
      <c r="N910" s="487"/>
      <c r="O910" s="488" t="str">
        <f t="shared" si="210"/>
        <v/>
      </c>
      <c r="P910" s="489"/>
      <c r="Q910" s="489"/>
      <c r="R910" s="592" t="str">
        <f t="shared" si="211"/>
        <v/>
      </c>
      <c r="S910" s="487"/>
      <c r="T910" s="487"/>
      <c r="U910" s="488" t="str">
        <f t="shared" si="212"/>
        <v/>
      </c>
      <c r="V910" s="489"/>
      <c r="W910" s="489"/>
      <c r="X910" s="488" t="str">
        <f t="shared" si="213"/>
        <v/>
      </c>
      <c r="Y910" s="489"/>
      <c r="Z910" s="489"/>
      <c r="AA910" s="490" t="str">
        <f t="shared" si="214"/>
        <v>223</v>
      </c>
      <c r="AB910" s="489">
        <v>22</v>
      </c>
      <c r="AC910" s="489">
        <v>3</v>
      </c>
      <c r="AD910" s="27">
        <v>211277</v>
      </c>
      <c r="AE910" s="27" t="s">
        <v>9</v>
      </c>
      <c r="AF910" s="432">
        <f>VLOOKUP(AD910,[5]Hoja1!$A$10:$K$1393,11,0)</f>
        <v>344163</v>
      </c>
      <c r="AG910" s="432"/>
      <c r="AH910" s="432">
        <f t="shared" si="196"/>
        <v>344</v>
      </c>
      <c r="AL910" s="448"/>
      <c r="AM910" s="467">
        <f>VLOOKUP(AD910,[6]BV201101!$A$10:$A$1236,1,0)</f>
        <v>211277</v>
      </c>
    </row>
    <row r="911" spans="1:39" s="467" customFormat="1" ht="12.75" customHeight="1">
      <c r="A911" s="487" t="str">
        <f t="shared" si="198"/>
        <v>2</v>
      </c>
      <c r="B911" s="487" t="str">
        <f t="shared" si="170"/>
        <v>11</v>
      </c>
      <c r="C911" s="487" t="str">
        <f t="shared" si="171"/>
        <v>27</v>
      </c>
      <c r="D911" s="487" t="str">
        <f t="shared" si="172"/>
        <v>1278</v>
      </c>
      <c r="E911" s="487">
        <v>524470000</v>
      </c>
      <c r="F911" s="488" t="str">
        <f t="shared" si="207"/>
        <v/>
      </c>
      <c r="G911" s="489"/>
      <c r="H911" s="489"/>
      <c r="I911" s="488" t="str">
        <f t="shared" si="208"/>
        <v/>
      </c>
      <c r="J911" s="487"/>
      <c r="K911" s="487"/>
      <c r="L911" s="488" t="str">
        <f t="shared" si="209"/>
        <v/>
      </c>
      <c r="M911" s="487"/>
      <c r="N911" s="487"/>
      <c r="O911" s="488" t="str">
        <f t="shared" si="210"/>
        <v/>
      </c>
      <c r="P911" s="489"/>
      <c r="Q911" s="489"/>
      <c r="R911" s="592" t="str">
        <f t="shared" si="211"/>
        <v/>
      </c>
      <c r="S911" s="487"/>
      <c r="T911" s="487"/>
      <c r="U911" s="488" t="str">
        <f t="shared" si="212"/>
        <v/>
      </c>
      <c r="V911" s="489"/>
      <c r="W911" s="489"/>
      <c r="X911" s="488" t="str">
        <f t="shared" si="213"/>
        <v/>
      </c>
      <c r="Y911" s="489"/>
      <c r="Z911" s="489"/>
      <c r="AA911" s="490" t="str">
        <f t="shared" si="214"/>
        <v>2222</v>
      </c>
      <c r="AB911" s="489">
        <v>22</v>
      </c>
      <c r="AC911" s="489">
        <v>22</v>
      </c>
      <c r="AD911" s="27">
        <v>211278</v>
      </c>
      <c r="AE911" s="27" t="s">
        <v>10</v>
      </c>
      <c r="AF911" s="432">
        <v>0</v>
      </c>
      <c r="AG911" s="432"/>
      <c r="AH911" s="432">
        <f t="shared" si="196"/>
        <v>0</v>
      </c>
      <c r="AL911" s="448"/>
      <c r="AM911" s="467" t="e">
        <f>VLOOKUP(AD911,[6]BV201101!$A$10:$A$1236,1,0)</f>
        <v>#N/A</v>
      </c>
    </row>
    <row r="912" spans="1:39" s="467" customFormat="1" ht="12.75" customHeight="1">
      <c r="A912" s="487" t="str">
        <f t="shared" si="198"/>
        <v>2</v>
      </c>
      <c r="B912" s="487" t="str">
        <f t="shared" si="170"/>
        <v>11</v>
      </c>
      <c r="C912" s="487" t="str">
        <f t="shared" si="171"/>
        <v>27</v>
      </c>
      <c r="D912" s="487" t="str">
        <f t="shared" si="172"/>
        <v>1279</v>
      </c>
      <c r="E912" s="487">
        <v>524470000</v>
      </c>
      <c r="F912" s="488" t="str">
        <f t="shared" si="207"/>
        <v/>
      </c>
      <c r="G912" s="489"/>
      <c r="H912" s="489"/>
      <c r="I912" s="488" t="str">
        <f t="shared" si="208"/>
        <v/>
      </c>
      <c r="J912" s="487"/>
      <c r="K912" s="487"/>
      <c r="L912" s="488" t="str">
        <f t="shared" si="209"/>
        <v/>
      </c>
      <c r="M912" s="487"/>
      <c r="N912" s="487"/>
      <c r="O912" s="488" t="str">
        <f t="shared" si="210"/>
        <v/>
      </c>
      <c r="P912" s="489"/>
      <c r="Q912" s="489"/>
      <c r="R912" s="592" t="str">
        <f t="shared" si="211"/>
        <v/>
      </c>
      <c r="S912" s="487"/>
      <c r="T912" s="487"/>
      <c r="U912" s="488" t="str">
        <f t="shared" si="212"/>
        <v/>
      </c>
      <c r="V912" s="489"/>
      <c r="W912" s="489"/>
      <c r="X912" s="488" t="str">
        <f t="shared" si="213"/>
        <v/>
      </c>
      <c r="Y912" s="489"/>
      <c r="Z912" s="489"/>
      <c r="AA912" s="490" t="str">
        <f t="shared" si="214"/>
        <v>2222</v>
      </c>
      <c r="AB912" s="489">
        <v>22</v>
      </c>
      <c r="AC912" s="489">
        <v>22</v>
      </c>
      <c r="AD912" s="27">
        <v>211279</v>
      </c>
      <c r="AE912" s="27" t="s">
        <v>2222</v>
      </c>
      <c r="AF912" s="432">
        <f>VLOOKUP(AD912,[5]Hoja1!$A$10:$K$1393,11,0)</f>
        <v>-7788806</v>
      </c>
      <c r="AG912" s="432"/>
      <c r="AH912" s="432">
        <f t="shared" si="196"/>
        <v>-7789</v>
      </c>
      <c r="AL912" s="448"/>
      <c r="AM912" s="467">
        <f>VLOOKUP(AD912,[6]BV201101!$A$10:$A$1236,1,0)</f>
        <v>211279</v>
      </c>
    </row>
    <row r="913" spans="1:39" s="467" customFormat="1" ht="12.75" customHeight="1">
      <c r="A913" s="487" t="str">
        <f t="shared" si="198"/>
        <v>2</v>
      </c>
      <c r="B913" s="487" t="str">
        <f t="shared" si="170"/>
        <v>11</v>
      </c>
      <c r="C913" s="487" t="str">
        <f t="shared" si="171"/>
        <v>28</v>
      </c>
      <c r="D913" s="487" t="str">
        <f t="shared" si="172"/>
        <v>1280</v>
      </c>
      <c r="E913" s="487">
        <v>524470000</v>
      </c>
      <c r="F913" s="488" t="str">
        <f t="shared" si="207"/>
        <v/>
      </c>
      <c r="G913" s="489"/>
      <c r="H913" s="489"/>
      <c r="I913" s="488" t="str">
        <f t="shared" si="208"/>
        <v/>
      </c>
      <c r="J913" s="487"/>
      <c r="K913" s="487"/>
      <c r="L913" s="488" t="str">
        <f t="shared" si="209"/>
        <v/>
      </c>
      <c r="M913" s="487"/>
      <c r="N913" s="487"/>
      <c r="O913" s="488" t="str">
        <f t="shared" si="210"/>
        <v/>
      </c>
      <c r="P913" s="489"/>
      <c r="Q913" s="489"/>
      <c r="R913" s="592" t="str">
        <f t="shared" si="211"/>
        <v/>
      </c>
      <c r="S913" s="487"/>
      <c r="T913" s="487"/>
      <c r="U913" s="488" t="str">
        <f t="shared" si="212"/>
        <v/>
      </c>
      <c r="V913" s="489"/>
      <c r="W913" s="489"/>
      <c r="X913" s="488" t="str">
        <f t="shared" si="213"/>
        <v/>
      </c>
      <c r="Y913" s="489"/>
      <c r="Z913" s="489"/>
      <c r="AA913" s="490" t="str">
        <f t="shared" si="214"/>
        <v>2222</v>
      </c>
      <c r="AB913" s="489">
        <v>22</v>
      </c>
      <c r="AC913" s="489">
        <v>22</v>
      </c>
      <c r="AD913" s="27">
        <v>211280</v>
      </c>
      <c r="AE913" s="27" t="s">
        <v>11</v>
      </c>
      <c r="AF913" s="432">
        <v>0</v>
      </c>
      <c r="AG913" s="432"/>
      <c r="AH913" s="432">
        <f t="shared" si="196"/>
        <v>0</v>
      </c>
      <c r="AL913" s="448"/>
      <c r="AM913" s="467" t="e">
        <f>VLOOKUP(AD913,[6]BV201101!$A$10:$A$1236,1,0)</f>
        <v>#N/A</v>
      </c>
    </row>
    <row r="914" spans="1:39" s="467" customFormat="1" ht="12.75" customHeight="1">
      <c r="A914" s="487" t="str">
        <f t="shared" si="198"/>
        <v>2</v>
      </c>
      <c r="B914" s="487" t="str">
        <f t="shared" si="170"/>
        <v>11</v>
      </c>
      <c r="C914" s="487" t="str">
        <f t="shared" si="171"/>
        <v>28</v>
      </c>
      <c r="D914" s="487" t="str">
        <f t="shared" si="172"/>
        <v>1281</v>
      </c>
      <c r="E914" s="487">
        <v>524470000</v>
      </c>
      <c r="F914" s="488" t="str">
        <f t="shared" si="207"/>
        <v/>
      </c>
      <c r="G914" s="489"/>
      <c r="H914" s="489"/>
      <c r="I914" s="488" t="str">
        <f t="shared" si="208"/>
        <v/>
      </c>
      <c r="J914" s="487"/>
      <c r="K914" s="487"/>
      <c r="L914" s="488" t="str">
        <f t="shared" si="209"/>
        <v/>
      </c>
      <c r="M914" s="487"/>
      <c r="N914" s="487"/>
      <c r="O914" s="488" t="str">
        <f t="shared" si="210"/>
        <v/>
      </c>
      <c r="P914" s="489"/>
      <c r="Q914" s="489"/>
      <c r="R914" s="592" t="str">
        <f t="shared" si="211"/>
        <v/>
      </c>
      <c r="S914" s="487"/>
      <c r="T914" s="487"/>
      <c r="U914" s="488" t="str">
        <f t="shared" si="212"/>
        <v/>
      </c>
      <c r="V914" s="489"/>
      <c r="W914" s="489"/>
      <c r="X914" s="488" t="str">
        <f t="shared" si="213"/>
        <v/>
      </c>
      <c r="Y914" s="489"/>
      <c r="Z914" s="489"/>
      <c r="AA914" s="490" t="str">
        <f t="shared" si="214"/>
        <v>2222</v>
      </c>
      <c r="AB914" s="489">
        <v>22</v>
      </c>
      <c r="AC914" s="489">
        <v>22</v>
      </c>
      <c r="AD914" s="27">
        <v>211281</v>
      </c>
      <c r="AE914" s="27" t="s">
        <v>12</v>
      </c>
      <c r="AF914" s="432">
        <f>VLOOKUP(AD914,[5]Hoja1!$A$10:$K$1393,11,0)</f>
        <v>0</v>
      </c>
      <c r="AG914" s="432"/>
      <c r="AH914" s="432">
        <f t="shared" si="196"/>
        <v>0</v>
      </c>
      <c r="AL914" s="448"/>
      <c r="AM914" s="467">
        <f>VLOOKUP(AD914,[6]BV201101!$A$10:$A$1236,1,0)</f>
        <v>211281</v>
      </c>
    </row>
    <row r="915" spans="1:39" s="467" customFormat="1" ht="12.75" customHeight="1">
      <c r="A915" s="487" t="str">
        <f t="shared" si="198"/>
        <v>2</v>
      </c>
      <c r="B915" s="487" t="str">
        <f t="shared" si="170"/>
        <v>11</v>
      </c>
      <c r="C915" s="487" t="str">
        <f t="shared" si="171"/>
        <v>28</v>
      </c>
      <c r="D915" s="487" t="str">
        <f t="shared" si="172"/>
        <v>1282</v>
      </c>
      <c r="E915" s="487">
        <v>524470000</v>
      </c>
      <c r="F915" s="488"/>
      <c r="G915" s="489"/>
      <c r="H915" s="489"/>
      <c r="I915" s="488"/>
      <c r="J915" s="487"/>
      <c r="K915" s="487"/>
      <c r="L915" s="488"/>
      <c r="M915" s="487"/>
      <c r="N915" s="487"/>
      <c r="O915" s="488"/>
      <c r="P915" s="489"/>
      <c r="Q915" s="489"/>
      <c r="R915" s="592"/>
      <c r="S915" s="487"/>
      <c r="T915" s="487"/>
      <c r="U915" s="488"/>
      <c r="V915" s="489"/>
      <c r="W915" s="489"/>
      <c r="X915" s="488"/>
      <c r="Y915" s="489"/>
      <c r="Z915" s="489"/>
      <c r="AA915" s="490" t="str">
        <f t="shared" ref="AA915:AA920" si="215">+AB915&amp;AC915</f>
        <v>2222</v>
      </c>
      <c r="AB915" s="489">
        <v>22</v>
      </c>
      <c r="AC915" s="489">
        <v>22</v>
      </c>
      <c r="AD915" s="27">
        <v>211282</v>
      </c>
      <c r="AE915" s="27" t="s">
        <v>435</v>
      </c>
      <c r="AF915" s="432">
        <f>VLOOKUP(AD915,[5]Hoja1!$A$10:$K$1393,11,0)</f>
        <v>-23627302</v>
      </c>
      <c r="AG915" s="432"/>
      <c r="AH915" s="432">
        <f t="shared" si="196"/>
        <v>-23627</v>
      </c>
      <c r="AL915" s="448"/>
      <c r="AM915" s="467">
        <f>VLOOKUP(AD915,[6]BV201101!$A$10:$A$1236,1,0)</f>
        <v>211282</v>
      </c>
    </row>
    <row r="916" spans="1:39" s="467" customFormat="1" ht="12.75" customHeight="1">
      <c r="A916" s="487" t="str">
        <f t="shared" si="198"/>
        <v>2</v>
      </c>
      <c r="B916" s="487" t="str">
        <f t="shared" si="170"/>
        <v>11</v>
      </c>
      <c r="C916" s="487" t="str">
        <f t="shared" si="171"/>
        <v>28</v>
      </c>
      <c r="D916" s="487" t="str">
        <f t="shared" si="172"/>
        <v>1283</v>
      </c>
      <c r="E916" s="487">
        <v>524470000</v>
      </c>
      <c r="F916" s="488"/>
      <c r="G916" s="489"/>
      <c r="H916" s="489"/>
      <c r="I916" s="488"/>
      <c r="J916" s="487"/>
      <c r="K916" s="487"/>
      <c r="L916" s="488"/>
      <c r="M916" s="487"/>
      <c r="N916" s="487"/>
      <c r="O916" s="488"/>
      <c r="P916" s="489"/>
      <c r="Q916" s="489"/>
      <c r="R916" s="592"/>
      <c r="S916" s="487"/>
      <c r="T916" s="487"/>
      <c r="U916" s="488"/>
      <c r="V916" s="489"/>
      <c r="W916" s="489"/>
      <c r="X916" s="488"/>
      <c r="Y916" s="489"/>
      <c r="Z916" s="489"/>
      <c r="AA916" s="490" t="str">
        <f t="shared" si="215"/>
        <v>2222</v>
      </c>
      <c r="AB916" s="489">
        <v>22</v>
      </c>
      <c r="AC916" s="489">
        <v>22</v>
      </c>
      <c r="AD916" s="27">
        <v>211283</v>
      </c>
      <c r="AE916" s="27" t="s">
        <v>1543</v>
      </c>
      <c r="AF916" s="432">
        <f>VLOOKUP(AD916,[5]Hoja1!$A$10:$K$1393,11,0)</f>
        <v>0</v>
      </c>
      <c r="AG916" s="432"/>
      <c r="AH916" s="432">
        <f t="shared" si="196"/>
        <v>0</v>
      </c>
      <c r="AL916" s="448"/>
      <c r="AM916" s="467">
        <f>VLOOKUP(AD916,[6]BV201101!$A$10:$A$1236,1,0)</f>
        <v>211283</v>
      </c>
    </row>
    <row r="917" spans="1:39" s="467" customFormat="1" ht="12.75" customHeight="1">
      <c r="A917" s="487" t="str">
        <f t="shared" si="198"/>
        <v>2</v>
      </c>
      <c r="B917" s="487" t="str">
        <f t="shared" si="170"/>
        <v>11</v>
      </c>
      <c r="C917" s="487" t="str">
        <f t="shared" si="171"/>
        <v>28</v>
      </c>
      <c r="D917" s="487" t="str">
        <f t="shared" si="172"/>
        <v>1284</v>
      </c>
      <c r="E917" s="487">
        <v>524470000</v>
      </c>
      <c r="F917" s="488"/>
      <c r="G917" s="489"/>
      <c r="H917" s="489"/>
      <c r="I917" s="488"/>
      <c r="J917" s="487"/>
      <c r="K917" s="487"/>
      <c r="L917" s="488"/>
      <c r="M917" s="487"/>
      <c r="N917" s="487"/>
      <c r="O917" s="488"/>
      <c r="P917" s="489"/>
      <c r="Q917" s="489"/>
      <c r="R917" s="592"/>
      <c r="S917" s="487"/>
      <c r="T917" s="487"/>
      <c r="U917" s="488"/>
      <c r="V917" s="489"/>
      <c r="W917" s="489"/>
      <c r="X917" s="488"/>
      <c r="Y917" s="489"/>
      <c r="Z917" s="489"/>
      <c r="AA917" s="490" t="str">
        <f t="shared" si="215"/>
        <v>2222</v>
      </c>
      <c r="AB917" s="489">
        <v>22</v>
      </c>
      <c r="AC917" s="489">
        <v>22</v>
      </c>
      <c r="AD917" s="27">
        <v>211284</v>
      </c>
      <c r="AE917" s="27" t="s">
        <v>2223</v>
      </c>
      <c r="AF917" s="432">
        <v>0</v>
      </c>
      <c r="AG917" s="432"/>
      <c r="AH917" s="432">
        <f t="shared" si="196"/>
        <v>0</v>
      </c>
      <c r="AL917" s="448"/>
      <c r="AM917" s="467">
        <f>VLOOKUP(AD917,[6]BV201101!$A$10:$A$1236,1,0)</f>
        <v>211284</v>
      </c>
    </row>
    <row r="918" spans="1:39" s="467" customFormat="1" ht="12.75" customHeight="1">
      <c r="A918" s="487" t="str">
        <f t="shared" si="198"/>
        <v>2</v>
      </c>
      <c r="B918" s="487" t="str">
        <f t="shared" si="170"/>
        <v>11</v>
      </c>
      <c r="C918" s="487" t="str">
        <f t="shared" si="171"/>
        <v>28</v>
      </c>
      <c r="D918" s="487" t="str">
        <f t="shared" si="172"/>
        <v>1285</v>
      </c>
      <c r="E918" s="487">
        <v>524470000</v>
      </c>
      <c r="F918" s="488"/>
      <c r="G918" s="489"/>
      <c r="H918" s="489"/>
      <c r="I918" s="488"/>
      <c r="J918" s="487"/>
      <c r="K918" s="487"/>
      <c r="L918" s="488"/>
      <c r="M918" s="487"/>
      <c r="N918" s="487"/>
      <c r="O918" s="488"/>
      <c r="P918" s="489"/>
      <c r="Q918" s="489"/>
      <c r="R918" s="592"/>
      <c r="S918" s="487"/>
      <c r="T918" s="487"/>
      <c r="U918" s="488"/>
      <c r="V918" s="489"/>
      <c r="W918" s="489"/>
      <c r="X918" s="488"/>
      <c r="Y918" s="489"/>
      <c r="Z918" s="489"/>
      <c r="AA918" s="490" t="str">
        <f t="shared" si="215"/>
        <v>2222</v>
      </c>
      <c r="AB918" s="489">
        <v>22</v>
      </c>
      <c r="AC918" s="489">
        <v>22</v>
      </c>
      <c r="AD918" s="27">
        <v>211285</v>
      </c>
      <c r="AE918" s="27" t="s">
        <v>1593</v>
      </c>
      <c r="AF918" s="432">
        <f>VLOOKUP(AD918,[5]Hoja1!$A$10:$K$1393,11,0)</f>
        <v>0</v>
      </c>
      <c r="AG918" s="432"/>
      <c r="AH918" s="432">
        <f t="shared" si="196"/>
        <v>0</v>
      </c>
      <c r="AL918" s="448"/>
      <c r="AM918" s="467">
        <f>VLOOKUP(AD918,[6]BV201101!$A$10:$A$1236,1,0)</f>
        <v>211285</v>
      </c>
    </row>
    <row r="919" spans="1:39" s="467" customFormat="1" ht="12.75" customHeight="1">
      <c r="A919" s="487" t="str">
        <f t="shared" si="198"/>
        <v>2</v>
      </c>
      <c r="B919" s="487" t="str">
        <f t="shared" si="170"/>
        <v>11</v>
      </c>
      <c r="C919" s="487" t="str">
        <f t="shared" si="171"/>
        <v>28</v>
      </c>
      <c r="D919" s="487" t="str">
        <f t="shared" si="172"/>
        <v>1286</v>
      </c>
      <c r="E919" s="487">
        <v>524470000</v>
      </c>
      <c r="F919" s="488"/>
      <c r="G919" s="489"/>
      <c r="H919" s="489"/>
      <c r="I919" s="488"/>
      <c r="J919" s="487"/>
      <c r="K919" s="487"/>
      <c r="L919" s="488"/>
      <c r="M919" s="487"/>
      <c r="N919" s="487"/>
      <c r="O919" s="488"/>
      <c r="P919" s="489"/>
      <c r="Q919" s="489"/>
      <c r="R919" s="592"/>
      <c r="S919" s="487"/>
      <c r="T919" s="487"/>
      <c r="U919" s="488"/>
      <c r="V919" s="489"/>
      <c r="W919" s="489"/>
      <c r="X919" s="488"/>
      <c r="Y919" s="489"/>
      <c r="Z919" s="489"/>
      <c r="AA919" s="490" t="str">
        <f t="shared" si="215"/>
        <v>2222</v>
      </c>
      <c r="AB919" s="489">
        <v>22</v>
      </c>
      <c r="AC919" s="489">
        <v>22</v>
      </c>
      <c r="AD919" s="27">
        <v>211286</v>
      </c>
      <c r="AE919" s="27" t="s">
        <v>2224</v>
      </c>
      <c r="AF919" s="432">
        <f>VLOOKUP(AD919,[5]Hoja1!$A$10:$K$1393,11,0)</f>
        <v>-44903001</v>
      </c>
      <c r="AG919" s="432"/>
      <c r="AH919" s="432">
        <f t="shared" ref="AH919:AH983" si="216">ROUND((AF919+AG919)/$AH$2,0)</f>
        <v>-44903</v>
      </c>
      <c r="AL919" s="448"/>
      <c r="AM919" s="467">
        <f>VLOOKUP(AD919,[6]BV201101!$A$10:$A$1236,1,0)</f>
        <v>211286</v>
      </c>
    </row>
    <row r="920" spans="1:39" s="467" customFormat="1" ht="12.75" customHeight="1">
      <c r="A920" s="487" t="str">
        <f t="shared" si="198"/>
        <v>2</v>
      </c>
      <c r="B920" s="487" t="str">
        <f t="shared" si="170"/>
        <v>11</v>
      </c>
      <c r="C920" s="487" t="str">
        <f t="shared" si="171"/>
        <v>28</v>
      </c>
      <c r="D920" s="487" t="str">
        <f t="shared" si="172"/>
        <v>1287</v>
      </c>
      <c r="E920" s="487">
        <v>524470000</v>
      </c>
      <c r="F920" s="488"/>
      <c r="G920" s="489"/>
      <c r="H920" s="489"/>
      <c r="I920" s="488"/>
      <c r="J920" s="487"/>
      <c r="K920" s="487"/>
      <c r="L920" s="488"/>
      <c r="M920" s="487"/>
      <c r="N920" s="487"/>
      <c r="O920" s="488"/>
      <c r="P920" s="489"/>
      <c r="Q920" s="489"/>
      <c r="R920" s="592"/>
      <c r="S920" s="487"/>
      <c r="T920" s="487"/>
      <c r="U920" s="488"/>
      <c r="V920" s="489"/>
      <c r="W920" s="489"/>
      <c r="X920" s="488"/>
      <c r="Y920" s="489"/>
      <c r="Z920" s="489"/>
      <c r="AA920" s="490" t="str">
        <f t="shared" si="215"/>
        <v>2222</v>
      </c>
      <c r="AB920" s="489">
        <v>22</v>
      </c>
      <c r="AC920" s="489">
        <v>22</v>
      </c>
      <c r="AD920" s="27">
        <v>211287</v>
      </c>
      <c r="AE920" s="27" t="s">
        <v>2225</v>
      </c>
      <c r="AF920" s="432">
        <f>VLOOKUP(AD920,[5]Hoja1!$A$10:$K$1393,11,0)</f>
        <v>0</v>
      </c>
      <c r="AG920" s="432"/>
      <c r="AH920" s="432">
        <f t="shared" si="216"/>
        <v>0</v>
      </c>
      <c r="AL920" s="448"/>
      <c r="AM920" s="467">
        <f>VLOOKUP(AD920,[6]BV201101!$A$10:$A$1236,1,0)</f>
        <v>211287</v>
      </c>
    </row>
    <row r="921" spans="1:39" s="467" customFormat="1" ht="12.75" customHeight="1">
      <c r="A921" s="487" t="str">
        <f t="shared" si="198"/>
        <v>2</v>
      </c>
      <c r="B921" s="487" t="str">
        <f t="shared" si="170"/>
        <v>11</v>
      </c>
      <c r="C921" s="487" t="str">
        <f t="shared" si="171"/>
        <v>28</v>
      </c>
      <c r="D921" s="487" t="str">
        <f t="shared" si="172"/>
        <v>1288</v>
      </c>
      <c r="E921" s="487">
        <v>524450000</v>
      </c>
      <c r="F921" s="488"/>
      <c r="G921" s="489"/>
      <c r="H921" s="489"/>
      <c r="I921" s="488"/>
      <c r="J921" s="487"/>
      <c r="K921" s="487"/>
      <c r="L921" s="488"/>
      <c r="M921" s="487"/>
      <c r="N921" s="487"/>
      <c r="O921" s="488"/>
      <c r="P921" s="489"/>
      <c r="Q921" s="489"/>
      <c r="R921" s="592"/>
      <c r="S921" s="487"/>
      <c r="T921" s="487"/>
      <c r="U921" s="488"/>
      <c r="V921" s="489"/>
      <c r="W921" s="489"/>
      <c r="X921" s="488"/>
      <c r="Y921" s="489"/>
      <c r="Z921" s="489"/>
      <c r="AA921" s="490"/>
      <c r="AB921" s="489"/>
      <c r="AC921" s="489"/>
      <c r="AD921" s="27">
        <v>211288</v>
      </c>
      <c r="AE921" s="27" t="s">
        <v>191</v>
      </c>
      <c r="AF921" s="432">
        <v>0</v>
      </c>
      <c r="AG921" s="432"/>
      <c r="AH921" s="432">
        <f t="shared" si="216"/>
        <v>0</v>
      </c>
      <c r="AL921" s="448"/>
      <c r="AM921" s="467" t="e">
        <f>VLOOKUP(AD921,[6]BV201101!$A$10:$A$1236,1,0)</f>
        <v>#N/A</v>
      </c>
    </row>
    <row r="922" spans="1:39" s="467" customFormat="1" ht="12.75" customHeight="1">
      <c r="A922" s="487" t="str">
        <f t="shared" si="198"/>
        <v>2</v>
      </c>
      <c r="B922" s="487" t="str">
        <f t="shared" si="170"/>
        <v>11</v>
      </c>
      <c r="C922" s="487" t="str">
        <f t="shared" si="171"/>
        <v>28</v>
      </c>
      <c r="D922" s="487" t="str">
        <f t="shared" si="172"/>
        <v>1289</v>
      </c>
      <c r="E922" s="487">
        <v>524450000</v>
      </c>
      <c r="F922" s="488"/>
      <c r="G922" s="489"/>
      <c r="H922" s="489"/>
      <c r="I922" s="488"/>
      <c r="J922" s="487"/>
      <c r="K922" s="487"/>
      <c r="L922" s="488"/>
      <c r="M922" s="487"/>
      <c r="N922" s="487"/>
      <c r="O922" s="488"/>
      <c r="P922" s="489"/>
      <c r="Q922" s="489"/>
      <c r="R922" s="592"/>
      <c r="S922" s="487"/>
      <c r="T922" s="487"/>
      <c r="U922" s="488"/>
      <c r="V922" s="489"/>
      <c r="W922" s="489"/>
      <c r="X922" s="488"/>
      <c r="Y922" s="489"/>
      <c r="Z922" s="489"/>
      <c r="AA922" s="490"/>
      <c r="AB922" s="489"/>
      <c r="AC922" s="489"/>
      <c r="AD922" s="27">
        <v>211289</v>
      </c>
      <c r="AE922" s="27" t="s">
        <v>1713</v>
      </c>
      <c r="AF922" s="432">
        <v>0</v>
      </c>
      <c r="AG922" s="432">
        <v>0</v>
      </c>
      <c r="AH922" s="432">
        <f t="shared" si="216"/>
        <v>0</v>
      </c>
      <c r="AL922" s="448"/>
      <c r="AM922" s="467" t="e">
        <f>VLOOKUP(AD922,[6]BV201101!$A$10:$A$1236,1,0)</f>
        <v>#N/A</v>
      </c>
    </row>
    <row r="923" spans="1:39" s="467" customFormat="1" ht="12.75" customHeight="1">
      <c r="A923" s="487" t="str">
        <f t="shared" si="198"/>
        <v>2</v>
      </c>
      <c r="B923" s="487" t="str">
        <f t="shared" si="170"/>
        <v>11</v>
      </c>
      <c r="C923" s="487" t="str">
        <f t="shared" si="171"/>
        <v>29</v>
      </c>
      <c r="D923" s="487" t="str">
        <f t="shared" si="172"/>
        <v>1290</v>
      </c>
      <c r="E923" s="487">
        <v>524450000</v>
      </c>
      <c r="F923" s="488"/>
      <c r="G923" s="489"/>
      <c r="H923" s="489"/>
      <c r="I923" s="488"/>
      <c r="J923" s="487"/>
      <c r="K923" s="487"/>
      <c r="L923" s="488"/>
      <c r="M923" s="487"/>
      <c r="N923" s="487"/>
      <c r="O923" s="488"/>
      <c r="P923" s="489"/>
      <c r="Q923" s="489"/>
      <c r="R923" s="592"/>
      <c r="S923" s="487"/>
      <c r="T923" s="487"/>
      <c r="U923" s="488"/>
      <c r="V923" s="489"/>
      <c r="W923" s="489"/>
      <c r="X923" s="488"/>
      <c r="Y923" s="489"/>
      <c r="Z923" s="489"/>
      <c r="AA923" s="490"/>
      <c r="AB923" s="489"/>
      <c r="AC923" s="489"/>
      <c r="AD923" s="27">
        <v>211290</v>
      </c>
      <c r="AE923" s="27" t="s">
        <v>2226</v>
      </c>
      <c r="AF923" s="432">
        <v>0</v>
      </c>
      <c r="AG923" s="432"/>
      <c r="AH923" s="432">
        <f t="shared" si="216"/>
        <v>0</v>
      </c>
      <c r="AL923" s="448"/>
      <c r="AM923" s="467" t="e">
        <f>VLOOKUP(AD923,[6]BV201101!$A$10:$A$1236,1,0)</f>
        <v>#N/A</v>
      </c>
    </row>
    <row r="924" spans="1:39" s="467" customFormat="1" ht="12.75" customHeight="1">
      <c r="A924" s="487" t="str">
        <f t="shared" si="198"/>
        <v>2</v>
      </c>
      <c r="B924" s="487" t="str">
        <f t="shared" si="170"/>
        <v>11</v>
      </c>
      <c r="C924" s="487" t="str">
        <f t="shared" si="171"/>
        <v>29</v>
      </c>
      <c r="D924" s="487" t="str">
        <f t="shared" si="172"/>
        <v>1291</v>
      </c>
      <c r="E924" s="487">
        <v>524450000</v>
      </c>
      <c r="F924" s="488"/>
      <c r="G924" s="489"/>
      <c r="H924" s="489"/>
      <c r="I924" s="488"/>
      <c r="J924" s="487"/>
      <c r="K924" s="487"/>
      <c r="L924" s="488"/>
      <c r="M924" s="487"/>
      <c r="N924" s="487"/>
      <c r="O924" s="488"/>
      <c r="P924" s="489"/>
      <c r="Q924" s="489"/>
      <c r="R924" s="592"/>
      <c r="S924" s="487"/>
      <c r="T924" s="487"/>
      <c r="U924" s="488"/>
      <c r="V924" s="489"/>
      <c r="W924" s="489"/>
      <c r="X924" s="488"/>
      <c r="Y924" s="489"/>
      <c r="Z924" s="489"/>
      <c r="AA924" s="490"/>
      <c r="AB924" s="489"/>
      <c r="AC924" s="489"/>
      <c r="AD924" s="27">
        <v>211291</v>
      </c>
      <c r="AE924" s="27" t="s">
        <v>1714</v>
      </c>
      <c r="AF924" s="432">
        <v>0</v>
      </c>
      <c r="AG924" s="432"/>
      <c r="AH924" s="432">
        <f t="shared" si="216"/>
        <v>0</v>
      </c>
      <c r="AL924" s="448"/>
      <c r="AM924" s="467" t="e">
        <f>VLOOKUP(AD924,[6]BV201101!$A$10:$A$1236,1,0)</f>
        <v>#N/A</v>
      </c>
    </row>
    <row r="925" spans="1:39" s="467" customFormat="1" ht="12.75" customHeight="1">
      <c r="A925" s="487" t="str">
        <f t="shared" si="198"/>
        <v>2</v>
      </c>
      <c r="B925" s="487" t="str">
        <f t="shared" si="170"/>
        <v>11</v>
      </c>
      <c r="C925" s="487" t="str">
        <f t="shared" si="171"/>
        <v>29</v>
      </c>
      <c r="D925" s="487" t="str">
        <f t="shared" si="172"/>
        <v>1292</v>
      </c>
      <c r="E925" s="487">
        <v>524450000</v>
      </c>
      <c r="F925" s="488"/>
      <c r="G925" s="489"/>
      <c r="H925" s="489"/>
      <c r="I925" s="488"/>
      <c r="J925" s="487"/>
      <c r="K925" s="487"/>
      <c r="L925" s="488"/>
      <c r="M925" s="487"/>
      <c r="N925" s="487"/>
      <c r="O925" s="488"/>
      <c r="P925" s="489"/>
      <c r="Q925" s="489"/>
      <c r="R925" s="592"/>
      <c r="S925" s="487"/>
      <c r="T925" s="487"/>
      <c r="U925" s="488"/>
      <c r="V925" s="489"/>
      <c r="W925" s="489"/>
      <c r="X925" s="488"/>
      <c r="Y925" s="489"/>
      <c r="Z925" s="489"/>
      <c r="AA925" s="490"/>
      <c r="AB925" s="489"/>
      <c r="AC925" s="489"/>
      <c r="AD925" s="27">
        <v>211292</v>
      </c>
      <c r="AE925" s="27" t="s">
        <v>1715</v>
      </c>
      <c r="AF925" s="432">
        <v>0</v>
      </c>
      <c r="AG925" s="432"/>
      <c r="AH925" s="432">
        <f t="shared" si="216"/>
        <v>0</v>
      </c>
      <c r="AL925" s="448"/>
      <c r="AM925" s="467" t="e">
        <f>VLOOKUP(AD925,[6]BV201101!$A$10:$A$1236,1,0)</f>
        <v>#N/A</v>
      </c>
    </row>
    <row r="926" spans="1:39" s="467" customFormat="1" ht="12.75" customHeight="1">
      <c r="A926" s="487" t="str">
        <f t="shared" si="198"/>
        <v>2</v>
      </c>
      <c r="B926" s="487" t="str">
        <f t="shared" si="170"/>
        <v>11</v>
      </c>
      <c r="C926" s="487" t="str">
        <f t="shared" si="171"/>
        <v>29</v>
      </c>
      <c r="D926" s="487" t="str">
        <f t="shared" si="172"/>
        <v>1293</v>
      </c>
      <c r="E926" s="487">
        <v>524470000</v>
      </c>
      <c r="F926" s="488" t="str">
        <f>+G926&amp;H926</f>
        <v/>
      </c>
      <c r="G926" s="489"/>
      <c r="H926" s="489"/>
      <c r="I926" s="488" t="str">
        <f>+J926&amp;K926</f>
        <v/>
      </c>
      <c r="J926" s="487"/>
      <c r="K926" s="487"/>
      <c r="L926" s="488" t="str">
        <f>+M926&amp;N926</f>
        <v/>
      </c>
      <c r="M926" s="487"/>
      <c r="N926" s="487"/>
      <c r="O926" s="488" t="str">
        <f>+P926&amp;Q926</f>
        <v/>
      </c>
      <c r="P926" s="489"/>
      <c r="Q926" s="489"/>
      <c r="R926" s="592" t="str">
        <f>+S926&amp;T926</f>
        <v/>
      </c>
      <c r="S926" s="487"/>
      <c r="T926" s="487"/>
      <c r="U926" s="488" t="str">
        <f>+V926&amp;W926</f>
        <v/>
      </c>
      <c r="V926" s="489"/>
      <c r="W926" s="489"/>
      <c r="X926" s="488" t="str">
        <f>+Y926&amp;Z926</f>
        <v/>
      </c>
      <c r="Y926" s="489"/>
      <c r="Z926" s="489"/>
      <c r="AA926" s="490" t="str">
        <f t="shared" ref="AA926:AA932" si="217">+AB926&amp;AC926</f>
        <v>2223</v>
      </c>
      <c r="AB926" s="489">
        <v>22</v>
      </c>
      <c r="AC926" s="489">
        <v>23</v>
      </c>
      <c r="AD926" s="27">
        <v>211293</v>
      </c>
      <c r="AE926" s="27" t="s">
        <v>1716</v>
      </c>
      <c r="AF926" s="432">
        <v>0</v>
      </c>
      <c r="AG926" s="432"/>
      <c r="AH926" s="432">
        <f t="shared" si="216"/>
        <v>0</v>
      </c>
      <c r="AL926" s="448"/>
      <c r="AM926" s="467" t="e">
        <f>VLOOKUP(AD926,[6]BV201101!$A$10:$A$1236,1,0)</f>
        <v>#N/A</v>
      </c>
    </row>
    <row r="927" spans="1:39" s="467" customFormat="1" ht="12.75" customHeight="1">
      <c r="A927" s="487" t="str">
        <f t="shared" si="198"/>
        <v>2</v>
      </c>
      <c r="B927" s="487" t="str">
        <f t="shared" si="170"/>
        <v>11</v>
      </c>
      <c r="C927" s="487" t="str">
        <f t="shared" si="171"/>
        <v>29</v>
      </c>
      <c r="D927" s="487" t="str">
        <f t="shared" si="172"/>
        <v>1294</v>
      </c>
      <c r="E927" s="487">
        <v>524470000</v>
      </c>
      <c r="F927" s="488"/>
      <c r="G927" s="489"/>
      <c r="H927" s="489"/>
      <c r="I927" s="488"/>
      <c r="J927" s="487"/>
      <c r="K927" s="487"/>
      <c r="L927" s="488"/>
      <c r="M927" s="487"/>
      <c r="N927" s="487"/>
      <c r="O927" s="488"/>
      <c r="P927" s="489"/>
      <c r="Q927" s="489"/>
      <c r="R927" s="592"/>
      <c r="S927" s="487"/>
      <c r="T927" s="487"/>
      <c r="U927" s="488"/>
      <c r="V927" s="489"/>
      <c r="W927" s="489"/>
      <c r="X927" s="488"/>
      <c r="Y927" s="489"/>
      <c r="Z927" s="489"/>
      <c r="AA927" s="490" t="str">
        <f t="shared" si="217"/>
        <v>2223</v>
      </c>
      <c r="AB927" s="489">
        <v>22</v>
      </c>
      <c r="AC927" s="489">
        <v>23</v>
      </c>
      <c r="AD927" s="27">
        <v>211294</v>
      </c>
      <c r="AE927" s="27" t="s">
        <v>1717</v>
      </c>
      <c r="AF927" s="432">
        <v>0</v>
      </c>
      <c r="AG927" s="432"/>
      <c r="AH927" s="432">
        <f t="shared" si="216"/>
        <v>0</v>
      </c>
      <c r="AL927" s="448"/>
      <c r="AM927" s="467" t="e">
        <f>VLOOKUP(AD927,[6]BV201101!$A$10:$A$1236,1,0)</f>
        <v>#N/A</v>
      </c>
    </row>
    <row r="928" spans="1:39" s="467" customFormat="1" ht="12.75" customHeight="1">
      <c r="A928" s="487" t="str">
        <f t="shared" si="198"/>
        <v>2</v>
      </c>
      <c r="B928" s="487" t="str">
        <f t="shared" si="170"/>
        <v>11</v>
      </c>
      <c r="C928" s="487" t="str">
        <f t="shared" si="171"/>
        <v>29</v>
      </c>
      <c r="D928" s="487" t="str">
        <f t="shared" si="172"/>
        <v>1295</v>
      </c>
      <c r="E928" s="487">
        <v>524470000</v>
      </c>
      <c r="F928" s="488"/>
      <c r="G928" s="489"/>
      <c r="H928" s="489"/>
      <c r="I928" s="488"/>
      <c r="J928" s="487"/>
      <c r="K928" s="487"/>
      <c r="L928" s="488"/>
      <c r="M928" s="487"/>
      <c r="N928" s="487"/>
      <c r="O928" s="488"/>
      <c r="P928" s="489"/>
      <c r="Q928" s="489"/>
      <c r="R928" s="592"/>
      <c r="S928" s="487"/>
      <c r="T928" s="487"/>
      <c r="U928" s="488"/>
      <c r="V928" s="489"/>
      <c r="W928" s="489"/>
      <c r="X928" s="488"/>
      <c r="Y928" s="489"/>
      <c r="Z928" s="489"/>
      <c r="AA928" s="490" t="str">
        <f t="shared" si="217"/>
        <v>2223</v>
      </c>
      <c r="AB928" s="489">
        <v>22</v>
      </c>
      <c r="AC928" s="489">
        <v>23</v>
      </c>
      <c r="AD928" s="27">
        <v>211295</v>
      </c>
      <c r="AE928" s="27" t="s">
        <v>40</v>
      </c>
      <c r="AF928" s="432">
        <v>0</v>
      </c>
      <c r="AG928" s="432"/>
      <c r="AH928" s="432">
        <f t="shared" si="216"/>
        <v>0</v>
      </c>
      <c r="AL928" s="448"/>
      <c r="AM928" s="467" t="e">
        <f>VLOOKUP(AD928,[6]BV201101!$A$10:$A$1236,1,0)</f>
        <v>#N/A</v>
      </c>
    </row>
    <row r="929" spans="1:39" s="467" customFormat="1" ht="12.75" customHeight="1">
      <c r="A929" s="487" t="str">
        <f t="shared" si="198"/>
        <v>2</v>
      </c>
      <c r="B929" s="487" t="str">
        <f t="shared" si="170"/>
        <v>11</v>
      </c>
      <c r="C929" s="487" t="str">
        <f t="shared" si="171"/>
        <v>29</v>
      </c>
      <c r="D929" s="487" t="str">
        <f t="shared" si="172"/>
        <v>1296</v>
      </c>
      <c r="E929" s="487">
        <v>524470000</v>
      </c>
      <c r="F929" s="488"/>
      <c r="G929" s="489"/>
      <c r="H929" s="489"/>
      <c r="I929" s="488"/>
      <c r="J929" s="487"/>
      <c r="K929" s="487"/>
      <c r="L929" s="488"/>
      <c r="M929" s="487"/>
      <c r="N929" s="487"/>
      <c r="O929" s="488"/>
      <c r="P929" s="489"/>
      <c r="Q929" s="489"/>
      <c r="R929" s="592"/>
      <c r="S929" s="487"/>
      <c r="T929" s="487"/>
      <c r="U929" s="488"/>
      <c r="V929" s="489"/>
      <c r="W929" s="489"/>
      <c r="X929" s="488"/>
      <c r="Y929" s="489"/>
      <c r="Z929" s="489"/>
      <c r="AA929" s="490" t="str">
        <f t="shared" si="217"/>
        <v>2223</v>
      </c>
      <c r="AB929" s="489">
        <v>22</v>
      </c>
      <c r="AC929" s="489">
        <v>23</v>
      </c>
      <c r="AD929" s="27">
        <v>211296</v>
      </c>
      <c r="AE929" s="27" t="s">
        <v>41</v>
      </c>
      <c r="AF929" s="432">
        <v>0</v>
      </c>
      <c r="AG929" s="432"/>
      <c r="AH929" s="432">
        <f t="shared" si="216"/>
        <v>0</v>
      </c>
      <c r="AL929" s="448"/>
      <c r="AM929" s="467" t="e">
        <f>VLOOKUP(AD929,[6]BV201101!$A$10:$A$1236,1,0)</f>
        <v>#N/A</v>
      </c>
    </row>
    <row r="930" spans="1:39" s="467" customFormat="1" ht="12.75" customHeight="1">
      <c r="A930" s="487" t="str">
        <f t="shared" si="198"/>
        <v>2</v>
      </c>
      <c r="B930" s="487" t="str">
        <f t="shared" si="170"/>
        <v>11</v>
      </c>
      <c r="C930" s="487" t="str">
        <f t="shared" si="171"/>
        <v>29</v>
      </c>
      <c r="D930" s="487" t="str">
        <f t="shared" si="172"/>
        <v>1297</v>
      </c>
      <c r="E930" s="487">
        <v>524470000</v>
      </c>
      <c r="F930" s="488"/>
      <c r="G930" s="489"/>
      <c r="H930" s="489"/>
      <c r="I930" s="488"/>
      <c r="J930" s="487"/>
      <c r="K930" s="487"/>
      <c r="L930" s="488"/>
      <c r="M930" s="487"/>
      <c r="N930" s="487"/>
      <c r="O930" s="488"/>
      <c r="P930" s="489"/>
      <c r="Q930" s="489"/>
      <c r="R930" s="592"/>
      <c r="S930" s="487"/>
      <c r="T930" s="487"/>
      <c r="U930" s="488"/>
      <c r="V930" s="489"/>
      <c r="W930" s="489"/>
      <c r="X930" s="488"/>
      <c r="Y930" s="489"/>
      <c r="Z930" s="489"/>
      <c r="AA930" s="490" t="str">
        <f t="shared" si="217"/>
        <v>2223</v>
      </c>
      <c r="AB930" s="489">
        <v>22</v>
      </c>
      <c r="AC930" s="489">
        <v>23</v>
      </c>
      <c r="AD930" s="27">
        <v>211297</v>
      </c>
      <c r="AE930" s="27" t="s">
        <v>2227</v>
      </c>
      <c r="AF930" s="432">
        <v>0</v>
      </c>
      <c r="AG930" s="432"/>
      <c r="AH930" s="432">
        <f t="shared" si="216"/>
        <v>0</v>
      </c>
      <c r="AL930" s="448"/>
      <c r="AM930" s="467" t="e">
        <f>VLOOKUP(AD930,[6]BV201101!$A$10:$A$1236,1,0)</f>
        <v>#N/A</v>
      </c>
    </row>
    <row r="931" spans="1:39" s="467" customFormat="1" ht="12.75" customHeight="1">
      <c r="A931" s="487" t="str">
        <f t="shared" si="198"/>
        <v>2</v>
      </c>
      <c r="B931" s="487" t="str">
        <f t="shared" si="170"/>
        <v>11</v>
      </c>
      <c r="C931" s="487" t="str">
        <f t="shared" si="171"/>
        <v>29</v>
      </c>
      <c r="D931" s="487" t="str">
        <f t="shared" si="172"/>
        <v>1298</v>
      </c>
      <c r="E931" s="487">
        <v>524470000</v>
      </c>
      <c r="F931" s="488"/>
      <c r="G931" s="489"/>
      <c r="H931" s="489"/>
      <c r="I931" s="488"/>
      <c r="J931" s="487"/>
      <c r="K931" s="487"/>
      <c r="L931" s="488"/>
      <c r="M931" s="487"/>
      <c r="N931" s="487"/>
      <c r="O931" s="488"/>
      <c r="P931" s="489"/>
      <c r="Q931" s="489"/>
      <c r="R931" s="592"/>
      <c r="S931" s="487"/>
      <c r="T931" s="487"/>
      <c r="U931" s="488"/>
      <c r="V931" s="489"/>
      <c r="W931" s="489"/>
      <c r="X931" s="488"/>
      <c r="Y931" s="489"/>
      <c r="Z931" s="489"/>
      <c r="AA931" s="490" t="str">
        <f t="shared" si="217"/>
        <v>2223</v>
      </c>
      <c r="AB931" s="489">
        <v>22</v>
      </c>
      <c r="AC931" s="489">
        <v>23</v>
      </c>
      <c r="AD931" s="27">
        <v>211298</v>
      </c>
      <c r="AE931" s="27" t="s">
        <v>42</v>
      </c>
      <c r="AF931" s="432">
        <v>0</v>
      </c>
      <c r="AG931" s="432"/>
      <c r="AH931" s="432">
        <f t="shared" si="216"/>
        <v>0</v>
      </c>
      <c r="AL931" s="448"/>
      <c r="AM931" s="467" t="e">
        <f>VLOOKUP(AD931,[6]BV201101!$A$10:$A$1236,1,0)</f>
        <v>#N/A</v>
      </c>
    </row>
    <row r="932" spans="1:39" s="467" customFormat="1" ht="12.75" customHeight="1">
      <c r="A932" s="487" t="str">
        <f t="shared" si="198"/>
        <v>2</v>
      </c>
      <c r="B932" s="487" t="str">
        <f t="shared" si="170"/>
        <v>11</v>
      </c>
      <c r="C932" s="487" t="str">
        <f t="shared" si="171"/>
        <v>29</v>
      </c>
      <c r="D932" s="487" t="str">
        <f t="shared" si="172"/>
        <v>1299</v>
      </c>
      <c r="E932" s="487">
        <v>524470000</v>
      </c>
      <c r="F932" s="488"/>
      <c r="G932" s="489"/>
      <c r="H932" s="489"/>
      <c r="I932" s="488"/>
      <c r="J932" s="487"/>
      <c r="K932" s="487"/>
      <c r="L932" s="488"/>
      <c r="M932" s="487"/>
      <c r="N932" s="487"/>
      <c r="O932" s="488"/>
      <c r="P932" s="489"/>
      <c r="Q932" s="489"/>
      <c r="R932" s="592"/>
      <c r="S932" s="487"/>
      <c r="T932" s="487"/>
      <c r="U932" s="488"/>
      <c r="V932" s="489"/>
      <c r="W932" s="489"/>
      <c r="X932" s="488"/>
      <c r="Y932" s="489"/>
      <c r="Z932" s="489"/>
      <c r="AA932" s="490" t="str">
        <f t="shared" si="217"/>
        <v>2223</v>
      </c>
      <c r="AB932" s="489">
        <v>22</v>
      </c>
      <c r="AC932" s="489">
        <v>23</v>
      </c>
      <c r="AD932" s="27">
        <v>211299</v>
      </c>
      <c r="AE932" s="27" t="s">
        <v>1651</v>
      </c>
      <c r="AF932" s="432">
        <f>VLOOKUP(AD932,[5]Hoja1!$A$10:$K$1393,11,0)</f>
        <v>-24311803</v>
      </c>
      <c r="AG932" s="432"/>
      <c r="AH932" s="432">
        <f t="shared" si="216"/>
        <v>-24312</v>
      </c>
      <c r="AL932" s="448"/>
      <c r="AM932" s="467">
        <f>VLOOKUP(AD932,[6]BV201101!$A$10:$A$1236,1,0)</f>
        <v>211299</v>
      </c>
    </row>
    <row r="933" spans="1:39" s="467" customFormat="1" ht="12.75" customHeight="1">
      <c r="A933" s="487" t="str">
        <f t="shared" si="198"/>
        <v>2</v>
      </c>
      <c r="B933" s="487" t="str">
        <f t="shared" si="170"/>
        <v>11</v>
      </c>
      <c r="C933" s="487" t="str">
        <f t="shared" si="171"/>
        <v>30</v>
      </c>
      <c r="D933" s="487" t="str">
        <f t="shared" si="172"/>
        <v>1300</v>
      </c>
      <c r="E933" s="487">
        <v>524470000</v>
      </c>
      <c r="F933" s="488"/>
      <c r="G933" s="489"/>
      <c r="H933" s="489"/>
      <c r="I933" s="488"/>
      <c r="J933" s="487"/>
      <c r="K933" s="487"/>
      <c r="L933" s="488"/>
      <c r="M933" s="487"/>
      <c r="N933" s="487"/>
      <c r="O933" s="488"/>
      <c r="P933" s="489"/>
      <c r="Q933" s="489"/>
      <c r="R933" s="592"/>
      <c r="S933" s="487"/>
      <c r="T933" s="487"/>
      <c r="U933" s="488"/>
      <c r="V933" s="489"/>
      <c r="W933" s="489"/>
      <c r="X933" s="488"/>
      <c r="Y933" s="489"/>
      <c r="Z933" s="489"/>
      <c r="AA933" s="490" t="str">
        <f t="shared" ref="AA933:AA945" si="218">+AB933&amp;AC933</f>
        <v>2223</v>
      </c>
      <c r="AB933" s="489">
        <v>22</v>
      </c>
      <c r="AC933" s="489">
        <v>23</v>
      </c>
      <c r="AD933" s="27">
        <v>211300</v>
      </c>
      <c r="AE933" s="27" t="s">
        <v>43</v>
      </c>
      <c r="AF933" s="432">
        <f>VLOOKUP(AD933,[5]Hoja1!$A$10:$K$1393,11,0)</f>
        <v>0</v>
      </c>
      <c r="AG933" s="432"/>
      <c r="AH933" s="432">
        <f t="shared" si="216"/>
        <v>0</v>
      </c>
      <c r="AL933" s="448"/>
      <c r="AM933" s="467">
        <f>VLOOKUP(AD933,[6]BV201101!$A$10:$A$1236,1,0)</f>
        <v>211300</v>
      </c>
    </row>
    <row r="934" spans="1:39" s="467" customFormat="1" ht="12.75" customHeight="1">
      <c r="A934" s="487" t="str">
        <f t="shared" si="198"/>
        <v>2</v>
      </c>
      <c r="B934" s="487" t="str">
        <f t="shared" si="170"/>
        <v>11</v>
      </c>
      <c r="C934" s="487" t="str">
        <f t="shared" si="171"/>
        <v>30</v>
      </c>
      <c r="D934" s="487" t="str">
        <f t="shared" si="172"/>
        <v>1301</v>
      </c>
      <c r="E934" s="487">
        <v>524470000</v>
      </c>
      <c r="F934" s="488"/>
      <c r="G934" s="489"/>
      <c r="H934" s="489"/>
      <c r="I934" s="488"/>
      <c r="J934" s="487"/>
      <c r="K934" s="487"/>
      <c r="L934" s="488"/>
      <c r="M934" s="487"/>
      <c r="N934" s="487"/>
      <c r="O934" s="488"/>
      <c r="P934" s="489"/>
      <c r="Q934" s="489"/>
      <c r="R934" s="592"/>
      <c r="S934" s="487"/>
      <c r="T934" s="487"/>
      <c r="U934" s="488"/>
      <c r="V934" s="489"/>
      <c r="W934" s="489"/>
      <c r="X934" s="488"/>
      <c r="Y934" s="489"/>
      <c r="Z934" s="489"/>
      <c r="AA934" s="490" t="str">
        <f t="shared" si="218"/>
        <v>2223</v>
      </c>
      <c r="AB934" s="489">
        <v>22</v>
      </c>
      <c r="AC934" s="489">
        <v>23</v>
      </c>
      <c r="AD934" s="27">
        <v>211301</v>
      </c>
      <c r="AE934" s="27" t="s">
        <v>1860</v>
      </c>
      <c r="AF934" s="432">
        <f>VLOOKUP(AD934,[5]Hoja1!$A$10:$K$1393,11,0)</f>
        <v>0</v>
      </c>
      <c r="AG934" s="432"/>
      <c r="AH934" s="432">
        <f t="shared" si="216"/>
        <v>0</v>
      </c>
      <c r="AL934" s="448"/>
      <c r="AM934" s="467" t="e">
        <f>VLOOKUP(AD934,[6]BV201101!$A$10:$A$1236,1,0)</f>
        <v>#N/A</v>
      </c>
    </row>
    <row r="935" spans="1:39" s="467" customFormat="1" ht="12.75" customHeight="1">
      <c r="A935" s="487" t="str">
        <f t="shared" si="198"/>
        <v>2</v>
      </c>
      <c r="B935" s="487" t="str">
        <f t="shared" si="170"/>
        <v>11</v>
      </c>
      <c r="C935" s="487" t="str">
        <f t="shared" si="171"/>
        <v>30</v>
      </c>
      <c r="D935" s="487" t="str">
        <f t="shared" si="172"/>
        <v>1302</v>
      </c>
      <c r="E935" s="487">
        <v>524470000</v>
      </c>
      <c r="F935" s="488"/>
      <c r="G935" s="489"/>
      <c r="H935" s="489"/>
      <c r="I935" s="488"/>
      <c r="J935" s="487"/>
      <c r="K935" s="487"/>
      <c r="L935" s="488"/>
      <c r="M935" s="487"/>
      <c r="N935" s="487"/>
      <c r="O935" s="488"/>
      <c r="P935" s="489"/>
      <c r="Q935" s="489"/>
      <c r="R935" s="592"/>
      <c r="S935" s="487"/>
      <c r="T935" s="487"/>
      <c r="U935" s="488"/>
      <c r="V935" s="489"/>
      <c r="W935" s="489"/>
      <c r="X935" s="488"/>
      <c r="Y935" s="489"/>
      <c r="Z935" s="489"/>
      <c r="AA935" s="490" t="str">
        <f t="shared" si="218"/>
        <v>2223</v>
      </c>
      <c r="AB935" s="489">
        <v>22</v>
      </c>
      <c r="AC935" s="489">
        <v>23</v>
      </c>
      <c r="AD935" s="27">
        <v>211302</v>
      </c>
      <c r="AE935" s="27" t="s">
        <v>2228</v>
      </c>
      <c r="AF935" s="432">
        <v>0</v>
      </c>
      <c r="AG935" s="432"/>
      <c r="AH935" s="432">
        <f t="shared" si="216"/>
        <v>0</v>
      </c>
      <c r="AL935" s="448"/>
      <c r="AM935" s="467" t="e">
        <f>VLOOKUP(AD935,[6]BV201101!$A$10:$A$1236,1,0)</f>
        <v>#N/A</v>
      </c>
    </row>
    <row r="936" spans="1:39" s="467" customFormat="1" ht="12.75" customHeight="1">
      <c r="A936" s="487" t="str">
        <f t="shared" si="198"/>
        <v>2</v>
      </c>
      <c r="B936" s="487" t="str">
        <f t="shared" si="170"/>
        <v>11</v>
      </c>
      <c r="C936" s="487" t="str">
        <f t="shared" si="171"/>
        <v>30</v>
      </c>
      <c r="D936" s="487" t="str">
        <f t="shared" si="172"/>
        <v>1303</v>
      </c>
      <c r="E936" s="487">
        <v>524470000</v>
      </c>
      <c r="F936" s="488"/>
      <c r="G936" s="489"/>
      <c r="H936" s="489"/>
      <c r="I936" s="488"/>
      <c r="J936" s="487"/>
      <c r="K936" s="487"/>
      <c r="L936" s="488"/>
      <c r="M936" s="487"/>
      <c r="N936" s="487"/>
      <c r="O936" s="488"/>
      <c r="P936" s="489"/>
      <c r="Q936" s="489"/>
      <c r="R936" s="592"/>
      <c r="S936" s="487"/>
      <c r="T936" s="487"/>
      <c r="U936" s="488"/>
      <c r="V936" s="489"/>
      <c r="W936" s="489"/>
      <c r="X936" s="488"/>
      <c r="Y936" s="489"/>
      <c r="Z936" s="489"/>
      <c r="AA936" s="490" t="str">
        <f t="shared" si="218"/>
        <v>2223</v>
      </c>
      <c r="AB936" s="489">
        <v>22</v>
      </c>
      <c r="AC936" s="489">
        <v>23</v>
      </c>
      <c r="AD936" s="27">
        <v>211303</v>
      </c>
      <c r="AE936" s="27" t="s">
        <v>2229</v>
      </c>
      <c r="AF936" s="432">
        <v>0</v>
      </c>
      <c r="AG936" s="432"/>
      <c r="AH936" s="432">
        <f t="shared" si="216"/>
        <v>0</v>
      </c>
      <c r="AL936" s="448"/>
      <c r="AM936" s="467" t="e">
        <f>VLOOKUP(AD936,[6]BV201101!$A$10:$A$1236,1,0)</f>
        <v>#N/A</v>
      </c>
    </row>
    <row r="937" spans="1:39" s="467" customFormat="1" ht="12.75" customHeight="1">
      <c r="A937" s="487" t="str">
        <f t="shared" ref="A937:A1004" si="219">+LEFT($AD937,1)</f>
        <v>2</v>
      </c>
      <c r="B937" s="487" t="str">
        <f t="shared" si="170"/>
        <v>11</v>
      </c>
      <c r="C937" s="487" t="str">
        <f t="shared" si="171"/>
        <v>30</v>
      </c>
      <c r="D937" s="487" t="str">
        <f t="shared" si="172"/>
        <v>1304</v>
      </c>
      <c r="E937" s="487">
        <v>524470000</v>
      </c>
      <c r="F937" s="488"/>
      <c r="G937" s="489"/>
      <c r="H937" s="489"/>
      <c r="I937" s="488"/>
      <c r="J937" s="487"/>
      <c r="K937" s="487"/>
      <c r="L937" s="488"/>
      <c r="M937" s="487"/>
      <c r="N937" s="487"/>
      <c r="O937" s="488"/>
      <c r="P937" s="489"/>
      <c r="Q937" s="489"/>
      <c r="R937" s="592"/>
      <c r="S937" s="487"/>
      <c r="T937" s="487"/>
      <c r="U937" s="488"/>
      <c r="V937" s="489"/>
      <c r="W937" s="489"/>
      <c r="X937" s="488"/>
      <c r="Y937" s="489"/>
      <c r="Z937" s="489"/>
      <c r="AA937" s="490" t="str">
        <f t="shared" si="218"/>
        <v>2223</v>
      </c>
      <c r="AB937" s="489">
        <v>22</v>
      </c>
      <c r="AC937" s="489">
        <v>23</v>
      </c>
      <c r="AD937" s="27">
        <v>211304</v>
      </c>
      <c r="AE937" s="27" t="s">
        <v>1861</v>
      </c>
      <c r="AF937" s="432">
        <v>0</v>
      </c>
      <c r="AG937" s="432"/>
      <c r="AH937" s="432">
        <f t="shared" si="216"/>
        <v>0</v>
      </c>
      <c r="AL937" s="448"/>
      <c r="AM937" s="467" t="e">
        <f>VLOOKUP(AD937,[6]BV201101!$A$10:$A$1236,1,0)</f>
        <v>#N/A</v>
      </c>
    </row>
    <row r="938" spans="1:39" s="467" customFormat="1" ht="12.75" customHeight="1">
      <c r="A938" s="487" t="str">
        <f t="shared" si="219"/>
        <v>2</v>
      </c>
      <c r="B938" s="487" t="str">
        <f t="shared" si="170"/>
        <v>11</v>
      </c>
      <c r="C938" s="487" t="str">
        <f t="shared" si="171"/>
        <v>30</v>
      </c>
      <c r="D938" s="487" t="str">
        <f t="shared" si="172"/>
        <v>1305</v>
      </c>
      <c r="E938" s="487">
        <v>524470000</v>
      </c>
      <c r="F938" s="488"/>
      <c r="G938" s="489"/>
      <c r="H938" s="489"/>
      <c r="I938" s="488"/>
      <c r="J938" s="487"/>
      <c r="K938" s="487"/>
      <c r="L938" s="488"/>
      <c r="M938" s="487"/>
      <c r="N938" s="487"/>
      <c r="O938" s="488"/>
      <c r="P938" s="489"/>
      <c r="Q938" s="489"/>
      <c r="R938" s="592"/>
      <c r="S938" s="487"/>
      <c r="T938" s="487"/>
      <c r="U938" s="488"/>
      <c r="V938" s="489"/>
      <c r="W938" s="489"/>
      <c r="X938" s="488"/>
      <c r="Y938" s="489"/>
      <c r="Z938" s="489"/>
      <c r="AA938" s="490" t="str">
        <f t="shared" si="218"/>
        <v>2223</v>
      </c>
      <c r="AB938" s="489">
        <v>22</v>
      </c>
      <c r="AC938" s="489">
        <v>23</v>
      </c>
      <c r="AD938" s="27">
        <v>211305</v>
      </c>
      <c r="AE938" s="27" t="s">
        <v>1249</v>
      </c>
      <c r="AF938" s="432">
        <v>0</v>
      </c>
      <c r="AG938" s="432"/>
      <c r="AH938" s="432">
        <f t="shared" si="216"/>
        <v>0</v>
      </c>
      <c r="AL938" s="448"/>
      <c r="AM938" s="467" t="e">
        <f>VLOOKUP(AD938,[6]BV201101!$A$10:$A$1236,1,0)</f>
        <v>#N/A</v>
      </c>
    </row>
    <row r="939" spans="1:39" s="467" customFormat="1" ht="12.75" customHeight="1">
      <c r="A939" s="487" t="str">
        <f t="shared" si="219"/>
        <v>2</v>
      </c>
      <c r="B939" s="487" t="str">
        <f t="shared" si="170"/>
        <v>11</v>
      </c>
      <c r="C939" s="487" t="str">
        <f t="shared" si="171"/>
        <v>30</v>
      </c>
      <c r="D939" s="487" t="str">
        <f t="shared" si="172"/>
        <v>1306</v>
      </c>
      <c r="E939" s="487">
        <v>524470000</v>
      </c>
      <c r="F939" s="488"/>
      <c r="G939" s="489"/>
      <c r="H939" s="489"/>
      <c r="I939" s="488"/>
      <c r="J939" s="487"/>
      <c r="K939" s="487"/>
      <c r="L939" s="488"/>
      <c r="M939" s="487"/>
      <c r="N939" s="487"/>
      <c r="O939" s="488"/>
      <c r="P939" s="489"/>
      <c r="Q939" s="489"/>
      <c r="R939" s="592"/>
      <c r="S939" s="487"/>
      <c r="T939" s="487"/>
      <c r="U939" s="488"/>
      <c r="V939" s="489"/>
      <c r="W939" s="489"/>
      <c r="X939" s="488"/>
      <c r="Y939" s="489"/>
      <c r="Z939" s="489"/>
      <c r="AA939" s="490" t="str">
        <f t="shared" si="218"/>
        <v>2223</v>
      </c>
      <c r="AB939" s="489">
        <v>22</v>
      </c>
      <c r="AC939" s="489">
        <v>23</v>
      </c>
      <c r="AD939" s="27">
        <v>211306</v>
      </c>
      <c r="AE939" s="27" t="s">
        <v>752</v>
      </c>
      <c r="AF939" s="432">
        <v>0</v>
      </c>
      <c r="AG939" s="432"/>
      <c r="AH939" s="432">
        <f t="shared" si="216"/>
        <v>0</v>
      </c>
      <c r="AL939" s="448"/>
      <c r="AM939" s="467" t="e">
        <f>VLOOKUP(AD939,[6]BV201101!$A$10:$A$1236,1,0)</f>
        <v>#N/A</v>
      </c>
    </row>
    <row r="940" spans="1:39" s="467" customFormat="1" ht="12.75" customHeight="1">
      <c r="A940" s="487" t="str">
        <f t="shared" si="219"/>
        <v>2</v>
      </c>
      <c r="B940" s="487" t="str">
        <f t="shared" si="170"/>
        <v>11</v>
      </c>
      <c r="C940" s="487" t="str">
        <f t="shared" si="171"/>
        <v>30</v>
      </c>
      <c r="D940" s="487" t="str">
        <f t="shared" si="172"/>
        <v>1307</v>
      </c>
      <c r="E940" s="487">
        <v>524470000</v>
      </c>
      <c r="F940" s="488"/>
      <c r="G940" s="489"/>
      <c r="H940" s="489"/>
      <c r="I940" s="488"/>
      <c r="J940" s="487"/>
      <c r="K940" s="487"/>
      <c r="L940" s="488"/>
      <c r="M940" s="487"/>
      <c r="N940" s="487"/>
      <c r="O940" s="488"/>
      <c r="P940" s="489"/>
      <c r="Q940" s="489"/>
      <c r="R940" s="592"/>
      <c r="S940" s="487"/>
      <c r="T940" s="487"/>
      <c r="U940" s="488"/>
      <c r="V940" s="489"/>
      <c r="W940" s="489"/>
      <c r="X940" s="488"/>
      <c r="Y940" s="489"/>
      <c r="Z940" s="489"/>
      <c r="AA940" s="490" t="str">
        <f t="shared" si="218"/>
        <v>2223</v>
      </c>
      <c r="AB940" s="489">
        <v>22</v>
      </c>
      <c r="AC940" s="489">
        <v>23</v>
      </c>
      <c r="AD940" s="27">
        <v>211307</v>
      </c>
      <c r="AE940" s="27" t="s">
        <v>753</v>
      </c>
      <c r="AF940" s="432">
        <v>0</v>
      </c>
      <c r="AG940" s="432"/>
      <c r="AH940" s="432">
        <f t="shared" si="216"/>
        <v>0</v>
      </c>
      <c r="AL940" s="448"/>
      <c r="AM940" s="467" t="e">
        <f>VLOOKUP(AD940,[6]BV201101!$A$10:$A$1236,1,0)</f>
        <v>#N/A</v>
      </c>
    </row>
    <row r="941" spans="1:39" s="467" customFormat="1" ht="12.75" customHeight="1">
      <c r="A941" s="487" t="str">
        <f t="shared" si="219"/>
        <v>2</v>
      </c>
      <c r="B941" s="487" t="str">
        <f t="shared" si="170"/>
        <v>11</v>
      </c>
      <c r="C941" s="487" t="str">
        <f t="shared" si="171"/>
        <v>30</v>
      </c>
      <c r="D941" s="487" t="str">
        <f t="shared" si="172"/>
        <v>1308</v>
      </c>
      <c r="E941" s="487">
        <v>524470000</v>
      </c>
      <c r="F941" s="488"/>
      <c r="G941" s="489"/>
      <c r="H941" s="489"/>
      <c r="I941" s="488"/>
      <c r="J941" s="487"/>
      <c r="K941" s="487"/>
      <c r="L941" s="488"/>
      <c r="M941" s="487"/>
      <c r="N941" s="487"/>
      <c r="O941" s="488"/>
      <c r="P941" s="489"/>
      <c r="Q941" s="489"/>
      <c r="R941" s="592"/>
      <c r="S941" s="487"/>
      <c r="T941" s="487"/>
      <c r="U941" s="488"/>
      <c r="V941" s="489"/>
      <c r="W941" s="489"/>
      <c r="X941" s="488"/>
      <c r="Y941" s="489"/>
      <c r="Z941" s="489"/>
      <c r="AA941" s="490" t="str">
        <f t="shared" si="218"/>
        <v>2223</v>
      </c>
      <c r="AB941" s="489">
        <v>22</v>
      </c>
      <c r="AC941" s="489">
        <v>23</v>
      </c>
      <c r="AD941" s="27">
        <v>211308</v>
      </c>
      <c r="AE941" s="27" t="s">
        <v>1722</v>
      </c>
      <c r="AF941" s="432">
        <v>0</v>
      </c>
      <c r="AG941" s="432"/>
      <c r="AH941" s="432">
        <f t="shared" si="216"/>
        <v>0</v>
      </c>
      <c r="AL941" s="448"/>
      <c r="AM941" s="467" t="e">
        <f>VLOOKUP(AD941,[6]BV201101!$A$10:$A$1236,1,0)</f>
        <v>#N/A</v>
      </c>
    </row>
    <row r="942" spans="1:39" s="467" customFormat="1" ht="12.75" customHeight="1">
      <c r="A942" s="487" t="str">
        <f t="shared" si="219"/>
        <v>2</v>
      </c>
      <c r="B942" s="487" t="str">
        <f t="shared" si="170"/>
        <v>11</v>
      </c>
      <c r="C942" s="487" t="str">
        <f t="shared" si="171"/>
        <v>30</v>
      </c>
      <c r="D942" s="487" t="str">
        <f t="shared" si="172"/>
        <v>1309</v>
      </c>
      <c r="E942" s="487">
        <v>524470000</v>
      </c>
      <c r="F942" s="488"/>
      <c r="G942" s="489"/>
      <c r="H942" s="489"/>
      <c r="I942" s="488"/>
      <c r="J942" s="487"/>
      <c r="K942" s="487"/>
      <c r="L942" s="488"/>
      <c r="M942" s="487"/>
      <c r="N942" s="487"/>
      <c r="O942" s="488"/>
      <c r="P942" s="489"/>
      <c r="Q942" s="489"/>
      <c r="R942" s="592"/>
      <c r="S942" s="487"/>
      <c r="T942" s="487"/>
      <c r="U942" s="488"/>
      <c r="V942" s="489"/>
      <c r="W942" s="489"/>
      <c r="X942" s="488"/>
      <c r="Y942" s="489"/>
      <c r="Z942" s="489"/>
      <c r="AA942" s="490" t="str">
        <f t="shared" si="218"/>
        <v>2223</v>
      </c>
      <c r="AB942" s="489">
        <v>22</v>
      </c>
      <c r="AC942" s="489">
        <v>23</v>
      </c>
      <c r="AD942" s="27">
        <v>211309</v>
      </c>
      <c r="AE942" s="27" t="s">
        <v>1723</v>
      </c>
      <c r="AF942" s="432">
        <v>0</v>
      </c>
      <c r="AG942" s="432"/>
      <c r="AH942" s="432">
        <f t="shared" si="216"/>
        <v>0</v>
      </c>
      <c r="AL942" s="448"/>
      <c r="AM942" s="467" t="e">
        <f>VLOOKUP(AD942,[6]BV201101!$A$10:$A$1236,1,0)</f>
        <v>#N/A</v>
      </c>
    </row>
    <row r="943" spans="1:39" s="467" customFormat="1" ht="12.75" customHeight="1">
      <c r="A943" s="487" t="str">
        <f t="shared" si="219"/>
        <v>2</v>
      </c>
      <c r="B943" s="487" t="str">
        <f t="shared" si="170"/>
        <v>11</v>
      </c>
      <c r="C943" s="487" t="str">
        <f t="shared" si="171"/>
        <v>31</v>
      </c>
      <c r="D943" s="487" t="str">
        <f t="shared" si="172"/>
        <v>1310</v>
      </c>
      <c r="E943" s="487">
        <v>524450000</v>
      </c>
      <c r="F943" s="488"/>
      <c r="G943" s="489"/>
      <c r="H943" s="489"/>
      <c r="I943" s="488"/>
      <c r="J943" s="487"/>
      <c r="K943" s="487"/>
      <c r="L943" s="488"/>
      <c r="M943" s="487"/>
      <c r="N943" s="487"/>
      <c r="O943" s="488"/>
      <c r="P943" s="489"/>
      <c r="Q943" s="489"/>
      <c r="R943" s="592"/>
      <c r="S943" s="487"/>
      <c r="T943" s="487"/>
      <c r="U943" s="488"/>
      <c r="V943" s="489"/>
      <c r="W943" s="489"/>
      <c r="X943" s="488"/>
      <c r="Y943" s="489"/>
      <c r="Z943" s="489"/>
      <c r="AA943" s="490"/>
      <c r="AB943" s="489"/>
      <c r="AC943" s="489"/>
      <c r="AD943" s="27">
        <v>211310</v>
      </c>
      <c r="AE943" s="27" t="s">
        <v>1724</v>
      </c>
      <c r="AF943" s="432">
        <v>0</v>
      </c>
      <c r="AG943" s="432"/>
      <c r="AH943" s="432">
        <f t="shared" si="216"/>
        <v>0</v>
      </c>
      <c r="AL943" s="448"/>
      <c r="AM943" s="467" t="e">
        <f>VLOOKUP(AD943,[6]BV201101!$A$10:$A$1236,1,0)</f>
        <v>#N/A</v>
      </c>
    </row>
    <row r="944" spans="1:39" s="467" customFormat="1" ht="12.75" customHeight="1">
      <c r="A944" s="487" t="str">
        <f t="shared" si="219"/>
        <v>2</v>
      </c>
      <c r="B944" s="487" t="str">
        <f t="shared" si="170"/>
        <v>11</v>
      </c>
      <c r="C944" s="487" t="str">
        <f t="shared" si="171"/>
        <v>31</v>
      </c>
      <c r="D944" s="487" t="str">
        <f t="shared" si="172"/>
        <v>1311</v>
      </c>
      <c r="E944" s="487">
        <v>524470000</v>
      </c>
      <c r="F944" s="488"/>
      <c r="G944" s="489"/>
      <c r="H944" s="489"/>
      <c r="I944" s="488"/>
      <c r="J944" s="487"/>
      <c r="K944" s="487"/>
      <c r="L944" s="488"/>
      <c r="M944" s="487"/>
      <c r="N944" s="487"/>
      <c r="O944" s="488"/>
      <c r="P944" s="489"/>
      <c r="Q944" s="489"/>
      <c r="R944" s="592"/>
      <c r="S944" s="487"/>
      <c r="T944" s="487"/>
      <c r="U944" s="488"/>
      <c r="V944" s="489"/>
      <c r="W944" s="489"/>
      <c r="X944" s="488"/>
      <c r="Y944" s="489"/>
      <c r="Z944" s="489"/>
      <c r="AA944" s="490" t="str">
        <f t="shared" si="218"/>
        <v>2223</v>
      </c>
      <c r="AB944" s="489">
        <v>22</v>
      </c>
      <c r="AC944" s="489">
        <v>23</v>
      </c>
      <c r="AD944" s="27">
        <v>211311</v>
      </c>
      <c r="AE944" s="27" t="s">
        <v>2230</v>
      </c>
      <c r="AF944" s="432">
        <v>0</v>
      </c>
      <c r="AG944" s="432"/>
      <c r="AH944" s="432">
        <f t="shared" si="216"/>
        <v>0</v>
      </c>
      <c r="AL944" s="448"/>
      <c r="AM944" s="467" t="e">
        <f>VLOOKUP(AD944,[6]BV201101!$A$10:$A$1236,1,0)</f>
        <v>#N/A</v>
      </c>
    </row>
    <row r="945" spans="1:39" s="467" customFormat="1" ht="12.75" customHeight="1">
      <c r="A945" s="487" t="str">
        <f t="shared" si="219"/>
        <v>2</v>
      </c>
      <c r="B945" s="487" t="str">
        <f t="shared" si="170"/>
        <v>11</v>
      </c>
      <c r="C945" s="487" t="str">
        <f t="shared" si="171"/>
        <v>31</v>
      </c>
      <c r="D945" s="487" t="str">
        <f t="shared" si="172"/>
        <v>1312</v>
      </c>
      <c r="E945" s="487">
        <v>524470000</v>
      </c>
      <c r="F945" s="488" t="str">
        <f>+G945&amp;H945</f>
        <v/>
      </c>
      <c r="G945" s="489"/>
      <c r="H945" s="489"/>
      <c r="I945" s="488" t="str">
        <f>+J945&amp;K945</f>
        <v/>
      </c>
      <c r="J945" s="487"/>
      <c r="K945" s="487"/>
      <c r="L945" s="488" t="str">
        <f>+M945&amp;N945</f>
        <v/>
      </c>
      <c r="M945" s="487"/>
      <c r="N945" s="487"/>
      <c r="O945" s="488" t="str">
        <f>+P945&amp;Q945</f>
        <v/>
      </c>
      <c r="P945" s="489"/>
      <c r="Q945" s="489"/>
      <c r="R945" s="592" t="str">
        <f>+S945&amp;T945</f>
        <v/>
      </c>
      <c r="S945" s="487"/>
      <c r="T945" s="487"/>
      <c r="U945" s="488" t="str">
        <f>+V945&amp;W945</f>
        <v/>
      </c>
      <c r="V945" s="489"/>
      <c r="W945" s="489"/>
      <c r="X945" s="488" t="str">
        <f>+Y945&amp;Z945</f>
        <v/>
      </c>
      <c r="Y945" s="489"/>
      <c r="Z945" s="489"/>
      <c r="AA945" s="490" t="str">
        <f t="shared" si="218"/>
        <v>2222</v>
      </c>
      <c r="AB945" s="489">
        <v>22</v>
      </c>
      <c r="AC945" s="489">
        <v>22</v>
      </c>
      <c r="AD945" s="27">
        <v>211312</v>
      </c>
      <c r="AE945" s="27" t="s">
        <v>1863</v>
      </c>
      <c r="AF945" s="432">
        <f>VLOOKUP(AD945,[5]Hoja1!$A$10:$K$1393,11,0)</f>
        <v>-43429855</v>
      </c>
      <c r="AG945" s="432"/>
      <c r="AH945" s="432">
        <f t="shared" si="216"/>
        <v>-43430</v>
      </c>
      <c r="AL945" s="448"/>
      <c r="AM945" s="467">
        <f>VLOOKUP(AD945,[6]BV201101!$A$10:$A$1236,1,0)</f>
        <v>211312</v>
      </c>
    </row>
    <row r="946" spans="1:39" s="467" customFormat="1" ht="12.75" customHeight="1">
      <c r="A946" s="487" t="str">
        <f t="shared" si="219"/>
        <v>2</v>
      </c>
      <c r="B946" s="487" t="str">
        <f t="shared" si="170"/>
        <v>11</v>
      </c>
      <c r="C946" s="487" t="str">
        <f t="shared" si="171"/>
        <v>31</v>
      </c>
      <c r="D946" s="487" t="str">
        <f t="shared" si="172"/>
        <v>1313</v>
      </c>
      <c r="E946" s="487">
        <v>524470000</v>
      </c>
      <c r="F946" s="488"/>
      <c r="G946" s="489"/>
      <c r="H946" s="489"/>
      <c r="I946" s="488"/>
      <c r="J946" s="487"/>
      <c r="K946" s="487"/>
      <c r="L946" s="488"/>
      <c r="M946" s="487"/>
      <c r="N946" s="487"/>
      <c r="O946" s="488"/>
      <c r="P946" s="489"/>
      <c r="Q946" s="489"/>
      <c r="R946" s="592"/>
      <c r="S946" s="487"/>
      <c r="T946" s="487"/>
      <c r="U946" s="488"/>
      <c r="V946" s="489"/>
      <c r="W946" s="489"/>
      <c r="X946" s="488"/>
      <c r="Y946" s="489"/>
      <c r="Z946" s="489"/>
      <c r="AA946" s="490" t="str">
        <f>+AB946&amp;AC946</f>
        <v>2222</v>
      </c>
      <c r="AB946" s="489">
        <v>22</v>
      </c>
      <c r="AC946" s="489">
        <v>22</v>
      </c>
      <c r="AD946" s="27">
        <v>211313</v>
      </c>
      <c r="AE946" s="27" t="s">
        <v>2231</v>
      </c>
      <c r="AF946" s="432">
        <f>VLOOKUP(AD946,[5]Hoja1!$A$10:$K$1393,11,0)</f>
        <v>0</v>
      </c>
      <c r="AG946" s="432"/>
      <c r="AH946" s="432">
        <f t="shared" si="216"/>
        <v>0</v>
      </c>
      <c r="AL946" s="448"/>
      <c r="AM946" s="467">
        <f>VLOOKUP(AD946,[6]BV201101!$A$10:$A$1236,1,0)</f>
        <v>211313</v>
      </c>
    </row>
    <row r="947" spans="1:39" s="467" customFormat="1" ht="12.75" customHeight="1">
      <c r="A947" s="487" t="str">
        <f t="shared" si="219"/>
        <v>2</v>
      </c>
      <c r="B947" s="487" t="str">
        <f t="shared" si="170"/>
        <v>11</v>
      </c>
      <c r="C947" s="487" t="str">
        <f t="shared" si="171"/>
        <v>31</v>
      </c>
      <c r="D947" s="487" t="str">
        <f t="shared" si="172"/>
        <v>1314</v>
      </c>
      <c r="E947" s="487">
        <v>524470000</v>
      </c>
      <c r="F947" s="488"/>
      <c r="G947" s="489"/>
      <c r="H947" s="489"/>
      <c r="I947" s="488"/>
      <c r="J947" s="487"/>
      <c r="K947" s="487"/>
      <c r="L947" s="488"/>
      <c r="M947" s="487"/>
      <c r="N947" s="487"/>
      <c r="O947" s="488"/>
      <c r="P947" s="489"/>
      <c r="Q947" s="489"/>
      <c r="R947" s="592"/>
      <c r="S947" s="487"/>
      <c r="T947" s="487"/>
      <c r="U947" s="488"/>
      <c r="V947" s="489"/>
      <c r="W947" s="489"/>
      <c r="X947" s="488"/>
      <c r="Y947" s="489"/>
      <c r="Z947" s="489"/>
      <c r="AA947" s="490" t="str">
        <f>+AB947&amp;AC947</f>
        <v>2222</v>
      </c>
      <c r="AB947" s="489">
        <v>22</v>
      </c>
      <c r="AC947" s="489">
        <v>22</v>
      </c>
      <c r="AD947" s="27">
        <v>211314</v>
      </c>
      <c r="AE947" s="27" t="s">
        <v>2232</v>
      </c>
      <c r="AF947" s="432">
        <f>VLOOKUP(AD947,[5]Hoja1!$A$10:$K$1393,11,0)</f>
        <v>0</v>
      </c>
      <c r="AG947" s="432"/>
      <c r="AH947" s="432">
        <f t="shared" si="216"/>
        <v>0</v>
      </c>
      <c r="AL947" s="448"/>
      <c r="AM947" s="467">
        <f>VLOOKUP(AD947,[6]BV201101!$A$10:$A$1236,1,0)</f>
        <v>211314</v>
      </c>
    </row>
    <row r="948" spans="1:39" s="467" customFormat="1" ht="12.75" customHeight="1">
      <c r="A948" s="487" t="str">
        <f t="shared" si="219"/>
        <v>2</v>
      </c>
      <c r="B948" s="487" t="str">
        <f t="shared" si="170"/>
        <v>11</v>
      </c>
      <c r="C948" s="487" t="str">
        <f t="shared" si="171"/>
        <v>31</v>
      </c>
      <c r="D948" s="487" t="str">
        <f t="shared" si="172"/>
        <v>1315</v>
      </c>
      <c r="E948" s="487">
        <v>524470000</v>
      </c>
      <c r="F948" s="488"/>
      <c r="G948" s="489"/>
      <c r="H948" s="489"/>
      <c r="I948" s="488"/>
      <c r="J948" s="487"/>
      <c r="K948" s="487"/>
      <c r="L948" s="488"/>
      <c r="M948" s="487"/>
      <c r="N948" s="487"/>
      <c r="O948" s="488"/>
      <c r="P948" s="489"/>
      <c r="Q948" s="489"/>
      <c r="R948" s="592"/>
      <c r="S948" s="487"/>
      <c r="T948" s="487"/>
      <c r="U948" s="488"/>
      <c r="V948" s="489"/>
      <c r="W948" s="489"/>
      <c r="X948" s="488"/>
      <c r="Y948" s="489"/>
      <c r="Z948" s="489"/>
      <c r="AA948" s="490" t="str">
        <f>+AB948&amp;AC948</f>
        <v>2222</v>
      </c>
      <c r="AB948" s="489">
        <v>22</v>
      </c>
      <c r="AC948" s="489">
        <v>22</v>
      </c>
      <c r="AD948" s="27">
        <v>211315</v>
      </c>
      <c r="AE948" s="27" t="s">
        <v>2233</v>
      </c>
      <c r="AF948" s="432">
        <f>VLOOKUP(AD948,[5]Hoja1!$A$10:$K$1393,11,0)</f>
        <v>-7480273</v>
      </c>
      <c r="AG948" s="432"/>
      <c r="AH948" s="432">
        <f t="shared" si="216"/>
        <v>-7480</v>
      </c>
      <c r="AL948" s="448"/>
      <c r="AM948" s="467">
        <f>VLOOKUP(AD948,[6]BV201101!$A$10:$A$1236,1,0)</f>
        <v>211315</v>
      </c>
    </row>
    <row r="949" spans="1:39" s="467" customFormat="1" ht="12.75" customHeight="1">
      <c r="A949" s="487" t="str">
        <f t="shared" si="219"/>
        <v>2</v>
      </c>
      <c r="B949" s="487" t="str">
        <f t="shared" si="170"/>
        <v>11</v>
      </c>
      <c r="C949" s="487" t="str">
        <f t="shared" si="171"/>
        <v>31</v>
      </c>
      <c r="D949" s="487" t="str">
        <f t="shared" si="172"/>
        <v>1316</v>
      </c>
      <c r="E949" s="487">
        <v>524410000</v>
      </c>
      <c r="F949" s="488"/>
      <c r="G949" s="489"/>
      <c r="H949" s="489"/>
      <c r="I949" s="488"/>
      <c r="J949" s="487"/>
      <c r="K949" s="487"/>
      <c r="L949" s="488"/>
      <c r="M949" s="487"/>
      <c r="N949" s="487"/>
      <c r="O949" s="488"/>
      <c r="P949" s="489"/>
      <c r="Q949" s="489"/>
      <c r="R949" s="592"/>
      <c r="S949" s="487"/>
      <c r="T949" s="487"/>
      <c r="U949" s="488"/>
      <c r="V949" s="489"/>
      <c r="W949" s="489"/>
      <c r="X949" s="488"/>
      <c r="Y949" s="489"/>
      <c r="Z949" s="489"/>
      <c r="AA949" s="490"/>
      <c r="AB949" s="489"/>
      <c r="AC949" s="489"/>
      <c r="AD949" s="27">
        <v>211316</v>
      </c>
      <c r="AE949" s="27" t="s">
        <v>2234</v>
      </c>
      <c r="AF949" s="432">
        <f>VLOOKUP(AD949,[5]Hoja1!$A$10:$K$1393,11,0)</f>
        <v>-6181026</v>
      </c>
      <c r="AG949" s="432"/>
      <c r="AH949" s="432">
        <f t="shared" si="216"/>
        <v>-6181</v>
      </c>
      <c r="AL949" s="448"/>
      <c r="AM949" s="467">
        <f>VLOOKUP(AD949,[6]BV201101!$A$10:$A$1236,1,0)</f>
        <v>211316</v>
      </c>
    </row>
    <row r="950" spans="1:39" s="467" customFormat="1" ht="12.75" customHeight="1">
      <c r="A950" s="487" t="str">
        <f t="shared" si="219"/>
        <v>2</v>
      </c>
      <c r="B950" s="487" t="str">
        <f t="shared" si="170"/>
        <v>11</v>
      </c>
      <c r="C950" s="487" t="str">
        <f t="shared" si="171"/>
        <v>31</v>
      </c>
      <c r="D950" s="487" t="str">
        <f t="shared" si="172"/>
        <v>1317</v>
      </c>
      <c r="E950" s="487">
        <v>524410000</v>
      </c>
      <c r="F950" s="488"/>
      <c r="G950" s="489"/>
      <c r="H950" s="489"/>
      <c r="I950" s="488"/>
      <c r="J950" s="487"/>
      <c r="K950" s="487"/>
      <c r="L950" s="488"/>
      <c r="M950" s="487"/>
      <c r="N950" s="487"/>
      <c r="O950" s="488"/>
      <c r="P950" s="489"/>
      <c r="Q950" s="489"/>
      <c r="R950" s="592"/>
      <c r="S950" s="487"/>
      <c r="T950" s="487"/>
      <c r="U950" s="488"/>
      <c r="V950" s="489"/>
      <c r="W950" s="489"/>
      <c r="X950" s="488"/>
      <c r="Y950" s="489"/>
      <c r="Z950" s="489"/>
      <c r="AA950" s="490"/>
      <c r="AB950" s="489"/>
      <c r="AC950" s="489"/>
      <c r="AD950" s="27">
        <v>211317</v>
      </c>
      <c r="AE950" s="27" t="s">
        <v>2235</v>
      </c>
      <c r="AF950" s="432">
        <f>VLOOKUP(AD950,[5]Hoja1!$A$10:$K$1393,11,0)</f>
        <v>-962193012</v>
      </c>
      <c r="AG950" s="1203">
        <v>0</v>
      </c>
      <c r="AH950" s="432">
        <f t="shared" si="216"/>
        <v>-962193</v>
      </c>
      <c r="AL950" s="448"/>
      <c r="AM950" s="467">
        <f>VLOOKUP(AD950,[6]BV201101!$A$10:$A$1236,1,0)</f>
        <v>211317</v>
      </c>
    </row>
    <row r="951" spans="1:39" s="467" customFormat="1" ht="12.75" customHeight="1">
      <c r="A951" s="487" t="str">
        <f t="shared" si="219"/>
        <v>2</v>
      </c>
      <c r="B951" s="487" t="str">
        <f t="shared" si="170"/>
        <v>11</v>
      </c>
      <c r="C951" s="487" t="str">
        <f t="shared" si="171"/>
        <v>31</v>
      </c>
      <c r="D951" s="487" t="str">
        <f t="shared" si="172"/>
        <v>1318</v>
      </c>
      <c r="E951" s="487">
        <v>524410000</v>
      </c>
      <c r="F951" s="488"/>
      <c r="G951" s="489"/>
      <c r="H951" s="489"/>
      <c r="I951" s="488"/>
      <c r="J951" s="487"/>
      <c r="K951" s="487"/>
      <c r="L951" s="488"/>
      <c r="M951" s="487"/>
      <c r="N951" s="487"/>
      <c r="O951" s="488"/>
      <c r="P951" s="489"/>
      <c r="Q951" s="489"/>
      <c r="R951" s="592"/>
      <c r="S951" s="487"/>
      <c r="T951" s="487"/>
      <c r="U951" s="488"/>
      <c r="V951" s="489"/>
      <c r="W951" s="489"/>
      <c r="X951" s="488"/>
      <c r="Y951" s="489"/>
      <c r="Z951" s="489"/>
      <c r="AA951" s="490"/>
      <c r="AB951" s="489"/>
      <c r="AC951" s="489"/>
      <c r="AD951" s="27">
        <v>211318</v>
      </c>
      <c r="AE951" s="27" t="s">
        <v>2236</v>
      </c>
      <c r="AF951" s="432">
        <f>VLOOKUP(AD951,[5]Hoja1!$A$10:$K$1393,11,0)</f>
        <v>-660665504</v>
      </c>
      <c r="AG951" s="1203">
        <v>0</v>
      </c>
      <c r="AH951" s="432">
        <f t="shared" si="216"/>
        <v>-660666</v>
      </c>
      <c r="AL951" s="448"/>
      <c r="AM951" s="467">
        <f>VLOOKUP(AD951,[6]BV201101!$A$10:$A$1236,1,0)</f>
        <v>211318</v>
      </c>
    </row>
    <row r="952" spans="1:39" s="467" customFormat="1" ht="12.75" customHeight="1">
      <c r="A952" s="487" t="str">
        <f t="shared" si="219"/>
        <v>2</v>
      </c>
      <c r="B952" s="487" t="str">
        <f t="shared" si="170"/>
        <v>11</v>
      </c>
      <c r="C952" s="487" t="str">
        <f t="shared" si="171"/>
        <v>31</v>
      </c>
      <c r="D952" s="487" t="str">
        <f t="shared" si="172"/>
        <v>1319</v>
      </c>
      <c r="E952" s="487">
        <v>524410000</v>
      </c>
      <c r="F952" s="488"/>
      <c r="G952" s="489"/>
      <c r="H952" s="489"/>
      <c r="I952" s="488"/>
      <c r="J952" s="487"/>
      <c r="K952" s="487"/>
      <c r="L952" s="488"/>
      <c r="M952" s="487"/>
      <c r="N952" s="487"/>
      <c r="O952" s="488"/>
      <c r="P952" s="489"/>
      <c r="Q952" s="489"/>
      <c r="R952" s="592"/>
      <c r="S952" s="487"/>
      <c r="T952" s="487"/>
      <c r="U952" s="488"/>
      <c r="V952" s="489"/>
      <c r="W952" s="489"/>
      <c r="X952" s="488"/>
      <c r="Y952" s="489"/>
      <c r="Z952" s="489"/>
      <c r="AA952" s="490"/>
      <c r="AB952" s="489"/>
      <c r="AC952" s="489"/>
      <c r="AD952" s="27">
        <v>211319</v>
      </c>
      <c r="AE952" s="27" t="s">
        <v>2237</v>
      </c>
      <c r="AF952" s="432">
        <f>VLOOKUP(AD952,[5]Hoja1!$A$10:$K$1393,11,0)</f>
        <v>-12214675</v>
      </c>
      <c r="AG952" s="1203">
        <v>0</v>
      </c>
      <c r="AH952" s="432">
        <f t="shared" si="216"/>
        <v>-12215</v>
      </c>
      <c r="AL952" s="448"/>
      <c r="AM952" s="467">
        <f>VLOOKUP(AD952,[6]BV201101!$A$10:$A$1236,1,0)</f>
        <v>211319</v>
      </c>
    </row>
    <row r="953" spans="1:39" s="467" customFormat="1" ht="12.75" customHeight="1">
      <c r="A953" s="487" t="str">
        <f t="shared" si="219"/>
        <v>2</v>
      </c>
      <c r="B953" s="487" t="str">
        <f t="shared" si="170"/>
        <v>11</v>
      </c>
      <c r="C953" s="487" t="str">
        <f t="shared" si="171"/>
        <v>32</v>
      </c>
      <c r="D953" s="487" t="str">
        <f t="shared" si="172"/>
        <v>1320</v>
      </c>
      <c r="E953" s="487">
        <v>524410000</v>
      </c>
      <c r="F953" s="488"/>
      <c r="G953" s="489"/>
      <c r="H953" s="489"/>
      <c r="I953" s="488"/>
      <c r="J953" s="487"/>
      <c r="K953" s="487"/>
      <c r="L953" s="488"/>
      <c r="M953" s="487"/>
      <c r="N953" s="487"/>
      <c r="O953" s="488"/>
      <c r="P953" s="489"/>
      <c r="Q953" s="489"/>
      <c r="R953" s="592"/>
      <c r="S953" s="487"/>
      <c r="T953" s="487"/>
      <c r="U953" s="488"/>
      <c r="V953" s="489"/>
      <c r="W953" s="489"/>
      <c r="X953" s="488"/>
      <c r="Y953" s="489"/>
      <c r="Z953" s="489"/>
      <c r="AA953" s="490"/>
      <c r="AB953" s="489"/>
      <c r="AC953" s="489"/>
      <c r="AD953" s="27">
        <v>211320</v>
      </c>
      <c r="AE953" s="27" t="s">
        <v>1516</v>
      </c>
      <c r="AF953" s="432">
        <f>VLOOKUP(AD953,[5]Hoja1!$A$10:$K$1393,11,0)</f>
        <v>-13971881</v>
      </c>
      <c r="AG953" s="432"/>
      <c r="AH953" s="432">
        <f t="shared" si="216"/>
        <v>-13972</v>
      </c>
      <c r="AL953" s="448"/>
      <c r="AM953" s="467">
        <f>VLOOKUP(AD953,[6]BV201101!$A$10:$A$1236,1,0)</f>
        <v>211320</v>
      </c>
    </row>
    <row r="954" spans="1:39" s="467" customFormat="1" ht="12.75" customHeight="1">
      <c r="A954" s="487" t="str">
        <f t="shared" si="219"/>
        <v>2</v>
      </c>
      <c r="B954" s="487" t="str">
        <f t="shared" si="170"/>
        <v>11</v>
      </c>
      <c r="C954" s="487" t="str">
        <f t="shared" si="171"/>
        <v>32</v>
      </c>
      <c r="D954" s="487" t="str">
        <f t="shared" si="172"/>
        <v>1321</v>
      </c>
      <c r="E954" s="487">
        <v>524470000</v>
      </c>
      <c r="F954" s="488"/>
      <c r="G954" s="489"/>
      <c r="H954" s="489"/>
      <c r="I954" s="488"/>
      <c r="J954" s="487"/>
      <c r="K954" s="487"/>
      <c r="L954" s="488"/>
      <c r="M954" s="487"/>
      <c r="N954" s="487"/>
      <c r="O954" s="488"/>
      <c r="P954" s="489"/>
      <c r="Q954" s="489"/>
      <c r="R954" s="592"/>
      <c r="S954" s="487"/>
      <c r="T954" s="487"/>
      <c r="U954" s="488"/>
      <c r="V954" s="489"/>
      <c r="W954" s="489"/>
      <c r="X954" s="488"/>
      <c r="Y954" s="489"/>
      <c r="Z954" s="489"/>
      <c r="AA954" s="490" t="str">
        <f>+AB954&amp;AC954</f>
        <v>2222</v>
      </c>
      <c r="AB954" s="489">
        <v>22</v>
      </c>
      <c r="AC954" s="489">
        <v>22</v>
      </c>
      <c r="AD954" s="27">
        <v>211321</v>
      </c>
      <c r="AE954" s="27" t="s">
        <v>1373</v>
      </c>
      <c r="AF954" s="432">
        <f>VLOOKUP(AD954,[5]Hoja1!$A$10:$K$1393,11,0)</f>
        <v>-7292195</v>
      </c>
      <c r="AG954" s="432"/>
      <c r="AH954" s="432">
        <f t="shared" si="216"/>
        <v>-7292</v>
      </c>
      <c r="AL954" s="448"/>
      <c r="AM954" s="467">
        <f>VLOOKUP(AD954,[6]BV201101!$A$10:$A$1236,1,0)</f>
        <v>211321</v>
      </c>
    </row>
    <row r="955" spans="1:39" s="467" customFormat="1" ht="12.75" customHeight="1">
      <c r="A955" s="487" t="str">
        <f t="shared" si="219"/>
        <v>2</v>
      </c>
      <c r="B955" s="487" t="str">
        <f t="shared" si="170"/>
        <v>11</v>
      </c>
      <c r="C955" s="487" t="str">
        <f t="shared" si="171"/>
        <v>32</v>
      </c>
      <c r="D955" s="487" t="str">
        <f t="shared" si="172"/>
        <v>1322</v>
      </c>
      <c r="E955" s="487">
        <v>514340000</v>
      </c>
      <c r="F955" s="488"/>
      <c r="G955" s="487"/>
      <c r="H955" s="487"/>
      <c r="I955" s="488"/>
      <c r="J955" s="487"/>
      <c r="K955" s="487"/>
      <c r="L955" s="488"/>
      <c r="M955" s="489"/>
      <c r="N955" s="489"/>
      <c r="O955" s="488"/>
      <c r="P955" s="487"/>
      <c r="Q955" s="489"/>
      <c r="R955" s="592"/>
      <c r="S955" s="448"/>
      <c r="T955" s="448"/>
      <c r="U955" s="488"/>
      <c r="V955" s="489"/>
      <c r="W955" s="489"/>
      <c r="X955" s="488"/>
      <c r="Y955" s="489"/>
      <c r="Z955" s="489"/>
      <c r="AA955" s="490" t="str">
        <f>+AB955&amp;AC955</f>
        <v>229</v>
      </c>
      <c r="AB955" s="489">
        <v>22</v>
      </c>
      <c r="AC955" s="489">
        <v>9</v>
      </c>
      <c r="AD955" s="27">
        <v>211322</v>
      </c>
      <c r="AE955" s="27" t="s">
        <v>1098</v>
      </c>
      <c r="AF955" s="432">
        <f>VLOOKUP(AD955,[5]Hoja1!$A$10:$K$1393,11,0)</f>
        <v>-162075338</v>
      </c>
      <c r="AG955" s="432"/>
      <c r="AH955" s="432">
        <f t="shared" si="216"/>
        <v>-162075</v>
      </c>
      <c r="AL955" s="448"/>
      <c r="AM955" s="467">
        <f>VLOOKUP(AD955,[6]BV201101!$A$10:$A$1236,1,0)</f>
        <v>211322</v>
      </c>
    </row>
    <row r="956" spans="1:39" s="467" customFormat="1" ht="12.75" customHeight="1">
      <c r="A956" s="487" t="str">
        <f t="shared" si="219"/>
        <v>2</v>
      </c>
      <c r="B956" s="487" t="str">
        <f t="shared" si="170"/>
        <v>11</v>
      </c>
      <c r="C956" s="487" t="str">
        <f t="shared" si="171"/>
        <v>32</v>
      </c>
      <c r="D956" s="487" t="str">
        <f t="shared" si="172"/>
        <v>1323</v>
      </c>
      <c r="E956" s="487">
        <v>524470000</v>
      </c>
      <c r="F956" s="488"/>
      <c r="G956" s="489"/>
      <c r="H956" s="489"/>
      <c r="I956" s="488"/>
      <c r="J956" s="487"/>
      <c r="K956" s="487"/>
      <c r="L956" s="488"/>
      <c r="M956" s="487"/>
      <c r="N956" s="487"/>
      <c r="O956" s="488"/>
      <c r="P956" s="489"/>
      <c r="Q956" s="489"/>
      <c r="R956" s="592"/>
      <c r="S956" s="487"/>
      <c r="T956" s="487"/>
      <c r="U956" s="488"/>
      <c r="V956" s="489"/>
      <c r="W956" s="489"/>
      <c r="X956" s="488"/>
      <c r="Y956" s="489"/>
      <c r="Z956" s="489"/>
      <c r="AA956" s="490" t="str">
        <f>+AB956&amp;AC956</f>
        <v>2222</v>
      </c>
      <c r="AB956" s="489">
        <v>22</v>
      </c>
      <c r="AC956" s="489">
        <v>22</v>
      </c>
      <c r="AD956" s="27">
        <v>211323</v>
      </c>
      <c r="AE956" s="27" t="s">
        <v>2238</v>
      </c>
      <c r="AF956" s="432">
        <f>VLOOKUP(AD956,[5]Hoja1!$A$10:$K$1393,11,0)</f>
        <v>-626605</v>
      </c>
      <c r="AG956" s="432"/>
      <c r="AH956" s="432">
        <f t="shared" si="216"/>
        <v>-627</v>
      </c>
      <c r="AL956" s="448"/>
      <c r="AM956" s="467">
        <f>VLOOKUP(AD956,[6]BV201101!$A$10:$A$1236,1,0)</f>
        <v>211323</v>
      </c>
    </row>
    <row r="957" spans="1:39" s="467" customFormat="1" ht="12.75" customHeight="1">
      <c r="A957" s="487" t="str">
        <f t="shared" si="219"/>
        <v>2</v>
      </c>
      <c r="B957" s="487" t="str">
        <f t="shared" si="170"/>
        <v>11</v>
      </c>
      <c r="C957" s="487" t="str">
        <f t="shared" si="171"/>
        <v>32</v>
      </c>
      <c r="D957" s="487" t="str">
        <f t="shared" si="172"/>
        <v>1325</v>
      </c>
      <c r="E957" s="487">
        <v>524470000</v>
      </c>
      <c r="F957" s="488"/>
      <c r="G957" s="489"/>
      <c r="H957" s="489"/>
      <c r="I957" s="488"/>
      <c r="J957" s="487"/>
      <c r="K957" s="487"/>
      <c r="L957" s="488"/>
      <c r="M957" s="487"/>
      <c r="N957" s="487"/>
      <c r="O957" s="488"/>
      <c r="P957" s="489"/>
      <c r="Q957" s="489"/>
      <c r="R957" s="592"/>
      <c r="S957" s="487"/>
      <c r="T957" s="487"/>
      <c r="U957" s="488"/>
      <c r="V957" s="489"/>
      <c r="W957" s="489"/>
      <c r="X957" s="488"/>
      <c r="Y957" s="489"/>
      <c r="Z957" s="489"/>
      <c r="AA957" s="490" t="str">
        <f>+AB957&amp;AC957</f>
        <v>2222</v>
      </c>
      <c r="AB957" s="489">
        <v>22</v>
      </c>
      <c r="AC957" s="489">
        <v>22</v>
      </c>
      <c r="AD957" s="27">
        <v>211325</v>
      </c>
      <c r="AE957" s="27" t="s">
        <v>2239</v>
      </c>
      <c r="AF957" s="432">
        <f>VLOOKUP(AD957,[5]Hoja1!$A$10:$K$1393,11,0)</f>
        <v>-180868</v>
      </c>
      <c r="AG957" s="432"/>
      <c r="AH957" s="432">
        <f t="shared" si="216"/>
        <v>-181</v>
      </c>
      <c r="AL957" s="448"/>
      <c r="AM957" s="467">
        <f>VLOOKUP(AD957,[6]BV201101!$A$10:$A$1236,1,0)</f>
        <v>211325</v>
      </c>
    </row>
    <row r="958" spans="1:39" s="467" customFormat="1" ht="12.75" customHeight="1">
      <c r="A958" s="487" t="str">
        <f t="shared" si="219"/>
        <v>2</v>
      </c>
      <c r="B958" s="487" t="str">
        <f t="shared" si="170"/>
        <v>11</v>
      </c>
      <c r="C958" s="487" t="str">
        <f t="shared" si="171"/>
        <v>32</v>
      </c>
      <c r="D958" s="487" t="str">
        <f t="shared" si="172"/>
        <v>1326</v>
      </c>
      <c r="E958" s="487">
        <v>524470000</v>
      </c>
      <c r="F958" s="488" t="str">
        <f>+G958&amp;H958</f>
        <v/>
      </c>
      <c r="G958" s="487"/>
      <c r="H958" s="487"/>
      <c r="I958" s="488" t="str">
        <f>+J958&amp;K958</f>
        <v/>
      </c>
      <c r="J958" s="487"/>
      <c r="K958" s="487"/>
      <c r="L958" s="488" t="str">
        <f>+M958&amp;N958</f>
        <v/>
      </c>
      <c r="M958" s="489"/>
      <c r="N958" s="489"/>
      <c r="O958" s="488" t="str">
        <f>+P958&amp;Q958</f>
        <v/>
      </c>
      <c r="P958" s="489"/>
      <c r="Q958" s="489"/>
      <c r="R958" s="592" t="str">
        <f>+S958&amp;T958</f>
        <v/>
      </c>
      <c r="S958" s="487"/>
      <c r="T958" s="487"/>
      <c r="U958" s="488" t="str">
        <f>+V958&amp;W958</f>
        <v/>
      </c>
      <c r="V958" s="489"/>
      <c r="W958" s="489"/>
      <c r="X958" s="488" t="str">
        <f>+Y958&amp;Z958</f>
        <v/>
      </c>
      <c r="Y958" s="489"/>
      <c r="Z958" s="489"/>
      <c r="AA958" s="490" t="str">
        <f>+AB958&amp;AC958</f>
        <v>2222</v>
      </c>
      <c r="AB958" s="489">
        <v>22</v>
      </c>
      <c r="AC958" s="489">
        <v>22</v>
      </c>
      <c r="AD958" s="27">
        <v>211326</v>
      </c>
      <c r="AE958" s="27" t="s">
        <v>2240</v>
      </c>
      <c r="AF958" s="432">
        <f>VLOOKUP(AD958,[5]Hoja1!$A$10:$K$1393,11,0)</f>
        <v>-767694</v>
      </c>
      <c r="AG958" s="432"/>
      <c r="AH958" s="432">
        <f t="shared" si="216"/>
        <v>-768</v>
      </c>
      <c r="AL958" s="448"/>
      <c r="AM958" s="467">
        <f>VLOOKUP(AD958,[6]BV201101!$A$10:$A$1236,1,0)</f>
        <v>211326</v>
      </c>
    </row>
    <row r="959" spans="1:39" s="467" customFormat="1" ht="12.75" customHeight="1">
      <c r="A959" s="487" t="str">
        <f t="shared" si="219"/>
        <v>2</v>
      </c>
      <c r="B959" s="487" t="str">
        <f t="shared" si="170"/>
        <v>11</v>
      </c>
      <c r="C959" s="487" t="str">
        <f t="shared" si="171"/>
        <v>32</v>
      </c>
      <c r="D959" s="487" t="str">
        <f t="shared" si="172"/>
        <v>1327</v>
      </c>
      <c r="E959" s="487">
        <v>524410000</v>
      </c>
      <c r="F959" s="488"/>
      <c r="G959" s="487"/>
      <c r="H959" s="487"/>
      <c r="I959" s="488"/>
      <c r="J959" s="487"/>
      <c r="K959" s="487"/>
      <c r="L959" s="488"/>
      <c r="M959" s="489"/>
      <c r="N959" s="489"/>
      <c r="O959" s="488"/>
      <c r="P959" s="489"/>
      <c r="Q959" s="489"/>
      <c r="R959" s="592"/>
      <c r="S959" s="487"/>
      <c r="T959" s="487"/>
      <c r="U959" s="488"/>
      <c r="V959" s="489"/>
      <c r="W959" s="489"/>
      <c r="X959" s="488"/>
      <c r="Y959" s="489"/>
      <c r="Z959" s="489"/>
      <c r="AA959" s="490"/>
      <c r="AB959" s="489"/>
      <c r="AC959" s="489"/>
      <c r="AD959" s="27">
        <v>211327</v>
      </c>
      <c r="AE959" s="27" t="s">
        <v>3086</v>
      </c>
      <c r="AF959" s="432">
        <f>VLOOKUP(AD959,[5]Hoja1!$A$10:$K$1393,11,0)</f>
        <v>0</v>
      </c>
      <c r="AG959" s="432"/>
      <c r="AH959" s="432">
        <f t="shared" si="216"/>
        <v>0</v>
      </c>
      <c r="AL959" s="448"/>
    </row>
    <row r="960" spans="1:39" s="467" customFormat="1" ht="12.75" customHeight="1">
      <c r="A960" s="487" t="str">
        <f t="shared" si="219"/>
        <v>2</v>
      </c>
      <c r="B960" s="487" t="str">
        <f t="shared" si="170"/>
        <v>11</v>
      </c>
      <c r="C960" s="487" t="str">
        <f t="shared" si="171"/>
        <v>35</v>
      </c>
      <c r="D960" s="487" t="str">
        <f t="shared" si="172"/>
        <v>1350</v>
      </c>
      <c r="E960" s="487">
        <v>524470000</v>
      </c>
      <c r="F960" s="488"/>
      <c r="G960" s="489"/>
      <c r="H960" s="489"/>
      <c r="I960" s="488"/>
      <c r="J960" s="487"/>
      <c r="K960" s="487"/>
      <c r="L960" s="488"/>
      <c r="M960" s="487"/>
      <c r="N960" s="487"/>
      <c r="O960" s="488"/>
      <c r="P960" s="489"/>
      <c r="Q960" s="489"/>
      <c r="R960" s="592"/>
      <c r="S960" s="487"/>
      <c r="T960" s="487"/>
      <c r="U960" s="488"/>
      <c r="V960" s="489"/>
      <c r="W960" s="489"/>
      <c r="X960" s="488"/>
      <c r="Y960" s="489"/>
      <c r="Z960" s="489"/>
      <c r="AA960" s="490" t="str">
        <f t="shared" ref="AA960:AA985" si="220">+AB960&amp;AC960</f>
        <v>2222</v>
      </c>
      <c r="AB960" s="489">
        <v>22</v>
      </c>
      <c r="AC960" s="489">
        <v>22</v>
      </c>
      <c r="AD960" s="27">
        <v>211350</v>
      </c>
      <c r="AE960" s="27" t="s">
        <v>1105</v>
      </c>
      <c r="AF960" s="432">
        <f>VLOOKUP(AD960,[5]Hoja1!$A$10:$K$1393,11,0)</f>
        <v>0</v>
      </c>
      <c r="AG960" s="432">
        <f>-AG635</f>
        <v>0</v>
      </c>
      <c r="AH960" s="432">
        <f t="shared" si="216"/>
        <v>0</v>
      </c>
      <c r="AL960" s="448"/>
      <c r="AM960" s="467">
        <f>VLOOKUP(AD960,[6]BV201101!$A$10:$A$1236,1,0)</f>
        <v>211350</v>
      </c>
    </row>
    <row r="961" spans="1:39" s="467" customFormat="1" ht="12.75" customHeight="1">
      <c r="A961" s="487" t="str">
        <f t="shared" si="219"/>
        <v>2</v>
      </c>
      <c r="B961" s="487" t="str">
        <f t="shared" si="170"/>
        <v>11</v>
      </c>
      <c r="C961" s="487" t="str">
        <f t="shared" si="171"/>
        <v>35</v>
      </c>
      <c r="D961" s="487" t="str">
        <f t="shared" si="172"/>
        <v>1351</v>
      </c>
      <c r="E961" s="487">
        <v>524470000</v>
      </c>
      <c r="F961" s="488"/>
      <c r="G961" s="489"/>
      <c r="H961" s="489"/>
      <c r="I961" s="488"/>
      <c r="J961" s="487"/>
      <c r="K961" s="487"/>
      <c r="L961" s="488"/>
      <c r="M961" s="487"/>
      <c r="N961" s="487"/>
      <c r="O961" s="488"/>
      <c r="P961" s="489"/>
      <c r="Q961" s="489"/>
      <c r="R961" s="592"/>
      <c r="S961" s="487"/>
      <c r="T961" s="487"/>
      <c r="U961" s="488"/>
      <c r="V961" s="489"/>
      <c r="W961" s="489"/>
      <c r="X961" s="488"/>
      <c r="Y961" s="489"/>
      <c r="Z961" s="489"/>
      <c r="AA961" s="490" t="str">
        <f t="shared" ref="AA961:AA966" si="221">+AB961&amp;AC961</f>
        <v>2222</v>
      </c>
      <c r="AB961" s="489">
        <v>22</v>
      </c>
      <c r="AC961" s="489">
        <v>22</v>
      </c>
      <c r="AD961" s="27">
        <v>211351</v>
      </c>
      <c r="AE961" s="27" t="s">
        <v>2241</v>
      </c>
      <c r="AF961" s="432">
        <f>VLOOKUP(AD961,[5]Hoja1!$A$10:$K$1393,11,0)</f>
        <v>-191314972</v>
      </c>
      <c r="AG961" s="432"/>
      <c r="AH961" s="432">
        <f t="shared" si="216"/>
        <v>-191315</v>
      </c>
      <c r="AL961" s="448"/>
      <c r="AM961" s="467">
        <f>VLOOKUP(AD961,[6]BV201101!$A$10:$A$1236,1,0)</f>
        <v>211351</v>
      </c>
    </row>
    <row r="962" spans="1:39" s="467" customFormat="1" ht="12.75" customHeight="1">
      <c r="A962" s="487" t="str">
        <f t="shared" si="219"/>
        <v>2</v>
      </c>
      <c r="B962" s="487" t="str">
        <f t="shared" si="170"/>
        <v>11</v>
      </c>
      <c r="C962" s="487" t="str">
        <f t="shared" si="171"/>
        <v>35</v>
      </c>
      <c r="D962" s="487" t="str">
        <f t="shared" si="172"/>
        <v>1352</v>
      </c>
      <c r="E962" s="487">
        <v>514340000</v>
      </c>
      <c r="F962" s="488"/>
      <c r="G962" s="487"/>
      <c r="H962" s="487"/>
      <c r="I962" s="488"/>
      <c r="J962" s="487"/>
      <c r="K962" s="487"/>
      <c r="L962" s="488"/>
      <c r="M962" s="489"/>
      <c r="N962" s="489"/>
      <c r="O962" s="488"/>
      <c r="P962" s="487"/>
      <c r="Q962" s="489"/>
      <c r="R962" s="592"/>
      <c r="S962" s="448"/>
      <c r="T962" s="448"/>
      <c r="U962" s="488"/>
      <c r="V962" s="489"/>
      <c r="W962" s="489"/>
      <c r="X962" s="488"/>
      <c r="Y962" s="489"/>
      <c r="Z962" s="489"/>
      <c r="AA962" s="490" t="str">
        <f t="shared" si="221"/>
        <v>229</v>
      </c>
      <c r="AB962" s="489">
        <v>22</v>
      </c>
      <c r="AC962" s="489">
        <v>9</v>
      </c>
      <c r="AD962" s="27">
        <v>211352</v>
      </c>
      <c r="AE962" s="27" t="s">
        <v>173</v>
      </c>
      <c r="AF962" s="432">
        <f>VLOOKUP(AD962,[5]Hoja1!$A$10:$K$1393,11,0)</f>
        <v>0</v>
      </c>
      <c r="AG962" s="432">
        <f>-AF962</f>
        <v>0</v>
      </c>
      <c r="AH962" s="432">
        <f t="shared" si="216"/>
        <v>0</v>
      </c>
      <c r="AL962" s="448"/>
      <c r="AM962" s="467">
        <f>VLOOKUP(AD962,[6]BV201101!$A$10:$A$1236,1,0)</f>
        <v>211352</v>
      </c>
    </row>
    <row r="963" spans="1:39" s="467" customFormat="1" ht="12.75" customHeight="1">
      <c r="A963" s="487" t="str">
        <f t="shared" si="219"/>
        <v>2</v>
      </c>
      <c r="B963" s="487" t="str">
        <f t="shared" si="170"/>
        <v>11</v>
      </c>
      <c r="C963" s="487" t="str">
        <f t="shared" si="171"/>
        <v>35</v>
      </c>
      <c r="D963" s="487" t="str">
        <f t="shared" si="172"/>
        <v>1353</v>
      </c>
      <c r="E963" s="487">
        <v>524470000</v>
      </c>
      <c r="F963" s="488"/>
      <c r="G963" s="489"/>
      <c r="H963" s="489"/>
      <c r="I963" s="488"/>
      <c r="J963" s="487"/>
      <c r="K963" s="487"/>
      <c r="L963" s="488"/>
      <c r="M963" s="487"/>
      <c r="N963" s="487"/>
      <c r="O963" s="488"/>
      <c r="P963" s="489"/>
      <c r="Q963" s="489"/>
      <c r="R963" s="592"/>
      <c r="S963" s="487"/>
      <c r="T963" s="487"/>
      <c r="U963" s="488"/>
      <c r="V963" s="489"/>
      <c r="W963" s="489"/>
      <c r="X963" s="488"/>
      <c r="Y963" s="489"/>
      <c r="Z963" s="489"/>
      <c r="AA963" s="490" t="str">
        <f t="shared" si="221"/>
        <v>2222</v>
      </c>
      <c r="AB963" s="489">
        <v>22</v>
      </c>
      <c r="AC963" s="489">
        <v>22</v>
      </c>
      <c r="AD963" s="27">
        <v>211353</v>
      </c>
      <c r="AE963" s="27" t="s">
        <v>2242</v>
      </c>
      <c r="AF963" s="432">
        <f>VLOOKUP(AD963,[5]Hoja1!$A$10:$K$1393,11,0)</f>
        <v>-132985208</v>
      </c>
      <c r="AG963" s="432"/>
      <c r="AH963" s="432">
        <f t="shared" si="216"/>
        <v>-132985</v>
      </c>
      <c r="AL963" s="448"/>
      <c r="AM963" s="467">
        <f>VLOOKUP(AD963,[6]BV201101!$A$10:$A$1236,1,0)</f>
        <v>211353</v>
      </c>
    </row>
    <row r="964" spans="1:39" s="467" customFormat="1" ht="12.75" customHeight="1">
      <c r="A964" s="487" t="str">
        <f t="shared" si="219"/>
        <v>2</v>
      </c>
      <c r="B964" s="487" t="str">
        <f t="shared" si="170"/>
        <v>11</v>
      </c>
      <c r="C964" s="487" t="str">
        <f t="shared" si="171"/>
        <v>35</v>
      </c>
      <c r="D964" s="487" t="str">
        <f t="shared" si="172"/>
        <v>1354</v>
      </c>
      <c r="E964" s="487">
        <v>524470000</v>
      </c>
      <c r="F964" s="488"/>
      <c r="G964" s="489"/>
      <c r="H964" s="489"/>
      <c r="I964" s="488"/>
      <c r="J964" s="487"/>
      <c r="K964" s="487"/>
      <c r="L964" s="488"/>
      <c r="M964" s="487"/>
      <c r="N964" s="487"/>
      <c r="O964" s="488"/>
      <c r="P964" s="489"/>
      <c r="Q964" s="489"/>
      <c r="R964" s="592"/>
      <c r="S964" s="487"/>
      <c r="T964" s="487"/>
      <c r="U964" s="488"/>
      <c r="V964" s="489"/>
      <c r="W964" s="489"/>
      <c r="X964" s="488"/>
      <c r="Y964" s="489"/>
      <c r="Z964" s="489"/>
      <c r="AA964" s="490" t="str">
        <f t="shared" si="221"/>
        <v>2222</v>
      </c>
      <c r="AB964" s="489">
        <v>22</v>
      </c>
      <c r="AC964" s="489">
        <v>22</v>
      </c>
      <c r="AD964" s="27">
        <v>211354</v>
      </c>
      <c r="AE964" s="27" t="s">
        <v>2243</v>
      </c>
      <c r="AF964" s="432">
        <f>VLOOKUP(AD964,[5]Hoja1!$A$10:$K$1393,11,0)</f>
        <v>-6081138</v>
      </c>
      <c r="AG964" s="432"/>
      <c r="AH964" s="432">
        <f t="shared" si="216"/>
        <v>-6081</v>
      </c>
      <c r="AL964" s="448"/>
      <c r="AM964" s="467">
        <f>VLOOKUP(AD964,[6]BV201101!$A$10:$A$1236,1,0)</f>
        <v>211354</v>
      </c>
    </row>
    <row r="965" spans="1:39" s="467" customFormat="1" ht="12.75" customHeight="1">
      <c r="A965" s="487" t="str">
        <f t="shared" si="219"/>
        <v>2</v>
      </c>
      <c r="B965" s="487" t="str">
        <f t="shared" si="170"/>
        <v>11</v>
      </c>
      <c r="C965" s="487" t="str">
        <f t="shared" si="171"/>
        <v>35</v>
      </c>
      <c r="D965" s="487" t="str">
        <f t="shared" si="172"/>
        <v>1356</v>
      </c>
      <c r="E965" s="487">
        <v>524470000</v>
      </c>
      <c r="F965" s="488"/>
      <c r="G965" s="489"/>
      <c r="H965" s="489"/>
      <c r="I965" s="488"/>
      <c r="J965" s="487"/>
      <c r="K965" s="487"/>
      <c r="L965" s="488"/>
      <c r="M965" s="487"/>
      <c r="N965" s="487"/>
      <c r="O965" s="488"/>
      <c r="P965" s="489"/>
      <c r="Q965" s="489"/>
      <c r="R965" s="592"/>
      <c r="S965" s="487"/>
      <c r="T965" s="487"/>
      <c r="U965" s="488"/>
      <c r="V965" s="489"/>
      <c r="W965" s="489"/>
      <c r="X965" s="488"/>
      <c r="Y965" s="489"/>
      <c r="Z965" s="489"/>
      <c r="AA965" s="490" t="str">
        <f t="shared" si="221"/>
        <v>2222</v>
      </c>
      <c r="AB965" s="489">
        <v>22</v>
      </c>
      <c r="AC965" s="489">
        <v>22</v>
      </c>
      <c r="AD965" s="27">
        <v>211356</v>
      </c>
      <c r="AE965" s="27" t="s">
        <v>2244</v>
      </c>
      <c r="AF965" s="432">
        <f>VLOOKUP(AD965,[5]Hoja1!$A$10:$K$1393,11,0)</f>
        <v>0</v>
      </c>
      <c r="AG965" s="432">
        <f>+AF538</f>
        <v>0</v>
      </c>
      <c r="AH965" s="432">
        <f t="shared" si="216"/>
        <v>0</v>
      </c>
      <c r="AL965" s="448"/>
      <c r="AM965" s="467">
        <f>VLOOKUP(AD965,[6]BV201101!$A$10:$A$1236,1,0)</f>
        <v>211356</v>
      </c>
    </row>
    <row r="966" spans="1:39" s="467" customFormat="1" ht="12.75" customHeight="1">
      <c r="A966" s="487" t="str">
        <f t="shared" si="219"/>
        <v>2</v>
      </c>
      <c r="B966" s="487" t="str">
        <f t="shared" si="170"/>
        <v>11</v>
      </c>
      <c r="C966" s="487" t="str">
        <f t="shared" si="171"/>
        <v>37</v>
      </c>
      <c r="D966" s="487" t="str">
        <f t="shared" si="172"/>
        <v>1370</v>
      </c>
      <c r="E966" s="487">
        <v>524470000</v>
      </c>
      <c r="F966" s="488"/>
      <c r="G966" s="489"/>
      <c r="H966" s="489"/>
      <c r="I966" s="488"/>
      <c r="J966" s="487"/>
      <c r="K966" s="487"/>
      <c r="L966" s="488"/>
      <c r="M966" s="487"/>
      <c r="N966" s="487"/>
      <c r="O966" s="488"/>
      <c r="P966" s="489"/>
      <c r="Q966" s="489"/>
      <c r="R966" s="592"/>
      <c r="S966" s="487"/>
      <c r="T966" s="487"/>
      <c r="U966" s="674"/>
      <c r="V966" s="673"/>
      <c r="W966" s="673"/>
      <c r="X966" s="674"/>
      <c r="Y966" s="673"/>
      <c r="Z966" s="673"/>
      <c r="AA966" s="672" t="str">
        <f t="shared" si="221"/>
        <v>2222</v>
      </c>
      <c r="AB966" s="673">
        <v>22</v>
      </c>
      <c r="AC966" s="489">
        <v>22</v>
      </c>
      <c r="AD966" s="27">
        <v>211370</v>
      </c>
      <c r="AE966" s="27" t="s">
        <v>2556</v>
      </c>
      <c r="AF966" s="432">
        <f>VLOOKUP(AD966,[5]Hoja1!$A$10:$K$1393,11,0)</f>
        <v>-834478415</v>
      </c>
      <c r="AG966" s="432"/>
      <c r="AH966" s="432">
        <f t="shared" si="216"/>
        <v>-834478</v>
      </c>
      <c r="AL966" s="448"/>
      <c r="AM966" s="467">
        <f>VLOOKUP(AD966,[6]BV201101!$A$10:$A$1236,1,0)</f>
        <v>211370</v>
      </c>
    </row>
    <row r="967" spans="1:39" s="467" customFormat="1" ht="12.75" customHeight="1">
      <c r="A967" s="487" t="str">
        <f t="shared" si="219"/>
        <v>2</v>
      </c>
      <c r="B967" s="487" t="str">
        <f t="shared" si="170"/>
        <v>11</v>
      </c>
      <c r="C967" s="487" t="str">
        <f t="shared" si="171"/>
        <v>40</v>
      </c>
      <c r="D967" s="487" t="str">
        <f t="shared" si="172"/>
        <v>1402</v>
      </c>
      <c r="E967" s="487">
        <v>524470000</v>
      </c>
      <c r="F967" s="488" t="str">
        <f>+G967&amp;H967</f>
        <v/>
      </c>
      <c r="G967" s="489"/>
      <c r="H967" s="489"/>
      <c r="I967" s="488" t="str">
        <f>+J967&amp;K967</f>
        <v/>
      </c>
      <c r="J967" s="487"/>
      <c r="K967" s="487"/>
      <c r="L967" s="488" t="str">
        <f>+M967&amp;N967</f>
        <v/>
      </c>
      <c r="M967" s="487"/>
      <c r="N967" s="487"/>
      <c r="O967" s="488" t="str">
        <f>+P967&amp;Q967</f>
        <v/>
      </c>
      <c r="P967" s="489"/>
      <c r="Q967" s="489"/>
      <c r="R967" s="592" t="str">
        <f>+S967&amp;T967</f>
        <v/>
      </c>
      <c r="S967" s="487"/>
      <c r="T967" s="487"/>
      <c r="U967" s="488" t="str">
        <f>+V967&amp;W967</f>
        <v/>
      </c>
      <c r="V967" s="489"/>
      <c r="W967" s="489"/>
      <c r="X967" s="488" t="str">
        <f>+Y967&amp;Z967</f>
        <v/>
      </c>
      <c r="Y967" s="489"/>
      <c r="Z967" s="489"/>
      <c r="AA967" s="490" t="str">
        <f t="shared" si="220"/>
        <v>2222</v>
      </c>
      <c r="AB967" s="489">
        <v>22</v>
      </c>
      <c r="AC967" s="489">
        <v>22</v>
      </c>
      <c r="AD967" s="27">
        <v>211402</v>
      </c>
      <c r="AE967" s="27" t="s">
        <v>2245</v>
      </c>
      <c r="AF967" s="432">
        <f>VLOOKUP(AD967,[5]Hoja1!$A$10:$K$1393,11,0)</f>
        <v>-731850299</v>
      </c>
      <c r="AG967" s="432"/>
      <c r="AH967" s="432">
        <f t="shared" si="216"/>
        <v>-731850</v>
      </c>
      <c r="AL967" s="448"/>
      <c r="AM967" s="467">
        <f>VLOOKUP(AD967,[6]BV201101!$A$10:$A$1236,1,0)</f>
        <v>211402</v>
      </c>
    </row>
    <row r="968" spans="1:39" s="467" customFormat="1" ht="12.75" customHeight="1">
      <c r="A968" s="487" t="str">
        <f t="shared" si="219"/>
        <v>2</v>
      </c>
      <c r="B968" s="487" t="str">
        <f t="shared" ref="B968:B1026" si="222">RIGHT(LEFT($AD968,3),2)</f>
        <v>11</v>
      </c>
      <c r="C968" s="487" t="str">
        <f t="shared" ref="C968:C1026" si="223">RIGHT(LEFT($AD968,5),2)</f>
        <v>40</v>
      </c>
      <c r="D968" s="487" t="str">
        <f t="shared" ref="D968:D1026" si="224">RIGHT(LEFT($AD968,9),4)</f>
        <v>1404</v>
      </c>
      <c r="E968" s="487"/>
      <c r="F968" s="488" t="str">
        <f t="shared" ref="F968:F1025" si="225">+G968&amp;H968</f>
        <v/>
      </c>
      <c r="G968" s="489"/>
      <c r="H968" s="489"/>
      <c r="I968" s="488" t="str">
        <f t="shared" ref="I968:I1025" si="226">+J968&amp;K968</f>
        <v/>
      </c>
      <c r="J968" s="487"/>
      <c r="K968" s="487"/>
      <c r="L968" s="488" t="str">
        <f t="shared" ref="L968:L1025" si="227">+M968&amp;N968</f>
        <v/>
      </c>
      <c r="M968" s="487"/>
      <c r="N968" s="487"/>
      <c r="O968" s="488" t="str">
        <f t="shared" ref="O968:O1025" si="228">+P968&amp;Q968</f>
        <v/>
      </c>
      <c r="P968" s="489"/>
      <c r="Q968" s="489"/>
      <c r="R968" s="592" t="str">
        <f t="shared" ref="R968:R1025" si="229">+S968&amp;T968</f>
        <v/>
      </c>
      <c r="S968" s="487"/>
      <c r="T968" s="487"/>
      <c r="U968" s="488" t="str">
        <f t="shared" ref="U968:U1025" si="230">+V968&amp;W968</f>
        <v/>
      </c>
      <c r="V968" s="489"/>
      <c r="W968" s="489"/>
      <c r="X968" s="488" t="str">
        <f t="shared" ref="X968:X1025" si="231">+Y968&amp;Z968</f>
        <v/>
      </c>
      <c r="Y968" s="489"/>
      <c r="Z968" s="489"/>
      <c r="AA968" s="490" t="str">
        <f t="shared" si="220"/>
        <v/>
      </c>
      <c r="AB968" s="489"/>
      <c r="AC968" s="489"/>
      <c r="AD968" s="27">
        <v>211404</v>
      </c>
      <c r="AE968" s="27" t="s">
        <v>2246</v>
      </c>
      <c r="AF968" s="432">
        <v>0</v>
      </c>
      <c r="AG968" s="432"/>
      <c r="AH968" s="432">
        <f t="shared" si="216"/>
        <v>0</v>
      </c>
      <c r="AJ968" s="445"/>
      <c r="AK968" s="495"/>
      <c r="AL968" s="448"/>
      <c r="AM968" s="467" t="e">
        <f>VLOOKUP(AD968,[6]BV201101!$A$10:$A$1236,1,0)</f>
        <v>#N/A</v>
      </c>
    </row>
    <row r="969" spans="1:39" s="467" customFormat="1" ht="12.75" customHeight="1">
      <c r="A969" s="487" t="str">
        <f t="shared" si="219"/>
        <v>2</v>
      </c>
      <c r="B969" s="487" t="str">
        <f t="shared" si="222"/>
        <v>11</v>
      </c>
      <c r="C969" s="487" t="str">
        <f t="shared" si="223"/>
        <v>40</v>
      </c>
      <c r="D969" s="487" t="str">
        <f t="shared" si="224"/>
        <v>1408</v>
      </c>
      <c r="E969" s="487">
        <v>514340000</v>
      </c>
      <c r="F969" s="488" t="str">
        <f t="shared" si="225"/>
        <v/>
      </c>
      <c r="G969" s="489"/>
      <c r="H969" s="489"/>
      <c r="I969" s="488" t="str">
        <f t="shared" si="226"/>
        <v/>
      </c>
      <c r="J969" s="487"/>
      <c r="K969" s="487"/>
      <c r="L969" s="488" t="str">
        <f t="shared" si="227"/>
        <v/>
      </c>
      <c r="M969" s="487"/>
      <c r="N969" s="487"/>
      <c r="O969" s="488" t="str">
        <f t="shared" si="228"/>
        <v/>
      </c>
      <c r="P969" s="489"/>
      <c r="Q969" s="489"/>
      <c r="R969" s="592" t="str">
        <f t="shared" si="229"/>
        <v/>
      </c>
      <c r="S969" s="487"/>
      <c r="T969" s="487"/>
      <c r="U969" s="488" t="str">
        <f t="shared" si="230"/>
        <v/>
      </c>
      <c r="V969" s="489"/>
      <c r="W969" s="489"/>
      <c r="X969" s="488" t="str">
        <f t="shared" si="231"/>
        <v/>
      </c>
      <c r="Y969" s="489"/>
      <c r="Z969" s="489"/>
      <c r="AA969" s="490" t="str">
        <f t="shared" si="220"/>
        <v>229</v>
      </c>
      <c r="AB969" s="489">
        <v>22</v>
      </c>
      <c r="AC969" s="489">
        <v>9</v>
      </c>
      <c r="AD969" s="27">
        <v>211408</v>
      </c>
      <c r="AE969" s="27" t="s">
        <v>2247</v>
      </c>
      <c r="AF969" s="432">
        <f>VLOOKUP(AD969,[5]Hoja1!$A$10:$K$1393,11,0)</f>
        <v>-90857399</v>
      </c>
      <c r="AG969" s="1507">
        <f>-AG322-AG416+271812</f>
        <v>90857397</v>
      </c>
      <c r="AH969" s="432">
        <f t="shared" si="216"/>
        <v>0</v>
      </c>
      <c r="AI969" s="444"/>
      <c r="AJ969" s="444"/>
      <c r="AK969" s="432"/>
      <c r="AL969" s="448"/>
      <c r="AM969" s="467">
        <f>VLOOKUP(AD969,[6]BV201101!$A$10:$A$1236,1,0)</f>
        <v>211408</v>
      </c>
    </row>
    <row r="970" spans="1:39" s="467" customFormat="1" ht="12.75" customHeight="1">
      <c r="A970" s="487" t="str">
        <f t="shared" si="219"/>
        <v>2</v>
      </c>
      <c r="B970" s="487" t="str">
        <f t="shared" si="222"/>
        <v>11</v>
      </c>
      <c r="C970" s="487" t="str">
        <f t="shared" si="223"/>
        <v>41</v>
      </c>
      <c r="D970" s="487" t="str">
        <f t="shared" si="224"/>
        <v>1414</v>
      </c>
      <c r="E970" s="487">
        <v>524470000</v>
      </c>
      <c r="F970" s="488" t="str">
        <f t="shared" si="225"/>
        <v/>
      </c>
      <c r="G970" s="489"/>
      <c r="H970" s="489"/>
      <c r="I970" s="488" t="str">
        <f t="shared" si="226"/>
        <v/>
      </c>
      <c r="J970" s="487"/>
      <c r="K970" s="487"/>
      <c r="L970" s="488" t="str">
        <f t="shared" si="227"/>
        <v/>
      </c>
      <c r="M970" s="487"/>
      <c r="N970" s="487"/>
      <c r="O970" s="488" t="str">
        <f t="shared" si="228"/>
        <v/>
      </c>
      <c r="P970" s="489"/>
      <c r="Q970" s="489"/>
      <c r="R970" s="592" t="str">
        <f t="shared" si="229"/>
        <v/>
      </c>
      <c r="S970" s="487"/>
      <c r="T970" s="487"/>
      <c r="U970" s="488" t="str">
        <f t="shared" si="230"/>
        <v/>
      </c>
      <c r="V970" s="489"/>
      <c r="W970" s="489"/>
      <c r="X970" s="488" t="str">
        <f t="shared" si="231"/>
        <v/>
      </c>
      <c r="Y970" s="489"/>
      <c r="Z970" s="489"/>
      <c r="AA970" s="490" t="str">
        <f t="shared" si="220"/>
        <v>2222</v>
      </c>
      <c r="AB970" s="489">
        <v>22</v>
      </c>
      <c r="AC970" s="489">
        <v>22</v>
      </c>
      <c r="AD970" s="27">
        <v>211414</v>
      </c>
      <c r="AE970" s="27" t="s">
        <v>8</v>
      </c>
      <c r="AF970" s="432">
        <f>VLOOKUP(AD970,[5]Hoja1!$A$10:$K$1393,11,0)</f>
        <v>0</v>
      </c>
      <c r="AG970" s="444">
        <f>-AG399</f>
        <v>0</v>
      </c>
      <c r="AH970" s="432">
        <f t="shared" si="216"/>
        <v>0</v>
      </c>
      <c r="AL970" s="448"/>
      <c r="AM970" s="467">
        <f>VLOOKUP(AD970,[6]BV201101!$A$10:$A$1236,1,0)</f>
        <v>211414</v>
      </c>
    </row>
    <row r="971" spans="1:39" s="467" customFormat="1" ht="12.75" customHeight="1">
      <c r="A971" s="487" t="str">
        <f t="shared" si="219"/>
        <v>2</v>
      </c>
      <c r="B971" s="487" t="str">
        <f t="shared" si="222"/>
        <v>11</v>
      </c>
      <c r="C971" s="487" t="str">
        <f t="shared" si="223"/>
        <v>41</v>
      </c>
      <c r="D971" s="487" t="str">
        <f t="shared" si="224"/>
        <v>1415</v>
      </c>
      <c r="E971" s="487">
        <v>524410000</v>
      </c>
      <c r="F971" s="488" t="str">
        <f t="shared" si="225"/>
        <v/>
      </c>
      <c r="G971" s="489"/>
      <c r="H971" s="489"/>
      <c r="I971" s="488" t="str">
        <f t="shared" si="226"/>
        <v/>
      </c>
      <c r="J971" s="487"/>
      <c r="K971" s="487"/>
      <c r="L971" s="488" t="str">
        <f t="shared" si="227"/>
        <v/>
      </c>
      <c r="M971" s="487"/>
      <c r="N971" s="487"/>
      <c r="O971" s="488" t="str">
        <f t="shared" si="228"/>
        <v/>
      </c>
      <c r="P971" s="489"/>
      <c r="Q971" s="489"/>
      <c r="R971" s="592" t="str">
        <f t="shared" si="229"/>
        <v/>
      </c>
      <c r="S971" s="487"/>
      <c r="T971" s="487"/>
      <c r="U971" s="488" t="str">
        <f t="shared" si="230"/>
        <v/>
      </c>
      <c r="V971" s="489"/>
      <c r="W971" s="489"/>
      <c r="X971" s="488" t="str">
        <f t="shared" si="231"/>
        <v/>
      </c>
      <c r="Y971" s="489"/>
      <c r="Z971" s="489"/>
      <c r="AA971" s="490" t="str">
        <f t="shared" si="220"/>
        <v/>
      </c>
      <c r="AB971" s="489"/>
      <c r="AC971" s="489"/>
      <c r="AD971" s="27">
        <v>211415</v>
      </c>
      <c r="AE971" s="27" t="s">
        <v>369</v>
      </c>
      <c r="AF971" s="432">
        <f>VLOOKUP(AD971,[5]Hoja1!$A$10:$K$1393,11,0)</f>
        <v>-47351578</v>
      </c>
      <c r="AG971" s="1510">
        <f>-AG391-AG392</f>
        <v>47351578</v>
      </c>
      <c r="AH971" s="432">
        <f t="shared" si="216"/>
        <v>0</v>
      </c>
      <c r="AL971" s="448"/>
      <c r="AM971" s="467">
        <f>VLOOKUP(AD971,[6]BV201101!$A$10:$A$1236,1,0)</f>
        <v>211415</v>
      </c>
    </row>
    <row r="972" spans="1:39" s="467" customFormat="1" ht="12.75" customHeight="1">
      <c r="A972" s="487" t="str">
        <f t="shared" si="219"/>
        <v>2</v>
      </c>
      <c r="B972" s="487" t="str">
        <f t="shared" si="222"/>
        <v>11</v>
      </c>
      <c r="C972" s="487" t="str">
        <f t="shared" si="223"/>
        <v>42</v>
      </c>
      <c r="D972" s="487" t="str">
        <f t="shared" si="224"/>
        <v>1422</v>
      </c>
      <c r="E972" s="487">
        <v>524470000</v>
      </c>
      <c r="F972" s="488" t="str">
        <f t="shared" si="225"/>
        <v/>
      </c>
      <c r="G972" s="487"/>
      <c r="H972" s="487"/>
      <c r="I972" s="488" t="str">
        <f t="shared" si="226"/>
        <v/>
      </c>
      <c r="J972" s="487"/>
      <c r="K972" s="487"/>
      <c r="L972" s="488" t="str">
        <f t="shared" si="227"/>
        <v/>
      </c>
      <c r="M972" s="489"/>
      <c r="N972" s="489"/>
      <c r="O972" s="488" t="str">
        <f t="shared" si="228"/>
        <v/>
      </c>
      <c r="P972" s="489"/>
      <c r="Q972" s="489"/>
      <c r="R972" s="592" t="str">
        <f t="shared" si="229"/>
        <v/>
      </c>
      <c r="S972" s="487"/>
      <c r="T972" s="487"/>
      <c r="U972" s="488" t="str">
        <f t="shared" si="230"/>
        <v/>
      </c>
      <c r="V972" s="489"/>
      <c r="W972" s="489"/>
      <c r="X972" s="488" t="str">
        <f t="shared" si="231"/>
        <v/>
      </c>
      <c r="Y972" s="489"/>
      <c r="Z972" s="489"/>
      <c r="AA972" s="490" t="str">
        <f t="shared" si="220"/>
        <v>2222</v>
      </c>
      <c r="AB972" s="489">
        <v>22</v>
      </c>
      <c r="AC972" s="489">
        <v>22</v>
      </c>
      <c r="AD972" s="27">
        <v>211422</v>
      </c>
      <c r="AE972" s="27" t="s">
        <v>569</v>
      </c>
      <c r="AF972" s="432">
        <f>VLOOKUP(AD972,[5]Hoja1!$A$10:$K$1393,11,0)</f>
        <v>-134660562</v>
      </c>
      <c r="AG972" s="1510">
        <f>-AF972</f>
        <v>134660562</v>
      </c>
      <c r="AH972" s="432">
        <f t="shared" si="216"/>
        <v>0</v>
      </c>
      <c r="AL972" s="448"/>
      <c r="AM972" s="467">
        <f>VLOOKUP(AD972,[6]BV201101!$A$10:$A$1236,1,0)</f>
        <v>211422</v>
      </c>
    </row>
    <row r="973" spans="1:39" s="467" customFormat="1" ht="12.75" customHeight="1">
      <c r="A973" s="487" t="str">
        <f t="shared" si="219"/>
        <v>2</v>
      </c>
      <c r="B973" s="487" t="str">
        <f t="shared" si="222"/>
        <v>11</v>
      </c>
      <c r="C973" s="487" t="str">
        <f t="shared" si="223"/>
        <v>42</v>
      </c>
      <c r="D973" s="487" t="str">
        <f t="shared" si="224"/>
        <v>1428</v>
      </c>
      <c r="E973" s="487">
        <v>524470000</v>
      </c>
      <c r="F973" s="488" t="str">
        <f t="shared" si="225"/>
        <v/>
      </c>
      <c r="G973" s="487"/>
      <c r="H973" s="487"/>
      <c r="I973" s="488" t="str">
        <f t="shared" si="226"/>
        <v/>
      </c>
      <c r="J973" s="487"/>
      <c r="K973" s="487"/>
      <c r="L973" s="488" t="str">
        <f t="shared" si="227"/>
        <v/>
      </c>
      <c r="M973" s="489"/>
      <c r="N973" s="489"/>
      <c r="O973" s="488" t="str">
        <f t="shared" si="228"/>
        <v/>
      </c>
      <c r="P973" s="489"/>
      <c r="Q973" s="489"/>
      <c r="R973" s="592" t="str">
        <f t="shared" si="229"/>
        <v/>
      </c>
      <c r="S973" s="487"/>
      <c r="T973" s="487"/>
      <c r="U973" s="488" t="str">
        <f t="shared" si="230"/>
        <v/>
      </c>
      <c r="V973" s="489"/>
      <c r="W973" s="489"/>
      <c r="X973" s="488" t="str">
        <f t="shared" si="231"/>
        <v/>
      </c>
      <c r="Y973" s="489"/>
      <c r="Z973" s="489"/>
      <c r="AA973" s="490" t="str">
        <f t="shared" si="220"/>
        <v>2222</v>
      </c>
      <c r="AB973" s="489">
        <v>22</v>
      </c>
      <c r="AC973" s="489">
        <v>22</v>
      </c>
      <c r="AD973" s="27">
        <v>211428</v>
      </c>
      <c r="AE973" s="27" t="s">
        <v>454</v>
      </c>
      <c r="AF973" s="432">
        <v>0</v>
      </c>
      <c r="AG973" s="432"/>
      <c r="AH973" s="432">
        <f t="shared" si="216"/>
        <v>0</v>
      </c>
      <c r="AL973" s="448"/>
      <c r="AM973" s="467">
        <f>VLOOKUP(AD973,[6]BV201101!$A$10:$A$1236,1,0)</f>
        <v>211428</v>
      </c>
    </row>
    <row r="974" spans="1:39" s="467" customFormat="1" ht="12.75" customHeight="1">
      <c r="A974" s="487" t="str">
        <f t="shared" si="219"/>
        <v>2</v>
      </c>
      <c r="B974" s="487" t="str">
        <f t="shared" si="222"/>
        <v>11</v>
      </c>
      <c r="C974" s="487" t="str">
        <f t="shared" si="223"/>
        <v>43</v>
      </c>
      <c r="D974" s="487" t="str">
        <f t="shared" si="224"/>
        <v>1432</v>
      </c>
      <c r="E974" s="487">
        <v>524470000</v>
      </c>
      <c r="F974" s="488" t="str">
        <f>+G974&amp;H974</f>
        <v/>
      </c>
      <c r="G974" s="487"/>
      <c r="H974" s="487"/>
      <c r="I974" s="488" t="str">
        <f>+J974&amp;K974</f>
        <v/>
      </c>
      <c r="J974" s="487"/>
      <c r="K974" s="487"/>
      <c r="L974" s="488" t="str">
        <f>+M974&amp;N974</f>
        <v/>
      </c>
      <c r="M974" s="489"/>
      <c r="N974" s="489"/>
      <c r="O974" s="488" t="str">
        <f>+P974&amp;Q974</f>
        <v/>
      </c>
      <c r="P974" s="489"/>
      <c r="Q974" s="489"/>
      <c r="R974" s="592" t="str">
        <f>+S974&amp;T974</f>
        <v/>
      </c>
      <c r="S974" s="487"/>
      <c r="T974" s="487"/>
      <c r="U974" s="488" t="str">
        <f>+V974&amp;W974</f>
        <v/>
      </c>
      <c r="V974" s="489"/>
      <c r="W974" s="489"/>
      <c r="X974" s="488" t="str">
        <f>+Y974&amp;Z974</f>
        <v/>
      </c>
      <c r="Y974" s="489"/>
      <c r="Z974" s="489"/>
      <c r="AA974" s="490" t="str">
        <f t="shared" si="220"/>
        <v>2222</v>
      </c>
      <c r="AB974" s="489">
        <v>22</v>
      </c>
      <c r="AC974" s="489">
        <v>22</v>
      </c>
      <c r="AD974" s="27">
        <v>211432</v>
      </c>
      <c r="AE974" s="27" t="s">
        <v>1303</v>
      </c>
      <c r="AF974" s="432">
        <f>VLOOKUP(AD974,[5]Hoja1!$A$10:$K$1393,11,0)</f>
        <v>-3626869</v>
      </c>
      <c r="AG974" s="1507">
        <f>-AF974</f>
        <v>3626869</v>
      </c>
      <c r="AH974" s="432">
        <f t="shared" si="216"/>
        <v>0</v>
      </c>
      <c r="AL974" s="448"/>
      <c r="AM974" s="467">
        <f>VLOOKUP(AD974,[6]BV201101!$A$10:$A$1236,1,0)</f>
        <v>211432</v>
      </c>
    </row>
    <row r="975" spans="1:39" s="467" customFormat="1" ht="12.75" customHeight="1">
      <c r="A975" s="487" t="str">
        <f t="shared" si="219"/>
        <v>2</v>
      </c>
      <c r="B975" s="487" t="str">
        <f t="shared" si="222"/>
        <v>11</v>
      </c>
      <c r="C975" s="487" t="str">
        <f t="shared" si="223"/>
        <v>43</v>
      </c>
      <c r="D975" s="487" t="str">
        <f t="shared" si="224"/>
        <v>1433</v>
      </c>
      <c r="E975" s="487">
        <v>524470000</v>
      </c>
      <c r="F975" s="488"/>
      <c r="G975" s="487"/>
      <c r="H975" s="487"/>
      <c r="I975" s="488"/>
      <c r="J975" s="487"/>
      <c r="K975" s="487"/>
      <c r="L975" s="488"/>
      <c r="M975" s="489"/>
      <c r="N975" s="489"/>
      <c r="O975" s="488"/>
      <c r="P975" s="489"/>
      <c r="Q975" s="489"/>
      <c r="R975" s="592"/>
      <c r="S975" s="487"/>
      <c r="T975" s="487"/>
      <c r="U975" s="488"/>
      <c r="V975" s="489"/>
      <c r="W975" s="489"/>
      <c r="X975" s="488"/>
      <c r="Y975" s="489"/>
      <c r="Z975" s="489"/>
      <c r="AA975" s="490" t="str">
        <f t="shared" si="220"/>
        <v>2222</v>
      </c>
      <c r="AB975" s="489">
        <v>22</v>
      </c>
      <c r="AC975" s="489">
        <v>22</v>
      </c>
      <c r="AD975" s="27">
        <v>211433</v>
      </c>
      <c r="AE975" s="27" t="s">
        <v>198</v>
      </c>
      <c r="AF975" s="432">
        <f>VLOOKUP(AD975,[5]Hoja1!$A$10:$K$1393,11,0)</f>
        <v>-97763288</v>
      </c>
      <c r="AG975" s="432"/>
      <c r="AH975" s="432">
        <f t="shared" si="216"/>
        <v>-97763</v>
      </c>
      <c r="AL975" s="448"/>
      <c r="AM975" s="467">
        <f>VLOOKUP(AD975,[6]BV201101!$A$10:$A$1236,1,0)</f>
        <v>211433</v>
      </c>
    </row>
    <row r="976" spans="1:39" s="467" customFormat="1" ht="12.75" customHeight="1">
      <c r="A976" s="487" t="str">
        <f t="shared" si="219"/>
        <v>2</v>
      </c>
      <c r="B976" s="487" t="str">
        <f t="shared" si="222"/>
        <v>11</v>
      </c>
      <c r="C976" s="487" t="str">
        <f t="shared" si="223"/>
        <v>43</v>
      </c>
      <c r="D976" s="487" t="str">
        <f t="shared" si="224"/>
        <v>1434</v>
      </c>
      <c r="E976" s="487">
        <v>524470000</v>
      </c>
      <c r="F976" s="488"/>
      <c r="G976" s="487"/>
      <c r="H976" s="487"/>
      <c r="I976" s="488"/>
      <c r="J976" s="487"/>
      <c r="K976" s="487"/>
      <c r="L976" s="488"/>
      <c r="M976" s="489"/>
      <c r="N976" s="489"/>
      <c r="O976" s="488"/>
      <c r="P976" s="489"/>
      <c r="Q976" s="489"/>
      <c r="R976" s="592"/>
      <c r="S976" s="487"/>
      <c r="T976" s="487"/>
      <c r="U976" s="488"/>
      <c r="V976" s="489"/>
      <c r="W976" s="489"/>
      <c r="X976" s="488"/>
      <c r="Y976" s="489"/>
      <c r="Z976" s="489"/>
      <c r="AA976" s="490" t="str">
        <f>+AB976&amp;AC976</f>
        <v>2222</v>
      </c>
      <c r="AB976" s="489">
        <v>22</v>
      </c>
      <c r="AC976" s="489">
        <v>22</v>
      </c>
      <c r="AD976" s="27">
        <v>211434</v>
      </c>
      <c r="AE976" s="27" t="s">
        <v>368</v>
      </c>
      <c r="AF976" s="432">
        <f>VLOOKUP(AD976,[5]Hoja1!$A$10:$K$1393,11,0)</f>
        <v>-1276405187</v>
      </c>
      <c r="AG976" s="1507">
        <f>228350837+14363964+1019157265</f>
        <v>1261872066</v>
      </c>
      <c r="AH976" s="432">
        <f t="shared" si="216"/>
        <v>-14533</v>
      </c>
      <c r="AL976" s="448"/>
      <c r="AM976" s="467">
        <f>VLOOKUP(AD976,[6]BV201101!$A$10:$A$1236,1,0)</f>
        <v>211434</v>
      </c>
    </row>
    <row r="977" spans="1:39" s="467" customFormat="1" ht="12.75" customHeight="1">
      <c r="A977" s="487" t="str">
        <f t="shared" si="219"/>
        <v>2</v>
      </c>
      <c r="B977" s="487" t="str">
        <f t="shared" si="222"/>
        <v>11</v>
      </c>
      <c r="C977" s="487" t="str">
        <f t="shared" si="223"/>
        <v>43</v>
      </c>
      <c r="D977" s="487" t="str">
        <f t="shared" si="224"/>
        <v>1435</v>
      </c>
      <c r="E977" s="487">
        <v>514340000</v>
      </c>
      <c r="F977" s="488"/>
      <c r="G977" s="487"/>
      <c r="H977" s="487"/>
      <c r="I977" s="488"/>
      <c r="J977" s="487"/>
      <c r="K977" s="487"/>
      <c r="L977" s="488"/>
      <c r="M977" s="489"/>
      <c r="N977" s="489"/>
      <c r="O977" s="488"/>
      <c r="P977" s="489"/>
      <c r="Q977" s="489"/>
      <c r="R977" s="592"/>
      <c r="S977" s="487"/>
      <c r="T977" s="487"/>
      <c r="U977" s="488"/>
      <c r="V977" s="489"/>
      <c r="W977" s="489"/>
      <c r="X977" s="488"/>
      <c r="Y977" s="489"/>
      <c r="Z977" s="489"/>
      <c r="AA977" s="490" t="str">
        <f>+AB977&amp;AC977</f>
        <v>229</v>
      </c>
      <c r="AB977" s="489">
        <v>22</v>
      </c>
      <c r="AC977" s="489">
        <v>9</v>
      </c>
      <c r="AD977" s="27">
        <v>211435</v>
      </c>
      <c r="AE977" s="27" t="s">
        <v>2248</v>
      </c>
      <c r="AF977" s="432">
        <f>VLOOKUP(AD977,[5]Hoja1!$A$10:$K$1393,11,0)</f>
        <v>-54849782</v>
      </c>
      <c r="AG977" s="1507">
        <f>-AG324-AG325</f>
        <v>54849782</v>
      </c>
      <c r="AH977" s="432">
        <f t="shared" si="216"/>
        <v>0</v>
      </c>
      <c r="AL977" s="448"/>
      <c r="AM977" s="467">
        <f>VLOOKUP(AD977,[6]BV201101!$A$10:$A$1236,1,0)</f>
        <v>211435</v>
      </c>
    </row>
    <row r="978" spans="1:39" s="467" customFormat="1" ht="12.75" customHeight="1">
      <c r="A978" s="487" t="str">
        <f t="shared" si="219"/>
        <v>2</v>
      </c>
      <c r="B978" s="487" t="str">
        <f t="shared" si="222"/>
        <v>11</v>
      </c>
      <c r="C978" s="487" t="str">
        <f t="shared" si="223"/>
        <v>43</v>
      </c>
      <c r="D978" s="487" t="str">
        <f t="shared" si="224"/>
        <v>1436</v>
      </c>
      <c r="E978" s="487">
        <v>524450000</v>
      </c>
      <c r="F978" s="488"/>
      <c r="G978" s="487"/>
      <c r="H978" s="487"/>
      <c r="I978" s="488"/>
      <c r="J978" s="487"/>
      <c r="K978" s="487"/>
      <c r="L978" s="488"/>
      <c r="M978" s="489"/>
      <c r="N978" s="489"/>
      <c r="O978" s="488"/>
      <c r="P978" s="489"/>
      <c r="Q978" s="489"/>
      <c r="R978" s="592"/>
      <c r="S978" s="487"/>
      <c r="T978" s="487"/>
      <c r="U978" s="488"/>
      <c r="V978" s="489"/>
      <c r="W978" s="489"/>
      <c r="X978" s="488"/>
      <c r="Y978" s="489"/>
      <c r="Z978" s="489"/>
      <c r="AA978" s="490" t="str">
        <f>+AB978&amp;AC978</f>
        <v xml:space="preserve"> </v>
      </c>
      <c r="AB978" s="489" t="s">
        <v>1805</v>
      </c>
      <c r="AC978" s="489"/>
      <c r="AD978" s="27">
        <v>211436</v>
      </c>
      <c r="AE978" s="27" t="s">
        <v>2249</v>
      </c>
      <c r="AF978" s="432">
        <f>VLOOKUP(AD978,[5]Hoja1!$A$10:$K$1393,11,0)</f>
        <v>-19796741</v>
      </c>
      <c r="AG978" s="432"/>
      <c r="AH978" s="432">
        <f t="shared" si="216"/>
        <v>-19797</v>
      </c>
      <c r="AL978" s="448"/>
      <c r="AM978" s="467">
        <f>VLOOKUP(AD978,[6]BV201101!$A$10:$A$1236,1,0)</f>
        <v>211436</v>
      </c>
    </row>
    <row r="979" spans="1:39" s="467" customFormat="1" ht="12.75" customHeight="1">
      <c r="A979" s="487" t="str">
        <f t="shared" si="219"/>
        <v>2</v>
      </c>
      <c r="B979" s="487" t="str">
        <f t="shared" si="222"/>
        <v>11</v>
      </c>
      <c r="C979" s="487" t="str">
        <f t="shared" si="223"/>
        <v>43</v>
      </c>
      <c r="D979" s="487" t="str">
        <f t="shared" si="224"/>
        <v>1437</v>
      </c>
      <c r="E979" s="487">
        <v>524450000</v>
      </c>
      <c r="F979" s="488"/>
      <c r="G979" s="487"/>
      <c r="H979" s="487"/>
      <c r="I979" s="488"/>
      <c r="J979" s="487"/>
      <c r="K979" s="487"/>
      <c r="L979" s="488"/>
      <c r="M979" s="489"/>
      <c r="N979" s="489"/>
      <c r="O979" s="488"/>
      <c r="P979" s="489"/>
      <c r="Q979" s="489"/>
      <c r="R979" s="592"/>
      <c r="S979" s="487"/>
      <c r="T979" s="487"/>
      <c r="U979" s="488"/>
      <c r="V979" s="489"/>
      <c r="W979" s="489"/>
      <c r="X979" s="488"/>
      <c r="Y979" s="489"/>
      <c r="Z979" s="489"/>
      <c r="AA979" s="490" t="str">
        <f>+AB979&amp;AC979</f>
        <v xml:space="preserve"> </v>
      </c>
      <c r="AB979" s="489" t="s">
        <v>1805</v>
      </c>
      <c r="AC979" s="489"/>
      <c r="AD979" s="27">
        <v>211437</v>
      </c>
      <c r="AE979" s="27" t="s">
        <v>2250</v>
      </c>
      <c r="AF979" s="432">
        <f>VLOOKUP(AD979,[5]Hoja1!$A$10:$K$1393,11,0)</f>
        <v>-685080317</v>
      </c>
      <c r="AG979" s="432"/>
      <c r="AH979" s="432">
        <f t="shared" si="216"/>
        <v>-685080</v>
      </c>
      <c r="AL979" s="448"/>
      <c r="AM979" s="467">
        <f>VLOOKUP(AD979,[6]BV201101!$A$10:$A$1236,1,0)</f>
        <v>211437</v>
      </c>
    </row>
    <row r="980" spans="1:39" s="467" customFormat="1" ht="12.75" customHeight="1">
      <c r="A980" s="487" t="str">
        <f t="shared" si="219"/>
        <v>2</v>
      </c>
      <c r="B980" s="487" t="str">
        <f t="shared" si="222"/>
        <v>11</v>
      </c>
      <c r="C980" s="487" t="str">
        <f t="shared" si="223"/>
        <v>50</v>
      </c>
      <c r="D980" s="487" t="str">
        <f t="shared" si="224"/>
        <v>1501</v>
      </c>
      <c r="E980" s="487">
        <v>524460000</v>
      </c>
      <c r="F980" s="488" t="str">
        <f t="shared" si="225"/>
        <v/>
      </c>
      <c r="G980" s="487"/>
      <c r="H980" s="487"/>
      <c r="I980" s="488" t="str">
        <f t="shared" si="226"/>
        <v/>
      </c>
      <c r="J980" s="487"/>
      <c r="K980" s="487"/>
      <c r="L980" s="488" t="str">
        <f t="shared" si="227"/>
        <v/>
      </c>
      <c r="M980" s="489"/>
      <c r="N980" s="489"/>
      <c r="O980" s="488" t="str">
        <f t="shared" si="228"/>
        <v/>
      </c>
      <c r="P980" s="489"/>
      <c r="Q980" s="489"/>
      <c r="R980" s="592" t="str">
        <f t="shared" si="229"/>
        <v/>
      </c>
      <c r="S980" s="487"/>
      <c r="T980" s="487"/>
      <c r="U980" s="488" t="str">
        <f t="shared" si="230"/>
        <v/>
      </c>
      <c r="V980" s="489"/>
      <c r="W980" s="489"/>
      <c r="X980" s="488" t="str">
        <f t="shared" si="231"/>
        <v/>
      </c>
      <c r="Y980" s="489"/>
      <c r="Z980" s="489"/>
      <c r="AA980" s="490" t="str">
        <f t="shared" si="220"/>
        <v/>
      </c>
      <c r="AB980" s="489"/>
      <c r="AC980" s="489"/>
      <c r="AD980" s="27">
        <v>211501</v>
      </c>
      <c r="AE980" s="27" t="s">
        <v>2251</v>
      </c>
      <c r="AF980" s="432">
        <f>VLOOKUP(AD980,[5]Hoja1!$A$10:$K$1393,11,0)</f>
        <v>-1742087093</v>
      </c>
      <c r="AG980" s="432"/>
      <c r="AH980" s="432">
        <f t="shared" si="216"/>
        <v>-1742087</v>
      </c>
      <c r="AL980" s="448"/>
      <c r="AM980" s="467">
        <f>VLOOKUP(AD980,[6]BV201101!$A$10:$A$1236,1,0)</f>
        <v>211501</v>
      </c>
    </row>
    <row r="981" spans="1:39" s="467" customFormat="1" ht="12.75" customHeight="1">
      <c r="A981" s="487" t="str">
        <f t="shared" si="219"/>
        <v>2</v>
      </c>
      <c r="B981" s="487" t="str">
        <f t="shared" si="222"/>
        <v>11</v>
      </c>
      <c r="C981" s="487" t="str">
        <f t="shared" si="223"/>
        <v>50</v>
      </c>
      <c r="D981" s="487" t="str">
        <f t="shared" si="224"/>
        <v>1502</v>
      </c>
      <c r="E981" s="487"/>
      <c r="F981" s="488" t="str">
        <f t="shared" si="225"/>
        <v/>
      </c>
      <c r="G981" s="489"/>
      <c r="H981" s="489"/>
      <c r="I981" s="488" t="str">
        <f t="shared" si="226"/>
        <v/>
      </c>
      <c r="J981" s="487"/>
      <c r="K981" s="487"/>
      <c r="L981" s="488" t="str">
        <f t="shared" si="227"/>
        <v/>
      </c>
      <c r="M981" s="487"/>
      <c r="N981" s="487"/>
      <c r="O981" s="488" t="str">
        <f t="shared" si="228"/>
        <v/>
      </c>
      <c r="P981" s="489"/>
      <c r="Q981" s="489"/>
      <c r="R981" s="592" t="str">
        <f t="shared" si="229"/>
        <v/>
      </c>
      <c r="S981" s="489"/>
      <c r="T981" s="487"/>
      <c r="U981" s="488" t="str">
        <f t="shared" si="230"/>
        <v/>
      </c>
      <c r="V981" s="489"/>
      <c r="W981" s="489"/>
      <c r="X981" s="488" t="str">
        <f t="shared" si="231"/>
        <v/>
      </c>
      <c r="Y981" s="489"/>
      <c r="Z981" s="489"/>
      <c r="AA981" s="490" t="str">
        <f t="shared" si="220"/>
        <v/>
      </c>
      <c r="AB981" s="489"/>
      <c r="AC981" s="489"/>
      <c r="AD981" s="27">
        <v>211502</v>
      </c>
      <c r="AE981" s="27" t="s">
        <v>2252</v>
      </c>
      <c r="AF981" s="432">
        <v>0</v>
      </c>
      <c r="AG981" s="432"/>
      <c r="AH981" s="432">
        <f t="shared" si="216"/>
        <v>0</v>
      </c>
      <c r="AJ981" s="445"/>
      <c r="AL981" s="448"/>
      <c r="AM981" s="467" t="e">
        <f>VLOOKUP(AD981,[6]BV201101!$A$10:$A$1236,1,0)</f>
        <v>#N/A</v>
      </c>
    </row>
    <row r="982" spans="1:39" s="467" customFormat="1" ht="12.75" customHeight="1">
      <c r="A982" s="487" t="str">
        <f t="shared" si="219"/>
        <v>2</v>
      </c>
      <c r="B982" s="487" t="str">
        <f t="shared" si="222"/>
        <v>11</v>
      </c>
      <c r="C982" s="487" t="str">
        <f t="shared" si="223"/>
        <v>60</v>
      </c>
      <c r="D982" s="487" t="str">
        <f t="shared" si="224"/>
        <v>1601</v>
      </c>
      <c r="E982" s="487">
        <v>522200000</v>
      </c>
      <c r="F982" s="488" t="str">
        <f t="shared" si="225"/>
        <v/>
      </c>
      <c r="G982" s="489"/>
      <c r="H982" s="489"/>
      <c r="I982" s="488" t="str">
        <f t="shared" si="226"/>
        <v/>
      </c>
      <c r="J982" s="487"/>
      <c r="K982" s="487"/>
      <c r="L982" s="488" t="str">
        <f t="shared" si="227"/>
        <v/>
      </c>
      <c r="M982" s="487"/>
      <c r="N982" s="487"/>
      <c r="O982" s="488" t="str">
        <f t="shared" si="228"/>
        <v/>
      </c>
      <c r="P982" s="489"/>
      <c r="Q982" s="489"/>
      <c r="R982" s="592" t="str">
        <f t="shared" si="229"/>
        <v/>
      </c>
      <c r="S982" s="489"/>
      <c r="T982" s="487"/>
      <c r="U982" s="488" t="str">
        <f t="shared" si="230"/>
        <v/>
      </c>
      <c r="V982" s="489"/>
      <c r="W982" s="489"/>
      <c r="X982" s="488" t="str">
        <f t="shared" si="231"/>
        <v/>
      </c>
      <c r="Y982" s="489"/>
      <c r="Z982" s="489"/>
      <c r="AA982" s="490" t="str">
        <f t="shared" si="220"/>
        <v>2219</v>
      </c>
      <c r="AB982" s="489">
        <v>22</v>
      </c>
      <c r="AC982" s="489">
        <v>19</v>
      </c>
      <c r="AD982" s="27">
        <v>211601</v>
      </c>
      <c r="AE982" s="27" t="s">
        <v>2253</v>
      </c>
      <c r="AF982" s="432">
        <v>0</v>
      </c>
      <c r="AG982" s="432">
        <f>-AF982</f>
        <v>0</v>
      </c>
      <c r="AH982" s="432">
        <f t="shared" si="216"/>
        <v>0</v>
      </c>
      <c r="AL982" s="448"/>
      <c r="AM982" s="467" t="e">
        <f>VLOOKUP(AD982,[6]BV201101!$A$10:$A$1236,1,0)</f>
        <v>#N/A</v>
      </c>
    </row>
    <row r="983" spans="1:39" s="467" customFormat="1" ht="12.75" customHeight="1">
      <c r="A983" s="487" t="str">
        <f t="shared" si="219"/>
        <v>2</v>
      </c>
      <c r="B983" s="487" t="str">
        <f t="shared" si="222"/>
        <v>11</v>
      </c>
      <c r="C983" s="487" t="str">
        <f t="shared" si="223"/>
        <v>60</v>
      </c>
      <c r="D983" s="487" t="str">
        <f t="shared" si="224"/>
        <v>1602</v>
      </c>
      <c r="E983" s="487">
        <v>522200000</v>
      </c>
      <c r="F983" s="488" t="str">
        <f t="shared" si="225"/>
        <v/>
      </c>
      <c r="G983" s="489"/>
      <c r="H983" s="489"/>
      <c r="I983" s="488" t="str">
        <f t="shared" si="226"/>
        <v/>
      </c>
      <c r="J983" s="487"/>
      <c r="K983" s="487"/>
      <c r="L983" s="488" t="str">
        <f t="shared" si="227"/>
        <v/>
      </c>
      <c r="M983" s="487"/>
      <c r="N983" s="487"/>
      <c r="O983" s="488" t="str">
        <f t="shared" si="228"/>
        <v/>
      </c>
      <c r="P983" s="489"/>
      <c r="Q983" s="489"/>
      <c r="R983" s="592" t="str">
        <f t="shared" si="229"/>
        <v/>
      </c>
      <c r="S983" s="489"/>
      <c r="T983" s="487"/>
      <c r="U983" s="488" t="str">
        <f t="shared" si="230"/>
        <v/>
      </c>
      <c r="V983" s="489"/>
      <c r="W983" s="489"/>
      <c r="X983" s="488" t="str">
        <f t="shared" si="231"/>
        <v/>
      </c>
      <c r="Y983" s="489"/>
      <c r="Z983" s="489"/>
      <c r="AA983" s="490" t="str">
        <f t="shared" si="220"/>
        <v>2220</v>
      </c>
      <c r="AB983" s="489">
        <v>22</v>
      </c>
      <c r="AC983" s="489">
        <v>20</v>
      </c>
      <c r="AD983" s="27">
        <v>211602</v>
      </c>
      <c r="AE983" s="27" t="s">
        <v>2254</v>
      </c>
      <c r="AF983" s="432">
        <v>0</v>
      </c>
      <c r="AG983" s="432"/>
      <c r="AH983" s="432">
        <f t="shared" si="216"/>
        <v>0</v>
      </c>
      <c r="AI983" s="445"/>
      <c r="AL983" s="448"/>
      <c r="AM983" s="467" t="e">
        <f>VLOOKUP(AD983,[6]BV201101!$A$10:$A$1236,1,0)</f>
        <v>#N/A</v>
      </c>
    </row>
    <row r="984" spans="1:39" s="467" customFormat="1" ht="12.75" customHeight="1">
      <c r="A984" s="487" t="str">
        <f t="shared" si="219"/>
        <v>2</v>
      </c>
      <c r="B984" s="487" t="str">
        <f t="shared" si="222"/>
        <v>11</v>
      </c>
      <c r="C984" s="487" t="str">
        <f t="shared" si="223"/>
        <v>60</v>
      </c>
      <c r="D984" s="487" t="str">
        <f t="shared" si="224"/>
        <v>1603</v>
      </c>
      <c r="E984" s="487">
        <v>522200000</v>
      </c>
      <c r="F984" s="488" t="str">
        <f t="shared" si="225"/>
        <v/>
      </c>
      <c r="G984" s="489"/>
      <c r="H984" s="489"/>
      <c r="I984" s="488" t="str">
        <f t="shared" si="226"/>
        <v/>
      </c>
      <c r="J984" s="487"/>
      <c r="K984" s="487"/>
      <c r="L984" s="488" t="str">
        <f t="shared" si="227"/>
        <v/>
      </c>
      <c r="M984" s="487"/>
      <c r="N984" s="487"/>
      <c r="O984" s="488" t="str">
        <f t="shared" si="228"/>
        <v/>
      </c>
      <c r="P984" s="489"/>
      <c r="Q984" s="489"/>
      <c r="R984" s="592" t="str">
        <f t="shared" si="229"/>
        <v/>
      </c>
      <c r="S984" s="489"/>
      <c r="T984" s="487"/>
      <c r="U984" s="488" t="str">
        <f t="shared" si="230"/>
        <v/>
      </c>
      <c r="V984" s="489"/>
      <c r="W984" s="489"/>
      <c r="X984" s="488" t="str">
        <f t="shared" si="231"/>
        <v/>
      </c>
      <c r="Y984" s="489"/>
      <c r="Z984" s="489"/>
      <c r="AA984" s="490" t="str">
        <f t="shared" si="220"/>
        <v>22201</v>
      </c>
      <c r="AB984" s="489">
        <v>22</v>
      </c>
      <c r="AC984" s="489">
        <v>201</v>
      </c>
      <c r="AD984" s="27">
        <v>211603</v>
      </c>
      <c r="AE984" s="27" t="s">
        <v>2255</v>
      </c>
      <c r="AF984" s="432">
        <v>0</v>
      </c>
      <c r="AG984" s="432"/>
      <c r="AH984" s="432">
        <f t="shared" ref="AH984:AH1051" si="232">ROUND((AF984+AG984)/$AH$2,0)</f>
        <v>0</v>
      </c>
      <c r="AL984" s="448"/>
      <c r="AM984" s="467" t="e">
        <f>VLOOKUP(AD984,[6]BV201101!$A$10:$A$1236,1,0)</f>
        <v>#N/A</v>
      </c>
    </row>
    <row r="985" spans="1:39" s="467" customFormat="1" ht="12.75" customHeight="1">
      <c r="A985" s="487" t="str">
        <f t="shared" si="219"/>
        <v>2</v>
      </c>
      <c r="B985" s="487" t="str">
        <f t="shared" si="222"/>
        <v>11</v>
      </c>
      <c r="C985" s="487" t="str">
        <f t="shared" si="223"/>
        <v>70</v>
      </c>
      <c r="D985" s="487" t="str">
        <f t="shared" si="224"/>
        <v>1701</v>
      </c>
      <c r="E985" s="487">
        <v>524450000</v>
      </c>
      <c r="F985" s="488" t="str">
        <f t="shared" si="225"/>
        <v/>
      </c>
      <c r="G985" s="489"/>
      <c r="H985" s="489"/>
      <c r="I985" s="488" t="str">
        <f t="shared" si="226"/>
        <v/>
      </c>
      <c r="J985" s="487"/>
      <c r="K985" s="487"/>
      <c r="L985" s="488" t="str">
        <f t="shared" si="227"/>
        <v/>
      </c>
      <c r="M985" s="487"/>
      <c r="N985" s="487"/>
      <c r="O985" s="488" t="str">
        <f t="shared" si="228"/>
        <v/>
      </c>
      <c r="P985" s="489"/>
      <c r="Q985" s="489"/>
      <c r="R985" s="592" t="str">
        <f t="shared" si="229"/>
        <v/>
      </c>
      <c r="S985" s="487"/>
      <c r="T985" s="487"/>
      <c r="U985" s="488" t="str">
        <f t="shared" si="230"/>
        <v/>
      </c>
      <c r="V985" s="489"/>
      <c r="W985" s="489"/>
      <c r="X985" s="488" t="str">
        <f t="shared" si="231"/>
        <v/>
      </c>
      <c r="Y985" s="489"/>
      <c r="Z985" s="489"/>
      <c r="AA985" s="490" t="str">
        <f t="shared" si="220"/>
        <v/>
      </c>
      <c r="AB985" s="489"/>
      <c r="AC985" s="489"/>
      <c r="AD985" s="27">
        <v>211701</v>
      </c>
      <c r="AE985" s="27" t="s">
        <v>77</v>
      </c>
      <c r="AF985" s="432">
        <f>VLOOKUP(AD985,[5]Hoja1!$A$10:$K$1393,11,0)</f>
        <v>0</v>
      </c>
      <c r="AG985" s="432"/>
      <c r="AH985" s="432">
        <f t="shared" si="232"/>
        <v>0</v>
      </c>
      <c r="AI985" s="445"/>
      <c r="AL985" s="448"/>
      <c r="AM985" s="467">
        <f>VLOOKUP(AD985,[6]BV201101!$A$10:$A$1236,1,0)</f>
        <v>211701</v>
      </c>
    </row>
    <row r="986" spans="1:39" s="467" customFormat="1" ht="12.75" customHeight="1">
      <c r="A986" s="487" t="str">
        <f t="shared" si="219"/>
        <v>2</v>
      </c>
      <c r="B986" s="487" t="str">
        <f t="shared" si="222"/>
        <v>11</v>
      </c>
      <c r="C986" s="487" t="str">
        <f t="shared" si="223"/>
        <v>70</v>
      </c>
      <c r="D986" s="487" t="str">
        <f t="shared" si="224"/>
        <v>1702</v>
      </c>
      <c r="E986" s="487">
        <v>524450000</v>
      </c>
      <c r="F986" s="488"/>
      <c r="G986" s="489"/>
      <c r="H986" s="489"/>
      <c r="I986" s="488"/>
      <c r="J986" s="487"/>
      <c r="K986" s="487"/>
      <c r="L986" s="488"/>
      <c r="M986" s="487"/>
      <c r="N986" s="487"/>
      <c r="O986" s="488"/>
      <c r="P986" s="489"/>
      <c r="Q986" s="489"/>
      <c r="R986" s="592"/>
      <c r="S986" s="487"/>
      <c r="T986" s="487"/>
      <c r="U986" s="488"/>
      <c r="V986" s="489"/>
      <c r="W986" s="489"/>
      <c r="X986" s="488"/>
      <c r="Y986" s="489"/>
      <c r="Z986" s="489"/>
      <c r="AA986" s="490"/>
      <c r="AB986" s="489"/>
      <c r="AC986" s="489"/>
      <c r="AD986" s="27">
        <v>211702</v>
      </c>
      <c r="AE986" s="27" t="s">
        <v>436</v>
      </c>
      <c r="AF986" s="432">
        <f>VLOOKUP(AD986,[5]Hoja1!$A$10:$K$1393,11,0)</f>
        <v>0</v>
      </c>
      <c r="AG986" s="432"/>
      <c r="AH986" s="432">
        <f t="shared" si="232"/>
        <v>0</v>
      </c>
      <c r="AI986" s="445"/>
      <c r="AL986" s="448"/>
      <c r="AM986" s="467">
        <f>VLOOKUP(AD986,[6]BV201101!$A$10:$A$1236,1,0)</f>
        <v>211702</v>
      </c>
    </row>
    <row r="987" spans="1:39" s="467" customFormat="1" ht="12.75" customHeight="1">
      <c r="A987" s="487" t="str">
        <f t="shared" si="219"/>
        <v>2</v>
      </c>
      <c r="B987" s="487"/>
      <c r="C987" s="487"/>
      <c r="D987" s="487"/>
      <c r="E987" s="487"/>
      <c r="F987" s="488"/>
      <c r="G987" s="489"/>
      <c r="H987" s="489"/>
      <c r="I987" s="488"/>
      <c r="J987" s="487"/>
      <c r="K987" s="487"/>
      <c r="L987" s="488"/>
      <c r="M987" s="487"/>
      <c r="N987" s="487"/>
      <c r="O987" s="488"/>
      <c r="P987" s="489"/>
      <c r="Q987" s="489"/>
      <c r="R987" s="592"/>
      <c r="S987" s="487"/>
      <c r="T987" s="487"/>
      <c r="U987" s="488"/>
      <c r="V987" s="489"/>
      <c r="W987" s="489"/>
      <c r="X987" s="488"/>
      <c r="Y987" s="489"/>
      <c r="Z987" s="489"/>
      <c r="AA987" s="490"/>
      <c r="AB987" s="489"/>
      <c r="AC987" s="489"/>
      <c r="AD987" s="27">
        <v>211711</v>
      </c>
      <c r="AE987" s="27" t="s">
        <v>13</v>
      </c>
      <c r="AF987" s="432">
        <v>0</v>
      </c>
      <c r="AG987" s="432"/>
      <c r="AH987" s="432">
        <f t="shared" si="232"/>
        <v>0</v>
      </c>
      <c r="AI987" s="445"/>
      <c r="AL987" s="448"/>
      <c r="AM987" s="467" t="e">
        <f>VLOOKUP(AD987,[6]BV201101!$A$10:$A$1236,1,0)</f>
        <v>#N/A</v>
      </c>
    </row>
    <row r="988" spans="1:39" s="467" customFormat="1" ht="12.75" customHeight="1">
      <c r="A988" s="487" t="str">
        <f t="shared" si="219"/>
        <v>2</v>
      </c>
      <c r="B988" s="487" t="str">
        <f t="shared" si="222"/>
        <v>11</v>
      </c>
      <c r="C988" s="487" t="str">
        <f t="shared" si="223"/>
        <v>71</v>
      </c>
      <c r="D988" s="487" t="str">
        <f t="shared" si="224"/>
        <v>1712</v>
      </c>
      <c r="E988" s="487">
        <v>524440000</v>
      </c>
      <c r="F988" s="488"/>
      <c r="G988" s="489"/>
      <c r="H988" s="489"/>
      <c r="I988" s="488"/>
      <c r="J988" s="487"/>
      <c r="K988" s="487"/>
      <c r="L988" s="488"/>
      <c r="M988" s="487"/>
      <c r="N988" s="487"/>
      <c r="O988" s="488"/>
      <c r="P988" s="489"/>
      <c r="Q988" s="489"/>
      <c r="R988" s="592"/>
      <c r="S988" s="487"/>
      <c r="T988" s="487"/>
      <c r="U988" s="488"/>
      <c r="V988" s="489"/>
      <c r="W988" s="489"/>
      <c r="X988" s="488"/>
      <c r="Y988" s="489"/>
      <c r="Z988" s="489"/>
      <c r="AA988" s="490" t="str">
        <f>+AB988&amp;AC988</f>
        <v>2222</v>
      </c>
      <c r="AB988" s="489">
        <v>22</v>
      </c>
      <c r="AC988" s="489">
        <v>22</v>
      </c>
      <c r="AD988" s="27">
        <v>211712</v>
      </c>
      <c r="AE988" s="27" t="s">
        <v>2256</v>
      </c>
      <c r="AF988" s="432">
        <f>VLOOKUP(AD988,[5]Hoja1!$A$10:$K$1393,11,0)</f>
        <v>-656400353</v>
      </c>
      <c r="AG988" s="432"/>
      <c r="AH988" s="432">
        <f t="shared" si="232"/>
        <v>-656400</v>
      </c>
      <c r="AI988" s="445"/>
      <c r="AL988" s="448"/>
      <c r="AM988" s="467">
        <f>VLOOKUP(AD988,[6]BV201101!$A$10:$A$1236,1,0)</f>
        <v>211712</v>
      </c>
    </row>
    <row r="989" spans="1:39" s="467" customFormat="1" ht="12.75" customHeight="1">
      <c r="A989" s="487" t="str">
        <f t="shared" si="219"/>
        <v>2</v>
      </c>
      <c r="B989" s="487" t="str">
        <f t="shared" si="222"/>
        <v>11</v>
      </c>
      <c r="C989" s="487" t="str">
        <f t="shared" si="223"/>
        <v>80</v>
      </c>
      <c r="D989" s="487" t="str">
        <f t="shared" si="224"/>
        <v>1801</v>
      </c>
      <c r="E989" s="487"/>
      <c r="F989" s="488" t="str">
        <f t="shared" si="225"/>
        <v/>
      </c>
      <c r="G989" s="489"/>
      <c r="H989" s="489"/>
      <c r="I989" s="488" t="str">
        <f t="shared" si="226"/>
        <v/>
      </c>
      <c r="J989" s="487"/>
      <c r="K989" s="487"/>
      <c r="L989" s="488" t="str">
        <f t="shared" si="227"/>
        <v/>
      </c>
      <c r="M989" s="487"/>
      <c r="N989" s="487"/>
      <c r="O989" s="488" t="str">
        <f t="shared" si="228"/>
        <v/>
      </c>
      <c r="P989" s="489"/>
      <c r="Q989" s="489"/>
      <c r="R989" s="592" t="str">
        <f t="shared" si="229"/>
        <v/>
      </c>
      <c r="S989" s="489"/>
      <c r="T989" s="487"/>
      <c r="U989" s="488" t="str">
        <f t="shared" si="230"/>
        <v/>
      </c>
      <c r="V989" s="489"/>
      <c r="W989" s="489"/>
      <c r="X989" s="488" t="str">
        <f t="shared" si="231"/>
        <v/>
      </c>
      <c r="Y989" s="489"/>
      <c r="Z989" s="489"/>
      <c r="AA989" s="490" t="str">
        <f t="shared" ref="AA989:AA1006" si="233">+AB989&amp;AC989</f>
        <v/>
      </c>
      <c r="AB989" s="489"/>
      <c r="AC989" s="489"/>
      <c r="AD989" s="27">
        <v>211801</v>
      </c>
      <c r="AE989" s="27" t="s">
        <v>2257</v>
      </c>
      <c r="AF989" s="432">
        <f>VLOOKUP(AD989,[5]Hoja1!$A$10:$K$1393,11,0)</f>
        <v>0</v>
      </c>
      <c r="AG989" s="432"/>
      <c r="AH989" s="432">
        <f t="shared" si="232"/>
        <v>0</v>
      </c>
      <c r="AL989" s="448"/>
      <c r="AM989" s="467">
        <f>VLOOKUP(AD989,[6]BV201101!$A$10:$A$1236,1,0)</f>
        <v>211801</v>
      </c>
    </row>
    <row r="990" spans="1:39" s="467" customFormat="1" ht="12.75" customHeight="1">
      <c r="A990" s="487" t="str">
        <f t="shared" si="219"/>
        <v>2</v>
      </c>
      <c r="B990" s="487" t="str">
        <f t="shared" si="222"/>
        <v>11</v>
      </c>
      <c r="C990" s="487" t="str">
        <f t="shared" si="223"/>
        <v>80</v>
      </c>
      <c r="D990" s="487" t="str">
        <f t="shared" si="224"/>
        <v>1802</v>
      </c>
      <c r="E990" s="487">
        <v>524470000</v>
      </c>
      <c r="F990" s="488" t="str">
        <f t="shared" si="225"/>
        <v/>
      </c>
      <c r="G990" s="489"/>
      <c r="H990" s="489"/>
      <c r="I990" s="488" t="str">
        <f t="shared" si="226"/>
        <v/>
      </c>
      <c r="J990" s="487"/>
      <c r="K990" s="487"/>
      <c r="L990" s="488" t="str">
        <f t="shared" si="227"/>
        <v/>
      </c>
      <c r="M990" s="487"/>
      <c r="N990" s="487"/>
      <c r="O990" s="488" t="str">
        <f t="shared" si="228"/>
        <v/>
      </c>
      <c r="P990" s="489"/>
      <c r="Q990" s="489"/>
      <c r="R990" s="592" t="str">
        <f t="shared" si="229"/>
        <v/>
      </c>
      <c r="S990" s="489"/>
      <c r="T990" s="487"/>
      <c r="U990" s="488" t="str">
        <f t="shared" si="230"/>
        <v/>
      </c>
      <c r="V990" s="489"/>
      <c r="W990" s="489"/>
      <c r="X990" s="488" t="str">
        <f t="shared" si="231"/>
        <v/>
      </c>
      <c r="Y990" s="489"/>
      <c r="Z990" s="489"/>
      <c r="AA990" s="490" t="str">
        <f t="shared" si="233"/>
        <v>22223</v>
      </c>
      <c r="AB990" s="489">
        <v>22</v>
      </c>
      <c r="AC990" s="489">
        <v>223</v>
      </c>
      <c r="AD990" s="27">
        <v>211802</v>
      </c>
      <c r="AE990" s="27" t="s">
        <v>2258</v>
      </c>
      <c r="AF990" s="432">
        <f>VLOOKUP(AD990,[5]Hoja1!$A$10:$K$1393,11,0)</f>
        <v>0</v>
      </c>
      <c r="AG990" s="432">
        <v>0</v>
      </c>
      <c r="AH990" s="432">
        <f t="shared" si="232"/>
        <v>0</v>
      </c>
      <c r="AL990" s="448"/>
      <c r="AM990" s="467">
        <f>VLOOKUP(AD990,[6]BV201101!$A$10:$A$1236,1,0)</f>
        <v>211802</v>
      </c>
    </row>
    <row r="991" spans="1:39" s="467" customFormat="1" ht="12.75" customHeight="1">
      <c r="A991" s="487" t="str">
        <f t="shared" si="219"/>
        <v>2</v>
      </c>
      <c r="B991" s="487" t="str">
        <f t="shared" si="222"/>
        <v>11</v>
      </c>
      <c r="C991" s="487" t="str">
        <f t="shared" si="223"/>
        <v>80</v>
      </c>
      <c r="D991" s="487" t="str">
        <f t="shared" si="224"/>
        <v>1805</v>
      </c>
      <c r="E991" s="487">
        <v>524470000</v>
      </c>
      <c r="F991" s="488"/>
      <c r="G991" s="489"/>
      <c r="H991" s="489"/>
      <c r="I991" s="488"/>
      <c r="J991" s="487"/>
      <c r="K991" s="487"/>
      <c r="L991" s="488"/>
      <c r="M991" s="487"/>
      <c r="N991" s="487"/>
      <c r="O991" s="488"/>
      <c r="P991" s="489"/>
      <c r="Q991" s="489"/>
      <c r="R991" s="592"/>
      <c r="S991" s="489"/>
      <c r="T991" s="487"/>
      <c r="U991" s="488"/>
      <c r="V991" s="489"/>
      <c r="W991" s="489"/>
      <c r="X991" s="488"/>
      <c r="Y991" s="489"/>
      <c r="Z991" s="489"/>
      <c r="AA991" s="490" t="str">
        <f>+AB991&amp;AC991</f>
        <v>2222</v>
      </c>
      <c r="AB991" s="489">
        <v>22</v>
      </c>
      <c r="AC991" s="489">
        <v>22</v>
      </c>
      <c r="AD991" s="27">
        <v>211805</v>
      </c>
      <c r="AE991" s="27" t="s">
        <v>2259</v>
      </c>
      <c r="AF991" s="432">
        <f>VLOOKUP(AD991,[5]Hoja1!$A$10:$K$1393,11,0)</f>
        <v>0</v>
      </c>
      <c r="AG991" s="432"/>
      <c r="AH991" s="432">
        <f t="shared" si="232"/>
        <v>0</v>
      </c>
      <c r="AL991" s="448"/>
      <c r="AM991" s="467">
        <f>VLOOKUP(AD991,[6]BV201101!$A$10:$A$1236,1,0)</f>
        <v>211805</v>
      </c>
    </row>
    <row r="992" spans="1:39" s="467" customFormat="1" ht="12.75" customHeight="1">
      <c r="A992" s="487" t="str">
        <f t="shared" si="219"/>
        <v>2</v>
      </c>
      <c r="B992" s="487" t="str">
        <f t="shared" si="222"/>
        <v>11</v>
      </c>
      <c r="C992" s="487" t="str">
        <f t="shared" si="223"/>
        <v>80</v>
      </c>
      <c r="D992" s="487" t="str">
        <f t="shared" si="224"/>
        <v>1806</v>
      </c>
      <c r="E992" s="487">
        <v>524470000</v>
      </c>
      <c r="F992" s="674"/>
      <c r="G992" s="673"/>
      <c r="H992" s="673"/>
      <c r="I992" s="674"/>
      <c r="J992" s="590"/>
      <c r="K992" s="590"/>
      <c r="L992" s="674"/>
      <c r="M992" s="590"/>
      <c r="N992" s="590"/>
      <c r="O992" s="674"/>
      <c r="P992" s="673"/>
      <c r="Q992" s="673"/>
      <c r="R992" s="675"/>
      <c r="S992" s="673"/>
      <c r="T992" s="487"/>
      <c r="U992" s="674"/>
      <c r="V992" s="673"/>
      <c r="W992" s="673"/>
      <c r="X992" s="674"/>
      <c r="Y992" s="673"/>
      <c r="Z992" s="673"/>
      <c r="AA992" s="672" t="str">
        <f>+AB992&amp;AC992</f>
        <v>2222</v>
      </c>
      <c r="AB992" s="673">
        <v>22</v>
      </c>
      <c r="AC992" s="489">
        <v>22</v>
      </c>
      <c r="AD992" s="27">
        <v>211806</v>
      </c>
      <c r="AE992" s="27" t="s">
        <v>2257</v>
      </c>
      <c r="AF992" s="432">
        <f>VLOOKUP(AD992,[5]Hoja1!$A$10:$K$1393,11,0)</f>
        <v>-10608142</v>
      </c>
      <c r="AG992" s="432"/>
      <c r="AH992" s="432">
        <f t="shared" si="232"/>
        <v>-10608</v>
      </c>
      <c r="AL992" s="448"/>
      <c r="AM992" s="467">
        <f>VLOOKUP(AD992,[6]BV201101!$A$10:$A$1236,1,0)</f>
        <v>211806</v>
      </c>
    </row>
    <row r="993" spans="1:39" s="467" customFormat="1" ht="12.75" customHeight="1">
      <c r="A993" s="487" t="str">
        <f t="shared" si="219"/>
        <v>2</v>
      </c>
      <c r="B993" s="487" t="str">
        <f t="shared" si="222"/>
        <v>11</v>
      </c>
      <c r="C993" s="487" t="str">
        <f t="shared" si="223"/>
        <v>80</v>
      </c>
      <c r="D993" s="487" t="str">
        <f t="shared" si="224"/>
        <v>1807</v>
      </c>
      <c r="E993" s="487">
        <v>524470000</v>
      </c>
      <c r="F993" s="674"/>
      <c r="G993" s="673"/>
      <c r="H993" s="673"/>
      <c r="I993" s="674"/>
      <c r="J993" s="590"/>
      <c r="K993" s="590"/>
      <c r="L993" s="674"/>
      <c r="M993" s="590"/>
      <c r="N993" s="590"/>
      <c r="O993" s="674"/>
      <c r="P993" s="673"/>
      <c r="Q993" s="673"/>
      <c r="R993" s="675"/>
      <c r="S993" s="673"/>
      <c r="T993" s="487"/>
      <c r="U993" s="674"/>
      <c r="V993" s="673"/>
      <c r="W993" s="673"/>
      <c r="X993" s="674"/>
      <c r="Y993" s="673"/>
      <c r="Z993" s="673"/>
      <c r="AA993" s="672"/>
      <c r="AB993" s="673"/>
      <c r="AC993" s="489"/>
      <c r="AD993" s="927">
        <v>211807</v>
      </c>
      <c r="AE993" s="27" t="s">
        <v>2707</v>
      </c>
      <c r="AF993" s="432">
        <f>VLOOKUP(AD993,[5]Hoja1!$A$10:$K$1393,11,0)</f>
        <v>-1314925518</v>
      </c>
      <c r="AG993" s="432"/>
      <c r="AH993" s="432">
        <f t="shared" si="232"/>
        <v>-1314926</v>
      </c>
      <c r="AL993" s="448"/>
    </row>
    <row r="994" spans="1:39" s="467" customFormat="1" ht="12.75" customHeight="1">
      <c r="A994" s="487" t="str">
        <f t="shared" si="219"/>
        <v>2</v>
      </c>
      <c r="B994" s="487" t="str">
        <f t="shared" si="222"/>
        <v>11</v>
      </c>
      <c r="C994" s="487" t="str">
        <f t="shared" si="223"/>
        <v>81</v>
      </c>
      <c r="D994" s="487" t="str">
        <f t="shared" si="224"/>
        <v>1810</v>
      </c>
      <c r="E994" s="487">
        <v>524470000</v>
      </c>
      <c r="F994" s="488" t="str">
        <f>+G994&amp;H994</f>
        <v/>
      </c>
      <c r="G994" s="489"/>
      <c r="H994" s="489"/>
      <c r="I994" s="488" t="str">
        <f>+J994&amp;K994</f>
        <v/>
      </c>
      <c r="J994" s="487"/>
      <c r="K994" s="487"/>
      <c r="L994" s="488" t="str">
        <f>+M994&amp;N994</f>
        <v/>
      </c>
      <c r="M994" s="487"/>
      <c r="N994" s="487"/>
      <c r="O994" s="488" t="str">
        <f>+P994&amp;Q994</f>
        <v/>
      </c>
      <c r="P994" s="489"/>
      <c r="Q994" s="489"/>
      <c r="R994" s="592" t="str">
        <f>+S994&amp;T994</f>
        <v/>
      </c>
      <c r="S994" s="489"/>
      <c r="T994" s="487"/>
      <c r="U994" s="488" t="str">
        <f>+V994&amp;W994</f>
        <v/>
      </c>
      <c r="V994" s="489"/>
      <c r="W994" s="489"/>
      <c r="X994" s="488" t="str">
        <f>+Y994&amp;Z994</f>
        <v/>
      </c>
      <c r="Y994" s="489"/>
      <c r="Z994" s="489"/>
      <c r="AA994" s="490" t="str">
        <f t="shared" si="233"/>
        <v>2222</v>
      </c>
      <c r="AB994" s="489">
        <v>22</v>
      </c>
      <c r="AC994" s="489">
        <v>22</v>
      </c>
      <c r="AD994" s="27">
        <v>211810</v>
      </c>
      <c r="AE994" s="27" t="s">
        <v>2260</v>
      </c>
      <c r="AF994" s="432">
        <f>VLOOKUP(AD994,[5]Hoja1!$A$10:$K$1393,11,0)</f>
        <v>-7642999</v>
      </c>
      <c r="AG994" s="432"/>
      <c r="AH994" s="432">
        <f t="shared" si="232"/>
        <v>-7643</v>
      </c>
      <c r="AL994" s="448"/>
      <c r="AM994" s="467">
        <f>VLOOKUP(AD994,[6]BV201101!$A$10:$A$1236,1,0)</f>
        <v>211810</v>
      </c>
    </row>
    <row r="995" spans="1:39" s="467" customFormat="1" ht="12.75" customHeight="1">
      <c r="A995" s="487" t="str">
        <f t="shared" si="219"/>
        <v>2</v>
      </c>
      <c r="B995" s="487" t="str">
        <f t="shared" si="222"/>
        <v>11</v>
      </c>
      <c r="C995" s="487" t="str">
        <f t="shared" si="223"/>
        <v>81</v>
      </c>
      <c r="D995" s="487" t="str">
        <f t="shared" si="224"/>
        <v>1811</v>
      </c>
      <c r="E995" s="487">
        <v>524470000</v>
      </c>
      <c r="F995" s="488"/>
      <c r="G995" s="489"/>
      <c r="H995" s="489"/>
      <c r="I995" s="488"/>
      <c r="J995" s="487"/>
      <c r="K995" s="487"/>
      <c r="L995" s="488"/>
      <c r="M995" s="487"/>
      <c r="N995" s="487"/>
      <c r="O995" s="488"/>
      <c r="P995" s="489"/>
      <c r="Q995" s="489"/>
      <c r="R995" s="592"/>
      <c r="S995" s="489"/>
      <c r="T995" s="487"/>
      <c r="U995" s="488"/>
      <c r="V995" s="489"/>
      <c r="W995" s="489"/>
      <c r="X995" s="488"/>
      <c r="Y995" s="489"/>
      <c r="Z995" s="489"/>
      <c r="AA995" s="490"/>
      <c r="AB995" s="489"/>
      <c r="AC995" s="489"/>
      <c r="AD995" s="927">
        <v>211811</v>
      </c>
      <c r="AE995" s="27" t="s">
        <v>2708</v>
      </c>
      <c r="AF995" s="432">
        <f>VLOOKUP(AD995,[5]Hoja1!$A$10:$K$1393,11,0)</f>
        <v>-580156544</v>
      </c>
      <c r="AG995" s="432"/>
      <c r="AH995" s="432">
        <f t="shared" si="232"/>
        <v>-580157</v>
      </c>
      <c r="AL995" s="448"/>
    </row>
    <row r="996" spans="1:39" s="467" customFormat="1" ht="12.75" customHeight="1">
      <c r="A996" s="487" t="str">
        <f t="shared" si="219"/>
        <v>2</v>
      </c>
      <c r="B996" s="487" t="str">
        <f t="shared" si="222"/>
        <v>11</v>
      </c>
      <c r="C996" s="487" t="str">
        <f t="shared" si="223"/>
        <v>81</v>
      </c>
      <c r="D996" s="487" t="str">
        <f t="shared" si="224"/>
        <v>1819</v>
      </c>
      <c r="E996" s="487">
        <v>524470000</v>
      </c>
      <c r="F996" s="488"/>
      <c r="G996" s="489"/>
      <c r="H996" s="489"/>
      <c r="I996" s="488"/>
      <c r="J996" s="487"/>
      <c r="K996" s="487"/>
      <c r="L996" s="488"/>
      <c r="M996" s="487"/>
      <c r="N996" s="487"/>
      <c r="O996" s="488"/>
      <c r="P996" s="489"/>
      <c r="Q996" s="489"/>
      <c r="R996" s="592"/>
      <c r="S996" s="489"/>
      <c r="T996" s="487"/>
      <c r="U996" s="488"/>
      <c r="V996" s="489"/>
      <c r="W996" s="489"/>
      <c r="X996" s="488"/>
      <c r="Y996" s="489"/>
      <c r="Z996" s="489"/>
      <c r="AA996" s="490"/>
      <c r="AB996" s="489"/>
      <c r="AC996" s="489"/>
      <c r="AD996" s="927">
        <v>211819</v>
      </c>
      <c r="AE996" s="1021" t="s">
        <v>3529</v>
      </c>
      <c r="AF996" s="432">
        <f>VLOOKUP(AD996,[5]Hoja1!$A$10:$K$1393,11,0)</f>
        <v>-397556</v>
      </c>
      <c r="AG996" s="432"/>
      <c r="AH996" s="432">
        <f t="shared" si="232"/>
        <v>-398</v>
      </c>
      <c r="AL996" s="448"/>
    </row>
    <row r="997" spans="1:39" s="467" customFormat="1" ht="12.75" customHeight="1">
      <c r="A997" s="487" t="str">
        <f t="shared" si="219"/>
        <v>2</v>
      </c>
      <c r="B997" s="487" t="str">
        <f t="shared" si="222"/>
        <v>11</v>
      </c>
      <c r="C997" s="487" t="str">
        <f t="shared" si="223"/>
        <v>89</v>
      </c>
      <c r="D997" s="487" t="str">
        <f t="shared" si="224"/>
        <v>1898</v>
      </c>
      <c r="E997" s="487">
        <v>524470000</v>
      </c>
      <c r="F997" s="488"/>
      <c r="G997" s="489"/>
      <c r="H997" s="489"/>
      <c r="I997" s="488"/>
      <c r="J997" s="487"/>
      <c r="K997" s="487"/>
      <c r="L997" s="488"/>
      <c r="M997" s="487"/>
      <c r="N997" s="487"/>
      <c r="O997" s="488"/>
      <c r="P997" s="489"/>
      <c r="Q997" s="489"/>
      <c r="R997" s="592"/>
      <c r="S997" s="489"/>
      <c r="T997" s="487"/>
      <c r="U997" s="488"/>
      <c r="V997" s="489"/>
      <c r="W997" s="489"/>
      <c r="X997" s="488"/>
      <c r="Y997" s="489"/>
      <c r="Z997" s="489"/>
      <c r="AA997" s="490"/>
      <c r="AB997" s="489"/>
      <c r="AC997" s="489"/>
      <c r="AD997" s="27">
        <v>211898</v>
      </c>
      <c r="AE997" s="27" t="s">
        <v>3464</v>
      </c>
      <c r="AF997" s="432">
        <f>VLOOKUP(AD997,[5]Hoja1!$A$10:$K$1393,11,0)</f>
        <v>0</v>
      </c>
      <c r="AG997" s="432"/>
      <c r="AH997" s="432">
        <f t="shared" si="232"/>
        <v>0</v>
      </c>
      <c r="AL997" s="448"/>
    </row>
    <row r="998" spans="1:39" s="467" customFormat="1" ht="12.75" customHeight="1">
      <c r="A998" s="487" t="str">
        <f t="shared" si="219"/>
        <v>2</v>
      </c>
      <c r="B998" s="487" t="str">
        <f t="shared" si="222"/>
        <v>11</v>
      </c>
      <c r="C998" s="487" t="str">
        <f t="shared" si="223"/>
        <v>89</v>
      </c>
      <c r="D998" s="487" t="str">
        <f t="shared" si="224"/>
        <v>1899</v>
      </c>
      <c r="E998" s="487">
        <v>524470000</v>
      </c>
      <c r="F998" s="488"/>
      <c r="G998" s="489"/>
      <c r="H998" s="489"/>
      <c r="I998" s="488"/>
      <c r="J998" s="487"/>
      <c r="K998" s="487"/>
      <c r="L998" s="488"/>
      <c r="M998" s="487"/>
      <c r="N998" s="487"/>
      <c r="O998" s="488"/>
      <c r="P998" s="489"/>
      <c r="Q998" s="489"/>
      <c r="R998" s="592"/>
      <c r="S998" s="489"/>
      <c r="T998" s="487"/>
      <c r="U998" s="488"/>
      <c r="V998" s="489"/>
      <c r="W998" s="489"/>
      <c r="X998" s="488"/>
      <c r="Y998" s="489"/>
      <c r="Z998" s="489"/>
      <c r="AA998" s="490"/>
      <c r="AB998" s="489"/>
      <c r="AC998" s="489"/>
      <c r="AD998" s="27">
        <v>211899</v>
      </c>
      <c r="AE998" s="27" t="s">
        <v>3465</v>
      </c>
      <c r="AF998" s="432">
        <f>VLOOKUP(AD998,[5]Hoja1!$A$10:$K$1393,11,0)</f>
        <v>0</v>
      </c>
      <c r="AG998" s="432"/>
      <c r="AH998" s="432">
        <f t="shared" si="232"/>
        <v>0</v>
      </c>
      <c r="AL998" s="448"/>
    </row>
    <row r="999" spans="1:39" s="467" customFormat="1" ht="12.75" customHeight="1">
      <c r="A999" s="487" t="str">
        <f t="shared" si="219"/>
        <v>2</v>
      </c>
      <c r="B999" s="487" t="str">
        <f t="shared" si="222"/>
        <v>11</v>
      </c>
      <c r="C999" s="487" t="str">
        <f t="shared" si="223"/>
        <v>90</v>
      </c>
      <c r="D999" s="487" t="str">
        <f t="shared" si="224"/>
        <v>1901</v>
      </c>
      <c r="E999" s="487">
        <v>524470000</v>
      </c>
      <c r="F999" s="488" t="str">
        <f t="shared" si="225"/>
        <v/>
      </c>
      <c r="G999" s="489"/>
      <c r="H999" s="489"/>
      <c r="I999" s="488" t="str">
        <f t="shared" si="226"/>
        <v/>
      </c>
      <c r="J999" s="487"/>
      <c r="K999" s="487"/>
      <c r="L999" s="488" t="str">
        <f t="shared" si="227"/>
        <v/>
      </c>
      <c r="M999" s="487"/>
      <c r="N999" s="487"/>
      <c r="O999" s="488" t="str">
        <f t="shared" si="228"/>
        <v/>
      </c>
      <c r="P999" s="489"/>
      <c r="Q999" s="489"/>
      <c r="R999" s="592" t="str">
        <f t="shared" si="229"/>
        <v/>
      </c>
      <c r="S999" s="489"/>
      <c r="T999" s="487"/>
      <c r="U999" s="488" t="str">
        <f t="shared" si="230"/>
        <v/>
      </c>
      <c r="V999" s="489"/>
      <c r="W999" s="489"/>
      <c r="X999" s="488" t="str">
        <f t="shared" si="231"/>
        <v/>
      </c>
      <c r="Y999" s="489"/>
      <c r="Z999" s="489"/>
      <c r="AA999" s="490" t="str">
        <f t="shared" si="233"/>
        <v>2222</v>
      </c>
      <c r="AB999" s="489">
        <v>22</v>
      </c>
      <c r="AC999" s="489">
        <v>22</v>
      </c>
      <c r="AD999" s="27">
        <v>211901</v>
      </c>
      <c r="AE999" s="27" t="s">
        <v>455</v>
      </c>
      <c r="AF999" s="432">
        <f>VLOOKUP(AD999,[5]Hoja1!$A$10:$K$1393,11,0)</f>
        <v>-356018979</v>
      </c>
      <c r="AG999" s="432"/>
      <c r="AH999" s="432">
        <f t="shared" si="232"/>
        <v>-356019</v>
      </c>
      <c r="AL999" s="448"/>
      <c r="AM999" s="467">
        <f>VLOOKUP(AD999,[6]BV201101!$A$10:$A$1236,1,0)</f>
        <v>211901</v>
      </c>
    </row>
    <row r="1000" spans="1:39" s="467" customFormat="1" ht="12.75" customHeight="1">
      <c r="A1000" s="487" t="str">
        <f t="shared" si="219"/>
        <v>2</v>
      </c>
      <c r="B1000" s="487" t="str">
        <f t="shared" si="222"/>
        <v>12</v>
      </c>
      <c r="C1000" s="487" t="str">
        <f t="shared" si="223"/>
        <v>00</v>
      </c>
      <c r="D1000" s="487" t="str">
        <f t="shared" si="224"/>
        <v>2001</v>
      </c>
      <c r="E1000" s="487">
        <v>521110000</v>
      </c>
      <c r="F1000" s="488" t="str">
        <f t="shared" si="225"/>
        <v/>
      </c>
      <c r="G1000" s="489"/>
      <c r="H1000" s="489"/>
      <c r="I1000" s="488" t="str">
        <f t="shared" si="226"/>
        <v/>
      </c>
      <c r="J1000" s="487"/>
      <c r="K1000" s="487"/>
      <c r="L1000" s="488" t="str">
        <f t="shared" si="227"/>
        <v/>
      </c>
      <c r="M1000" s="487"/>
      <c r="N1000" s="487"/>
      <c r="O1000" s="488" t="str">
        <f t="shared" si="228"/>
        <v>695210000421</v>
      </c>
      <c r="P1000" s="489">
        <v>695210000</v>
      </c>
      <c r="Q1000" s="489">
        <v>421</v>
      </c>
      <c r="R1000" s="592" t="str">
        <f t="shared" si="229"/>
        <v/>
      </c>
      <c r="S1000" s="489"/>
      <c r="T1000" s="487"/>
      <c r="U1000" s="488" t="str">
        <f t="shared" si="230"/>
        <v/>
      </c>
      <c r="V1000" s="489"/>
      <c r="W1000" s="489"/>
      <c r="X1000" s="488" t="str">
        <f t="shared" si="231"/>
        <v/>
      </c>
      <c r="Y1000" s="489"/>
      <c r="Z1000" s="489"/>
      <c r="AA1000" s="490" t="str">
        <f t="shared" si="233"/>
        <v>1021</v>
      </c>
      <c r="AB1000" s="489">
        <v>10</v>
      </c>
      <c r="AC1000" s="489">
        <v>21</v>
      </c>
      <c r="AD1000" s="27">
        <v>212001</v>
      </c>
      <c r="AE1000" s="27" t="s">
        <v>2261</v>
      </c>
      <c r="AF1000" s="432">
        <f>VLOOKUP(AD1000,[5]Hoja1!$A$10:$K$1393,11,0)</f>
        <v>-1178736649030</v>
      </c>
      <c r="AG1000" s="432"/>
      <c r="AH1000" s="432">
        <f t="shared" si="232"/>
        <v>-1178736649</v>
      </c>
      <c r="AL1000" s="448"/>
      <c r="AM1000" s="467">
        <f>VLOOKUP(AD1000,[6]BV201101!$A$10:$A$1236,1,0)</f>
        <v>212001</v>
      </c>
    </row>
    <row r="1001" spans="1:39" s="467" customFormat="1" ht="12.75" customHeight="1">
      <c r="A1001" s="487" t="str">
        <f t="shared" si="219"/>
        <v>2</v>
      </c>
      <c r="B1001" s="487" t="str">
        <f t="shared" si="222"/>
        <v>12</v>
      </c>
      <c r="C1001" s="487" t="str">
        <f t="shared" si="223"/>
        <v>00</v>
      </c>
      <c r="D1001" s="487" t="str">
        <f t="shared" si="224"/>
        <v>2002</v>
      </c>
      <c r="E1001" s="487">
        <v>521110000</v>
      </c>
      <c r="F1001" s="488" t="str">
        <f t="shared" si="225"/>
        <v/>
      </c>
      <c r="G1001" s="489"/>
      <c r="H1001" s="489"/>
      <c r="I1001" s="488" t="str">
        <f t="shared" si="226"/>
        <v/>
      </c>
      <c r="J1001" s="487"/>
      <c r="K1001" s="487"/>
      <c r="L1001" s="488" t="str">
        <f t="shared" si="227"/>
        <v/>
      </c>
      <c r="M1001" s="487"/>
      <c r="N1001" s="487"/>
      <c r="O1001" s="488" t="str">
        <f t="shared" si="228"/>
        <v>695210000422</v>
      </c>
      <c r="P1001" s="489">
        <v>695210000</v>
      </c>
      <c r="Q1001" s="489">
        <v>422</v>
      </c>
      <c r="R1001" s="592" t="str">
        <f t="shared" si="229"/>
        <v/>
      </c>
      <c r="S1001" s="487"/>
      <c r="T1001" s="487"/>
      <c r="U1001" s="488" t="str">
        <f t="shared" si="230"/>
        <v/>
      </c>
      <c r="V1001" s="489"/>
      <c r="W1001" s="489"/>
      <c r="X1001" s="488" t="str">
        <f t="shared" si="231"/>
        <v/>
      </c>
      <c r="Y1001" s="489"/>
      <c r="Z1001" s="489"/>
      <c r="AA1001" s="490" t="str">
        <f t="shared" si="233"/>
        <v>1021</v>
      </c>
      <c r="AB1001" s="489">
        <v>10</v>
      </c>
      <c r="AC1001" s="489">
        <v>21</v>
      </c>
      <c r="AD1001" s="27">
        <v>212002</v>
      </c>
      <c r="AE1001" s="27" t="s">
        <v>2262</v>
      </c>
      <c r="AF1001" s="432">
        <f>VLOOKUP(AD1001,[5]Hoja1!$A$10:$K$1393,11,0)</f>
        <v>-265830842163</v>
      </c>
      <c r="AG1001" s="432"/>
      <c r="AH1001" s="432">
        <f t="shared" si="232"/>
        <v>-265830842</v>
      </c>
      <c r="AL1001" s="448"/>
      <c r="AM1001" s="467">
        <f>VLOOKUP(AD1001,[6]BV201101!$A$10:$A$1236,1,0)</f>
        <v>212002</v>
      </c>
    </row>
    <row r="1002" spans="1:39" s="467" customFormat="1" ht="12.75" customHeight="1">
      <c r="A1002" s="487" t="str">
        <f t="shared" si="219"/>
        <v>2</v>
      </c>
      <c r="B1002" s="487" t="str">
        <f t="shared" si="222"/>
        <v>12</v>
      </c>
      <c r="C1002" s="487" t="str">
        <f t="shared" si="223"/>
        <v>00</v>
      </c>
      <c r="D1002" s="487" t="str">
        <f t="shared" si="224"/>
        <v>2003</v>
      </c>
      <c r="E1002" s="487">
        <v>521110000</v>
      </c>
      <c r="F1002" s="488" t="str">
        <f t="shared" si="225"/>
        <v/>
      </c>
      <c r="G1002" s="489"/>
      <c r="H1002" s="489"/>
      <c r="I1002" s="488" t="str">
        <f t="shared" si="226"/>
        <v/>
      </c>
      <c r="J1002" s="487"/>
      <c r="K1002" s="487"/>
      <c r="L1002" s="488" t="str">
        <f t="shared" si="227"/>
        <v/>
      </c>
      <c r="M1002" s="487"/>
      <c r="N1002" s="487"/>
      <c r="O1002" s="488" t="str">
        <f t="shared" si="228"/>
        <v>695210000423</v>
      </c>
      <c r="P1002" s="489">
        <v>695210000</v>
      </c>
      <c r="Q1002" s="489">
        <v>423</v>
      </c>
      <c r="R1002" s="592" t="str">
        <f t="shared" si="229"/>
        <v/>
      </c>
      <c r="S1002" s="487"/>
      <c r="T1002" s="487"/>
      <c r="U1002" s="488" t="str">
        <f t="shared" si="230"/>
        <v/>
      </c>
      <c r="V1002" s="489"/>
      <c r="W1002" s="489"/>
      <c r="X1002" s="488" t="str">
        <f t="shared" si="231"/>
        <v/>
      </c>
      <c r="Y1002" s="489"/>
      <c r="Z1002" s="489"/>
      <c r="AA1002" s="490" t="str">
        <f t="shared" si="233"/>
        <v>1021</v>
      </c>
      <c r="AB1002" s="489">
        <v>10</v>
      </c>
      <c r="AC1002" s="489">
        <v>21</v>
      </c>
      <c r="AD1002" s="27">
        <v>212003</v>
      </c>
      <c r="AE1002" s="27" t="s">
        <v>2263</v>
      </c>
      <c r="AF1002" s="432">
        <f>VLOOKUP(AD1002,[5]Hoja1!$A$10:$K$1393,11,0)</f>
        <v>-158300891704</v>
      </c>
      <c r="AG1002" s="432"/>
      <c r="AH1002" s="432">
        <f t="shared" si="232"/>
        <v>-158300892</v>
      </c>
      <c r="AL1002" s="448"/>
      <c r="AM1002" s="467">
        <f>VLOOKUP(AD1002,[6]BV201101!$A$10:$A$1236,1,0)</f>
        <v>212003</v>
      </c>
    </row>
    <row r="1003" spans="1:39" s="467" customFormat="1" ht="12.75" customHeight="1">
      <c r="A1003" s="487" t="str">
        <f t="shared" si="219"/>
        <v>2</v>
      </c>
      <c r="B1003" s="487" t="str">
        <f t="shared" si="222"/>
        <v>12</v>
      </c>
      <c r="C1003" s="487" t="str">
        <f t="shared" si="223"/>
        <v>00</v>
      </c>
      <c r="D1003" s="487" t="str">
        <f t="shared" si="224"/>
        <v>2004</v>
      </c>
      <c r="E1003" s="487">
        <v>521240000</v>
      </c>
      <c r="F1003" s="488" t="str">
        <f t="shared" si="225"/>
        <v/>
      </c>
      <c r="G1003" s="489"/>
      <c r="H1003" s="489"/>
      <c r="I1003" s="488" t="str">
        <f t="shared" si="226"/>
        <v/>
      </c>
      <c r="J1003" s="487"/>
      <c r="K1003" s="487"/>
      <c r="L1003" s="488" t="str">
        <f t="shared" si="227"/>
        <v/>
      </c>
      <c r="M1003" s="487"/>
      <c r="N1003" s="487"/>
      <c r="O1003" s="488" t="str">
        <f t="shared" si="228"/>
        <v>695210000105</v>
      </c>
      <c r="P1003" s="489">
        <v>695210000</v>
      </c>
      <c r="Q1003" s="489">
        <v>105</v>
      </c>
      <c r="R1003" s="592" t="str">
        <f t="shared" si="229"/>
        <v/>
      </c>
      <c r="S1003" s="487"/>
      <c r="T1003" s="487"/>
      <c r="U1003" s="488" t="str">
        <f t="shared" si="230"/>
        <v/>
      </c>
      <c r="V1003" s="489"/>
      <c r="W1003" s="489"/>
      <c r="X1003" s="488" t="str">
        <f t="shared" si="231"/>
        <v/>
      </c>
      <c r="Y1003" s="489"/>
      <c r="Z1003" s="489"/>
      <c r="AA1003" s="490" t="str">
        <f t="shared" si="233"/>
        <v>1025</v>
      </c>
      <c r="AB1003" s="489">
        <v>10</v>
      </c>
      <c r="AC1003" s="489">
        <v>25</v>
      </c>
      <c r="AD1003" s="27">
        <v>212004</v>
      </c>
      <c r="AE1003" s="27" t="s">
        <v>2264</v>
      </c>
      <c r="AF1003" s="432">
        <f>VLOOKUP(AD1003,[5]Hoja1!$A$10:$K$1393,11,0)</f>
        <v>-19284701373</v>
      </c>
      <c r="AG1003" s="432"/>
      <c r="AH1003" s="432">
        <f t="shared" si="232"/>
        <v>-19284701</v>
      </c>
      <c r="AL1003" s="448"/>
      <c r="AM1003" s="467">
        <f>VLOOKUP(AD1003,[6]BV201101!$A$10:$A$1236,1,0)</f>
        <v>212004</v>
      </c>
    </row>
    <row r="1004" spans="1:39" s="467" customFormat="1" ht="12.75" customHeight="1">
      <c r="A1004" s="487" t="str">
        <f t="shared" si="219"/>
        <v>2</v>
      </c>
      <c r="B1004" s="487" t="str">
        <f t="shared" si="222"/>
        <v>12</v>
      </c>
      <c r="C1004" s="487" t="str">
        <f t="shared" si="223"/>
        <v>00</v>
      </c>
      <c r="D1004" s="487" t="str">
        <f t="shared" si="224"/>
        <v>2005</v>
      </c>
      <c r="E1004" s="487">
        <v>521110000</v>
      </c>
      <c r="F1004" s="488" t="str">
        <f t="shared" si="225"/>
        <v/>
      </c>
      <c r="G1004" s="489"/>
      <c r="H1004" s="489"/>
      <c r="I1004" s="488" t="str">
        <f t="shared" si="226"/>
        <v/>
      </c>
      <c r="J1004" s="487"/>
      <c r="K1004" s="487"/>
      <c r="L1004" s="488" t="str">
        <f t="shared" si="227"/>
        <v/>
      </c>
      <c r="M1004" s="487"/>
      <c r="N1004" s="487"/>
      <c r="O1004" s="488" t="str">
        <f t="shared" si="228"/>
        <v>695210000421</v>
      </c>
      <c r="P1004" s="489">
        <v>695210000</v>
      </c>
      <c r="Q1004" s="489">
        <v>421</v>
      </c>
      <c r="R1004" s="592" t="str">
        <f t="shared" si="229"/>
        <v/>
      </c>
      <c r="S1004" s="487"/>
      <c r="T1004" s="487"/>
      <c r="U1004" s="488" t="str">
        <f t="shared" si="230"/>
        <v/>
      </c>
      <c r="V1004" s="489"/>
      <c r="W1004" s="489"/>
      <c r="X1004" s="488" t="str">
        <f t="shared" si="231"/>
        <v/>
      </c>
      <c r="Y1004" s="489"/>
      <c r="Z1004" s="489"/>
      <c r="AA1004" s="490" t="str">
        <f t="shared" si="233"/>
        <v>1021</v>
      </c>
      <c r="AB1004" s="489">
        <v>10</v>
      </c>
      <c r="AC1004" s="489">
        <v>21</v>
      </c>
      <c r="AD1004" s="27">
        <v>212005</v>
      </c>
      <c r="AE1004" s="27" t="s">
        <v>2265</v>
      </c>
      <c r="AF1004" s="432">
        <f>VLOOKUP(AD1004,[5]Hoja1!$A$10:$K$1393,11,0)</f>
        <v>0</v>
      </c>
      <c r="AG1004" s="432">
        <f>-AF1004</f>
        <v>0</v>
      </c>
      <c r="AH1004" s="432">
        <f t="shared" si="232"/>
        <v>0</v>
      </c>
      <c r="AL1004" s="448"/>
      <c r="AM1004" s="467">
        <f>VLOOKUP(AD1004,[6]BV201101!$A$10:$A$1236,1,0)</f>
        <v>212005</v>
      </c>
    </row>
    <row r="1005" spans="1:39" s="467" customFormat="1" ht="12.75" customHeight="1">
      <c r="A1005" s="487" t="str">
        <f t="shared" ref="A1005:A1070" si="234">+LEFT($AD1005,1)</f>
        <v>2</v>
      </c>
      <c r="B1005" s="487" t="str">
        <f t="shared" si="222"/>
        <v>12</v>
      </c>
      <c r="C1005" s="487" t="str">
        <f t="shared" si="223"/>
        <v>00</v>
      </c>
      <c r="D1005" s="487" t="str">
        <f t="shared" si="224"/>
        <v>2006</v>
      </c>
      <c r="E1005" s="487">
        <v>521110000</v>
      </c>
      <c r="F1005" s="488" t="str">
        <f t="shared" si="225"/>
        <v/>
      </c>
      <c r="G1005" s="489"/>
      <c r="H1005" s="489"/>
      <c r="I1005" s="488" t="str">
        <f t="shared" si="226"/>
        <v/>
      </c>
      <c r="J1005" s="487"/>
      <c r="K1005" s="487"/>
      <c r="L1005" s="488" t="str">
        <f t="shared" si="227"/>
        <v/>
      </c>
      <c r="M1005" s="487"/>
      <c r="N1005" s="487"/>
      <c r="O1005" s="488" t="str">
        <f t="shared" si="228"/>
        <v>695210000424</v>
      </c>
      <c r="P1005" s="489">
        <v>695210000</v>
      </c>
      <c r="Q1005" s="489">
        <v>424</v>
      </c>
      <c r="R1005" s="592" t="str">
        <f t="shared" si="229"/>
        <v/>
      </c>
      <c r="S1005" s="487"/>
      <c r="T1005" s="487"/>
      <c r="U1005" s="488" t="str">
        <f t="shared" si="230"/>
        <v/>
      </c>
      <c r="V1005" s="489"/>
      <c r="W1005" s="489"/>
      <c r="X1005" s="488" t="str">
        <f t="shared" si="231"/>
        <v/>
      </c>
      <c r="Y1005" s="489"/>
      <c r="Z1005" s="489"/>
      <c r="AA1005" s="490" t="str">
        <f t="shared" si="233"/>
        <v>10251</v>
      </c>
      <c r="AB1005" s="489">
        <v>10</v>
      </c>
      <c r="AC1005" s="489">
        <v>251</v>
      </c>
      <c r="AD1005" s="27">
        <v>212006</v>
      </c>
      <c r="AE1005" s="27" t="s">
        <v>456</v>
      </c>
      <c r="AF1005" s="432">
        <f>VLOOKUP(AD1005,[5]Hoja1!$A$10:$K$1393,11,0)</f>
        <v>-16984573859</v>
      </c>
      <c r="AG1005" s="432"/>
      <c r="AH1005" s="432">
        <f t="shared" si="232"/>
        <v>-16984574</v>
      </c>
      <c r="AL1005" s="448"/>
      <c r="AM1005" s="467">
        <f>VLOOKUP(AD1005,[6]BV201101!$A$10:$A$1236,1,0)</f>
        <v>212006</v>
      </c>
    </row>
    <row r="1006" spans="1:39" s="467" customFormat="1" ht="12.75" customHeight="1">
      <c r="A1006" s="487" t="str">
        <f t="shared" si="234"/>
        <v>2</v>
      </c>
      <c r="B1006" s="487" t="str">
        <f t="shared" si="222"/>
        <v>12</v>
      </c>
      <c r="C1006" s="487" t="str">
        <f t="shared" si="223"/>
        <v>10</v>
      </c>
      <c r="D1006" s="487" t="str">
        <f t="shared" si="224"/>
        <v>2101</v>
      </c>
      <c r="E1006" s="487">
        <v>521110000</v>
      </c>
      <c r="F1006" s="488" t="str">
        <f t="shared" si="225"/>
        <v/>
      </c>
      <c r="G1006" s="489"/>
      <c r="H1006" s="489"/>
      <c r="I1006" s="488" t="str">
        <f t="shared" si="226"/>
        <v/>
      </c>
      <c r="J1006" s="487"/>
      <c r="K1006" s="487"/>
      <c r="L1006" s="488" t="str">
        <f t="shared" si="227"/>
        <v/>
      </c>
      <c r="M1006" s="487"/>
      <c r="N1006" s="487"/>
      <c r="O1006" s="488" t="str">
        <f t="shared" si="228"/>
        <v/>
      </c>
      <c r="P1006" s="489"/>
      <c r="Q1006" s="489"/>
      <c r="R1006" s="592" t="str">
        <f t="shared" si="229"/>
        <v/>
      </c>
      <c r="S1006" s="487"/>
      <c r="T1006" s="487"/>
      <c r="U1006" s="488" t="str">
        <f t="shared" si="230"/>
        <v/>
      </c>
      <c r="V1006" s="489"/>
      <c r="W1006" s="489"/>
      <c r="X1006" s="488" t="str">
        <f t="shared" si="231"/>
        <v/>
      </c>
      <c r="Y1006" s="489"/>
      <c r="Z1006" s="489"/>
      <c r="AA1006" s="490" t="str">
        <f t="shared" si="233"/>
        <v>1022</v>
      </c>
      <c r="AB1006" s="489">
        <v>10</v>
      </c>
      <c r="AC1006" s="489">
        <v>22</v>
      </c>
      <c r="AD1006" s="27">
        <v>212101</v>
      </c>
      <c r="AE1006" s="27" t="s">
        <v>1224</v>
      </c>
      <c r="AF1006" s="432">
        <f>VLOOKUP(AD1006,[5]Hoja1!$A$10:$K$1393,11,0)</f>
        <v>0</v>
      </c>
      <c r="AG1006" s="432"/>
      <c r="AH1006" s="432">
        <f t="shared" si="232"/>
        <v>0</v>
      </c>
      <c r="AL1006" s="448"/>
      <c r="AM1006" s="467">
        <f>VLOOKUP(AD1006,[6]BV201101!$A$10:$A$1236,1,0)</f>
        <v>212101</v>
      </c>
    </row>
    <row r="1007" spans="1:39" s="467" customFormat="1" ht="12.75" customHeight="1">
      <c r="A1007" s="487" t="str">
        <f t="shared" si="234"/>
        <v>2</v>
      </c>
      <c r="B1007" s="487" t="str">
        <f t="shared" si="222"/>
        <v>12</v>
      </c>
      <c r="C1007" s="487" t="str">
        <f t="shared" si="223"/>
        <v>10</v>
      </c>
      <c r="D1007" s="487" t="str">
        <f t="shared" si="224"/>
        <v>2102</v>
      </c>
      <c r="E1007" s="487">
        <v>521110000</v>
      </c>
      <c r="F1007" s="488" t="str">
        <f t="shared" si="225"/>
        <v/>
      </c>
      <c r="G1007" s="489"/>
      <c r="H1007" s="489"/>
      <c r="I1007" s="488" t="str">
        <f t="shared" si="226"/>
        <v/>
      </c>
      <c r="J1007" s="487"/>
      <c r="K1007" s="487"/>
      <c r="L1007" s="488" t="str">
        <f t="shared" si="227"/>
        <v/>
      </c>
      <c r="M1007" s="487"/>
      <c r="N1007" s="487"/>
      <c r="O1007" s="488" t="str">
        <f t="shared" si="228"/>
        <v/>
      </c>
      <c r="P1007" s="489"/>
      <c r="Q1007" s="489"/>
      <c r="R1007" s="592" t="str">
        <f t="shared" si="229"/>
        <v/>
      </c>
      <c r="S1007" s="487"/>
      <c r="T1007" s="487"/>
      <c r="U1007" s="488" t="str">
        <f t="shared" si="230"/>
        <v/>
      </c>
      <c r="V1007" s="489"/>
      <c r="W1007" s="489"/>
      <c r="X1007" s="488" t="str">
        <f t="shared" si="231"/>
        <v/>
      </c>
      <c r="Y1007" s="489"/>
      <c r="Z1007" s="489"/>
      <c r="AA1007" s="490" t="str">
        <f t="shared" ref="AA1007:AA1052" si="235">+AB1007&amp;AC1007</f>
        <v>1024</v>
      </c>
      <c r="AB1007" s="489">
        <v>10</v>
      </c>
      <c r="AC1007" s="489">
        <v>24</v>
      </c>
      <c r="AD1007" s="27">
        <v>212102</v>
      </c>
      <c r="AE1007" s="27" t="s">
        <v>1225</v>
      </c>
      <c r="AF1007" s="432">
        <v>0</v>
      </c>
      <c r="AG1007" s="432"/>
      <c r="AH1007" s="432">
        <f t="shared" si="232"/>
        <v>0</v>
      </c>
      <c r="AL1007" s="448"/>
      <c r="AM1007" s="467" t="e">
        <f>VLOOKUP(AD1007,[6]BV201101!$A$10:$A$1236,1,0)</f>
        <v>#N/A</v>
      </c>
    </row>
    <row r="1008" spans="1:39" s="467" customFormat="1" ht="12.75" customHeight="1">
      <c r="A1008" s="487" t="str">
        <f t="shared" si="234"/>
        <v>2</v>
      </c>
      <c r="B1008" s="487" t="str">
        <f t="shared" si="222"/>
        <v>12</v>
      </c>
      <c r="C1008" s="487" t="str">
        <f t="shared" si="223"/>
        <v>10</v>
      </c>
      <c r="D1008" s="487" t="str">
        <f t="shared" si="224"/>
        <v>2103</v>
      </c>
      <c r="E1008" s="487">
        <v>521220000</v>
      </c>
      <c r="F1008" s="488" t="str">
        <f t="shared" si="225"/>
        <v/>
      </c>
      <c r="G1008" s="489"/>
      <c r="H1008" s="489"/>
      <c r="I1008" s="488" t="str">
        <f t="shared" si="226"/>
        <v/>
      </c>
      <c r="J1008" s="487"/>
      <c r="K1008" s="487"/>
      <c r="L1008" s="488" t="str">
        <f t="shared" si="227"/>
        <v/>
      </c>
      <c r="M1008" s="487"/>
      <c r="N1008" s="487"/>
      <c r="O1008" s="488" t="str">
        <f t="shared" si="228"/>
        <v/>
      </c>
      <c r="P1008" s="489"/>
      <c r="Q1008" s="489"/>
      <c r="R1008" s="592" t="str">
        <f t="shared" si="229"/>
        <v/>
      </c>
      <c r="S1008" s="487"/>
      <c r="T1008" s="487"/>
      <c r="U1008" s="488" t="str">
        <f t="shared" si="230"/>
        <v/>
      </c>
      <c r="V1008" s="489"/>
      <c r="W1008" s="489"/>
      <c r="X1008" s="488" t="str">
        <f t="shared" si="231"/>
        <v/>
      </c>
      <c r="Y1008" s="489"/>
      <c r="Z1008" s="489"/>
      <c r="AA1008" s="490" t="str">
        <f t="shared" si="235"/>
        <v>1033</v>
      </c>
      <c r="AB1008" s="489">
        <v>10</v>
      </c>
      <c r="AC1008" s="489">
        <v>33</v>
      </c>
      <c r="AD1008" s="27">
        <v>212103</v>
      </c>
      <c r="AE1008" s="27" t="s">
        <v>2565</v>
      </c>
      <c r="AF1008" s="432">
        <v>0</v>
      </c>
      <c r="AG1008" s="1191">
        <v>267992953</v>
      </c>
      <c r="AH1008" s="432">
        <f t="shared" si="232"/>
        <v>267993</v>
      </c>
      <c r="AL1008" s="448"/>
      <c r="AM1008" s="467" t="e">
        <f>VLOOKUP(AD1008,[6]BV201101!$A$10:$A$1236,1,0)</f>
        <v>#N/A</v>
      </c>
    </row>
    <row r="1009" spans="1:39" s="467" customFormat="1" ht="12.75" customHeight="1">
      <c r="A1009" s="487" t="str">
        <f t="shared" si="234"/>
        <v>2</v>
      </c>
      <c r="B1009" s="487" t="str">
        <f t="shared" si="222"/>
        <v>12</v>
      </c>
      <c r="C1009" s="487" t="str">
        <f t="shared" si="223"/>
        <v>10</v>
      </c>
      <c r="D1009" s="487" t="str">
        <f t="shared" si="224"/>
        <v>2104</v>
      </c>
      <c r="E1009" s="487">
        <v>521240000</v>
      </c>
      <c r="F1009" s="488" t="str">
        <f t="shared" si="225"/>
        <v/>
      </c>
      <c r="G1009" s="489"/>
      <c r="H1009" s="489"/>
      <c r="I1009" s="488" t="str">
        <f t="shared" si="226"/>
        <v/>
      </c>
      <c r="J1009" s="487"/>
      <c r="K1009" s="487"/>
      <c r="L1009" s="488" t="str">
        <f t="shared" si="227"/>
        <v/>
      </c>
      <c r="M1009" s="487"/>
      <c r="N1009" s="487"/>
      <c r="O1009" s="488" t="str">
        <f t="shared" si="228"/>
        <v/>
      </c>
      <c r="P1009" s="489"/>
      <c r="Q1009" s="489"/>
      <c r="R1009" s="592" t="str">
        <f t="shared" si="229"/>
        <v/>
      </c>
      <c r="S1009" s="487"/>
      <c r="T1009" s="487"/>
      <c r="U1009" s="488" t="str">
        <f t="shared" si="230"/>
        <v/>
      </c>
      <c r="V1009" s="489"/>
      <c r="W1009" s="489"/>
      <c r="X1009" s="488" t="str">
        <f t="shared" si="231"/>
        <v/>
      </c>
      <c r="Y1009" s="489"/>
      <c r="Z1009" s="489"/>
      <c r="AA1009" s="490" t="str">
        <f t="shared" si="235"/>
        <v>1025</v>
      </c>
      <c r="AB1009" s="489">
        <v>10</v>
      </c>
      <c r="AC1009" s="489">
        <v>25</v>
      </c>
      <c r="AD1009" s="27">
        <v>212104</v>
      </c>
      <c r="AE1009" s="27" t="s">
        <v>2266</v>
      </c>
      <c r="AF1009" s="432">
        <f>VLOOKUP(AD1009,[5]Hoja1!$A$10:$K$1393,11,0)</f>
        <v>-209959319</v>
      </c>
      <c r="AG1009" s="680"/>
      <c r="AH1009" s="432">
        <f t="shared" si="232"/>
        <v>-209959</v>
      </c>
      <c r="AJ1009" s="445"/>
      <c r="AK1009" s="496"/>
      <c r="AL1009" s="497"/>
      <c r="AM1009" s="467">
        <f>VLOOKUP(AD1009,[6]BV201101!$A$10:$A$1236,1,0)</f>
        <v>212104</v>
      </c>
    </row>
    <row r="1010" spans="1:39" s="467" customFormat="1" ht="12.75" customHeight="1">
      <c r="A1010" s="487" t="str">
        <f t="shared" si="234"/>
        <v>2</v>
      </c>
      <c r="B1010" s="487" t="str">
        <f t="shared" si="222"/>
        <v>12</v>
      </c>
      <c r="C1010" s="487" t="str">
        <f t="shared" si="223"/>
        <v>10</v>
      </c>
      <c r="D1010" s="487" t="str">
        <f t="shared" si="224"/>
        <v>2105</v>
      </c>
      <c r="E1010" s="487">
        <v>521110000</v>
      </c>
      <c r="F1010" s="488" t="str">
        <f t="shared" si="225"/>
        <v/>
      </c>
      <c r="G1010" s="489"/>
      <c r="H1010" s="489"/>
      <c r="I1010" s="488" t="str">
        <f t="shared" si="226"/>
        <v/>
      </c>
      <c r="J1010" s="487"/>
      <c r="K1010" s="487"/>
      <c r="L1010" s="488" t="str">
        <f t="shared" si="227"/>
        <v/>
      </c>
      <c r="M1010" s="487"/>
      <c r="N1010" s="487"/>
      <c r="O1010" s="488" t="str">
        <f t="shared" si="228"/>
        <v/>
      </c>
      <c r="P1010" s="489"/>
      <c r="Q1010" s="489"/>
      <c r="R1010" s="592" t="str">
        <f t="shared" si="229"/>
        <v/>
      </c>
      <c r="S1010" s="487"/>
      <c r="T1010" s="487"/>
      <c r="U1010" s="488" t="str">
        <f t="shared" si="230"/>
        <v/>
      </c>
      <c r="V1010" s="489"/>
      <c r="W1010" s="489"/>
      <c r="X1010" s="488" t="str">
        <f t="shared" si="231"/>
        <v/>
      </c>
      <c r="Y1010" s="489"/>
      <c r="Z1010" s="489"/>
      <c r="AA1010" s="490" t="str">
        <f t="shared" si="235"/>
        <v>1021</v>
      </c>
      <c r="AB1010" s="489">
        <v>10</v>
      </c>
      <c r="AC1010" s="489">
        <v>21</v>
      </c>
      <c r="AD1010" s="27">
        <v>212105</v>
      </c>
      <c r="AE1010" s="27" t="s">
        <v>1226</v>
      </c>
      <c r="AF1010" s="432">
        <f>VLOOKUP(AD1010,[5]Hoja1!$A$10:$K$1393,11,0)</f>
        <v>1388145758</v>
      </c>
      <c r="AG1010" s="1191">
        <f>-267992953+539109959</f>
        <v>271117006</v>
      </c>
      <c r="AH1010" s="432">
        <f t="shared" si="232"/>
        <v>1659263</v>
      </c>
      <c r="AL1010" s="473"/>
      <c r="AM1010" s="467">
        <f>VLOOKUP(AD1010,[6]BV201101!$A$10:$A$1236,1,0)</f>
        <v>212105</v>
      </c>
    </row>
    <row r="1011" spans="1:39" s="467" customFormat="1" ht="12.75" customHeight="1">
      <c r="A1011" s="487" t="str">
        <f t="shared" si="234"/>
        <v>2</v>
      </c>
      <c r="B1011" s="487" t="str">
        <f t="shared" si="222"/>
        <v>12</v>
      </c>
      <c r="C1011" s="487" t="str">
        <f t="shared" si="223"/>
        <v>10</v>
      </c>
      <c r="D1011" s="487" t="str">
        <f t="shared" si="224"/>
        <v>2106</v>
      </c>
      <c r="E1011" s="487">
        <v>521110000</v>
      </c>
      <c r="F1011" s="488" t="str">
        <f t="shared" si="225"/>
        <v/>
      </c>
      <c r="G1011" s="489"/>
      <c r="H1011" s="489"/>
      <c r="I1011" s="488" t="str">
        <f t="shared" si="226"/>
        <v/>
      </c>
      <c r="J1011" s="487"/>
      <c r="K1011" s="487"/>
      <c r="L1011" s="488" t="str">
        <f t="shared" si="227"/>
        <v/>
      </c>
      <c r="M1011" s="487"/>
      <c r="N1011" s="487"/>
      <c r="O1011" s="488" t="str">
        <f t="shared" si="228"/>
        <v/>
      </c>
      <c r="P1011" s="489"/>
      <c r="Q1011" s="489"/>
      <c r="R1011" s="592" t="str">
        <f t="shared" si="229"/>
        <v/>
      </c>
      <c r="S1011" s="487"/>
      <c r="T1011" s="487"/>
      <c r="U1011" s="488" t="str">
        <f t="shared" si="230"/>
        <v/>
      </c>
      <c r="V1011" s="489"/>
      <c r="W1011" s="489"/>
      <c r="X1011" s="488" t="str">
        <f t="shared" si="231"/>
        <v/>
      </c>
      <c r="Y1011" s="489"/>
      <c r="Z1011" s="489"/>
      <c r="AA1011" s="490" t="str">
        <f t="shared" si="235"/>
        <v>10251</v>
      </c>
      <c r="AB1011" s="489">
        <v>10</v>
      </c>
      <c r="AC1011" s="489">
        <v>251</v>
      </c>
      <c r="AD1011" s="27">
        <v>212106</v>
      </c>
      <c r="AE1011" s="27" t="s">
        <v>457</v>
      </c>
      <c r="AF1011" s="432">
        <v>0</v>
      </c>
      <c r="AG1011" s="432"/>
      <c r="AH1011" s="432">
        <f t="shared" si="232"/>
        <v>0</v>
      </c>
      <c r="AL1011" s="473"/>
      <c r="AM1011" s="467" t="e">
        <f>VLOOKUP(AD1011,[6]BV201101!$A$10:$A$1236,1,0)</f>
        <v>#N/A</v>
      </c>
    </row>
    <row r="1012" spans="1:39" s="467" customFormat="1" ht="12.75" customHeight="1">
      <c r="A1012" s="487" t="str">
        <f t="shared" si="234"/>
        <v>2</v>
      </c>
      <c r="B1012" s="487" t="str">
        <f t="shared" si="222"/>
        <v>12</v>
      </c>
      <c r="C1012" s="487" t="str">
        <f t="shared" si="223"/>
        <v>20</v>
      </c>
      <c r="D1012" s="487" t="str">
        <f t="shared" si="224"/>
        <v>2201</v>
      </c>
      <c r="E1012" s="487">
        <v>521220000</v>
      </c>
      <c r="F1012" s="488" t="str">
        <f t="shared" si="225"/>
        <v/>
      </c>
      <c r="G1012" s="489"/>
      <c r="H1012" s="489"/>
      <c r="I1012" s="488" t="str">
        <f t="shared" si="226"/>
        <v/>
      </c>
      <c r="J1012" s="487"/>
      <c r="K1012" s="487"/>
      <c r="L1012" s="488" t="str">
        <f t="shared" si="227"/>
        <v>652200000212</v>
      </c>
      <c r="M1012" s="487">
        <v>652200000</v>
      </c>
      <c r="N1012" s="487">
        <v>212</v>
      </c>
      <c r="O1012" s="488" t="str">
        <f t="shared" si="228"/>
        <v/>
      </c>
      <c r="P1012" s="489"/>
      <c r="Q1012" s="489"/>
      <c r="R1012" s="592" t="str">
        <f t="shared" si="229"/>
        <v/>
      </c>
      <c r="S1012" s="487"/>
      <c r="T1012" s="487"/>
      <c r="U1012" s="488" t="str">
        <f t="shared" si="230"/>
        <v>621220000212</v>
      </c>
      <c r="V1012" s="489">
        <v>621220000</v>
      </c>
      <c r="W1012" s="489">
        <v>212</v>
      </c>
      <c r="X1012" s="488" t="str">
        <f t="shared" si="231"/>
        <v/>
      </c>
      <c r="Y1012" s="489"/>
      <c r="Z1012" s="489"/>
      <c r="AA1012" s="490" t="str">
        <f t="shared" si="235"/>
        <v>1033</v>
      </c>
      <c r="AB1012" s="489">
        <v>10</v>
      </c>
      <c r="AC1012" s="489">
        <v>33</v>
      </c>
      <c r="AD1012" s="27">
        <v>212201</v>
      </c>
      <c r="AE1012" s="27" t="s">
        <v>2267</v>
      </c>
      <c r="AF1012" s="432">
        <f>VLOOKUP(AD1012,[5]Hoja1!$A$10:$K$1393,11,0)</f>
        <v>0</v>
      </c>
      <c r="AG1012" s="432"/>
      <c r="AH1012" s="432">
        <f t="shared" si="232"/>
        <v>0</v>
      </c>
      <c r="AI1012" s="445"/>
      <c r="AK1012" s="496"/>
      <c r="AL1012" s="497"/>
      <c r="AM1012" s="467">
        <f>VLOOKUP(AD1012,[6]BV201101!$A$10:$A$1236,1,0)</f>
        <v>212201</v>
      </c>
    </row>
    <row r="1013" spans="1:39" s="467" customFormat="1" ht="12.75" customHeight="1">
      <c r="A1013" s="487" t="str">
        <f t="shared" si="234"/>
        <v>2</v>
      </c>
      <c r="B1013" s="487" t="str">
        <f t="shared" si="222"/>
        <v>12</v>
      </c>
      <c r="C1013" s="487" t="str">
        <f t="shared" si="223"/>
        <v>20</v>
      </c>
      <c r="D1013" s="487" t="str">
        <f t="shared" si="224"/>
        <v>2202</v>
      </c>
      <c r="E1013" s="487">
        <v>521220000</v>
      </c>
      <c r="F1013" s="488" t="str">
        <f t="shared" si="225"/>
        <v/>
      </c>
      <c r="G1013" s="489"/>
      <c r="H1013" s="489"/>
      <c r="I1013" s="488" t="str">
        <f t="shared" si="226"/>
        <v/>
      </c>
      <c r="J1013" s="487"/>
      <c r="K1013" s="487"/>
      <c r="L1013" s="488" t="str">
        <f t="shared" si="227"/>
        <v>652200000101</v>
      </c>
      <c r="M1013" s="487">
        <v>652200000</v>
      </c>
      <c r="N1013" s="487">
        <v>101</v>
      </c>
      <c r="O1013" s="488" t="str">
        <f t="shared" si="228"/>
        <v/>
      </c>
      <c r="P1013" s="489"/>
      <c r="Q1013" s="489"/>
      <c r="R1013" s="592" t="str">
        <f t="shared" si="229"/>
        <v/>
      </c>
      <c r="S1013" s="487"/>
      <c r="T1013" s="487"/>
      <c r="U1013" s="488" t="str">
        <f t="shared" si="230"/>
        <v>621220000101</v>
      </c>
      <c r="V1013" s="489">
        <v>621220000</v>
      </c>
      <c r="W1013" s="489">
        <v>101</v>
      </c>
      <c r="X1013" s="488" t="str">
        <f t="shared" si="231"/>
        <v/>
      </c>
      <c r="Y1013" s="489"/>
      <c r="Z1013" s="489"/>
      <c r="AA1013" s="490" t="str">
        <f t="shared" si="235"/>
        <v>1033</v>
      </c>
      <c r="AB1013" s="489">
        <v>10</v>
      </c>
      <c r="AC1013" s="489">
        <v>33</v>
      </c>
      <c r="AD1013" s="27">
        <v>212202</v>
      </c>
      <c r="AE1013" s="27" t="s">
        <v>458</v>
      </c>
      <c r="AF1013" s="432">
        <f>VLOOKUP(AD1013,[5]Hoja1!$A$10:$K$1393,11,0)</f>
        <v>-4062468907</v>
      </c>
      <c r="AG1013" s="432"/>
      <c r="AH1013" s="432">
        <f t="shared" si="232"/>
        <v>-4062469</v>
      </c>
      <c r="AL1013" s="473"/>
      <c r="AM1013" s="467">
        <f>VLOOKUP(AD1013,[6]BV201101!$A$10:$A$1236,1,0)</f>
        <v>212202</v>
      </c>
    </row>
    <row r="1014" spans="1:39" s="467" customFormat="1" ht="12.75" customHeight="1">
      <c r="A1014" s="487" t="str">
        <f t="shared" si="234"/>
        <v>2</v>
      </c>
      <c r="B1014" s="487" t="str">
        <f t="shared" si="222"/>
        <v>12</v>
      </c>
      <c r="C1014" s="487" t="str">
        <f t="shared" si="223"/>
        <v>20</v>
      </c>
      <c r="D1014" s="487" t="str">
        <f t="shared" si="224"/>
        <v>2203</v>
      </c>
      <c r="E1014" s="487">
        <v>521220000</v>
      </c>
      <c r="F1014" s="488" t="str">
        <f t="shared" si="225"/>
        <v/>
      </c>
      <c r="G1014" s="489"/>
      <c r="H1014" s="489"/>
      <c r="I1014" s="488" t="str">
        <f t="shared" si="226"/>
        <v/>
      </c>
      <c r="J1014" s="487"/>
      <c r="K1014" s="487"/>
      <c r="L1014" s="488" t="str">
        <f t="shared" si="227"/>
        <v>652200000102</v>
      </c>
      <c r="M1014" s="487">
        <v>652200000</v>
      </c>
      <c r="N1014" s="487">
        <v>102</v>
      </c>
      <c r="O1014" s="488" t="str">
        <f t="shared" si="228"/>
        <v/>
      </c>
      <c r="P1014" s="489"/>
      <c r="Q1014" s="489"/>
      <c r="R1014" s="592" t="str">
        <f t="shared" si="229"/>
        <v/>
      </c>
      <c r="S1014" s="487"/>
      <c r="T1014" s="487"/>
      <c r="U1014" s="488" t="str">
        <f t="shared" si="230"/>
        <v>621220000102</v>
      </c>
      <c r="V1014" s="489">
        <v>621220000</v>
      </c>
      <c r="W1014" s="489">
        <v>102</v>
      </c>
      <c r="X1014" s="488" t="str">
        <f t="shared" si="231"/>
        <v/>
      </c>
      <c r="Y1014" s="489"/>
      <c r="Z1014" s="489"/>
      <c r="AA1014" s="490" t="str">
        <f t="shared" si="235"/>
        <v>1033</v>
      </c>
      <c r="AB1014" s="489">
        <v>10</v>
      </c>
      <c r="AC1014" s="489">
        <v>33</v>
      </c>
      <c r="AD1014" s="27">
        <v>212203</v>
      </c>
      <c r="AE1014" s="27" t="s">
        <v>2268</v>
      </c>
      <c r="AF1014" s="432">
        <f>VLOOKUP(AD1014,[5]Hoja1!$A$10:$K$1393,11,0)</f>
        <v>-648958480</v>
      </c>
      <c r="AG1014" s="432"/>
      <c r="AH1014" s="432">
        <f t="shared" si="232"/>
        <v>-648958</v>
      </c>
      <c r="AL1014" s="473"/>
      <c r="AM1014" s="467">
        <f>VLOOKUP(AD1014,[6]BV201101!$A$10:$A$1236,1,0)</f>
        <v>212203</v>
      </c>
    </row>
    <row r="1015" spans="1:39" s="467" customFormat="1" ht="12.75" customHeight="1">
      <c r="A1015" s="487" t="str">
        <f t="shared" si="234"/>
        <v>2</v>
      </c>
      <c r="B1015" s="487" t="str">
        <f t="shared" si="222"/>
        <v>12</v>
      </c>
      <c r="C1015" s="487" t="str">
        <f t="shared" si="223"/>
        <v>20</v>
      </c>
      <c r="D1015" s="487" t="str">
        <f t="shared" si="224"/>
        <v>2204</v>
      </c>
      <c r="E1015" s="487">
        <v>521220000</v>
      </c>
      <c r="F1015" s="488" t="str">
        <f t="shared" si="225"/>
        <v/>
      </c>
      <c r="G1015" s="489"/>
      <c r="H1015" s="489"/>
      <c r="I1015" s="488" t="str">
        <f t="shared" si="226"/>
        <v/>
      </c>
      <c r="J1015" s="487"/>
      <c r="K1015" s="487"/>
      <c r="L1015" s="488" t="str">
        <f t="shared" si="227"/>
        <v>652200000202</v>
      </c>
      <c r="M1015" s="487">
        <v>652200000</v>
      </c>
      <c r="N1015" s="487">
        <v>202</v>
      </c>
      <c r="O1015" s="488" t="str">
        <f t="shared" si="228"/>
        <v/>
      </c>
      <c r="P1015" s="489"/>
      <c r="Q1015" s="489"/>
      <c r="R1015" s="592" t="str">
        <f t="shared" si="229"/>
        <v/>
      </c>
      <c r="S1015" s="487"/>
      <c r="T1015" s="487"/>
      <c r="U1015" s="488" t="str">
        <f t="shared" si="230"/>
        <v>621220000202</v>
      </c>
      <c r="V1015" s="489">
        <v>621220000</v>
      </c>
      <c r="W1015" s="489">
        <v>202</v>
      </c>
      <c r="X1015" s="488" t="str">
        <f t="shared" si="231"/>
        <v/>
      </c>
      <c r="Y1015" s="489"/>
      <c r="Z1015" s="489"/>
      <c r="AA1015" s="490" t="str">
        <f t="shared" si="235"/>
        <v>1033</v>
      </c>
      <c r="AB1015" s="489">
        <v>10</v>
      </c>
      <c r="AC1015" s="489">
        <v>33</v>
      </c>
      <c r="AD1015" s="27">
        <v>212204</v>
      </c>
      <c r="AE1015" s="27" t="s">
        <v>2269</v>
      </c>
      <c r="AF1015" s="432">
        <f>VLOOKUP(AD1015,[5]Hoja1!$A$10:$K$1393,11,0)</f>
        <v>-1883094945</v>
      </c>
      <c r="AG1015" s="432"/>
      <c r="AH1015" s="432">
        <f t="shared" si="232"/>
        <v>-1883095</v>
      </c>
      <c r="AK1015" s="496"/>
      <c r="AL1015" s="497"/>
      <c r="AM1015" s="467">
        <f>VLOOKUP(AD1015,[6]BV201101!$A$10:$A$1236,1,0)</f>
        <v>212204</v>
      </c>
    </row>
    <row r="1016" spans="1:39" s="467" customFormat="1" ht="12.75" customHeight="1">
      <c r="A1016" s="487" t="str">
        <f t="shared" si="234"/>
        <v>2</v>
      </c>
      <c r="B1016" s="487" t="str">
        <f t="shared" si="222"/>
        <v>12</v>
      </c>
      <c r="C1016" s="487" t="str">
        <f t="shared" si="223"/>
        <v>20</v>
      </c>
      <c r="D1016" s="487" t="str">
        <f t="shared" si="224"/>
        <v>2205</v>
      </c>
      <c r="E1016" s="487">
        <v>521220000</v>
      </c>
      <c r="F1016" s="488" t="str">
        <f t="shared" si="225"/>
        <v/>
      </c>
      <c r="G1016" s="489"/>
      <c r="H1016" s="489"/>
      <c r="I1016" s="488" t="str">
        <f t="shared" si="226"/>
        <v/>
      </c>
      <c r="J1016" s="487"/>
      <c r="K1016" s="487"/>
      <c r="L1016" s="488" t="str">
        <f t="shared" si="227"/>
        <v>652200000112</v>
      </c>
      <c r="M1016" s="487">
        <v>652200000</v>
      </c>
      <c r="N1016" s="487">
        <v>112</v>
      </c>
      <c r="O1016" s="488" t="str">
        <f t="shared" si="228"/>
        <v/>
      </c>
      <c r="P1016" s="489"/>
      <c r="Q1016" s="489"/>
      <c r="R1016" s="592" t="str">
        <f t="shared" si="229"/>
        <v/>
      </c>
      <c r="S1016" s="487"/>
      <c r="T1016" s="487"/>
      <c r="U1016" s="488" t="str">
        <f t="shared" si="230"/>
        <v>621220000112</v>
      </c>
      <c r="V1016" s="489">
        <v>621220000</v>
      </c>
      <c r="W1016" s="489">
        <v>112</v>
      </c>
      <c r="X1016" s="488" t="str">
        <f t="shared" si="231"/>
        <v/>
      </c>
      <c r="Y1016" s="489"/>
      <c r="Z1016" s="489"/>
      <c r="AA1016" s="490" t="str">
        <f t="shared" si="235"/>
        <v>1033</v>
      </c>
      <c r="AB1016" s="489">
        <v>10</v>
      </c>
      <c r="AC1016" s="489">
        <v>33</v>
      </c>
      <c r="AD1016" s="27">
        <v>212205</v>
      </c>
      <c r="AE1016" s="27" t="s">
        <v>2270</v>
      </c>
      <c r="AF1016" s="432">
        <f>VLOOKUP(AD1016,[5]Hoja1!$A$10:$K$1393,11,0)</f>
        <v>-23440893</v>
      </c>
      <c r="AG1016" s="432"/>
      <c r="AH1016" s="432">
        <f t="shared" si="232"/>
        <v>-23441</v>
      </c>
      <c r="AL1016" s="473"/>
      <c r="AM1016" s="467">
        <f>VLOOKUP(AD1016,[6]BV201101!$A$10:$A$1236,1,0)</f>
        <v>212205</v>
      </c>
    </row>
    <row r="1017" spans="1:39" s="467" customFormat="1" ht="12.75" customHeight="1">
      <c r="A1017" s="487" t="str">
        <f t="shared" si="234"/>
        <v>2</v>
      </c>
      <c r="B1017" s="487" t="str">
        <f t="shared" si="222"/>
        <v>12</v>
      </c>
      <c r="C1017" s="487" t="str">
        <f t="shared" si="223"/>
        <v>20</v>
      </c>
      <c r="D1017" s="487" t="str">
        <f t="shared" si="224"/>
        <v>2206</v>
      </c>
      <c r="E1017" s="487">
        <v>521220000</v>
      </c>
      <c r="F1017" s="488" t="str">
        <f t="shared" si="225"/>
        <v/>
      </c>
      <c r="G1017" s="489"/>
      <c r="H1017" s="489"/>
      <c r="I1017" s="488" t="str">
        <f t="shared" si="226"/>
        <v/>
      </c>
      <c r="J1017" s="487"/>
      <c r="K1017" s="487"/>
      <c r="L1017" s="488" t="str">
        <f t="shared" si="227"/>
        <v>652200000210</v>
      </c>
      <c r="M1017" s="487">
        <v>652200000</v>
      </c>
      <c r="N1017" s="487">
        <v>210</v>
      </c>
      <c r="O1017" s="488" t="str">
        <f t="shared" si="228"/>
        <v/>
      </c>
      <c r="P1017" s="489"/>
      <c r="Q1017" s="489"/>
      <c r="R1017" s="592" t="str">
        <f t="shared" si="229"/>
        <v/>
      </c>
      <c r="S1017" s="487"/>
      <c r="T1017" s="487"/>
      <c r="U1017" s="488" t="str">
        <f t="shared" si="230"/>
        <v>621220000210</v>
      </c>
      <c r="V1017" s="489">
        <v>621220000</v>
      </c>
      <c r="W1017" s="489">
        <v>210</v>
      </c>
      <c r="X1017" s="488" t="str">
        <f t="shared" si="231"/>
        <v/>
      </c>
      <c r="Y1017" s="489"/>
      <c r="Z1017" s="489"/>
      <c r="AA1017" s="490" t="str">
        <f t="shared" si="235"/>
        <v>1033</v>
      </c>
      <c r="AB1017" s="489">
        <v>10</v>
      </c>
      <c r="AC1017" s="489">
        <v>33</v>
      </c>
      <c r="AD1017" s="27">
        <v>212206</v>
      </c>
      <c r="AE1017" s="27" t="s">
        <v>2271</v>
      </c>
      <c r="AF1017" s="432">
        <f>VLOOKUP(AD1017,[5]Hoja1!$A$10:$K$1393,11,0)</f>
        <v>-3</v>
      </c>
      <c r="AG1017" s="432"/>
      <c r="AH1017" s="432">
        <f t="shared" si="232"/>
        <v>0</v>
      </c>
      <c r="AL1017" s="473"/>
      <c r="AM1017" s="467">
        <f>VLOOKUP(AD1017,[6]BV201101!$A$10:$A$1236,1,0)</f>
        <v>212206</v>
      </c>
    </row>
    <row r="1018" spans="1:39" s="467" customFormat="1" ht="12.75" customHeight="1">
      <c r="A1018" s="487" t="str">
        <f t="shared" si="234"/>
        <v>2</v>
      </c>
      <c r="B1018" s="487" t="str">
        <f t="shared" si="222"/>
        <v>12</v>
      </c>
      <c r="C1018" s="487" t="str">
        <f t="shared" si="223"/>
        <v>20</v>
      </c>
      <c r="D1018" s="487" t="str">
        <f t="shared" si="224"/>
        <v>2207</v>
      </c>
      <c r="E1018" s="487">
        <v>521220000</v>
      </c>
      <c r="F1018" s="488" t="str">
        <f t="shared" si="225"/>
        <v/>
      </c>
      <c r="G1018" s="489"/>
      <c r="H1018" s="489"/>
      <c r="I1018" s="488" t="str">
        <f t="shared" si="226"/>
        <v/>
      </c>
      <c r="J1018" s="487"/>
      <c r="K1018" s="487"/>
      <c r="L1018" s="488" t="str">
        <f t="shared" si="227"/>
        <v>652200000209</v>
      </c>
      <c r="M1018" s="487">
        <v>652200000</v>
      </c>
      <c r="N1018" s="487">
        <v>209</v>
      </c>
      <c r="O1018" s="488" t="str">
        <f t="shared" si="228"/>
        <v/>
      </c>
      <c r="P1018" s="489"/>
      <c r="Q1018" s="489"/>
      <c r="R1018" s="592" t="str">
        <f t="shared" si="229"/>
        <v/>
      </c>
      <c r="S1018" s="487"/>
      <c r="T1018" s="487"/>
      <c r="U1018" s="488" t="str">
        <f t="shared" si="230"/>
        <v>621220000209</v>
      </c>
      <c r="V1018" s="489">
        <v>621220000</v>
      </c>
      <c r="W1018" s="489">
        <v>209</v>
      </c>
      <c r="X1018" s="488" t="str">
        <f t="shared" si="231"/>
        <v/>
      </c>
      <c r="Y1018" s="489"/>
      <c r="Z1018" s="489"/>
      <c r="AA1018" s="490" t="str">
        <f t="shared" si="235"/>
        <v>1033</v>
      </c>
      <c r="AB1018" s="489">
        <v>10</v>
      </c>
      <c r="AC1018" s="489">
        <v>33</v>
      </c>
      <c r="AD1018" s="27">
        <v>212207</v>
      </c>
      <c r="AE1018" s="27" t="s">
        <v>75</v>
      </c>
      <c r="AF1018" s="432">
        <v>0</v>
      </c>
      <c r="AG1018" s="432"/>
      <c r="AH1018" s="432">
        <f t="shared" si="232"/>
        <v>0</v>
      </c>
      <c r="AL1018" s="448"/>
      <c r="AM1018" s="467" t="e">
        <f>VLOOKUP(AD1018,[6]BV201101!$A$10:$A$1236,1,0)</f>
        <v>#N/A</v>
      </c>
    </row>
    <row r="1019" spans="1:39" s="467" customFormat="1" ht="12.75" customHeight="1">
      <c r="A1019" s="487" t="str">
        <f t="shared" si="234"/>
        <v>2</v>
      </c>
      <c r="B1019" s="487" t="str">
        <f t="shared" si="222"/>
        <v>12</v>
      </c>
      <c r="C1019" s="487" t="str">
        <f t="shared" si="223"/>
        <v>20</v>
      </c>
      <c r="D1019" s="487" t="str">
        <f t="shared" si="224"/>
        <v>2208</v>
      </c>
      <c r="E1019" s="487">
        <v>521220000</v>
      </c>
      <c r="F1019" s="488" t="str">
        <f t="shared" si="225"/>
        <v/>
      </c>
      <c r="G1019" s="489"/>
      <c r="H1019" s="489"/>
      <c r="I1019" s="488" t="str">
        <f t="shared" si="226"/>
        <v/>
      </c>
      <c r="J1019" s="487"/>
      <c r="K1019" s="487"/>
      <c r="L1019" s="488" t="str">
        <f t="shared" si="227"/>
        <v>652200000109</v>
      </c>
      <c r="M1019" s="487">
        <v>652200000</v>
      </c>
      <c r="N1019" s="487">
        <v>109</v>
      </c>
      <c r="O1019" s="488" t="str">
        <f t="shared" si="228"/>
        <v/>
      </c>
      <c r="P1019" s="489"/>
      <c r="Q1019" s="489"/>
      <c r="R1019" s="592" t="str">
        <f t="shared" si="229"/>
        <v/>
      </c>
      <c r="S1019" s="487"/>
      <c r="T1019" s="487"/>
      <c r="U1019" s="488" t="str">
        <f t="shared" si="230"/>
        <v>621220000109</v>
      </c>
      <c r="V1019" s="489">
        <v>621220000</v>
      </c>
      <c r="W1019" s="489">
        <v>109</v>
      </c>
      <c r="X1019" s="488" t="str">
        <f t="shared" si="231"/>
        <v/>
      </c>
      <c r="Y1019" s="489"/>
      <c r="Z1019" s="489"/>
      <c r="AA1019" s="490" t="str">
        <f t="shared" si="235"/>
        <v>1033</v>
      </c>
      <c r="AB1019" s="489">
        <v>10</v>
      </c>
      <c r="AC1019" s="489">
        <v>33</v>
      </c>
      <c r="AD1019" s="27">
        <v>212208</v>
      </c>
      <c r="AE1019" s="27" t="s">
        <v>1128</v>
      </c>
      <c r="AF1019" s="432">
        <v>0</v>
      </c>
      <c r="AG1019" s="432"/>
      <c r="AH1019" s="432">
        <f t="shared" si="232"/>
        <v>0</v>
      </c>
      <c r="AL1019" s="448"/>
      <c r="AM1019" s="467" t="e">
        <f>VLOOKUP(AD1019,[6]BV201101!$A$10:$A$1236,1,0)</f>
        <v>#N/A</v>
      </c>
    </row>
    <row r="1020" spans="1:39" s="467" customFormat="1" ht="12.75" customHeight="1">
      <c r="A1020" s="487" t="str">
        <f t="shared" si="234"/>
        <v>2</v>
      </c>
      <c r="B1020" s="487" t="str">
        <f t="shared" si="222"/>
        <v>12</v>
      </c>
      <c r="C1020" s="487" t="str">
        <f t="shared" si="223"/>
        <v>20</v>
      </c>
      <c r="D1020" s="487" t="str">
        <f t="shared" si="224"/>
        <v>2209</v>
      </c>
      <c r="E1020" s="487">
        <v>521220000</v>
      </c>
      <c r="F1020" s="488" t="str">
        <f t="shared" si="225"/>
        <v/>
      </c>
      <c r="G1020" s="489"/>
      <c r="H1020" s="489"/>
      <c r="I1020" s="488" t="str">
        <f t="shared" si="226"/>
        <v/>
      </c>
      <c r="J1020" s="487"/>
      <c r="K1020" s="487"/>
      <c r="L1020" s="488" t="str">
        <f t="shared" si="227"/>
        <v>652200000101</v>
      </c>
      <c r="M1020" s="487">
        <v>652200000</v>
      </c>
      <c r="N1020" s="487">
        <v>101</v>
      </c>
      <c r="O1020" s="488" t="str">
        <f t="shared" si="228"/>
        <v/>
      </c>
      <c r="P1020" s="489"/>
      <c r="Q1020" s="489"/>
      <c r="R1020" s="592" t="str">
        <f t="shared" si="229"/>
        <v/>
      </c>
      <c r="S1020" s="487"/>
      <c r="T1020" s="487"/>
      <c r="U1020" s="488" t="str">
        <f t="shared" si="230"/>
        <v>621220000101</v>
      </c>
      <c r="V1020" s="489">
        <v>621220000</v>
      </c>
      <c r="W1020" s="489">
        <v>101</v>
      </c>
      <c r="X1020" s="488" t="str">
        <f t="shared" si="231"/>
        <v/>
      </c>
      <c r="Y1020" s="489"/>
      <c r="Z1020" s="489"/>
      <c r="AA1020" s="490" t="str">
        <f t="shared" si="235"/>
        <v>1033</v>
      </c>
      <c r="AB1020" s="489">
        <v>10</v>
      </c>
      <c r="AC1020" s="489">
        <v>33</v>
      </c>
      <c r="AD1020" s="27">
        <v>212209</v>
      </c>
      <c r="AE1020" s="27" t="s">
        <v>2272</v>
      </c>
      <c r="AF1020" s="432">
        <v>0</v>
      </c>
      <c r="AG1020" s="432"/>
      <c r="AH1020" s="432">
        <f t="shared" si="232"/>
        <v>0</v>
      </c>
      <c r="AL1020" s="448"/>
      <c r="AM1020" s="467" t="e">
        <f>VLOOKUP(AD1020,[6]BV201101!$A$10:$A$1236,1,0)</f>
        <v>#N/A</v>
      </c>
    </row>
    <row r="1021" spans="1:39" s="467" customFormat="1" ht="12.75" customHeight="1">
      <c r="A1021" s="487" t="str">
        <f t="shared" si="234"/>
        <v>2</v>
      </c>
      <c r="B1021" s="487" t="str">
        <f t="shared" si="222"/>
        <v>12</v>
      </c>
      <c r="C1021" s="487" t="str">
        <f t="shared" si="223"/>
        <v>21</v>
      </c>
      <c r="D1021" s="487" t="str">
        <f t="shared" si="224"/>
        <v>2210</v>
      </c>
      <c r="E1021" s="487">
        <v>521220000</v>
      </c>
      <c r="F1021" s="488" t="str">
        <f t="shared" si="225"/>
        <v/>
      </c>
      <c r="G1021" s="489"/>
      <c r="H1021" s="489"/>
      <c r="I1021" s="488" t="str">
        <f t="shared" si="226"/>
        <v/>
      </c>
      <c r="J1021" s="487"/>
      <c r="K1021" s="487"/>
      <c r="L1021" s="488" t="str">
        <f t="shared" si="227"/>
        <v>653200000103</v>
      </c>
      <c r="M1021" s="487">
        <v>653200000</v>
      </c>
      <c r="N1021" s="487">
        <v>103</v>
      </c>
      <c r="O1021" s="488" t="str">
        <f t="shared" si="228"/>
        <v/>
      </c>
      <c r="P1021" s="489"/>
      <c r="Q1021" s="489"/>
      <c r="R1021" s="592" t="str">
        <f t="shared" si="229"/>
        <v/>
      </c>
      <c r="S1021" s="487"/>
      <c r="T1021" s="487"/>
      <c r="U1021" s="488" t="str">
        <f t="shared" si="230"/>
        <v/>
      </c>
      <c r="V1021" s="489"/>
      <c r="W1021" s="489"/>
      <c r="X1021" s="488" t="str">
        <f t="shared" si="231"/>
        <v/>
      </c>
      <c r="Y1021" s="489"/>
      <c r="Z1021" s="489"/>
      <c r="AA1021" s="490" t="str">
        <f t="shared" si="235"/>
        <v>1033</v>
      </c>
      <c r="AB1021" s="489">
        <v>10</v>
      </c>
      <c r="AC1021" s="489">
        <v>33</v>
      </c>
      <c r="AD1021" s="27">
        <v>212210</v>
      </c>
      <c r="AE1021" s="27" t="s">
        <v>130</v>
      </c>
      <c r="AF1021" s="432">
        <v>0</v>
      </c>
      <c r="AG1021" s="432"/>
      <c r="AH1021" s="432">
        <f t="shared" si="232"/>
        <v>0</v>
      </c>
      <c r="AL1021" s="448"/>
      <c r="AM1021" s="467" t="e">
        <f>VLOOKUP(AD1021,[6]BV201101!$A$10:$A$1236,1,0)</f>
        <v>#N/A</v>
      </c>
    </row>
    <row r="1022" spans="1:39" s="467" customFormat="1" ht="12.75" customHeight="1">
      <c r="A1022" s="487" t="str">
        <f t="shared" si="234"/>
        <v>2</v>
      </c>
      <c r="B1022" s="487" t="str">
        <f t="shared" si="222"/>
        <v>12</v>
      </c>
      <c r="C1022" s="487" t="str">
        <f t="shared" si="223"/>
        <v>21</v>
      </c>
      <c r="D1022" s="487" t="str">
        <f t="shared" si="224"/>
        <v>2211</v>
      </c>
      <c r="E1022" s="487">
        <v>521220000</v>
      </c>
      <c r="F1022" s="488" t="str">
        <f t="shared" si="225"/>
        <v/>
      </c>
      <c r="G1022" s="489"/>
      <c r="H1022" s="489"/>
      <c r="I1022" s="488" t="str">
        <f t="shared" si="226"/>
        <v/>
      </c>
      <c r="J1022" s="487"/>
      <c r="K1022" s="487"/>
      <c r="L1022" s="488" t="str">
        <f t="shared" si="227"/>
        <v>652200000104</v>
      </c>
      <c r="M1022" s="487">
        <v>652200000</v>
      </c>
      <c r="N1022" s="487">
        <v>104</v>
      </c>
      <c r="O1022" s="488" t="str">
        <f t="shared" si="228"/>
        <v/>
      </c>
      <c r="P1022" s="489"/>
      <c r="Q1022" s="489"/>
      <c r="R1022" s="592" t="str">
        <f t="shared" si="229"/>
        <v/>
      </c>
      <c r="S1022" s="487"/>
      <c r="T1022" s="487"/>
      <c r="U1022" s="488" t="str">
        <f t="shared" si="230"/>
        <v>621220000104</v>
      </c>
      <c r="V1022" s="489">
        <v>621220000</v>
      </c>
      <c r="W1022" s="489">
        <v>104</v>
      </c>
      <c r="X1022" s="488" t="str">
        <f t="shared" si="231"/>
        <v/>
      </c>
      <c r="Y1022" s="489"/>
      <c r="Z1022" s="489"/>
      <c r="AA1022" s="490" t="str">
        <f t="shared" si="235"/>
        <v>1033</v>
      </c>
      <c r="AB1022" s="489">
        <v>10</v>
      </c>
      <c r="AC1022" s="489">
        <v>33</v>
      </c>
      <c r="AD1022" s="27">
        <v>212211</v>
      </c>
      <c r="AE1022" s="27" t="s">
        <v>131</v>
      </c>
      <c r="AF1022" s="432">
        <f>VLOOKUP(AD1022,[5]Hoja1!$A$10:$K$1393,11,0)</f>
        <v>-8191278301</v>
      </c>
      <c r="AG1022" s="432"/>
      <c r="AH1022" s="432">
        <f t="shared" si="232"/>
        <v>-8191278</v>
      </c>
      <c r="AL1022" s="448"/>
      <c r="AM1022" s="467">
        <f>VLOOKUP(AD1022,[6]BV201101!$A$10:$A$1236,1,0)</f>
        <v>212211</v>
      </c>
    </row>
    <row r="1023" spans="1:39" s="467" customFormat="1" ht="12.75" customHeight="1">
      <c r="A1023" s="487" t="str">
        <f t="shared" si="234"/>
        <v>2</v>
      </c>
      <c r="B1023" s="487" t="str">
        <f t="shared" si="222"/>
        <v>12</v>
      </c>
      <c r="C1023" s="487" t="str">
        <f t="shared" si="223"/>
        <v>21</v>
      </c>
      <c r="D1023" s="487" t="str">
        <f t="shared" si="224"/>
        <v>2212</v>
      </c>
      <c r="E1023" s="487">
        <v>521220000</v>
      </c>
      <c r="F1023" s="488" t="str">
        <f t="shared" si="225"/>
        <v/>
      </c>
      <c r="G1023" s="489"/>
      <c r="H1023" s="489"/>
      <c r="I1023" s="488" t="str">
        <f t="shared" si="226"/>
        <v/>
      </c>
      <c r="J1023" s="487"/>
      <c r="K1023" s="487"/>
      <c r="L1023" s="488" t="str">
        <f t="shared" si="227"/>
        <v>652200000108</v>
      </c>
      <c r="M1023" s="487">
        <v>652200000</v>
      </c>
      <c r="N1023" s="487">
        <v>108</v>
      </c>
      <c r="O1023" s="488" t="str">
        <f t="shared" si="228"/>
        <v/>
      </c>
      <c r="P1023" s="489"/>
      <c r="Q1023" s="489"/>
      <c r="R1023" s="592" t="str">
        <f t="shared" si="229"/>
        <v/>
      </c>
      <c r="S1023" s="487"/>
      <c r="T1023" s="487"/>
      <c r="U1023" s="488" t="str">
        <f t="shared" si="230"/>
        <v>621220000108</v>
      </c>
      <c r="V1023" s="489">
        <v>621220000</v>
      </c>
      <c r="W1023" s="489">
        <v>108</v>
      </c>
      <c r="X1023" s="488" t="str">
        <f t="shared" si="231"/>
        <v/>
      </c>
      <c r="Y1023" s="489"/>
      <c r="Z1023" s="489"/>
      <c r="AA1023" s="490" t="str">
        <f t="shared" si="235"/>
        <v>1033</v>
      </c>
      <c r="AB1023" s="489">
        <v>10</v>
      </c>
      <c r="AC1023" s="489">
        <v>33</v>
      </c>
      <c r="AD1023" s="27">
        <v>212212</v>
      </c>
      <c r="AE1023" s="27" t="s">
        <v>2273</v>
      </c>
      <c r="AF1023" s="432">
        <v>0</v>
      </c>
      <c r="AG1023" s="432"/>
      <c r="AH1023" s="432">
        <f t="shared" si="232"/>
        <v>0</v>
      </c>
      <c r="AL1023" s="448"/>
      <c r="AM1023" s="467" t="e">
        <f>VLOOKUP(AD1023,[6]BV201101!$A$10:$A$1236,1,0)</f>
        <v>#N/A</v>
      </c>
    </row>
    <row r="1024" spans="1:39" s="467" customFormat="1" ht="12.75" customHeight="1">
      <c r="A1024" s="487" t="str">
        <f t="shared" si="234"/>
        <v>2</v>
      </c>
      <c r="B1024" s="487" t="str">
        <f t="shared" si="222"/>
        <v>12</v>
      </c>
      <c r="C1024" s="487" t="str">
        <f t="shared" si="223"/>
        <v>21</v>
      </c>
      <c r="D1024" s="487" t="str">
        <f t="shared" si="224"/>
        <v>2213</v>
      </c>
      <c r="E1024" s="487">
        <v>521220000</v>
      </c>
      <c r="F1024" s="488" t="str">
        <f t="shared" si="225"/>
        <v/>
      </c>
      <c r="G1024" s="489"/>
      <c r="H1024" s="489"/>
      <c r="I1024" s="488" t="str">
        <f t="shared" si="226"/>
        <v/>
      </c>
      <c r="J1024" s="487"/>
      <c r="K1024" s="487"/>
      <c r="L1024" s="488" t="str">
        <f t="shared" si="227"/>
        <v>652200000208</v>
      </c>
      <c r="M1024" s="487">
        <v>652200000</v>
      </c>
      <c r="N1024" s="487">
        <v>208</v>
      </c>
      <c r="O1024" s="488" t="str">
        <f t="shared" si="228"/>
        <v/>
      </c>
      <c r="P1024" s="489"/>
      <c r="Q1024" s="489"/>
      <c r="R1024" s="592" t="str">
        <f t="shared" si="229"/>
        <v/>
      </c>
      <c r="S1024" s="487"/>
      <c r="T1024" s="487"/>
      <c r="U1024" s="488" t="str">
        <f t="shared" si="230"/>
        <v>621220000208</v>
      </c>
      <c r="V1024" s="489">
        <v>621220000</v>
      </c>
      <c r="W1024" s="489">
        <v>208</v>
      </c>
      <c r="X1024" s="488" t="str">
        <f t="shared" si="231"/>
        <v/>
      </c>
      <c r="Y1024" s="489"/>
      <c r="Z1024" s="489"/>
      <c r="AA1024" s="490" t="str">
        <f t="shared" si="235"/>
        <v>1033</v>
      </c>
      <c r="AB1024" s="489">
        <v>10</v>
      </c>
      <c r="AC1024" s="489">
        <v>33</v>
      </c>
      <c r="AD1024" s="27">
        <v>212213</v>
      </c>
      <c r="AE1024" s="27" t="s">
        <v>2274</v>
      </c>
      <c r="AF1024" s="432">
        <v>0</v>
      </c>
      <c r="AG1024" s="432"/>
      <c r="AH1024" s="432">
        <f t="shared" si="232"/>
        <v>0</v>
      </c>
      <c r="AL1024" s="448"/>
      <c r="AM1024" s="467" t="e">
        <f>VLOOKUP(AD1024,[6]BV201101!$A$10:$A$1236,1,0)</f>
        <v>#N/A</v>
      </c>
    </row>
    <row r="1025" spans="1:39" s="467" customFormat="1" ht="12.75" customHeight="1">
      <c r="A1025" s="487" t="str">
        <f t="shared" si="234"/>
        <v>2</v>
      </c>
      <c r="B1025" s="487" t="str">
        <f t="shared" si="222"/>
        <v>12</v>
      </c>
      <c r="C1025" s="487" t="str">
        <f t="shared" si="223"/>
        <v>21</v>
      </c>
      <c r="D1025" s="487" t="str">
        <f t="shared" si="224"/>
        <v>2214</v>
      </c>
      <c r="E1025" s="487">
        <v>521220000</v>
      </c>
      <c r="F1025" s="488" t="str">
        <f t="shared" si="225"/>
        <v/>
      </c>
      <c r="G1025" s="489"/>
      <c r="H1025" s="489"/>
      <c r="I1025" s="488" t="str">
        <f t="shared" si="226"/>
        <v/>
      </c>
      <c r="J1025" s="487"/>
      <c r="K1025" s="487"/>
      <c r="L1025" s="488" t="str">
        <f t="shared" si="227"/>
        <v>653200000114</v>
      </c>
      <c r="M1025" s="487">
        <v>653200000</v>
      </c>
      <c r="N1025" s="487">
        <v>114</v>
      </c>
      <c r="O1025" s="488" t="str">
        <f t="shared" si="228"/>
        <v/>
      </c>
      <c r="P1025" s="489"/>
      <c r="Q1025" s="489"/>
      <c r="R1025" s="592" t="str">
        <f t="shared" si="229"/>
        <v/>
      </c>
      <c r="S1025" s="487"/>
      <c r="T1025" s="487"/>
      <c r="U1025" s="488" t="str">
        <f t="shared" si="230"/>
        <v/>
      </c>
      <c r="V1025" s="489"/>
      <c r="W1025" s="489"/>
      <c r="X1025" s="488" t="str">
        <f t="shared" si="231"/>
        <v/>
      </c>
      <c r="Y1025" s="489"/>
      <c r="Z1025" s="489"/>
      <c r="AA1025" s="490" t="str">
        <f t="shared" si="235"/>
        <v>1033</v>
      </c>
      <c r="AB1025" s="489">
        <v>10</v>
      </c>
      <c r="AC1025" s="489">
        <v>33</v>
      </c>
      <c r="AD1025" s="27">
        <v>212214</v>
      </c>
      <c r="AE1025" s="27" t="s">
        <v>886</v>
      </c>
      <c r="AF1025" s="432">
        <v>0</v>
      </c>
      <c r="AG1025" s="432"/>
      <c r="AH1025" s="432">
        <f t="shared" si="232"/>
        <v>0</v>
      </c>
      <c r="AL1025" s="448"/>
      <c r="AM1025" s="467" t="e">
        <f>VLOOKUP(AD1025,[6]BV201101!$A$10:$A$1236,1,0)</f>
        <v>#N/A</v>
      </c>
    </row>
    <row r="1026" spans="1:39" s="467" customFormat="1" ht="12.75" customHeight="1">
      <c r="A1026" s="487" t="str">
        <f t="shared" si="234"/>
        <v>2</v>
      </c>
      <c r="B1026" s="487" t="str">
        <f t="shared" si="222"/>
        <v>12</v>
      </c>
      <c r="C1026" s="487" t="str">
        <f t="shared" si="223"/>
        <v>21</v>
      </c>
      <c r="D1026" s="487" t="str">
        <f t="shared" si="224"/>
        <v>2215</v>
      </c>
      <c r="E1026" s="487">
        <v>521220000</v>
      </c>
      <c r="F1026" s="488" t="str">
        <f t="shared" ref="F1026:F1052" si="236">+G1026&amp;H1026</f>
        <v/>
      </c>
      <c r="G1026" s="489"/>
      <c r="H1026" s="489"/>
      <c r="I1026" s="488" t="str">
        <f t="shared" ref="I1026:I1052" si="237">+J1026&amp;K1026</f>
        <v/>
      </c>
      <c r="J1026" s="487"/>
      <c r="K1026" s="487"/>
      <c r="L1026" s="488" t="str">
        <f t="shared" ref="L1026:L1052" si="238">+M1026&amp;N1026</f>
        <v>652200000206</v>
      </c>
      <c r="M1026" s="487">
        <v>652200000</v>
      </c>
      <c r="N1026" s="487">
        <v>206</v>
      </c>
      <c r="O1026" s="488" t="str">
        <f t="shared" ref="O1026:O1052" si="239">+P1026&amp;Q1026</f>
        <v/>
      </c>
      <c r="P1026" s="489"/>
      <c r="Q1026" s="489"/>
      <c r="R1026" s="592" t="str">
        <f t="shared" ref="R1026:R1052" si="240">+S1026&amp;T1026</f>
        <v/>
      </c>
      <c r="S1026" s="487"/>
      <c r="T1026" s="487"/>
      <c r="U1026" s="488" t="str">
        <f t="shared" ref="U1026:U1052" si="241">+V1026&amp;W1026</f>
        <v>621220000206</v>
      </c>
      <c r="V1026" s="489">
        <v>621220000</v>
      </c>
      <c r="W1026" s="489">
        <v>206</v>
      </c>
      <c r="X1026" s="488" t="str">
        <f t="shared" ref="X1026:X1052" si="242">+Y1026&amp;Z1026</f>
        <v/>
      </c>
      <c r="Y1026" s="489"/>
      <c r="Z1026" s="489"/>
      <c r="AA1026" s="490" t="str">
        <f t="shared" si="235"/>
        <v>1033</v>
      </c>
      <c r="AB1026" s="489">
        <v>10</v>
      </c>
      <c r="AC1026" s="489">
        <v>33</v>
      </c>
      <c r="AD1026" s="27">
        <v>212215</v>
      </c>
      <c r="AE1026" s="27" t="s">
        <v>887</v>
      </c>
      <c r="AF1026" s="432">
        <f>VLOOKUP(AD1026,[5]Hoja1!$A$10:$K$1393,11,0)</f>
        <v>-4304353556</v>
      </c>
      <c r="AG1026" s="432"/>
      <c r="AH1026" s="432">
        <f t="shared" si="232"/>
        <v>-4304354</v>
      </c>
      <c r="AL1026" s="448"/>
      <c r="AM1026" s="467">
        <f>VLOOKUP(AD1026,[6]BV201101!$A$10:$A$1236,1,0)</f>
        <v>212215</v>
      </c>
    </row>
    <row r="1027" spans="1:39" s="467" customFormat="1" ht="12.75" customHeight="1">
      <c r="A1027" s="487" t="str">
        <f t="shared" si="234"/>
        <v>2</v>
      </c>
      <c r="B1027" s="487" t="str">
        <f t="shared" ref="B1027:B1052" si="243">RIGHT(LEFT($AD1027,3),2)</f>
        <v>12</v>
      </c>
      <c r="C1027" s="487" t="str">
        <f t="shared" ref="C1027:C1052" si="244">RIGHT(LEFT($AD1027,5),2)</f>
        <v>21</v>
      </c>
      <c r="D1027" s="487" t="str">
        <f t="shared" ref="D1027:D1052" si="245">RIGHT(LEFT($AD1027,9),4)</f>
        <v>2216</v>
      </c>
      <c r="E1027" s="487">
        <v>521220000</v>
      </c>
      <c r="F1027" s="488" t="str">
        <f t="shared" si="236"/>
        <v/>
      </c>
      <c r="G1027" s="489"/>
      <c r="H1027" s="489"/>
      <c r="I1027" s="488" t="str">
        <f t="shared" si="237"/>
        <v/>
      </c>
      <c r="J1027" s="487"/>
      <c r="K1027" s="487"/>
      <c r="L1027" s="488" t="str">
        <f t="shared" si="238"/>
        <v>652200000207</v>
      </c>
      <c r="M1027" s="487">
        <v>652200000</v>
      </c>
      <c r="N1027" s="487">
        <v>207</v>
      </c>
      <c r="O1027" s="488" t="str">
        <f t="shared" si="239"/>
        <v/>
      </c>
      <c r="P1027" s="489"/>
      <c r="Q1027" s="489"/>
      <c r="R1027" s="592" t="str">
        <f t="shared" si="240"/>
        <v/>
      </c>
      <c r="S1027" s="487"/>
      <c r="T1027" s="487"/>
      <c r="U1027" s="488" t="str">
        <f t="shared" si="241"/>
        <v>621220000207</v>
      </c>
      <c r="V1027" s="489">
        <v>621220000</v>
      </c>
      <c r="W1027" s="489">
        <v>207</v>
      </c>
      <c r="X1027" s="488" t="str">
        <f t="shared" si="242"/>
        <v/>
      </c>
      <c r="Y1027" s="489"/>
      <c r="Z1027" s="489"/>
      <c r="AA1027" s="490" t="str">
        <f t="shared" si="235"/>
        <v>1033</v>
      </c>
      <c r="AB1027" s="489">
        <v>10</v>
      </c>
      <c r="AC1027" s="489">
        <v>33</v>
      </c>
      <c r="AD1027" s="27">
        <v>212216</v>
      </c>
      <c r="AE1027" s="27" t="s">
        <v>2275</v>
      </c>
      <c r="AF1027" s="432">
        <v>0</v>
      </c>
      <c r="AG1027" s="432"/>
      <c r="AH1027" s="432">
        <f t="shared" si="232"/>
        <v>0</v>
      </c>
      <c r="AL1027" s="448"/>
      <c r="AM1027" s="467" t="e">
        <f>VLOOKUP(AD1027,[6]BV201101!$A$10:$A$1236,1,0)</f>
        <v>#N/A</v>
      </c>
    </row>
    <row r="1028" spans="1:39" s="467" customFormat="1" ht="12.75" customHeight="1">
      <c r="A1028" s="487" t="str">
        <f t="shared" si="234"/>
        <v>2</v>
      </c>
      <c r="B1028" s="487" t="str">
        <f t="shared" si="243"/>
        <v>12</v>
      </c>
      <c r="C1028" s="487" t="str">
        <f t="shared" si="244"/>
        <v>21</v>
      </c>
      <c r="D1028" s="487" t="str">
        <f t="shared" si="245"/>
        <v>2217</v>
      </c>
      <c r="E1028" s="487">
        <v>521220000</v>
      </c>
      <c r="F1028" s="488" t="str">
        <f t="shared" si="236"/>
        <v/>
      </c>
      <c r="G1028" s="489"/>
      <c r="H1028" s="489"/>
      <c r="I1028" s="488" t="str">
        <f t="shared" si="237"/>
        <v/>
      </c>
      <c r="J1028" s="487"/>
      <c r="K1028" s="487"/>
      <c r="L1028" s="488" t="str">
        <f t="shared" si="238"/>
        <v>652200000212</v>
      </c>
      <c r="M1028" s="487">
        <v>652200000</v>
      </c>
      <c r="N1028" s="487">
        <v>212</v>
      </c>
      <c r="O1028" s="488" t="str">
        <f t="shared" si="239"/>
        <v/>
      </c>
      <c r="P1028" s="489"/>
      <c r="Q1028" s="489"/>
      <c r="R1028" s="592" t="str">
        <f t="shared" si="240"/>
        <v/>
      </c>
      <c r="S1028" s="487"/>
      <c r="T1028" s="487"/>
      <c r="U1028" s="488" t="str">
        <f t="shared" si="241"/>
        <v>621220000212</v>
      </c>
      <c r="V1028" s="489">
        <v>621220000</v>
      </c>
      <c r="W1028" s="489">
        <v>212</v>
      </c>
      <c r="X1028" s="488" t="str">
        <f t="shared" si="242"/>
        <v/>
      </c>
      <c r="Y1028" s="489"/>
      <c r="Z1028" s="489"/>
      <c r="AA1028" s="490" t="str">
        <f t="shared" si="235"/>
        <v>1033</v>
      </c>
      <c r="AB1028" s="489">
        <v>10</v>
      </c>
      <c r="AC1028" s="489">
        <v>33</v>
      </c>
      <c r="AD1028" s="27">
        <v>212217</v>
      </c>
      <c r="AE1028" s="27" t="s">
        <v>1029</v>
      </c>
      <c r="AF1028" s="432">
        <f>VLOOKUP(AD1028,[5]Hoja1!$A$10:$K$1393,11,0)</f>
        <v>-3115134712</v>
      </c>
      <c r="AG1028" s="432"/>
      <c r="AH1028" s="432">
        <f t="shared" si="232"/>
        <v>-3115135</v>
      </c>
      <c r="AL1028" s="448"/>
      <c r="AM1028" s="467">
        <f>VLOOKUP(AD1028,[6]BV201101!$A$10:$A$1236,1,0)</f>
        <v>212217</v>
      </c>
    </row>
    <row r="1029" spans="1:39" s="467" customFormat="1" ht="12.75" customHeight="1">
      <c r="A1029" s="487" t="str">
        <f t="shared" si="234"/>
        <v>2</v>
      </c>
      <c r="B1029" s="487" t="str">
        <f t="shared" si="243"/>
        <v>12</v>
      </c>
      <c r="C1029" s="487" t="str">
        <f t="shared" si="244"/>
        <v>30</v>
      </c>
      <c r="D1029" s="487" t="str">
        <f t="shared" si="245"/>
        <v>2301</v>
      </c>
      <c r="E1029" s="487">
        <v>524460000</v>
      </c>
      <c r="F1029" s="488" t="str">
        <f t="shared" si="236"/>
        <v/>
      </c>
      <c r="G1029" s="489"/>
      <c r="H1029" s="489"/>
      <c r="I1029" s="488" t="str">
        <f t="shared" si="237"/>
        <v/>
      </c>
      <c r="J1029" s="487"/>
      <c r="K1029" s="487"/>
      <c r="L1029" s="488" t="str">
        <f t="shared" si="238"/>
        <v/>
      </c>
      <c r="M1029" s="487"/>
      <c r="N1029" s="487"/>
      <c r="O1029" s="488" t="str">
        <f t="shared" si="239"/>
        <v/>
      </c>
      <c r="P1029" s="489"/>
      <c r="Q1029" s="489"/>
      <c r="R1029" s="592" t="str">
        <f t="shared" si="240"/>
        <v/>
      </c>
      <c r="S1029" s="487"/>
      <c r="T1029" s="487"/>
      <c r="U1029" s="488" t="str">
        <f t="shared" si="241"/>
        <v/>
      </c>
      <c r="V1029" s="489"/>
      <c r="W1029" s="489"/>
      <c r="X1029" s="488" t="str">
        <f t="shared" si="242"/>
        <v/>
      </c>
      <c r="Y1029" s="489"/>
      <c r="Z1029" s="489"/>
      <c r="AA1029" s="490" t="str">
        <f t="shared" si="235"/>
        <v/>
      </c>
      <c r="AB1029" s="489"/>
      <c r="AC1029" s="489"/>
      <c r="AD1029" s="27">
        <v>212301</v>
      </c>
      <c r="AE1029" s="27" t="s">
        <v>2276</v>
      </c>
      <c r="AF1029" s="432">
        <f>VLOOKUP(AD1029,[5]Hoja1!$A$10:$K$1393,11,0)</f>
        <v>-1266186476</v>
      </c>
      <c r="AG1029" s="432">
        <v>0</v>
      </c>
      <c r="AH1029" s="432">
        <f t="shared" si="232"/>
        <v>-1266186</v>
      </c>
      <c r="AL1029" s="448"/>
      <c r="AM1029" s="467" t="e">
        <f>VLOOKUP(AD1029,[6]BV201101!$A$10:$A$1236,1,0)</f>
        <v>#N/A</v>
      </c>
    </row>
    <row r="1030" spans="1:39" s="467" customFormat="1" ht="12.75" customHeight="1">
      <c r="A1030" s="487" t="str">
        <f t="shared" si="234"/>
        <v>2</v>
      </c>
      <c r="B1030" s="487" t="str">
        <f t="shared" si="243"/>
        <v>12</v>
      </c>
      <c r="C1030" s="487" t="str">
        <f t="shared" si="244"/>
        <v>30</v>
      </c>
      <c r="D1030" s="487" t="str">
        <f t="shared" si="245"/>
        <v>2302</v>
      </c>
      <c r="E1030" s="487">
        <v>514430000</v>
      </c>
      <c r="F1030" s="488" t="str">
        <f t="shared" si="236"/>
        <v/>
      </c>
      <c r="G1030" s="489"/>
      <c r="H1030" s="489"/>
      <c r="I1030" s="488" t="str">
        <f t="shared" si="237"/>
        <v/>
      </c>
      <c r="J1030" s="487"/>
      <c r="K1030" s="487"/>
      <c r="L1030" s="488" t="str">
        <f t="shared" si="238"/>
        <v/>
      </c>
      <c r="M1030" s="487"/>
      <c r="N1030" s="487"/>
      <c r="O1030" s="488" t="str">
        <f t="shared" si="239"/>
        <v/>
      </c>
      <c r="P1030" s="489"/>
      <c r="Q1030" s="489"/>
      <c r="R1030" s="592" t="str">
        <f t="shared" si="240"/>
        <v/>
      </c>
      <c r="S1030" s="487"/>
      <c r="T1030" s="487"/>
      <c r="U1030" s="488" t="str">
        <f t="shared" si="241"/>
        <v/>
      </c>
      <c r="V1030" s="489"/>
      <c r="W1030" s="489"/>
      <c r="X1030" s="488" t="str">
        <f t="shared" si="242"/>
        <v/>
      </c>
      <c r="Y1030" s="489"/>
      <c r="Z1030" s="489"/>
      <c r="AA1030" s="490" t="str">
        <f t="shared" si="235"/>
        <v/>
      </c>
      <c r="AB1030" s="489"/>
      <c r="AC1030" s="489"/>
      <c r="AD1030" s="27">
        <v>212302</v>
      </c>
      <c r="AE1030" s="27" t="s">
        <v>2277</v>
      </c>
      <c r="AF1030" s="432">
        <v>0</v>
      </c>
      <c r="AG1030" s="432"/>
      <c r="AH1030" s="432">
        <f t="shared" si="232"/>
        <v>0</v>
      </c>
      <c r="AL1030" s="448"/>
      <c r="AM1030" s="467" t="e">
        <f>VLOOKUP(AD1030,[6]BV201101!$A$10:$A$1236,1,0)</f>
        <v>#N/A</v>
      </c>
    </row>
    <row r="1031" spans="1:39" s="467" customFormat="1" ht="12.75" customHeight="1">
      <c r="A1031" s="487" t="str">
        <f t="shared" si="234"/>
        <v>2</v>
      </c>
      <c r="B1031" s="487" t="str">
        <f t="shared" si="243"/>
        <v>15</v>
      </c>
      <c r="C1031" s="487" t="str">
        <f t="shared" si="244"/>
        <v>01</v>
      </c>
      <c r="D1031" s="487" t="str">
        <f t="shared" si="245"/>
        <v>5011</v>
      </c>
      <c r="E1031" s="487">
        <v>524470000</v>
      </c>
      <c r="F1031" s="488"/>
      <c r="G1031" s="489"/>
      <c r="H1031" s="489"/>
      <c r="I1031" s="488"/>
      <c r="J1031" s="487"/>
      <c r="K1031" s="487"/>
      <c r="L1031" s="488"/>
      <c r="M1031" s="487"/>
      <c r="N1031" s="487"/>
      <c r="O1031" s="488"/>
      <c r="P1031" s="489"/>
      <c r="Q1031" s="489"/>
      <c r="R1031" s="592"/>
      <c r="S1031" s="487"/>
      <c r="T1031" s="487"/>
      <c r="U1031" s="488"/>
      <c r="V1031" s="489"/>
      <c r="W1031" s="489"/>
      <c r="X1031" s="488"/>
      <c r="Y1031" s="489"/>
      <c r="Z1031" s="489"/>
      <c r="AA1031" s="490"/>
      <c r="AB1031" s="489"/>
      <c r="AC1031" s="489"/>
      <c r="AD1031" s="27">
        <v>215011</v>
      </c>
      <c r="AE1031" s="27" t="s">
        <v>1901</v>
      </c>
      <c r="AF1031" s="432">
        <f>VLOOKUP(AD1031,[5]Hoja1!$A$10:$K$1393,11,0)</f>
        <v>-135581180</v>
      </c>
      <c r="AG1031" s="1507">
        <f>-AF1031</f>
        <v>135581180</v>
      </c>
      <c r="AH1031" s="432">
        <f t="shared" si="232"/>
        <v>0</v>
      </c>
      <c r="AL1031" s="448"/>
      <c r="AM1031" s="467">
        <f>VLOOKUP(AD1031,[6]BV201101!$A$10:$A$1236,1,0)</f>
        <v>215011</v>
      </c>
    </row>
    <row r="1032" spans="1:39" s="467" customFormat="1" ht="12.75" customHeight="1">
      <c r="A1032" s="487" t="str">
        <f t="shared" si="234"/>
        <v>2</v>
      </c>
      <c r="B1032" s="487" t="str">
        <f t="shared" si="243"/>
        <v>15</v>
      </c>
      <c r="C1032" s="487" t="str">
        <f t="shared" si="244"/>
        <v>01</v>
      </c>
      <c r="D1032" s="487" t="str">
        <f t="shared" si="245"/>
        <v>5012</v>
      </c>
      <c r="E1032" s="487">
        <v>524470000</v>
      </c>
      <c r="F1032" s="488"/>
      <c r="G1032" s="489"/>
      <c r="H1032" s="489"/>
      <c r="I1032" s="488"/>
      <c r="J1032" s="487"/>
      <c r="K1032" s="487"/>
      <c r="L1032" s="488"/>
      <c r="M1032" s="487"/>
      <c r="N1032" s="487"/>
      <c r="O1032" s="488"/>
      <c r="P1032" s="489"/>
      <c r="Q1032" s="489"/>
      <c r="R1032" s="592"/>
      <c r="S1032" s="487"/>
      <c r="T1032" s="487"/>
      <c r="U1032" s="488"/>
      <c r="V1032" s="489"/>
      <c r="W1032" s="489"/>
      <c r="X1032" s="488"/>
      <c r="Y1032" s="489"/>
      <c r="Z1032" s="489"/>
      <c r="AA1032" s="490"/>
      <c r="AB1032" s="489"/>
      <c r="AC1032" s="489"/>
      <c r="AD1032" s="27">
        <v>215012</v>
      </c>
      <c r="AE1032" s="27" t="s">
        <v>1902</v>
      </c>
      <c r="AF1032" s="432">
        <f>VLOOKUP(AD1032,[5]Hoja1!$A$10:$K$1393,11,0)</f>
        <v>-9655496167</v>
      </c>
      <c r="AG1032" s="1507">
        <f>-AF1032</f>
        <v>9655496167</v>
      </c>
      <c r="AH1032" s="432">
        <f t="shared" si="232"/>
        <v>0</v>
      </c>
      <c r="AL1032" s="448"/>
      <c r="AM1032" s="467">
        <f>VLOOKUP(AD1032,[6]BV201101!$A$10:$A$1236,1,0)</f>
        <v>215012</v>
      </c>
    </row>
    <row r="1033" spans="1:39" s="467" customFormat="1" ht="12.75" customHeight="1">
      <c r="A1033" s="487" t="str">
        <f t="shared" si="234"/>
        <v>2</v>
      </c>
      <c r="B1033" s="487" t="str">
        <f t="shared" si="243"/>
        <v>20</v>
      </c>
      <c r="C1033" s="487" t="str">
        <f t="shared" si="244"/>
        <v>00</v>
      </c>
      <c r="D1033" s="487" t="str">
        <f t="shared" si="245"/>
        <v>0001</v>
      </c>
      <c r="E1033" s="487">
        <v>524470000</v>
      </c>
      <c r="F1033" s="488"/>
      <c r="G1033" s="489"/>
      <c r="H1033" s="489"/>
      <c r="I1033" s="488"/>
      <c r="J1033" s="487"/>
      <c r="K1033" s="487"/>
      <c r="L1033" s="488"/>
      <c r="M1033" s="487"/>
      <c r="N1033" s="487"/>
      <c r="O1033" s="488"/>
      <c r="P1033" s="489"/>
      <c r="Q1033" s="489"/>
      <c r="R1033" s="592"/>
      <c r="S1033" s="487"/>
      <c r="T1033" s="487"/>
      <c r="U1033" s="488"/>
      <c r="V1033" s="489"/>
      <c r="W1033" s="489"/>
      <c r="X1033" s="488"/>
      <c r="Y1033" s="489"/>
      <c r="Z1033" s="489"/>
      <c r="AA1033" s="490"/>
      <c r="AB1033" s="489"/>
      <c r="AC1033" s="489"/>
      <c r="AD1033" s="27">
        <v>220001</v>
      </c>
      <c r="AE1033" s="27" t="s">
        <v>720</v>
      </c>
      <c r="AF1033" s="432">
        <f>VLOOKUP(AD1033,[5]Hoja1!$A$10:$K$1393,11,0)</f>
        <v>0</v>
      </c>
      <c r="AG1033" s="432"/>
      <c r="AH1033" s="432">
        <f t="shared" si="232"/>
        <v>0</v>
      </c>
      <c r="AL1033" s="448"/>
      <c r="AM1033" s="467">
        <f>VLOOKUP(AD1033,[6]BV201101!$A$10:$A$1236,1,0)</f>
        <v>220001</v>
      </c>
    </row>
    <row r="1034" spans="1:39" s="467" customFormat="1" ht="12.75" customHeight="1">
      <c r="A1034" s="487" t="str">
        <f t="shared" si="234"/>
        <v>3</v>
      </c>
      <c r="B1034" s="487" t="str">
        <f t="shared" si="243"/>
        <v>10</v>
      </c>
      <c r="C1034" s="487" t="str">
        <f t="shared" si="244"/>
        <v>00</v>
      </c>
      <c r="D1034" s="487" t="str">
        <f t="shared" si="245"/>
        <v>0001</v>
      </c>
      <c r="E1034" s="487">
        <v>526100000</v>
      </c>
      <c r="F1034" s="488" t="str">
        <f t="shared" si="236"/>
        <v/>
      </c>
      <c r="G1034" s="489"/>
      <c r="H1034" s="489"/>
      <c r="I1034" s="488" t="str">
        <f t="shared" si="237"/>
        <v/>
      </c>
      <c r="J1034" s="487"/>
      <c r="K1034" s="487"/>
      <c r="L1034" s="488" t="str">
        <f t="shared" si="238"/>
        <v/>
      </c>
      <c r="M1034" s="487"/>
      <c r="N1034" s="487"/>
      <c r="O1034" s="488" t="str">
        <f t="shared" si="239"/>
        <v/>
      </c>
      <c r="P1034" s="489"/>
      <c r="Q1034" s="489"/>
      <c r="R1034" s="592" t="str">
        <f t="shared" si="240"/>
        <v/>
      </c>
      <c r="S1034" s="487"/>
      <c r="T1034" s="487"/>
      <c r="U1034" s="488" t="str">
        <f t="shared" si="241"/>
        <v/>
      </c>
      <c r="V1034" s="489"/>
      <c r="W1034" s="489"/>
      <c r="X1034" s="488" t="str">
        <f t="shared" si="242"/>
        <v/>
      </c>
      <c r="Y1034" s="489"/>
      <c r="Z1034" s="489"/>
      <c r="AA1034" s="490" t="str">
        <f t="shared" si="235"/>
        <v>121</v>
      </c>
      <c r="AB1034" s="489">
        <v>12</v>
      </c>
      <c r="AC1034" s="489">
        <v>1</v>
      </c>
      <c r="AD1034" s="27">
        <v>310001</v>
      </c>
      <c r="AE1034" s="27" t="s">
        <v>158</v>
      </c>
      <c r="AF1034" s="432">
        <f>VLOOKUP(AD1034,[5]Hoja1!$A$10:$K$1393,11,0)</f>
        <v>-153150666685</v>
      </c>
      <c r="AG1034" s="1507">
        <v>-218239700</v>
      </c>
      <c r="AH1034" s="432">
        <f t="shared" si="232"/>
        <v>-153368906</v>
      </c>
      <c r="AL1034" s="448"/>
      <c r="AM1034" s="467">
        <f>VLOOKUP(AD1034,[6]BV201101!$A$10:$A$1236,1,0)</f>
        <v>310001</v>
      </c>
    </row>
    <row r="1035" spans="1:39" s="467" customFormat="1" ht="12.75" customHeight="1">
      <c r="A1035" s="487" t="str">
        <f t="shared" si="234"/>
        <v>3</v>
      </c>
      <c r="B1035" s="487" t="str">
        <f t="shared" si="243"/>
        <v>10</v>
      </c>
      <c r="C1035" s="487" t="str">
        <f t="shared" si="244"/>
        <v>00</v>
      </c>
      <c r="D1035" s="487" t="str">
        <f t="shared" si="245"/>
        <v>0002</v>
      </c>
      <c r="E1035" s="487">
        <v>526220000</v>
      </c>
      <c r="F1035" s="488" t="str">
        <f t="shared" si="236"/>
        <v/>
      </c>
      <c r="G1035" s="489"/>
      <c r="H1035" s="489"/>
      <c r="I1035" s="488" t="str">
        <f t="shared" si="237"/>
        <v/>
      </c>
      <c r="J1035" s="487"/>
      <c r="K1035" s="487"/>
      <c r="L1035" s="488" t="str">
        <f t="shared" si="238"/>
        <v/>
      </c>
      <c r="M1035" s="487"/>
      <c r="N1035" s="487"/>
      <c r="O1035" s="488" t="str">
        <f t="shared" si="239"/>
        <v/>
      </c>
      <c r="P1035" s="489"/>
      <c r="Q1035" s="489"/>
      <c r="R1035" s="592" t="str">
        <f t="shared" si="240"/>
        <v/>
      </c>
      <c r="S1035" s="487"/>
      <c r="T1035" s="487"/>
      <c r="U1035" s="488" t="str">
        <f t="shared" si="241"/>
        <v/>
      </c>
      <c r="V1035" s="489"/>
      <c r="W1035" s="489"/>
      <c r="X1035" s="488" t="str">
        <f t="shared" si="242"/>
        <v/>
      </c>
      <c r="Y1035" s="489"/>
      <c r="Z1035" s="489"/>
      <c r="AA1035" s="490" t="str">
        <f t="shared" si="235"/>
        <v>1250</v>
      </c>
      <c r="AB1035" s="489">
        <v>12</v>
      </c>
      <c r="AC1035" s="489">
        <v>50</v>
      </c>
      <c r="AD1035" s="27">
        <v>310002</v>
      </c>
      <c r="AE1035" s="27" t="s">
        <v>2278</v>
      </c>
      <c r="AF1035" s="432">
        <f>VLOOKUP(AD1035,[5]Hoja1!$A$10:$K$1393,11,0)</f>
        <v>-3193809937</v>
      </c>
      <c r="AG1035" s="432"/>
      <c r="AH1035" s="432">
        <f t="shared" si="232"/>
        <v>-3193810</v>
      </c>
      <c r="AL1035" s="448"/>
      <c r="AM1035" s="467">
        <f>VLOOKUP(AD1035,[6]BV201101!$A$10:$A$1236,1,0)</f>
        <v>310002</v>
      </c>
    </row>
    <row r="1036" spans="1:39" s="467" customFormat="1" ht="12.75" customHeight="1">
      <c r="A1036" s="487" t="str">
        <f t="shared" si="234"/>
        <v>3</v>
      </c>
      <c r="B1036" s="487" t="str">
        <f t="shared" si="243"/>
        <v>10</v>
      </c>
      <c r="C1036" s="487" t="str">
        <f t="shared" si="244"/>
        <v>10</v>
      </c>
      <c r="D1036" s="487" t="str">
        <f t="shared" si="245"/>
        <v>0101</v>
      </c>
      <c r="E1036" s="487">
        <v>526210000</v>
      </c>
      <c r="F1036" s="488" t="str">
        <f t="shared" si="236"/>
        <v/>
      </c>
      <c r="G1036" s="489"/>
      <c r="H1036" s="489"/>
      <c r="I1036" s="488" t="str">
        <f t="shared" si="237"/>
        <v/>
      </c>
      <c r="J1036" s="487"/>
      <c r="K1036" s="487"/>
      <c r="L1036" s="488" t="str">
        <f t="shared" si="238"/>
        <v/>
      </c>
      <c r="M1036" s="487"/>
      <c r="N1036" s="487"/>
      <c r="O1036" s="488" t="str">
        <f t="shared" si="239"/>
        <v/>
      </c>
      <c r="P1036" s="489"/>
      <c r="Q1036" s="489"/>
      <c r="R1036" s="592" t="str">
        <f t="shared" si="240"/>
        <v/>
      </c>
      <c r="S1036" s="487"/>
      <c r="T1036" s="487"/>
      <c r="U1036" s="488" t="str">
        <f t="shared" si="241"/>
        <v/>
      </c>
      <c r="V1036" s="489"/>
      <c r="W1036" s="489"/>
      <c r="X1036" s="488" t="str">
        <f t="shared" si="242"/>
        <v/>
      </c>
      <c r="Y1036" s="489"/>
      <c r="Z1036" s="489"/>
      <c r="AA1036" s="490" t="str">
        <f t="shared" si="235"/>
        <v>121</v>
      </c>
      <c r="AB1036" s="489">
        <v>12</v>
      </c>
      <c r="AC1036" s="489">
        <v>1</v>
      </c>
      <c r="AD1036" s="27">
        <v>310101</v>
      </c>
      <c r="AE1036" s="27" t="s">
        <v>159</v>
      </c>
      <c r="AF1036" s="432">
        <f>VLOOKUP(AD1036,[5]Hoja1!$A$10:$K$1393,11,0)</f>
        <v>-6199627045</v>
      </c>
      <c r="AG1036" s="1507">
        <v>218239700</v>
      </c>
      <c r="AH1036" s="432">
        <f t="shared" si="232"/>
        <v>-5981387</v>
      </c>
      <c r="AL1036" s="492"/>
      <c r="AM1036" s="467">
        <f>VLOOKUP(AD1036,[6]BV201101!$A$10:$A$1236,1,0)</f>
        <v>310101</v>
      </c>
    </row>
    <row r="1037" spans="1:39" s="467" customFormat="1" ht="12.75" customHeight="1">
      <c r="A1037" s="487" t="str">
        <f t="shared" si="234"/>
        <v>3</v>
      </c>
      <c r="B1037" s="487" t="str">
        <f t="shared" si="243"/>
        <v>10</v>
      </c>
      <c r="C1037" s="487" t="str">
        <f t="shared" si="244"/>
        <v>10</v>
      </c>
      <c r="D1037" s="487" t="str">
        <f t="shared" si="245"/>
        <v>0102</v>
      </c>
      <c r="E1037" s="487">
        <v>526220000</v>
      </c>
      <c r="F1037" s="488" t="str">
        <f t="shared" si="236"/>
        <v/>
      </c>
      <c r="G1037" s="489"/>
      <c r="H1037" s="489"/>
      <c r="I1037" s="488" t="str">
        <f t="shared" si="237"/>
        <v/>
      </c>
      <c r="J1037" s="487"/>
      <c r="K1037" s="487"/>
      <c r="L1037" s="488" t="str">
        <f t="shared" si="238"/>
        <v/>
      </c>
      <c r="M1037" s="487"/>
      <c r="N1037" s="487"/>
      <c r="O1037" s="488" t="str">
        <f t="shared" si="239"/>
        <v/>
      </c>
      <c r="P1037" s="489"/>
      <c r="Q1037" s="489"/>
      <c r="R1037" s="592" t="str">
        <f t="shared" si="240"/>
        <v/>
      </c>
      <c r="S1037" s="487"/>
      <c r="T1037" s="487"/>
      <c r="U1037" s="488" t="str">
        <f t="shared" si="241"/>
        <v/>
      </c>
      <c r="V1037" s="489"/>
      <c r="W1037" s="489"/>
      <c r="X1037" s="488" t="str">
        <f t="shared" si="242"/>
        <v/>
      </c>
      <c r="Y1037" s="489"/>
      <c r="Z1037" s="489"/>
      <c r="AA1037" s="490" t="str">
        <f t="shared" si="235"/>
        <v>1250</v>
      </c>
      <c r="AB1037" s="489">
        <v>12</v>
      </c>
      <c r="AC1037" s="489">
        <v>50</v>
      </c>
      <c r="AD1037" s="27">
        <v>310102</v>
      </c>
      <c r="AE1037" s="27" t="s">
        <v>2279</v>
      </c>
      <c r="AF1037" s="432">
        <f>VLOOKUP(AD1037,[5]Hoja1!$A$10:$K$1393,11,0)</f>
        <v>-129287265</v>
      </c>
      <c r="AG1037" s="432"/>
      <c r="AH1037" s="432">
        <f t="shared" si="232"/>
        <v>-129287</v>
      </c>
      <c r="AL1037" s="448"/>
      <c r="AM1037" s="467">
        <f>VLOOKUP(AD1037,[6]BV201101!$A$10:$A$1236,1,0)</f>
        <v>310102</v>
      </c>
    </row>
    <row r="1038" spans="1:39" s="467" customFormat="1" ht="12.75" customHeight="1">
      <c r="A1038" s="487" t="str">
        <f t="shared" si="234"/>
        <v>3</v>
      </c>
      <c r="B1038" s="487" t="str">
        <f t="shared" si="243"/>
        <v>10</v>
      </c>
      <c r="C1038" s="487" t="str">
        <f t="shared" si="244"/>
        <v>10</v>
      </c>
      <c r="D1038" s="487" t="str">
        <f t="shared" si="245"/>
        <v>0103</v>
      </c>
      <c r="E1038" s="487">
        <v>526410000</v>
      </c>
      <c r="F1038" s="488" t="str">
        <f t="shared" si="236"/>
        <v/>
      </c>
      <c r="G1038" s="489"/>
      <c r="H1038" s="489"/>
      <c r="I1038" s="488" t="str">
        <f t="shared" si="237"/>
        <v/>
      </c>
      <c r="J1038" s="487"/>
      <c r="K1038" s="487"/>
      <c r="L1038" s="488" t="str">
        <f t="shared" si="238"/>
        <v/>
      </c>
      <c r="M1038" s="487"/>
      <c r="N1038" s="487"/>
      <c r="O1038" s="488" t="str">
        <f t="shared" si="239"/>
        <v/>
      </c>
      <c r="P1038" s="489"/>
      <c r="Q1038" s="489"/>
      <c r="R1038" s="592" t="str">
        <f t="shared" si="240"/>
        <v/>
      </c>
      <c r="S1038" s="487"/>
      <c r="T1038" s="487"/>
      <c r="U1038" s="488" t="str">
        <f t="shared" si="241"/>
        <v/>
      </c>
      <c r="V1038" s="489"/>
      <c r="W1038" s="489"/>
      <c r="X1038" s="488" t="str">
        <f t="shared" si="242"/>
        <v/>
      </c>
      <c r="Y1038" s="489"/>
      <c r="Z1038" s="489"/>
      <c r="AA1038" s="490" t="str">
        <f t="shared" si="235"/>
        <v>122</v>
      </c>
      <c r="AB1038" s="489">
        <v>12</v>
      </c>
      <c r="AC1038" s="489">
        <v>2</v>
      </c>
      <c r="AD1038" s="27">
        <v>310103</v>
      </c>
      <c r="AE1038" s="27" t="s">
        <v>160</v>
      </c>
      <c r="AF1038" s="432">
        <f>VLOOKUP(AD1038,[5]Hoja1!$A$10:$K$1393,11,0)</f>
        <v>-4848086388</v>
      </c>
      <c r="AG1038" s="432"/>
      <c r="AH1038" s="432">
        <f t="shared" si="232"/>
        <v>-4848086</v>
      </c>
      <c r="AL1038" s="448"/>
      <c r="AM1038" s="467">
        <f>VLOOKUP(AD1038,[6]BV201101!$A$10:$A$1236,1,0)</f>
        <v>310103</v>
      </c>
    </row>
    <row r="1039" spans="1:39" s="467" customFormat="1" ht="12.75" customHeight="1">
      <c r="A1039" s="487" t="str">
        <f t="shared" si="234"/>
        <v>3</v>
      </c>
      <c r="B1039" s="487" t="str">
        <f t="shared" si="243"/>
        <v>10</v>
      </c>
      <c r="C1039" s="487" t="str">
        <f t="shared" si="244"/>
        <v>10</v>
      </c>
      <c r="D1039" s="487" t="str">
        <f t="shared" si="245"/>
        <v>0104</v>
      </c>
      <c r="E1039" s="487">
        <v>526410000</v>
      </c>
      <c r="F1039" s="488" t="str">
        <f t="shared" si="236"/>
        <v/>
      </c>
      <c r="G1039" s="489"/>
      <c r="H1039" s="489"/>
      <c r="I1039" s="488" t="str">
        <f t="shared" si="237"/>
        <v/>
      </c>
      <c r="J1039" s="487"/>
      <c r="K1039" s="487"/>
      <c r="L1039" s="488" t="str">
        <f t="shared" si="238"/>
        <v/>
      </c>
      <c r="M1039" s="487"/>
      <c r="N1039" s="487"/>
      <c r="O1039" s="488" t="str">
        <f t="shared" si="239"/>
        <v/>
      </c>
      <c r="P1039" s="489"/>
      <c r="Q1039" s="489"/>
      <c r="R1039" s="592" t="str">
        <f t="shared" si="240"/>
        <v/>
      </c>
      <c r="S1039" s="487"/>
      <c r="T1039" s="487"/>
      <c r="U1039" s="488" t="str">
        <f t="shared" si="241"/>
        <v/>
      </c>
      <c r="V1039" s="489"/>
      <c r="W1039" s="489"/>
      <c r="X1039" s="488" t="str">
        <f t="shared" si="242"/>
        <v/>
      </c>
      <c r="Y1039" s="489"/>
      <c r="Z1039" s="489"/>
      <c r="AA1039" s="490" t="str">
        <f t="shared" si="235"/>
        <v/>
      </c>
      <c r="AB1039" s="489"/>
      <c r="AC1039" s="489"/>
      <c r="AD1039" s="27">
        <v>310104</v>
      </c>
      <c r="AE1039" s="27" t="s">
        <v>2280</v>
      </c>
      <c r="AF1039" s="432">
        <f>VLOOKUP(AD1039,[5]Hoja1!$A$10:$K$1393,11,0)</f>
        <v>20321870989</v>
      </c>
      <c r="AG1039" s="1507">
        <f>-AF1039</f>
        <v>-20321870989</v>
      </c>
      <c r="AH1039" s="432">
        <f t="shared" si="232"/>
        <v>0</v>
      </c>
      <c r="AL1039" s="448"/>
      <c r="AM1039" s="467">
        <f>VLOOKUP(AD1039,[6]BV201101!$A$10:$A$1236,1,0)</f>
        <v>310104</v>
      </c>
    </row>
    <row r="1040" spans="1:39" s="467" customFormat="1" ht="12.75" customHeight="1">
      <c r="A1040" s="487" t="str">
        <f t="shared" si="234"/>
        <v>3</v>
      </c>
      <c r="B1040" s="487" t="str">
        <f t="shared" si="243"/>
        <v>10</v>
      </c>
      <c r="C1040" s="487" t="str">
        <f t="shared" si="244"/>
        <v>10</v>
      </c>
      <c r="D1040" s="487" t="str">
        <f t="shared" si="245"/>
        <v>0105</v>
      </c>
      <c r="E1040" s="487">
        <v>526440000</v>
      </c>
      <c r="F1040" s="488" t="str">
        <f t="shared" si="236"/>
        <v/>
      </c>
      <c r="G1040" s="489"/>
      <c r="H1040" s="489"/>
      <c r="I1040" s="488" t="str">
        <f t="shared" si="237"/>
        <v/>
      </c>
      <c r="J1040" s="487"/>
      <c r="K1040" s="487"/>
      <c r="L1040" s="488" t="str">
        <f t="shared" si="238"/>
        <v/>
      </c>
      <c r="M1040" s="487"/>
      <c r="N1040" s="487"/>
      <c r="O1040" s="488" t="str">
        <f t="shared" si="239"/>
        <v/>
      </c>
      <c r="P1040" s="489"/>
      <c r="Q1040" s="489"/>
      <c r="R1040" s="592" t="str">
        <f t="shared" si="240"/>
        <v/>
      </c>
      <c r="S1040" s="487"/>
      <c r="T1040" s="487"/>
      <c r="U1040" s="488" t="str">
        <f t="shared" si="241"/>
        <v/>
      </c>
      <c r="V1040" s="489"/>
      <c r="W1040" s="489"/>
      <c r="X1040" s="488" t="str">
        <f t="shared" si="242"/>
        <v/>
      </c>
      <c r="Y1040" s="489"/>
      <c r="Z1040" s="489"/>
      <c r="AA1040" s="490" t="str">
        <f t="shared" si="235"/>
        <v/>
      </c>
      <c r="AB1040" s="489"/>
      <c r="AC1040" s="489"/>
      <c r="AD1040" s="27">
        <v>310105</v>
      </c>
      <c r="AE1040" s="27" t="s">
        <v>1222</v>
      </c>
      <c r="AF1040" s="432">
        <v>0</v>
      </c>
      <c r="AG1040" s="432"/>
      <c r="AH1040" s="432">
        <f t="shared" si="232"/>
        <v>0</v>
      </c>
      <c r="AL1040" s="448"/>
      <c r="AM1040" s="467" t="e">
        <f>VLOOKUP(AD1040,[6]BV201101!$A$10:$A$1236,1,0)</f>
        <v>#N/A</v>
      </c>
    </row>
    <row r="1041" spans="1:39" s="467" customFormat="1" ht="12.75" customHeight="1">
      <c r="A1041" s="487" t="str">
        <f t="shared" si="234"/>
        <v>3</v>
      </c>
      <c r="B1041" s="487" t="str">
        <f t="shared" si="243"/>
        <v>10</v>
      </c>
      <c r="C1041" s="487" t="str">
        <f t="shared" si="244"/>
        <v>10</v>
      </c>
      <c r="D1041" s="487" t="str">
        <f t="shared" si="245"/>
        <v>0106</v>
      </c>
      <c r="E1041" s="487">
        <v>526410000</v>
      </c>
      <c r="F1041" s="488"/>
      <c r="G1041" s="489"/>
      <c r="H1041" s="489"/>
      <c r="I1041" s="488"/>
      <c r="J1041" s="487"/>
      <c r="K1041" s="487"/>
      <c r="L1041" s="488"/>
      <c r="M1041" s="487"/>
      <c r="N1041" s="487"/>
      <c r="O1041" s="488"/>
      <c r="P1041" s="489"/>
      <c r="Q1041" s="489"/>
      <c r="R1041" s="592"/>
      <c r="S1041" s="487"/>
      <c r="T1041" s="487"/>
      <c r="U1041" s="488"/>
      <c r="V1041" s="489"/>
      <c r="W1041" s="489"/>
      <c r="X1041" s="488"/>
      <c r="Y1041" s="489"/>
      <c r="Z1041" s="489"/>
      <c r="AA1041" s="490"/>
      <c r="AB1041" s="489"/>
      <c r="AC1041" s="489"/>
      <c r="AD1041" s="27">
        <v>310106</v>
      </c>
      <c r="AE1041" s="27" t="s">
        <v>2281</v>
      </c>
      <c r="AF1041" s="432">
        <f>VLOOKUP(AD1041,[5]Hoja1!$A$10:$K$1393,11,0)</f>
        <v>15133361865</v>
      </c>
      <c r="AG1041" s="1507">
        <f>-AF1041</f>
        <v>-15133361865</v>
      </c>
      <c r="AH1041" s="432">
        <f t="shared" si="232"/>
        <v>0</v>
      </c>
      <c r="AL1041" s="448"/>
      <c r="AM1041" s="467">
        <f>VLOOKUP(AD1041,[6]BV201101!$A$10:$A$1236,1,0)</f>
        <v>310106</v>
      </c>
    </row>
    <row r="1042" spans="1:39" s="467" customFormat="1" ht="12.75" customHeight="1">
      <c r="A1042" s="487" t="str">
        <f t="shared" si="234"/>
        <v>3</v>
      </c>
      <c r="B1042" s="487" t="str">
        <f t="shared" si="243"/>
        <v>10</v>
      </c>
      <c r="C1042" s="487" t="str">
        <f t="shared" si="244"/>
        <v>10</v>
      </c>
      <c r="D1042" s="487" t="str">
        <f t="shared" si="245"/>
        <v>0107</v>
      </c>
      <c r="E1042" s="487">
        <v>526410000</v>
      </c>
      <c r="F1042" s="488"/>
      <c r="G1042" s="489"/>
      <c r="H1042" s="489"/>
      <c r="I1042" s="488"/>
      <c r="J1042" s="487"/>
      <c r="K1042" s="487"/>
      <c r="L1042" s="488"/>
      <c r="M1042" s="487"/>
      <c r="N1042" s="487"/>
      <c r="O1042" s="488"/>
      <c r="P1042" s="489"/>
      <c r="Q1042" s="489"/>
      <c r="R1042" s="592"/>
      <c r="S1042" s="487"/>
      <c r="T1042" s="487"/>
      <c r="U1042" s="488"/>
      <c r="V1042" s="489"/>
      <c r="W1042" s="489"/>
      <c r="X1042" s="488"/>
      <c r="Y1042" s="489"/>
      <c r="Z1042" s="489"/>
      <c r="AA1042" s="490"/>
      <c r="AB1042" s="489"/>
      <c r="AC1042" s="489"/>
      <c r="AD1042" s="27">
        <v>310107</v>
      </c>
      <c r="AE1042" s="27" t="s">
        <v>1409</v>
      </c>
      <c r="AF1042" s="432">
        <f>VLOOKUP(AD1042,[5]Hoja1!$A$10:$K$1393,11,0)</f>
        <v>8436682668</v>
      </c>
      <c r="AG1042" s="1507">
        <f>-AF1042</f>
        <v>-8436682668</v>
      </c>
      <c r="AH1042" s="432">
        <f t="shared" si="232"/>
        <v>0</v>
      </c>
      <c r="AL1042" s="448"/>
      <c r="AM1042" s="467">
        <f>VLOOKUP(AD1042,[6]BV201101!$A$10:$A$1236,1,0)</f>
        <v>310107</v>
      </c>
    </row>
    <row r="1043" spans="1:39" s="467" customFormat="1" ht="12.75" customHeight="1">
      <c r="A1043" s="487" t="str">
        <f t="shared" si="234"/>
        <v>3</v>
      </c>
      <c r="B1043" s="487" t="str">
        <f t="shared" si="243"/>
        <v>10</v>
      </c>
      <c r="C1043" s="487" t="str">
        <f t="shared" si="244"/>
        <v>10</v>
      </c>
      <c r="D1043" s="487" t="str">
        <f t="shared" si="245"/>
        <v>0108</v>
      </c>
      <c r="E1043" s="487">
        <v>526410000</v>
      </c>
      <c r="F1043" s="488"/>
      <c r="G1043" s="489"/>
      <c r="H1043" s="489"/>
      <c r="I1043" s="488"/>
      <c r="J1043" s="487"/>
      <c r="K1043" s="487"/>
      <c r="L1043" s="488"/>
      <c r="M1043" s="487"/>
      <c r="N1043" s="487"/>
      <c r="O1043" s="488"/>
      <c r="P1043" s="489"/>
      <c r="Q1043" s="489"/>
      <c r="R1043" s="592"/>
      <c r="S1043" s="487"/>
      <c r="T1043" s="487"/>
      <c r="U1043" s="488"/>
      <c r="V1043" s="489"/>
      <c r="W1043" s="489"/>
      <c r="X1043" s="488"/>
      <c r="Y1043" s="489"/>
      <c r="Z1043" s="489"/>
      <c r="AA1043" s="490"/>
      <c r="AB1043" s="489"/>
      <c r="AC1043" s="489"/>
      <c r="AD1043" s="27">
        <v>310108</v>
      </c>
      <c r="AE1043" s="27" t="s">
        <v>2576</v>
      </c>
      <c r="AF1043" s="432">
        <f>VLOOKUP(AD1043,[5]Hoja1!$A$10:$K$1393,11,0)</f>
        <v>11336644059</v>
      </c>
      <c r="AG1043" s="1507">
        <f>-AF1043</f>
        <v>-11336644059</v>
      </c>
      <c r="AH1043" s="432">
        <f t="shared" si="232"/>
        <v>0</v>
      </c>
      <c r="AL1043" s="448"/>
    </row>
    <row r="1044" spans="1:39" s="467" customFormat="1" ht="12.75" customHeight="1">
      <c r="A1044" s="487" t="str">
        <f t="shared" si="234"/>
        <v>3</v>
      </c>
      <c r="B1044" s="487" t="str">
        <f t="shared" si="243"/>
        <v>10</v>
      </c>
      <c r="C1044" s="487" t="str">
        <f t="shared" si="244"/>
        <v>10</v>
      </c>
      <c r="D1044" s="487" t="str">
        <f t="shared" si="245"/>
        <v>0109</v>
      </c>
      <c r="E1044" s="487">
        <v>526410000</v>
      </c>
      <c r="F1044" s="488"/>
      <c r="G1044" s="489"/>
      <c r="H1044" s="489"/>
      <c r="I1044" s="488"/>
      <c r="J1044" s="487"/>
      <c r="K1044" s="487"/>
      <c r="L1044" s="488"/>
      <c r="M1044" s="487"/>
      <c r="N1044" s="487"/>
      <c r="O1044" s="488"/>
      <c r="P1044" s="489"/>
      <c r="Q1044" s="489"/>
      <c r="R1044" s="592"/>
      <c r="S1044" s="487"/>
      <c r="T1044" s="487"/>
      <c r="U1044" s="488"/>
      <c r="V1044" s="489"/>
      <c r="W1044" s="489"/>
      <c r="X1044" s="488"/>
      <c r="Y1044" s="489"/>
      <c r="Z1044" s="489"/>
      <c r="AA1044" s="490"/>
      <c r="AB1044" s="489"/>
      <c r="AC1044" s="489"/>
      <c r="AD1044" s="27">
        <v>310109</v>
      </c>
      <c r="AE1044" s="27" t="s">
        <v>3087</v>
      </c>
      <c r="AF1044" s="432">
        <f>VLOOKUP(AD1044,[5]Hoja1!$A$10:$K$1393,11,0)</f>
        <v>25754006430</v>
      </c>
      <c r="AG1044" s="1507">
        <f>-AF1044</f>
        <v>-25754006430</v>
      </c>
      <c r="AH1044" s="432">
        <f t="shared" si="232"/>
        <v>0</v>
      </c>
      <c r="AL1044" s="448"/>
    </row>
    <row r="1045" spans="1:39" s="467" customFormat="1" ht="12.75" customHeight="1">
      <c r="A1045" s="487" t="str">
        <f t="shared" si="234"/>
        <v>3</v>
      </c>
      <c r="B1045" s="487" t="str">
        <f t="shared" si="243"/>
        <v>10</v>
      </c>
      <c r="C1045" s="487" t="str">
        <f t="shared" si="244"/>
        <v>20</v>
      </c>
      <c r="D1045" s="487" t="str">
        <f t="shared" si="245"/>
        <v>0201</v>
      </c>
      <c r="E1045" s="487">
        <v>526410000</v>
      </c>
      <c r="F1045" s="488" t="str">
        <f t="shared" si="236"/>
        <v/>
      </c>
      <c r="G1045" s="489"/>
      <c r="H1045" s="489"/>
      <c r="I1045" s="488" t="str">
        <f t="shared" si="237"/>
        <v/>
      </c>
      <c r="J1045" s="487"/>
      <c r="K1045" s="487"/>
      <c r="L1045" s="488" t="str">
        <f t="shared" si="238"/>
        <v/>
      </c>
      <c r="M1045" s="487"/>
      <c r="N1045" s="487"/>
      <c r="O1045" s="488" t="str">
        <f t="shared" si="239"/>
        <v/>
      </c>
      <c r="P1045" s="489"/>
      <c r="Q1045" s="489"/>
      <c r="R1045" s="592" t="str">
        <f t="shared" si="240"/>
        <v/>
      </c>
      <c r="S1045" s="487"/>
      <c r="T1045" s="487"/>
      <c r="U1045" s="488" t="str">
        <f t="shared" si="241"/>
        <v/>
      </c>
      <c r="V1045" s="489"/>
      <c r="W1045" s="489"/>
      <c r="X1045" s="488" t="str">
        <f t="shared" si="242"/>
        <v/>
      </c>
      <c r="Y1045" s="489"/>
      <c r="Z1045" s="489"/>
      <c r="AA1045" s="490" t="str">
        <f t="shared" si="235"/>
        <v>122</v>
      </c>
      <c r="AB1045" s="489">
        <v>12</v>
      </c>
      <c r="AC1045" s="489">
        <v>2</v>
      </c>
      <c r="AD1045" s="27">
        <v>310201</v>
      </c>
      <c r="AE1045" s="27" t="s">
        <v>2282</v>
      </c>
      <c r="AF1045" s="432">
        <f>VLOOKUP(AD1045,[5]Hoja1!$A$10:$K$1393,11,0)</f>
        <v>-107978356099</v>
      </c>
      <c r="AG1045" s="1507">
        <f>-AG1039-AG1041-AG1042-AG1043-AG1044</f>
        <v>80982566011</v>
      </c>
      <c r="AH1045" s="432">
        <f t="shared" si="232"/>
        <v>-26995790</v>
      </c>
      <c r="AL1045" s="448"/>
      <c r="AM1045" s="467">
        <f>VLOOKUP(AD1045,[6]BV201101!$A$10:$A$1236,1,0)</f>
        <v>310201</v>
      </c>
    </row>
    <row r="1046" spans="1:39" s="467" customFormat="1" ht="12.75" customHeight="1">
      <c r="A1046" s="487" t="str">
        <f t="shared" si="234"/>
        <v>3</v>
      </c>
      <c r="B1046" s="487" t="str">
        <f t="shared" si="243"/>
        <v>10</v>
      </c>
      <c r="C1046" s="487" t="str">
        <f t="shared" si="244"/>
        <v>20</v>
      </c>
      <c r="D1046" s="487" t="str">
        <f t="shared" si="245"/>
        <v>0202</v>
      </c>
      <c r="E1046" s="487">
        <v>526420000</v>
      </c>
      <c r="F1046" s="488" t="str">
        <f t="shared" si="236"/>
        <v/>
      </c>
      <c r="G1046" s="489"/>
      <c r="H1046" s="489"/>
      <c r="I1046" s="488" t="str">
        <f t="shared" si="237"/>
        <v/>
      </c>
      <c r="J1046" s="487"/>
      <c r="K1046" s="487"/>
      <c r="L1046" s="488" t="str">
        <f t="shared" si="238"/>
        <v/>
      </c>
      <c r="M1046" s="487"/>
      <c r="N1046" s="487"/>
      <c r="O1046" s="488" t="str">
        <f t="shared" si="239"/>
        <v/>
      </c>
      <c r="P1046" s="489"/>
      <c r="Q1046" s="489"/>
      <c r="R1046" s="592" t="str">
        <f t="shared" si="240"/>
        <v/>
      </c>
      <c r="S1046" s="487"/>
      <c r="T1046" s="487"/>
      <c r="U1046" s="488" t="str">
        <f t="shared" si="241"/>
        <v/>
      </c>
      <c r="V1046" s="489"/>
      <c r="W1046" s="489"/>
      <c r="X1046" s="488" t="str">
        <f t="shared" si="242"/>
        <v/>
      </c>
      <c r="Y1046" s="489"/>
      <c r="Z1046" s="489"/>
      <c r="AA1046" s="490" t="str">
        <f t="shared" si="235"/>
        <v>122</v>
      </c>
      <c r="AB1046" s="489">
        <v>12</v>
      </c>
      <c r="AC1046" s="489">
        <v>2</v>
      </c>
      <c r="AD1046" s="27">
        <v>310202</v>
      </c>
      <c r="AE1046" s="27" t="s">
        <v>2283</v>
      </c>
      <c r="AF1046" s="432">
        <v>0</v>
      </c>
      <c r="AG1046" s="432"/>
      <c r="AH1046" s="432">
        <f t="shared" si="232"/>
        <v>0</v>
      </c>
      <c r="AL1046" s="448"/>
      <c r="AM1046" s="467" t="e">
        <f>VLOOKUP(AD1046,[6]BV201101!$A$10:$A$1236,1,0)</f>
        <v>#N/A</v>
      </c>
    </row>
    <row r="1047" spans="1:39" s="467" customFormat="1" ht="12.75" customHeight="1">
      <c r="A1047" s="487" t="str">
        <f t="shared" si="234"/>
        <v>3</v>
      </c>
      <c r="B1047" s="487" t="str">
        <f t="shared" si="243"/>
        <v>10</v>
      </c>
      <c r="C1047" s="487" t="str">
        <f t="shared" si="244"/>
        <v>30</v>
      </c>
      <c r="D1047" s="487" t="str">
        <f t="shared" si="245"/>
        <v>0301</v>
      </c>
      <c r="E1047" s="487">
        <v>526430000</v>
      </c>
      <c r="F1047" s="488" t="str">
        <f t="shared" si="236"/>
        <v/>
      </c>
      <c r="G1047" s="489"/>
      <c r="H1047" s="489"/>
      <c r="I1047" s="488" t="str">
        <f t="shared" si="237"/>
        <v/>
      </c>
      <c r="J1047" s="487"/>
      <c r="K1047" s="487"/>
      <c r="L1047" s="488" t="str">
        <f t="shared" si="238"/>
        <v/>
      </c>
      <c r="M1047" s="487"/>
      <c r="N1047" s="487"/>
      <c r="O1047" s="488" t="str">
        <f t="shared" si="239"/>
        <v/>
      </c>
      <c r="P1047" s="489"/>
      <c r="Q1047" s="489"/>
      <c r="R1047" s="592" t="str">
        <f t="shared" si="240"/>
        <v/>
      </c>
      <c r="S1047" s="487"/>
      <c r="T1047" s="487"/>
      <c r="U1047" s="488" t="str">
        <f t="shared" si="241"/>
        <v/>
      </c>
      <c r="V1047" s="489"/>
      <c r="W1047" s="489"/>
      <c r="X1047" s="488" t="str">
        <f t="shared" si="242"/>
        <v/>
      </c>
      <c r="Y1047" s="489"/>
      <c r="Z1047" s="489"/>
      <c r="AA1047" s="490" t="str">
        <f t="shared" si="235"/>
        <v/>
      </c>
      <c r="AB1047" s="489"/>
      <c r="AC1047" s="489"/>
      <c r="AD1047" s="27">
        <v>310301</v>
      </c>
      <c r="AE1047" s="27" t="s">
        <v>103</v>
      </c>
      <c r="AF1047" s="432">
        <v>0</v>
      </c>
      <c r="AG1047" s="432"/>
      <c r="AH1047" s="432">
        <f t="shared" si="232"/>
        <v>0</v>
      </c>
      <c r="AL1047" s="448"/>
      <c r="AM1047" s="467" t="e">
        <f>VLOOKUP(AD1047,[6]BV201101!$A$10:$A$1236,1,0)</f>
        <v>#N/A</v>
      </c>
    </row>
    <row r="1048" spans="1:39" s="467" customFormat="1" ht="12.75" customHeight="1">
      <c r="A1048" s="487" t="str">
        <f t="shared" si="234"/>
        <v>3</v>
      </c>
      <c r="B1048" s="487" t="str">
        <f t="shared" si="243"/>
        <v>10</v>
      </c>
      <c r="C1048" s="487" t="str">
        <f t="shared" si="244"/>
        <v>40</v>
      </c>
      <c r="D1048" s="487" t="str">
        <f t="shared" si="245"/>
        <v>0401</v>
      </c>
      <c r="E1048" s="487">
        <v>526311000</v>
      </c>
      <c r="F1048" s="488" t="str">
        <f t="shared" si="236"/>
        <v/>
      </c>
      <c r="G1048" s="489"/>
      <c r="H1048" s="489"/>
      <c r="I1048" s="488" t="str">
        <f t="shared" si="237"/>
        <v/>
      </c>
      <c r="J1048" s="487"/>
      <c r="K1048" s="487"/>
      <c r="L1048" s="488" t="str">
        <f t="shared" si="238"/>
        <v/>
      </c>
      <c r="M1048" s="487"/>
      <c r="N1048" s="487"/>
      <c r="O1048" s="488" t="str">
        <f t="shared" si="239"/>
        <v/>
      </c>
      <c r="P1048" s="489"/>
      <c r="Q1048" s="489"/>
      <c r="R1048" s="592" t="str">
        <f t="shared" si="240"/>
        <v/>
      </c>
      <c r="S1048" s="487"/>
      <c r="T1048" s="487"/>
      <c r="U1048" s="488" t="str">
        <f t="shared" si="241"/>
        <v/>
      </c>
      <c r="V1048" s="489"/>
      <c r="W1048" s="489"/>
      <c r="X1048" s="488" t="str">
        <f t="shared" si="242"/>
        <v/>
      </c>
      <c r="Y1048" s="489"/>
      <c r="Z1048" s="489"/>
      <c r="AA1048" s="490" t="str">
        <f t="shared" si="235"/>
        <v>127</v>
      </c>
      <c r="AB1048" s="489">
        <v>12</v>
      </c>
      <c r="AC1048" s="489">
        <v>7</v>
      </c>
      <c r="AD1048" s="27">
        <v>310401</v>
      </c>
      <c r="AE1048" s="27" t="s">
        <v>161</v>
      </c>
      <c r="AF1048" s="432">
        <f>VLOOKUP(AD1048,[5]Hoja1!$A$10:$K$1393,11,0)</f>
        <v>-1178186439</v>
      </c>
      <c r="AG1048" s="432"/>
      <c r="AH1048" s="432">
        <f t="shared" si="232"/>
        <v>-1178186</v>
      </c>
      <c r="AI1048" s="445"/>
      <c r="AL1048" s="448"/>
      <c r="AM1048" s="467">
        <f>VLOOKUP(AD1048,[6]BV201101!$A$10:$A$1236,1,0)</f>
        <v>310401</v>
      </c>
    </row>
    <row r="1049" spans="1:39" s="467" customFormat="1" ht="12.75" customHeight="1">
      <c r="A1049" s="487" t="str">
        <f t="shared" si="234"/>
        <v>3</v>
      </c>
      <c r="B1049" s="487" t="str">
        <f t="shared" si="243"/>
        <v>10</v>
      </c>
      <c r="C1049" s="487" t="str">
        <f t="shared" si="244"/>
        <v>40</v>
      </c>
      <c r="D1049" s="487" t="str">
        <f t="shared" si="245"/>
        <v>0402</v>
      </c>
      <c r="E1049" s="487">
        <v>526312000</v>
      </c>
      <c r="F1049" s="488" t="str">
        <f t="shared" si="236"/>
        <v/>
      </c>
      <c r="G1049" s="489"/>
      <c r="H1049" s="489"/>
      <c r="I1049" s="488" t="str">
        <f t="shared" si="237"/>
        <v/>
      </c>
      <c r="J1049" s="487"/>
      <c r="K1049" s="487"/>
      <c r="L1049" s="488" t="str">
        <f t="shared" si="238"/>
        <v/>
      </c>
      <c r="M1049" s="487"/>
      <c r="N1049" s="487"/>
      <c r="O1049" s="488" t="str">
        <f t="shared" si="239"/>
        <v/>
      </c>
      <c r="P1049" s="489"/>
      <c r="Q1049" s="489"/>
      <c r="R1049" s="592" t="str">
        <f t="shared" si="240"/>
        <v/>
      </c>
      <c r="S1049" s="487"/>
      <c r="T1049" s="487"/>
      <c r="U1049" s="488" t="str">
        <f t="shared" si="241"/>
        <v/>
      </c>
      <c r="V1049" s="489"/>
      <c r="W1049" s="489"/>
      <c r="X1049" s="488" t="str">
        <f t="shared" si="242"/>
        <v/>
      </c>
      <c r="Y1049" s="489"/>
      <c r="Z1049" s="489"/>
      <c r="AA1049" s="490" t="str">
        <f t="shared" si="235"/>
        <v>127</v>
      </c>
      <c r="AB1049" s="489">
        <v>12</v>
      </c>
      <c r="AC1049" s="489">
        <v>7</v>
      </c>
      <c r="AD1049" s="27">
        <v>310402</v>
      </c>
      <c r="AE1049" s="27" t="s">
        <v>171</v>
      </c>
      <c r="AF1049" s="432">
        <f>VLOOKUP(AD1049,[5]Hoja1!$A$10:$K$1393,11,0)</f>
        <v>318549725</v>
      </c>
      <c r="AG1049" s="432"/>
      <c r="AH1049" s="432">
        <f t="shared" si="232"/>
        <v>318550</v>
      </c>
      <c r="AL1049" s="448"/>
      <c r="AM1049" s="467">
        <f>VLOOKUP(AD1049,[6]BV201101!$A$10:$A$1236,1,0)</f>
        <v>310402</v>
      </c>
    </row>
    <row r="1050" spans="1:39" s="467" customFormat="1" ht="12.75" customHeight="1">
      <c r="A1050" s="487" t="str">
        <f t="shared" si="234"/>
        <v>3</v>
      </c>
      <c r="B1050" s="487" t="str">
        <f t="shared" si="243"/>
        <v>10</v>
      </c>
      <c r="C1050" s="487" t="str">
        <f t="shared" si="244"/>
        <v>40</v>
      </c>
      <c r="D1050" s="487" t="str">
        <f t="shared" si="245"/>
        <v>0403</v>
      </c>
      <c r="E1050" s="487">
        <v>526312000</v>
      </c>
      <c r="F1050" s="488" t="str">
        <f t="shared" si="236"/>
        <v/>
      </c>
      <c r="G1050" s="489"/>
      <c r="H1050" s="489"/>
      <c r="I1050" s="488" t="str">
        <f t="shared" si="237"/>
        <v/>
      </c>
      <c r="J1050" s="487"/>
      <c r="K1050" s="487"/>
      <c r="L1050" s="488" t="str">
        <f t="shared" si="238"/>
        <v/>
      </c>
      <c r="M1050" s="487"/>
      <c r="N1050" s="487"/>
      <c r="O1050" s="488" t="str">
        <f t="shared" si="239"/>
        <v/>
      </c>
      <c r="P1050" s="489"/>
      <c r="Q1050" s="489"/>
      <c r="R1050" s="592" t="str">
        <f t="shared" si="240"/>
        <v/>
      </c>
      <c r="S1050" s="487"/>
      <c r="T1050" s="487"/>
      <c r="U1050" s="488" t="str">
        <f t="shared" si="241"/>
        <v/>
      </c>
      <c r="V1050" s="489"/>
      <c r="W1050" s="489"/>
      <c r="X1050" s="488" t="str">
        <f t="shared" si="242"/>
        <v/>
      </c>
      <c r="Y1050" s="489"/>
      <c r="Z1050" s="489"/>
      <c r="AA1050" s="490" t="str">
        <f t="shared" si="235"/>
        <v>127</v>
      </c>
      <c r="AB1050" s="489">
        <v>12</v>
      </c>
      <c r="AC1050" s="489">
        <v>7</v>
      </c>
      <c r="AD1050" s="27">
        <v>310403</v>
      </c>
      <c r="AE1050" s="27" t="s">
        <v>483</v>
      </c>
      <c r="AF1050" s="432">
        <f>VLOOKUP(AD1050,[5]Hoja1!$A$10:$K$1393,11,0)</f>
        <v>0</v>
      </c>
      <c r="AG1050" s="432"/>
      <c r="AH1050" s="432">
        <f t="shared" si="232"/>
        <v>0</v>
      </c>
      <c r="AL1050" s="448"/>
      <c r="AM1050" s="467">
        <f>VLOOKUP(AD1050,[6]BV201101!$A$10:$A$1236,1,0)</f>
        <v>310403</v>
      </c>
    </row>
    <row r="1051" spans="1:39" s="467" customFormat="1" ht="12.75" customHeight="1">
      <c r="A1051" s="487" t="str">
        <f t="shared" si="234"/>
        <v>3</v>
      </c>
      <c r="B1051" s="487" t="str">
        <f t="shared" si="243"/>
        <v>10</v>
      </c>
      <c r="C1051" s="487" t="str">
        <f t="shared" si="244"/>
        <v>40</v>
      </c>
      <c r="D1051" s="487" t="str">
        <f t="shared" si="245"/>
        <v>0404</v>
      </c>
      <c r="E1051" s="487"/>
      <c r="F1051" s="488"/>
      <c r="G1051" s="489"/>
      <c r="H1051" s="489"/>
      <c r="I1051" s="488"/>
      <c r="J1051" s="487"/>
      <c r="K1051" s="487"/>
      <c r="L1051" s="488"/>
      <c r="M1051" s="487"/>
      <c r="N1051" s="487"/>
      <c r="O1051" s="488"/>
      <c r="P1051" s="489"/>
      <c r="Q1051" s="489"/>
      <c r="R1051" s="592"/>
      <c r="S1051" s="487"/>
      <c r="T1051" s="487"/>
      <c r="U1051" s="488"/>
      <c r="V1051" s="489"/>
      <c r="W1051" s="489"/>
      <c r="X1051" s="488"/>
      <c r="Y1051" s="489"/>
      <c r="Z1051" s="489"/>
      <c r="AA1051" s="490"/>
      <c r="AB1051" s="489"/>
      <c r="AC1051" s="489"/>
      <c r="AD1051" s="27">
        <v>310404</v>
      </c>
      <c r="AE1051" s="27" t="s">
        <v>14</v>
      </c>
      <c r="AF1051" s="432">
        <v>0</v>
      </c>
      <c r="AG1051" s="432"/>
      <c r="AH1051" s="432">
        <f t="shared" si="232"/>
        <v>0</v>
      </c>
      <c r="AL1051" s="448"/>
      <c r="AM1051" s="467" t="e">
        <f>VLOOKUP(AD1051,[6]BV201101!$A$10:$A$1236,1,0)</f>
        <v>#N/A</v>
      </c>
    </row>
    <row r="1052" spans="1:39" s="467" customFormat="1" ht="12.75" customHeight="1">
      <c r="A1052" s="487" t="str">
        <f t="shared" si="234"/>
        <v>3</v>
      </c>
      <c r="B1052" s="487" t="str">
        <f t="shared" si="243"/>
        <v>10</v>
      </c>
      <c r="C1052" s="487" t="str">
        <f t="shared" si="244"/>
        <v>50</v>
      </c>
      <c r="D1052" s="487" t="str">
        <f t="shared" si="245"/>
        <v>0501</v>
      </c>
      <c r="E1052" s="487">
        <v>526410000</v>
      </c>
      <c r="F1052" s="488" t="str">
        <f t="shared" si="236"/>
        <v/>
      </c>
      <c r="G1052" s="489"/>
      <c r="H1052" s="489"/>
      <c r="I1052" s="488" t="str">
        <f t="shared" si="237"/>
        <v/>
      </c>
      <c r="J1052" s="487"/>
      <c r="K1052" s="487"/>
      <c r="L1052" s="488" t="str">
        <f t="shared" si="238"/>
        <v/>
      </c>
      <c r="M1052" s="487"/>
      <c r="N1052" s="487"/>
      <c r="O1052" s="488" t="str">
        <f t="shared" si="239"/>
        <v/>
      </c>
      <c r="P1052" s="489"/>
      <c r="Q1052" s="489"/>
      <c r="R1052" s="592" t="str">
        <f t="shared" si="240"/>
        <v/>
      </c>
      <c r="S1052" s="487"/>
      <c r="T1052" s="487"/>
      <c r="U1052" s="488" t="str">
        <f t="shared" si="241"/>
        <v/>
      </c>
      <c r="V1052" s="489"/>
      <c r="W1052" s="489"/>
      <c r="X1052" s="488" t="str">
        <f t="shared" si="242"/>
        <v/>
      </c>
      <c r="Y1052" s="489"/>
      <c r="Z1052" s="489"/>
      <c r="AA1052" s="490" t="str">
        <f t="shared" si="235"/>
        <v>126</v>
      </c>
      <c r="AB1052" s="489">
        <v>1</v>
      </c>
      <c r="AC1052" s="489">
        <v>26</v>
      </c>
      <c r="AD1052" s="27">
        <v>310501</v>
      </c>
      <c r="AE1052" s="27" t="s">
        <v>2284</v>
      </c>
      <c r="AF1052" s="432">
        <f>VLOOKUP(AD1052,[5]Hoja1!$A$10:$K$1393,11,0)</f>
        <v>-2178021682</v>
      </c>
      <c r="AG1052" s="432">
        <v>0</v>
      </c>
      <c r="AH1052" s="432">
        <f t="shared" ref="AH1052:AH1116" si="246">ROUND((AF1052+AG1052)/$AH$2,0)</f>
        <v>-2178022</v>
      </c>
      <c r="AL1052" s="448"/>
      <c r="AM1052" s="467">
        <f>VLOOKUP(AD1052,[6]BV201101!$A$10:$A$1236,1,0)</f>
        <v>310501</v>
      </c>
    </row>
    <row r="1053" spans="1:39" s="467" customFormat="1" ht="12.75" customHeight="1">
      <c r="A1053" s="487" t="str">
        <f t="shared" si="234"/>
        <v>3</v>
      </c>
      <c r="B1053" s="487"/>
      <c r="C1053" s="487"/>
      <c r="D1053" s="487"/>
      <c r="E1053" s="487">
        <v>526230000</v>
      </c>
      <c r="F1053" s="488"/>
      <c r="G1053" s="489"/>
      <c r="H1053" s="489"/>
      <c r="I1053" s="488"/>
      <c r="J1053" s="487"/>
      <c r="K1053" s="487"/>
      <c r="L1053" s="488"/>
      <c r="M1053" s="487"/>
      <c r="N1053" s="487"/>
      <c r="O1053" s="488"/>
      <c r="P1053" s="489"/>
      <c r="Q1053" s="489"/>
      <c r="R1053" s="592"/>
      <c r="S1053" s="487"/>
      <c r="T1053" s="487"/>
      <c r="U1053" s="488"/>
      <c r="V1053" s="489"/>
      <c r="W1053" s="489"/>
      <c r="X1053" s="488"/>
      <c r="Y1053" s="489"/>
      <c r="Z1053" s="489"/>
      <c r="AA1053" s="490"/>
      <c r="AB1053" s="489"/>
      <c r="AC1053" s="489"/>
      <c r="AD1053" s="927">
        <v>310602</v>
      </c>
      <c r="AE1053" s="27" t="s">
        <v>2709</v>
      </c>
      <c r="AF1053" s="432">
        <f>VLOOKUP(AD1053,[5]Hoja1!$A$10:$K$1393,11,0)</f>
        <v>-6876212146</v>
      </c>
      <c r="AG1053" s="432">
        <v>0</v>
      </c>
      <c r="AH1053" s="432">
        <f t="shared" si="246"/>
        <v>-6876212</v>
      </c>
      <c r="AL1053" s="448"/>
    </row>
    <row r="1054" spans="1:39" s="467" customFormat="1" ht="12.75" customHeight="1">
      <c r="A1054" s="487" t="str">
        <f t="shared" si="234"/>
        <v>3</v>
      </c>
      <c r="B1054" s="487"/>
      <c r="C1054" s="487"/>
      <c r="D1054" s="487"/>
      <c r="E1054" s="487">
        <v>526230000</v>
      </c>
      <c r="F1054" s="488"/>
      <c r="G1054" s="489"/>
      <c r="H1054" s="489"/>
      <c r="I1054" s="488"/>
      <c r="J1054" s="487"/>
      <c r="K1054" s="487"/>
      <c r="L1054" s="488"/>
      <c r="M1054" s="487"/>
      <c r="N1054" s="487"/>
      <c r="O1054" s="488"/>
      <c r="P1054" s="489"/>
      <c r="Q1054" s="489"/>
      <c r="R1054" s="592"/>
      <c r="S1054" s="487"/>
      <c r="T1054" s="487"/>
      <c r="U1054" s="488"/>
      <c r="V1054" s="489"/>
      <c r="W1054" s="489"/>
      <c r="X1054" s="488"/>
      <c r="Y1054" s="489"/>
      <c r="Z1054" s="489"/>
      <c r="AA1054" s="490"/>
      <c r="AB1054" s="489"/>
      <c r="AC1054" s="489"/>
      <c r="AD1054" s="927">
        <v>310603</v>
      </c>
      <c r="AE1054" s="27" t="s">
        <v>2710</v>
      </c>
      <c r="AF1054" s="432">
        <f>VLOOKUP(AD1054,[5]Hoja1!$A$10:$K$1393,11,0)</f>
        <v>1266186476</v>
      </c>
      <c r="AG1054" s="432">
        <v>0</v>
      </c>
      <c r="AH1054" s="432">
        <f t="shared" si="246"/>
        <v>1266186</v>
      </c>
      <c r="AL1054" s="448"/>
    </row>
    <row r="1055" spans="1:39" s="467" customFormat="1" ht="12.75" customHeight="1">
      <c r="A1055" s="487" t="str">
        <f t="shared" si="234"/>
        <v>4</v>
      </c>
      <c r="B1055" s="487" t="str">
        <f>RIGHT(LEFT($AD1055,3),2)</f>
        <v>10</v>
      </c>
      <c r="C1055" s="487" t="str">
        <f>RIGHT(LEFT($AD1055,5),2)</f>
        <v>10</v>
      </c>
      <c r="D1055" s="487" t="str">
        <f>RIGHT(LEFT($AD1055,9),4)</f>
        <v>0101</v>
      </c>
      <c r="E1055" s="487">
        <v>531101110</v>
      </c>
      <c r="F1055" s="488" t="str">
        <f t="shared" ref="F1055:F1065" si="247">+G1055&amp;H1055</f>
        <v>671210000</v>
      </c>
      <c r="G1055" s="489">
        <v>671210000</v>
      </c>
      <c r="H1055" s="489"/>
      <c r="I1055" s="488" t="str">
        <f t="shared" ref="I1055:I1065" si="248">+J1055&amp;K1055</f>
        <v/>
      </c>
      <c r="J1055" s="487"/>
      <c r="K1055" s="487"/>
      <c r="L1055" s="488" t="str">
        <f t="shared" ref="L1055:L1065" si="249">+M1055&amp;N1055</f>
        <v/>
      </c>
      <c r="M1055" s="487"/>
      <c r="N1055" s="487"/>
      <c r="O1055" s="488" t="str">
        <f t="shared" ref="O1055:O1065" si="250">+P1055&amp;Q1055</f>
        <v/>
      </c>
      <c r="P1055" s="489"/>
      <c r="Q1055" s="489"/>
      <c r="R1055" s="592" t="str">
        <f t="shared" ref="R1055:R1065" si="251">+S1055&amp;T1055</f>
        <v/>
      </c>
      <c r="S1055" s="487"/>
      <c r="T1055" s="487"/>
      <c r="U1055" s="488" t="str">
        <f t="shared" ref="U1055:U1065" si="252">+V1055&amp;W1055</f>
        <v>630111000</v>
      </c>
      <c r="V1055" s="489">
        <v>630111000</v>
      </c>
      <c r="W1055" s="489"/>
      <c r="X1055" s="488" t="str">
        <f t="shared" ref="X1055:X1065" si="253">+Y1055&amp;Z1055</f>
        <v>631101110</v>
      </c>
      <c r="Y1055" s="489">
        <v>631101110</v>
      </c>
      <c r="Z1055" s="489"/>
      <c r="AA1055" s="490" t="str">
        <f>+AB1055&amp;AC1055</f>
        <v/>
      </c>
      <c r="AB1055" s="489"/>
      <c r="AC1055" s="489"/>
      <c r="AD1055" s="27">
        <v>410101</v>
      </c>
      <c r="AE1055" s="27" t="s">
        <v>2285</v>
      </c>
      <c r="AF1055" s="432">
        <f>VLOOKUP(AD1055,[5]Hoja1!$A$10:$K$1393,11,0)</f>
        <v>-8835723104</v>
      </c>
      <c r="AG1055" s="432">
        <v>0</v>
      </c>
      <c r="AH1055" s="432">
        <f t="shared" si="246"/>
        <v>-8835723</v>
      </c>
      <c r="AL1055" s="448"/>
      <c r="AM1055" s="467">
        <f>VLOOKUP(AD1055,[6]BV201101!$A$10:$A$1236,1,0)</f>
        <v>410101</v>
      </c>
    </row>
    <row r="1056" spans="1:39" s="467" customFormat="1" ht="12.75" customHeight="1">
      <c r="A1056" s="487" t="str">
        <f t="shared" si="234"/>
        <v>4</v>
      </c>
      <c r="B1056" s="487" t="str">
        <f>RIGHT(LEFT($AD1056,3),2)</f>
        <v>10</v>
      </c>
      <c r="C1056" s="487" t="str">
        <f>RIGHT(LEFT($AD1056,5),2)</f>
        <v>10</v>
      </c>
      <c r="D1056" s="487" t="str">
        <f>RIGHT(LEFT($AD1056,9),4)</f>
        <v>0102</v>
      </c>
      <c r="E1056" s="487">
        <v>531101110</v>
      </c>
      <c r="F1056" s="488" t="str">
        <f t="shared" ref="F1056" si="254">+G1056&amp;H1056</f>
        <v>671210000</v>
      </c>
      <c r="G1056" s="489">
        <v>671210000</v>
      </c>
      <c r="H1056" s="489"/>
      <c r="I1056" s="488" t="str">
        <f t="shared" ref="I1056" si="255">+J1056&amp;K1056</f>
        <v/>
      </c>
      <c r="J1056" s="487"/>
      <c r="K1056" s="487"/>
      <c r="L1056" s="488" t="str">
        <f t="shared" ref="L1056" si="256">+M1056&amp;N1056</f>
        <v/>
      </c>
      <c r="M1056" s="487"/>
      <c r="N1056" s="487"/>
      <c r="O1056" s="488" t="str">
        <f t="shared" ref="O1056" si="257">+P1056&amp;Q1056</f>
        <v/>
      </c>
      <c r="P1056" s="489"/>
      <c r="Q1056" s="489"/>
      <c r="R1056" s="592" t="str">
        <f t="shared" ref="R1056" si="258">+S1056&amp;T1056</f>
        <v/>
      </c>
      <c r="S1056" s="487"/>
      <c r="T1056" s="487"/>
      <c r="U1056" s="488" t="str">
        <f t="shared" ref="U1056" si="259">+V1056&amp;W1056</f>
        <v>630111000</v>
      </c>
      <c r="V1056" s="489">
        <v>630111000</v>
      </c>
      <c r="W1056" s="489"/>
      <c r="X1056" s="488" t="str">
        <f t="shared" ref="X1056" si="260">+Y1056&amp;Z1056</f>
        <v>631101110</v>
      </c>
      <c r="Y1056" s="489">
        <v>631101110</v>
      </c>
      <c r="Z1056" s="489"/>
      <c r="AA1056" s="490"/>
      <c r="AB1056" s="489"/>
      <c r="AC1056" s="489"/>
      <c r="AD1056" s="1021">
        <v>410102</v>
      </c>
      <c r="AE1056" s="1021" t="s">
        <v>3530</v>
      </c>
      <c r="AF1056" s="432">
        <f>VLOOKUP(AD1056,[5]Hoja1!$A$10:$K$1393,11,0)</f>
        <v>-1323974205</v>
      </c>
      <c r="AG1056" s="432"/>
      <c r="AH1056" s="432">
        <f t="shared" si="246"/>
        <v>-1323974</v>
      </c>
      <c r="AL1056" s="448"/>
    </row>
    <row r="1057" spans="1:39" s="467" customFormat="1" ht="12.75" customHeight="1">
      <c r="A1057" s="487" t="str">
        <f t="shared" si="234"/>
        <v>4</v>
      </c>
      <c r="B1057" s="487" t="str">
        <f>RIGHT(LEFT($AD1057,3),2)</f>
        <v>10</v>
      </c>
      <c r="C1057" s="487" t="str">
        <f>RIGHT(LEFT($AD1057,5),2)</f>
        <v>11</v>
      </c>
      <c r="D1057" s="487" t="str">
        <f>RIGHT(LEFT($AD1057,9),4)</f>
        <v>0110</v>
      </c>
      <c r="E1057" s="487">
        <v>531101110</v>
      </c>
      <c r="F1057" s="488" t="str">
        <f t="shared" si="247"/>
        <v>671210000</v>
      </c>
      <c r="G1057" s="489">
        <v>671210000</v>
      </c>
      <c r="H1057" s="489"/>
      <c r="I1057" s="488" t="str">
        <f t="shared" si="248"/>
        <v/>
      </c>
      <c r="J1057" s="487"/>
      <c r="K1057" s="487"/>
      <c r="L1057" s="488" t="str">
        <f t="shared" si="249"/>
        <v/>
      </c>
      <c r="M1057" s="487"/>
      <c r="N1057" s="487"/>
      <c r="O1057" s="488" t="str">
        <f t="shared" si="250"/>
        <v/>
      </c>
      <c r="P1057" s="489"/>
      <c r="Q1057" s="489"/>
      <c r="R1057" s="592" t="str">
        <f t="shared" si="251"/>
        <v/>
      </c>
      <c r="S1057" s="487"/>
      <c r="T1057" s="487"/>
      <c r="U1057" s="488" t="str">
        <f t="shared" si="252"/>
        <v>630111000</v>
      </c>
      <c r="V1057" s="489">
        <v>630111000</v>
      </c>
      <c r="W1057" s="489"/>
      <c r="X1057" s="488" t="str">
        <f t="shared" si="253"/>
        <v>631101110</v>
      </c>
      <c r="Y1057" s="489">
        <v>631101110</v>
      </c>
      <c r="Z1057" s="489"/>
      <c r="AA1057" s="490" t="str">
        <f>+AB1057&amp;AC1057</f>
        <v/>
      </c>
      <c r="AB1057" s="489"/>
      <c r="AC1057" s="489"/>
      <c r="AD1057" s="27">
        <v>410110</v>
      </c>
      <c r="AE1057" s="27" t="s">
        <v>1099</v>
      </c>
      <c r="AF1057" s="432">
        <f>VLOOKUP(AD1057,[5]Hoja1!$A$10:$K$1393,11,0)</f>
        <v>-80599470835</v>
      </c>
      <c r="AG1057" s="432"/>
      <c r="AH1057" s="432">
        <f t="shared" si="246"/>
        <v>-80599471</v>
      </c>
      <c r="AL1057" s="448"/>
      <c r="AM1057" s="467">
        <f>VLOOKUP(AD1057,[6]BV201101!$A$10:$A$1236,1,0)</f>
        <v>410110</v>
      </c>
    </row>
    <row r="1058" spans="1:39" s="467" customFormat="1" ht="12.75" customHeight="1">
      <c r="A1058" s="487" t="str">
        <f t="shared" si="234"/>
        <v>4</v>
      </c>
      <c r="B1058" s="487" t="str">
        <f>RIGHT(LEFT($AD1058,3),2)</f>
        <v>10</v>
      </c>
      <c r="C1058" s="487" t="str">
        <f>RIGHT(LEFT($AD1058,5),2)</f>
        <v>12</v>
      </c>
      <c r="D1058" s="487" t="str">
        <f>RIGHT(LEFT($AD1058,9),4)</f>
        <v>0120</v>
      </c>
      <c r="E1058" s="487">
        <v>531101110</v>
      </c>
      <c r="F1058" s="488" t="str">
        <f t="shared" si="247"/>
        <v>671210000</v>
      </c>
      <c r="G1058" s="489">
        <v>671210000</v>
      </c>
      <c r="H1058" s="489"/>
      <c r="I1058" s="488" t="str">
        <f t="shared" si="248"/>
        <v/>
      </c>
      <c r="J1058" s="487"/>
      <c r="K1058" s="487"/>
      <c r="L1058" s="488" t="str">
        <f t="shared" si="249"/>
        <v/>
      </c>
      <c r="M1058" s="487"/>
      <c r="N1058" s="487"/>
      <c r="O1058" s="488" t="str">
        <f t="shared" si="250"/>
        <v/>
      </c>
      <c r="P1058" s="489"/>
      <c r="Q1058" s="489"/>
      <c r="R1058" s="592" t="str">
        <f t="shared" si="251"/>
        <v/>
      </c>
      <c r="S1058" s="487"/>
      <c r="T1058" s="487"/>
      <c r="U1058" s="488" t="str">
        <f t="shared" si="252"/>
        <v>630111000</v>
      </c>
      <c r="V1058" s="489">
        <v>630111000</v>
      </c>
      <c r="W1058" s="489"/>
      <c r="X1058" s="488" t="str">
        <f t="shared" si="253"/>
        <v>631101110</v>
      </c>
      <c r="Y1058" s="489">
        <v>631101110</v>
      </c>
      <c r="Z1058" s="489"/>
      <c r="AA1058" s="490" t="str">
        <f>+AB1058&amp;AC1058</f>
        <v/>
      </c>
      <c r="AB1058" s="489"/>
      <c r="AC1058" s="489"/>
      <c r="AD1058" s="27">
        <v>410120</v>
      </c>
      <c r="AE1058" s="27" t="s">
        <v>2286</v>
      </c>
      <c r="AF1058" s="432">
        <f>VLOOKUP(AD1058,[5]Hoja1!$A$10:$K$1393,11,0)</f>
        <v>-35409142101</v>
      </c>
      <c r="AG1058" s="432"/>
      <c r="AH1058" s="432">
        <f t="shared" si="246"/>
        <v>-35409142</v>
      </c>
      <c r="AL1058" s="448"/>
      <c r="AM1058" s="467">
        <f>VLOOKUP(AD1058,[6]BV201101!$A$10:$A$1236,1,0)</f>
        <v>410120</v>
      </c>
    </row>
    <row r="1059" spans="1:39" s="467" customFormat="1" ht="12.75" customHeight="1">
      <c r="A1059" s="487" t="str">
        <f t="shared" si="234"/>
        <v>4</v>
      </c>
      <c r="B1059" s="487" t="str">
        <f t="shared" ref="B1059:B1104" si="261">RIGHT(LEFT($AD1059,3),2)</f>
        <v>10</v>
      </c>
      <c r="C1059" s="487" t="str">
        <f t="shared" ref="C1059:C1104" si="262">RIGHT(LEFT($AD1059,5),2)</f>
        <v>13</v>
      </c>
      <c r="D1059" s="487" t="str">
        <f t="shared" ref="D1059:D1104" si="263">RIGHT(LEFT($AD1059,9),4)</f>
        <v>0130</v>
      </c>
      <c r="E1059" s="487">
        <v>531101130</v>
      </c>
      <c r="F1059" s="488" t="str">
        <f t="shared" si="247"/>
        <v>671130000</v>
      </c>
      <c r="G1059" s="487">
        <v>671130000</v>
      </c>
      <c r="H1059" s="487"/>
      <c r="I1059" s="488" t="str">
        <f t="shared" si="248"/>
        <v/>
      </c>
      <c r="J1059" s="487"/>
      <c r="K1059" s="487"/>
      <c r="L1059" s="488" t="str">
        <f t="shared" si="249"/>
        <v/>
      </c>
      <c r="M1059" s="487"/>
      <c r="N1059" s="487"/>
      <c r="O1059" s="488" t="str">
        <f t="shared" si="250"/>
        <v/>
      </c>
      <c r="P1059" s="489"/>
      <c r="Q1059" s="489"/>
      <c r="R1059" s="592" t="str">
        <f t="shared" si="251"/>
        <v/>
      </c>
      <c r="S1059" s="489"/>
      <c r="T1059" s="487"/>
      <c r="U1059" s="488" t="str">
        <f t="shared" si="252"/>
        <v>630130000</v>
      </c>
      <c r="V1059" s="489">
        <v>630130000</v>
      </c>
      <c r="W1059" s="489"/>
      <c r="X1059" s="488" t="str">
        <f t="shared" si="253"/>
        <v>631101130</v>
      </c>
      <c r="Y1059" s="489">
        <v>631101130</v>
      </c>
      <c r="Z1059" s="489"/>
      <c r="AA1059" s="490" t="str">
        <f t="shared" ref="AA1059:AA1084" si="264">+AB1059&amp;AC1059</f>
        <v/>
      </c>
      <c r="AB1059" s="489"/>
      <c r="AC1059" s="489"/>
      <c r="AD1059" s="27">
        <v>410130</v>
      </c>
      <c r="AE1059" s="27" t="s">
        <v>2287</v>
      </c>
      <c r="AF1059" s="432">
        <f>VLOOKUP(AD1059,[5]Hoja1!$A$10:$K$1393,11,0)</f>
        <v>215489787</v>
      </c>
      <c r="AG1059" s="432"/>
      <c r="AH1059" s="432">
        <f t="shared" si="246"/>
        <v>215490</v>
      </c>
      <c r="AL1059" s="448"/>
      <c r="AM1059" s="467">
        <f>VLOOKUP(AD1059,[6]BV201101!$A$10:$A$1236,1,0)</f>
        <v>410130</v>
      </c>
    </row>
    <row r="1060" spans="1:39" s="467" customFormat="1" ht="12.75" customHeight="1">
      <c r="A1060" s="487" t="str">
        <f t="shared" si="234"/>
        <v>4</v>
      </c>
      <c r="B1060" s="487" t="str">
        <f t="shared" si="261"/>
        <v>10</v>
      </c>
      <c r="C1060" s="487" t="str">
        <f t="shared" si="262"/>
        <v>14</v>
      </c>
      <c r="D1060" s="487" t="str">
        <f t="shared" si="263"/>
        <v>0140</v>
      </c>
      <c r="E1060" s="487">
        <v>531101130</v>
      </c>
      <c r="F1060" s="488" t="str">
        <f t="shared" si="247"/>
        <v>671130000</v>
      </c>
      <c r="G1060" s="487">
        <v>671130000</v>
      </c>
      <c r="H1060" s="487"/>
      <c r="I1060" s="488" t="str">
        <f t="shared" si="248"/>
        <v/>
      </c>
      <c r="J1060" s="487"/>
      <c r="K1060" s="487"/>
      <c r="L1060" s="488" t="str">
        <f t="shared" si="249"/>
        <v/>
      </c>
      <c r="M1060" s="487"/>
      <c r="N1060" s="487"/>
      <c r="O1060" s="488" t="str">
        <f t="shared" si="250"/>
        <v/>
      </c>
      <c r="P1060" s="489"/>
      <c r="Q1060" s="489"/>
      <c r="R1060" s="592" t="str">
        <f t="shared" si="251"/>
        <v/>
      </c>
      <c r="S1060" s="489"/>
      <c r="T1060" s="487"/>
      <c r="U1060" s="488" t="str">
        <f t="shared" si="252"/>
        <v>630130000</v>
      </c>
      <c r="V1060" s="489">
        <v>630130000</v>
      </c>
      <c r="W1060" s="489"/>
      <c r="X1060" s="488" t="str">
        <f t="shared" si="253"/>
        <v>631101130</v>
      </c>
      <c r="Y1060" s="489">
        <v>631101130</v>
      </c>
      <c r="Z1060" s="489"/>
      <c r="AA1060" s="490" t="str">
        <f t="shared" si="264"/>
        <v/>
      </c>
      <c r="AB1060" s="489"/>
      <c r="AC1060" s="489"/>
      <c r="AD1060" s="27">
        <v>410140</v>
      </c>
      <c r="AE1060" s="27" t="s">
        <v>1101</v>
      </c>
      <c r="AF1060" s="432">
        <v>0</v>
      </c>
      <c r="AG1060" s="432"/>
      <c r="AH1060" s="432">
        <f t="shared" si="246"/>
        <v>0</v>
      </c>
      <c r="AL1060" s="448"/>
      <c r="AM1060" s="467" t="e">
        <f>VLOOKUP(AD1060,[6]BV201101!$A$10:$A$1236,1,0)</f>
        <v>#N/A</v>
      </c>
    </row>
    <row r="1061" spans="1:39" s="467" customFormat="1" ht="12.75" customHeight="1">
      <c r="A1061" s="487" t="str">
        <f t="shared" si="234"/>
        <v>4</v>
      </c>
      <c r="B1061" s="487" t="str">
        <f t="shared" si="261"/>
        <v>10</v>
      </c>
      <c r="C1061" s="487" t="str">
        <f t="shared" si="262"/>
        <v>15</v>
      </c>
      <c r="D1061" s="487" t="str">
        <f t="shared" si="263"/>
        <v>0150</v>
      </c>
      <c r="E1061" s="487">
        <v>531101130</v>
      </c>
      <c r="F1061" s="488" t="str">
        <f t="shared" si="247"/>
        <v>671130000</v>
      </c>
      <c r="G1061" s="487">
        <v>671130000</v>
      </c>
      <c r="H1061" s="487"/>
      <c r="I1061" s="488" t="str">
        <f t="shared" si="248"/>
        <v/>
      </c>
      <c r="J1061" s="487"/>
      <c r="K1061" s="487"/>
      <c r="L1061" s="488" t="str">
        <f t="shared" si="249"/>
        <v/>
      </c>
      <c r="M1061" s="487"/>
      <c r="N1061" s="487"/>
      <c r="O1061" s="488" t="str">
        <f t="shared" si="250"/>
        <v/>
      </c>
      <c r="P1061" s="489"/>
      <c r="Q1061" s="489"/>
      <c r="R1061" s="592" t="str">
        <f t="shared" si="251"/>
        <v/>
      </c>
      <c r="S1061" s="489"/>
      <c r="T1061" s="487"/>
      <c r="U1061" s="488" t="str">
        <f t="shared" si="252"/>
        <v>630130000</v>
      </c>
      <c r="V1061" s="489">
        <v>630130000</v>
      </c>
      <c r="W1061" s="489"/>
      <c r="X1061" s="488" t="str">
        <f t="shared" si="253"/>
        <v>631101130</v>
      </c>
      <c r="Y1061" s="489">
        <v>631101130</v>
      </c>
      <c r="Z1061" s="489"/>
      <c r="AA1061" s="490" t="str">
        <f t="shared" si="264"/>
        <v/>
      </c>
      <c r="AB1061" s="489"/>
      <c r="AC1061" s="489"/>
      <c r="AD1061" s="27">
        <v>410150</v>
      </c>
      <c r="AE1061" s="27" t="s">
        <v>2288</v>
      </c>
      <c r="AF1061" s="432">
        <f>VLOOKUP(AD1061,[5]Hoja1!$A$10:$K$1393,11,0)</f>
        <v>1530577649</v>
      </c>
      <c r="AG1061" s="432"/>
      <c r="AH1061" s="432">
        <f t="shared" si="246"/>
        <v>1530578</v>
      </c>
      <c r="AL1061" s="448"/>
      <c r="AM1061" s="467">
        <f>VLOOKUP(AD1061,[6]BV201101!$A$10:$A$1236,1,0)</f>
        <v>410150</v>
      </c>
    </row>
    <row r="1062" spans="1:39" s="467" customFormat="1" ht="12.75" customHeight="1">
      <c r="A1062" s="487" t="str">
        <f t="shared" si="234"/>
        <v>4</v>
      </c>
      <c r="B1062" s="487" t="str">
        <f t="shared" si="261"/>
        <v>10</v>
      </c>
      <c r="C1062" s="487" t="str">
        <f t="shared" si="262"/>
        <v>15</v>
      </c>
      <c r="D1062" s="487" t="str">
        <f t="shared" si="263"/>
        <v>0155</v>
      </c>
      <c r="E1062" s="487">
        <v>531101130</v>
      </c>
      <c r="F1062" s="488"/>
      <c r="G1062" s="487"/>
      <c r="H1062" s="487"/>
      <c r="I1062" s="488"/>
      <c r="J1062" s="487"/>
      <c r="K1062" s="487"/>
      <c r="L1062" s="488"/>
      <c r="M1062" s="487"/>
      <c r="N1062" s="487"/>
      <c r="O1062" s="488"/>
      <c r="P1062" s="489"/>
      <c r="Q1062" s="489"/>
      <c r="R1062" s="592"/>
      <c r="S1062" s="489"/>
      <c r="T1062" s="487"/>
      <c r="U1062" s="488"/>
      <c r="V1062" s="489"/>
      <c r="W1062" s="489"/>
      <c r="X1062" s="488"/>
      <c r="Y1062" s="489"/>
      <c r="Z1062" s="489"/>
      <c r="AA1062" s="490"/>
      <c r="AB1062" s="489"/>
      <c r="AC1062" s="489"/>
      <c r="AD1062" s="27">
        <v>410155</v>
      </c>
      <c r="AE1062" s="27" t="s">
        <v>2939</v>
      </c>
      <c r="AF1062" s="432">
        <f>VLOOKUP(AD1062,[5]Hoja1!$A$10:$K$1393,11,0)</f>
        <v>205648380</v>
      </c>
      <c r="AG1062" s="432"/>
      <c r="AH1062" s="432">
        <f t="shared" si="246"/>
        <v>205648</v>
      </c>
      <c r="AL1062" s="448"/>
    </row>
    <row r="1063" spans="1:39" s="467" customFormat="1" ht="12.75" customHeight="1">
      <c r="A1063" s="487" t="str">
        <f t="shared" si="234"/>
        <v>4</v>
      </c>
      <c r="B1063" s="487" t="str">
        <f t="shared" si="261"/>
        <v>10</v>
      </c>
      <c r="C1063" s="487" t="str">
        <f t="shared" si="262"/>
        <v>16</v>
      </c>
      <c r="D1063" s="487" t="str">
        <f t="shared" si="263"/>
        <v>0160</v>
      </c>
      <c r="E1063" s="487">
        <v>531101130</v>
      </c>
      <c r="F1063" s="488" t="str">
        <f t="shared" si="247"/>
        <v>671130000</v>
      </c>
      <c r="G1063" s="489">
        <v>671130000</v>
      </c>
      <c r="H1063" s="489"/>
      <c r="I1063" s="488" t="str">
        <f t="shared" si="248"/>
        <v/>
      </c>
      <c r="J1063" s="487"/>
      <c r="K1063" s="487"/>
      <c r="L1063" s="488" t="str">
        <f t="shared" si="249"/>
        <v/>
      </c>
      <c r="M1063" s="489"/>
      <c r="N1063" s="489"/>
      <c r="O1063" s="488" t="str">
        <f t="shared" si="250"/>
        <v/>
      </c>
      <c r="P1063" s="489"/>
      <c r="Q1063" s="489"/>
      <c r="R1063" s="592" t="str">
        <f t="shared" si="251"/>
        <v/>
      </c>
      <c r="S1063" s="487"/>
      <c r="T1063" s="487"/>
      <c r="U1063" s="488" t="str">
        <f t="shared" si="252"/>
        <v>630130000</v>
      </c>
      <c r="V1063" s="489">
        <v>630130000</v>
      </c>
      <c r="W1063" s="489"/>
      <c r="X1063" s="488" t="str">
        <f t="shared" si="253"/>
        <v>631101130</v>
      </c>
      <c r="Y1063" s="489">
        <v>631101130</v>
      </c>
      <c r="Z1063" s="489"/>
      <c r="AA1063" s="490" t="str">
        <f t="shared" si="264"/>
        <v/>
      </c>
      <c r="AB1063" s="489"/>
      <c r="AC1063" s="489"/>
      <c r="AD1063" s="27">
        <v>410160</v>
      </c>
      <c r="AE1063" s="27" t="s">
        <v>2289</v>
      </c>
      <c r="AF1063" s="432">
        <v>0</v>
      </c>
      <c r="AG1063" s="432"/>
      <c r="AH1063" s="432">
        <f t="shared" si="246"/>
        <v>0</v>
      </c>
      <c r="AL1063" s="448"/>
      <c r="AM1063" s="467" t="e">
        <f>VLOOKUP(AD1063,[6]BV201101!$A$10:$A$1236,1,0)</f>
        <v>#N/A</v>
      </c>
    </row>
    <row r="1064" spans="1:39" s="467" customFormat="1" ht="12.75" customHeight="1">
      <c r="A1064" s="487" t="str">
        <f t="shared" si="234"/>
        <v>4</v>
      </c>
      <c r="B1064" s="487" t="str">
        <f t="shared" si="261"/>
        <v>10</v>
      </c>
      <c r="C1064" s="487" t="str">
        <f t="shared" si="262"/>
        <v>16</v>
      </c>
      <c r="D1064" s="487" t="str">
        <f t="shared" si="263"/>
        <v>0161</v>
      </c>
      <c r="E1064" s="487">
        <v>531101130</v>
      </c>
      <c r="F1064" s="488" t="str">
        <f t="shared" si="247"/>
        <v>671130000</v>
      </c>
      <c r="G1064" s="489">
        <v>671130000</v>
      </c>
      <c r="H1064" s="489"/>
      <c r="I1064" s="488" t="str">
        <f t="shared" si="248"/>
        <v/>
      </c>
      <c r="J1064" s="487"/>
      <c r="K1064" s="487"/>
      <c r="L1064" s="488" t="str">
        <f t="shared" si="249"/>
        <v/>
      </c>
      <c r="M1064" s="489"/>
      <c r="N1064" s="489"/>
      <c r="O1064" s="488" t="str">
        <f t="shared" si="250"/>
        <v/>
      </c>
      <c r="P1064" s="489"/>
      <c r="Q1064" s="489"/>
      <c r="R1064" s="592" t="str">
        <f t="shared" si="251"/>
        <v/>
      </c>
      <c r="S1064" s="487"/>
      <c r="T1064" s="487"/>
      <c r="U1064" s="488" t="str">
        <f t="shared" si="252"/>
        <v>630130000</v>
      </c>
      <c r="V1064" s="489">
        <v>630130000</v>
      </c>
      <c r="W1064" s="489"/>
      <c r="X1064" s="488" t="str">
        <f t="shared" si="253"/>
        <v>631101130</v>
      </c>
      <c r="Y1064" s="489">
        <v>631101130</v>
      </c>
      <c r="Z1064" s="489"/>
      <c r="AA1064" s="490" t="str">
        <f t="shared" si="264"/>
        <v/>
      </c>
      <c r="AB1064" s="489"/>
      <c r="AC1064" s="489"/>
      <c r="AD1064" s="27">
        <v>410161</v>
      </c>
      <c r="AE1064" s="27" t="s">
        <v>1256</v>
      </c>
      <c r="AF1064" s="432">
        <v>0</v>
      </c>
      <c r="AG1064" s="432"/>
      <c r="AH1064" s="432">
        <f t="shared" si="246"/>
        <v>0</v>
      </c>
      <c r="AL1064" s="448"/>
      <c r="AM1064" s="467" t="e">
        <f>VLOOKUP(AD1064,[6]BV201101!$A$10:$A$1236,1,0)</f>
        <v>#N/A</v>
      </c>
    </row>
    <row r="1065" spans="1:39" s="467" customFormat="1" ht="12.75" customHeight="1">
      <c r="A1065" s="487" t="str">
        <f t="shared" si="234"/>
        <v>4</v>
      </c>
      <c r="B1065" s="487" t="str">
        <f t="shared" si="261"/>
        <v>10</v>
      </c>
      <c r="C1065" s="487" t="str">
        <f t="shared" si="262"/>
        <v>16</v>
      </c>
      <c r="D1065" s="487" t="str">
        <f t="shared" si="263"/>
        <v>0162</v>
      </c>
      <c r="E1065" s="487">
        <v>531101130</v>
      </c>
      <c r="F1065" s="488" t="str">
        <f t="shared" si="247"/>
        <v>671130000</v>
      </c>
      <c r="G1065" s="489">
        <v>671130000</v>
      </c>
      <c r="H1065" s="489"/>
      <c r="I1065" s="488" t="str">
        <f t="shared" si="248"/>
        <v/>
      </c>
      <c r="J1065" s="487"/>
      <c r="K1065" s="487"/>
      <c r="L1065" s="488" t="str">
        <f t="shared" si="249"/>
        <v/>
      </c>
      <c r="M1065" s="489"/>
      <c r="N1065" s="489"/>
      <c r="O1065" s="488" t="str">
        <f t="shared" si="250"/>
        <v/>
      </c>
      <c r="P1065" s="489"/>
      <c r="Q1065" s="489"/>
      <c r="R1065" s="592" t="str">
        <f t="shared" si="251"/>
        <v/>
      </c>
      <c r="S1065" s="487"/>
      <c r="T1065" s="487"/>
      <c r="U1065" s="488" t="str">
        <f t="shared" si="252"/>
        <v>630130000</v>
      </c>
      <c r="V1065" s="489">
        <v>630130000</v>
      </c>
      <c r="W1065" s="489"/>
      <c r="X1065" s="488" t="str">
        <f t="shared" si="253"/>
        <v>631101130</v>
      </c>
      <c r="Y1065" s="489">
        <v>631101130</v>
      </c>
      <c r="Z1065" s="489"/>
      <c r="AA1065" s="490" t="str">
        <f t="shared" si="264"/>
        <v/>
      </c>
      <c r="AB1065" s="489"/>
      <c r="AC1065" s="489"/>
      <c r="AD1065" s="27">
        <v>410162</v>
      </c>
      <c r="AE1065" s="27" t="s">
        <v>1257</v>
      </c>
      <c r="AF1065" s="432">
        <v>0</v>
      </c>
      <c r="AG1065" s="432"/>
      <c r="AH1065" s="432">
        <f t="shared" si="246"/>
        <v>0</v>
      </c>
      <c r="AL1065" s="448"/>
      <c r="AM1065" s="467" t="e">
        <f>VLOOKUP(AD1065,[6]BV201101!$A$10:$A$1236,1,0)</f>
        <v>#N/A</v>
      </c>
    </row>
    <row r="1066" spans="1:39" s="467" customFormat="1" ht="12.75" customHeight="1">
      <c r="A1066" s="487" t="str">
        <f t="shared" si="234"/>
        <v>4</v>
      </c>
      <c r="B1066" s="487" t="str">
        <f t="shared" si="261"/>
        <v>10</v>
      </c>
      <c r="C1066" s="487" t="str">
        <f t="shared" si="262"/>
        <v>17</v>
      </c>
      <c r="D1066" s="487" t="str">
        <f t="shared" si="263"/>
        <v>0170</v>
      </c>
      <c r="E1066" s="487">
        <v>531101110</v>
      </c>
      <c r="F1066" s="488" t="str">
        <f>+G1066&amp;H1066</f>
        <v>671311111</v>
      </c>
      <c r="G1066" s="489">
        <v>671311111</v>
      </c>
      <c r="H1066" s="489"/>
      <c r="I1066" s="488" t="str">
        <f>+J1066&amp;K1066</f>
        <v/>
      </c>
      <c r="J1066" s="487"/>
      <c r="K1066" s="487"/>
      <c r="L1066" s="488" t="str">
        <f>+M1066&amp;N1066</f>
        <v/>
      </c>
      <c r="M1066" s="487"/>
      <c r="N1066" s="487"/>
      <c r="O1066" s="488" t="str">
        <f>+P1066&amp;Q1066</f>
        <v/>
      </c>
      <c r="P1066" s="489"/>
      <c r="Q1066" s="489"/>
      <c r="R1066" s="592" t="str">
        <f>+S1066&amp;T1066</f>
        <v/>
      </c>
      <c r="S1066" s="489"/>
      <c r="T1066" s="487"/>
      <c r="U1066" s="488" t="str">
        <f>+V1066&amp;W1066</f>
        <v>630111000</v>
      </c>
      <c r="V1066" s="489">
        <v>630111000</v>
      </c>
      <c r="W1066" s="489"/>
      <c r="X1066" s="488" t="str">
        <f>+Y1066&amp;Z1066</f>
        <v>631101110</v>
      </c>
      <c r="Y1066" s="489">
        <v>631101110</v>
      </c>
      <c r="Z1066" s="489"/>
      <c r="AA1066" s="490" t="str">
        <f t="shared" si="264"/>
        <v/>
      </c>
      <c r="AB1066" s="489"/>
      <c r="AC1066" s="489"/>
      <c r="AD1066" s="27">
        <v>410170</v>
      </c>
      <c r="AE1066" s="27" t="s">
        <v>1258</v>
      </c>
      <c r="AF1066" s="432">
        <f>VLOOKUP(AD1066,[5]Hoja1!$A$10:$K$1393,11,0)</f>
        <v>1252435345</v>
      </c>
      <c r="AG1066" s="432"/>
      <c r="AH1066" s="432">
        <f t="shared" si="246"/>
        <v>1252435</v>
      </c>
      <c r="AL1066" s="448"/>
      <c r="AM1066" s="467">
        <f>VLOOKUP(AD1066,[6]BV201101!$A$10:$A$1236,1,0)</f>
        <v>410170</v>
      </c>
    </row>
    <row r="1067" spans="1:39" s="467" customFormat="1" ht="12.75" customHeight="1">
      <c r="A1067" s="487" t="str">
        <f t="shared" si="234"/>
        <v>4</v>
      </c>
      <c r="B1067" s="487" t="str">
        <f t="shared" si="261"/>
        <v>10</v>
      </c>
      <c r="C1067" s="487" t="str">
        <f t="shared" si="262"/>
        <v>20</v>
      </c>
      <c r="D1067" s="487" t="str">
        <f t="shared" si="263"/>
        <v>0201</v>
      </c>
      <c r="E1067" s="487">
        <v>532100000</v>
      </c>
      <c r="F1067" s="488" t="str">
        <f t="shared" ref="F1067:F1103" si="265">+G1067&amp;H1067</f>
        <v/>
      </c>
      <c r="G1067" s="489"/>
      <c r="H1067" s="489"/>
      <c r="I1067" s="488" t="str">
        <f t="shared" ref="I1067:I1103" si="266">+J1067&amp;K1067</f>
        <v/>
      </c>
      <c r="J1067" s="487"/>
      <c r="K1067" s="487"/>
      <c r="L1067" s="488" t="str">
        <f t="shared" ref="L1067:L1103" si="267">+M1067&amp;N1067</f>
        <v/>
      </c>
      <c r="M1067" s="487"/>
      <c r="N1067" s="487"/>
      <c r="O1067" s="488" t="str">
        <f t="shared" ref="O1067:O1103" si="268">+P1067&amp;Q1067</f>
        <v/>
      </c>
      <c r="P1067" s="489"/>
      <c r="Q1067" s="489"/>
      <c r="R1067" s="592" t="str">
        <f t="shared" ref="R1067:R1103" si="269">+S1067&amp;T1067</f>
        <v/>
      </c>
      <c r="S1067" s="487"/>
      <c r="T1067" s="487"/>
      <c r="U1067" s="488" t="str">
        <f t="shared" ref="U1067:U1103" si="270">+V1067&amp;W1067</f>
        <v/>
      </c>
      <c r="V1067" s="489"/>
      <c r="W1067" s="489"/>
      <c r="X1067" s="488" t="str">
        <f t="shared" ref="X1067:X1103" si="271">+Y1067&amp;Z1067</f>
        <v/>
      </c>
      <c r="Y1067" s="489"/>
      <c r="Z1067" s="489"/>
      <c r="AA1067" s="490" t="str">
        <f t="shared" si="264"/>
        <v/>
      </c>
      <c r="AB1067" s="489"/>
      <c r="AC1067" s="489"/>
      <c r="AD1067" s="27">
        <v>410201</v>
      </c>
      <c r="AE1067" s="27" t="s">
        <v>1317</v>
      </c>
      <c r="AF1067" s="432">
        <f>VLOOKUP(AD1067,[5]Hoja1!$A$10:$K$1393,11,0)</f>
        <v>0</v>
      </c>
      <c r="AG1067" s="432"/>
      <c r="AH1067" s="432">
        <f t="shared" si="246"/>
        <v>0</v>
      </c>
      <c r="AL1067" s="448"/>
      <c r="AM1067" s="467">
        <f>VLOOKUP(AD1067,[6]BV201101!$A$10:$A$1236,1,0)</f>
        <v>410201</v>
      </c>
    </row>
    <row r="1068" spans="1:39" s="467" customFormat="1" ht="12.75" customHeight="1">
      <c r="A1068" s="487" t="str">
        <f t="shared" si="234"/>
        <v>4</v>
      </c>
      <c r="B1068" s="487" t="str">
        <f t="shared" si="261"/>
        <v>10</v>
      </c>
      <c r="C1068" s="487" t="str">
        <f t="shared" si="262"/>
        <v>20</v>
      </c>
      <c r="D1068" s="487" t="str">
        <f t="shared" si="263"/>
        <v>0202</v>
      </c>
      <c r="E1068" s="487"/>
      <c r="F1068" s="488" t="str">
        <f t="shared" si="265"/>
        <v/>
      </c>
      <c r="G1068" s="489"/>
      <c r="H1068" s="489"/>
      <c r="I1068" s="488" t="str">
        <f t="shared" si="266"/>
        <v/>
      </c>
      <c r="J1068" s="487"/>
      <c r="K1068" s="487"/>
      <c r="L1068" s="488" t="str">
        <f t="shared" si="267"/>
        <v/>
      </c>
      <c r="M1068" s="487"/>
      <c r="N1068" s="487"/>
      <c r="O1068" s="488" t="str">
        <f t="shared" si="268"/>
        <v/>
      </c>
      <c r="P1068" s="489"/>
      <c r="Q1068" s="489"/>
      <c r="R1068" s="592" t="str">
        <f t="shared" si="269"/>
        <v/>
      </c>
      <c r="S1068" s="487"/>
      <c r="T1068" s="487"/>
      <c r="U1068" s="488" t="str">
        <f t="shared" si="270"/>
        <v/>
      </c>
      <c r="V1068" s="489"/>
      <c r="W1068" s="489"/>
      <c r="X1068" s="488" t="str">
        <f t="shared" si="271"/>
        <v/>
      </c>
      <c r="Y1068" s="489"/>
      <c r="Z1068" s="489"/>
      <c r="AA1068" s="490" t="str">
        <f t="shared" si="264"/>
        <v/>
      </c>
      <c r="AB1068" s="489"/>
      <c r="AC1068" s="489"/>
      <c r="AD1068" s="27">
        <v>410202</v>
      </c>
      <c r="AE1068" s="27" t="s">
        <v>1318</v>
      </c>
      <c r="AF1068" s="432">
        <v>0</v>
      </c>
      <c r="AG1068" s="432"/>
      <c r="AH1068" s="432">
        <f t="shared" si="246"/>
        <v>0</v>
      </c>
      <c r="AL1068" s="448"/>
      <c r="AM1068" s="467" t="e">
        <f>VLOOKUP(AD1068,[6]BV201101!$A$10:$A$1236,1,0)</f>
        <v>#N/A</v>
      </c>
    </row>
    <row r="1069" spans="1:39" s="467" customFormat="1" ht="12.75" customHeight="1">
      <c r="A1069" s="487" t="str">
        <f t="shared" si="234"/>
        <v>4</v>
      </c>
      <c r="B1069" s="487" t="str">
        <f t="shared" si="261"/>
        <v>10</v>
      </c>
      <c r="C1069" s="487" t="str">
        <f t="shared" si="262"/>
        <v>20</v>
      </c>
      <c r="D1069" s="487" t="str">
        <f t="shared" si="263"/>
        <v>0203</v>
      </c>
      <c r="E1069" s="487">
        <v>532100000</v>
      </c>
      <c r="F1069" s="488" t="str">
        <f t="shared" si="265"/>
        <v/>
      </c>
      <c r="G1069" s="489"/>
      <c r="H1069" s="489"/>
      <c r="I1069" s="488" t="str">
        <f t="shared" si="266"/>
        <v/>
      </c>
      <c r="J1069" s="487"/>
      <c r="K1069" s="487"/>
      <c r="L1069" s="488" t="str">
        <f t="shared" si="267"/>
        <v/>
      </c>
      <c r="M1069" s="487"/>
      <c r="N1069" s="487"/>
      <c r="O1069" s="488" t="str">
        <f t="shared" si="268"/>
        <v/>
      </c>
      <c r="P1069" s="489"/>
      <c r="Q1069" s="489"/>
      <c r="R1069" s="592" t="str">
        <f t="shared" si="269"/>
        <v/>
      </c>
      <c r="S1069" s="487"/>
      <c r="T1069" s="487"/>
      <c r="U1069" s="488" t="str">
        <f t="shared" si="270"/>
        <v/>
      </c>
      <c r="V1069" s="489"/>
      <c r="W1069" s="489"/>
      <c r="X1069" s="488" t="str">
        <f t="shared" si="271"/>
        <v/>
      </c>
      <c r="Y1069" s="489"/>
      <c r="Z1069" s="489"/>
      <c r="AA1069" s="490" t="str">
        <f t="shared" si="264"/>
        <v/>
      </c>
      <c r="AB1069" s="489"/>
      <c r="AC1069" s="489"/>
      <c r="AD1069" s="27">
        <v>410203</v>
      </c>
      <c r="AE1069" s="27" t="s">
        <v>1444</v>
      </c>
      <c r="AF1069" s="432">
        <f>VLOOKUP(AD1069,[5]Hoja1!$A$10:$K$1393,11,0)</f>
        <v>-355400847</v>
      </c>
      <c r="AG1069" s="432"/>
      <c r="AH1069" s="432">
        <f t="shared" si="246"/>
        <v>-355401</v>
      </c>
      <c r="AL1069" s="448"/>
      <c r="AM1069" s="467">
        <f>VLOOKUP(AD1069,[6]BV201101!$A$10:$A$1236,1,0)</f>
        <v>410203</v>
      </c>
    </row>
    <row r="1070" spans="1:39" s="467" customFormat="1" ht="12.75" customHeight="1">
      <c r="A1070" s="487" t="str">
        <f t="shared" si="234"/>
        <v>4</v>
      </c>
      <c r="B1070" s="487" t="str">
        <f t="shared" si="261"/>
        <v>10</v>
      </c>
      <c r="C1070" s="487" t="str">
        <f t="shared" si="262"/>
        <v>20</v>
      </c>
      <c r="D1070" s="487" t="str">
        <f t="shared" si="263"/>
        <v>0204</v>
      </c>
      <c r="E1070" s="487">
        <v>532100000</v>
      </c>
      <c r="F1070" s="488" t="str">
        <f t="shared" si="265"/>
        <v/>
      </c>
      <c r="G1070" s="489"/>
      <c r="H1070" s="489"/>
      <c r="I1070" s="488" t="str">
        <f t="shared" si="266"/>
        <v/>
      </c>
      <c r="J1070" s="487"/>
      <c r="K1070" s="487"/>
      <c r="L1070" s="488" t="str">
        <f t="shared" si="267"/>
        <v/>
      </c>
      <c r="M1070" s="487"/>
      <c r="N1070" s="487"/>
      <c r="O1070" s="488" t="str">
        <f t="shared" si="268"/>
        <v/>
      </c>
      <c r="P1070" s="489"/>
      <c r="Q1070" s="489"/>
      <c r="R1070" s="592" t="str">
        <f t="shared" si="269"/>
        <v/>
      </c>
      <c r="S1070" s="487"/>
      <c r="T1070" s="487"/>
      <c r="U1070" s="488" t="str">
        <f t="shared" si="270"/>
        <v/>
      </c>
      <c r="V1070" s="489"/>
      <c r="W1070" s="489"/>
      <c r="X1070" s="488" t="str">
        <f t="shared" si="271"/>
        <v/>
      </c>
      <c r="Y1070" s="489"/>
      <c r="Z1070" s="489"/>
      <c r="AA1070" s="490" t="str">
        <f t="shared" si="264"/>
        <v/>
      </c>
      <c r="AB1070" s="489"/>
      <c r="AC1070" s="489"/>
      <c r="AD1070" s="27">
        <v>410204</v>
      </c>
      <c r="AE1070" s="27" t="s">
        <v>804</v>
      </c>
      <c r="AF1070" s="432">
        <f>VLOOKUP(AD1070,[5]Hoja1!$A$10:$K$1393,11,0)</f>
        <v>-1087412585</v>
      </c>
      <c r="AG1070" s="432"/>
      <c r="AH1070" s="432">
        <f t="shared" si="246"/>
        <v>-1087413</v>
      </c>
      <c r="AL1070" s="448"/>
      <c r="AM1070" s="467">
        <f>VLOOKUP(AD1070,[6]BV201101!$A$10:$A$1236,1,0)</f>
        <v>410204</v>
      </c>
    </row>
    <row r="1071" spans="1:39" s="467" customFormat="1" ht="12.75" customHeight="1">
      <c r="A1071" s="487" t="str">
        <f t="shared" ref="A1071:A1134" si="272">+LEFT($AD1071,1)</f>
        <v>4</v>
      </c>
      <c r="B1071" s="487" t="str">
        <f t="shared" si="261"/>
        <v>10</v>
      </c>
      <c r="C1071" s="487" t="str">
        <f t="shared" si="262"/>
        <v>20</v>
      </c>
      <c r="D1071" s="487" t="str">
        <f t="shared" si="263"/>
        <v>0205</v>
      </c>
      <c r="E1071" s="487">
        <v>532100000</v>
      </c>
      <c r="F1071" s="488" t="str">
        <f t="shared" si="265"/>
        <v/>
      </c>
      <c r="G1071" s="489"/>
      <c r="H1071" s="489"/>
      <c r="I1071" s="488" t="str">
        <f t="shared" si="266"/>
        <v/>
      </c>
      <c r="J1071" s="487"/>
      <c r="K1071" s="487"/>
      <c r="L1071" s="488" t="str">
        <f t="shared" si="267"/>
        <v/>
      </c>
      <c r="M1071" s="487"/>
      <c r="N1071" s="487"/>
      <c r="O1071" s="488" t="str">
        <f t="shared" si="268"/>
        <v/>
      </c>
      <c r="P1071" s="489"/>
      <c r="Q1071" s="489"/>
      <c r="R1071" s="592" t="str">
        <f t="shared" si="269"/>
        <v/>
      </c>
      <c r="S1071" s="487"/>
      <c r="T1071" s="487"/>
      <c r="U1071" s="488" t="str">
        <f t="shared" si="270"/>
        <v/>
      </c>
      <c r="V1071" s="489"/>
      <c r="W1071" s="489"/>
      <c r="X1071" s="488" t="str">
        <f t="shared" si="271"/>
        <v/>
      </c>
      <c r="Y1071" s="489"/>
      <c r="Z1071" s="489"/>
      <c r="AA1071" s="490" t="str">
        <f t="shared" si="264"/>
        <v/>
      </c>
      <c r="AB1071" s="489"/>
      <c r="AC1071" s="489"/>
      <c r="AD1071" s="27">
        <v>410205</v>
      </c>
      <c r="AE1071" s="27" t="s">
        <v>2290</v>
      </c>
      <c r="AF1071" s="432">
        <f>VLOOKUP(AD1071,[5]Hoja1!$A$10:$K$1393,11,0)</f>
        <v>-13311430</v>
      </c>
      <c r="AG1071" s="432"/>
      <c r="AH1071" s="432">
        <f t="shared" si="246"/>
        <v>-13311</v>
      </c>
      <c r="AL1071" s="448"/>
      <c r="AM1071" s="467">
        <f>VLOOKUP(AD1071,[6]BV201101!$A$10:$A$1236,1,0)</f>
        <v>410205</v>
      </c>
    </row>
    <row r="1072" spans="1:39" s="467" customFormat="1" ht="12.75" customHeight="1">
      <c r="A1072" s="487" t="str">
        <f t="shared" si="272"/>
        <v>4</v>
      </c>
      <c r="B1072" s="487" t="str">
        <f t="shared" si="261"/>
        <v>10</v>
      </c>
      <c r="C1072" s="487" t="str">
        <f t="shared" si="262"/>
        <v>20</v>
      </c>
      <c r="D1072" s="487" t="str">
        <f t="shared" si="263"/>
        <v>0206</v>
      </c>
      <c r="E1072" s="487">
        <v>532100000</v>
      </c>
      <c r="F1072" s="488" t="str">
        <f t="shared" si="265"/>
        <v/>
      </c>
      <c r="G1072" s="489"/>
      <c r="H1072" s="489"/>
      <c r="I1072" s="488" t="str">
        <f t="shared" si="266"/>
        <v/>
      </c>
      <c r="J1072" s="487"/>
      <c r="K1072" s="487"/>
      <c r="L1072" s="488" t="str">
        <f t="shared" si="267"/>
        <v/>
      </c>
      <c r="M1072" s="487"/>
      <c r="N1072" s="487"/>
      <c r="O1072" s="488" t="str">
        <f t="shared" si="268"/>
        <v/>
      </c>
      <c r="P1072" s="489"/>
      <c r="Q1072" s="489"/>
      <c r="R1072" s="592" t="str">
        <f t="shared" si="269"/>
        <v/>
      </c>
      <c r="S1072" s="487"/>
      <c r="T1072" s="487"/>
      <c r="U1072" s="488" t="str">
        <f t="shared" si="270"/>
        <v/>
      </c>
      <c r="V1072" s="489"/>
      <c r="W1072" s="489"/>
      <c r="X1072" s="488" t="str">
        <f t="shared" si="271"/>
        <v/>
      </c>
      <c r="Y1072" s="489"/>
      <c r="Z1072" s="489"/>
      <c r="AA1072" s="490" t="str">
        <f t="shared" si="264"/>
        <v/>
      </c>
      <c r="AB1072" s="489"/>
      <c r="AC1072" s="489"/>
      <c r="AD1072" s="27">
        <v>410206</v>
      </c>
      <c r="AE1072" s="27" t="s">
        <v>805</v>
      </c>
      <c r="AF1072" s="432">
        <f>VLOOKUP(AD1072,[5]Hoja1!$A$10:$K$1393,11,0)</f>
        <v>-1970327831</v>
      </c>
      <c r="AG1072" s="432"/>
      <c r="AH1072" s="432">
        <f t="shared" si="246"/>
        <v>-1970328</v>
      </c>
      <c r="AL1072" s="448"/>
      <c r="AM1072" s="467">
        <f>VLOOKUP(AD1072,[6]BV201101!$A$10:$A$1236,1,0)</f>
        <v>410206</v>
      </c>
    </row>
    <row r="1073" spans="1:39" s="467" customFormat="1" ht="12.75" customHeight="1">
      <c r="A1073" s="487" t="str">
        <f t="shared" si="272"/>
        <v>4</v>
      </c>
      <c r="B1073" s="487" t="str">
        <f t="shared" si="261"/>
        <v>10</v>
      </c>
      <c r="C1073" s="487" t="str">
        <f t="shared" si="262"/>
        <v>20</v>
      </c>
      <c r="D1073" s="487" t="str">
        <f t="shared" si="263"/>
        <v>0207</v>
      </c>
      <c r="E1073" s="487">
        <v>532100000</v>
      </c>
      <c r="F1073" s="488" t="str">
        <f t="shared" si="265"/>
        <v/>
      </c>
      <c r="G1073" s="489"/>
      <c r="H1073" s="489"/>
      <c r="I1073" s="488" t="str">
        <f t="shared" si="266"/>
        <v/>
      </c>
      <c r="J1073" s="487"/>
      <c r="K1073" s="487"/>
      <c r="L1073" s="488" t="str">
        <f t="shared" si="267"/>
        <v/>
      </c>
      <c r="M1073" s="487"/>
      <c r="N1073" s="487"/>
      <c r="O1073" s="488" t="str">
        <f t="shared" si="268"/>
        <v/>
      </c>
      <c r="P1073" s="489"/>
      <c r="Q1073" s="489"/>
      <c r="R1073" s="592" t="str">
        <f t="shared" si="269"/>
        <v/>
      </c>
      <c r="S1073" s="487"/>
      <c r="T1073" s="487"/>
      <c r="U1073" s="488" t="str">
        <f t="shared" si="270"/>
        <v/>
      </c>
      <c r="V1073" s="489"/>
      <c r="W1073" s="489"/>
      <c r="X1073" s="488" t="str">
        <f t="shared" si="271"/>
        <v/>
      </c>
      <c r="Y1073" s="489"/>
      <c r="Z1073" s="489"/>
      <c r="AA1073" s="490" t="str">
        <f t="shared" si="264"/>
        <v/>
      </c>
      <c r="AB1073" s="489"/>
      <c r="AC1073" s="489"/>
      <c r="AD1073" s="27">
        <v>410207</v>
      </c>
      <c r="AE1073" s="27" t="s">
        <v>806</v>
      </c>
      <c r="AF1073" s="432">
        <f>VLOOKUP(AD1073,[5]Hoja1!$A$10:$K$1393,11,0)</f>
        <v>-2336944023</v>
      </c>
      <c r="AG1073" s="432"/>
      <c r="AH1073" s="432">
        <f t="shared" si="246"/>
        <v>-2336944</v>
      </c>
      <c r="AL1073" s="448"/>
      <c r="AM1073" s="467">
        <f>VLOOKUP(AD1073,[6]BV201101!$A$10:$A$1236,1,0)</f>
        <v>410207</v>
      </c>
    </row>
    <row r="1074" spans="1:39" s="467" customFormat="1" ht="12.75" customHeight="1">
      <c r="A1074" s="487" t="str">
        <f t="shared" si="272"/>
        <v>4</v>
      </c>
      <c r="B1074" s="487" t="str">
        <f t="shared" si="261"/>
        <v>10</v>
      </c>
      <c r="C1074" s="487" t="str">
        <f t="shared" si="262"/>
        <v>20</v>
      </c>
      <c r="D1074" s="487" t="str">
        <f t="shared" si="263"/>
        <v>0208</v>
      </c>
      <c r="E1074" s="487">
        <v>532100000</v>
      </c>
      <c r="F1074" s="488" t="str">
        <f t="shared" si="265"/>
        <v/>
      </c>
      <c r="G1074" s="489"/>
      <c r="H1074" s="489"/>
      <c r="I1074" s="488" t="str">
        <f t="shared" si="266"/>
        <v/>
      </c>
      <c r="J1074" s="487"/>
      <c r="K1074" s="487"/>
      <c r="L1074" s="488" t="str">
        <f t="shared" si="267"/>
        <v/>
      </c>
      <c r="M1074" s="487"/>
      <c r="N1074" s="487"/>
      <c r="O1074" s="488" t="str">
        <f t="shared" si="268"/>
        <v/>
      </c>
      <c r="P1074" s="489"/>
      <c r="Q1074" s="489"/>
      <c r="R1074" s="592" t="str">
        <f t="shared" si="269"/>
        <v/>
      </c>
      <c r="S1074" s="487"/>
      <c r="T1074" s="487"/>
      <c r="U1074" s="488" t="str">
        <f t="shared" si="270"/>
        <v/>
      </c>
      <c r="V1074" s="489"/>
      <c r="W1074" s="489"/>
      <c r="X1074" s="488" t="str">
        <f t="shared" si="271"/>
        <v/>
      </c>
      <c r="Y1074" s="489"/>
      <c r="Z1074" s="489"/>
      <c r="AA1074" s="490" t="str">
        <f t="shared" si="264"/>
        <v/>
      </c>
      <c r="AB1074" s="489"/>
      <c r="AC1074" s="489"/>
      <c r="AD1074" s="27">
        <v>410208</v>
      </c>
      <c r="AE1074" s="27" t="s">
        <v>807</v>
      </c>
      <c r="AF1074" s="432">
        <f>VLOOKUP(AD1074,[5]Hoja1!$A$10:$K$1393,11,0)</f>
        <v>-16340886100</v>
      </c>
      <c r="AG1074" s="432"/>
      <c r="AH1074" s="432">
        <f t="shared" si="246"/>
        <v>-16340886</v>
      </c>
      <c r="AL1074" s="448"/>
      <c r="AM1074" s="467">
        <f>VLOOKUP(AD1074,[6]BV201101!$A$10:$A$1236,1,0)</f>
        <v>410208</v>
      </c>
    </row>
    <row r="1075" spans="1:39" s="467" customFormat="1" ht="12.75" customHeight="1">
      <c r="A1075" s="487" t="str">
        <f t="shared" si="272"/>
        <v>4</v>
      </c>
      <c r="B1075" s="487" t="str">
        <f t="shared" si="261"/>
        <v>10</v>
      </c>
      <c r="C1075" s="487" t="str">
        <f t="shared" si="262"/>
        <v>20</v>
      </c>
      <c r="D1075" s="487" t="str">
        <f t="shared" si="263"/>
        <v>0209</v>
      </c>
      <c r="E1075" s="487">
        <v>532100000</v>
      </c>
      <c r="F1075" s="488" t="str">
        <f t="shared" si="265"/>
        <v/>
      </c>
      <c r="G1075" s="489"/>
      <c r="H1075" s="489"/>
      <c r="I1075" s="488" t="str">
        <f t="shared" si="266"/>
        <v/>
      </c>
      <c r="J1075" s="487"/>
      <c r="K1075" s="487"/>
      <c r="L1075" s="488" t="str">
        <f t="shared" si="267"/>
        <v/>
      </c>
      <c r="M1075" s="487"/>
      <c r="N1075" s="487"/>
      <c r="O1075" s="488" t="str">
        <f t="shared" si="268"/>
        <v/>
      </c>
      <c r="P1075" s="489"/>
      <c r="Q1075" s="489"/>
      <c r="R1075" s="592" t="str">
        <f t="shared" si="269"/>
        <v/>
      </c>
      <c r="S1075" s="487"/>
      <c r="T1075" s="487"/>
      <c r="U1075" s="488" t="str">
        <f t="shared" si="270"/>
        <v/>
      </c>
      <c r="V1075" s="489"/>
      <c r="W1075" s="489"/>
      <c r="X1075" s="488" t="str">
        <f t="shared" si="271"/>
        <v/>
      </c>
      <c r="Y1075" s="489"/>
      <c r="Z1075" s="489"/>
      <c r="AA1075" s="490" t="str">
        <f t="shared" si="264"/>
        <v/>
      </c>
      <c r="AB1075" s="489"/>
      <c r="AC1075" s="489"/>
      <c r="AD1075" s="27">
        <v>410209</v>
      </c>
      <c r="AE1075" s="27" t="s">
        <v>808</v>
      </c>
      <c r="AF1075" s="432">
        <f>VLOOKUP(AD1075,[5]Hoja1!$A$10:$K$1393,11,0)</f>
        <v>-90345303</v>
      </c>
      <c r="AG1075" s="432"/>
      <c r="AH1075" s="432">
        <f t="shared" si="246"/>
        <v>-90345</v>
      </c>
      <c r="AL1075" s="448"/>
      <c r="AM1075" s="467">
        <f>VLOOKUP(AD1075,[6]BV201101!$A$10:$A$1236,1,0)</f>
        <v>410209</v>
      </c>
    </row>
    <row r="1076" spans="1:39" s="467" customFormat="1" ht="12.75" customHeight="1">
      <c r="A1076" s="487" t="str">
        <f t="shared" si="272"/>
        <v>4</v>
      </c>
      <c r="B1076" s="487" t="str">
        <f t="shared" si="261"/>
        <v>10</v>
      </c>
      <c r="C1076" s="487" t="str">
        <f t="shared" si="262"/>
        <v>21</v>
      </c>
      <c r="D1076" s="487" t="str">
        <f t="shared" si="263"/>
        <v>0210</v>
      </c>
      <c r="E1076" s="487">
        <v>532100000</v>
      </c>
      <c r="F1076" s="488" t="str">
        <f t="shared" si="265"/>
        <v/>
      </c>
      <c r="G1076" s="489"/>
      <c r="H1076" s="489"/>
      <c r="I1076" s="488" t="str">
        <f t="shared" si="266"/>
        <v/>
      </c>
      <c r="J1076" s="487"/>
      <c r="K1076" s="487"/>
      <c r="L1076" s="488" t="str">
        <f t="shared" si="267"/>
        <v/>
      </c>
      <c r="M1076" s="487"/>
      <c r="N1076" s="487"/>
      <c r="O1076" s="488" t="str">
        <f t="shared" si="268"/>
        <v/>
      </c>
      <c r="P1076" s="489"/>
      <c r="Q1076" s="489"/>
      <c r="R1076" s="592" t="str">
        <f t="shared" si="269"/>
        <v/>
      </c>
      <c r="S1076" s="487"/>
      <c r="T1076" s="487"/>
      <c r="U1076" s="488" t="str">
        <f t="shared" si="270"/>
        <v/>
      </c>
      <c r="V1076" s="489"/>
      <c r="W1076" s="489"/>
      <c r="X1076" s="488" t="str">
        <f t="shared" si="271"/>
        <v/>
      </c>
      <c r="Y1076" s="489"/>
      <c r="Z1076" s="489"/>
      <c r="AA1076" s="490" t="str">
        <f t="shared" si="264"/>
        <v/>
      </c>
      <c r="AB1076" s="489"/>
      <c r="AC1076" s="489"/>
      <c r="AD1076" s="27">
        <v>410210</v>
      </c>
      <c r="AE1076" s="27" t="s">
        <v>809</v>
      </c>
      <c r="AF1076" s="432">
        <f>VLOOKUP(AD1076,[5]Hoja1!$A$10:$K$1393,11,0)</f>
        <v>-8156925995</v>
      </c>
      <c r="AG1076" s="432"/>
      <c r="AH1076" s="432">
        <f t="shared" si="246"/>
        <v>-8156926</v>
      </c>
      <c r="AL1076" s="448"/>
      <c r="AM1076" s="467">
        <f>VLOOKUP(AD1076,[6]BV201101!$A$10:$A$1236,1,0)</f>
        <v>410210</v>
      </c>
    </row>
    <row r="1077" spans="1:39" s="467" customFormat="1" ht="12.75" customHeight="1">
      <c r="A1077" s="487" t="str">
        <f t="shared" si="272"/>
        <v>4</v>
      </c>
      <c r="B1077" s="487" t="str">
        <f t="shared" si="261"/>
        <v>10</v>
      </c>
      <c r="C1077" s="487" t="str">
        <f t="shared" si="262"/>
        <v>21</v>
      </c>
      <c r="D1077" s="487" t="str">
        <f t="shared" si="263"/>
        <v>0211</v>
      </c>
      <c r="E1077" s="487">
        <v>532100000</v>
      </c>
      <c r="F1077" s="488" t="str">
        <f t="shared" si="265"/>
        <v/>
      </c>
      <c r="G1077" s="489"/>
      <c r="H1077" s="489"/>
      <c r="I1077" s="488" t="str">
        <f t="shared" si="266"/>
        <v/>
      </c>
      <c r="J1077" s="487"/>
      <c r="K1077" s="487"/>
      <c r="L1077" s="488" t="str">
        <f t="shared" si="267"/>
        <v/>
      </c>
      <c r="M1077" s="487"/>
      <c r="N1077" s="487"/>
      <c r="O1077" s="488" t="str">
        <f t="shared" si="268"/>
        <v/>
      </c>
      <c r="P1077" s="489"/>
      <c r="Q1077" s="489"/>
      <c r="R1077" s="592" t="str">
        <f t="shared" si="269"/>
        <v/>
      </c>
      <c r="S1077" s="487"/>
      <c r="T1077" s="487"/>
      <c r="U1077" s="488" t="str">
        <f t="shared" si="270"/>
        <v/>
      </c>
      <c r="V1077" s="489"/>
      <c r="W1077" s="489"/>
      <c r="X1077" s="488" t="str">
        <f t="shared" si="271"/>
        <v/>
      </c>
      <c r="Y1077" s="489"/>
      <c r="Z1077" s="489"/>
      <c r="AA1077" s="490" t="str">
        <f t="shared" si="264"/>
        <v/>
      </c>
      <c r="AB1077" s="489"/>
      <c r="AC1077" s="489"/>
      <c r="AD1077" s="27">
        <v>410211</v>
      </c>
      <c r="AE1077" s="27" t="s">
        <v>810</v>
      </c>
      <c r="AF1077" s="432">
        <f>VLOOKUP(AD1077,[5]Hoja1!$A$10:$K$1393,11,0)</f>
        <v>-4089177</v>
      </c>
      <c r="AG1077" s="432"/>
      <c r="AH1077" s="432">
        <f t="shared" si="246"/>
        <v>-4089</v>
      </c>
      <c r="AL1077" s="448"/>
      <c r="AM1077" s="467">
        <f>VLOOKUP(AD1077,[6]BV201101!$A$10:$A$1236,1,0)</f>
        <v>410211</v>
      </c>
    </row>
    <row r="1078" spans="1:39" s="467" customFormat="1" ht="12.75" customHeight="1">
      <c r="A1078" s="487" t="str">
        <f t="shared" si="272"/>
        <v>4</v>
      </c>
      <c r="B1078" s="487" t="str">
        <f t="shared" si="261"/>
        <v>10</v>
      </c>
      <c r="C1078" s="487" t="str">
        <f t="shared" si="262"/>
        <v>21</v>
      </c>
      <c r="D1078" s="487" t="str">
        <f t="shared" si="263"/>
        <v>0212</v>
      </c>
      <c r="E1078" s="487">
        <v>532100000</v>
      </c>
      <c r="F1078" s="488" t="str">
        <f t="shared" si="265"/>
        <v/>
      </c>
      <c r="G1078" s="489"/>
      <c r="H1078" s="489"/>
      <c r="I1078" s="488" t="str">
        <f t="shared" si="266"/>
        <v/>
      </c>
      <c r="J1078" s="487"/>
      <c r="K1078" s="487"/>
      <c r="L1078" s="488" t="str">
        <f t="shared" si="267"/>
        <v/>
      </c>
      <c r="M1078" s="487"/>
      <c r="N1078" s="487"/>
      <c r="O1078" s="488" t="str">
        <f t="shared" si="268"/>
        <v/>
      </c>
      <c r="P1078" s="489"/>
      <c r="Q1078" s="489"/>
      <c r="R1078" s="592" t="str">
        <f t="shared" si="269"/>
        <v/>
      </c>
      <c r="S1078" s="487"/>
      <c r="T1078" s="487"/>
      <c r="U1078" s="488" t="str">
        <f t="shared" si="270"/>
        <v/>
      </c>
      <c r="V1078" s="489"/>
      <c r="W1078" s="489"/>
      <c r="X1078" s="488" t="str">
        <f t="shared" si="271"/>
        <v/>
      </c>
      <c r="Y1078" s="489"/>
      <c r="Z1078" s="489"/>
      <c r="AA1078" s="490" t="str">
        <f t="shared" si="264"/>
        <v/>
      </c>
      <c r="AB1078" s="489"/>
      <c r="AC1078" s="489"/>
      <c r="AD1078" s="27">
        <v>410212</v>
      </c>
      <c r="AE1078" s="27" t="s">
        <v>811</v>
      </c>
      <c r="AF1078" s="432">
        <f>VLOOKUP(AD1078,[5]Hoja1!$A$10:$K$1393,11,0)</f>
        <v>-1528923407</v>
      </c>
      <c r="AG1078" s="432"/>
      <c r="AH1078" s="432">
        <f t="shared" si="246"/>
        <v>-1528923</v>
      </c>
      <c r="AL1078" s="448"/>
      <c r="AM1078" s="467">
        <f>VLOOKUP(AD1078,[6]BV201101!$A$10:$A$1236,1,0)</f>
        <v>410212</v>
      </c>
    </row>
    <row r="1079" spans="1:39" s="467" customFormat="1" ht="12.75" customHeight="1">
      <c r="A1079" s="487" t="str">
        <f t="shared" si="272"/>
        <v>4</v>
      </c>
      <c r="B1079" s="487" t="str">
        <f t="shared" si="261"/>
        <v>10</v>
      </c>
      <c r="C1079" s="487" t="str">
        <f t="shared" si="262"/>
        <v>21</v>
      </c>
      <c r="D1079" s="487" t="str">
        <f t="shared" si="263"/>
        <v>0213</v>
      </c>
      <c r="E1079" s="487">
        <v>532300000</v>
      </c>
      <c r="F1079" s="488" t="str">
        <f t="shared" si="265"/>
        <v/>
      </c>
      <c r="G1079" s="489"/>
      <c r="H1079" s="489"/>
      <c r="I1079" s="488" t="str">
        <f t="shared" si="266"/>
        <v/>
      </c>
      <c r="J1079" s="487"/>
      <c r="K1079" s="487"/>
      <c r="L1079" s="488" t="str">
        <f t="shared" si="267"/>
        <v/>
      </c>
      <c r="M1079" s="487"/>
      <c r="N1079" s="487"/>
      <c r="O1079" s="488" t="str">
        <f t="shared" si="268"/>
        <v/>
      </c>
      <c r="P1079" s="489"/>
      <c r="Q1079" s="489"/>
      <c r="R1079" s="592" t="str">
        <f t="shared" si="269"/>
        <v/>
      </c>
      <c r="S1079" s="487"/>
      <c r="T1079" s="487"/>
      <c r="U1079" s="488" t="str">
        <f t="shared" si="270"/>
        <v/>
      </c>
      <c r="V1079" s="489"/>
      <c r="W1079" s="489"/>
      <c r="X1079" s="488" t="str">
        <f t="shared" si="271"/>
        <v/>
      </c>
      <c r="Y1079" s="489"/>
      <c r="Z1079" s="489"/>
      <c r="AA1079" s="490" t="str">
        <f t="shared" si="264"/>
        <v/>
      </c>
      <c r="AB1079" s="489"/>
      <c r="AC1079" s="489"/>
      <c r="AD1079" s="27">
        <v>410213</v>
      </c>
      <c r="AE1079" s="27" t="s">
        <v>255</v>
      </c>
      <c r="AF1079" s="432">
        <f>VLOOKUP(AD1079,[5]Hoja1!$A$10:$K$1393,11,0)</f>
        <v>-4074176875</v>
      </c>
      <c r="AG1079" s="432"/>
      <c r="AH1079" s="432">
        <f t="shared" si="246"/>
        <v>-4074177</v>
      </c>
      <c r="AL1079" s="448"/>
      <c r="AM1079" s="467">
        <f>VLOOKUP(AD1079,[6]BV201101!$A$10:$A$1236,1,0)</f>
        <v>410213</v>
      </c>
    </row>
    <row r="1080" spans="1:39" s="467" customFormat="1" ht="12.75" customHeight="1">
      <c r="A1080" s="487" t="str">
        <f t="shared" si="272"/>
        <v>4</v>
      </c>
      <c r="B1080" s="487" t="str">
        <f t="shared" si="261"/>
        <v>10</v>
      </c>
      <c r="C1080" s="487" t="str">
        <f t="shared" si="262"/>
        <v>21</v>
      </c>
      <c r="D1080" s="487" t="str">
        <f t="shared" si="263"/>
        <v>0214</v>
      </c>
      <c r="E1080" s="487">
        <v>532201300</v>
      </c>
      <c r="F1080" s="488" t="str">
        <f t="shared" si="265"/>
        <v/>
      </c>
      <c r="G1080" s="489"/>
      <c r="H1080" s="489"/>
      <c r="I1080" s="488" t="str">
        <f t="shared" si="266"/>
        <v/>
      </c>
      <c r="J1080" s="487"/>
      <c r="K1080" s="487"/>
      <c r="L1080" s="488" t="str">
        <f t="shared" si="267"/>
        <v/>
      </c>
      <c r="M1080" s="487"/>
      <c r="N1080" s="487"/>
      <c r="O1080" s="488" t="str">
        <f t="shared" si="268"/>
        <v/>
      </c>
      <c r="P1080" s="489"/>
      <c r="Q1080" s="489"/>
      <c r="R1080" s="592" t="str">
        <f t="shared" si="269"/>
        <v/>
      </c>
      <c r="S1080" s="487"/>
      <c r="T1080" s="487"/>
      <c r="U1080" s="488" t="str">
        <f t="shared" si="270"/>
        <v/>
      </c>
      <c r="V1080" s="489"/>
      <c r="W1080" s="489"/>
      <c r="X1080" s="488" t="str">
        <f t="shared" si="271"/>
        <v/>
      </c>
      <c r="Y1080" s="489"/>
      <c r="Z1080" s="489"/>
      <c r="AA1080" s="490" t="str">
        <f t="shared" si="264"/>
        <v/>
      </c>
      <c r="AB1080" s="489"/>
      <c r="AC1080" s="489"/>
      <c r="AD1080" s="27">
        <v>410214</v>
      </c>
      <c r="AE1080" s="27" t="s">
        <v>2291</v>
      </c>
      <c r="AF1080" s="432">
        <f>VLOOKUP(AD1080,[5]Hoja1!$A$10:$K$1393,11,0)</f>
        <v>-108984</v>
      </c>
      <c r="AG1080" s="432"/>
      <c r="AH1080" s="432">
        <f t="shared" si="246"/>
        <v>-109</v>
      </c>
      <c r="AL1080" s="448"/>
      <c r="AM1080" s="467">
        <f>VLOOKUP(AD1080,[6]BV201101!$A$10:$A$1236,1,0)</f>
        <v>410214</v>
      </c>
    </row>
    <row r="1081" spans="1:39" s="467" customFormat="1" ht="12.75" customHeight="1">
      <c r="A1081" s="487" t="str">
        <f t="shared" si="272"/>
        <v>4</v>
      </c>
      <c r="B1081" s="487" t="str">
        <f t="shared" si="261"/>
        <v>10</v>
      </c>
      <c r="C1081" s="487" t="str">
        <f t="shared" si="262"/>
        <v>21</v>
      </c>
      <c r="D1081" s="487" t="str">
        <f t="shared" si="263"/>
        <v>0215</v>
      </c>
      <c r="E1081" s="487">
        <v>532100000</v>
      </c>
      <c r="F1081" s="488" t="str">
        <f t="shared" si="265"/>
        <v/>
      </c>
      <c r="G1081" s="489"/>
      <c r="H1081" s="489"/>
      <c r="I1081" s="488" t="str">
        <f t="shared" si="266"/>
        <v/>
      </c>
      <c r="J1081" s="487"/>
      <c r="K1081" s="487"/>
      <c r="L1081" s="488" t="str">
        <f t="shared" si="267"/>
        <v/>
      </c>
      <c r="M1081" s="487"/>
      <c r="N1081" s="487"/>
      <c r="O1081" s="488" t="str">
        <f t="shared" si="268"/>
        <v/>
      </c>
      <c r="P1081" s="489"/>
      <c r="Q1081" s="489"/>
      <c r="R1081" s="592" t="str">
        <f t="shared" si="269"/>
        <v/>
      </c>
      <c r="S1081" s="487"/>
      <c r="T1081" s="487"/>
      <c r="U1081" s="488" t="str">
        <f t="shared" si="270"/>
        <v/>
      </c>
      <c r="V1081" s="489"/>
      <c r="W1081" s="489"/>
      <c r="X1081" s="488" t="str">
        <f t="shared" si="271"/>
        <v/>
      </c>
      <c r="Y1081" s="489"/>
      <c r="Z1081" s="489"/>
      <c r="AA1081" s="490" t="str">
        <f t="shared" si="264"/>
        <v/>
      </c>
      <c r="AB1081" s="489"/>
      <c r="AC1081" s="489"/>
      <c r="AD1081" s="27">
        <v>410215</v>
      </c>
      <c r="AE1081" s="27" t="s">
        <v>257</v>
      </c>
      <c r="AF1081" s="432">
        <f>VLOOKUP(AD1081,[5]Hoja1!$A$10:$K$1393,11,0)</f>
        <v>-9672343</v>
      </c>
      <c r="AG1081" s="432"/>
      <c r="AH1081" s="432">
        <f t="shared" si="246"/>
        <v>-9672</v>
      </c>
      <c r="AL1081" s="448"/>
      <c r="AM1081" s="467">
        <f>VLOOKUP(AD1081,[6]BV201101!$A$10:$A$1236,1,0)</f>
        <v>410215</v>
      </c>
    </row>
    <row r="1082" spans="1:39" s="467" customFormat="1" ht="12.75" customHeight="1">
      <c r="A1082" s="487" t="str">
        <f t="shared" si="272"/>
        <v>4</v>
      </c>
      <c r="B1082" s="487" t="str">
        <f t="shared" si="261"/>
        <v>10</v>
      </c>
      <c r="C1082" s="487" t="str">
        <f t="shared" si="262"/>
        <v>21</v>
      </c>
      <c r="D1082" s="487" t="str">
        <f t="shared" si="263"/>
        <v>0216</v>
      </c>
      <c r="E1082" s="487">
        <v>532100000</v>
      </c>
      <c r="F1082" s="488" t="str">
        <f t="shared" si="265"/>
        <v/>
      </c>
      <c r="G1082" s="489"/>
      <c r="H1082" s="489"/>
      <c r="I1082" s="488" t="str">
        <f t="shared" si="266"/>
        <v/>
      </c>
      <c r="J1082" s="487"/>
      <c r="K1082" s="487"/>
      <c r="L1082" s="488" t="str">
        <f t="shared" si="267"/>
        <v/>
      </c>
      <c r="M1082" s="487"/>
      <c r="N1082" s="487"/>
      <c r="O1082" s="488" t="str">
        <f t="shared" si="268"/>
        <v/>
      </c>
      <c r="P1082" s="489"/>
      <c r="Q1082" s="489"/>
      <c r="R1082" s="592" t="str">
        <f t="shared" si="269"/>
        <v/>
      </c>
      <c r="S1082" s="487"/>
      <c r="T1082" s="487"/>
      <c r="U1082" s="488" t="str">
        <f t="shared" si="270"/>
        <v/>
      </c>
      <c r="V1082" s="489"/>
      <c r="W1082" s="489"/>
      <c r="X1082" s="488" t="str">
        <f t="shared" si="271"/>
        <v/>
      </c>
      <c r="Y1082" s="489"/>
      <c r="Z1082" s="489"/>
      <c r="AA1082" s="490" t="str">
        <f t="shared" si="264"/>
        <v/>
      </c>
      <c r="AB1082" s="489"/>
      <c r="AC1082" s="489"/>
      <c r="AD1082" s="27">
        <v>410216</v>
      </c>
      <c r="AE1082" s="27" t="s">
        <v>2292</v>
      </c>
      <c r="AF1082" s="432">
        <f>VLOOKUP(AD1082,[5]Hoja1!$A$10:$K$1393,11,0)</f>
        <v>-35122449</v>
      </c>
      <c r="AG1082" s="432"/>
      <c r="AH1082" s="432">
        <f t="shared" si="246"/>
        <v>-35122</v>
      </c>
      <c r="AL1082" s="448"/>
      <c r="AM1082" s="467">
        <f>VLOOKUP(AD1082,[6]BV201101!$A$10:$A$1236,1,0)</f>
        <v>410216</v>
      </c>
    </row>
    <row r="1083" spans="1:39" s="467" customFormat="1" ht="12.75" customHeight="1">
      <c r="A1083" s="487" t="str">
        <f t="shared" si="272"/>
        <v>4</v>
      </c>
      <c r="B1083" s="487" t="str">
        <f t="shared" si="261"/>
        <v>10</v>
      </c>
      <c r="C1083" s="487" t="str">
        <f t="shared" si="262"/>
        <v>21</v>
      </c>
      <c r="D1083" s="487" t="str">
        <f t="shared" si="263"/>
        <v>0217</v>
      </c>
      <c r="E1083" s="487">
        <v>532100000</v>
      </c>
      <c r="F1083" s="488" t="str">
        <f t="shared" si="265"/>
        <v/>
      </c>
      <c r="G1083" s="489"/>
      <c r="H1083" s="489"/>
      <c r="I1083" s="488" t="str">
        <f t="shared" si="266"/>
        <v/>
      </c>
      <c r="J1083" s="487"/>
      <c r="K1083" s="487"/>
      <c r="L1083" s="488" t="str">
        <f t="shared" si="267"/>
        <v/>
      </c>
      <c r="M1083" s="487"/>
      <c r="N1083" s="487"/>
      <c r="O1083" s="488" t="str">
        <f t="shared" si="268"/>
        <v/>
      </c>
      <c r="P1083" s="489"/>
      <c r="Q1083" s="489"/>
      <c r="R1083" s="592" t="str">
        <f t="shared" si="269"/>
        <v/>
      </c>
      <c r="S1083" s="487"/>
      <c r="T1083" s="487"/>
      <c r="U1083" s="488" t="str">
        <f t="shared" si="270"/>
        <v/>
      </c>
      <c r="V1083" s="489"/>
      <c r="W1083" s="489"/>
      <c r="X1083" s="488" t="str">
        <f t="shared" si="271"/>
        <v/>
      </c>
      <c r="Y1083" s="489"/>
      <c r="Z1083" s="489"/>
      <c r="AA1083" s="490" t="str">
        <f t="shared" si="264"/>
        <v/>
      </c>
      <c r="AB1083" s="489"/>
      <c r="AC1083" s="489"/>
      <c r="AD1083" s="27">
        <v>410217</v>
      </c>
      <c r="AE1083" s="27" t="s">
        <v>258</v>
      </c>
      <c r="AF1083" s="432">
        <f>VLOOKUP(AD1083,[5]Hoja1!$A$10:$K$1393,11,0)</f>
        <v>-18411173</v>
      </c>
      <c r="AG1083" s="432"/>
      <c r="AH1083" s="432">
        <f t="shared" si="246"/>
        <v>-18411</v>
      </c>
      <c r="AL1083" s="448"/>
      <c r="AM1083" s="467">
        <f>VLOOKUP(AD1083,[6]BV201101!$A$10:$A$1236,1,0)</f>
        <v>410217</v>
      </c>
    </row>
    <row r="1084" spans="1:39" s="467" customFormat="1" ht="12.75" customHeight="1">
      <c r="A1084" s="487" t="str">
        <f t="shared" si="272"/>
        <v>4</v>
      </c>
      <c r="B1084" s="487" t="str">
        <f t="shared" si="261"/>
        <v>10</v>
      </c>
      <c r="C1084" s="487" t="str">
        <f t="shared" si="262"/>
        <v>21</v>
      </c>
      <c r="D1084" s="487" t="str">
        <f t="shared" si="263"/>
        <v>0218</v>
      </c>
      <c r="E1084" s="487">
        <v>532100000</v>
      </c>
      <c r="F1084" s="488" t="str">
        <f t="shared" si="265"/>
        <v/>
      </c>
      <c r="G1084" s="489"/>
      <c r="H1084" s="489"/>
      <c r="I1084" s="488" t="str">
        <f t="shared" si="266"/>
        <v/>
      </c>
      <c r="J1084" s="487"/>
      <c r="K1084" s="487"/>
      <c r="L1084" s="488" t="str">
        <f t="shared" si="267"/>
        <v/>
      </c>
      <c r="M1084" s="487"/>
      <c r="N1084" s="487"/>
      <c r="O1084" s="488" t="str">
        <f t="shared" si="268"/>
        <v/>
      </c>
      <c r="P1084" s="489"/>
      <c r="Q1084" s="489"/>
      <c r="R1084" s="592" t="str">
        <f t="shared" si="269"/>
        <v/>
      </c>
      <c r="S1084" s="487"/>
      <c r="T1084" s="487"/>
      <c r="U1084" s="488" t="str">
        <f t="shared" si="270"/>
        <v/>
      </c>
      <c r="V1084" s="489"/>
      <c r="W1084" s="489"/>
      <c r="X1084" s="488" t="str">
        <f t="shared" si="271"/>
        <v/>
      </c>
      <c r="Y1084" s="489"/>
      <c r="Z1084" s="489"/>
      <c r="AA1084" s="490" t="str">
        <f t="shared" si="264"/>
        <v/>
      </c>
      <c r="AB1084" s="489"/>
      <c r="AC1084" s="489"/>
      <c r="AD1084" s="27">
        <v>410218</v>
      </c>
      <c r="AE1084" s="27" t="s">
        <v>2293</v>
      </c>
      <c r="AF1084" s="432">
        <f>VLOOKUP(AD1084,[5]Hoja1!$A$10:$K$1393,11,0)</f>
        <v>-218768</v>
      </c>
      <c r="AG1084" s="432"/>
      <c r="AH1084" s="432">
        <f t="shared" si="246"/>
        <v>-219</v>
      </c>
      <c r="AL1084" s="448"/>
      <c r="AM1084" s="467">
        <f>VLOOKUP(AD1084,[6]BV201101!$A$10:$A$1236,1,0)</f>
        <v>410218</v>
      </c>
    </row>
    <row r="1085" spans="1:39" s="467" customFormat="1" ht="12.75" customHeight="1">
      <c r="A1085" s="487" t="str">
        <f t="shared" si="272"/>
        <v>4</v>
      </c>
      <c r="B1085" s="487" t="str">
        <f t="shared" si="261"/>
        <v>10</v>
      </c>
      <c r="C1085" s="487" t="str">
        <f t="shared" si="262"/>
        <v>21</v>
      </c>
      <c r="D1085" s="487" t="str">
        <f t="shared" si="263"/>
        <v>0219</v>
      </c>
      <c r="E1085" s="487">
        <v>532100000</v>
      </c>
      <c r="F1085" s="488" t="str">
        <f t="shared" si="265"/>
        <v/>
      </c>
      <c r="G1085" s="489"/>
      <c r="H1085" s="489"/>
      <c r="I1085" s="488" t="str">
        <f t="shared" si="266"/>
        <v/>
      </c>
      <c r="J1085" s="487"/>
      <c r="K1085" s="487"/>
      <c r="L1085" s="488" t="str">
        <f t="shared" si="267"/>
        <v/>
      </c>
      <c r="M1085" s="487"/>
      <c r="N1085" s="487"/>
      <c r="O1085" s="488" t="str">
        <f t="shared" si="268"/>
        <v/>
      </c>
      <c r="P1085" s="489"/>
      <c r="Q1085" s="489"/>
      <c r="R1085" s="592" t="str">
        <f t="shared" si="269"/>
        <v/>
      </c>
      <c r="S1085" s="487"/>
      <c r="T1085" s="487"/>
      <c r="U1085" s="488" t="str">
        <f t="shared" si="270"/>
        <v/>
      </c>
      <c r="V1085" s="489"/>
      <c r="W1085" s="489"/>
      <c r="X1085" s="488" t="str">
        <f t="shared" si="271"/>
        <v/>
      </c>
      <c r="Y1085" s="489"/>
      <c r="Z1085" s="489"/>
      <c r="AA1085" s="490" t="str">
        <f t="shared" ref="AA1085:AA1209" si="273">+AB1085&amp;AC1085</f>
        <v/>
      </c>
      <c r="AB1085" s="489"/>
      <c r="AC1085" s="489"/>
      <c r="AD1085" s="27">
        <v>410219</v>
      </c>
      <c r="AE1085" s="27" t="s">
        <v>259</v>
      </c>
      <c r="AF1085" s="432">
        <f>VLOOKUP(AD1085,[5]Hoja1!$A$10:$K$1393,11,0)</f>
        <v>-35936472</v>
      </c>
      <c r="AG1085" s="432"/>
      <c r="AH1085" s="432">
        <f t="shared" si="246"/>
        <v>-35936</v>
      </c>
      <c r="AL1085" s="448"/>
      <c r="AM1085" s="467">
        <f>VLOOKUP(AD1085,[6]BV201101!$A$10:$A$1236,1,0)</f>
        <v>410219</v>
      </c>
    </row>
    <row r="1086" spans="1:39" s="467" customFormat="1" ht="12.75" customHeight="1">
      <c r="A1086" s="487" t="str">
        <f t="shared" si="272"/>
        <v>4</v>
      </c>
      <c r="B1086" s="487" t="str">
        <f t="shared" si="261"/>
        <v>10</v>
      </c>
      <c r="C1086" s="487" t="str">
        <f t="shared" si="262"/>
        <v>22</v>
      </c>
      <c r="D1086" s="487" t="str">
        <f t="shared" si="263"/>
        <v>0220</v>
      </c>
      <c r="E1086" s="487">
        <v>532100000</v>
      </c>
      <c r="F1086" s="488" t="str">
        <f t="shared" si="265"/>
        <v/>
      </c>
      <c r="G1086" s="489"/>
      <c r="H1086" s="489"/>
      <c r="I1086" s="488" t="str">
        <f t="shared" si="266"/>
        <v/>
      </c>
      <c r="J1086" s="487"/>
      <c r="K1086" s="487"/>
      <c r="L1086" s="488" t="str">
        <f t="shared" si="267"/>
        <v/>
      </c>
      <c r="M1086" s="487"/>
      <c r="N1086" s="487"/>
      <c r="O1086" s="488" t="str">
        <f t="shared" si="268"/>
        <v/>
      </c>
      <c r="P1086" s="489"/>
      <c r="Q1086" s="489"/>
      <c r="R1086" s="592" t="str">
        <f t="shared" si="269"/>
        <v/>
      </c>
      <c r="S1086" s="487"/>
      <c r="T1086" s="487"/>
      <c r="U1086" s="488" t="str">
        <f t="shared" si="270"/>
        <v/>
      </c>
      <c r="V1086" s="489"/>
      <c r="W1086" s="489"/>
      <c r="X1086" s="488" t="str">
        <f t="shared" si="271"/>
        <v/>
      </c>
      <c r="Y1086" s="489"/>
      <c r="Z1086" s="489"/>
      <c r="AA1086" s="490" t="str">
        <f t="shared" si="273"/>
        <v/>
      </c>
      <c r="AB1086" s="489"/>
      <c r="AC1086" s="489"/>
      <c r="AD1086" s="27">
        <v>410220</v>
      </c>
      <c r="AE1086" s="27" t="s">
        <v>260</v>
      </c>
      <c r="AF1086" s="432">
        <f>VLOOKUP(AD1086,[5]Hoja1!$A$10:$K$1393,11,0)</f>
        <v>-23209088</v>
      </c>
      <c r="AG1086" s="432"/>
      <c r="AH1086" s="432">
        <f t="shared" si="246"/>
        <v>-23209</v>
      </c>
      <c r="AL1086" s="448"/>
      <c r="AM1086" s="467">
        <f>VLOOKUP(AD1086,[6]BV201101!$A$10:$A$1236,1,0)</f>
        <v>410220</v>
      </c>
    </row>
    <row r="1087" spans="1:39" s="467" customFormat="1" ht="12.75" customHeight="1">
      <c r="A1087" s="487" t="str">
        <f t="shared" si="272"/>
        <v>4</v>
      </c>
      <c r="B1087" s="487" t="str">
        <f t="shared" si="261"/>
        <v>10</v>
      </c>
      <c r="C1087" s="487" t="str">
        <f t="shared" si="262"/>
        <v>22</v>
      </c>
      <c r="D1087" s="487" t="str">
        <f t="shared" si="263"/>
        <v>0221</v>
      </c>
      <c r="E1087" s="487">
        <v>532100000</v>
      </c>
      <c r="F1087" s="488" t="str">
        <f t="shared" si="265"/>
        <v/>
      </c>
      <c r="G1087" s="489"/>
      <c r="H1087" s="489"/>
      <c r="I1087" s="488" t="str">
        <f t="shared" si="266"/>
        <v/>
      </c>
      <c r="J1087" s="487"/>
      <c r="K1087" s="487"/>
      <c r="L1087" s="488" t="str">
        <f t="shared" si="267"/>
        <v/>
      </c>
      <c r="M1087" s="487"/>
      <c r="N1087" s="487"/>
      <c r="O1087" s="488" t="str">
        <f t="shared" si="268"/>
        <v/>
      </c>
      <c r="P1087" s="489"/>
      <c r="Q1087" s="489"/>
      <c r="R1087" s="592" t="str">
        <f t="shared" si="269"/>
        <v/>
      </c>
      <c r="S1087" s="487"/>
      <c r="T1087" s="487"/>
      <c r="U1087" s="488" t="str">
        <f t="shared" si="270"/>
        <v/>
      </c>
      <c r="V1087" s="489"/>
      <c r="W1087" s="489"/>
      <c r="X1087" s="488" t="str">
        <f t="shared" si="271"/>
        <v/>
      </c>
      <c r="Y1087" s="489"/>
      <c r="Z1087" s="489"/>
      <c r="AA1087" s="490" t="str">
        <f t="shared" si="273"/>
        <v/>
      </c>
      <c r="AB1087" s="489"/>
      <c r="AC1087" s="489"/>
      <c r="AD1087" s="27">
        <v>410221</v>
      </c>
      <c r="AE1087" s="27" t="s">
        <v>781</v>
      </c>
      <c r="AF1087" s="432">
        <f>VLOOKUP(AD1087,[5]Hoja1!$A$10:$K$1393,11,0)</f>
        <v>-1384750690</v>
      </c>
      <c r="AG1087" s="432"/>
      <c r="AH1087" s="432">
        <f t="shared" si="246"/>
        <v>-1384751</v>
      </c>
      <c r="AL1087" s="448"/>
      <c r="AM1087" s="467">
        <f>VLOOKUP(AD1087,[6]BV201101!$A$10:$A$1236,1,0)</f>
        <v>410221</v>
      </c>
    </row>
    <row r="1088" spans="1:39" s="467" customFormat="1" ht="12.75" customHeight="1">
      <c r="A1088" s="487" t="str">
        <f t="shared" si="272"/>
        <v>4</v>
      </c>
      <c r="B1088" s="487" t="str">
        <f t="shared" si="261"/>
        <v>10</v>
      </c>
      <c r="C1088" s="487" t="str">
        <f t="shared" si="262"/>
        <v>22</v>
      </c>
      <c r="D1088" s="487" t="str">
        <f t="shared" si="263"/>
        <v>0222</v>
      </c>
      <c r="E1088" s="487">
        <v>532100000</v>
      </c>
      <c r="F1088" s="488" t="str">
        <f t="shared" si="265"/>
        <v/>
      </c>
      <c r="G1088" s="489"/>
      <c r="H1088" s="489"/>
      <c r="I1088" s="488" t="str">
        <f t="shared" si="266"/>
        <v/>
      </c>
      <c r="J1088" s="487"/>
      <c r="K1088" s="487"/>
      <c r="L1088" s="488" t="str">
        <f t="shared" si="267"/>
        <v/>
      </c>
      <c r="M1088" s="487"/>
      <c r="N1088" s="487"/>
      <c r="O1088" s="488" t="str">
        <f t="shared" si="268"/>
        <v/>
      </c>
      <c r="P1088" s="489"/>
      <c r="Q1088" s="489"/>
      <c r="R1088" s="592" t="str">
        <f t="shared" si="269"/>
        <v/>
      </c>
      <c r="S1088" s="487"/>
      <c r="T1088" s="487"/>
      <c r="U1088" s="488" t="str">
        <f t="shared" si="270"/>
        <v/>
      </c>
      <c r="V1088" s="489"/>
      <c r="W1088" s="489"/>
      <c r="X1088" s="488" t="str">
        <f t="shared" si="271"/>
        <v/>
      </c>
      <c r="Y1088" s="489"/>
      <c r="Z1088" s="489"/>
      <c r="AA1088" s="490" t="str">
        <f t="shared" si="273"/>
        <v/>
      </c>
      <c r="AB1088" s="489"/>
      <c r="AC1088" s="489"/>
      <c r="AD1088" s="27">
        <v>410222</v>
      </c>
      <c r="AE1088" s="27" t="s">
        <v>782</v>
      </c>
      <c r="AF1088" s="432">
        <f>VLOOKUP(AD1088,[5]Hoja1!$A$10:$K$1393,11,0)</f>
        <v>-15663529</v>
      </c>
      <c r="AG1088" s="432"/>
      <c r="AH1088" s="432">
        <f t="shared" si="246"/>
        <v>-15664</v>
      </c>
      <c r="AL1088" s="448"/>
      <c r="AM1088" s="467">
        <f>VLOOKUP(AD1088,[6]BV201101!$A$10:$A$1236,1,0)</f>
        <v>410222</v>
      </c>
    </row>
    <row r="1089" spans="1:39" s="467" customFormat="1" ht="12.75" customHeight="1">
      <c r="A1089" s="487" t="str">
        <f t="shared" si="272"/>
        <v>4</v>
      </c>
      <c r="B1089" s="487" t="str">
        <f t="shared" si="261"/>
        <v>10</v>
      </c>
      <c r="C1089" s="487" t="str">
        <f t="shared" si="262"/>
        <v>22</v>
      </c>
      <c r="D1089" s="487" t="str">
        <f t="shared" si="263"/>
        <v>0223</v>
      </c>
      <c r="E1089" s="487">
        <v>532100000</v>
      </c>
      <c r="F1089" s="488" t="str">
        <f t="shared" si="265"/>
        <v/>
      </c>
      <c r="G1089" s="489"/>
      <c r="H1089" s="489"/>
      <c r="I1089" s="488" t="str">
        <f t="shared" si="266"/>
        <v/>
      </c>
      <c r="J1089" s="487"/>
      <c r="K1089" s="487"/>
      <c r="L1089" s="488" t="str">
        <f t="shared" si="267"/>
        <v/>
      </c>
      <c r="M1089" s="487"/>
      <c r="N1089" s="487"/>
      <c r="O1089" s="488" t="str">
        <f t="shared" si="268"/>
        <v/>
      </c>
      <c r="P1089" s="489"/>
      <c r="Q1089" s="489"/>
      <c r="R1089" s="592" t="str">
        <f t="shared" si="269"/>
        <v/>
      </c>
      <c r="S1089" s="487"/>
      <c r="T1089" s="487"/>
      <c r="U1089" s="488" t="str">
        <f t="shared" si="270"/>
        <v/>
      </c>
      <c r="V1089" s="489"/>
      <c r="W1089" s="489"/>
      <c r="X1089" s="488" t="str">
        <f t="shared" si="271"/>
        <v/>
      </c>
      <c r="Y1089" s="489"/>
      <c r="Z1089" s="489"/>
      <c r="AA1089" s="490" t="str">
        <f t="shared" si="273"/>
        <v/>
      </c>
      <c r="AB1089" s="489"/>
      <c r="AC1089" s="489"/>
      <c r="AD1089" s="27">
        <v>410223</v>
      </c>
      <c r="AE1089" s="27" t="s">
        <v>783</v>
      </c>
      <c r="AF1089" s="432">
        <f>VLOOKUP(AD1089,[5]Hoja1!$A$10:$K$1393,11,0)</f>
        <v>-899101128</v>
      </c>
      <c r="AG1089" s="432"/>
      <c r="AH1089" s="432">
        <f t="shared" si="246"/>
        <v>-899101</v>
      </c>
      <c r="AL1089" s="448"/>
      <c r="AM1089" s="467">
        <f>VLOOKUP(AD1089,[6]BV201101!$A$10:$A$1236,1,0)</f>
        <v>410223</v>
      </c>
    </row>
    <row r="1090" spans="1:39" s="467" customFormat="1" ht="12.75" customHeight="1">
      <c r="A1090" s="487" t="str">
        <f t="shared" si="272"/>
        <v>4</v>
      </c>
      <c r="B1090" s="487" t="str">
        <f t="shared" si="261"/>
        <v>10</v>
      </c>
      <c r="C1090" s="487" t="str">
        <f t="shared" si="262"/>
        <v>22</v>
      </c>
      <c r="D1090" s="487" t="str">
        <f t="shared" si="263"/>
        <v>0224</v>
      </c>
      <c r="E1090" s="487">
        <v>532100000</v>
      </c>
      <c r="F1090" s="488" t="str">
        <f t="shared" si="265"/>
        <v/>
      </c>
      <c r="G1090" s="489"/>
      <c r="H1090" s="489"/>
      <c r="I1090" s="488" t="str">
        <f t="shared" si="266"/>
        <v/>
      </c>
      <c r="J1090" s="487"/>
      <c r="K1090" s="487"/>
      <c r="L1090" s="488" t="str">
        <f t="shared" si="267"/>
        <v/>
      </c>
      <c r="M1090" s="487"/>
      <c r="N1090" s="487"/>
      <c r="O1090" s="488" t="str">
        <f t="shared" si="268"/>
        <v/>
      </c>
      <c r="P1090" s="489"/>
      <c r="Q1090" s="489"/>
      <c r="R1090" s="592" t="str">
        <f t="shared" si="269"/>
        <v/>
      </c>
      <c r="S1090" s="487"/>
      <c r="T1090" s="487"/>
      <c r="U1090" s="488" t="str">
        <f t="shared" si="270"/>
        <v/>
      </c>
      <c r="V1090" s="489"/>
      <c r="W1090" s="489"/>
      <c r="X1090" s="488" t="str">
        <f t="shared" si="271"/>
        <v/>
      </c>
      <c r="Y1090" s="489"/>
      <c r="Z1090" s="489"/>
      <c r="AA1090" s="490" t="str">
        <f t="shared" si="273"/>
        <v/>
      </c>
      <c r="AB1090" s="489"/>
      <c r="AC1090" s="489"/>
      <c r="AD1090" s="27">
        <v>410224</v>
      </c>
      <c r="AE1090" s="27" t="s">
        <v>2294</v>
      </c>
      <c r="AF1090" s="432">
        <f>VLOOKUP(AD1090,[5]Hoja1!$A$10:$K$1393,11,0)</f>
        <v>-39456</v>
      </c>
      <c r="AG1090" s="432"/>
      <c r="AH1090" s="432">
        <f t="shared" si="246"/>
        <v>-39</v>
      </c>
      <c r="AL1090" s="448"/>
      <c r="AM1090" s="467">
        <f>VLOOKUP(AD1090,[6]BV201101!$A$10:$A$1236,1,0)</f>
        <v>410224</v>
      </c>
    </row>
    <row r="1091" spans="1:39" s="467" customFormat="1" ht="12.75" customHeight="1">
      <c r="A1091" s="487" t="str">
        <f t="shared" si="272"/>
        <v>4</v>
      </c>
      <c r="B1091" s="487" t="str">
        <f t="shared" si="261"/>
        <v>10</v>
      </c>
      <c r="C1091" s="487" t="str">
        <f t="shared" si="262"/>
        <v>22</v>
      </c>
      <c r="D1091" s="487" t="str">
        <f t="shared" si="263"/>
        <v>0225</v>
      </c>
      <c r="E1091" s="487">
        <v>532100000</v>
      </c>
      <c r="F1091" s="488" t="str">
        <f t="shared" si="265"/>
        <v/>
      </c>
      <c r="G1091" s="489"/>
      <c r="H1091" s="489"/>
      <c r="I1091" s="488" t="str">
        <f t="shared" si="266"/>
        <v/>
      </c>
      <c r="J1091" s="487"/>
      <c r="K1091" s="487"/>
      <c r="L1091" s="488" t="str">
        <f t="shared" si="267"/>
        <v/>
      </c>
      <c r="M1091" s="487"/>
      <c r="N1091" s="487"/>
      <c r="O1091" s="488" t="str">
        <f t="shared" si="268"/>
        <v/>
      </c>
      <c r="P1091" s="489"/>
      <c r="Q1091" s="489"/>
      <c r="R1091" s="592" t="str">
        <f t="shared" si="269"/>
        <v/>
      </c>
      <c r="S1091" s="487"/>
      <c r="T1091" s="487"/>
      <c r="U1091" s="488" t="str">
        <f t="shared" si="270"/>
        <v/>
      </c>
      <c r="V1091" s="489"/>
      <c r="W1091" s="489"/>
      <c r="X1091" s="488" t="str">
        <f t="shared" si="271"/>
        <v/>
      </c>
      <c r="Y1091" s="489"/>
      <c r="Z1091" s="489"/>
      <c r="AA1091" s="490" t="str">
        <f t="shared" si="273"/>
        <v/>
      </c>
      <c r="AB1091" s="489"/>
      <c r="AC1091" s="489"/>
      <c r="AD1091" s="27">
        <v>410225</v>
      </c>
      <c r="AE1091" s="27" t="s">
        <v>784</v>
      </c>
      <c r="AF1091" s="432">
        <f>VLOOKUP(AD1091,[5]Hoja1!$A$10:$K$1393,11,0)</f>
        <v>-26567756</v>
      </c>
      <c r="AG1091" s="432"/>
      <c r="AH1091" s="432">
        <f t="shared" si="246"/>
        <v>-26568</v>
      </c>
      <c r="AL1091" s="448"/>
      <c r="AM1091" s="467">
        <f>VLOOKUP(AD1091,[6]BV201101!$A$10:$A$1236,1,0)</f>
        <v>410225</v>
      </c>
    </row>
    <row r="1092" spans="1:39" s="467" customFormat="1" ht="12.75" customHeight="1">
      <c r="A1092" s="487" t="str">
        <f t="shared" si="272"/>
        <v>4</v>
      </c>
      <c r="B1092" s="487" t="str">
        <f t="shared" si="261"/>
        <v>10</v>
      </c>
      <c r="C1092" s="487" t="str">
        <f t="shared" si="262"/>
        <v>22</v>
      </c>
      <c r="D1092" s="487" t="str">
        <f t="shared" si="263"/>
        <v>0226</v>
      </c>
      <c r="E1092" s="487">
        <v>532300000</v>
      </c>
      <c r="F1092" s="488" t="str">
        <f t="shared" si="265"/>
        <v/>
      </c>
      <c r="G1092" s="489"/>
      <c r="H1092" s="489"/>
      <c r="I1092" s="488" t="str">
        <f t="shared" si="266"/>
        <v/>
      </c>
      <c r="J1092" s="487"/>
      <c r="K1092" s="487"/>
      <c r="L1092" s="488" t="str">
        <f t="shared" si="267"/>
        <v/>
      </c>
      <c r="M1092" s="487"/>
      <c r="N1092" s="487"/>
      <c r="O1092" s="488" t="str">
        <f t="shared" si="268"/>
        <v/>
      </c>
      <c r="P1092" s="489"/>
      <c r="Q1092" s="489"/>
      <c r="R1092" s="592" t="str">
        <f t="shared" si="269"/>
        <v/>
      </c>
      <c r="S1092" s="487"/>
      <c r="T1092" s="487"/>
      <c r="U1092" s="488" t="str">
        <f t="shared" si="270"/>
        <v/>
      </c>
      <c r="V1092" s="489"/>
      <c r="W1092" s="489"/>
      <c r="X1092" s="488" t="str">
        <f t="shared" si="271"/>
        <v/>
      </c>
      <c r="Y1092" s="489"/>
      <c r="Z1092" s="489"/>
      <c r="AA1092" s="490" t="str">
        <f t="shared" si="273"/>
        <v/>
      </c>
      <c r="AB1092" s="489"/>
      <c r="AC1092" s="489"/>
      <c r="AD1092" s="27">
        <v>410226</v>
      </c>
      <c r="AE1092" s="27" t="s">
        <v>242</v>
      </c>
      <c r="AF1092" s="432">
        <f>VLOOKUP(AD1092,[5]Hoja1!$A$10:$K$1393,11,0)</f>
        <v>0</v>
      </c>
      <c r="AG1092" s="432"/>
      <c r="AH1092" s="432">
        <f t="shared" si="246"/>
        <v>0</v>
      </c>
      <c r="AL1092" s="448"/>
      <c r="AM1092" s="467">
        <f>VLOOKUP(AD1092,[6]BV201101!$A$10:$A$1236,1,0)</f>
        <v>410226</v>
      </c>
    </row>
    <row r="1093" spans="1:39" s="467" customFormat="1" ht="12.75" customHeight="1">
      <c r="A1093" s="487" t="str">
        <f t="shared" si="272"/>
        <v>4</v>
      </c>
      <c r="B1093" s="487" t="str">
        <f t="shared" si="261"/>
        <v>10</v>
      </c>
      <c r="C1093" s="487" t="str">
        <f t="shared" si="262"/>
        <v>22</v>
      </c>
      <c r="D1093" s="487" t="str">
        <f t="shared" si="263"/>
        <v>0227</v>
      </c>
      <c r="E1093" s="487">
        <v>532201300</v>
      </c>
      <c r="F1093" s="488" t="str">
        <f t="shared" si="265"/>
        <v/>
      </c>
      <c r="G1093" s="489"/>
      <c r="H1093" s="489"/>
      <c r="I1093" s="488" t="str">
        <f t="shared" si="266"/>
        <v/>
      </c>
      <c r="J1093" s="487"/>
      <c r="K1093" s="487"/>
      <c r="L1093" s="488" t="str">
        <f t="shared" si="267"/>
        <v/>
      </c>
      <c r="M1093" s="487"/>
      <c r="N1093" s="487"/>
      <c r="O1093" s="488" t="str">
        <f t="shared" si="268"/>
        <v/>
      </c>
      <c r="P1093" s="489"/>
      <c r="Q1093" s="489"/>
      <c r="R1093" s="592" t="str">
        <f t="shared" si="269"/>
        <v/>
      </c>
      <c r="S1093" s="487"/>
      <c r="T1093" s="487"/>
      <c r="U1093" s="488" t="str">
        <f t="shared" si="270"/>
        <v/>
      </c>
      <c r="V1093" s="489"/>
      <c r="W1093" s="489"/>
      <c r="X1093" s="488" t="str">
        <f t="shared" si="271"/>
        <v/>
      </c>
      <c r="Y1093" s="489"/>
      <c r="Z1093" s="489"/>
      <c r="AA1093" s="490" t="str">
        <f t="shared" si="273"/>
        <v/>
      </c>
      <c r="AB1093" s="489"/>
      <c r="AC1093" s="489"/>
      <c r="AD1093" s="27">
        <v>410227</v>
      </c>
      <c r="AE1093" s="27" t="s">
        <v>2295</v>
      </c>
      <c r="AF1093" s="432">
        <f>VLOOKUP(AD1093,[5]Hoja1!$A$10:$K$1393,11,0)</f>
        <v>-59378283</v>
      </c>
      <c r="AG1093" s="432"/>
      <c r="AH1093" s="432">
        <f t="shared" si="246"/>
        <v>-59378</v>
      </c>
      <c r="AL1093" s="448"/>
      <c r="AM1093" s="467">
        <f>VLOOKUP(AD1093,[6]BV201101!$A$10:$A$1236,1,0)</f>
        <v>410227</v>
      </c>
    </row>
    <row r="1094" spans="1:39" s="467" customFormat="1" ht="12.75" customHeight="1">
      <c r="A1094" s="487" t="str">
        <f t="shared" si="272"/>
        <v>4</v>
      </c>
      <c r="B1094" s="487" t="str">
        <f t="shared" si="261"/>
        <v>10</v>
      </c>
      <c r="C1094" s="487" t="str">
        <f t="shared" si="262"/>
        <v>22</v>
      </c>
      <c r="D1094" s="487" t="str">
        <f t="shared" si="263"/>
        <v>0228</v>
      </c>
      <c r="E1094" s="487">
        <v>532100000</v>
      </c>
      <c r="F1094" s="488" t="str">
        <f t="shared" si="265"/>
        <v/>
      </c>
      <c r="G1094" s="489"/>
      <c r="H1094" s="489"/>
      <c r="I1094" s="488" t="str">
        <f t="shared" si="266"/>
        <v/>
      </c>
      <c r="J1094" s="487"/>
      <c r="K1094" s="487"/>
      <c r="L1094" s="488" t="str">
        <f t="shared" si="267"/>
        <v/>
      </c>
      <c r="M1094" s="487"/>
      <c r="N1094" s="487"/>
      <c r="O1094" s="488" t="str">
        <f t="shared" si="268"/>
        <v/>
      </c>
      <c r="P1094" s="489"/>
      <c r="Q1094" s="489"/>
      <c r="R1094" s="592" t="str">
        <f t="shared" si="269"/>
        <v/>
      </c>
      <c r="S1094" s="487"/>
      <c r="T1094" s="487"/>
      <c r="U1094" s="488" t="str">
        <f t="shared" si="270"/>
        <v/>
      </c>
      <c r="V1094" s="489"/>
      <c r="W1094" s="489"/>
      <c r="X1094" s="488" t="str">
        <f t="shared" si="271"/>
        <v/>
      </c>
      <c r="Y1094" s="489"/>
      <c r="Z1094" s="489"/>
      <c r="AA1094" s="490" t="str">
        <f t="shared" si="273"/>
        <v/>
      </c>
      <c r="AB1094" s="489"/>
      <c r="AC1094" s="489"/>
      <c r="AD1094" s="27">
        <v>410228</v>
      </c>
      <c r="AE1094" s="27" t="s">
        <v>466</v>
      </c>
      <c r="AF1094" s="432">
        <f>VLOOKUP(AD1094,[5]Hoja1!$A$10:$K$1393,11,0)</f>
        <v>-1286</v>
      </c>
      <c r="AG1094" s="432"/>
      <c r="AH1094" s="432">
        <f t="shared" si="246"/>
        <v>-1</v>
      </c>
      <c r="AL1094" s="448"/>
      <c r="AM1094" s="467">
        <f>VLOOKUP(AD1094,[6]BV201101!$A$10:$A$1236,1,0)</f>
        <v>410228</v>
      </c>
    </row>
    <row r="1095" spans="1:39" s="467" customFormat="1" ht="12.75" customHeight="1">
      <c r="A1095" s="487" t="str">
        <f t="shared" si="272"/>
        <v>4</v>
      </c>
      <c r="B1095" s="487" t="str">
        <f t="shared" si="261"/>
        <v>10</v>
      </c>
      <c r="C1095" s="487" t="str">
        <f t="shared" si="262"/>
        <v>22</v>
      </c>
      <c r="D1095" s="487" t="str">
        <f t="shared" si="263"/>
        <v>0229</v>
      </c>
      <c r="E1095" s="487">
        <v>532100000</v>
      </c>
      <c r="F1095" s="488" t="str">
        <f t="shared" si="265"/>
        <v/>
      </c>
      <c r="G1095" s="489"/>
      <c r="H1095" s="489"/>
      <c r="I1095" s="488" t="str">
        <f t="shared" si="266"/>
        <v/>
      </c>
      <c r="J1095" s="487"/>
      <c r="K1095" s="487"/>
      <c r="L1095" s="488" t="str">
        <f t="shared" si="267"/>
        <v/>
      </c>
      <c r="M1095" s="487"/>
      <c r="N1095" s="487"/>
      <c r="O1095" s="488" t="str">
        <f t="shared" si="268"/>
        <v/>
      </c>
      <c r="P1095" s="489"/>
      <c r="Q1095" s="489"/>
      <c r="R1095" s="592" t="str">
        <f t="shared" si="269"/>
        <v/>
      </c>
      <c r="S1095" s="487"/>
      <c r="T1095" s="487"/>
      <c r="U1095" s="488" t="str">
        <f t="shared" si="270"/>
        <v/>
      </c>
      <c r="V1095" s="489"/>
      <c r="W1095" s="489"/>
      <c r="X1095" s="488" t="str">
        <f t="shared" si="271"/>
        <v/>
      </c>
      <c r="Y1095" s="489"/>
      <c r="Z1095" s="489"/>
      <c r="AA1095" s="490" t="str">
        <f t="shared" si="273"/>
        <v/>
      </c>
      <c r="AB1095" s="489"/>
      <c r="AC1095" s="489"/>
      <c r="AD1095" s="27">
        <v>410229</v>
      </c>
      <c r="AE1095" s="27" t="s">
        <v>2296</v>
      </c>
      <c r="AF1095" s="432">
        <f>VLOOKUP(AD1095,[5]Hoja1!$A$10:$K$1393,11,0)</f>
        <v>-26349129</v>
      </c>
      <c r="AG1095" s="432"/>
      <c r="AH1095" s="432">
        <f t="shared" si="246"/>
        <v>-26349</v>
      </c>
      <c r="AL1095" s="448"/>
      <c r="AM1095" s="467">
        <f>VLOOKUP(AD1095,[6]BV201101!$A$10:$A$1236,1,0)</f>
        <v>410229</v>
      </c>
    </row>
    <row r="1096" spans="1:39" s="467" customFormat="1" ht="12.75" customHeight="1">
      <c r="A1096" s="487" t="str">
        <f t="shared" si="272"/>
        <v>4</v>
      </c>
      <c r="B1096" s="487" t="str">
        <f t="shared" si="261"/>
        <v>10</v>
      </c>
      <c r="C1096" s="487" t="str">
        <f t="shared" si="262"/>
        <v>23</v>
      </c>
      <c r="D1096" s="487" t="str">
        <f t="shared" si="263"/>
        <v>0230</v>
      </c>
      <c r="E1096" s="487">
        <v>532100000</v>
      </c>
      <c r="F1096" s="488" t="str">
        <f t="shared" si="265"/>
        <v/>
      </c>
      <c r="G1096" s="489"/>
      <c r="H1096" s="489"/>
      <c r="I1096" s="488" t="str">
        <f t="shared" si="266"/>
        <v/>
      </c>
      <c r="J1096" s="487"/>
      <c r="K1096" s="487"/>
      <c r="L1096" s="488" t="str">
        <f t="shared" si="267"/>
        <v/>
      </c>
      <c r="M1096" s="487"/>
      <c r="N1096" s="487"/>
      <c r="O1096" s="488" t="str">
        <f t="shared" si="268"/>
        <v/>
      </c>
      <c r="P1096" s="489"/>
      <c r="Q1096" s="489"/>
      <c r="R1096" s="592" t="str">
        <f t="shared" si="269"/>
        <v/>
      </c>
      <c r="S1096" s="487"/>
      <c r="T1096" s="487"/>
      <c r="U1096" s="488" t="str">
        <f t="shared" si="270"/>
        <v/>
      </c>
      <c r="V1096" s="489"/>
      <c r="W1096" s="489"/>
      <c r="X1096" s="488" t="str">
        <f t="shared" si="271"/>
        <v/>
      </c>
      <c r="Y1096" s="489"/>
      <c r="Z1096" s="489"/>
      <c r="AA1096" s="490" t="str">
        <f t="shared" si="273"/>
        <v/>
      </c>
      <c r="AB1096" s="489"/>
      <c r="AC1096" s="489"/>
      <c r="AD1096" s="27">
        <v>410230</v>
      </c>
      <c r="AE1096" s="27" t="s">
        <v>243</v>
      </c>
      <c r="AF1096" s="432">
        <f>VLOOKUP(AD1096,[5]Hoja1!$A$10:$K$1393,11,0)</f>
        <v>-9105491</v>
      </c>
      <c r="AG1096" s="432"/>
      <c r="AH1096" s="432">
        <f t="shared" si="246"/>
        <v>-9105</v>
      </c>
      <c r="AL1096" s="448"/>
      <c r="AM1096" s="467">
        <f>VLOOKUP(AD1096,[6]BV201101!$A$10:$A$1236,1,0)</f>
        <v>410230</v>
      </c>
    </row>
    <row r="1097" spans="1:39" s="467" customFormat="1" ht="12.75" customHeight="1">
      <c r="A1097" s="487" t="str">
        <f t="shared" si="272"/>
        <v>4</v>
      </c>
      <c r="B1097" s="487" t="str">
        <f t="shared" si="261"/>
        <v>10</v>
      </c>
      <c r="C1097" s="487" t="str">
        <f t="shared" si="262"/>
        <v>23</v>
      </c>
      <c r="D1097" s="487" t="str">
        <f t="shared" si="263"/>
        <v>0231</v>
      </c>
      <c r="E1097" s="487">
        <v>532100000</v>
      </c>
      <c r="F1097" s="488" t="str">
        <f t="shared" si="265"/>
        <v/>
      </c>
      <c r="G1097" s="489"/>
      <c r="H1097" s="489"/>
      <c r="I1097" s="488" t="str">
        <f t="shared" si="266"/>
        <v/>
      </c>
      <c r="J1097" s="487"/>
      <c r="K1097" s="487"/>
      <c r="L1097" s="488" t="str">
        <f t="shared" si="267"/>
        <v/>
      </c>
      <c r="M1097" s="487"/>
      <c r="N1097" s="487"/>
      <c r="O1097" s="488" t="str">
        <f t="shared" si="268"/>
        <v/>
      </c>
      <c r="P1097" s="489"/>
      <c r="Q1097" s="489"/>
      <c r="R1097" s="592" t="str">
        <f t="shared" si="269"/>
        <v/>
      </c>
      <c r="S1097" s="487"/>
      <c r="T1097" s="487"/>
      <c r="U1097" s="488" t="str">
        <f t="shared" si="270"/>
        <v/>
      </c>
      <c r="V1097" s="489"/>
      <c r="W1097" s="489"/>
      <c r="X1097" s="488" t="str">
        <f t="shared" si="271"/>
        <v/>
      </c>
      <c r="Y1097" s="489"/>
      <c r="Z1097" s="489"/>
      <c r="AA1097" s="490" t="str">
        <f t="shared" si="273"/>
        <v/>
      </c>
      <c r="AB1097" s="489"/>
      <c r="AC1097" s="489"/>
      <c r="AD1097" s="27">
        <v>410231</v>
      </c>
      <c r="AE1097" s="27" t="s">
        <v>244</v>
      </c>
      <c r="AF1097" s="432">
        <f>VLOOKUP(AD1097,[5]Hoja1!$A$10:$K$1393,11,0)</f>
        <v>-120868</v>
      </c>
      <c r="AG1097" s="432"/>
      <c r="AH1097" s="432">
        <f t="shared" si="246"/>
        <v>-121</v>
      </c>
      <c r="AL1097" s="448"/>
      <c r="AM1097" s="467">
        <f>VLOOKUP(AD1097,[6]BV201101!$A$10:$A$1236,1,0)</f>
        <v>410231</v>
      </c>
    </row>
    <row r="1098" spans="1:39" s="467" customFormat="1" ht="12.75" customHeight="1">
      <c r="A1098" s="487" t="str">
        <f t="shared" si="272"/>
        <v>4</v>
      </c>
      <c r="B1098" s="487" t="str">
        <f t="shared" si="261"/>
        <v>10</v>
      </c>
      <c r="C1098" s="487" t="str">
        <f t="shared" si="262"/>
        <v>23</v>
      </c>
      <c r="D1098" s="487" t="str">
        <f t="shared" si="263"/>
        <v>0232</v>
      </c>
      <c r="E1098" s="487">
        <v>532100000</v>
      </c>
      <c r="F1098" s="488" t="str">
        <f t="shared" si="265"/>
        <v/>
      </c>
      <c r="G1098" s="489"/>
      <c r="H1098" s="489"/>
      <c r="I1098" s="488" t="str">
        <f t="shared" si="266"/>
        <v/>
      </c>
      <c r="J1098" s="487"/>
      <c r="K1098" s="487"/>
      <c r="L1098" s="488" t="str">
        <f t="shared" si="267"/>
        <v/>
      </c>
      <c r="M1098" s="487"/>
      <c r="N1098" s="487"/>
      <c r="O1098" s="488" t="str">
        <f t="shared" si="268"/>
        <v/>
      </c>
      <c r="P1098" s="489"/>
      <c r="Q1098" s="489"/>
      <c r="R1098" s="592" t="str">
        <f t="shared" si="269"/>
        <v/>
      </c>
      <c r="S1098" s="487"/>
      <c r="T1098" s="487"/>
      <c r="U1098" s="488" t="str">
        <f t="shared" si="270"/>
        <v/>
      </c>
      <c r="V1098" s="489"/>
      <c r="W1098" s="489"/>
      <c r="X1098" s="488" t="str">
        <f t="shared" si="271"/>
        <v/>
      </c>
      <c r="Y1098" s="489"/>
      <c r="Z1098" s="489"/>
      <c r="AA1098" s="490" t="str">
        <f t="shared" si="273"/>
        <v/>
      </c>
      <c r="AB1098" s="489"/>
      <c r="AC1098" s="489"/>
      <c r="AD1098" s="27">
        <v>410232</v>
      </c>
      <c r="AE1098" s="27" t="s">
        <v>245</v>
      </c>
      <c r="AF1098" s="432">
        <f>VLOOKUP(AD1098,[5]Hoja1!$A$10:$K$1393,11,0)</f>
        <v>-20714464</v>
      </c>
      <c r="AG1098" s="432"/>
      <c r="AH1098" s="432">
        <f t="shared" si="246"/>
        <v>-20714</v>
      </c>
      <c r="AL1098" s="448" t="s">
        <v>1315</v>
      </c>
      <c r="AM1098" s="467">
        <f>VLOOKUP(AD1098,[6]BV201101!$A$10:$A$1236,1,0)</f>
        <v>410232</v>
      </c>
    </row>
    <row r="1099" spans="1:39" s="467" customFormat="1" ht="12.75" customHeight="1">
      <c r="A1099" s="487" t="str">
        <f t="shared" si="272"/>
        <v>4</v>
      </c>
      <c r="B1099" s="487" t="str">
        <f t="shared" si="261"/>
        <v>10</v>
      </c>
      <c r="C1099" s="487" t="str">
        <f t="shared" si="262"/>
        <v>23</v>
      </c>
      <c r="D1099" s="487" t="str">
        <f t="shared" si="263"/>
        <v>0233</v>
      </c>
      <c r="E1099" s="487">
        <v>532100000</v>
      </c>
      <c r="F1099" s="488" t="str">
        <f t="shared" si="265"/>
        <v/>
      </c>
      <c r="G1099" s="489"/>
      <c r="H1099" s="489"/>
      <c r="I1099" s="488" t="str">
        <f t="shared" si="266"/>
        <v/>
      </c>
      <c r="J1099" s="487"/>
      <c r="K1099" s="487"/>
      <c r="L1099" s="488" t="str">
        <f t="shared" si="267"/>
        <v/>
      </c>
      <c r="M1099" s="487"/>
      <c r="N1099" s="487"/>
      <c r="O1099" s="488" t="str">
        <f t="shared" si="268"/>
        <v/>
      </c>
      <c r="P1099" s="489"/>
      <c r="Q1099" s="489"/>
      <c r="R1099" s="592" t="str">
        <f t="shared" si="269"/>
        <v/>
      </c>
      <c r="S1099" s="487"/>
      <c r="T1099" s="487"/>
      <c r="U1099" s="488" t="str">
        <f t="shared" si="270"/>
        <v/>
      </c>
      <c r="V1099" s="489"/>
      <c r="W1099" s="489"/>
      <c r="X1099" s="488" t="str">
        <f t="shared" si="271"/>
        <v/>
      </c>
      <c r="Y1099" s="489"/>
      <c r="Z1099" s="489"/>
      <c r="AA1099" s="490" t="str">
        <f t="shared" si="273"/>
        <v/>
      </c>
      <c r="AB1099" s="489"/>
      <c r="AC1099" s="489"/>
      <c r="AD1099" s="27">
        <v>410233</v>
      </c>
      <c r="AE1099" s="27" t="s">
        <v>1464</v>
      </c>
      <c r="AF1099" s="432">
        <f>VLOOKUP(AD1099,[5]Hoja1!$A$10:$K$1393,11,0)</f>
        <v>-20911950</v>
      </c>
      <c r="AG1099" s="432"/>
      <c r="AH1099" s="432">
        <f t="shared" si="246"/>
        <v>-20912</v>
      </c>
      <c r="AI1099" s="445"/>
      <c r="AL1099" s="473" t="e">
        <f>+AH1099+AH1365+#REF!+AH1542</f>
        <v>#REF!</v>
      </c>
      <c r="AM1099" s="467">
        <f>VLOOKUP(AD1099,[6]BV201101!$A$10:$A$1236,1,0)</f>
        <v>410233</v>
      </c>
    </row>
    <row r="1100" spans="1:39" s="467" customFormat="1" ht="12.75" customHeight="1">
      <c r="A1100" s="487" t="str">
        <f t="shared" si="272"/>
        <v>4</v>
      </c>
      <c r="B1100" s="487" t="str">
        <f t="shared" si="261"/>
        <v>10</v>
      </c>
      <c r="C1100" s="487" t="str">
        <f t="shared" si="262"/>
        <v>23</v>
      </c>
      <c r="D1100" s="487" t="str">
        <f t="shared" si="263"/>
        <v>0234</v>
      </c>
      <c r="E1100" s="487">
        <v>532100000</v>
      </c>
      <c r="F1100" s="488" t="str">
        <f t="shared" si="265"/>
        <v/>
      </c>
      <c r="G1100" s="489"/>
      <c r="H1100" s="489"/>
      <c r="I1100" s="488" t="str">
        <f t="shared" si="266"/>
        <v/>
      </c>
      <c r="J1100" s="487"/>
      <c r="K1100" s="487"/>
      <c r="L1100" s="488" t="str">
        <f t="shared" si="267"/>
        <v/>
      </c>
      <c r="M1100" s="487"/>
      <c r="N1100" s="487"/>
      <c r="O1100" s="488" t="str">
        <f t="shared" si="268"/>
        <v/>
      </c>
      <c r="P1100" s="489"/>
      <c r="Q1100" s="489"/>
      <c r="R1100" s="592" t="str">
        <f t="shared" si="269"/>
        <v/>
      </c>
      <c r="S1100" s="487"/>
      <c r="T1100" s="487"/>
      <c r="U1100" s="488" t="str">
        <f t="shared" si="270"/>
        <v/>
      </c>
      <c r="V1100" s="489"/>
      <c r="W1100" s="489"/>
      <c r="X1100" s="488" t="str">
        <f t="shared" si="271"/>
        <v/>
      </c>
      <c r="Y1100" s="489"/>
      <c r="Z1100" s="489"/>
      <c r="AA1100" s="490" t="str">
        <f t="shared" si="273"/>
        <v/>
      </c>
      <c r="AB1100" s="489"/>
      <c r="AC1100" s="489"/>
      <c r="AD1100" s="27">
        <v>410234</v>
      </c>
      <c r="AE1100" s="27" t="s">
        <v>1465</v>
      </c>
      <c r="AF1100" s="432">
        <f>VLOOKUP(AD1100,[5]Hoja1!$A$10:$K$1393,11,0)</f>
        <v>-420867262</v>
      </c>
      <c r="AG1100" s="432"/>
      <c r="AH1100" s="432">
        <f t="shared" si="246"/>
        <v>-420867</v>
      </c>
      <c r="AL1100" s="448"/>
      <c r="AM1100" s="467">
        <f>VLOOKUP(AD1100,[6]BV201101!$A$10:$A$1236,1,0)</f>
        <v>410234</v>
      </c>
    </row>
    <row r="1101" spans="1:39" s="467" customFormat="1" ht="12.75" customHeight="1">
      <c r="A1101" s="487" t="str">
        <f t="shared" si="272"/>
        <v>4</v>
      </c>
      <c r="B1101" s="487" t="str">
        <f t="shared" si="261"/>
        <v>10</v>
      </c>
      <c r="C1101" s="487" t="str">
        <f t="shared" si="262"/>
        <v>23</v>
      </c>
      <c r="D1101" s="487" t="str">
        <f t="shared" si="263"/>
        <v>0235</v>
      </c>
      <c r="E1101" s="487">
        <v>532100000</v>
      </c>
      <c r="F1101" s="488" t="str">
        <f t="shared" si="265"/>
        <v/>
      </c>
      <c r="G1101" s="489"/>
      <c r="H1101" s="489"/>
      <c r="I1101" s="488" t="str">
        <f t="shared" si="266"/>
        <v/>
      </c>
      <c r="J1101" s="487"/>
      <c r="K1101" s="487"/>
      <c r="L1101" s="488" t="str">
        <f t="shared" si="267"/>
        <v/>
      </c>
      <c r="M1101" s="487"/>
      <c r="N1101" s="487"/>
      <c r="O1101" s="488" t="str">
        <f t="shared" si="268"/>
        <v/>
      </c>
      <c r="P1101" s="489"/>
      <c r="Q1101" s="489"/>
      <c r="R1101" s="592" t="str">
        <f t="shared" si="269"/>
        <v/>
      </c>
      <c r="S1101" s="487"/>
      <c r="T1101" s="487"/>
      <c r="U1101" s="488" t="str">
        <f t="shared" si="270"/>
        <v/>
      </c>
      <c r="V1101" s="489"/>
      <c r="W1101" s="489"/>
      <c r="X1101" s="488" t="str">
        <f t="shared" si="271"/>
        <v/>
      </c>
      <c r="Y1101" s="489"/>
      <c r="Z1101" s="489"/>
      <c r="AA1101" s="490" t="str">
        <f t="shared" si="273"/>
        <v/>
      </c>
      <c r="AB1101" s="489"/>
      <c r="AC1101" s="489"/>
      <c r="AD1101" s="27">
        <v>410235</v>
      </c>
      <c r="AE1101" s="27" t="s">
        <v>1466</v>
      </c>
      <c r="AF1101" s="432">
        <f>VLOOKUP(AD1101,[5]Hoja1!$A$10:$K$1393,11,0)</f>
        <v>-4080216</v>
      </c>
      <c r="AG1101" s="432"/>
      <c r="AH1101" s="432">
        <f t="shared" si="246"/>
        <v>-4080</v>
      </c>
      <c r="AI1101" s="445"/>
      <c r="AL1101" s="448"/>
      <c r="AM1101" s="467">
        <f>VLOOKUP(AD1101,[6]BV201101!$A$10:$A$1236,1,0)</f>
        <v>410235</v>
      </c>
    </row>
    <row r="1102" spans="1:39" s="467" customFormat="1" ht="12.75" customHeight="1">
      <c r="A1102" s="487" t="str">
        <f t="shared" si="272"/>
        <v>4</v>
      </c>
      <c r="B1102" s="487" t="str">
        <f t="shared" si="261"/>
        <v>10</v>
      </c>
      <c r="C1102" s="487" t="str">
        <f t="shared" si="262"/>
        <v>23</v>
      </c>
      <c r="D1102" s="487" t="str">
        <f t="shared" si="263"/>
        <v>0236</v>
      </c>
      <c r="E1102" s="487">
        <v>532100000</v>
      </c>
      <c r="F1102" s="488" t="str">
        <f t="shared" si="265"/>
        <v/>
      </c>
      <c r="G1102" s="489"/>
      <c r="H1102" s="489"/>
      <c r="I1102" s="488" t="str">
        <f t="shared" si="266"/>
        <v/>
      </c>
      <c r="J1102" s="487"/>
      <c r="K1102" s="487"/>
      <c r="L1102" s="488" t="str">
        <f t="shared" si="267"/>
        <v/>
      </c>
      <c r="M1102" s="487"/>
      <c r="N1102" s="487"/>
      <c r="O1102" s="488" t="str">
        <f t="shared" si="268"/>
        <v/>
      </c>
      <c r="P1102" s="489"/>
      <c r="Q1102" s="489"/>
      <c r="R1102" s="592" t="str">
        <f t="shared" si="269"/>
        <v/>
      </c>
      <c r="S1102" s="487"/>
      <c r="T1102" s="487"/>
      <c r="U1102" s="488" t="str">
        <f t="shared" si="270"/>
        <v/>
      </c>
      <c r="V1102" s="489"/>
      <c r="W1102" s="489"/>
      <c r="X1102" s="488" t="str">
        <f t="shared" si="271"/>
        <v/>
      </c>
      <c r="Y1102" s="489"/>
      <c r="Z1102" s="489"/>
      <c r="AA1102" s="490" t="str">
        <f t="shared" si="273"/>
        <v/>
      </c>
      <c r="AB1102" s="489"/>
      <c r="AC1102" s="489"/>
      <c r="AD1102" s="27">
        <v>410236</v>
      </c>
      <c r="AE1102" s="27" t="s">
        <v>1467</v>
      </c>
      <c r="AF1102" s="432">
        <f>VLOOKUP(AD1102,[5]Hoja1!$A$10:$K$1393,11,0)</f>
        <v>-396676976</v>
      </c>
      <c r="AG1102" s="432"/>
      <c r="AH1102" s="432">
        <f t="shared" si="246"/>
        <v>-396677</v>
      </c>
      <c r="AL1102" s="448"/>
      <c r="AM1102" s="467">
        <f>VLOOKUP(AD1102,[6]BV201101!$A$10:$A$1236,1,0)</f>
        <v>410236</v>
      </c>
    </row>
    <row r="1103" spans="1:39" s="467" customFormat="1" ht="12.75" customHeight="1">
      <c r="A1103" s="487" t="str">
        <f t="shared" si="272"/>
        <v>4</v>
      </c>
      <c r="B1103" s="487" t="str">
        <f t="shared" si="261"/>
        <v>10</v>
      </c>
      <c r="C1103" s="487" t="str">
        <f t="shared" si="262"/>
        <v>23</v>
      </c>
      <c r="D1103" s="487" t="str">
        <f t="shared" si="263"/>
        <v>0237</v>
      </c>
      <c r="E1103" s="487">
        <v>532100000</v>
      </c>
      <c r="F1103" s="488" t="str">
        <f t="shared" si="265"/>
        <v/>
      </c>
      <c r="G1103" s="489"/>
      <c r="H1103" s="489"/>
      <c r="I1103" s="488" t="str">
        <f t="shared" si="266"/>
        <v/>
      </c>
      <c r="J1103" s="487"/>
      <c r="K1103" s="487"/>
      <c r="L1103" s="488" t="str">
        <f t="shared" si="267"/>
        <v/>
      </c>
      <c r="M1103" s="487"/>
      <c r="N1103" s="487"/>
      <c r="O1103" s="488" t="str">
        <f t="shared" si="268"/>
        <v/>
      </c>
      <c r="P1103" s="489"/>
      <c r="Q1103" s="489"/>
      <c r="R1103" s="592" t="str">
        <f t="shared" si="269"/>
        <v/>
      </c>
      <c r="S1103" s="487"/>
      <c r="T1103" s="487"/>
      <c r="U1103" s="488" t="str">
        <f t="shared" si="270"/>
        <v/>
      </c>
      <c r="V1103" s="489"/>
      <c r="W1103" s="489"/>
      <c r="X1103" s="488" t="str">
        <f t="shared" si="271"/>
        <v/>
      </c>
      <c r="Y1103" s="489"/>
      <c r="Z1103" s="489"/>
      <c r="AA1103" s="490" t="str">
        <f t="shared" si="273"/>
        <v/>
      </c>
      <c r="AB1103" s="489"/>
      <c r="AC1103" s="489"/>
      <c r="AD1103" s="27">
        <v>410237</v>
      </c>
      <c r="AE1103" s="27" t="s">
        <v>1468</v>
      </c>
      <c r="AF1103" s="432">
        <f>VLOOKUP(AD1103,[5]Hoja1!$A$10:$K$1393,11,0)</f>
        <v>-33075</v>
      </c>
      <c r="AG1103" s="432"/>
      <c r="AH1103" s="432">
        <f t="shared" si="246"/>
        <v>-33</v>
      </c>
      <c r="AL1103" s="448"/>
      <c r="AM1103" s="467">
        <f>VLOOKUP(AD1103,[6]BV201101!$A$10:$A$1236,1,0)</f>
        <v>410237</v>
      </c>
    </row>
    <row r="1104" spans="1:39" s="467" customFormat="1" ht="12.75" customHeight="1">
      <c r="A1104" s="487" t="str">
        <f t="shared" si="272"/>
        <v>4</v>
      </c>
      <c r="B1104" s="487" t="str">
        <f t="shared" si="261"/>
        <v>10</v>
      </c>
      <c r="C1104" s="487" t="str">
        <f t="shared" si="262"/>
        <v>23</v>
      </c>
      <c r="D1104" s="487" t="str">
        <f t="shared" si="263"/>
        <v>0238</v>
      </c>
      <c r="E1104" s="487">
        <v>532100000</v>
      </c>
      <c r="F1104" s="488" t="str">
        <f t="shared" ref="F1104:F1124" si="274">+G1104&amp;H1104</f>
        <v/>
      </c>
      <c r="G1104" s="489"/>
      <c r="H1104" s="489"/>
      <c r="I1104" s="488" t="str">
        <f t="shared" ref="I1104:I1124" si="275">+J1104&amp;K1104</f>
        <v/>
      </c>
      <c r="J1104" s="487"/>
      <c r="K1104" s="487"/>
      <c r="L1104" s="488" t="str">
        <f t="shared" ref="L1104:L1124" si="276">+M1104&amp;N1104</f>
        <v/>
      </c>
      <c r="M1104" s="487"/>
      <c r="N1104" s="487"/>
      <c r="O1104" s="488" t="str">
        <f t="shared" ref="O1104:O1124" si="277">+P1104&amp;Q1104</f>
        <v/>
      </c>
      <c r="P1104" s="489"/>
      <c r="Q1104" s="489"/>
      <c r="R1104" s="592" t="str">
        <f t="shared" ref="R1104:R1124" si="278">+S1104&amp;T1104</f>
        <v/>
      </c>
      <c r="S1104" s="487"/>
      <c r="T1104" s="487"/>
      <c r="U1104" s="488" t="str">
        <f t="shared" ref="U1104:U1124" si="279">+V1104&amp;W1104</f>
        <v/>
      </c>
      <c r="V1104" s="489"/>
      <c r="W1104" s="489"/>
      <c r="X1104" s="488" t="str">
        <f t="shared" ref="X1104:X1124" si="280">+Y1104&amp;Z1104</f>
        <v/>
      </c>
      <c r="Y1104" s="489"/>
      <c r="Z1104" s="489"/>
      <c r="AA1104" s="490" t="str">
        <f t="shared" si="273"/>
        <v/>
      </c>
      <c r="AB1104" s="489"/>
      <c r="AC1104" s="489"/>
      <c r="AD1104" s="27">
        <v>410238</v>
      </c>
      <c r="AE1104" s="27" t="s">
        <v>2297</v>
      </c>
      <c r="AF1104" s="432">
        <f>VLOOKUP(AD1104,[5]Hoja1!$A$10:$K$1393,11,0)</f>
        <v>-77256637</v>
      </c>
      <c r="AG1104" s="432"/>
      <c r="AH1104" s="432">
        <f t="shared" si="246"/>
        <v>-77257</v>
      </c>
      <c r="AL1104" s="448"/>
      <c r="AM1104" s="467">
        <f>VLOOKUP(AD1104,[6]BV201101!$A$10:$A$1236,1,0)</f>
        <v>410238</v>
      </c>
    </row>
    <row r="1105" spans="1:39" s="467" customFormat="1" ht="12.75" customHeight="1">
      <c r="A1105" s="487" t="str">
        <f t="shared" si="272"/>
        <v>4</v>
      </c>
      <c r="B1105" s="487" t="str">
        <f t="shared" ref="B1105:B1299" si="281">RIGHT(LEFT($AD1105,3),2)</f>
        <v>10</v>
      </c>
      <c r="C1105" s="487" t="str">
        <f t="shared" ref="C1105:C1299" si="282">RIGHT(LEFT($AD1105,5),2)</f>
        <v>23</v>
      </c>
      <c r="D1105" s="487" t="str">
        <f t="shared" ref="D1105:D1299" si="283">RIGHT(LEFT($AD1105,9),4)</f>
        <v>0239</v>
      </c>
      <c r="E1105" s="487">
        <v>532300000</v>
      </c>
      <c r="F1105" s="488" t="str">
        <f t="shared" si="274"/>
        <v/>
      </c>
      <c r="G1105" s="489"/>
      <c r="H1105" s="489"/>
      <c r="I1105" s="488" t="str">
        <f t="shared" si="275"/>
        <v/>
      </c>
      <c r="J1105" s="487"/>
      <c r="K1105" s="487"/>
      <c r="L1105" s="488" t="str">
        <f t="shared" si="276"/>
        <v/>
      </c>
      <c r="M1105" s="487"/>
      <c r="N1105" s="487"/>
      <c r="O1105" s="488" t="str">
        <f t="shared" si="277"/>
        <v/>
      </c>
      <c r="P1105" s="489"/>
      <c r="Q1105" s="489"/>
      <c r="R1105" s="592" t="str">
        <f t="shared" si="278"/>
        <v/>
      </c>
      <c r="S1105" s="487"/>
      <c r="T1105" s="487"/>
      <c r="U1105" s="488" t="str">
        <f t="shared" si="279"/>
        <v/>
      </c>
      <c r="V1105" s="489"/>
      <c r="W1105" s="489"/>
      <c r="X1105" s="488" t="str">
        <f t="shared" si="280"/>
        <v/>
      </c>
      <c r="Y1105" s="489"/>
      <c r="Z1105" s="489"/>
      <c r="AA1105" s="490" t="str">
        <f t="shared" si="273"/>
        <v/>
      </c>
      <c r="AB1105" s="489"/>
      <c r="AC1105" s="489"/>
      <c r="AD1105" s="27">
        <v>410239</v>
      </c>
      <c r="AE1105" s="27" t="s">
        <v>1469</v>
      </c>
      <c r="AF1105" s="432">
        <v>0</v>
      </c>
      <c r="AG1105" s="432"/>
      <c r="AH1105" s="432">
        <f t="shared" si="246"/>
        <v>0</v>
      </c>
      <c r="AL1105" s="448"/>
      <c r="AM1105" s="467" t="e">
        <f>VLOOKUP(AD1105,[6]BV201101!$A$10:$A$1236,1,0)</f>
        <v>#N/A</v>
      </c>
    </row>
    <row r="1106" spans="1:39" s="467" customFormat="1" ht="12.75" customHeight="1">
      <c r="A1106" s="487" t="str">
        <f t="shared" si="272"/>
        <v>4</v>
      </c>
      <c r="B1106" s="487" t="str">
        <f t="shared" si="281"/>
        <v>10</v>
      </c>
      <c r="C1106" s="487" t="str">
        <f t="shared" si="282"/>
        <v>24</v>
      </c>
      <c r="D1106" s="487" t="str">
        <f t="shared" si="283"/>
        <v>0240</v>
      </c>
      <c r="E1106" s="487">
        <v>532201300</v>
      </c>
      <c r="F1106" s="488" t="str">
        <f t="shared" si="274"/>
        <v/>
      </c>
      <c r="G1106" s="489"/>
      <c r="H1106" s="489"/>
      <c r="I1106" s="488" t="str">
        <f t="shared" si="275"/>
        <v/>
      </c>
      <c r="J1106" s="487"/>
      <c r="K1106" s="487"/>
      <c r="L1106" s="488" t="str">
        <f t="shared" si="276"/>
        <v/>
      </c>
      <c r="M1106" s="487"/>
      <c r="N1106" s="487"/>
      <c r="O1106" s="488" t="str">
        <f t="shared" si="277"/>
        <v/>
      </c>
      <c r="P1106" s="489"/>
      <c r="Q1106" s="489"/>
      <c r="R1106" s="592" t="str">
        <f t="shared" si="278"/>
        <v/>
      </c>
      <c r="S1106" s="487"/>
      <c r="T1106" s="487"/>
      <c r="U1106" s="488" t="str">
        <f t="shared" si="279"/>
        <v/>
      </c>
      <c r="V1106" s="489"/>
      <c r="W1106" s="489"/>
      <c r="X1106" s="488" t="str">
        <f t="shared" si="280"/>
        <v/>
      </c>
      <c r="Y1106" s="489"/>
      <c r="Z1106" s="489"/>
      <c r="AA1106" s="490" t="str">
        <f t="shared" si="273"/>
        <v/>
      </c>
      <c r="AB1106" s="489"/>
      <c r="AC1106" s="489"/>
      <c r="AD1106" s="27">
        <v>410240</v>
      </c>
      <c r="AE1106" s="27" t="s">
        <v>1470</v>
      </c>
      <c r="AF1106" s="432">
        <f>VLOOKUP(AD1106,[5]Hoja1!$A$10:$K$1393,11,0)</f>
        <v>-34480867</v>
      </c>
      <c r="AG1106" s="432"/>
      <c r="AH1106" s="432">
        <f t="shared" si="246"/>
        <v>-34481</v>
      </c>
      <c r="AL1106" s="448"/>
      <c r="AM1106" s="467">
        <f>VLOOKUP(AD1106,[6]BV201101!$A$10:$A$1236,1,0)</f>
        <v>410240</v>
      </c>
    </row>
    <row r="1107" spans="1:39" s="467" customFormat="1" ht="12.75" customHeight="1">
      <c r="A1107" s="487" t="str">
        <f t="shared" si="272"/>
        <v>4</v>
      </c>
      <c r="B1107" s="487" t="str">
        <f t="shared" si="281"/>
        <v>10</v>
      </c>
      <c r="C1107" s="487" t="str">
        <f t="shared" si="282"/>
        <v>24</v>
      </c>
      <c r="D1107" s="487" t="str">
        <f t="shared" si="283"/>
        <v>0241</v>
      </c>
      <c r="E1107" s="487">
        <v>532100000</v>
      </c>
      <c r="F1107" s="488" t="str">
        <f t="shared" si="274"/>
        <v/>
      </c>
      <c r="G1107" s="489"/>
      <c r="H1107" s="489"/>
      <c r="I1107" s="488" t="str">
        <f t="shared" si="275"/>
        <v/>
      </c>
      <c r="J1107" s="487"/>
      <c r="K1107" s="487"/>
      <c r="L1107" s="488" t="str">
        <f t="shared" si="276"/>
        <v/>
      </c>
      <c r="M1107" s="487"/>
      <c r="N1107" s="487"/>
      <c r="O1107" s="488" t="str">
        <f t="shared" si="277"/>
        <v/>
      </c>
      <c r="P1107" s="489"/>
      <c r="Q1107" s="489"/>
      <c r="R1107" s="592" t="str">
        <f t="shared" si="278"/>
        <v/>
      </c>
      <c r="S1107" s="487"/>
      <c r="T1107" s="487"/>
      <c r="U1107" s="488" t="str">
        <f t="shared" si="279"/>
        <v/>
      </c>
      <c r="V1107" s="489"/>
      <c r="W1107" s="489"/>
      <c r="X1107" s="488" t="str">
        <f t="shared" si="280"/>
        <v/>
      </c>
      <c r="Y1107" s="489"/>
      <c r="Z1107" s="489"/>
      <c r="AA1107" s="490" t="str">
        <f t="shared" si="273"/>
        <v/>
      </c>
      <c r="AB1107" s="489"/>
      <c r="AC1107" s="489"/>
      <c r="AD1107" s="27">
        <v>410241</v>
      </c>
      <c r="AE1107" s="27" t="s">
        <v>2298</v>
      </c>
      <c r="AF1107" s="432">
        <v>0</v>
      </c>
      <c r="AG1107" s="432"/>
      <c r="AH1107" s="432">
        <f t="shared" si="246"/>
        <v>0</v>
      </c>
      <c r="AJ1107" s="445"/>
      <c r="AL1107" s="448"/>
      <c r="AM1107" s="467" t="e">
        <f>VLOOKUP(AD1107,[6]BV201101!$A$10:$A$1236,1,0)</f>
        <v>#N/A</v>
      </c>
    </row>
    <row r="1108" spans="1:39" s="467" customFormat="1" ht="12.75" customHeight="1">
      <c r="A1108" s="487" t="str">
        <f t="shared" si="272"/>
        <v>4</v>
      </c>
      <c r="B1108" s="487" t="str">
        <f t="shared" si="281"/>
        <v>10</v>
      </c>
      <c r="C1108" s="487" t="str">
        <f t="shared" si="282"/>
        <v>24</v>
      </c>
      <c r="D1108" s="487" t="str">
        <f t="shared" si="283"/>
        <v>0242</v>
      </c>
      <c r="E1108" s="487">
        <v>532100000</v>
      </c>
      <c r="F1108" s="488" t="str">
        <f t="shared" si="274"/>
        <v/>
      </c>
      <c r="G1108" s="489"/>
      <c r="H1108" s="489"/>
      <c r="I1108" s="488" t="str">
        <f t="shared" si="275"/>
        <v/>
      </c>
      <c r="J1108" s="487"/>
      <c r="K1108" s="487"/>
      <c r="L1108" s="488" t="str">
        <f t="shared" si="276"/>
        <v/>
      </c>
      <c r="M1108" s="487"/>
      <c r="N1108" s="487"/>
      <c r="O1108" s="488" t="str">
        <f t="shared" si="277"/>
        <v/>
      </c>
      <c r="P1108" s="489"/>
      <c r="Q1108" s="489"/>
      <c r="R1108" s="592" t="str">
        <f t="shared" si="278"/>
        <v/>
      </c>
      <c r="S1108" s="487"/>
      <c r="T1108" s="487"/>
      <c r="U1108" s="488" t="str">
        <f t="shared" si="279"/>
        <v/>
      </c>
      <c r="V1108" s="489"/>
      <c r="W1108" s="489"/>
      <c r="X1108" s="488" t="str">
        <f t="shared" si="280"/>
        <v/>
      </c>
      <c r="Y1108" s="489"/>
      <c r="Z1108" s="489"/>
      <c r="AA1108" s="490" t="str">
        <f t="shared" si="273"/>
        <v/>
      </c>
      <c r="AB1108" s="489"/>
      <c r="AC1108" s="489"/>
      <c r="AD1108" s="27">
        <v>410242</v>
      </c>
      <c r="AE1108" s="27" t="s">
        <v>977</v>
      </c>
      <c r="AF1108" s="432">
        <f>VLOOKUP(AD1108,[5]Hoja1!$A$10:$K$1393,11,0)</f>
        <v>-1510</v>
      </c>
      <c r="AG1108" s="432"/>
      <c r="AH1108" s="432">
        <f t="shared" si="246"/>
        <v>-2</v>
      </c>
      <c r="AJ1108" s="445"/>
      <c r="AL1108" s="448"/>
      <c r="AM1108" s="467">
        <f>VLOOKUP(AD1108,[6]BV201101!$A$10:$A$1236,1,0)</f>
        <v>410242</v>
      </c>
    </row>
    <row r="1109" spans="1:39" s="467" customFormat="1" ht="12.75" customHeight="1">
      <c r="A1109" s="487" t="str">
        <f t="shared" si="272"/>
        <v>4</v>
      </c>
      <c r="B1109" s="487" t="str">
        <f t="shared" si="281"/>
        <v>10</v>
      </c>
      <c r="C1109" s="487" t="str">
        <f t="shared" si="282"/>
        <v>24</v>
      </c>
      <c r="D1109" s="487" t="str">
        <f t="shared" si="283"/>
        <v>0243</v>
      </c>
      <c r="E1109" s="487">
        <v>532400000</v>
      </c>
      <c r="F1109" s="488" t="str">
        <f t="shared" si="274"/>
        <v/>
      </c>
      <c r="G1109" s="489"/>
      <c r="H1109" s="489"/>
      <c r="I1109" s="488" t="str">
        <f t="shared" si="275"/>
        <v/>
      </c>
      <c r="J1109" s="487"/>
      <c r="K1109" s="487"/>
      <c r="L1109" s="488" t="str">
        <f t="shared" si="276"/>
        <v/>
      </c>
      <c r="M1109" s="487"/>
      <c r="N1109" s="487"/>
      <c r="O1109" s="488" t="str">
        <f t="shared" si="277"/>
        <v/>
      </c>
      <c r="P1109" s="489"/>
      <c r="Q1109" s="489"/>
      <c r="R1109" s="592" t="str">
        <f t="shared" si="278"/>
        <v/>
      </c>
      <c r="S1109" s="487"/>
      <c r="T1109" s="487"/>
      <c r="U1109" s="488" t="str">
        <f t="shared" si="279"/>
        <v/>
      </c>
      <c r="V1109" s="489"/>
      <c r="W1109" s="489"/>
      <c r="X1109" s="488" t="str">
        <f t="shared" si="280"/>
        <v/>
      </c>
      <c r="Y1109" s="489"/>
      <c r="Z1109" s="489"/>
      <c r="AA1109" s="490" t="str">
        <f t="shared" si="273"/>
        <v/>
      </c>
      <c r="AB1109" s="489"/>
      <c r="AC1109" s="489"/>
      <c r="AD1109" s="27">
        <v>410243</v>
      </c>
      <c r="AE1109" s="27" t="s">
        <v>2299</v>
      </c>
      <c r="AF1109" s="432">
        <f>VLOOKUP(AD1109,[5]Hoja1!$A$10:$K$1393,11,0)</f>
        <v>-339591058</v>
      </c>
      <c r="AG1109" s="432"/>
      <c r="AH1109" s="432">
        <f t="shared" si="246"/>
        <v>-339591</v>
      </c>
      <c r="AJ1109" s="445"/>
      <c r="AL1109" s="448"/>
      <c r="AM1109" s="467">
        <f>VLOOKUP(AD1109,[6]BV201101!$A$10:$A$1236,1,0)</f>
        <v>410243</v>
      </c>
    </row>
    <row r="1110" spans="1:39" s="467" customFormat="1" ht="12.75" customHeight="1">
      <c r="A1110" s="487" t="str">
        <f t="shared" si="272"/>
        <v>4</v>
      </c>
      <c r="B1110" s="487" t="str">
        <f t="shared" si="281"/>
        <v>10</v>
      </c>
      <c r="C1110" s="487" t="str">
        <f t="shared" si="282"/>
        <v>24</v>
      </c>
      <c r="D1110" s="487" t="str">
        <f t="shared" si="283"/>
        <v>0244</v>
      </c>
      <c r="E1110" s="487">
        <v>532100000</v>
      </c>
      <c r="F1110" s="488" t="str">
        <f t="shared" si="274"/>
        <v/>
      </c>
      <c r="G1110" s="489"/>
      <c r="H1110" s="489"/>
      <c r="I1110" s="488" t="str">
        <f t="shared" si="275"/>
        <v/>
      </c>
      <c r="J1110" s="487"/>
      <c r="K1110" s="487"/>
      <c r="L1110" s="488" t="str">
        <f t="shared" si="276"/>
        <v/>
      </c>
      <c r="M1110" s="487"/>
      <c r="N1110" s="487"/>
      <c r="O1110" s="488" t="str">
        <f t="shared" si="277"/>
        <v/>
      </c>
      <c r="P1110" s="489"/>
      <c r="Q1110" s="489"/>
      <c r="R1110" s="592" t="str">
        <f t="shared" si="278"/>
        <v/>
      </c>
      <c r="S1110" s="487"/>
      <c r="T1110" s="487"/>
      <c r="U1110" s="488" t="str">
        <f t="shared" si="279"/>
        <v/>
      </c>
      <c r="V1110" s="489"/>
      <c r="W1110" s="489"/>
      <c r="X1110" s="488" t="str">
        <f t="shared" si="280"/>
        <v/>
      </c>
      <c r="Y1110" s="489"/>
      <c r="Z1110" s="489"/>
      <c r="AA1110" s="490" t="str">
        <f t="shared" si="273"/>
        <v/>
      </c>
      <c r="AB1110" s="489"/>
      <c r="AC1110" s="489"/>
      <c r="AD1110" s="27">
        <v>410244</v>
      </c>
      <c r="AE1110" s="27" t="s">
        <v>467</v>
      </c>
      <c r="AF1110" s="432">
        <f>VLOOKUP(AD1110,[5]Hoja1!$A$10:$K$1393,11,0)</f>
        <v>0</v>
      </c>
      <c r="AG1110" s="432"/>
      <c r="AH1110" s="432">
        <f t="shared" si="246"/>
        <v>0</v>
      </c>
      <c r="AJ1110" s="445"/>
      <c r="AL1110" s="448"/>
      <c r="AM1110" s="467">
        <f>VLOOKUP(AD1110,[6]BV201101!$A$10:$A$1236,1,0)</f>
        <v>410244</v>
      </c>
    </row>
    <row r="1111" spans="1:39" s="467" customFormat="1" ht="12.75" customHeight="1">
      <c r="A1111" s="487" t="str">
        <f t="shared" si="272"/>
        <v>4</v>
      </c>
      <c r="B1111" s="487" t="str">
        <f t="shared" si="281"/>
        <v>10</v>
      </c>
      <c r="C1111" s="487" t="str">
        <f t="shared" si="282"/>
        <v>24</v>
      </c>
      <c r="D1111" s="487" t="str">
        <f t="shared" si="283"/>
        <v>0245</v>
      </c>
      <c r="E1111" s="487">
        <v>532100000</v>
      </c>
      <c r="F1111" s="488" t="str">
        <f t="shared" si="274"/>
        <v/>
      </c>
      <c r="G1111" s="489"/>
      <c r="H1111" s="489"/>
      <c r="I1111" s="488" t="str">
        <f t="shared" si="275"/>
        <v/>
      </c>
      <c r="J1111" s="487"/>
      <c r="K1111" s="487"/>
      <c r="L1111" s="488" t="str">
        <f t="shared" si="276"/>
        <v/>
      </c>
      <c r="M1111" s="487"/>
      <c r="N1111" s="487"/>
      <c r="O1111" s="488" t="str">
        <f t="shared" si="277"/>
        <v/>
      </c>
      <c r="P1111" s="489"/>
      <c r="Q1111" s="489"/>
      <c r="R1111" s="592" t="str">
        <f t="shared" si="278"/>
        <v/>
      </c>
      <c r="S1111" s="487"/>
      <c r="T1111" s="487"/>
      <c r="U1111" s="488" t="str">
        <f t="shared" si="279"/>
        <v/>
      </c>
      <c r="V1111" s="489"/>
      <c r="W1111" s="489"/>
      <c r="X1111" s="488" t="str">
        <f t="shared" si="280"/>
        <v/>
      </c>
      <c r="Y1111" s="489"/>
      <c r="Z1111" s="489"/>
      <c r="AA1111" s="490" t="str">
        <f t="shared" si="273"/>
        <v/>
      </c>
      <c r="AB1111" s="489"/>
      <c r="AC1111" s="489"/>
      <c r="AD1111" s="27">
        <v>410245</v>
      </c>
      <c r="AE1111" s="27" t="s">
        <v>468</v>
      </c>
      <c r="AF1111" s="432">
        <f>VLOOKUP(AD1111,[5]Hoja1!$A$10:$K$1393,11,0)</f>
        <v>-1617973043</v>
      </c>
      <c r="AG1111" s="432"/>
      <c r="AH1111" s="432">
        <f t="shared" si="246"/>
        <v>-1617973</v>
      </c>
      <c r="AJ1111" s="445"/>
      <c r="AL1111" s="448"/>
      <c r="AM1111" s="467">
        <f>VLOOKUP(AD1111,[6]BV201101!$A$10:$A$1236,1,0)</f>
        <v>410245</v>
      </c>
    </row>
    <row r="1112" spans="1:39" s="467" customFormat="1" ht="12.75" customHeight="1">
      <c r="A1112" s="487" t="str">
        <f t="shared" si="272"/>
        <v>4</v>
      </c>
      <c r="B1112" s="487" t="str">
        <f t="shared" si="281"/>
        <v>10</v>
      </c>
      <c r="C1112" s="487" t="str">
        <f t="shared" si="282"/>
        <v>24</v>
      </c>
      <c r="D1112" s="487" t="str">
        <f t="shared" si="283"/>
        <v>0246</v>
      </c>
      <c r="E1112" s="487">
        <v>532100000</v>
      </c>
      <c r="F1112" s="488" t="str">
        <f t="shared" si="274"/>
        <v/>
      </c>
      <c r="G1112" s="489"/>
      <c r="H1112" s="489"/>
      <c r="I1112" s="488" t="str">
        <f t="shared" si="275"/>
        <v/>
      </c>
      <c r="J1112" s="487"/>
      <c r="K1112" s="487"/>
      <c r="L1112" s="488" t="str">
        <f t="shared" si="276"/>
        <v/>
      </c>
      <c r="M1112" s="487"/>
      <c r="N1112" s="487"/>
      <c r="O1112" s="488" t="str">
        <f t="shared" si="277"/>
        <v/>
      </c>
      <c r="P1112" s="489"/>
      <c r="Q1112" s="489"/>
      <c r="R1112" s="592" t="str">
        <f t="shared" si="278"/>
        <v/>
      </c>
      <c r="S1112" s="487"/>
      <c r="T1112" s="487"/>
      <c r="U1112" s="488" t="str">
        <f t="shared" si="279"/>
        <v/>
      </c>
      <c r="V1112" s="489"/>
      <c r="W1112" s="489"/>
      <c r="X1112" s="488" t="str">
        <f t="shared" si="280"/>
        <v/>
      </c>
      <c r="Y1112" s="489"/>
      <c r="Z1112" s="489"/>
      <c r="AA1112" s="490" t="str">
        <f t="shared" si="273"/>
        <v/>
      </c>
      <c r="AB1112" s="489"/>
      <c r="AC1112" s="489"/>
      <c r="AD1112" s="27">
        <v>410246</v>
      </c>
      <c r="AE1112" s="27" t="s">
        <v>2300</v>
      </c>
      <c r="AF1112" s="432">
        <f>VLOOKUP(AD1112,[5]Hoja1!$A$10:$K$1393,11,0)</f>
        <v>-10431433</v>
      </c>
      <c r="AG1112" s="432"/>
      <c r="AH1112" s="432">
        <f t="shared" si="246"/>
        <v>-10431</v>
      </c>
      <c r="AJ1112" s="445"/>
      <c r="AL1112" s="448"/>
      <c r="AM1112" s="467">
        <f>VLOOKUP(AD1112,[6]BV201101!$A$10:$A$1236,1,0)</f>
        <v>410246</v>
      </c>
    </row>
    <row r="1113" spans="1:39" s="467" customFormat="1" ht="12.75" customHeight="1">
      <c r="A1113" s="487" t="str">
        <f t="shared" si="272"/>
        <v>4</v>
      </c>
      <c r="B1113" s="487" t="str">
        <f t="shared" si="281"/>
        <v>10</v>
      </c>
      <c r="C1113" s="487" t="str">
        <f t="shared" si="282"/>
        <v>24</v>
      </c>
      <c r="D1113" s="487" t="str">
        <f t="shared" si="283"/>
        <v>0247</v>
      </c>
      <c r="E1113" s="487">
        <v>532400000</v>
      </c>
      <c r="F1113" s="488" t="str">
        <f t="shared" si="274"/>
        <v/>
      </c>
      <c r="G1113" s="489"/>
      <c r="H1113" s="489"/>
      <c r="I1113" s="488" t="str">
        <f t="shared" si="275"/>
        <v/>
      </c>
      <c r="J1113" s="487"/>
      <c r="K1113" s="487"/>
      <c r="L1113" s="488" t="str">
        <f t="shared" si="276"/>
        <v/>
      </c>
      <c r="M1113" s="487"/>
      <c r="N1113" s="487"/>
      <c r="O1113" s="488" t="str">
        <f t="shared" si="277"/>
        <v/>
      </c>
      <c r="P1113" s="489"/>
      <c r="Q1113" s="489"/>
      <c r="R1113" s="592" t="str">
        <f t="shared" si="278"/>
        <v/>
      </c>
      <c r="S1113" s="487"/>
      <c r="T1113" s="487"/>
      <c r="U1113" s="488" t="str">
        <f t="shared" si="279"/>
        <v/>
      </c>
      <c r="V1113" s="489"/>
      <c r="W1113" s="489"/>
      <c r="X1113" s="488" t="str">
        <f t="shared" si="280"/>
        <v/>
      </c>
      <c r="Y1113" s="489"/>
      <c r="Z1113" s="489"/>
      <c r="AA1113" s="490" t="str">
        <f t="shared" si="273"/>
        <v/>
      </c>
      <c r="AB1113" s="489"/>
      <c r="AC1113" s="489"/>
      <c r="AD1113" s="27">
        <v>410247</v>
      </c>
      <c r="AE1113" s="27" t="s">
        <v>2301</v>
      </c>
      <c r="AF1113" s="432">
        <f>VLOOKUP(AD1113,[5]Hoja1!$A$10:$K$1393,11,0)</f>
        <v>0</v>
      </c>
      <c r="AG1113" s="432"/>
      <c r="AH1113" s="432">
        <f t="shared" si="246"/>
        <v>0</v>
      </c>
      <c r="AJ1113" s="445"/>
      <c r="AL1113" s="448"/>
      <c r="AM1113" s="467">
        <f>VLOOKUP(AD1113,[6]BV201101!$A$10:$A$1236,1,0)</f>
        <v>410247</v>
      </c>
    </row>
    <row r="1114" spans="1:39" s="467" customFormat="1" ht="12.75" customHeight="1">
      <c r="A1114" s="487" t="str">
        <f t="shared" si="272"/>
        <v>4</v>
      </c>
      <c r="B1114" s="487" t="str">
        <f t="shared" si="281"/>
        <v>10</v>
      </c>
      <c r="C1114" s="487" t="str">
        <f t="shared" si="282"/>
        <v>24</v>
      </c>
      <c r="D1114" s="487" t="str">
        <f t="shared" si="283"/>
        <v>0248</v>
      </c>
      <c r="E1114" s="487">
        <v>532100000</v>
      </c>
      <c r="F1114" s="488" t="str">
        <f t="shared" si="274"/>
        <v/>
      </c>
      <c r="G1114" s="489"/>
      <c r="H1114" s="489"/>
      <c r="I1114" s="488" t="str">
        <f t="shared" si="275"/>
        <v/>
      </c>
      <c r="J1114" s="487"/>
      <c r="K1114" s="487"/>
      <c r="L1114" s="488" t="str">
        <f t="shared" si="276"/>
        <v/>
      </c>
      <c r="M1114" s="487"/>
      <c r="N1114" s="487"/>
      <c r="O1114" s="488" t="str">
        <f t="shared" si="277"/>
        <v/>
      </c>
      <c r="P1114" s="489"/>
      <c r="Q1114" s="489"/>
      <c r="R1114" s="592" t="str">
        <f t="shared" si="278"/>
        <v/>
      </c>
      <c r="S1114" s="487"/>
      <c r="T1114" s="487"/>
      <c r="U1114" s="488" t="str">
        <f t="shared" si="279"/>
        <v/>
      </c>
      <c r="V1114" s="489"/>
      <c r="W1114" s="489"/>
      <c r="X1114" s="488" t="str">
        <f t="shared" si="280"/>
        <v/>
      </c>
      <c r="Y1114" s="489"/>
      <c r="Z1114" s="489"/>
      <c r="AA1114" s="490" t="str">
        <f t="shared" si="273"/>
        <v/>
      </c>
      <c r="AB1114" s="489"/>
      <c r="AC1114" s="489"/>
      <c r="AD1114" s="27">
        <v>410248</v>
      </c>
      <c r="AE1114" s="27" t="s">
        <v>469</v>
      </c>
      <c r="AF1114" s="432">
        <f>VLOOKUP(AD1114,[5]Hoja1!$A$10:$K$1393,11,0)</f>
        <v>40203007</v>
      </c>
      <c r="AG1114" s="432"/>
      <c r="AH1114" s="432">
        <f t="shared" si="246"/>
        <v>40203</v>
      </c>
      <c r="AK1114" s="445"/>
      <c r="AL1114" s="448"/>
      <c r="AM1114" s="467">
        <f>VLOOKUP(AD1114,[6]BV201101!$A$10:$A$1236,1,0)</f>
        <v>410248</v>
      </c>
    </row>
    <row r="1115" spans="1:39" s="467" customFormat="1" ht="12.75" customHeight="1">
      <c r="A1115" s="487" t="str">
        <f t="shared" si="272"/>
        <v>4</v>
      </c>
      <c r="B1115" s="487" t="str">
        <f t="shared" si="281"/>
        <v>10</v>
      </c>
      <c r="C1115" s="487" t="str">
        <f t="shared" si="282"/>
        <v>24</v>
      </c>
      <c r="D1115" s="487" t="str">
        <f t="shared" si="283"/>
        <v>0249</v>
      </c>
      <c r="E1115" s="487">
        <v>532100000</v>
      </c>
      <c r="F1115" s="488" t="str">
        <f t="shared" si="274"/>
        <v/>
      </c>
      <c r="G1115" s="489"/>
      <c r="H1115" s="489"/>
      <c r="I1115" s="488" t="str">
        <f t="shared" si="275"/>
        <v/>
      </c>
      <c r="J1115" s="487"/>
      <c r="K1115" s="487"/>
      <c r="L1115" s="488" t="str">
        <f t="shared" si="276"/>
        <v/>
      </c>
      <c r="M1115" s="487"/>
      <c r="N1115" s="487"/>
      <c r="O1115" s="488" t="str">
        <f t="shared" si="277"/>
        <v/>
      </c>
      <c r="P1115" s="489"/>
      <c r="Q1115" s="489"/>
      <c r="R1115" s="592" t="str">
        <f t="shared" si="278"/>
        <v/>
      </c>
      <c r="S1115" s="487"/>
      <c r="T1115" s="487"/>
      <c r="U1115" s="488" t="str">
        <f t="shared" si="279"/>
        <v/>
      </c>
      <c r="V1115" s="489"/>
      <c r="W1115" s="489"/>
      <c r="X1115" s="488" t="str">
        <f t="shared" si="280"/>
        <v/>
      </c>
      <c r="Y1115" s="489"/>
      <c r="Z1115" s="489"/>
      <c r="AA1115" s="490" t="str">
        <f t="shared" si="273"/>
        <v/>
      </c>
      <c r="AB1115" s="489"/>
      <c r="AC1115" s="489"/>
      <c r="AD1115" s="27">
        <v>410249</v>
      </c>
      <c r="AE1115" s="27" t="s">
        <v>470</v>
      </c>
      <c r="AF1115" s="432">
        <f>VLOOKUP(AD1115,[5]Hoja1!$A$10:$K$1393,11,0)</f>
        <v>-411850700</v>
      </c>
      <c r="AG1115" s="432"/>
      <c r="AH1115" s="432">
        <f t="shared" si="246"/>
        <v>-411851</v>
      </c>
      <c r="AL1115" s="448"/>
      <c r="AM1115" s="467">
        <f>VLOOKUP(AD1115,[6]BV201101!$A$10:$A$1236,1,0)</f>
        <v>410249</v>
      </c>
    </row>
    <row r="1116" spans="1:39" s="467" customFormat="1" ht="12.75" customHeight="1">
      <c r="A1116" s="487" t="str">
        <f t="shared" si="272"/>
        <v>4</v>
      </c>
      <c r="B1116" s="487" t="str">
        <f t="shared" si="281"/>
        <v>10</v>
      </c>
      <c r="C1116" s="487" t="str">
        <f t="shared" si="282"/>
        <v>25</v>
      </c>
      <c r="D1116" s="487" t="str">
        <f t="shared" si="283"/>
        <v>0250</v>
      </c>
      <c r="E1116" s="487">
        <v>532100000</v>
      </c>
      <c r="F1116" s="488" t="str">
        <f t="shared" si="274"/>
        <v/>
      </c>
      <c r="G1116" s="489"/>
      <c r="H1116" s="489"/>
      <c r="I1116" s="488" t="str">
        <f t="shared" si="275"/>
        <v/>
      </c>
      <c r="J1116" s="487"/>
      <c r="K1116" s="487"/>
      <c r="L1116" s="488" t="str">
        <f t="shared" si="276"/>
        <v/>
      </c>
      <c r="M1116" s="487"/>
      <c r="N1116" s="487"/>
      <c r="O1116" s="488" t="str">
        <f t="shared" si="277"/>
        <v/>
      </c>
      <c r="P1116" s="489"/>
      <c r="Q1116" s="489"/>
      <c r="R1116" s="592" t="str">
        <f t="shared" si="278"/>
        <v/>
      </c>
      <c r="S1116" s="487"/>
      <c r="T1116" s="487"/>
      <c r="U1116" s="488" t="str">
        <f t="shared" si="279"/>
        <v/>
      </c>
      <c r="V1116" s="489"/>
      <c r="W1116" s="489"/>
      <c r="X1116" s="488" t="str">
        <f t="shared" si="280"/>
        <v/>
      </c>
      <c r="Y1116" s="489"/>
      <c r="Z1116" s="489"/>
      <c r="AA1116" s="490" t="str">
        <f t="shared" si="273"/>
        <v/>
      </c>
      <c r="AB1116" s="489"/>
      <c r="AC1116" s="489"/>
      <c r="AD1116" s="27">
        <v>410250</v>
      </c>
      <c r="AE1116" s="27" t="s">
        <v>2302</v>
      </c>
      <c r="AF1116" s="432">
        <f>VLOOKUP(AD1116,[5]Hoja1!$A$10:$K$1393,11,0)</f>
        <v>-130538034</v>
      </c>
      <c r="AG1116" s="432"/>
      <c r="AH1116" s="432">
        <f t="shared" si="246"/>
        <v>-130538</v>
      </c>
      <c r="AL1116" s="448"/>
      <c r="AM1116" s="467">
        <f>VLOOKUP(AD1116,[6]BV201101!$A$10:$A$1236,1,0)</f>
        <v>410250</v>
      </c>
    </row>
    <row r="1117" spans="1:39" s="467" customFormat="1" ht="12.75" customHeight="1">
      <c r="A1117" s="487" t="str">
        <f t="shared" si="272"/>
        <v>4</v>
      </c>
      <c r="B1117" s="487" t="str">
        <f t="shared" si="281"/>
        <v>10</v>
      </c>
      <c r="C1117" s="487" t="str">
        <f t="shared" si="282"/>
        <v>25</v>
      </c>
      <c r="D1117" s="487" t="str">
        <f t="shared" si="283"/>
        <v>0251</v>
      </c>
      <c r="E1117" s="487">
        <v>532100000</v>
      </c>
      <c r="F1117" s="488" t="str">
        <f t="shared" si="274"/>
        <v/>
      </c>
      <c r="G1117" s="489"/>
      <c r="H1117" s="489"/>
      <c r="I1117" s="488" t="str">
        <f t="shared" si="275"/>
        <v/>
      </c>
      <c r="J1117" s="487"/>
      <c r="K1117" s="487"/>
      <c r="L1117" s="488" t="str">
        <f t="shared" si="276"/>
        <v/>
      </c>
      <c r="M1117" s="487"/>
      <c r="N1117" s="487"/>
      <c r="O1117" s="488" t="str">
        <f t="shared" si="277"/>
        <v/>
      </c>
      <c r="P1117" s="489"/>
      <c r="Q1117" s="489"/>
      <c r="R1117" s="592" t="str">
        <f t="shared" si="278"/>
        <v/>
      </c>
      <c r="S1117" s="487"/>
      <c r="T1117" s="487"/>
      <c r="U1117" s="488" t="str">
        <f t="shared" si="279"/>
        <v/>
      </c>
      <c r="V1117" s="489"/>
      <c r="W1117" s="489"/>
      <c r="X1117" s="488" t="str">
        <f t="shared" si="280"/>
        <v/>
      </c>
      <c r="Y1117" s="489"/>
      <c r="Z1117" s="489"/>
      <c r="AA1117" s="490" t="str">
        <f t="shared" si="273"/>
        <v/>
      </c>
      <c r="AB1117" s="489"/>
      <c r="AC1117" s="489"/>
      <c r="AD1117" s="27">
        <v>410251</v>
      </c>
      <c r="AE1117" s="1021" t="s">
        <v>3499</v>
      </c>
      <c r="AF1117" s="432">
        <f>VLOOKUP(AD1117,[5]Hoja1!$A$10:$K$1393,11,0)</f>
        <v>7871470</v>
      </c>
      <c r="AG1117" s="432"/>
      <c r="AH1117" s="432">
        <f t="shared" ref="AH1117:AH1180" si="284">ROUND((AF1117+AG1117)/$AH$2,0)</f>
        <v>7871</v>
      </c>
      <c r="AL1117" s="448"/>
      <c r="AM1117" s="467">
        <f>VLOOKUP(AD1117,[6]BV201101!$A$10:$A$1236,1,0)</f>
        <v>410251</v>
      </c>
    </row>
    <row r="1118" spans="1:39" s="467" customFormat="1" ht="12.75" customHeight="1">
      <c r="A1118" s="487" t="str">
        <f t="shared" si="272"/>
        <v>4</v>
      </c>
      <c r="B1118" s="487" t="str">
        <f t="shared" si="281"/>
        <v>10</v>
      </c>
      <c r="C1118" s="487" t="str">
        <f t="shared" si="282"/>
        <v>25</v>
      </c>
      <c r="D1118" s="487" t="str">
        <f t="shared" si="283"/>
        <v>0252</v>
      </c>
      <c r="E1118" s="487">
        <v>532100000</v>
      </c>
      <c r="F1118" s="488" t="str">
        <f t="shared" si="274"/>
        <v/>
      </c>
      <c r="G1118" s="489"/>
      <c r="H1118" s="489"/>
      <c r="I1118" s="488" t="str">
        <f t="shared" si="275"/>
        <v/>
      </c>
      <c r="J1118" s="487"/>
      <c r="K1118" s="487"/>
      <c r="L1118" s="488" t="str">
        <f t="shared" si="276"/>
        <v/>
      </c>
      <c r="M1118" s="487"/>
      <c r="N1118" s="487"/>
      <c r="O1118" s="488" t="str">
        <f t="shared" si="277"/>
        <v/>
      </c>
      <c r="P1118" s="489"/>
      <c r="Q1118" s="489"/>
      <c r="R1118" s="592" t="str">
        <f t="shared" si="278"/>
        <v/>
      </c>
      <c r="S1118" s="487"/>
      <c r="T1118" s="487"/>
      <c r="U1118" s="488" t="str">
        <f t="shared" si="279"/>
        <v/>
      </c>
      <c r="V1118" s="489"/>
      <c r="W1118" s="489"/>
      <c r="X1118" s="488" t="str">
        <f t="shared" si="280"/>
        <v/>
      </c>
      <c r="Y1118" s="489"/>
      <c r="Z1118" s="489"/>
      <c r="AA1118" s="490" t="str">
        <f t="shared" si="273"/>
        <v/>
      </c>
      <c r="AB1118" s="489"/>
      <c r="AC1118" s="489"/>
      <c r="AD1118" s="27">
        <v>410252</v>
      </c>
      <c r="AE1118" s="27" t="s">
        <v>819</v>
      </c>
      <c r="AF1118" s="432">
        <v>0</v>
      </c>
      <c r="AG1118" s="432"/>
      <c r="AH1118" s="432">
        <f t="shared" si="284"/>
        <v>0</v>
      </c>
      <c r="AL1118" s="448"/>
      <c r="AM1118" s="467" t="e">
        <f>VLOOKUP(AD1118,[6]BV201101!$A$10:$A$1236,1,0)</f>
        <v>#N/A</v>
      </c>
    </row>
    <row r="1119" spans="1:39" s="467" customFormat="1" ht="12.75" customHeight="1">
      <c r="A1119" s="487" t="str">
        <f t="shared" si="272"/>
        <v>4</v>
      </c>
      <c r="B1119" s="487" t="str">
        <f t="shared" si="281"/>
        <v>10</v>
      </c>
      <c r="C1119" s="487" t="str">
        <f t="shared" si="282"/>
        <v>25</v>
      </c>
      <c r="D1119" s="487" t="str">
        <f t="shared" si="283"/>
        <v>0253</v>
      </c>
      <c r="E1119" s="487">
        <v>532100000</v>
      </c>
      <c r="F1119" s="488" t="str">
        <f t="shared" si="274"/>
        <v/>
      </c>
      <c r="G1119" s="489"/>
      <c r="H1119" s="489"/>
      <c r="I1119" s="488" t="str">
        <f t="shared" si="275"/>
        <v/>
      </c>
      <c r="J1119" s="487"/>
      <c r="K1119" s="487"/>
      <c r="L1119" s="488" t="str">
        <f t="shared" si="276"/>
        <v/>
      </c>
      <c r="M1119" s="487"/>
      <c r="N1119" s="487"/>
      <c r="O1119" s="488" t="str">
        <f t="shared" si="277"/>
        <v/>
      </c>
      <c r="P1119" s="489"/>
      <c r="Q1119" s="489"/>
      <c r="R1119" s="592" t="str">
        <f t="shared" si="278"/>
        <v/>
      </c>
      <c r="S1119" s="487"/>
      <c r="T1119" s="487"/>
      <c r="U1119" s="488" t="str">
        <f t="shared" si="279"/>
        <v/>
      </c>
      <c r="V1119" s="489"/>
      <c r="W1119" s="489"/>
      <c r="X1119" s="488" t="str">
        <f t="shared" si="280"/>
        <v/>
      </c>
      <c r="Y1119" s="489"/>
      <c r="Z1119" s="489"/>
      <c r="AA1119" s="490" t="str">
        <f t="shared" si="273"/>
        <v/>
      </c>
      <c r="AB1119" s="489"/>
      <c r="AC1119" s="489"/>
      <c r="AD1119" s="27">
        <v>410253</v>
      </c>
      <c r="AE1119" s="27" t="s">
        <v>2304</v>
      </c>
      <c r="AF1119" s="432">
        <f>VLOOKUP(AD1119,[5]Hoja1!$A$10:$K$1393,11,0)</f>
        <v>0</v>
      </c>
      <c r="AG1119" s="432"/>
      <c r="AH1119" s="432">
        <f t="shared" si="284"/>
        <v>0</v>
      </c>
      <c r="AL1119" s="448"/>
      <c r="AM1119" s="467">
        <f>VLOOKUP(AD1119,[6]BV201101!$A$10:$A$1236,1,0)</f>
        <v>410253</v>
      </c>
    </row>
    <row r="1120" spans="1:39" s="467" customFormat="1" ht="12.75" customHeight="1">
      <c r="A1120" s="487" t="str">
        <f t="shared" si="272"/>
        <v>4</v>
      </c>
      <c r="B1120" s="487" t="str">
        <f t="shared" si="281"/>
        <v>10</v>
      </c>
      <c r="C1120" s="487" t="str">
        <f t="shared" si="282"/>
        <v>25</v>
      </c>
      <c r="D1120" s="487" t="str">
        <f t="shared" si="283"/>
        <v>0254</v>
      </c>
      <c r="E1120" s="487">
        <v>532100000</v>
      </c>
      <c r="F1120" s="488" t="str">
        <f t="shared" si="274"/>
        <v/>
      </c>
      <c r="G1120" s="489"/>
      <c r="H1120" s="489"/>
      <c r="I1120" s="488" t="str">
        <f t="shared" si="275"/>
        <v/>
      </c>
      <c r="J1120" s="487"/>
      <c r="K1120" s="487"/>
      <c r="L1120" s="488" t="str">
        <f t="shared" si="276"/>
        <v/>
      </c>
      <c r="M1120" s="487"/>
      <c r="N1120" s="487"/>
      <c r="O1120" s="488" t="str">
        <f t="shared" si="277"/>
        <v/>
      </c>
      <c r="P1120" s="489"/>
      <c r="Q1120" s="489"/>
      <c r="R1120" s="592" t="str">
        <f t="shared" si="278"/>
        <v/>
      </c>
      <c r="S1120" s="487"/>
      <c r="T1120" s="487"/>
      <c r="U1120" s="488" t="str">
        <f t="shared" si="279"/>
        <v/>
      </c>
      <c r="V1120" s="489"/>
      <c r="W1120" s="489"/>
      <c r="X1120" s="488" t="str">
        <f t="shared" si="280"/>
        <v/>
      </c>
      <c r="Y1120" s="489"/>
      <c r="Z1120" s="489"/>
      <c r="AA1120" s="490" t="str">
        <f t="shared" si="273"/>
        <v/>
      </c>
      <c r="AB1120" s="489"/>
      <c r="AC1120" s="489"/>
      <c r="AD1120" s="27">
        <v>410254</v>
      </c>
      <c r="AE1120" s="27" t="s">
        <v>2305</v>
      </c>
      <c r="AF1120" s="432">
        <f>VLOOKUP(AD1120,[5]Hoja1!$A$10:$K$1393,11,0)</f>
        <v>608393667</v>
      </c>
      <c r="AG1120" s="432"/>
      <c r="AH1120" s="432">
        <f t="shared" si="284"/>
        <v>608394</v>
      </c>
      <c r="AL1120" s="448"/>
      <c r="AM1120" s="467">
        <f>VLOOKUP(AD1120,[6]BV201101!$A$10:$A$1236,1,0)</f>
        <v>410254</v>
      </c>
    </row>
    <row r="1121" spans="1:39" s="467" customFormat="1" ht="12.75" customHeight="1">
      <c r="A1121" s="487" t="str">
        <f t="shared" si="272"/>
        <v>4</v>
      </c>
      <c r="B1121" s="487" t="str">
        <f t="shared" si="281"/>
        <v>10</v>
      </c>
      <c r="C1121" s="487" t="str">
        <f t="shared" si="282"/>
        <v>25</v>
      </c>
      <c r="D1121" s="487" t="str">
        <f t="shared" si="283"/>
        <v>0255</v>
      </c>
      <c r="E1121" s="487">
        <v>532100000</v>
      </c>
      <c r="F1121" s="488" t="str">
        <f t="shared" si="274"/>
        <v/>
      </c>
      <c r="G1121" s="489"/>
      <c r="H1121" s="489"/>
      <c r="I1121" s="488" t="str">
        <f t="shared" si="275"/>
        <v/>
      </c>
      <c r="J1121" s="487"/>
      <c r="K1121" s="487"/>
      <c r="L1121" s="488" t="str">
        <f t="shared" si="276"/>
        <v/>
      </c>
      <c r="M1121" s="487"/>
      <c r="N1121" s="487"/>
      <c r="O1121" s="488" t="str">
        <f t="shared" si="277"/>
        <v/>
      </c>
      <c r="P1121" s="489"/>
      <c r="Q1121" s="489"/>
      <c r="R1121" s="592" t="str">
        <f t="shared" si="278"/>
        <v/>
      </c>
      <c r="S1121" s="487"/>
      <c r="T1121" s="487"/>
      <c r="U1121" s="488" t="str">
        <f t="shared" si="279"/>
        <v/>
      </c>
      <c r="V1121" s="489"/>
      <c r="W1121" s="489"/>
      <c r="X1121" s="488" t="str">
        <f t="shared" si="280"/>
        <v/>
      </c>
      <c r="Y1121" s="489"/>
      <c r="Z1121" s="489"/>
      <c r="AA1121" s="490" t="str">
        <f t="shared" si="273"/>
        <v/>
      </c>
      <c r="AB1121" s="489"/>
      <c r="AC1121" s="489"/>
      <c r="AD1121" s="27">
        <v>410255</v>
      </c>
      <c r="AE1121" s="27" t="s">
        <v>2306</v>
      </c>
      <c r="AF1121" s="432">
        <f>VLOOKUP(AD1121,[5]Hoja1!$A$10:$K$1393,11,0)</f>
        <v>0</v>
      </c>
      <c r="AG1121" s="432"/>
      <c r="AH1121" s="432">
        <f t="shared" si="284"/>
        <v>0</v>
      </c>
      <c r="AL1121" s="448"/>
      <c r="AM1121" s="467">
        <f>VLOOKUP(AD1121,[6]BV201101!$A$10:$A$1236,1,0)</f>
        <v>410255</v>
      </c>
    </row>
    <row r="1122" spans="1:39" s="467" customFormat="1" ht="12.75" customHeight="1">
      <c r="A1122" s="487" t="str">
        <f t="shared" si="272"/>
        <v>4</v>
      </c>
      <c r="B1122" s="487" t="str">
        <f t="shared" si="281"/>
        <v>10</v>
      </c>
      <c r="C1122" s="487" t="str">
        <f t="shared" si="282"/>
        <v>25</v>
      </c>
      <c r="D1122" s="487" t="str">
        <f t="shared" si="283"/>
        <v>0256</v>
      </c>
      <c r="E1122" s="487">
        <v>532100000</v>
      </c>
      <c r="F1122" s="488" t="str">
        <f t="shared" si="274"/>
        <v/>
      </c>
      <c r="G1122" s="489"/>
      <c r="H1122" s="489"/>
      <c r="I1122" s="488" t="str">
        <f t="shared" si="275"/>
        <v/>
      </c>
      <c r="J1122" s="487"/>
      <c r="K1122" s="487"/>
      <c r="L1122" s="488" t="str">
        <f t="shared" si="276"/>
        <v/>
      </c>
      <c r="M1122" s="487"/>
      <c r="N1122" s="487"/>
      <c r="O1122" s="488" t="str">
        <f t="shared" si="277"/>
        <v/>
      </c>
      <c r="P1122" s="489"/>
      <c r="Q1122" s="489"/>
      <c r="R1122" s="592" t="str">
        <f t="shared" si="278"/>
        <v/>
      </c>
      <c r="S1122" s="487"/>
      <c r="T1122" s="487"/>
      <c r="U1122" s="488" t="str">
        <f t="shared" si="279"/>
        <v/>
      </c>
      <c r="V1122" s="489"/>
      <c r="W1122" s="489"/>
      <c r="X1122" s="488" t="str">
        <f t="shared" si="280"/>
        <v/>
      </c>
      <c r="Y1122" s="489"/>
      <c r="Z1122" s="489"/>
      <c r="AA1122" s="490" t="str">
        <f t="shared" si="273"/>
        <v/>
      </c>
      <c r="AB1122" s="489"/>
      <c r="AC1122" s="489"/>
      <c r="AD1122" s="27">
        <v>410256</v>
      </c>
      <c r="AE1122" s="27" t="s">
        <v>203</v>
      </c>
      <c r="AF1122" s="432">
        <f>VLOOKUP(AD1122,[5]Hoja1!$A$10:$K$1393,11,0)</f>
        <v>0</v>
      </c>
      <c r="AG1122" s="432"/>
      <c r="AH1122" s="432">
        <f t="shared" si="284"/>
        <v>0</v>
      </c>
      <c r="AL1122" s="448"/>
      <c r="AM1122" s="467">
        <f>VLOOKUP(AD1122,[6]BV201101!$A$10:$A$1236,1,0)</f>
        <v>410256</v>
      </c>
    </row>
    <row r="1123" spans="1:39" s="467" customFormat="1" ht="12.75" customHeight="1">
      <c r="A1123" s="487" t="str">
        <f t="shared" si="272"/>
        <v>4</v>
      </c>
      <c r="B1123" s="487" t="str">
        <f t="shared" si="281"/>
        <v>10</v>
      </c>
      <c r="C1123" s="487" t="str">
        <f t="shared" si="282"/>
        <v>25</v>
      </c>
      <c r="D1123" s="487" t="str">
        <f t="shared" si="283"/>
        <v>0257</v>
      </c>
      <c r="E1123" s="487">
        <v>532100000</v>
      </c>
      <c r="F1123" s="488" t="str">
        <f t="shared" si="274"/>
        <v/>
      </c>
      <c r="G1123" s="489"/>
      <c r="H1123" s="489"/>
      <c r="I1123" s="488" t="str">
        <f t="shared" si="275"/>
        <v/>
      </c>
      <c r="J1123" s="487"/>
      <c r="K1123" s="487"/>
      <c r="L1123" s="488" t="str">
        <f t="shared" si="276"/>
        <v/>
      </c>
      <c r="M1123" s="487"/>
      <c r="N1123" s="487"/>
      <c r="O1123" s="488" t="str">
        <f t="shared" si="277"/>
        <v/>
      </c>
      <c r="P1123" s="489"/>
      <c r="Q1123" s="489"/>
      <c r="R1123" s="592" t="str">
        <f t="shared" si="278"/>
        <v/>
      </c>
      <c r="S1123" s="487"/>
      <c r="T1123" s="487"/>
      <c r="U1123" s="488" t="str">
        <f t="shared" si="279"/>
        <v/>
      </c>
      <c r="V1123" s="489"/>
      <c r="W1123" s="489"/>
      <c r="X1123" s="488" t="str">
        <f t="shared" si="280"/>
        <v/>
      </c>
      <c r="Y1123" s="489"/>
      <c r="Z1123" s="489"/>
      <c r="AA1123" s="490" t="str">
        <f t="shared" si="273"/>
        <v/>
      </c>
      <c r="AB1123" s="489"/>
      <c r="AC1123" s="489"/>
      <c r="AD1123" s="27">
        <v>410257</v>
      </c>
      <c r="AE1123" s="27" t="s">
        <v>204</v>
      </c>
      <c r="AF1123" s="432">
        <v>0</v>
      </c>
      <c r="AG1123" s="432"/>
      <c r="AH1123" s="432">
        <f t="shared" si="284"/>
        <v>0</v>
      </c>
      <c r="AL1123" s="448"/>
      <c r="AM1123" s="467" t="e">
        <f>VLOOKUP(AD1123,[6]BV201101!$A$10:$A$1236,1,0)</f>
        <v>#N/A</v>
      </c>
    </row>
    <row r="1124" spans="1:39" s="467" customFormat="1" ht="12.75" customHeight="1">
      <c r="A1124" s="487" t="str">
        <f t="shared" si="272"/>
        <v>4</v>
      </c>
      <c r="B1124" s="487" t="str">
        <f t="shared" si="281"/>
        <v>10</v>
      </c>
      <c r="C1124" s="487" t="str">
        <f t="shared" si="282"/>
        <v>25</v>
      </c>
      <c r="D1124" s="487" t="str">
        <f t="shared" si="283"/>
        <v>0258</v>
      </c>
      <c r="E1124" s="487">
        <v>532100000</v>
      </c>
      <c r="F1124" s="488" t="str">
        <f t="shared" si="274"/>
        <v/>
      </c>
      <c r="G1124" s="489"/>
      <c r="H1124" s="489"/>
      <c r="I1124" s="488" t="str">
        <f t="shared" si="275"/>
        <v/>
      </c>
      <c r="J1124" s="487"/>
      <c r="K1124" s="487"/>
      <c r="L1124" s="488" t="str">
        <f t="shared" si="276"/>
        <v/>
      </c>
      <c r="M1124" s="487"/>
      <c r="N1124" s="487"/>
      <c r="O1124" s="488" t="str">
        <f t="shared" si="277"/>
        <v/>
      </c>
      <c r="P1124" s="489"/>
      <c r="Q1124" s="489"/>
      <c r="R1124" s="592" t="str">
        <f t="shared" si="278"/>
        <v/>
      </c>
      <c r="S1124" s="487"/>
      <c r="T1124" s="487"/>
      <c r="U1124" s="488" t="str">
        <f t="shared" si="279"/>
        <v/>
      </c>
      <c r="V1124" s="489"/>
      <c r="W1124" s="489"/>
      <c r="X1124" s="488" t="str">
        <f t="shared" si="280"/>
        <v/>
      </c>
      <c r="Y1124" s="489"/>
      <c r="Z1124" s="489"/>
      <c r="AA1124" s="490" t="str">
        <f t="shared" si="273"/>
        <v/>
      </c>
      <c r="AB1124" s="489"/>
      <c r="AC1124" s="489"/>
      <c r="AD1124" s="27">
        <v>410258</v>
      </c>
      <c r="AE1124" s="27" t="s">
        <v>205</v>
      </c>
      <c r="AF1124" s="432">
        <f>VLOOKUP(AD1124,[5]Hoja1!$A$10:$K$1393,11,0)</f>
        <v>0</v>
      </c>
      <c r="AG1124" s="432"/>
      <c r="AH1124" s="432">
        <f t="shared" si="284"/>
        <v>0</v>
      </c>
      <c r="AL1124" s="448"/>
      <c r="AM1124" s="467">
        <f>VLOOKUP(AD1124,[6]BV201101!$A$10:$A$1236,1,0)</f>
        <v>410258</v>
      </c>
    </row>
    <row r="1125" spans="1:39" s="467" customFormat="1" ht="12.75" customHeight="1">
      <c r="A1125" s="487" t="str">
        <f t="shared" si="272"/>
        <v>4</v>
      </c>
      <c r="B1125" s="487" t="str">
        <f t="shared" si="281"/>
        <v>10</v>
      </c>
      <c r="C1125" s="487" t="str">
        <f t="shared" si="282"/>
        <v>25</v>
      </c>
      <c r="D1125" s="487" t="str">
        <f t="shared" si="283"/>
        <v>0259</v>
      </c>
      <c r="E1125" s="487">
        <v>532100000</v>
      </c>
      <c r="F1125" s="488"/>
      <c r="G1125" s="489"/>
      <c r="H1125" s="489"/>
      <c r="I1125" s="488"/>
      <c r="J1125" s="487"/>
      <c r="K1125" s="487"/>
      <c r="L1125" s="488"/>
      <c r="M1125" s="487"/>
      <c r="N1125" s="487"/>
      <c r="O1125" s="488"/>
      <c r="P1125" s="489"/>
      <c r="Q1125" s="489"/>
      <c r="R1125" s="592"/>
      <c r="S1125" s="487"/>
      <c r="T1125" s="487"/>
      <c r="U1125" s="488"/>
      <c r="V1125" s="489"/>
      <c r="W1125" s="489"/>
      <c r="X1125" s="488"/>
      <c r="Y1125" s="489"/>
      <c r="Z1125" s="489"/>
      <c r="AA1125" s="490"/>
      <c r="AB1125" s="489"/>
      <c r="AC1125" s="489"/>
      <c r="AD1125" s="27">
        <v>410259</v>
      </c>
      <c r="AE1125" s="27" t="s">
        <v>1316</v>
      </c>
      <c r="AF1125" s="432">
        <f>VLOOKUP(AD1125,[5]Hoja1!$A$10:$K$1393,11,0)</f>
        <v>-150103334</v>
      </c>
      <c r="AG1125" s="432"/>
      <c r="AH1125" s="432">
        <f t="shared" si="284"/>
        <v>-150103</v>
      </c>
      <c r="AL1125" s="448"/>
      <c r="AM1125" s="467">
        <f>VLOOKUP(AD1125,[6]BV201101!$A$10:$A$1236,1,0)</f>
        <v>410259</v>
      </c>
    </row>
    <row r="1126" spans="1:39" s="467" customFormat="1" ht="12.75" customHeight="1">
      <c r="A1126" s="487" t="str">
        <f t="shared" si="272"/>
        <v>4</v>
      </c>
      <c r="B1126" s="487" t="str">
        <f t="shared" si="281"/>
        <v>10</v>
      </c>
      <c r="C1126" s="487" t="str">
        <f t="shared" si="282"/>
        <v>26</v>
      </c>
      <c r="D1126" s="487" t="str">
        <f t="shared" si="283"/>
        <v>0260</v>
      </c>
      <c r="E1126" s="487">
        <v>532100000</v>
      </c>
      <c r="F1126" s="488"/>
      <c r="G1126" s="489"/>
      <c r="H1126" s="489"/>
      <c r="I1126" s="488"/>
      <c r="J1126" s="487"/>
      <c r="K1126" s="487"/>
      <c r="L1126" s="488"/>
      <c r="M1126" s="487"/>
      <c r="N1126" s="487"/>
      <c r="O1126" s="488"/>
      <c r="P1126" s="489"/>
      <c r="Q1126" s="489"/>
      <c r="R1126" s="592"/>
      <c r="S1126" s="487"/>
      <c r="T1126" s="487"/>
      <c r="U1126" s="488"/>
      <c r="V1126" s="489"/>
      <c r="W1126" s="489"/>
      <c r="X1126" s="488"/>
      <c r="Y1126" s="489"/>
      <c r="Z1126" s="489"/>
      <c r="AA1126" s="490"/>
      <c r="AB1126" s="489"/>
      <c r="AC1126" s="489"/>
      <c r="AD1126" s="27">
        <v>410260</v>
      </c>
      <c r="AE1126" s="27" t="s">
        <v>2307</v>
      </c>
      <c r="AF1126" s="432">
        <f>VLOOKUP(AD1126,[5]Hoja1!$A$10:$K$1393,11,0)</f>
        <v>0</v>
      </c>
      <c r="AG1126" s="432"/>
      <c r="AH1126" s="432">
        <f t="shared" si="284"/>
        <v>0</v>
      </c>
      <c r="AL1126" s="448"/>
      <c r="AM1126" s="467">
        <f>VLOOKUP(AD1126,[6]BV201101!$A$10:$A$1236,1,0)</f>
        <v>410260</v>
      </c>
    </row>
    <row r="1127" spans="1:39" s="467" customFormat="1" ht="12.75" customHeight="1">
      <c r="A1127" s="487" t="str">
        <f t="shared" si="272"/>
        <v>4</v>
      </c>
      <c r="B1127" s="487" t="str">
        <f t="shared" si="281"/>
        <v>10</v>
      </c>
      <c r="C1127" s="487" t="str">
        <f t="shared" si="282"/>
        <v>26</v>
      </c>
      <c r="D1127" s="487" t="str">
        <f t="shared" si="283"/>
        <v>0261</v>
      </c>
      <c r="E1127" s="487">
        <v>532100000</v>
      </c>
      <c r="F1127" s="488"/>
      <c r="G1127" s="489"/>
      <c r="H1127" s="489"/>
      <c r="I1127" s="488"/>
      <c r="J1127" s="487"/>
      <c r="K1127" s="487"/>
      <c r="L1127" s="488"/>
      <c r="M1127" s="487"/>
      <c r="N1127" s="487"/>
      <c r="O1127" s="488"/>
      <c r="P1127" s="489"/>
      <c r="Q1127" s="489"/>
      <c r="R1127" s="592"/>
      <c r="S1127" s="487"/>
      <c r="T1127" s="487"/>
      <c r="U1127" s="488"/>
      <c r="V1127" s="489"/>
      <c r="W1127" s="489"/>
      <c r="X1127" s="488"/>
      <c r="Y1127" s="489"/>
      <c r="Z1127" s="489"/>
      <c r="AA1127" s="490"/>
      <c r="AB1127" s="489"/>
      <c r="AC1127" s="489"/>
      <c r="AD1127" s="27">
        <v>410261</v>
      </c>
      <c r="AE1127" s="27" t="s">
        <v>1259</v>
      </c>
      <c r="AF1127" s="432">
        <f>VLOOKUP(AD1127,[5]Hoja1!$A$10:$K$1393,11,0)</f>
        <v>0</v>
      </c>
      <c r="AG1127" s="432"/>
      <c r="AH1127" s="432">
        <f t="shared" si="284"/>
        <v>0</v>
      </c>
      <c r="AL1127" s="448"/>
      <c r="AM1127" s="467">
        <f>VLOOKUP(AD1127,[6]BV201101!$A$10:$A$1236,1,0)</f>
        <v>410261</v>
      </c>
    </row>
    <row r="1128" spans="1:39" s="467" customFormat="1" ht="12.75" customHeight="1">
      <c r="A1128" s="487" t="str">
        <f t="shared" si="272"/>
        <v>4</v>
      </c>
      <c r="B1128" s="487" t="str">
        <f t="shared" si="281"/>
        <v>10</v>
      </c>
      <c r="C1128" s="487" t="str">
        <f t="shared" si="282"/>
        <v>26</v>
      </c>
      <c r="D1128" s="487" t="str">
        <f t="shared" si="283"/>
        <v>0262</v>
      </c>
      <c r="E1128" s="487">
        <v>532100000</v>
      </c>
      <c r="F1128" s="488"/>
      <c r="G1128" s="489"/>
      <c r="H1128" s="489"/>
      <c r="I1128" s="488"/>
      <c r="J1128" s="487"/>
      <c r="K1128" s="487"/>
      <c r="L1128" s="488"/>
      <c r="M1128" s="487"/>
      <c r="N1128" s="487"/>
      <c r="O1128" s="488"/>
      <c r="P1128" s="489"/>
      <c r="Q1128" s="489"/>
      <c r="R1128" s="592"/>
      <c r="S1128" s="487"/>
      <c r="T1128" s="487"/>
      <c r="U1128" s="488"/>
      <c r="V1128" s="489"/>
      <c r="W1128" s="489"/>
      <c r="X1128" s="488"/>
      <c r="Y1128" s="489"/>
      <c r="Z1128" s="489"/>
      <c r="AA1128" s="490"/>
      <c r="AB1128" s="489"/>
      <c r="AC1128" s="489"/>
      <c r="AD1128" s="27">
        <v>410262</v>
      </c>
      <c r="AE1128" s="27" t="s">
        <v>1260</v>
      </c>
      <c r="AF1128" s="432">
        <f>VLOOKUP(AD1128,[5]Hoja1!$A$10:$K$1393,11,0)</f>
        <v>0</v>
      </c>
      <c r="AG1128" s="432"/>
      <c r="AH1128" s="432">
        <f t="shared" si="284"/>
        <v>0</v>
      </c>
      <c r="AL1128" s="448"/>
      <c r="AM1128" s="467">
        <f>VLOOKUP(AD1128,[6]BV201101!$A$10:$A$1236,1,0)</f>
        <v>410262</v>
      </c>
    </row>
    <row r="1129" spans="1:39" s="467" customFormat="1" ht="12.75" customHeight="1">
      <c r="A1129" s="487" t="str">
        <f t="shared" si="272"/>
        <v>4</v>
      </c>
      <c r="B1129" s="487" t="str">
        <f t="shared" si="281"/>
        <v>10</v>
      </c>
      <c r="C1129" s="487" t="str">
        <f t="shared" si="282"/>
        <v>26</v>
      </c>
      <c r="D1129" s="487" t="str">
        <f t="shared" si="283"/>
        <v>0263</v>
      </c>
      <c r="E1129" s="487">
        <v>532100000</v>
      </c>
      <c r="F1129" s="488"/>
      <c r="G1129" s="489"/>
      <c r="H1129" s="489"/>
      <c r="I1129" s="488"/>
      <c r="J1129" s="487"/>
      <c r="K1129" s="487"/>
      <c r="L1129" s="488"/>
      <c r="M1129" s="487"/>
      <c r="N1129" s="487"/>
      <c r="O1129" s="488"/>
      <c r="P1129" s="489"/>
      <c r="Q1129" s="489"/>
      <c r="R1129" s="592"/>
      <c r="S1129" s="487"/>
      <c r="T1129" s="487"/>
      <c r="U1129" s="488"/>
      <c r="V1129" s="489"/>
      <c r="W1129" s="489"/>
      <c r="X1129" s="488"/>
      <c r="Y1129" s="489"/>
      <c r="Z1129" s="489"/>
      <c r="AA1129" s="490"/>
      <c r="AB1129" s="489"/>
      <c r="AC1129" s="489"/>
      <c r="AD1129" s="27">
        <v>410263</v>
      </c>
      <c r="AE1129" s="27" t="s">
        <v>1261</v>
      </c>
      <c r="AF1129" s="432">
        <v>0</v>
      </c>
      <c r="AG1129" s="432"/>
      <c r="AH1129" s="432">
        <f t="shared" si="284"/>
        <v>0</v>
      </c>
      <c r="AL1129" s="448"/>
      <c r="AM1129" s="467" t="e">
        <f>VLOOKUP(AD1129,[6]BV201101!$A$10:$A$1236,1,0)</f>
        <v>#N/A</v>
      </c>
    </row>
    <row r="1130" spans="1:39" s="467" customFormat="1" ht="12.75" customHeight="1">
      <c r="A1130" s="487" t="str">
        <f t="shared" si="272"/>
        <v>4</v>
      </c>
      <c r="B1130" s="487" t="str">
        <f t="shared" si="281"/>
        <v>10</v>
      </c>
      <c r="C1130" s="487" t="str">
        <f t="shared" si="282"/>
        <v>26</v>
      </c>
      <c r="D1130" s="487" t="str">
        <f t="shared" si="283"/>
        <v>0264</v>
      </c>
      <c r="E1130" s="487">
        <v>532100000</v>
      </c>
      <c r="F1130" s="488"/>
      <c r="G1130" s="489"/>
      <c r="H1130" s="489"/>
      <c r="I1130" s="488"/>
      <c r="J1130" s="487"/>
      <c r="K1130" s="487"/>
      <c r="L1130" s="488"/>
      <c r="M1130" s="487"/>
      <c r="N1130" s="487"/>
      <c r="O1130" s="488"/>
      <c r="P1130" s="489"/>
      <c r="Q1130" s="489"/>
      <c r="R1130" s="592"/>
      <c r="S1130" s="487"/>
      <c r="T1130" s="487"/>
      <c r="U1130" s="488"/>
      <c r="V1130" s="489"/>
      <c r="W1130" s="489"/>
      <c r="X1130" s="488"/>
      <c r="Y1130" s="489"/>
      <c r="Z1130" s="489"/>
      <c r="AA1130" s="490"/>
      <c r="AB1130" s="489"/>
      <c r="AC1130" s="489"/>
      <c r="AD1130" s="27">
        <v>410264</v>
      </c>
      <c r="AE1130" s="27" t="s">
        <v>2308</v>
      </c>
      <c r="AF1130" s="432">
        <f>VLOOKUP(AD1130,[5]Hoja1!$A$10:$K$1393,11,0)</f>
        <v>0</v>
      </c>
      <c r="AG1130" s="432"/>
      <c r="AH1130" s="432">
        <f t="shared" si="284"/>
        <v>0</v>
      </c>
      <c r="AL1130" s="448"/>
      <c r="AM1130" s="467">
        <f>VLOOKUP(AD1130,[6]BV201101!$A$10:$A$1236,1,0)</f>
        <v>410264</v>
      </c>
    </row>
    <row r="1131" spans="1:39" s="467" customFormat="1" ht="12.75" customHeight="1">
      <c r="A1131" s="487" t="str">
        <f t="shared" si="272"/>
        <v>4</v>
      </c>
      <c r="B1131" s="487" t="str">
        <f t="shared" si="281"/>
        <v>10</v>
      </c>
      <c r="C1131" s="487" t="str">
        <f t="shared" si="282"/>
        <v>26</v>
      </c>
      <c r="D1131" s="487" t="str">
        <f t="shared" si="283"/>
        <v>0265</v>
      </c>
      <c r="E1131" s="487">
        <v>532100000</v>
      </c>
      <c r="F1131" s="488"/>
      <c r="G1131" s="489"/>
      <c r="H1131" s="489"/>
      <c r="I1131" s="488"/>
      <c r="J1131" s="487"/>
      <c r="K1131" s="487"/>
      <c r="L1131" s="488"/>
      <c r="M1131" s="487"/>
      <c r="N1131" s="487"/>
      <c r="O1131" s="488"/>
      <c r="P1131" s="489"/>
      <c r="Q1131" s="489"/>
      <c r="R1131" s="592"/>
      <c r="S1131" s="487"/>
      <c r="T1131" s="487"/>
      <c r="U1131" s="488"/>
      <c r="V1131" s="489"/>
      <c r="W1131" s="489"/>
      <c r="X1131" s="488"/>
      <c r="Y1131" s="489"/>
      <c r="Z1131" s="489"/>
      <c r="AA1131" s="490"/>
      <c r="AB1131" s="489"/>
      <c r="AC1131" s="489"/>
      <c r="AD1131" s="27">
        <v>410265</v>
      </c>
      <c r="AE1131" s="27" t="s">
        <v>1262</v>
      </c>
      <c r="AF1131" s="432">
        <f>VLOOKUP(AD1131,[5]Hoja1!$A$10:$K$1393,11,0)</f>
        <v>0</v>
      </c>
      <c r="AG1131" s="432"/>
      <c r="AH1131" s="432">
        <f t="shared" si="284"/>
        <v>0</v>
      </c>
      <c r="AL1131" s="448"/>
      <c r="AM1131" s="467">
        <f>VLOOKUP(AD1131,[6]BV201101!$A$10:$A$1236,1,0)</f>
        <v>410265</v>
      </c>
    </row>
    <row r="1132" spans="1:39" s="467" customFormat="1" ht="12.75" customHeight="1">
      <c r="A1132" s="487" t="str">
        <f t="shared" si="272"/>
        <v>4</v>
      </c>
      <c r="B1132" s="487" t="str">
        <f t="shared" si="281"/>
        <v>10</v>
      </c>
      <c r="C1132" s="487" t="str">
        <f t="shared" si="282"/>
        <v>26</v>
      </c>
      <c r="D1132" s="487" t="str">
        <f t="shared" si="283"/>
        <v>0267</v>
      </c>
      <c r="E1132" s="487">
        <v>532400000</v>
      </c>
      <c r="F1132" s="488"/>
      <c r="G1132" s="489"/>
      <c r="H1132" s="489"/>
      <c r="I1132" s="488"/>
      <c r="J1132" s="487"/>
      <c r="K1132" s="487"/>
      <c r="L1132" s="488"/>
      <c r="M1132" s="487"/>
      <c r="N1132" s="487"/>
      <c r="O1132" s="488"/>
      <c r="P1132" s="489"/>
      <c r="Q1132" s="489"/>
      <c r="R1132" s="592"/>
      <c r="S1132" s="487"/>
      <c r="T1132" s="487"/>
      <c r="U1132" s="488"/>
      <c r="V1132" s="489"/>
      <c r="W1132" s="489"/>
      <c r="X1132" s="488"/>
      <c r="Y1132" s="489"/>
      <c r="Z1132" s="489"/>
      <c r="AA1132" s="490"/>
      <c r="AB1132" s="489"/>
      <c r="AC1132" s="489"/>
      <c r="AD1132" s="27">
        <v>410267</v>
      </c>
      <c r="AE1132" s="27" t="s">
        <v>2309</v>
      </c>
      <c r="AF1132" s="432">
        <f>VLOOKUP(AD1132,[5]Hoja1!$A$10:$K$1393,11,0)</f>
        <v>-546726890</v>
      </c>
      <c r="AG1132" s="432"/>
      <c r="AH1132" s="432">
        <f t="shared" si="284"/>
        <v>-546727</v>
      </c>
      <c r="AL1132" s="448"/>
      <c r="AM1132" s="467">
        <f>VLOOKUP(AD1132,[6]BV201101!$A$10:$A$1236,1,0)</f>
        <v>410267</v>
      </c>
    </row>
    <row r="1133" spans="1:39" s="467" customFormat="1" ht="12.75" customHeight="1">
      <c r="A1133" s="487" t="str">
        <f t="shared" si="272"/>
        <v>4</v>
      </c>
      <c r="B1133" s="487" t="str">
        <f t="shared" si="281"/>
        <v>10</v>
      </c>
      <c r="C1133" s="487" t="str">
        <f t="shared" si="282"/>
        <v>26</v>
      </c>
      <c r="D1133" s="487" t="str">
        <f t="shared" si="283"/>
        <v>0268</v>
      </c>
      <c r="E1133" s="487">
        <v>532400000</v>
      </c>
      <c r="F1133" s="488"/>
      <c r="G1133" s="489"/>
      <c r="H1133" s="489"/>
      <c r="I1133" s="488"/>
      <c r="J1133" s="487"/>
      <c r="K1133" s="487"/>
      <c r="L1133" s="488"/>
      <c r="M1133" s="487"/>
      <c r="N1133" s="487"/>
      <c r="O1133" s="488"/>
      <c r="P1133" s="489"/>
      <c r="Q1133" s="489"/>
      <c r="R1133" s="592"/>
      <c r="S1133" s="487"/>
      <c r="T1133" s="487"/>
      <c r="U1133" s="488"/>
      <c r="V1133" s="489"/>
      <c r="W1133" s="489"/>
      <c r="X1133" s="488"/>
      <c r="Y1133" s="489"/>
      <c r="Z1133" s="489"/>
      <c r="AA1133" s="490"/>
      <c r="AB1133" s="489"/>
      <c r="AC1133" s="489"/>
      <c r="AD1133" s="27">
        <v>410268</v>
      </c>
      <c r="AE1133" s="27" t="s">
        <v>1841</v>
      </c>
      <c r="AF1133" s="432">
        <f>VLOOKUP(AD1133,[5]Hoja1!$A$10:$K$1393,11,0)</f>
        <v>-24994367</v>
      </c>
      <c r="AG1133" s="432"/>
      <c r="AH1133" s="432">
        <f t="shared" si="284"/>
        <v>-24994</v>
      </c>
      <c r="AL1133" s="448"/>
      <c r="AM1133" s="467">
        <f>VLOOKUP(AD1133,[6]BV201101!$A$10:$A$1236,1,0)</f>
        <v>410268</v>
      </c>
    </row>
    <row r="1134" spans="1:39" s="467" customFormat="1" ht="12.75" customHeight="1">
      <c r="A1134" s="487" t="str">
        <f t="shared" si="272"/>
        <v>4</v>
      </c>
      <c r="B1134" s="487" t="str">
        <f t="shared" si="281"/>
        <v>10</v>
      </c>
      <c r="C1134" s="487" t="str">
        <f t="shared" si="282"/>
        <v>26</v>
      </c>
      <c r="D1134" s="487" t="str">
        <f t="shared" si="283"/>
        <v>0269</v>
      </c>
      <c r="E1134" s="487">
        <v>532400000</v>
      </c>
      <c r="F1134" s="488"/>
      <c r="G1134" s="489"/>
      <c r="H1134" s="489"/>
      <c r="I1134" s="488"/>
      <c r="J1134" s="487"/>
      <c r="K1134" s="487"/>
      <c r="L1134" s="488"/>
      <c r="M1134" s="487"/>
      <c r="N1134" s="487"/>
      <c r="O1134" s="488"/>
      <c r="P1134" s="489"/>
      <c r="Q1134" s="489"/>
      <c r="R1134" s="592"/>
      <c r="S1134" s="487"/>
      <c r="T1134" s="487"/>
      <c r="U1134" s="488"/>
      <c r="V1134" s="489"/>
      <c r="W1134" s="489"/>
      <c r="X1134" s="488"/>
      <c r="Y1134" s="489"/>
      <c r="Z1134" s="489"/>
      <c r="AA1134" s="490"/>
      <c r="AB1134" s="489"/>
      <c r="AC1134" s="489"/>
      <c r="AD1134" s="27">
        <v>410269</v>
      </c>
      <c r="AE1134" s="27" t="s">
        <v>2310</v>
      </c>
      <c r="AF1134" s="432">
        <f>VLOOKUP(AD1134,[5]Hoja1!$A$10:$K$1393,11,0)</f>
        <v>-5045451</v>
      </c>
      <c r="AG1134" s="432"/>
      <c r="AH1134" s="432">
        <f t="shared" si="284"/>
        <v>-5045</v>
      </c>
      <c r="AL1134" s="448"/>
      <c r="AM1134" s="467">
        <f>VLOOKUP(AD1134,[6]BV201101!$A$10:$A$1236,1,0)</f>
        <v>410269</v>
      </c>
    </row>
    <row r="1135" spans="1:39" s="467" customFormat="1" ht="12.75" customHeight="1">
      <c r="A1135" s="487" t="str">
        <f t="shared" ref="A1135:A1198" si="285">+LEFT($AD1135,1)</f>
        <v>4</v>
      </c>
      <c r="B1135" s="487" t="str">
        <f t="shared" si="281"/>
        <v>10</v>
      </c>
      <c r="C1135" s="487" t="str">
        <f t="shared" si="282"/>
        <v>27</v>
      </c>
      <c r="D1135" s="487" t="str">
        <f t="shared" si="283"/>
        <v>0271</v>
      </c>
      <c r="E1135" s="487">
        <v>532100000</v>
      </c>
      <c r="F1135" s="488"/>
      <c r="G1135" s="489"/>
      <c r="H1135" s="489"/>
      <c r="I1135" s="488"/>
      <c r="J1135" s="487"/>
      <c r="K1135" s="487"/>
      <c r="L1135" s="488"/>
      <c r="M1135" s="487"/>
      <c r="N1135" s="487"/>
      <c r="O1135" s="488"/>
      <c r="P1135" s="489"/>
      <c r="Q1135" s="489"/>
      <c r="R1135" s="592"/>
      <c r="S1135" s="487"/>
      <c r="T1135" s="487"/>
      <c r="U1135" s="488"/>
      <c r="V1135" s="489"/>
      <c r="W1135" s="489"/>
      <c r="X1135" s="488"/>
      <c r="Y1135" s="489"/>
      <c r="Z1135" s="489"/>
      <c r="AA1135" s="490"/>
      <c r="AB1135" s="489"/>
      <c r="AC1135" s="489"/>
      <c r="AD1135" s="27">
        <v>410271</v>
      </c>
      <c r="AE1135" s="27" t="s">
        <v>1338</v>
      </c>
      <c r="AF1135" s="432">
        <f>VLOOKUP(AD1135,[5]Hoja1!$A$10:$K$1393,11,0)</f>
        <v>-48407321</v>
      </c>
      <c r="AG1135" s="432"/>
      <c r="AH1135" s="432">
        <f t="shared" si="284"/>
        <v>-48407</v>
      </c>
      <c r="AL1135" s="448"/>
      <c r="AM1135" s="467" t="e">
        <f>VLOOKUP(AD1135,[6]BV201101!$A$10:$A$1236,1,0)</f>
        <v>#N/A</v>
      </c>
    </row>
    <row r="1136" spans="1:39" s="467" customFormat="1" ht="12.75" customHeight="1">
      <c r="A1136" s="487" t="str">
        <f t="shared" si="285"/>
        <v>4</v>
      </c>
      <c r="B1136" s="487" t="str">
        <f t="shared" si="281"/>
        <v>10</v>
      </c>
      <c r="C1136" s="487" t="str">
        <f t="shared" si="282"/>
        <v>27</v>
      </c>
      <c r="D1136" s="487" t="str">
        <f t="shared" si="283"/>
        <v>0270</v>
      </c>
      <c r="E1136" s="487">
        <v>532400000</v>
      </c>
      <c r="F1136" s="488"/>
      <c r="G1136" s="489"/>
      <c r="H1136" s="489"/>
      <c r="I1136" s="488"/>
      <c r="J1136" s="487"/>
      <c r="K1136" s="487"/>
      <c r="L1136" s="488"/>
      <c r="M1136" s="487"/>
      <c r="N1136" s="487"/>
      <c r="O1136" s="488"/>
      <c r="P1136" s="489"/>
      <c r="Q1136" s="489"/>
      <c r="R1136" s="592"/>
      <c r="S1136" s="487"/>
      <c r="T1136" s="487"/>
      <c r="U1136" s="488"/>
      <c r="V1136" s="489"/>
      <c r="W1136" s="489"/>
      <c r="X1136" s="488"/>
      <c r="Y1136" s="489"/>
      <c r="Z1136" s="489"/>
      <c r="AA1136" s="490"/>
      <c r="AB1136" s="489"/>
      <c r="AC1136" s="489"/>
      <c r="AD1136" s="27">
        <v>410270</v>
      </c>
      <c r="AE1136" s="27" t="s">
        <v>2641</v>
      </c>
      <c r="AF1136" s="432">
        <f>VLOOKUP(AD1136,[5]Hoja1!$A$10:$K$1393,11,0)</f>
        <v>0</v>
      </c>
      <c r="AG1136" s="432"/>
      <c r="AH1136" s="432">
        <f t="shared" si="284"/>
        <v>0</v>
      </c>
      <c r="AL1136" s="448"/>
    </row>
    <row r="1137" spans="1:39" s="467" customFormat="1" ht="12.75" customHeight="1">
      <c r="A1137" s="487" t="str">
        <f t="shared" si="285"/>
        <v>4</v>
      </c>
      <c r="B1137" s="487" t="str">
        <f t="shared" si="281"/>
        <v>10</v>
      </c>
      <c r="C1137" s="487" t="str">
        <f t="shared" si="282"/>
        <v>27</v>
      </c>
      <c r="D1137" s="487" t="str">
        <f t="shared" si="283"/>
        <v>0272</v>
      </c>
      <c r="E1137" s="487">
        <v>532100000</v>
      </c>
      <c r="F1137" s="488"/>
      <c r="G1137" s="489"/>
      <c r="H1137" s="489"/>
      <c r="I1137" s="488"/>
      <c r="J1137" s="487"/>
      <c r="K1137" s="487"/>
      <c r="L1137" s="488"/>
      <c r="M1137" s="487"/>
      <c r="N1137" s="487"/>
      <c r="O1137" s="488"/>
      <c r="P1137" s="489"/>
      <c r="Q1137" s="489"/>
      <c r="R1137" s="592"/>
      <c r="S1137" s="487"/>
      <c r="T1137" s="487"/>
      <c r="U1137" s="488"/>
      <c r="V1137" s="489"/>
      <c r="W1137" s="489"/>
      <c r="X1137" s="488"/>
      <c r="Y1137" s="489"/>
      <c r="Z1137" s="489"/>
      <c r="AA1137" s="490"/>
      <c r="AB1137" s="489"/>
      <c r="AC1137" s="489"/>
      <c r="AD1137" s="27">
        <v>410272</v>
      </c>
      <c r="AE1137" s="27" t="s">
        <v>2311</v>
      </c>
      <c r="AF1137" s="432">
        <f>VLOOKUP(AD1137,[5]Hoja1!$A$10:$K$1393,11,0)</f>
        <v>-14916660</v>
      </c>
      <c r="AG1137" s="432"/>
      <c r="AH1137" s="432">
        <f t="shared" si="284"/>
        <v>-14917</v>
      </c>
      <c r="AL1137" s="448"/>
      <c r="AM1137" s="467">
        <f>VLOOKUP(AD1137,[6]BV201101!$A$10:$A$1236,1,0)</f>
        <v>410272</v>
      </c>
    </row>
    <row r="1138" spans="1:39" s="467" customFormat="1" ht="12.75" customHeight="1">
      <c r="A1138" s="487" t="str">
        <f t="shared" si="285"/>
        <v>4</v>
      </c>
      <c r="B1138" s="487" t="str">
        <f t="shared" si="281"/>
        <v>10</v>
      </c>
      <c r="C1138" s="487" t="str">
        <f t="shared" si="282"/>
        <v>27</v>
      </c>
      <c r="D1138" s="487" t="str">
        <f t="shared" si="283"/>
        <v>0273</v>
      </c>
      <c r="E1138" s="487">
        <v>532100000</v>
      </c>
      <c r="F1138" s="488"/>
      <c r="G1138" s="489"/>
      <c r="H1138" s="489"/>
      <c r="I1138" s="488"/>
      <c r="J1138" s="487"/>
      <c r="K1138" s="487"/>
      <c r="L1138" s="488"/>
      <c r="M1138" s="487"/>
      <c r="N1138" s="487"/>
      <c r="O1138" s="488"/>
      <c r="P1138" s="489"/>
      <c r="Q1138" s="489"/>
      <c r="R1138" s="592"/>
      <c r="S1138" s="487"/>
      <c r="T1138" s="487"/>
      <c r="U1138" s="488"/>
      <c r="V1138" s="489"/>
      <c r="W1138" s="489"/>
      <c r="X1138" s="488"/>
      <c r="Y1138" s="489"/>
      <c r="Z1138" s="489"/>
      <c r="AA1138" s="490"/>
      <c r="AB1138" s="489"/>
      <c r="AC1138" s="489"/>
      <c r="AD1138" s="27">
        <v>410273</v>
      </c>
      <c r="AE1138" s="27" t="s">
        <v>1339</v>
      </c>
      <c r="AF1138" s="432">
        <f>VLOOKUP(AD1138,[5]Hoja1!$A$10:$K$1393,11,0)</f>
        <v>-20834024</v>
      </c>
      <c r="AG1138" s="432"/>
      <c r="AH1138" s="432">
        <f t="shared" si="284"/>
        <v>-20834</v>
      </c>
      <c r="AL1138" s="448"/>
      <c r="AM1138" s="467">
        <f>VLOOKUP(AD1138,[6]BV201101!$A$10:$A$1236,1,0)</f>
        <v>410273</v>
      </c>
    </row>
    <row r="1139" spans="1:39" s="467" customFormat="1" ht="12.75" customHeight="1">
      <c r="A1139" s="487" t="str">
        <f t="shared" si="285"/>
        <v>4</v>
      </c>
      <c r="B1139" s="487" t="str">
        <f t="shared" si="281"/>
        <v>10</v>
      </c>
      <c r="C1139" s="487" t="str">
        <f t="shared" si="282"/>
        <v>27</v>
      </c>
      <c r="D1139" s="487" t="str">
        <f t="shared" si="283"/>
        <v>0274</v>
      </c>
      <c r="E1139" s="487">
        <v>532100000</v>
      </c>
      <c r="F1139" s="488"/>
      <c r="G1139" s="489"/>
      <c r="H1139" s="489"/>
      <c r="I1139" s="488"/>
      <c r="J1139" s="487"/>
      <c r="K1139" s="487"/>
      <c r="L1139" s="488"/>
      <c r="M1139" s="487"/>
      <c r="N1139" s="487"/>
      <c r="O1139" s="488"/>
      <c r="P1139" s="489"/>
      <c r="Q1139" s="489"/>
      <c r="R1139" s="592"/>
      <c r="S1139" s="487"/>
      <c r="T1139" s="487"/>
      <c r="U1139" s="488"/>
      <c r="V1139" s="489"/>
      <c r="W1139" s="489"/>
      <c r="X1139" s="488"/>
      <c r="Y1139" s="489"/>
      <c r="Z1139" s="489"/>
      <c r="AA1139" s="490"/>
      <c r="AB1139" s="489"/>
      <c r="AC1139" s="489"/>
      <c r="AD1139" s="27">
        <v>410274</v>
      </c>
      <c r="AE1139" s="27" t="s">
        <v>2312</v>
      </c>
      <c r="AF1139" s="432">
        <f>VLOOKUP(AD1139,[5]Hoja1!$A$10:$K$1393,11,0)</f>
        <v>-48560674</v>
      </c>
      <c r="AG1139" s="432"/>
      <c r="AH1139" s="432">
        <f t="shared" si="284"/>
        <v>-48561</v>
      </c>
      <c r="AL1139" s="448"/>
      <c r="AM1139" s="467">
        <f>VLOOKUP(AD1139,[6]BV201101!$A$10:$A$1236,1,0)</f>
        <v>410274</v>
      </c>
    </row>
    <row r="1140" spans="1:39" s="467" customFormat="1" ht="12.75" customHeight="1">
      <c r="A1140" s="487" t="str">
        <f t="shared" si="285"/>
        <v>4</v>
      </c>
      <c r="B1140" s="487" t="str">
        <f t="shared" si="281"/>
        <v>10</v>
      </c>
      <c r="C1140" s="487" t="str">
        <f t="shared" si="282"/>
        <v>27</v>
      </c>
      <c r="D1140" s="487" t="str">
        <f t="shared" si="283"/>
        <v>0275</v>
      </c>
      <c r="E1140" s="487">
        <v>532100000</v>
      </c>
      <c r="F1140" s="488"/>
      <c r="G1140" s="489"/>
      <c r="H1140" s="489"/>
      <c r="I1140" s="488"/>
      <c r="J1140" s="487"/>
      <c r="K1140" s="487"/>
      <c r="L1140" s="488"/>
      <c r="M1140" s="487"/>
      <c r="N1140" s="487"/>
      <c r="O1140" s="488"/>
      <c r="P1140" s="489"/>
      <c r="Q1140" s="489"/>
      <c r="R1140" s="592"/>
      <c r="S1140" s="487"/>
      <c r="T1140" s="487"/>
      <c r="U1140" s="488"/>
      <c r="V1140" s="489"/>
      <c r="W1140" s="489"/>
      <c r="X1140" s="488"/>
      <c r="Y1140" s="489"/>
      <c r="Z1140" s="489"/>
      <c r="AA1140" s="490"/>
      <c r="AB1140" s="489"/>
      <c r="AC1140" s="489"/>
      <c r="AD1140" s="27">
        <v>410275</v>
      </c>
      <c r="AE1140" s="27" t="s">
        <v>2313</v>
      </c>
      <c r="AF1140" s="432">
        <f>VLOOKUP(AD1140,[5]Hoja1!$A$10:$K$1393,11,0)</f>
        <v>-32637000</v>
      </c>
      <c r="AG1140" s="432"/>
      <c r="AH1140" s="432">
        <f t="shared" si="284"/>
        <v>-32637</v>
      </c>
      <c r="AL1140" s="448"/>
      <c r="AM1140" s="467">
        <f>VLOOKUP(AD1140,[6]BV201101!$A$10:$A$1236,1,0)</f>
        <v>410275</v>
      </c>
    </row>
    <row r="1141" spans="1:39" s="467" customFormat="1" ht="12.75" customHeight="1">
      <c r="A1141" s="487" t="str">
        <f t="shared" si="285"/>
        <v>4</v>
      </c>
      <c r="B1141" s="487" t="str">
        <f t="shared" si="281"/>
        <v>10</v>
      </c>
      <c r="C1141" s="487" t="str">
        <f t="shared" si="282"/>
        <v>27</v>
      </c>
      <c r="D1141" s="487" t="str">
        <f t="shared" si="283"/>
        <v>0276</v>
      </c>
      <c r="E1141" s="487">
        <v>532100000</v>
      </c>
      <c r="F1141" s="488"/>
      <c r="G1141" s="489"/>
      <c r="H1141" s="489"/>
      <c r="I1141" s="488"/>
      <c r="J1141" s="487"/>
      <c r="K1141" s="487"/>
      <c r="L1141" s="488"/>
      <c r="M1141" s="487"/>
      <c r="N1141" s="487"/>
      <c r="O1141" s="488"/>
      <c r="P1141" s="489"/>
      <c r="Q1141" s="489"/>
      <c r="R1141" s="592"/>
      <c r="S1141" s="487"/>
      <c r="T1141" s="487"/>
      <c r="U1141" s="488"/>
      <c r="V1141" s="489"/>
      <c r="W1141" s="489"/>
      <c r="X1141" s="488"/>
      <c r="Y1141" s="489"/>
      <c r="Z1141" s="489"/>
      <c r="AA1141" s="490"/>
      <c r="AB1141" s="489"/>
      <c r="AC1141" s="489"/>
      <c r="AD1141" s="27">
        <v>410276</v>
      </c>
      <c r="AE1141" s="27" t="s">
        <v>1340</v>
      </c>
      <c r="AF1141" s="432">
        <f>VLOOKUP(AD1141,[5]Hoja1!$A$10:$K$1393,11,0)</f>
        <v>-40024870</v>
      </c>
      <c r="AG1141" s="432"/>
      <c r="AH1141" s="432">
        <f t="shared" si="284"/>
        <v>-40025</v>
      </c>
      <c r="AL1141" s="448"/>
      <c r="AM1141" s="467">
        <f>VLOOKUP(AD1141,[6]BV201101!$A$10:$A$1236,1,0)</f>
        <v>410276</v>
      </c>
    </row>
    <row r="1142" spans="1:39" s="467" customFormat="1" ht="12.75" customHeight="1">
      <c r="A1142" s="487" t="str">
        <f t="shared" si="285"/>
        <v>4</v>
      </c>
      <c r="B1142" s="487" t="str">
        <f t="shared" si="281"/>
        <v>10</v>
      </c>
      <c r="C1142" s="487" t="str">
        <f t="shared" si="282"/>
        <v>27</v>
      </c>
      <c r="D1142" s="487" t="str">
        <f t="shared" si="283"/>
        <v>0277</v>
      </c>
      <c r="E1142" s="487">
        <v>532400000</v>
      </c>
      <c r="F1142" s="488"/>
      <c r="G1142" s="489"/>
      <c r="H1142" s="489"/>
      <c r="I1142" s="488"/>
      <c r="J1142" s="487"/>
      <c r="K1142" s="487"/>
      <c r="L1142" s="488"/>
      <c r="M1142" s="487"/>
      <c r="N1142" s="487"/>
      <c r="O1142" s="488"/>
      <c r="P1142" s="489"/>
      <c r="Q1142" s="489"/>
      <c r="R1142" s="592"/>
      <c r="S1142" s="487"/>
      <c r="T1142" s="487"/>
      <c r="U1142" s="488"/>
      <c r="V1142" s="489"/>
      <c r="W1142" s="489"/>
      <c r="X1142" s="488"/>
      <c r="Y1142" s="489"/>
      <c r="Z1142" s="489"/>
      <c r="AA1142" s="490"/>
      <c r="AB1142" s="489"/>
      <c r="AC1142" s="489"/>
      <c r="AD1142" s="27">
        <v>410277</v>
      </c>
      <c r="AE1142" s="27" t="s">
        <v>1341</v>
      </c>
      <c r="AF1142" s="432">
        <f>VLOOKUP(AD1142,[5]Hoja1!$A$10:$K$1393,11,0)</f>
        <v>-4034350722</v>
      </c>
      <c r="AG1142" s="432"/>
      <c r="AH1142" s="432">
        <f t="shared" si="284"/>
        <v>-4034351</v>
      </c>
      <c r="AL1142" s="448"/>
      <c r="AM1142" s="467">
        <f>VLOOKUP(AD1142,[6]BV201101!$A$10:$A$1236,1,0)</f>
        <v>410277</v>
      </c>
    </row>
    <row r="1143" spans="1:39" s="467" customFormat="1" ht="12.75" customHeight="1">
      <c r="A1143" s="487" t="str">
        <f t="shared" si="285"/>
        <v>4</v>
      </c>
      <c r="B1143" s="487" t="str">
        <f t="shared" si="281"/>
        <v>10</v>
      </c>
      <c r="C1143" s="487" t="str">
        <f t="shared" si="282"/>
        <v>27</v>
      </c>
      <c r="D1143" s="487" t="str">
        <f t="shared" si="283"/>
        <v>0278</v>
      </c>
      <c r="E1143" s="487">
        <v>532400000</v>
      </c>
      <c r="F1143" s="488"/>
      <c r="G1143" s="489"/>
      <c r="H1143" s="489"/>
      <c r="I1143" s="488"/>
      <c r="J1143" s="487"/>
      <c r="K1143" s="487"/>
      <c r="L1143" s="488"/>
      <c r="M1143" s="487"/>
      <c r="N1143" s="487"/>
      <c r="O1143" s="488"/>
      <c r="P1143" s="489"/>
      <c r="Q1143" s="489"/>
      <c r="R1143" s="592"/>
      <c r="S1143" s="487"/>
      <c r="T1143" s="487"/>
      <c r="U1143" s="488"/>
      <c r="V1143" s="489"/>
      <c r="W1143" s="489"/>
      <c r="X1143" s="488"/>
      <c r="Y1143" s="489"/>
      <c r="Z1143" s="489"/>
      <c r="AA1143" s="490"/>
      <c r="AB1143" s="489"/>
      <c r="AC1143" s="489"/>
      <c r="AD1143" s="27">
        <v>410278</v>
      </c>
      <c r="AE1143" s="27" t="s">
        <v>2314</v>
      </c>
      <c r="AF1143" s="432">
        <f>VLOOKUP(AD1143,[5]Hoja1!$A$10:$K$1393,11,0)</f>
        <v>-418334714</v>
      </c>
      <c r="AG1143" s="432"/>
      <c r="AH1143" s="432">
        <f t="shared" si="284"/>
        <v>-418335</v>
      </c>
      <c r="AL1143" s="448"/>
      <c r="AM1143" s="467">
        <f>VLOOKUP(AD1143,[6]BV201101!$A$10:$A$1236,1,0)</f>
        <v>410278</v>
      </c>
    </row>
    <row r="1144" spans="1:39" s="467" customFormat="1" ht="12.75" customHeight="1">
      <c r="A1144" s="487" t="str">
        <f t="shared" si="285"/>
        <v>4</v>
      </c>
      <c r="B1144" s="487" t="str">
        <f t="shared" si="281"/>
        <v>10</v>
      </c>
      <c r="C1144" s="487" t="str">
        <f t="shared" si="282"/>
        <v>27</v>
      </c>
      <c r="D1144" s="487" t="str">
        <f t="shared" si="283"/>
        <v>0279</v>
      </c>
      <c r="E1144" s="487">
        <v>532400000</v>
      </c>
      <c r="F1144" s="488"/>
      <c r="G1144" s="489"/>
      <c r="H1144" s="489"/>
      <c r="I1144" s="488"/>
      <c r="J1144" s="487"/>
      <c r="K1144" s="487"/>
      <c r="L1144" s="488"/>
      <c r="M1144" s="487"/>
      <c r="N1144" s="487"/>
      <c r="O1144" s="488"/>
      <c r="P1144" s="489"/>
      <c r="Q1144" s="489"/>
      <c r="R1144" s="592"/>
      <c r="S1144" s="487"/>
      <c r="T1144" s="487"/>
      <c r="U1144" s="488"/>
      <c r="V1144" s="489"/>
      <c r="W1144" s="489"/>
      <c r="X1144" s="488"/>
      <c r="Y1144" s="489"/>
      <c r="Z1144" s="489"/>
      <c r="AA1144" s="490"/>
      <c r="AB1144" s="489"/>
      <c r="AC1144" s="489"/>
      <c r="AD1144" s="27">
        <v>410279</v>
      </c>
      <c r="AE1144" s="27" t="s">
        <v>1594</v>
      </c>
      <c r="AF1144" s="432">
        <f>VLOOKUP(AD1144,[5]Hoja1!$A$10:$K$1393,11,0)</f>
        <v>-172672097</v>
      </c>
      <c r="AG1144" s="432"/>
      <c r="AH1144" s="432">
        <f t="shared" si="284"/>
        <v>-172672</v>
      </c>
      <c r="AL1144" s="448"/>
      <c r="AM1144" s="467">
        <f>VLOOKUP(AD1144,[6]BV201101!$A$10:$A$1236,1,0)</f>
        <v>410279</v>
      </c>
    </row>
    <row r="1145" spans="1:39" s="467" customFormat="1" ht="12.75" customHeight="1">
      <c r="A1145" s="487" t="str">
        <f t="shared" si="285"/>
        <v>4</v>
      </c>
      <c r="B1145" s="487" t="str">
        <f t="shared" si="281"/>
        <v>10</v>
      </c>
      <c r="C1145" s="487" t="str">
        <f t="shared" si="282"/>
        <v>28</v>
      </c>
      <c r="D1145" s="487" t="str">
        <f t="shared" si="283"/>
        <v>0280</v>
      </c>
      <c r="E1145" s="487">
        <v>532100000</v>
      </c>
      <c r="F1145" s="488"/>
      <c r="G1145" s="489"/>
      <c r="H1145" s="489"/>
      <c r="I1145" s="488"/>
      <c r="J1145" s="487"/>
      <c r="K1145" s="487"/>
      <c r="L1145" s="488"/>
      <c r="M1145" s="487"/>
      <c r="N1145" s="487"/>
      <c r="O1145" s="488"/>
      <c r="P1145" s="489"/>
      <c r="Q1145" s="489"/>
      <c r="R1145" s="592"/>
      <c r="S1145" s="487"/>
      <c r="T1145" s="487"/>
      <c r="U1145" s="488"/>
      <c r="V1145" s="489"/>
      <c r="W1145" s="489"/>
      <c r="X1145" s="488"/>
      <c r="Y1145" s="489"/>
      <c r="Z1145" s="489"/>
      <c r="AA1145" s="490"/>
      <c r="AB1145" s="489"/>
      <c r="AC1145" s="489"/>
      <c r="AD1145" s="27">
        <v>410280</v>
      </c>
      <c r="AE1145" s="27" t="s">
        <v>1342</v>
      </c>
      <c r="AF1145" s="432">
        <f>VLOOKUP(AD1145,[5]Hoja1!$A$10:$K$1393,11,0)</f>
        <v>-344249592</v>
      </c>
      <c r="AG1145" s="432"/>
      <c r="AH1145" s="432">
        <f t="shared" si="284"/>
        <v>-344250</v>
      </c>
      <c r="AL1145" s="448"/>
      <c r="AM1145" s="467">
        <f>VLOOKUP(AD1145,[6]BV201101!$A$10:$A$1236,1,0)</f>
        <v>410280</v>
      </c>
    </row>
    <row r="1146" spans="1:39" s="467" customFormat="1" ht="12.75" customHeight="1">
      <c r="A1146" s="487" t="str">
        <f t="shared" si="285"/>
        <v>4</v>
      </c>
      <c r="B1146" s="487" t="str">
        <f t="shared" si="281"/>
        <v>10</v>
      </c>
      <c r="C1146" s="487" t="str">
        <f t="shared" si="282"/>
        <v>28</v>
      </c>
      <c r="D1146" s="487" t="str">
        <f t="shared" si="283"/>
        <v>0281</v>
      </c>
      <c r="E1146" s="487">
        <v>532100000</v>
      </c>
      <c r="F1146" s="488"/>
      <c r="G1146" s="489"/>
      <c r="H1146" s="489"/>
      <c r="I1146" s="488"/>
      <c r="J1146" s="487"/>
      <c r="K1146" s="487"/>
      <c r="L1146" s="488"/>
      <c r="M1146" s="487"/>
      <c r="N1146" s="487"/>
      <c r="O1146" s="488"/>
      <c r="P1146" s="489"/>
      <c r="Q1146" s="489"/>
      <c r="R1146" s="592"/>
      <c r="S1146" s="487"/>
      <c r="T1146" s="487"/>
      <c r="U1146" s="488"/>
      <c r="V1146" s="489"/>
      <c r="W1146" s="489"/>
      <c r="X1146" s="488"/>
      <c r="Y1146" s="489"/>
      <c r="Z1146" s="489"/>
      <c r="AA1146" s="490"/>
      <c r="AB1146" s="489"/>
      <c r="AC1146" s="489"/>
      <c r="AD1146" s="27">
        <v>410281</v>
      </c>
      <c r="AE1146" s="27" t="s">
        <v>2315</v>
      </c>
      <c r="AF1146" s="432">
        <f>VLOOKUP(AD1146,[5]Hoja1!$A$10:$K$1393,11,0)</f>
        <v>0</v>
      </c>
      <c r="AG1146" s="432"/>
      <c r="AH1146" s="432">
        <f t="shared" si="284"/>
        <v>0</v>
      </c>
      <c r="AL1146" s="448"/>
      <c r="AM1146" s="467">
        <f>VLOOKUP(AD1146,[6]BV201101!$A$10:$A$1236,1,0)</f>
        <v>410281</v>
      </c>
    </row>
    <row r="1147" spans="1:39" s="467" customFormat="1" ht="12.75" customHeight="1">
      <c r="A1147" s="487" t="str">
        <f t="shared" si="285"/>
        <v>4</v>
      </c>
      <c r="B1147" s="487" t="str">
        <f t="shared" si="281"/>
        <v>10</v>
      </c>
      <c r="C1147" s="487" t="str">
        <f t="shared" si="282"/>
        <v>28</v>
      </c>
      <c r="D1147" s="487" t="str">
        <f t="shared" si="283"/>
        <v>0282</v>
      </c>
      <c r="E1147" s="487">
        <v>532100000</v>
      </c>
      <c r="F1147" s="488"/>
      <c r="G1147" s="489"/>
      <c r="H1147" s="489"/>
      <c r="I1147" s="488"/>
      <c r="J1147" s="487"/>
      <c r="K1147" s="487"/>
      <c r="L1147" s="488"/>
      <c r="M1147" s="487"/>
      <c r="N1147" s="487"/>
      <c r="O1147" s="488"/>
      <c r="P1147" s="489"/>
      <c r="Q1147" s="489"/>
      <c r="R1147" s="592"/>
      <c r="S1147" s="487"/>
      <c r="T1147" s="487"/>
      <c r="U1147" s="488"/>
      <c r="V1147" s="489"/>
      <c r="W1147" s="489"/>
      <c r="X1147" s="488"/>
      <c r="Y1147" s="489"/>
      <c r="Z1147" s="489"/>
      <c r="AA1147" s="490"/>
      <c r="AB1147" s="489"/>
      <c r="AC1147" s="489"/>
      <c r="AD1147" s="27">
        <v>410282</v>
      </c>
      <c r="AE1147" s="27" t="s">
        <v>2316</v>
      </c>
      <c r="AF1147" s="432">
        <f>VLOOKUP(AD1147,[5]Hoja1!$A$10:$K$1393,11,0)</f>
        <v>0</v>
      </c>
      <c r="AG1147" s="432"/>
      <c r="AH1147" s="432">
        <f t="shared" si="284"/>
        <v>0</v>
      </c>
      <c r="AL1147" s="448"/>
      <c r="AM1147" s="467">
        <f>VLOOKUP(AD1147,[6]BV201101!$A$10:$A$1236,1,0)</f>
        <v>410282</v>
      </c>
    </row>
    <row r="1148" spans="1:39" s="467" customFormat="1" ht="12.75" customHeight="1">
      <c r="A1148" s="487" t="str">
        <f t="shared" si="285"/>
        <v>4</v>
      </c>
      <c r="B1148" s="487" t="str">
        <f t="shared" si="281"/>
        <v>10</v>
      </c>
      <c r="C1148" s="487" t="str">
        <f t="shared" si="282"/>
        <v>28</v>
      </c>
      <c r="D1148" s="487" t="str">
        <f t="shared" si="283"/>
        <v>0283</v>
      </c>
      <c r="E1148" s="487">
        <v>532100000</v>
      </c>
      <c r="F1148" s="488"/>
      <c r="G1148" s="489"/>
      <c r="H1148" s="489"/>
      <c r="I1148" s="488"/>
      <c r="J1148" s="487"/>
      <c r="K1148" s="487"/>
      <c r="L1148" s="488"/>
      <c r="M1148" s="487"/>
      <c r="N1148" s="487"/>
      <c r="O1148" s="488"/>
      <c r="P1148" s="489"/>
      <c r="Q1148" s="489"/>
      <c r="R1148" s="592"/>
      <c r="S1148" s="487"/>
      <c r="T1148" s="487"/>
      <c r="U1148" s="488"/>
      <c r="V1148" s="489"/>
      <c r="W1148" s="489"/>
      <c r="X1148" s="488"/>
      <c r="Y1148" s="489"/>
      <c r="Z1148" s="489"/>
      <c r="AA1148" s="490"/>
      <c r="AB1148" s="489"/>
      <c r="AC1148" s="489"/>
      <c r="AD1148" s="27">
        <v>410283</v>
      </c>
      <c r="AE1148" s="27" t="s">
        <v>383</v>
      </c>
      <c r="AF1148" s="432">
        <f>VLOOKUP(AD1148,[5]Hoja1!$A$10:$K$1393,11,0)</f>
        <v>-1641625235</v>
      </c>
      <c r="AG1148" s="432"/>
      <c r="AH1148" s="432">
        <f t="shared" si="284"/>
        <v>-1641625</v>
      </c>
      <c r="AL1148" s="448"/>
      <c r="AM1148" s="467">
        <f>VLOOKUP(AD1148,[6]BV201101!$A$10:$A$1236,1,0)</f>
        <v>410283</v>
      </c>
    </row>
    <row r="1149" spans="1:39" s="467" customFormat="1" ht="12.75" customHeight="1">
      <c r="A1149" s="487" t="str">
        <f t="shared" si="285"/>
        <v>4</v>
      </c>
      <c r="B1149" s="487" t="str">
        <f t="shared" si="281"/>
        <v>10</v>
      </c>
      <c r="C1149" s="487" t="str">
        <f t="shared" si="282"/>
        <v>28</v>
      </c>
      <c r="D1149" s="487" t="str">
        <f t="shared" si="283"/>
        <v>0284</v>
      </c>
      <c r="E1149" s="487">
        <v>532100000</v>
      </c>
      <c r="F1149" s="488"/>
      <c r="G1149" s="489"/>
      <c r="H1149" s="489"/>
      <c r="I1149" s="488"/>
      <c r="J1149" s="487"/>
      <c r="K1149" s="487"/>
      <c r="L1149" s="488"/>
      <c r="M1149" s="487"/>
      <c r="N1149" s="487"/>
      <c r="O1149" s="488"/>
      <c r="P1149" s="489"/>
      <c r="Q1149" s="489"/>
      <c r="R1149" s="592"/>
      <c r="S1149" s="487"/>
      <c r="T1149" s="487"/>
      <c r="U1149" s="488"/>
      <c r="V1149" s="489"/>
      <c r="W1149" s="489"/>
      <c r="X1149" s="488"/>
      <c r="Y1149" s="489"/>
      <c r="Z1149" s="489"/>
      <c r="AA1149" s="490"/>
      <c r="AB1149" s="489"/>
      <c r="AC1149" s="489"/>
      <c r="AD1149" s="27">
        <v>410284</v>
      </c>
      <c r="AE1149" s="27" t="s">
        <v>2317</v>
      </c>
      <c r="AF1149" s="432">
        <f>VLOOKUP(AD1149,[5]Hoja1!$A$10:$K$1393,11,0)</f>
        <v>-422633605</v>
      </c>
      <c r="AG1149" s="432"/>
      <c r="AH1149" s="432">
        <f t="shared" si="284"/>
        <v>-422634</v>
      </c>
      <c r="AL1149" s="448"/>
      <c r="AM1149" s="467">
        <f>VLOOKUP(AD1149,[6]BV201101!$A$10:$A$1236,1,0)</f>
        <v>410284</v>
      </c>
    </row>
    <row r="1150" spans="1:39" s="467" customFormat="1" ht="12.75" customHeight="1">
      <c r="A1150" s="487" t="str">
        <f t="shared" si="285"/>
        <v>4</v>
      </c>
      <c r="B1150" s="487" t="str">
        <f t="shared" si="281"/>
        <v>10</v>
      </c>
      <c r="C1150" s="487" t="str">
        <f t="shared" si="282"/>
        <v>28</v>
      </c>
      <c r="D1150" s="487" t="str">
        <f t="shared" si="283"/>
        <v>0285</v>
      </c>
      <c r="E1150" s="487">
        <v>532100000</v>
      </c>
      <c r="F1150" s="488"/>
      <c r="G1150" s="489"/>
      <c r="H1150" s="489"/>
      <c r="I1150" s="488"/>
      <c r="J1150" s="487"/>
      <c r="K1150" s="487"/>
      <c r="L1150" s="488"/>
      <c r="M1150" s="487"/>
      <c r="N1150" s="487"/>
      <c r="O1150" s="488"/>
      <c r="P1150" s="489"/>
      <c r="Q1150" s="489"/>
      <c r="R1150" s="592"/>
      <c r="S1150" s="487"/>
      <c r="T1150" s="487"/>
      <c r="U1150" s="488"/>
      <c r="V1150" s="489"/>
      <c r="W1150" s="489"/>
      <c r="X1150" s="488"/>
      <c r="Y1150" s="489"/>
      <c r="Z1150" s="489"/>
      <c r="AA1150" s="490"/>
      <c r="AB1150" s="489"/>
      <c r="AC1150" s="489"/>
      <c r="AD1150" s="27">
        <v>410285</v>
      </c>
      <c r="AE1150" s="27" t="s">
        <v>384</v>
      </c>
      <c r="AF1150" s="432">
        <f>VLOOKUP(AD1150,[5]Hoja1!$A$10:$K$1393,11,0)</f>
        <v>-167256453</v>
      </c>
      <c r="AG1150" s="432"/>
      <c r="AH1150" s="432">
        <f t="shared" si="284"/>
        <v>-167256</v>
      </c>
      <c r="AL1150" s="448"/>
      <c r="AM1150" s="467">
        <f>VLOOKUP(AD1150,[6]BV201101!$A$10:$A$1236,1,0)</f>
        <v>410285</v>
      </c>
    </row>
    <row r="1151" spans="1:39" s="467" customFormat="1" ht="12.75" customHeight="1">
      <c r="A1151" s="487" t="str">
        <f t="shared" si="285"/>
        <v>4</v>
      </c>
      <c r="B1151" s="487" t="str">
        <f t="shared" si="281"/>
        <v>10</v>
      </c>
      <c r="C1151" s="487" t="str">
        <f t="shared" si="282"/>
        <v>28</v>
      </c>
      <c r="D1151" s="487" t="str">
        <f t="shared" si="283"/>
        <v>0286</v>
      </c>
      <c r="E1151" s="487">
        <v>532100000</v>
      </c>
      <c r="F1151" s="488"/>
      <c r="G1151" s="489"/>
      <c r="H1151" s="489"/>
      <c r="I1151" s="488"/>
      <c r="J1151" s="487"/>
      <c r="K1151" s="487"/>
      <c r="L1151" s="488"/>
      <c r="M1151" s="487"/>
      <c r="N1151" s="487"/>
      <c r="O1151" s="488"/>
      <c r="P1151" s="489"/>
      <c r="Q1151" s="489"/>
      <c r="R1151" s="592"/>
      <c r="S1151" s="487"/>
      <c r="T1151" s="487"/>
      <c r="U1151" s="488"/>
      <c r="V1151" s="489"/>
      <c r="W1151" s="489"/>
      <c r="X1151" s="488"/>
      <c r="Y1151" s="489"/>
      <c r="Z1151" s="489"/>
      <c r="AA1151" s="490"/>
      <c r="AB1151" s="489"/>
      <c r="AC1151" s="489"/>
      <c r="AD1151" s="27">
        <v>410286</v>
      </c>
      <c r="AE1151" s="27" t="s">
        <v>385</v>
      </c>
      <c r="AF1151" s="432">
        <f>VLOOKUP(AD1151,[5]Hoja1!$A$10:$K$1393,11,0)</f>
        <v>-1026768428</v>
      </c>
      <c r="AG1151" s="432"/>
      <c r="AH1151" s="432">
        <f t="shared" si="284"/>
        <v>-1026768</v>
      </c>
      <c r="AL1151" s="448"/>
      <c r="AM1151" s="467">
        <f>VLOOKUP(AD1151,[6]BV201101!$A$10:$A$1236,1,0)</f>
        <v>410286</v>
      </c>
    </row>
    <row r="1152" spans="1:39" s="467" customFormat="1" ht="12.75" customHeight="1">
      <c r="A1152" s="487" t="str">
        <f t="shared" si="285"/>
        <v>4</v>
      </c>
      <c r="B1152" s="487" t="str">
        <f t="shared" si="281"/>
        <v>10</v>
      </c>
      <c r="C1152" s="487" t="str">
        <f t="shared" si="282"/>
        <v>28</v>
      </c>
      <c r="D1152" s="487" t="str">
        <f t="shared" si="283"/>
        <v>0287</v>
      </c>
      <c r="E1152" s="487">
        <v>532100000</v>
      </c>
      <c r="F1152" s="488"/>
      <c r="G1152" s="489"/>
      <c r="H1152" s="489"/>
      <c r="I1152" s="488"/>
      <c r="J1152" s="487"/>
      <c r="K1152" s="487"/>
      <c r="L1152" s="488"/>
      <c r="M1152" s="487"/>
      <c r="N1152" s="487"/>
      <c r="O1152" s="488"/>
      <c r="P1152" s="489"/>
      <c r="Q1152" s="489"/>
      <c r="R1152" s="592"/>
      <c r="S1152" s="487"/>
      <c r="T1152" s="487"/>
      <c r="U1152" s="488"/>
      <c r="V1152" s="489"/>
      <c r="W1152" s="489"/>
      <c r="X1152" s="488"/>
      <c r="Y1152" s="489"/>
      <c r="Z1152" s="489"/>
      <c r="AA1152" s="490"/>
      <c r="AB1152" s="489"/>
      <c r="AC1152" s="489"/>
      <c r="AD1152" s="27">
        <v>410287</v>
      </c>
      <c r="AE1152" s="27" t="s">
        <v>2318</v>
      </c>
      <c r="AF1152" s="432">
        <f>VLOOKUP(AD1152,[5]Hoja1!$A$10:$K$1393,11,0)</f>
        <v>-65299697</v>
      </c>
      <c r="AG1152" s="432"/>
      <c r="AH1152" s="432">
        <f t="shared" si="284"/>
        <v>-65300</v>
      </c>
      <c r="AL1152" s="448"/>
      <c r="AM1152" s="467">
        <f>VLOOKUP(AD1152,[6]BV201101!$A$10:$A$1236,1,0)</f>
        <v>410287</v>
      </c>
    </row>
    <row r="1153" spans="1:39" s="467" customFormat="1" ht="12.75" customHeight="1">
      <c r="A1153" s="487" t="str">
        <f t="shared" si="285"/>
        <v>4</v>
      </c>
      <c r="B1153" s="487" t="str">
        <f t="shared" si="281"/>
        <v>10</v>
      </c>
      <c r="C1153" s="487" t="str">
        <f t="shared" si="282"/>
        <v>28</v>
      </c>
      <c r="D1153" s="487" t="str">
        <f t="shared" si="283"/>
        <v>0288</v>
      </c>
      <c r="E1153" s="487">
        <v>532100000</v>
      </c>
      <c r="F1153" s="488"/>
      <c r="G1153" s="489"/>
      <c r="H1153" s="489"/>
      <c r="I1153" s="488"/>
      <c r="J1153" s="487"/>
      <c r="K1153" s="487"/>
      <c r="L1153" s="488"/>
      <c r="M1153" s="487"/>
      <c r="N1153" s="487"/>
      <c r="O1153" s="488"/>
      <c r="P1153" s="489"/>
      <c r="Q1153" s="489"/>
      <c r="R1153" s="592"/>
      <c r="S1153" s="487"/>
      <c r="T1153" s="487"/>
      <c r="U1153" s="488"/>
      <c r="V1153" s="489"/>
      <c r="W1153" s="489"/>
      <c r="X1153" s="488"/>
      <c r="Y1153" s="489"/>
      <c r="Z1153" s="489"/>
      <c r="AA1153" s="490"/>
      <c r="AB1153" s="489"/>
      <c r="AC1153" s="489"/>
      <c r="AD1153" s="27">
        <v>410288</v>
      </c>
      <c r="AE1153" s="27" t="s">
        <v>386</v>
      </c>
      <c r="AF1153" s="432">
        <f>VLOOKUP(AD1153,[5]Hoja1!$A$10:$K$1393,11,0)</f>
        <v>-23574419</v>
      </c>
      <c r="AG1153" s="432"/>
      <c r="AH1153" s="432">
        <f t="shared" si="284"/>
        <v>-23574</v>
      </c>
      <c r="AL1153" s="448"/>
      <c r="AM1153" s="467">
        <f>VLOOKUP(AD1153,[6]BV201101!$A$10:$A$1236,1,0)</f>
        <v>410288</v>
      </c>
    </row>
    <row r="1154" spans="1:39" s="467" customFormat="1" ht="12.75" customHeight="1">
      <c r="A1154" s="487" t="str">
        <f t="shared" si="285"/>
        <v>4</v>
      </c>
      <c r="B1154" s="487" t="str">
        <f t="shared" si="281"/>
        <v>10</v>
      </c>
      <c r="C1154" s="487" t="str">
        <f t="shared" si="282"/>
        <v>28</v>
      </c>
      <c r="D1154" s="487" t="str">
        <f t="shared" si="283"/>
        <v>0289</v>
      </c>
      <c r="E1154" s="487">
        <v>532100000</v>
      </c>
      <c r="F1154" s="488"/>
      <c r="G1154" s="489"/>
      <c r="H1154" s="489"/>
      <c r="I1154" s="488"/>
      <c r="J1154" s="487"/>
      <c r="K1154" s="487"/>
      <c r="L1154" s="488"/>
      <c r="M1154" s="487"/>
      <c r="N1154" s="487"/>
      <c r="O1154" s="488"/>
      <c r="P1154" s="489"/>
      <c r="Q1154" s="489"/>
      <c r="R1154" s="592"/>
      <c r="S1154" s="487"/>
      <c r="T1154" s="487"/>
      <c r="U1154" s="488"/>
      <c r="V1154" s="489"/>
      <c r="W1154" s="489"/>
      <c r="X1154" s="488"/>
      <c r="Y1154" s="489"/>
      <c r="Z1154" s="489"/>
      <c r="AA1154" s="490"/>
      <c r="AB1154" s="489"/>
      <c r="AC1154" s="489"/>
      <c r="AD1154" s="27">
        <v>410289</v>
      </c>
      <c r="AE1154" s="27" t="s">
        <v>2319</v>
      </c>
      <c r="AF1154" s="432">
        <f>VLOOKUP(AD1154,[5]Hoja1!$A$10:$K$1393,11,0)</f>
        <v>-18217408</v>
      </c>
      <c r="AG1154" s="432"/>
      <c r="AH1154" s="432">
        <f t="shared" si="284"/>
        <v>-18217</v>
      </c>
      <c r="AL1154" s="448"/>
      <c r="AM1154" s="467">
        <f>VLOOKUP(AD1154,[6]BV201101!$A$10:$A$1236,1,0)</f>
        <v>410289</v>
      </c>
    </row>
    <row r="1155" spans="1:39" s="467" customFormat="1" ht="12.75" customHeight="1">
      <c r="A1155" s="487" t="str">
        <f t="shared" si="285"/>
        <v>4</v>
      </c>
      <c r="B1155" s="487" t="str">
        <f t="shared" si="281"/>
        <v>10</v>
      </c>
      <c r="C1155" s="487" t="str">
        <f t="shared" si="282"/>
        <v>29</v>
      </c>
      <c r="D1155" s="487" t="str">
        <f t="shared" si="283"/>
        <v>0290</v>
      </c>
      <c r="E1155" s="487">
        <v>532100000</v>
      </c>
      <c r="F1155" s="488"/>
      <c r="G1155" s="489"/>
      <c r="H1155" s="489"/>
      <c r="I1155" s="488"/>
      <c r="J1155" s="487"/>
      <c r="K1155" s="487"/>
      <c r="L1155" s="488"/>
      <c r="M1155" s="487"/>
      <c r="N1155" s="487"/>
      <c r="O1155" s="488"/>
      <c r="P1155" s="489"/>
      <c r="Q1155" s="489"/>
      <c r="R1155" s="592"/>
      <c r="S1155" s="487"/>
      <c r="T1155" s="487"/>
      <c r="U1155" s="488"/>
      <c r="V1155" s="489"/>
      <c r="W1155" s="489"/>
      <c r="X1155" s="488"/>
      <c r="Y1155" s="489"/>
      <c r="Z1155" s="489"/>
      <c r="AA1155" s="490"/>
      <c r="AB1155" s="489"/>
      <c r="AC1155" s="489"/>
      <c r="AD1155" s="27">
        <v>410290</v>
      </c>
      <c r="AE1155" s="27" t="s">
        <v>2320</v>
      </c>
      <c r="AF1155" s="432">
        <f>VLOOKUP(AD1155,[5]Hoja1!$A$10:$K$1393,11,0)</f>
        <v>-22332287</v>
      </c>
      <c r="AG1155" s="432"/>
      <c r="AH1155" s="432">
        <f t="shared" si="284"/>
        <v>-22332</v>
      </c>
      <c r="AL1155" s="448"/>
      <c r="AM1155" s="467">
        <f>VLOOKUP(AD1155,[6]BV201101!$A$10:$A$1236,1,0)</f>
        <v>410290</v>
      </c>
    </row>
    <row r="1156" spans="1:39" s="467" customFormat="1" ht="12.75" customHeight="1">
      <c r="A1156" s="487" t="str">
        <f t="shared" si="285"/>
        <v>4</v>
      </c>
      <c r="B1156" s="487" t="str">
        <f t="shared" si="281"/>
        <v>10</v>
      </c>
      <c r="C1156" s="487" t="str">
        <f t="shared" si="282"/>
        <v>29</v>
      </c>
      <c r="D1156" s="487" t="str">
        <f t="shared" si="283"/>
        <v>0291</v>
      </c>
      <c r="E1156" s="487">
        <v>532100000</v>
      </c>
      <c r="F1156" s="488"/>
      <c r="G1156" s="489"/>
      <c r="H1156" s="489"/>
      <c r="I1156" s="488"/>
      <c r="J1156" s="487"/>
      <c r="K1156" s="487"/>
      <c r="L1156" s="488"/>
      <c r="M1156" s="487"/>
      <c r="N1156" s="487"/>
      <c r="O1156" s="488"/>
      <c r="P1156" s="489"/>
      <c r="Q1156" s="489"/>
      <c r="R1156" s="592"/>
      <c r="S1156" s="487"/>
      <c r="T1156" s="487"/>
      <c r="U1156" s="488"/>
      <c r="V1156" s="489"/>
      <c r="W1156" s="489"/>
      <c r="X1156" s="488"/>
      <c r="Y1156" s="489"/>
      <c r="Z1156" s="489"/>
      <c r="AA1156" s="490"/>
      <c r="AB1156" s="489"/>
      <c r="AC1156" s="489"/>
      <c r="AD1156" s="27">
        <v>410291</v>
      </c>
      <c r="AE1156" s="27" t="s">
        <v>196</v>
      </c>
      <c r="AF1156" s="432">
        <f>VLOOKUP(AD1156,[5]Hoja1!$A$10:$K$1393,11,0)</f>
        <v>-23739597</v>
      </c>
      <c r="AG1156" s="432"/>
      <c r="AH1156" s="432">
        <f t="shared" si="284"/>
        <v>-23740</v>
      </c>
      <c r="AL1156" s="448"/>
      <c r="AM1156" s="467">
        <f>VLOOKUP(AD1156,[6]BV201101!$A$10:$A$1236,1,0)</f>
        <v>410291</v>
      </c>
    </row>
    <row r="1157" spans="1:39" s="467" customFormat="1" ht="12.75" customHeight="1">
      <c r="A1157" s="487" t="str">
        <f t="shared" si="285"/>
        <v>4</v>
      </c>
      <c r="B1157" s="487" t="str">
        <f t="shared" si="281"/>
        <v>10</v>
      </c>
      <c r="C1157" s="487" t="str">
        <f t="shared" si="282"/>
        <v>29</v>
      </c>
      <c r="D1157" s="487" t="str">
        <f t="shared" si="283"/>
        <v>0292</v>
      </c>
      <c r="E1157" s="487">
        <v>532100000</v>
      </c>
      <c r="F1157" s="488"/>
      <c r="G1157" s="489"/>
      <c r="H1157" s="489"/>
      <c r="I1157" s="488"/>
      <c r="J1157" s="487"/>
      <c r="K1157" s="487"/>
      <c r="L1157" s="488"/>
      <c r="M1157" s="487"/>
      <c r="N1157" s="487"/>
      <c r="O1157" s="488"/>
      <c r="P1157" s="489"/>
      <c r="Q1157" s="489"/>
      <c r="R1157" s="592"/>
      <c r="S1157" s="487"/>
      <c r="T1157" s="487"/>
      <c r="U1157" s="488"/>
      <c r="V1157" s="489"/>
      <c r="W1157" s="489"/>
      <c r="X1157" s="488"/>
      <c r="Y1157" s="489"/>
      <c r="Z1157" s="489"/>
      <c r="AA1157" s="490"/>
      <c r="AB1157" s="489"/>
      <c r="AC1157" s="489"/>
      <c r="AD1157" s="27">
        <v>410292</v>
      </c>
      <c r="AE1157" s="27" t="s">
        <v>2321</v>
      </c>
      <c r="AF1157" s="432">
        <f>VLOOKUP(AD1157,[5]Hoja1!$A$10:$K$1393,11,0)</f>
        <v>0</v>
      </c>
      <c r="AG1157" s="432"/>
      <c r="AH1157" s="432">
        <f t="shared" si="284"/>
        <v>0</v>
      </c>
      <c r="AL1157" s="448"/>
      <c r="AM1157" s="467">
        <f>VLOOKUP(AD1157,[6]BV201101!$A$10:$A$1236,1,0)</f>
        <v>410292</v>
      </c>
    </row>
    <row r="1158" spans="1:39" s="467" customFormat="1" ht="12.75" customHeight="1">
      <c r="A1158" s="487" t="str">
        <f t="shared" si="285"/>
        <v>4</v>
      </c>
      <c r="B1158" s="487" t="str">
        <f t="shared" si="281"/>
        <v>10</v>
      </c>
      <c r="C1158" s="487" t="str">
        <f t="shared" si="282"/>
        <v>29</v>
      </c>
      <c r="D1158" s="487" t="str">
        <f t="shared" si="283"/>
        <v>0293</v>
      </c>
      <c r="E1158" s="487">
        <v>532100000</v>
      </c>
      <c r="F1158" s="488"/>
      <c r="G1158" s="489"/>
      <c r="H1158" s="489"/>
      <c r="I1158" s="488"/>
      <c r="J1158" s="487"/>
      <c r="K1158" s="487"/>
      <c r="L1158" s="488"/>
      <c r="M1158" s="487"/>
      <c r="N1158" s="487"/>
      <c r="O1158" s="488"/>
      <c r="P1158" s="489"/>
      <c r="Q1158" s="489"/>
      <c r="R1158" s="592"/>
      <c r="S1158" s="487"/>
      <c r="T1158" s="487"/>
      <c r="U1158" s="488"/>
      <c r="V1158" s="489"/>
      <c r="W1158" s="489"/>
      <c r="X1158" s="488"/>
      <c r="Y1158" s="489"/>
      <c r="Z1158" s="489"/>
      <c r="AA1158" s="490"/>
      <c r="AB1158" s="489"/>
      <c r="AC1158" s="489"/>
      <c r="AD1158" s="27">
        <v>410293</v>
      </c>
      <c r="AE1158" s="27" t="s">
        <v>197</v>
      </c>
      <c r="AF1158" s="432">
        <f>VLOOKUP(AD1158,[5]Hoja1!$A$10:$K$1393,11,0)</f>
        <v>0</v>
      </c>
      <c r="AG1158" s="432"/>
      <c r="AH1158" s="432">
        <f t="shared" si="284"/>
        <v>0</v>
      </c>
      <c r="AL1158" s="448"/>
      <c r="AM1158" s="467">
        <f>VLOOKUP(AD1158,[6]BV201101!$A$10:$A$1236,1,0)</f>
        <v>410293</v>
      </c>
    </row>
    <row r="1159" spans="1:39" s="467" customFormat="1" ht="12.75" customHeight="1">
      <c r="A1159" s="487" t="str">
        <f t="shared" si="285"/>
        <v>4</v>
      </c>
      <c r="B1159" s="487" t="str">
        <f t="shared" si="281"/>
        <v>10</v>
      </c>
      <c r="C1159" s="487" t="str">
        <f t="shared" si="282"/>
        <v>29</v>
      </c>
      <c r="D1159" s="487" t="str">
        <f t="shared" si="283"/>
        <v>0294</v>
      </c>
      <c r="E1159" s="487">
        <v>532100000</v>
      </c>
      <c r="F1159" s="488"/>
      <c r="G1159" s="489"/>
      <c r="H1159" s="489"/>
      <c r="I1159" s="488"/>
      <c r="J1159" s="487"/>
      <c r="K1159" s="487"/>
      <c r="L1159" s="488"/>
      <c r="M1159" s="487"/>
      <c r="N1159" s="487"/>
      <c r="O1159" s="488"/>
      <c r="P1159" s="489"/>
      <c r="Q1159" s="489"/>
      <c r="R1159" s="592"/>
      <c r="S1159" s="487"/>
      <c r="T1159" s="487"/>
      <c r="U1159" s="488"/>
      <c r="V1159" s="489"/>
      <c r="W1159" s="489"/>
      <c r="X1159" s="488"/>
      <c r="Y1159" s="489"/>
      <c r="Z1159" s="489"/>
      <c r="AA1159" s="490"/>
      <c r="AB1159" s="489"/>
      <c r="AC1159" s="489"/>
      <c r="AD1159" s="27">
        <v>410294</v>
      </c>
      <c r="AE1159" s="27" t="s">
        <v>2322</v>
      </c>
      <c r="AF1159" s="432">
        <f>VLOOKUP(AD1159,[5]Hoja1!$A$10:$K$1393,11,0)</f>
        <v>-101447403</v>
      </c>
      <c r="AG1159" s="432"/>
      <c r="AH1159" s="432">
        <f t="shared" si="284"/>
        <v>-101447</v>
      </c>
      <c r="AL1159" s="448"/>
      <c r="AM1159" s="467">
        <f>VLOOKUP(AD1159,[6]BV201101!$A$10:$A$1236,1,0)</f>
        <v>410294</v>
      </c>
    </row>
    <row r="1160" spans="1:39" s="467" customFormat="1" ht="12.75" customHeight="1">
      <c r="A1160" s="487" t="str">
        <f t="shared" si="285"/>
        <v>4</v>
      </c>
      <c r="B1160" s="487" t="str">
        <f t="shared" si="281"/>
        <v>10</v>
      </c>
      <c r="C1160" s="487" t="str">
        <f t="shared" si="282"/>
        <v>29</v>
      </c>
      <c r="D1160" s="487" t="str">
        <f t="shared" si="283"/>
        <v>0295</v>
      </c>
      <c r="E1160" s="487">
        <v>532100000</v>
      </c>
      <c r="F1160" s="488"/>
      <c r="G1160" s="489"/>
      <c r="H1160" s="489"/>
      <c r="I1160" s="488"/>
      <c r="J1160" s="487"/>
      <c r="K1160" s="487"/>
      <c r="L1160" s="488"/>
      <c r="M1160" s="487"/>
      <c r="N1160" s="487"/>
      <c r="O1160" s="488"/>
      <c r="P1160" s="489"/>
      <c r="Q1160" s="489"/>
      <c r="R1160" s="592"/>
      <c r="S1160" s="487"/>
      <c r="T1160" s="487"/>
      <c r="U1160" s="488"/>
      <c r="V1160" s="489"/>
      <c r="W1160" s="489"/>
      <c r="X1160" s="488"/>
      <c r="Y1160" s="489"/>
      <c r="Z1160" s="489"/>
      <c r="AA1160" s="490"/>
      <c r="AB1160" s="489"/>
      <c r="AC1160" s="489"/>
      <c r="AD1160" s="27">
        <v>410295</v>
      </c>
      <c r="AE1160" s="27" t="s">
        <v>2323</v>
      </c>
      <c r="AF1160" s="432">
        <f>VLOOKUP(AD1160,[5]Hoja1!$A$10:$K$1393,11,0)</f>
        <v>-5146302</v>
      </c>
      <c r="AG1160" s="432"/>
      <c r="AH1160" s="432">
        <f t="shared" si="284"/>
        <v>-5146</v>
      </c>
      <c r="AL1160" s="448"/>
      <c r="AM1160" s="467">
        <f>VLOOKUP(AD1160,[6]BV201101!$A$10:$A$1236,1,0)</f>
        <v>410295</v>
      </c>
    </row>
    <row r="1161" spans="1:39" s="467" customFormat="1" ht="12.75" customHeight="1">
      <c r="A1161" s="487" t="str">
        <f t="shared" si="285"/>
        <v>4</v>
      </c>
      <c r="B1161" s="487" t="str">
        <f t="shared" si="281"/>
        <v>10</v>
      </c>
      <c r="C1161" s="487" t="str">
        <f t="shared" si="282"/>
        <v>29</v>
      </c>
      <c r="D1161" s="487" t="str">
        <f t="shared" si="283"/>
        <v>0296</v>
      </c>
      <c r="E1161" s="487">
        <v>532100000</v>
      </c>
      <c r="F1161" s="488"/>
      <c r="G1161" s="489"/>
      <c r="H1161" s="489"/>
      <c r="I1161" s="488"/>
      <c r="J1161" s="487"/>
      <c r="K1161" s="487"/>
      <c r="L1161" s="488"/>
      <c r="M1161" s="487"/>
      <c r="N1161" s="487"/>
      <c r="O1161" s="488"/>
      <c r="P1161" s="489"/>
      <c r="Q1161" s="489"/>
      <c r="R1161" s="592"/>
      <c r="S1161" s="487"/>
      <c r="T1161" s="487"/>
      <c r="U1161" s="488"/>
      <c r="V1161" s="489"/>
      <c r="W1161" s="489"/>
      <c r="X1161" s="488"/>
      <c r="Y1161" s="489"/>
      <c r="Z1161" s="489"/>
      <c r="AA1161" s="490"/>
      <c r="AB1161" s="489"/>
      <c r="AC1161" s="489"/>
      <c r="AD1161" s="27">
        <v>410296</v>
      </c>
      <c r="AE1161" s="27" t="s">
        <v>226</v>
      </c>
      <c r="AF1161" s="432">
        <f>VLOOKUP(AD1161,[5]Hoja1!$A$10:$K$1393,11,0)</f>
        <v>-1656935</v>
      </c>
      <c r="AG1161" s="432"/>
      <c r="AH1161" s="432">
        <f t="shared" si="284"/>
        <v>-1657</v>
      </c>
      <c r="AL1161" s="448"/>
      <c r="AM1161" s="467">
        <f>VLOOKUP(AD1161,[6]BV201101!$A$10:$A$1236,1,0)</f>
        <v>410296</v>
      </c>
    </row>
    <row r="1162" spans="1:39" s="467" customFormat="1" ht="12.75" customHeight="1">
      <c r="A1162" s="487" t="str">
        <f t="shared" si="285"/>
        <v>4</v>
      </c>
      <c r="B1162" s="487" t="str">
        <f t="shared" si="281"/>
        <v>10</v>
      </c>
      <c r="C1162" s="487" t="str">
        <f t="shared" si="282"/>
        <v>29</v>
      </c>
      <c r="D1162" s="487" t="str">
        <f t="shared" si="283"/>
        <v>0297</v>
      </c>
      <c r="E1162" s="487">
        <v>532100000</v>
      </c>
      <c r="F1162" s="488"/>
      <c r="G1162" s="489"/>
      <c r="H1162" s="489"/>
      <c r="I1162" s="488"/>
      <c r="J1162" s="487"/>
      <c r="K1162" s="487"/>
      <c r="L1162" s="488"/>
      <c r="M1162" s="487"/>
      <c r="N1162" s="487"/>
      <c r="O1162" s="488"/>
      <c r="P1162" s="489"/>
      <c r="Q1162" s="489"/>
      <c r="R1162" s="592"/>
      <c r="S1162" s="487"/>
      <c r="T1162" s="487"/>
      <c r="U1162" s="488"/>
      <c r="V1162" s="489"/>
      <c r="W1162" s="489"/>
      <c r="X1162" s="488"/>
      <c r="Y1162" s="489"/>
      <c r="Z1162" s="489"/>
      <c r="AA1162" s="490"/>
      <c r="AB1162" s="489"/>
      <c r="AC1162" s="489"/>
      <c r="AD1162" s="27">
        <v>410297</v>
      </c>
      <c r="AE1162" s="27" t="s">
        <v>2324</v>
      </c>
      <c r="AF1162" s="432">
        <f>VLOOKUP(AD1162,[5]Hoja1!$A$10:$K$1393,11,0)</f>
        <v>0</v>
      </c>
      <c r="AG1162" s="432"/>
      <c r="AH1162" s="432">
        <f t="shared" si="284"/>
        <v>0</v>
      </c>
      <c r="AL1162" s="448"/>
      <c r="AM1162" s="467">
        <f>VLOOKUP(AD1162,[6]BV201101!$A$10:$A$1236,1,0)</f>
        <v>410297</v>
      </c>
    </row>
    <row r="1163" spans="1:39" s="467" customFormat="1" ht="12.75" customHeight="1">
      <c r="A1163" s="487" t="str">
        <f t="shared" si="285"/>
        <v>4</v>
      </c>
      <c r="B1163" s="487" t="str">
        <f t="shared" si="281"/>
        <v>10</v>
      </c>
      <c r="C1163" s="487" t="str">
        <f t="shared" si="282"/>
        <v>29</v>
      </c>
      <c r="D1163" s="487" t="str">
        <f t="shared" si="283"/>
        <v>0298</v>
      </c>
      <c r="E1163" s="487">
        <v>532100000</v>
      </c>
      <c r="F1163" s="488"/>
      <c r="G1163" s="489"/>
      <c r="H1163" s="489"/>
      <c r="I1163" s="488"/>
      <c r="J1163" s="487"/>
      <c r="K1163" s="487"/>
      <c r="L1163" s="488"/>
      <c r="M1163" s="487"/>
      <c r="N1163" s="487"/>
      <c r="O1163" s="488"/>
      <c r="P1163" s="489"/>
      <c r="Q1163" s="489"/>
      <c r="R1163" s="592"/>
      <c r="S1163" s="487"/>
      <c r="T1163" s="487"/>
      <c r="U1163" s="488"/>
      <c r="V1163" s="489"/>
      <c r="W1163" s="489"/>
      <c r="X1163" s="488"/>
      <c r="Y1163" s="489"/>
      <c r="Z1163" s="489"/>
      <c r="AA1163" s="490"/>
      <c r="AB1163" s="489"/>
      <c r="AC1163" s="489"/>
      <c r="AD1163" s="27">
        <v>410298</v>
      </c>
      <c r="AE1163" s="27" t="s">
        <v>2325</v>
      </c>
      <c r="AF1163" s="432">
        <f>VLOOKUP(AD1163,[5]Hoja1!$A$10:$K$1393,11,0)</f>
        <v>0</v>
      </c>
      <c r="AG1163" s="432"/>
      <c r="AH1163" s="432">
        <f t="shared" si="284"/>
        <v>0</v>
      </c>
      <c r="AL1163" s="448"/>
      <c r="AM1163" s="467">
        <f>VLOOKUP(AD1163,[6]BV201101!$A$10:$A$1236,1,0)</f>
        <v>410298</v>
      </c>
    </row>
    <row r="1164" spans="1:39" s="467" customFormat="1" ht="12.75" customHeight="1">
      <c r="A1164" s="487" t="str">
        <f t="shared" si="285"/>
        <v>4</v>
      </c>
      <c r="B1164" s="487" t="str">
        <f t="shared" si="281"/>
        <v>10</v>
      </c>
      <c r="C1164" s="487" t="str">
        <f t="shared" si="282"/>
        <v>29</v>
      </c>
      <c r="D1164" s="487" t="str">
        <f t="shared" si="283"/>
        <v>0299</v>
      </c>
      <c r="E1164" s="487">
        <v>532100000</v>
      </c>
      <c r="F1164" s="488"/>
      <c r="G1164" s="489"/>
      <c r="H1164" s="489"/>
      <c r="I1164" s="488"/>
      <c r="J1164" s="487"/>
      <c r="K1164" s="487"/>
      <c r="L1164" s="488"/>
      <c r="M1164" s="487"/>
      <c r="N1164" s="487"/>
      <c r="O1164" s="488"/>
      <c r="P1164" s="489"/>
      <c r="Q1164" s="489"/>
      <c r="R1164" s="592"/>
      <c r="S1164" s="487"/>
      <c r="T1164" s="487"/>
      <c r="U1164" s="488"/>
      <c r="V1164" s="489"/>
      <c r="W1164" s="489"/>
      <c r="X1164" s="488"/>
      <c r="Y1164" s="489"/>
      <c r="Z1164" s="489"/>
      <c r="AA1164" s="490"/>
      <c r="AB1164" s="489"/>
      <c r="AC1164" s="489"/>
      <c r="AD1164" s="27">
        <v>410299</v>
      </c>
      <c r="AE1164" s="27" t="s">
        <v>988</v>
      </c>
      <c r="AF1164" s="432">
        <f>VLOOKUP(AD1164,[5]Hoja1!$A$10:$K$1393,11,0)</f>
        <v>0</v>
      </c>
      <c r="AG1164" s="432"/>
      <c r="AH1164" s="432">
        <f t="shared" si="284"/>
        <v>0</v>
      </c>
      <c r="AL1164" s="448"/>
      <c r="AM1164" s="467">
        <f>VLOOKUP(AD1164,[6]BV201101!$A$10:$A$1236,1,0)</f>
        <v>410299</v>
      </c>
    </row>
    <row r="1165" spans="1:39" s="467" customFormat="1" ht="12.75" customHeight="1">
      <c r="A1165" s="487" t="str">
        <f t="shared" si="285"/>
        <v>4</v>
      </c>
      <c r="B1165" s="487" t="str">
        <f t="shared" si="281"/>
        <v>10</v>
      </c>
      <c r="C1165" s="487" t="str">
        <f t="shared" si="282"/>
        <v>30</v>
      </c>
      <c r="D1165" s="487" t="str">
        <f t="shared" si="283"/>
        <v>0301</v>
      </c>
      <c r="E1165" s="487">
        <v>532100000</v>
      </c>
      <c r="F1165" s="488" t="str">
        <f t="shared" ref="F1165:F1217" si="286">+G1165&amp;H1165</f>
        <v/>
      </c>
      <c r="G1165" s="489"/>
      <c r="H1165" s="489"/>
      <c r="I1165" s="488" t="str">
        <f t="shared" ref="I1165:I1217" si="287">+J1165&amp;K1165</f>
        <v/>
      </c>
      <c r="J1165" s="487"/>
      <c r="K1165" s="487"/>
      <c r="L1165" s="488" t="str">
        <f t="shared" ref="L1165:L1217" si="288">+M1165&amp;N1165</f>
        <v/>
      </c>
      <c r="M1165" s="487"/>
      <c r="N1165" s="487"/>
      <c r="O1165" s="488" t="str">
        <f t="shared" ref="O1165:O1217" si="289">+P1165&amp;Q1165</f>
        <v/>
      </c>
      <c r="P1165" s="489"/>
      <c r="Q1165" s="489"/>
      <c r="R1165" s="592" t="str">
        <f t="shared" ref="R1165:R1217" si="290">+S1165&amp;T1165</f>
        <v/>
      </c>
      <c r="S1165" s="487"/>
      <c r="T1165" s="487"/>
      <c r="U1165" s="488" t="str">
        <f t="shared" ref="U1165:U1217" si="291">+V1165&amp;W1165</f>
        <v/>
      </c>
      <c r="V1165" s="489"/>
      <c r="W1165" s="489"/>
      <c r="X1165" s="488" t="str">
        <f t="shared" ref="X1165:X1217" si="292">+Y1165&amp;Z1165</f>
        <v/>
      </c>
      <c r="Y1165" s="489"/>
      <c r="Z1165" s="489"/>
      <c r="AA1165" s="490" t="str">
        <f t="shared" si="273"/>
        <v/>
      </c>
      <c r="AB1165" s="489"/>
      <c r="AC1165" s="489"/>
      <c r="AD1165" s="27">
        <v>410301</v>
      </c>
      <c r="AE1165" s="27" t="s">
        <v>1118</v>
      </c>
      <c r="AF1165" s="432">
        <v>0</v>
      </c>
      <c r="AG1165" s="432"/>
      <c r="AH1165" s="432">
        <f t="shared" si="284"/>
        <v>0</v>
      </c>
      <c r="AJ1165" s="498"/>
      <c r="AL1165" s="448"/>
      <c r="AM1165" s="467" t="e">
        <f>VLOOKUP(AD1165,[6]BV201101!$A$10:$A$1236,1,0)</f>
        <v>#N/A</v>
      </c>
    </row>
    <row r="1166" spans="1:39" s="467" customFormat="1" ht="12.75" customHeight="1">
      <c r="A1166" s="487" t="str">
        <f t="shared" si="285"/>
        <v>4</v>
      </c>
      <c r="B1166" s="487" t="str">
        <f t="shared" si="281"/>
        <v>10</v>
      </c>
      <c r="C1166" s="487" t="str">
        <f t="shared" si="282"/>
        <v>30</v>
      </c>
      <c r="D1166" s="487" t="str">
        <f t="shared" si="283"/>
        <v>0302</v>
      </c>
      <c r="E1166" s="487">
        <v>532100000</v>
      </c>
      <c r="F1166" s="488"/>
      <c r="G1166" s="489"/>
      <c r="H1166" s="489"/>
      <c r="I1166" s="488"/>
      <c r="J1166" s="487"/>
      <c r="K1166" s="487"/>
      <c r="L1166" s="488"/>
      <c r="M1166" s="487"/>
      <c r="N1166" s="487"/>
      <c r="O1166" s="488"/>
      <c r="P1166" s="489"/>
      <c r="Q1166" s="489"/>
      <c r="R1166" s="592"/>
      <c r="S1166" s="487"/>
      <c r="T1166" s="487"/>
      <c r="U1166" s="488"/>
      <c r="V1166" s="489"/>
      <c r="W1166" s="489"/>
      <c r="X1166" s="488"/>
      <c r="Y1166" s="489"/>
      <c r="Z1166" s="489"/>
      <c r="AA1166" s="490"/>
      <c r="AB1166" s="489"/>
      <c r="AC1166" s="489"/>
      <c r="AD1166" s="27">
        <v>410302</v>
      </c>
      <c r="AE1166" s="27" t="s">
        <v>2326</v>
      </c>
      <c r="AF1166" s="432">
        <f>VLOOKUP(AD1166,[5]Hoja1!$A$10:$K$1393,11,0)</f>
        <v>0</v>
      </c>
      <c r="AG1166" s="432"/>
      <c r="AH1166" s="432">
        <f t="shared" si="284"/>
        <v>0</v>
      </c>
      <c r="AJ1166" s="498"/>
      <c r="AL1166" s="448"/>
      <c r="AM1166" s="467">
        <f>VLOOKUP(AD1166,[6]BV201101!$A$10:$A$1236,1,0)</f>
        <v>410302</v>
      </c>
    </row>
    <row r="1167" spans="1:39" s="467" customFormat="1" ht="12.75" customHeight="1">
      <c r="A1167" s="487" t="str">
        <f t="shared" si="285"/>
        <v>4</v>
      </c>
      <c r="B1167" s="487" t="str">
        <f t="shared" si="281"/>
        <v>10</v>
      </c>
      <c r="C1167" s="487" t="str">
        <f t="shared" si="282"/>
        <v>32</v>
      </c>
      <c r="D1167" s="487" t="str">
        <f t="shared" si="283"/>
        <v>0320</v>
      </c>
      <c r="E1167" s="487">
        <v>532100000</v>
      </c>
      <c r="F1167" s="488"/>
      <c r="G1167" s="489"/>
      <c r="H1167" s="489"/>
      <c r="I1167" s="488"/>
      <c r="J1167" s="487"/>
      <c r="K1167" s="487"/>
      <c r="L1167" s="488"/>
      <c r="M1167" s="487"/>
      <c r="N1167" s="487"/>
      <c r="O1167" s="488"/>
      <c r="P1167" s="489"/>
      <c r="Q1167" s="489"/>
      <c r="R1167" s="592"/>
      <c r="S1167" s="487"/>
      <c r="T1167" s="487"/>
      <c r="U1167" s="488"/>
      <c r="V1167" s="489"/>
      <c r="W1167" s="489"/>
      <c r="X1167" s="488"/>
      <c r="Y1167" s="489"/>
      <c r="Z1167" s="489"/>
      <c r="AA1167" s="490"/>
      <c r="AB1167" s="489"/>
      <c r="AC1167" s="489"/>
      <c r="AD1167" s="27">
        <v>410320</v>
      </c>
      <c r="AE1167" s="27" t="s">
        <v>1282</v>
      </c>
      <c r="AF1167" s="432">
        <f>VLOOKUP(AD1167,[5]Hoja1!$A$10:$K$1393,11,0)</f>
        <v>-584889</v>
      </c>
      <c r="AG1167" s="432"/>
      <c r="AH1167" s="432">
        <f t="shared" si="284"/>
        <v>-585</v>
      </c>
      <c r="AJ1167" s="498"/>
      <c r="AL1167" s="448"/>
      <c r="AM1167" s="467">
        <f>VLOOKUP(AD1167,[6]BV201101!$A$10:$A$1236,1,0)</f>
        <v>410320</v>
      </c>
    </row>
    <row r="1168" spans="1:39" s="467" customFormat="1" ht="12.75" customHeight="1">
      <c r="A1168" s="487" t="str">
        <f t="shared" si="285"/>
        <v>4</v>
      </c>
      <c r="B1168" s="487" t="str">
        <f t="shared" si="281"/>
        <v>10</v>
      </c>
      <c r="C1168" s="487" t="str">
        <f t="shared" si="282"/>
        <v>32</v>
      </c>
      <c r="D1168" s="487" t="str">
        <f t="shared" si="283"/>
        <v>0321</v>
      </c>
      <c r="E1168" s="487">
        <v>532100000</v>
      </c>
      <c r="F1168" s="488"/>
      <c r="G1168" s="489"/>
      <c r="H1168" s="489"/>
      <c r="I1168" s="488"/>
      <c r="J1168" s="487"/>
      <c r="K1168" s="487"/>
      <c r="L1168" s="488"/>
      <c r="M1168" s="487"/>
      <c r="N1168" s="487"/>
      <c r="O1168" s="488"/>
      <c r="P1168" s="489"/>
      <c r="Q1168" s="489"/>
      <c r="R1168" s="592"/>
      <c r="S1168" s="487"/>
      <c r="T1168" s="487"/>
      <c r="U1168" s="488"/>
      <c r="V1168" s="489"/>
      <c r="W1168" s="489"/>
      <c r="X1168" s="488"/>
      <c r="Y1168" s="489"/>
      <c r="Z1168" s="489"/>
      <c r="AA1168" s="490"/>
      <c r="AB1168" s="489"/>
      <c r="AC1168" s="489"/>
      <c r="AD1168" s="27">
        <v>410321</v>
      </c>
      <c r="AE1168" s="27" t="s">
        <v>1283</v>
      </c>
      <c r="AF1168" s="432">
        <f>VLOOKUP(AD1168,[5]Hoja1!$A$10:$K$1393,11,0)</f>
        <v>-10781707</v>
      </c>
      <c r="AG1168" s="432"/>
      <c r="AH1168" s="432">
        <f t="shared" si="284"/>
        <v>-10782</v>
      </c>
      <c r="AJ1168" s="498"/>
      <c r="AL1168" s="448"/>
      <c r="AM1168" s="467">
        <f>VLOOKUP(AD1168,[6]BV201101!$A$10:$A$1236,1,0)</f>
        <v>410321</v>
      </c>
    </row>
    <row r="1169" spans="1:39" s="467" customFormat="1" ht="12.75" customHeight="1">
      <c r="A1169" s="487" t="str">
        <f t="shared" si="285"/>
        <v>4</v>
      </c>
      <c r="B1169" s="487" t="str">
        <f t="shared" si="281"/>
        <v>10</v>
      </c>
      <c r="C1169" s="487" t="str">
        <f t="shared" si="282"/>
        <v>32</v>
      </c>
      <c r="D1169" s="487" t="str">
        <f t="shared" si="283"/>
        <v>0322</v>
      </c>
      <c r="E1169" s="487">
        <v>532100000</v>
      </c>
      <c r="F1169" s="488"/>
      <c r="G1169" s="489"/>
      <c r="H1169" s="489"/>
      <c r="I1169" s="488"/>
      <c r="J1169" s="487"/>
      <c r="K1169" s="487"/>
      <c r="L1169" s="488"/>
      <c r="M1169" s="487"/>
      <c r="N1169" s="487"/>
      <c r="O1169" s="488"/>
      <c r="P1169" s="489"/>
      <c r="Q1169" s="489"/>
      <c r="R1169" s="592"/>
      <c r="S1169" s="487"/>
      <c r="T1169" s="487"/>
      <c r="U1169" s="488"/>
      <c r="V1169" s="489"/>
      <c r="W1169" s="489"/>
      <c r="X1169" s="488"/>
      <c r="Y1169" s="489"/>
      <c r="Z1169" s="489"/>
      <c r="AA1169" s="490"/>
      <c r="AB1169" s="489"/>
      <c r="AC1169" s="489"/>
      <c r="AD1169" s="27">
        <v>410322</v>
      </c>
      <c r="AE1169" s="27" t="s">
        <v>1284</v>
      </c>
      <c r="AF1169" s="432">
        <f>VLOOKUP(AD1169,[5]Hoja1!$A$10:$K$1393,11,0)</f>
        <v>-7247570</v>
      </c>
      <c r="AG1169" s="432"/>
      <c r="AH1169" s="432">
        <f t="shared" si="284"/>
        <v>-7248</v>
      </c>
      <c r="AJ1169" s="498"/>
      <c r="AL1169" s="448"/>
      <c r="AM1169" s="467">
        <f>VLOOKUP(AD1169,[6]BV201101!$A$10:$A$1236,1,0)</f>
        <v>410322</v>
      </c>
    </row>
    <row r="1170" spans="1:39" s="467" customFormat="1" ht="12.75" customHeight="1">
      <c r="A1170" s="487" t="str">
        <f t="shared" si="285"/>
        <v>4</v>
      </c>
      <c r="B1170" s="487" t="str">
        <f t="shared" si="281"/>
        <v>10</v>
      </c>
      <c r="C1170" s="487" t="str">
        <f t="shared" si="282"/>
        <v>32</v>
      </c>
      <c r="D1170" s="487" t="str">
        <f t="shared" si="283"/>
        <v>0323</v>
      </c>
      <c r="E1170" s="487">
        <v>532100000</v>
      </c>
      <c r="F1170" s="488"/>
      <c r="G1170" s="489"/>
      <c r="H1170" s="489"/>
      <c r="I1170" s="488"/>
      <c r="J1170" s="487"/>
      <c r="K1170" s="487"/>
      <c r="L1170" s="488"/>
      <c r="M1170" s="487"/>
      <c r="N1170" s="487"/>
      <c r="O1170" s="488"/>
      <c r="P1170" s="489"/>
      <c r="Q1170" s="489"/>
      <c r="R1170" s="592"/>
      <c r="S1170" s="487"/>
      <c r="T1170" s="487"/>
      <c r="U1170" s="488"/>
      <c r="V1170" s="489"/>
      <c r="W1170" s="489"/>
      <c r="X1170" s="488"/>
      <c r="Y1170" s="489"/>
      <c r="Z1170" s="489"/>
      <c r="AA1170" s="490"/>
      <c r="AB1170" s="489"/>
      <c r="AC1170" s="489"/>
      <c r="AD1170" s="27">
        <v>410323</v>
      </c>
      <c r="AE1170" s="27" t="s">
        <v>1368</v>
      </c>
      <c r="AF1170" s="432">
        <f>VLOOKUP(AD1170,[5]Hoja1!$A$10:$K$1393,11,0)</f>
        <v>-166624962</v>
      </c>
      <c r="AG1170" s="432"/>
      <c r="AH1170" s="432">
        <f t="shared" si="284"/>
        <v>-166625</v>
      </c>
      <c r="AJ1170" s="498"/>
      <c r="AL1170" s="448"/>
      <c r="AM1170" s="467">
        <f>VLOOKUP(AD1170,[6]BV201101!$A$10:$A$1236,1,0)</f>
        <v>410323</v>
      </c>
    </row>
    <row r="1171" spans="1:39" s="467" customFormat="1" ht="12.75" customHeight="1">
      <c r="A1171" s="487" t="str">
        <f t="shared" si="285"/>
        <v>4</v>
      </c>
      <c r="B1171" s="487" t="str">
        <f t="shared" si="281"/>
        <v>10</v>
      </c>
      <c r="C1171" s="487" t="str">
        <f t="shared" si="282"/>
        <v>32</v>
      </c>
      <c r="D1171" s="487" t="str">
        <f t="shared" si="283"/>
        <v>0324</v>
      </c>
      <c r="E1171" s="487">
        <v>532100000</v>
      </c>
      <c r="F1171" s="488"/>
      <c r="G1171" s="489"/>
      <c r="H1171" s="489"/>
      <c r="I1171" s="488"/>
      <c r="J1171" s="487"/>
      <c r="K1171" s="487"/>
      <c r="L1171" s="488"/>
      <c r="M1171" s="487"/>
      <c r="N1171" s="487"/>
      <c r="O1171" s="488"/>
      <c r="P1171" s="489"/>
      <c r="Q1171" s="489"/>
      <c r="R1171" s="592"/>
      <c r="S1171" s="487"/>
      <c r="T1171" s="487"/>
      <c r="U1171" s="488"/>
      <c r="V1171" s="489"/>
      <c r="W1171" s="489"/>
      <c r="X1171" s="488"/>
      <c r="Y1171" s="489"/>
      <c r="Z1171" s="489"/>
      <c r="AA1171" s="490"/>
      <c r="AB1171" s="489"/>
      <c r="AC1171" s="489"/>
      <c r="AD1171" s="27">
        <v>410324</v>
      </c>
      <c r="AE1171" s="27" t="s">
        <v>929</v>
      </c>
      <c r="AF1171" s="432">
        <f>VLOOKUP(AD1171,[5]Hoja1!$A$10:$K$1393,11,0)</f>
        <v>-20949767</v>
      </c>
      <c r="AG1171" s="432"/>
      <c r="AH1171" s="432">
        <f t="shared" si="284"/>
        <v>-20950</v>
      </c>
      <c r="AJ1171" s="498"/>
      <c r="AL1171" s="448"/>
      <c r="AM1171" s="467">
        <f>VLOOKUP(AD1171,[6]BV201101!$A$10:$A$1236,1,0)</f>
        <v>410324</v>
      </c>
    </row>
    <row r="1172" spans="1:39" s="467" customFormat="1" ht="12.75" customHeight="1">
      <c r="A1172" s="487" t="str">
        <f t="shared" si="285"/>
        <v>4</v>
      </c>
      <c r="B1172" s="487" t="str">
        <f t="shared" si="281"/>
        <v>10</v>
      </c>
      <c r="C1172" s="487" t="str">
        <f t="shared" si="282"/>
        <v>32</v>
      </c>
      <c r="D1172" s="487" t="str">
        <f t="shared" si="283"/>
        <v>0325</v>
      </c>
      <c r="E1172" s="487">
        <v>532100000</v>
      </c>
      <c r="F1172" s="488"/>
      <c r="G1172" s="489"/>
      <c r="H1172" s="489"/>
      <c r="I1172" s="488"/>
      <c r="J1172" s="487"/>
      <c r="K1172" s="487"/>
      <c r="L1172" s="488"/>
      <c r="M1172" s="487"/>
      <c r="N1172" s="487"/>
      <c r="O1172" s="488"/>
      <c r="P1172" s="489"/>
      <c r="Q1172" s="489"/>
      <c r="R1172" s="592"/>
      <c r="S1172" s="487"/>
      <c r="T1172" s="487"/>
      <c r="U1172" s="488"/>
      <c r="V1172" s="489"/>
      <c r="W1172" s="489"/>
      <c r="X1172" s="488"/>
      <c r="Y1172" s="489"/>
      <c r="Z1172" s="489"/>
      <c r="AA1172" s="490"/>
      <c r="AB1172" s="489"/>
      <c r="AC1172" s="489"/>
      <c r="AD1172" s="27">
        <v>410325</v>
      </c>
      <c r="AE1172" s="27" t="s">
        <v>2327</v>
      </c>
      <c r="AF1172" s="432">
        <f>VLOOKUP(AD1172,[5]Hoja1!$A$10:$K$1393,11,0)</f>
        <v>-12239370</v>
      </c>
      <c r="AG1172" s="432"/>
      <c r="AH1172" s="432">
        <f t="shared" si="284"/>
        <v>-12239</v>
      </c>
      <c r="AJ1172" s="498"/>
      <c r="AL1172" s="448"/>
      <c r="AM1172" s="467">
        <f>VLOOKUP(AD1172,[6]BV201101!$A$10:$A$1236,1,0)</f>
        <v>410325</v>
      </c>
    </row>
    <row r="1173" spans="1:39" s="467" customFormat="1" ht="12.75" customHeight="1">
      <c r="A1173" s="487" t="str">
        <f t="shared" si="285"/>
        <v>4</v>
      </c>
      <c r="B1173" s="487" t="str">
        <f t="shared" si="281"/>
        <v>10</v>
      </c>
      <c r="C1173" s="487" t="str">
        <f t="shared" si="282"/>
        <v>32</v>
      </c>
      <c r="D1173" s="487" t="str">
        <f t="shared" si="283"/>
        <v>0326</v>
      </c>
      <c r="E1173" s="487">
        <v>532100000</v>
      </c>
      <c r="F1173" s="488"/>
      <c r="G1173" s="489"/>
      <c r="H1173" s="489"/>
      <c r="I1173" s="488"/>
      <c r="J1173" s="487"/>
      <c r="K1173" s="487"/>
      <c r="L1173" s="488"/>
      <c r="M1173" s="487"/>
      <c r="N1173" s="487"/>
      <c r="O1173" s="488"/>
      <c r="P1173" s="489"/>
      <c r="Q1173" s="489"/>
      <c r="R1173" s="592"/>
      <c r="S1173" s="487"/>
      <c r="T1173" s="487"/>
      <c r="U1173" s="488"/>
      <c r="V1173" s="489"/>
      <c r="W1173" s="489"/>
      <c r="X1173" s="488"/>
      <c r="Y1173" s="489"/>
      <c r="Z1173" s="489"/>
      <c r="AA1173" s="490"/>
      <c r="AB1173" s="489"/>
      <c r="AC1173" s="489"/>
      <c r="AD1173" s="27">
        <v>410326</v>
      </c>
      <c r="AE1173" s="27" t="s">
        <v>912</v>
      </c>
      <c r="AF1173" s="432">
        <f>VLOOKUP(AD1173,[5]Hoja1!$A$10:$K$1393,11,0)</f>
        <v>-168185200</v>
      </c>
      <c r="AG1173" s="432"/>
      <c r="AH1173" s="432">
        <f t="shared" si="284"/>
        <v>-168185</v>
      </c>
      <c r="AJ1173" s="498"/>
      <c r="AL1173" s="448"/>
      <c r="AM1173" s="467">
        <f>VLOOKUP(AD1173,[6]BV201101!$A$10:$A$1236,1,0)</f>
        <v>410326</v>
      </c>
    </row>
    <row r="1174" spans="1:39" s="467" customFormat="1" ht="12.75" customHeight="1">
      <c r="A1174" s="487" t="str">
        <f t="shared" si="285"/>
        <v>4</v>
      </c>
      <c r="B1174" s="487" t="str">
        <f t="shared" si="281"/>
        <v>10</v>
      </c>
      <c r="C1174" s="487" t="str">
        <f t="shared" si="282"/>
        <v>32</v>
      </c>
      <c r="D1174" s="487" t="str">
        <f t="shared" si="283"/>
        <v>0327</v>
      </c>
      <c r="E1174" s="487">
        <v>532100000</v>
      </c>
      <c r="F1174" s="488"/>
      <c r="G1174" s="489"/>
      <c r="H1174" s="489"/>
      <c r="I1174" s="488"/>
      <c r="J1174" s="487"/>
      <c r="K1174" s="487"/>
      <c r="L1174" s="488"/>
      <c r="M1174" s="487"/>
      <c r="N1174" s="487"/>
      <c r="O1174" s="488"/>
      <c r="P1174" s="489"/>
      <c r="Q1174" s="489"/>
      <c r="R1174" s="592"/>
      <c r="S1174" s="487"/>
      <c r="T1174" s="487"/>
      <c r="U1174" s="488"/>
      <c r="V1174" s="489"/>
      <c r="W1174" s="489"/>
      <c r="X1174" s="488"/>
      <c r="Y1174" s="489"/>
      <c r="Z1174" s="489"/>
      <c r="AA1174" s="490"/>
      <c r="AB1174" s="489"/>
      <c r="AC1174" s="489"/>
      <c r="AD1174" s="27">
        <v>410327</v>
      </c>
      <c r="AE1174" s="27" t="s">
        <v>913</v>
      </c>
      <c r="AF1174" s="432">
        <f>VLOOKUP(AD1174,[5]Hoja1!$A$10:$K$1393,11,0)</f>
        <v>-17666530</v>
      </c>
      <c r="AG1174" s="432"/>
      <c r="AH1174" s="432">
        <f t="shared" si="284"/>
        <v>-17667</v>
      </c>
      <c r="AJ1174" s="498"/>
      <c r="AL1174" s="448"/>
      <c r="AM1174" s="467">
        <f>VLOOKUP(AD1174,[6]BV201101!$A$10:$A$1236,1,0)</f>
        <v>410327</v>
      </c>
    </row>
    <row r="1175" spans="1:39" s="467" customFormat="1" ht="12.75" customHeight="1">
      <c r="A1175" s="487" t="str">
        <f t="shared" si="285"/>
        <v>4</v>
      </c>
      <c r="B1175" s="487" t="str">
        <f t="shared" si="281"/>
        <v>10</v>
      </c>
      <c r="C1175" s="487" t="str">
        <f t="shared" si="282"/>
        <v>32</v>
      </c>
      <c r="D1175" s="487" t="str">
        <f t="shared" si="283"/>
        <v>0328</v>
      </c>
      <c r="E1175" s="487">
        <v>532100000</v>
      </c>
      <c r="F1175" s="488"/>
      <c r="G1175" s="489"/>
      <c r="H1175" s="489"/>
      <c r="I1175" s="488"/>
      <c r="J1175" s="487"/>
      <c r="K1175" s="487"/>
      <c r="L1175" s="488"/>
      <c r="M1175" s="487"/>
      <c r="N1175" s="487"/>
      <c r="O1175" s="488"/>
      <c r="P1175" s="489"/>
      <c r="Q1175" s="489"/>
      <c r="R1175" s="592"/>
      <c r="S1175" s="487"/>
      <c r="T1175" s="487"/>
      <c r="U1175" s="488"/>
      <c r="V1175" s="489"/>
      <c r="W1175" s="489"/>
      <c r="X1175" s="488"/>
      <c r="Y1175" s="489"/>
      <c r="Z1175" s="489"/>
      <c r="AA1175" s="490"/>
      <c r="AB1175" s="489"/>
      <c r="AC1175" s="489"/>
      <c r="AD1175" s="27">
        <v>410328</v>
      </c>
      <c r="AE1175" s="27" t="s">
        <v>914</v>
      </c>
      <c r="AF1175" s="432">
        <f>VLOOKUP(AD1175,[5]Hoja1!$A$10:$K$1393,11,0)</f>
        <v>-12492618</v>
      </c>
      <c r="AG1175" s="432"/>
      <c r="AH1175" s="432">
        <f t="shared" si="284"/>
        <v>-12493</v>
      </c>
      <c r="AJ1175" s="498"/>
      <c r="AL1175" s="448"/>
      <c r="AM1175" s="467">
        <f>VLOOKUP(AD1175,[6]BV201101!$A$10:$A$1236,1,0)</f>
        <v>410328</v>
      </c>
    </row>
    <row r="1176" spans="1:39" s="467" customFormat="1" ht="12.75" customHeight="1">
      <c r="A1176" s="487" t="str">
        <f t="shared" si="285"/>
        <v>4</v>
      </c>
      <c r="B1176" s="487" t="str">
        <f t="shared" si="281"/>
        <v>10</v>
      </c>
      <c r="C1176" s="487" t="str">
        <f t="shared" si="282"/>
        <v>32</v>
      </c>
      <c r="D1176" s="487" t="str">
        <f t="shared" si="283"/>
        <v>0329</v>
      </c>
      <c r="E1176" s="487">
        <v>532100000</v>
      </c>
      <c r="F1176" s="488"/>
      <c r="G1176" s="489"/>
      <c r="H1176" s="489"/>
      <c r="I1176" s="488"/>
      <c r="J1176" s="487"/>
      <c r="K1176" s="487"/>
      <c r="L1176" s="488"/>
      <c r="M1176" s="487"/>
      <c r="N1176" s="487"/>
      <c r="O1176" s="488"/>
      <c r="P1176" s="489"/>
      <c r="Q1176" s="489"/>
      <c r="R1176" s="592"/>
      <c r="S1176" s="487"/>
      <c r="T1176" s="487"/>
      <c r="U1176" s="488"/>
      <c r="V1176" s="489"/>
      <c r="W1176" s="489"/>
      <c r="X1176" s="488"/>
      <c r="Y1176" s="489"/>
      <c r="Z1176" s="489"/>
      <c r="AA1176" s="490"/>
      <c r="AB1176" s="489"/>
      <c r="AC1176" s="489"/>
      <c r="AD1176" s="27">
        <v>410329</v>
      </c>
      <c r="AE1176" s="27" t="s">
        <v>2328</v>
      </c>
      <c r="AF1176" s="432">
        <f>VLOOKUP(AD1176,[5]Hoja1!$A$10:$K$1393,11,0)</f>
        <v>-9811813</v>
      </c>
      <c r="AG1176" s="432"/>
      <c r="AH1176" s="432">
        <f t="shared" si="284"/>
        <v>-9812</v>
      </c>
      <c r="AJ1176" s="498"/>
      <c r="AL1176" s="448"/>
      <c r="AM1176" s="467">
        <f>VLOOKUP(AD1176,[6]BV201101!$A$10:$A$1236,1,0)</f>
        <v>410329</v>
      </c>
    </row>
    <row r="1177" spans="1:39" s="467" customFormat="1" ht="12.75" customHeight="1">
      <c r="A1177" s="487" t="str">
        <f t="shared" si="285"/>
        <v>4</v>
      </c>
      <c r="B1177" s="487" t="str">
        <f t="shared" si="281"/>
        <v>10</v>
      </c>
      <c r="C1177" s="487" t="str">
        <f t="shared" si="282"/>
        <v>33</v>
      </c>
      <c r="D1177" s="487" t="str">
        <f t="shared" si="283"/>
        <v>0331</v>
      </c>
      <c r="E1177" s="487">
        <v>532201300</v>
      </c>
      <c r="F1177" s="488"/>
      <c r="G1177" s="489"/>
      <c r="H1177" s="489"/>
      <c r="I1177" s="488"/>
      <c r="J1177" s="487"/>
      <c r="K1177" s="487"/>
      <c r="L1177" s="488"/>
      <c r="M1177" s="487"/>
      <c r="N1177" s="487"/>
      <c r="O1177" s="488"/>
      <c r="P1177" s="489"/>
      <c r="Q1177" s="489"/>
      <c r="R1177" s="592"/>
      <c r="S1177" s="487"/>
      <c r="T1177" s="487"/>
      <c r="U1177" s="488"/>
      <c r="V1177" s="489"/>
      <c r="W1177" s="489"/>
      <c r="X1177" s="488"/>
      <c r="Y1177" s="489"/>
      <c r="Z1177" s="489"/>
      <c r="AA1177" s="490"/>
      <c r="AB1177" s="489"/>
      <c r="AC1177" s="489"/>
      <c r="AD1177" s="27">
        <v>410331</v>
      </c>
      <c r="AE1177" s="27" t="s">
        <v>2940</v>
      </c>
      <c r="AF1177" s="432">
        <f>VLOOKUP(AD1177,[5]Hoja1!$A$10:$K$1393,11,0)</f>
        <v>25192752</v>
      </c>
      <c r="AG1177" s="432"/>
      <c r="AH1177" s="432">
        <f t="shared" si="284"/>
        <v>25193</v>
      </c>
      <c r="AJ1177" s="498"/>
      <c r="AL1177" s="448"/>
    </row>
    <row r="1178" spans="1:39" s="467" customFormat="1" ht="12.75" customHeight="1">
      <c r="A1178" s="487" t="str">
        <f t="shared" si="285"/>
        <v>4</v>
      </c>
      <c r="B1178" s="487" t="str">
        <f t="shared" si="281"/>
        <v>10</v>
      </c>
      <c r="C1178" s="487" t="str">
        <f t="shared" si="282"/>
        <v>40</v>
      </c>
      <c r="D1178" s="487" t="str">
        <f t="shared" si="283"/>
        <v>0401</v>
      </c>
      <c r="E1178" s="487">
        <v>531101130</v>
      </c>
      <c r="F1178" s="488" t="str">
        <f t="shared" si="286"/>
        <v>671130000202</v>
      </c>
      <c r="G1178" s="489">
        <v>671130000</v>
      </c>
      <c r="H1178" s="489">
        <v>202</v>
      </c>
      <c r="I1178" s="488" t="str">
        <f t="shared" si="287"/>
        <v/>
      </c>
      <c r="J1178" s="487"/>
      <c r="K1178" s="487"/>
      <c r="L1178" s="488" t="str">
        <f t="shared" si="288"/>
        <v/>
      </c>
      <c r="M1178" s="487"/>
      <c r="N1178" s="487"/>
      <c r="O1178" s="488" t="str">
        <f t="shared" si="289"/>
        <v/>
      </c>
      <c r="P1178" s="489"/>
      <c r="Q1178" s="489"/>
      <c r="R1178" s="592" t="str">
        <f t="shared" si="290"/>
        <v/>
      </c>
      <c r="S1178" s="487"/>
      <c r="T1178" s="487"/>
      <c r="U1178" s="488" t="str">
        <f t="shared" si="291"/>
        <v>630130000202</v>
      </c>
      <c r="V1178" s="489">
        <v>630130000</v>
      </c>
      <c r="W1178" s="489">
        <v>202</v>
      </c>
      <c r="X1178" s="488" t="str">
        <f t="shared" si="292"/>
        <v>631101130202</v>
      </c>
      <c r="Y1178" s="489">
        <v>631101130</v>
      </c>
      <c r="Z1178" s="489">
        <v>202</v>
      </c>
      <c r="AA1178" s="490" t="str">
        <f t="shared" si="273"/>
        <v/>
      </c>
      <c r="AB1178" s="489"/>
      <c r="AC1178" s="489"/>
      <c r="AD1178" s="27">
        <v>410401</v>
      </c>
      <c r="AE1178" s="27" t="s">
        <v>2329</v>
      </c>
      <c r="AF1178" s="432">
        <f>VLOOKUP(AD1178,[5]Hoja1!$A$10:$K$1393,11,0)</f>
        <v>-144191998</v>
      </c>
      <c r="AG1178" s="432"/>
      <c r="AH1178" s="432">
        <f t="shared" si="284"/>
        <v>-144192</v>
      </c>
      <c r="AL1178" s="448"/>
      <c r="AM1178" s="467">
        <f>VLOOKUP(AD1178,[6]BV201101!$A$10:$A$1236,1,0)</f>
        <v>410401</v>
      </c>
    </row>
    <row r="1179" spans="1:39" s="467" customFormat="1" ht="12.75" customHeight="1">
      <c r="A1179" s="487" t="str">
        <f t="shared" si="285"/>
        <v>4</v>
      </c>
      <c r="B1179" s="487" t="str">
        <f t="shared" si="281"/>
        <v>10</v>
      </c>
      <c r="C1179" s="487" t="str">
        <f t="shared" si="282"/>
        <v>40</v>
      </c>
      <c r="D1179" s="487" t="str">
        <f t="shared" si="283"/>
        <v>0402</v>
      </c>
      <c r="E1179" s="487">
        <v>531101130</v>
      </c>
      <c r="F1179" s="488" t="str">
        <f t="shared" si="286"/>
        <v>671130000212</v>
      </c>
      <c r="G1179" s="489">
        <v>671130000</v>
      </c>
      <c r="H1179" s="489">
        <v>212</v>
      </c>
      <c r="I1179" s="488" t="str">
        <f t="shared" si="287"/>
        <v/>
      </c>
      <c r="J1179" s="487"/>
      <c r="K1179" s="487"/>
      <c r="L1179" s="488" t="str">
        <f t="shared" si="288"/>
        <v/>
      </c>
      <c r="M1179" s="487"/>
      <c r="N1179" s="487"/>
      <c r="O1179" s="488" t="str">
        <f t="shared" si="289"/>
        <v/>
      </c>
      <c r="P1179" s="489"/>
      <c r="Q1179" s="489"/>
      <c r="R1179" s="592" t="str">
        <f t="shared" si="290"/>
        <v/>
      </c>
      <c r="S1179" s="487"/>
      <c r="T1179" s="487"/>
      <c r="U1179" s="488" t="str">
        <f t="shared" si="291"/>
        <v>630130000212</v>
      </c>
      <c r="V1179" s="489">
        <v>630130000</v>
      </c>
      <c r="W1179" s="489">
        <v>212</v>
      </c>
      <c r="X1179" s="488" t="str">
        <f t="shared" si="292"/>
        <v>631101130212</v>
      </c>
      <c r="Y1179" s="489">
        <v>631101130</v>
      </c>
      <c r="Z1179" s="489">
        <v>212</v>
      </c>
      <c r="AA1179" s="490" t="str">
        <f t="shared" si="273"/>
        <v/>
      </c>
      <c r="AB1179" s="489"/>
      <c r="AC1179" s="489"/>
      <c r="AD1179" s="27">
        <v>410402</v>
      </c>
      <c r="AE1179" s="27" t="s">
        <v>2330</v>
      </c>
      <c r="AF1179" s="432">
        <v>0</v>
      </c>
      <c r="AG1179" s="432"/>
      <c r="AH1179" s="432">
        <f t="shared" si="284"/>
        <v>0</v>
      </c>
      <c r="AL1179" s="448"/>
      <c r="AM1179" s="467" t="e">
        <f>VLOOKUP(AD1179,[6]BV201101!$A$10:$A$1236,1,0)</f>
        <v>#N/A</v>
      </c>
    </row>
    <row r="1180" spans="1:39" s="467" customFormat="1" ht="12.75" customHeight="1">
      <c r="A1180" s="487" t="str">
        <f t="shared" si="285"/>
        <v>4</v>
      </c>
      <c r="B1180" s="487" t="str">
        <f t="shared" si="281"/>
        <v>10</v>
      </c>
      <c r="C1180" s="487" t="str">
        <f t="shared" si="282"/>
        <v>40</v>
      </c>
      <c r="D1180" s="487" t="str">
        <f t="shared" si="283"/>
        <v>0403</v>
      </c>
      <c r="E1180" s="487">
        <v>531101130</v>
      </c>
      <c r="F1180" s="488" t="str">
        <f t="shared" si="286"/>
        <v>671130000209</v>
      </c>
      <c r="G1180" s="489">
        <v>671130000</v>
      </c>
      <c r="H1180" s="489">
        <v>209</v>
      </c>
      <c r="I1180" s="488" t="str">
        <f t="shared" si="287"/>
        <v/>
      </c>
      <c r="J1180" s="487"/>
      <c r="K1180" s="487"/>
      <c r="L1180" s="488" t="str">
        <f t="shared" si="288"/>
        <v/>
      </c>
      <c r="M1180" s="489"/>
      <c r="N1180" s="489"/>
      <c r="O1180" s="488" t="str">
        <f t="shared" si="289"/>
        <v/>
      </c>
      <c r="P1180" s="489"/>
      <c r="Q1180" s="489"/>
      <c r="R1180" s="592" t="str">
        <f t="shared" si="290"/>
        <v/>
      </c>
      <c r="S1180" s="487"/>
      <c r="T1180" s="487"/>
      <c r="U1180" s="488" t="str">
        <f t="shared" si="291"/>
        <v>630130000209</v>
      </c>
      <c r="V1180" s="489">
        <v>630130000</v>
      </c>
      <c r="W1180" s="489">
        <v>209</v>
      </c>
      <c r="X1180" s="488" t="str">
        <f t="shared" si="292"/>
        <v>631101130209</v>
      </c>
      <c r="Y1180" s="489">
        <v>631101130</v>
      </c>
      <c r="Z1180" s="489">
        <v>209</v>
      </c>
      <c r="AA1180" s="490" t="str">
        <f t="shared" si="273"/>
        <v/>
      </c>
      <c r="AB1180" s="489"/>
      <c r="AC1180" s="489"/>
      <c r="AD1180" s="27">
        <v>410403</v>
      </c>
      <c r="AE1180" s="27" t="s">
        <v>2331</v>
      </c>
      <c r="AF1180" s="432">
        <v>0</v>
      </c>
      <c r="AG1180" s="432"/>
      <c r="AH1180" s="432">
        <f t="shared" si="284"/>
        <v>0</v>
      </c>
      <c r="AL1180" s="448"/>
      <c r="AM1180" s="467" t="e">
        <f>VLOOKUP(AD1180,[6]BV201101!$A$10:$A$1236,1,0)</f>
        <v>#N/A</v>
      </c>
    </row>
    <row r="1181" spans="1:39" s="467" customFormat="1" ht="12.75" customHeight="1">
      <c r="A1181" s="487" t="str">
        <f t="shared" si="285"/>
        <v>4</v>
      </c>
      <c r="B1181" s="487" t="str">
        <f t="shared" si="281"/>
        <v>10</v>
      </c>
      <c r="C1181" s="487" t="str">
        <f t="shared" si="282"/>
        <v>40</v>
      </c>
      <c r="D1181" s="487" t="str">
        <f t="shared" si="283"/>
        <v>0404</v>
      </c>
      <c r="E1181" s="487">
        <v>531101130</v>
      </c>
      <c r="F1181" s="488" t="str">
        <f t="shared" si="286"/>
        <v>671130000109</v>
      </c>
      <c r="G1181" s="489">
        <v>671130000</v>
      </c>
      <c r="H1181" s="489">
        <v>109</v>
      </c>
      <c r="I1181" s="488" t="str">
        <f t="shared" si="287"/>
        <v/>
      </c>
      <c r="J1181" s="487"/>
      <c r="K1181" s="487"/>
      <c r="L1181" s="488" t="str">
        <f t="shared" si="288"/>
        <v/>
      </c>
      <c r="M1181" s="487"/>
      <c r="N1181" s="487"/>
      <c r="O1181" s="488" t="str">
        <f t="shared" si="289"/>
        <v/>
      </c>
      <c r="P1181" s="489"/>
      <c r="Q1181" s="489"/>
      <c r="R1181" s="592" t="str">
        <f t="shared" si="290"/>
        <v/>
      </c>
      <c r="S1181" s="487"/>
      <c r="T1181" s="487"/>
      <c r="U1181" s="488" t="str">
        <f t="shared" si="291"/>
        <v>630130000109</v>
      </c>
      <c r="V1181" s="489">
        <v>630130000</v>
      </c>
      <c r="W1181" s="489">
        <v>109</v>
      </c>
      <c r="X1181" s="488" t="str">
        <f t="shared" si="292"/>
        <v>631101130109</v>
      </c>
      <c r="Y1181" s="489">
        <v>631101130</v>
      </c>
      <c r="Z1181" s="489">
        <v>109</v>
      </c>
      <c r="AA1181" s="490" t="str">
        <f t="shared" si="273"/>
        <v/>
      </c>
      <c r="AB1181" s="489"/>
      <c r="AC1181" s="489"/>
      <c r="AD1181" s="27">
        <v>410404</v>
      </c>
      <c r="AE1181" s="27" t="s">
        <v>2332</v>
      </c>
      <c r="AF1181" s="432">
        <v>0</v>
      </c>
      <c r="AG1181" s="432"/>
      <c r="AH1181" s="432">
        <f t="shared" ref="AH1181:AH1244" si="293">ROUND((AF1181+AG1181)/$AH$2,0)</f>
        <v>0</v>
      </c>
      <c r="AL1181" s="448"/>
      <c r="AM1181" s="467" t="e">
        <f>VLOOKUP(AD1181,[6]BV201101!$A$10:$A$1236,1,0)</f>
        <v>#N/A</v>
      </c>
    </row>
    <row r="1182" spans="1:39" s="467" customFormat="1" ht="12.75" customHeight="1">
      <c r="A1182" s="487" t="str">
        <f t="shared" si="285"/>
        <v>4</v>
      </c>
      <c r="B1182" s="487" t="str">
        <f t="shared" si="281"/>
        <v>10</v>
      </c>
      <c r="C1182" s="487" t="str">
        <f t="shared" si="282"/>
        <v>40</v>
      </c>
      <c r="D1182" s="487" t="str">
        <f t="shared" si="283"/>
        <v>0405</v>
      </c>
      <c r="E1182" s="487">
        <v>531101130</v>
      </c>
      <c r="F1182" s="488" t="str">
        <f t="shared" si="286"/>
        <v>671130000101</v>
      </c>
      <c r="G1182" s="489">
        <v>671130000</v>
      </c>
      <c r="H1182" s="489">
        <v>101</v>
      </c>
      <c r="I1182" s="488" t="str">
        <f t="shared" si="287"/>
        <v/>
      </c>
      <c r="J1182" s="487"/>
      <c r="K1182" s="487"/>
      <c r="L1182" s="488" t="str">
        <f t="shared" si="288"/>
        <v/>
      </c>
      <c r="M1182" s="489"/>
      <c r="N1182" s="489"/>
      <c r="O1182" s="488" t="str">
        <f t="shared" si="289"/>
        <v/>
      </c>
      <c r="P1182" s="489"/>
      <c r="Q1182" s="489"/>
      <c r="R1182" s="592" t="str">
        <f t="shared" si="290"/>
        <v/>
      </c>
      <c r="S1182" s="487"/>
      <c r="T1182" s="487"/>
      <c r="U1182" s="488" t="str">
        <f t="shared" si="291"/>
        <v>630130000101</v>
      </c>
      <c r="V1182" s="489">
        <v>630130000</v>
      </c>
      <c r="W1182" s="489">
        <v>101</v>
      </c>
      <c r="X1182" s="488" t="str">
        <f t="shared" si="292"/>
        <v>631101130101</v>
      </c>
      <c r="Y1182" s="489">
        <v>631101130</v>
      </c>
      <c r="Z1182" s="489">
        <v>101</v>
      </c>
      <c r="AA1182" s="490" t="str">
        <f t="shared" si="273"/>
        <v/>
      </c>
      <c r="AB1182" s="489"/>
      <c r="AC1182" s="489"/>
      <c r="AD1182" s="27">
        <v>410405</v>
      </c>
      <c r="AE1182" s="27" t="s">
        <v>2333</v>
      </c>
      <c r="AF1182" s="432">
        <v>0</v>
      </c>
      <c r="AG1182" s="432"/>
      <c r="AH1182" s="432">
        <f t="shared" si="293"/>
        <v>0</v>
      </c>
      <c r="AL1182" s="448"/>
      <c r="AM1182" s="467" t="e">
        <f>VLOOKUP(AD1182,[6]BV201101!$A$10:$A$1236,1,0)</f>
        <v>#N/A</v>
      </c>
    </row>
    <row r="1183" spans="1:39" s="467" customFormat="1" ht="12.75" customHeight="1">
      <c r="A1183" s="487" t="str">
        <f t="shared" si="285"/>
        <v>4</v>
      </c>
      <c r="B1183" s="487" t="str">
        <f t="shared" si="281"/>
        <v>10</v>
      </c>
      <c r="C1183" s="487" t="str">
        <f t="shared" si="282"/>
        <v>40</v>
      </c>
      <c r="D1183" s="487" t="str">
        <f t="shared" si="283"/>
        <v>0406</v>
      </c>
      <c r="E1183" s="487">
        <v>531101130</v>
      </c>
      <c r="F1183" s="488" t="str">
        <f t="shared" si="286"/>
        <v>671130000112</v>
      </c>
      <c r="G1183" s="489">
        <v>671130000</v>
      </c>
      <c r="H1183" s="489">
        <v>112</v>
      </c>
      <c r="I1183" s="488" t="str">
        <f t="shared" si="287"/>
        <v/>
      </c>
      <c r="J1183" s="487"/>
      <c r="K1183" s="487"/>
      <c r="L1183" s="488" t="str">
        <f t="shared" si="288"/>
        <v/>
      </c>
      <c r="M1183" s="487"/>
      <c r="N1183" s="487"/>
      <c r="O1183" s="488" t="str">
        <f t="shared" si="289"/>
        <v/>
      </c>
      <c r="P1183" s="489"/>
      <c r="Q1183" s="489"/>
      <c r="R1183" s="592" t="str">
        <f t="shared" si="290"/>
        <v/>
      </c>
      <c r="S1183" s="487"/>
      <c r="T1183" s="487"/>
      <c r="U1183" s="488" t="str">
        <f t="shared" si="291"/>
        <v>630130000112</v>
      </c>
      <c r="V1183" s="489">
        <v>630130000</v>
      </c>
      <c r="W1183" s="489">
        <v>112</v>
      </c>
      <c r="X1183" s="488" t="str">
        <f t="shared" si="292"/>
        <v>631101130112</v>
      </c>
      <c r="Y1183" s="489">
        <v>631101130</v>
      </c>
      <c r="Z1183" s="489">
        <v>112</v>
      </c>
      <c r="AA1183" s="490" t="str">
        <f t="shared" si="273"/>
        <v/>
      </c>
      <c r="AB1183" s="489"/>
      <c r="AC1183" s="489"/>
      <c r="AD1183" s="27">
        <v>410406</v>
      </c>
      <c r="AE1183" s="27" t="s">
        <v>2334</v>
      </c>
      <c r="AF1183" s="432">
        <v>0</v>
      </c>
      <c r="AG1183" s="432"/>
      <c r="AH1183" s="432">
        <f t="shared" si="293"/>
        <v>0</v>
      </c>
      <c r="AL1183" s="448"/>
      <c r="AM1183" s="467" t="e">
        <f>VLOOKUP(AD1183,[6]BV201101!$A$10:$A$1236,1,0)</f>
        <v>#N/A</v>
      </c>
    </row>
    <row r="1184" spans="1:39" s="467" customFormat="1" ht="12.75" customHeight="1">
      <c r="A1184" s="487" t="str">
        <f t="shared" si="285"/>
        <v>4</v>
      </c>
      <c r="B1184" s="487" t="str">
        <f t="shared" si="281"/>
        <v>10</v>
      </c>
      <c r="C1184" s="487" t="str">
        <f t="shared" si="282"/>
        <v>40</v>
      </c>
      <c r="D1184" s="487" t="str">
        <f t="shared" si="283"/>
        <v>0407</v>
      </c>
      <c r="E1184" s="487">
        <v>531101130</v>
      </c>
      <c r="F1184" s="488" t="str">
        <f t="shared" si="286"/>
        <v>671130000102</v>
      </c>
      <c r="G1184" s="489">
        <v>671130000</v>
      </c>
      <c r="H1184" s="489">
        <v>102</v>
      </c>
      <c r="I1184" s="488" t="str">
        <f t="shared" si="287"/>
        <v/>
      </c>
      <c r="J1184" s="487"/>
      <c r="K1184" s="487"/>
      <c r="L1184" s="488" t="str">
        <f t="shared" si="288"/>
        <v/>
      </c>
      <c r="M1184" s="487"/>
      <c r="N1184" s="487"/>
      <c r="O1184" s="488" t="str">
        <f t="shared" si="289"/>
        <v/>
      </c>
      <c r="P1184" s="489"/>
      <c r="Q1184" s="489"/>
      <c r="R1184" s="592" t="str">
        <f t="shared" si="290"/>
        <v/>
      </c>
      <c r="S1184" s="487"/>
      <c r="T1184" s="487"/>
      <c r="U1184" s="488" t="str">
        <f t="shared" si="291"/>
        <v>630130000102</v>
      </c>
      <c r="V1184" s="489">
        <v>630130000</v>
      </c>
      <c r="W1184" s="489">
        <v>102</v>
      </c>
      <c r="X1184" s="488" t="str">
        <f t="shared" si="292"/>
        <v>631101130102</v>
      </c>
      <c r="Y1184" s="489">
        <v>631101130</v>
      </c>
      <c r="Z1184" s="489">
        <v>102</v>
      </c>
      <c r="AA1184" s="490" t="str">
        <f t="shared" si="273"/>
        <v/>
      </c>
      <c r="AB1184" s="489"/>
      <c r="AC1184" s="489"/>
      <c r="AD1184" s="27">
        <v>410407</v>
      </c>
      <c r="AE1184" s="27" t="s">
        <v>1349</v>
      </c>
      <c r="AF1184" s="432">
        <v>0</v>
      </c>
      <c r="AG1184" s="432"/>
      <c r="AH1184" s="432">
        <f t="shared" si="293"/>
        <v>0</v>
      </c>
      <c r="AL1184" s="448"/>
      <c r="AM1184" s="467" t="e">
        <f>VLOOKUP(AD1184,[6]BV201101!$A$10:$A$1236,1,0)</f>
        <v>#N/A</v>
      </c>
    </row>
    <row r="1185" spans="1:39" s="467" customFormat="1" ht="12.75" customHeight="1">
      <c r="A1185" s="487" t="str">
        <f t="shared" si="285"/>
        <v>4</v>
      </c>
      <c r="B1185" s="487" t="str">
        <f t="shared" si="281"/>
        <v>10</v>
      </c>
      <c r="C1185" s="487" t="str">
        <f t="shared" si="282"/>
        <v>40</v>
      </c>
      <c r="D1185" s="487" t="str">
        <f t="shared" si="283"/>
        <v>0408</v>
      </c>
      <c r="E1185" s="487">
        <v>531101130</v>
      </c>
      <c r="F1185" s="488" t="str">
        <f t="shared" si="286"/>
        <v>671130000103</v>
      </c>
      <c r="G1185" s="489">
        <v>671130000</v>
      </c>
      <c r="H1185" s="489">
        <v>103</v>
      </c>
      <c r="I1185" s="488" t="str">
        <f t="shared" si="287"/>
        <v/>
      </c>
      <c r="J1185" s="487"/>
      <c r="K1185" s="487"/>
      <c r="L1185" s="488" t="str">
        <f t="shared" si="288"/>
        <v/>
      </c>
      <c r="M1185" s="489"/>
      <c r="N1185" s="489"/>
      <c r="O1185" s="488" t="str">
        <f t="shared" si="289"/>
        <v/>
      </c>
      <c r="P1185" s="489"/>
      <c r="Q1185" s="489"/>
      <c r="R1185" s="592" t="str">
        <f t="shared" si="290"/>
        <v/>
      </c>
      <c r="S1185" s="487"/>
      <c r="T1185" s="487"/>
      <c r="U1185" s="488" t="str">
        <f t="shared" si="291"/>
        <v>630130000103</v>
      </c>
      <c r="V1185" s="489">
        <v>630130000</v>
      </c>
      <c r="W1185" s="489">
        <v>103</v>
      </c>
      <c r="X1185" s="488" t="str">
        <f t="shared" si="292"/>
        <v>631101130103</v>
      </c>
      <c r="Y1185" s="489">
        <v>631101130</v>
      </c>
      <c r="Z1185" s="489">
        <v>103</v>
      </c>
      <c r="AA1185" s="490" t="str">
        <f t="shared" si="273"/>
        <v/>
      </c>
      <c r="AB1185" s="489"/>
      <c r="AC1185" s="489"/>
      <c r="AD1185" s="27">
        <v>410408</v>
      </c>
      <c r="AE1185" s="27" t="s">
        <v>873</v>
      </c>
      <c r="AF1185" s="432">
        <v>0</v>
      </c>
      <c r="AG1185" s="432"/>
      <c r="AH1185" s="432">
        <f t="shared" si="293"/>
        <v>0</v>
      </c>
      <c r="AL1185" s="448"/>
      <c r="AM1185" s="467" t="e">
        <f>VLOOKUP(AD1185,[6]BV201101!$A$10:$A$1236,1,0)</f>
        <v>#N/A</v>
      </c>
    </row>
    <row r="1186" spans="1:39" s="467" customFormat="1" ht="12.75" customHeight="1">
      <c r="A1186" s="487" t="str">
        <f t="shared" si="285"/>
        <v>4</v>
      </c>
      <c r="B1186" s="487" t="str">
        <f t="shared" si="281"/>
        <v>10</v>
      </c>
      <c r="C1186" s="487" t="str">
        <f t="shared" si="282"/>
        <v>40</v>
      </c>
      <c r="D1186" s="487" t="str">
        <f t="shared" si="283"/>
        <v>0409</v>
      </c>
      <c r="E1186" s="487">
        <v>531101130</v>
      </c>
      <c r="F1186" s="488" t="str">
        <f t="shared" si="286"/>
        <v>671130000104</v>
      </c>
      <c r="G1186" s="489">
        <v>671130000</v>
      </c>
      <c r="H1186" s="489">
        <v>104</v>
      </c>
      <c r="I1186" s="488" t="str">
        <f t="shared" si="287"/>
        <v/>
      </c>
      <c r="J1186" s="487"/>
      <c r="K1186" s="487"/>
      <c r="L1186" s="488" t="str">
        <f t="shared" si="288"/>
        <v/>
      </c>
      <c r="M1186" s="489"/>
      <c r="N1186" s="489"/>
      <c r="O1186" s="488" t="str">
        <f t="shared" si="289"/>
        <v/>
      </c>
      <c r="P1186" s="489"/>
      <c r="Q1186" s="489"/>
      <c r="R1186" s="592" t="str">
        <f t="shared" si="290"/>
        <v/>
      </c>
      <c r="S1186" s="487"/>
      <c r="T1186" s="487"/>
      <c r="U1186" s="488" t="str">
        <f t="shared" si="291"/>
        <v>630130000104</v>
      </c>
      <c r="V1186" s="489">
        <v>630130000</v>
      </c>
      <c r="W1186" s="489">
        <v>104</v>
      </c>
      <c r="X1186" s="488" t="str">
        <f t="shared" si="292"/>
        <v>631101130104</v>
      </c>
      <c r="Y1186" s="489">
        <v>631101130</v>
      </c>
      <c r="Z1186" s="489">
        <v>104</v>
      </c>
      <c r="AA1186" s="490" t="str">
        <f t="shared" si="273"/>
        <v/>
      </c>
      <c r="AB1186" s="489"/>
      <c r="AC1186" s="489"/>
      <c r="AD1186" s="27">
        <v>410409</v>
      </c>
      <c r="AE1186" s="27" t="s">
        <v>874</v>
      </c>
      <c r="AF1186" s="432">
        <v>0</v>
      </c>
      <c r="AG1186" s="432"/>
      <c r="AH1186" s="432">
        <f t="shared" si="293"/>
        <v>0</v>
      </c>
      <c r="AL1186" s="448"/>
      <c r="AM1186" s="467" t="e">
        <f>VLOOKUP(AD1186,[6]BV201101!$A$10:$A$1236,1,0)</f>
        <v>#N/A</v>
      </c>
    </row>
    <row r="1187" spans="1:39" s="467" customFormat="1" ht="12.75" customHeight="1">
      <c r="A1187" s="487" t="str">
        <f t="shared" si="285"/>
        <v>4</v>
      </c>
      <c r="B1187" s="487" t="str">
        <f t="shared" si="281"/>
        <v>10</v>
      </c>
      <c r="C1187" s="487" t="str">
        <f t="shared" si="282"/>
        <v>41</v>
      </c>
      <c r="D1187" s="487" t="str">
        <f t="shared" si="283"/>
        <v>0410</v>
      </c>
      <c r="E1187" s="487">
        <v>531101130</v>
      </c>
      <c r="F1187" s="488" t="str">
        <f t="shared" si="286"/>
        <v>671130000114</v>
      </c>
      <c r="G1187" s="489">
        <v>671130000</v>
      </c>
      <c r="H1187" s="489">
        <v>114</v>
      </c>
      <c r="I1187" s="488" t="str">
        <f t="shared" si="287"/>
        <v/>
      </c>
      <c r="J1187" s="487"/>
      <c r="K1187" s="487"/>
      <c r="L1187" s="488" t="str">
        <f t="shared" si="288"/>
        <v/>
      </c>
      <c r="M1187" s="487"/>
      <c r="N1187" s="487"/>
      <c r="O1187" s="488" t="str">
        <f t="shared" si="289"/>
        <v/>
      </c>
      <c r="P1187" s="489"/>
      <c r="Q1187" s="489"/>
      <c r="R1187" s="592" t="str">
        <f t="shared" si="290"/>
        <v/>
      </c>
      <c r="S1187" s="487"/>
      <c r="T1187" s="487"/>
      <c r="U1187" s="488" t="str">
        <f t="shared" si="291"/>
        <v>630130000114</v>
      </c>
      <c r="V1187" s="489">
        <v>630130000</v>
      </c>
      <c r="W1187" s="489">
        <v>114</v>
      </c>
      <c r="X1187" s="488" t="str">
        <f t="shared" si="292"/>
        <v>631101130114</v>
      </c>
      <c r="Y1187" s="489">
        <v>631101130</v>
      </c>
      <c r="Z1187" s="489">
        <v>114</v>
      </c>
      <c r="AA1187" s="490" t="str">
        <f t="shared" si="273"/>
        <v/>
      </c>
      <c r="AB1187" s="489"/>
      <c r="AC1187" s="489"/>
      <c r="AD1187" s="27">
        <v>410410</v>
      </c>
      <c r="AE1187" s="27" t="s">
        <v>875</v>
      </c>
      <c r="AF1187" s="432">
        <v>0</v>
      </c>
      <c r="AG1187" s="432"/>
      <c r="AH1187" s="432">
        <f t="shared" si="293"/>
        <v>0</v>
      </c>
      <c r="AL1187" s="448"/>
      <c r="AM1187" s="467" t="e">
        <f>VLOOKUP(AD1187,[6]BV201101!$A$10:$A$1236,1,0)</f>
        <v>#N/A</v>
      </c>
    </row>
    <row r="1188" spans="1:39" s="467" customFormat="1" ht="12.75" customHeight="1">
      <c r="A1188" s="487" t="str">
        <f t="shared" si="285"/>
        <v>4</v>
      </c>
      <c r="B1188" s="487" t="str">
        <f t="shared" si="281"/>
        <v>10</v>
      </c>
      <c r="C1188" s="487" t="str">
        <f t="shared" si="282"/>
        <v>41</v>
      </c>
      <c r="D1188" s="487" t="str">
        <f t="shared" si="283"/>
        <v>0411</v>
      </c>
      <c r="E1188" s="487">
        <v>531101130</v>
      </c>
      <c r="F1188" s="488" t="str">
        <f t="shared" si="286"/>
        <v>671130000110</v>
      </c>
      <c r="G1188" s="489">
        <v>671130000</v>
      </c>
      <c r="H1188" s="489">
        <v>110</v>
      </c>
      <c r="I1188" s="488" t="str">
        <f t="shared" si="287"/>
        <v/>
      </c>
      <c r="J1188" s="487"/>
      <c r="K1188" s="487"/>
      <c r="L1188" s="488" t="str">
        <f t="shared" si="288"/>
        <v/>
      </c>
      <c r="M1188" s="487"/>
      <c r="N1188" s="487"/>
      <c r="O1188" s="488" t="str">
        <f t="shared" si="289"/>
        <v/>
      </c>
      <c r="P1188" s="489"/>
      <c r="Q1188" s="489"/>
      <c r="R1188" s="592" t="str">
        <f t="shared" si="290"/>
        <v/>
      </c>
      <c r="S1188" s="487"/>
      <c r="T1188" s="487"/>
      <c r="U1188" s="488" t="str">
        <f t="shared" si="291"/>
        <v>630130000110</v>
      </c>
      <c r="V1188" s="489">
        <v>630130000</v>
      </c>
      <c r="W1188" s="489">
        <v>110</v>
      </c>
      <c r="X1188" s="488" t="str">
        <f t="shared" si="292"/>
        <v>631101130110</v>
      </c>
      <c r="Y1188" s="489">
        <v>631101130</v>
      </c>
      <c r="Z1188" s="489">
        <v>110</v>
      </c>
      <c r="AA1188" s="490" t="str">
        <f t="shared" si="273"/>
        <v/>
      </c>
      <c r="AB1188" s="489"/>
      <c r="AC1188" s="489"/>
      <c r="AD1188" s="27">
        <v>410411</v>
      </c>
      <c r="AE1188" s="27" t="s">
        <v>876</v>
      </c>
      <c r="AF1188" s="432">
        <v>0</v>
      </c>
      <c r="AG1188" s="432"/>
      <c r="AH1188" s="432">
        <f t="shared" si="293"/>
        <v>0</v>
      </c>
      <c r="AL1188" s="448"/>
      <c r="AM1188" s="467" t="e">
        <f>VLOOKUP(AD1188,[6]BV201101!$A$10:$A$1236,1,0)</f>
        <v>#N/A</v>
      </c>
    </row>
    <row r="1189" spans="1:39" s="467" customFormat="1" ht="12.75" customHeight="1">
      <c r="A1189" s="487" t="str">
        <f t="shared" si="285"/>
        <v>4</v>
      </c>
      <c r="B1189" s="487" t="str">
        <f t="shared" si="281"/>
        <v>10</v>
      </c>
      <c r="C1189" s="487" t="str">
        <f t="shared" si="282"/>
        <v>41</v>
      </c>
      <c r="D1189" s="487" t="str">
        <f t="shared" si="283"/>
        <v>0412</v>
      </c>
      <c r="E1189" s="487">
        <v>531101130</v>
      </c>
      <c r="F1189" s="488" t="str">
        <f t="shared" si="286"/>
        <v>671130000210</v>
      </c>
      <c r="G1189" s="489">
        <v>671130000</v>
      </c>
      <c r="H1189" s="489">
        <v>210</v>
      </c>
      <c r="I1189" s="488" t="str">
        <f t="shared" si="287"/>
        <v/>
      </c>
      <c r="J1189" s="487"/>
      <c r="K1189" s="487"/>
      <c r="L1189" s="488" t="str">
        <f t="shared" si="288"/>
        <v/>
      </c>
      <c r="M1189" s="487"/>
      <c r="N1189" s="487"/>
      <c r="O1189" s="488" t="str">
        <f t="shared" si="289"/>
        <v/>
      </c>
      <c r="P1189" s="489"/>
      <c r="Q1189" s="489"/>
      <c r="R1189" s="592" t="str">
        <f t="shared" si="290"/>
        <v/>
      </c>
      <c r="S1189" s="487"/>
      <c r="T1189" s="487"/>
      <c r="U1189" s="488" t="str">
        <f t="shared" si="291"/>
        <v>630130000210</v>
      </c>
      <c r="V1189" s="489">
        <v>630130000</v>
      </c>
      <c r="W1189" s="489">
        <v>210</v>
      </c>
      <c r="X1189" s="488" t="str">
        <f t="shared" si="292"/>
        <v>631101130210</v>
      </c>
      <c r="Y1189" s="489">
        <v>631101130</v>
      </c>
      <c r="Z1189" s="489">
        <v>210</v>
      </c>
      <c r="AA1189" s="490" t="str">
        <f t="shared" si="273"/>
        <v/>
      </c>
      <c r="AB1189" s="489"/>
      <c r="AC1189" s="489"/>
      <c r="AD1189" s="27">
        <v>410412</v>
      </c>
      <c r="AE1189" s="27" t="s">
        <v>572</v>
      </c>
      <c r="AF1189" s="432">
        <v>0</v>
      </c>
      <c r="AG1189" s="432"/>
      <c r="AH1189" s="432">
        <f t="shared" si="293"/>
        <v>0</v>
      </c>
      <c r="AL1189" s="448"/>
      <c r="AM1189" s="467" t="e">
        <f>VLOOKUP(AD1189,[6]BV201101!$A$10:$A$1236,1,0)</f>
        <v>#N/A</v>
      </c>
    </row>
    <row r="1190" spans="1:39" s="467" customFormat="1" ht="12.75" customHeight="1">
      <c r="A1190" s="487" t="str">
        <f t="shared" si="285"/>
        <v>4</v>
      </c>
      <c r="B1190" s="487" t="str">
        <f t="shared" si="281"/>
        <v>10</v>
      </c>
      <c r="C1190" s="487" t="str">
        <f t="shared" si="282"/>
        <v>48</v>
      </c>
      <c r="D1190" s="487" t="str">
        <f t="shared" si="283"/>
        <v>0480</v>
      </c>
      <c r="E1190" s="487">
        <v>532100000</v>
      </c>
      <c r="F1190" s="488"/>
      <c r="G1190" s="489"/>
      <c r="H1190" s="489"/>
      <c r="I1190" s="488"/>
      <c r="J1190" s="487"/>
      <c r="K1190" s="487"/>
      <c r="L1190" s="488"/>
      <c r="M1190" s="487"/>
      <c r="N1190" s="487"/>
      <c r="O1190" s="488"/>
      <c r="P1190" s="489"/>
      <c r="Q1190" s="489"/>
      <c r="R1190" s="592"/>
      <c r="S1190" s="487"/>
      <c r="T1190" s="487"/>
      <c r="U1190" s="488"/>
      <c r="V1190" s="489"/>
      <c r="W1190" s="489"/>
      <c r="X1190" s="488"/>
      <c r="Y1190" s="489"/>
      <c r="Z1190" s="489"/>
      <c r="AA1190" s="490"/>
      <c r="AB1190" s="489"/>
      <c r="AC1190" s="489"/>
      <c r="AD1190" s="27">
        <v>410480</v>
      </c>
      <c r="AE1190" s="27" t="s">
        <v>2335</v>
      </c>
      <c r="AF1190" s="432">
        <f>VLOOKUP(AD1190,[5]Hoja1!$A$10:$K$1393,11,0)</f>
        <v>-27024363</v>
      </c>
      <c r="AG1190" s="432"/>
      <c r="AH1190" s="432">
        <f t="shared" si="293"/>
        <v>-27024</v>
      </c>
      <c r="AL1190" s="448"/>
      <c r="AM1190" s="467">
        <f>VLOOKUP(AD1190,[6]BV201101!$A$10:$A$1236,1,0)</f>
        <v>410480</v>
      </c>
    </row>
    <row r="1191" spans="1:39" s="467" customFormat="1" ht="12.75" customHeight="1">
      <c r="A1191" s="487" t="str">
        <f t="shared" si="285"/>
        <v>4</v>
      </c>
      <c r="B1191" s="487" t="str">
        <f t="shared" si="281"/>
        <v>10</v>
      </c>
      <c r="C1191" s="487" t="str">
        <f t="shared" si="282"/>
        <v>48</v>
      </c>
      <c r="D1191" s="487" t="str">
        <f t="shared" si="283"/>
        <v>0481</v>
      </c>
      <c r="E1191" s="487">
        <v>532100000</v>
      </c>
      <c r="F1191" s="488"/>
      <c r="G1191" s="489"/>
      <c r="H1191" s="489"/>
      <c r="I1191" s="488"/>
      <c r="J1191" s="487"/>
      <c r="K1191" s="487"/>
      <c r="L1191" s="488"/>
      <c r="M1191" s="487"/>
      <c r="N1191" s="487"/>
      <c r="O1191" s="488"/>
      <c r="P1191" s="489"/>
      <c r="Q1191" s="489"/>
      <c r="R1191" s="592"/>
      <c r="S1191" s="487"/>
      <c r="T1191" s="487"/>
      <c r="U1191" s="488"/>
      <c r="V1191" s="489"/>
      <c r="W1191" s="489"/>
      <c r="X1191" s="488"/>
      <c r="Y1191" s="489"/>
      <c r="Z1191" s="489"/>
      <c r="AA1191" s="490"/>
      <c r="AB1191" s="489"/>
      <c r="AC1191" s="489"/>
      <c r="AD1191" s="27">
        <v>410481</v>
      </c>
      <c r="AE1191" s="27" t="s">
        <v>2336</v>
      </c>
      <c r="AF1191" s="432">
        <f>VLOOKUP(AD1191,[5]Hoja1!$A$10:$K$1393,11,0)</f>
        <v>67438397</v>
      </c>
      <c r="AG1191" s="432"/>
      <c r="AH1191" s="432">
        <f t="shared" si="293"/>
        <v>67438</v>
      </c>
      <c r="AL1191" s="448"/>
      <c r="AM1191" s="467">
        <f>VLOOKUP(AD1191,[6]BV201101!$A$10:$A$1236,1,0)</f>
        <v>410481</v>
      </c>
    </row>
    <row r="1192" spans="1:39" s="467" customFormat="1" ht="12.75" customHeight="1">
      <c r="A1192" s="487" t="str">
        <f t="shared" si="285"/>
        <v>4</v>
      </c>
      <c r="B1192" s="487" t="str">
        <f t="shared" si="281"/>
        <v>10</v>
      </c>
      <c r="C1192" s="487" t="str">
        <f t="shared" si="282"/>
        <v>48</v>
      </c>
      <c r="D1192" s="487" t="str">
        <f t="shared" si="283"/>
        <v>0482</v>
      </c>
      <c r="E1192" s="487">
        <v>532100000</v>
      </c>
      <c r="F1192" s="488"/>
      <c r="G1192" s="489"/>
      <c r="H1192" s="489"/>
      <c r="I1192" s="488"/>
      <c r="J1192" s="487"/>
      <c r="K1192" s="487"/>
      <c r="L1192" s="488"/>
      <c r="M1192" s="487"/>
      <c r="N1192" s="487"/>
      <c r="O1192" s="488"/>
      <c r="P1192" s="489"/>
      <c r="Q1192" s="489"/>
      <c r="R1192" s="592"/>
      <c r="S1192" s="487"/>
      <c r="T1192" s="487"/>
      <c r="U1192" s="488"/>
      <c r="V1192" s="489"/>
      <c r="W1192" s="489"/>
      <c r="X1192" s="488"/>
      <c r="Y1192" s="489"/>
      <c r="Z1192" s="489"/>
      <c r="AA1192" s="490"/>
      <c r="AB1192" s="489"/>
      <c r="AC1192" s="489"/>
      <c r="AD1192" s="27">
        <v>410482</v>
      </c>
      <c r="AE1192" s="27" t="s">
        <v>2337</v>
      </c>
      <c r="AF1192" s="432">
        <f>VLOOKUP(AD1192,[5]Hoja1!$A$10:$K$1393,11,0)</f>
        <v>9765767</v>
      </c>
      <c r="AG1192" s="432"/>
      <c r="AH1192" s="432">
        <f t="shared" si="293"/>
        <v>9766</v>
      </c>
      <c r="AL1192" s="448"/>
      <c r="AM1192" s="467">
        <f>VLOOKUP(AD1192,[6]BV201101!$A$10:$A$1236,1,0)</f>
        <v>410482</v>
      </c>
    </row>
    <row r="1193" spans="1:39" s="467" customFormat="1" ht="12.75" customHeight="1">
      <c r="A1193" s="487" t="str">
        <f t="shared" si="285"/>
        <v>4</v>
      </c>
      <c r="B1193" s="487" t="str">
        <f t="shared" si="281"/>
        <v>10</v>
      </c>
      <c r="C1193" s="487" t="str">
        <f t="shared" si="282"/>
        <v>48</v>
      </c>
      <c r="D1193" s="487" t="str">
        <f t="shared" si="283"/>
        <v>0483</v>
      </c>
      <c r="E1193" s="487">
        <v>532100000</v>
      </c>
      <c r="F1193" s="488"/>
      <c r="G1193" s="489"/>
      <c r="H1193" s="489"/>
      <c r="I1193" s="488"/>
      <c r="J1193" s="487"/>
      <c r="K1193" s="487"/>
      <c r="L1193" s="488"/>
      <c r="M1193" s="487"/>
      <c r="N1193" s="487"/>
      <c r="O1193" s="488"/>
      <c r="P1193" s="489"/>
      <c r="Q1193" s="489"/>
      <c r="R1193" s="592"/>
      <c r="S1193" s="487"/>
      <c r="T1193" s="487"/>
      <c r="U1193" s="488"/>
      <c r="V1193" s="489"/>
      <c r="W1193" s="489"/>
      <c r="X1193" s="488"/>
      <c r="Y1193" s="489"/>
      <c r="Z1193" s="489"/>
      <c r="AA1193" s="490"/>
      <c r="AB1193" s="489"/>
      <c r="AC1193" s="489"/>
      <c r="AD1193" s="27">
        <v>410483</v>
      </c>
      <c r="AE1193" s="27" t="s">
        <v>2338</v>
      </c>
      <c r="AF1193" s="432">
        <f>VLOOKUP(AD1193,[5]Hoja1!$A$10:$K$1393,11,0)</f>
        <v>148560</v>
      </c>
      <c r="AG1193" s="432"/>
      <c r="AH1193" s="432">
        <f t="shared" si="293"/>
        <v>149</v>
      </c>
      <c r="AL1193" s="448"/>
      <c r="AM1193" s="467">
        <f>VLOOKUP(AD1193,[6]BV201101!$A$10:$A$1236,1,0)</f>
        <v>410483</v>
      </c>
    </row>
    <row r="1194" spans="1:39" s="467" customFormat="1" ht="12.75" customHeight="1">
      <c r="A1194" s="487" t="str">
        <f t="shared" si="285"/>
        <v>4</v>
      </c>
      <c r="B1194" s="487" t="str">
        <f t="shared" si="281"/>
        <v>10</v>
      </c>
      <c r="C1194" s="487" t="str">
        <f t="shared" si="282"/>
        <v>48</v>
      </c>
      <c r="D1194" s="487" t="str">
        <f t="shared" si="283"/>
        <v>0484</v>
      </c>
      <c r="E1194" s="487">
        <v>532201130</v>
      </c>
      <c r="F1194" s="488"/>
      <c r="G1194" s="489"/>
      <c r="H1194" s="489"/>
      <c r="I1194" s="488"/>
      <c r="J1194" s="487"/>
      <c r="K1194" s="487"/>
      <c r="L1194" s="488"/>
      <c r="M1194" s="487"/>
      <c r="N1194" s="487"/>
      <c r="O1194" s="488"/>
      <c r="P1194" s="489"/>
      <c r="Q1194" s="489"/>
      <c r="R1194" s="592"/>
      <c r="S1194" s="487"/>
      <c r="T1194" s="487"/>
      <c r="U1194" s="488"/>
      <c r="V1194" s="489"/>
      <c r="W1194" s="489"/>
      <c r="X1194" s="488"/>
      <c r="Y1194" s="489"/>
      <c r="Z1194" s="489"/>
      <c r="AA1194" s="490"/>
      <c r="AB1194" s="489"/>
      <c r="AC1194" s="489"/>
      <c r="AD1194" s="27">
        <v>410484</v>
      </c>
      <c r="AE1194" s="27" t="s">
        <v>2634</v>
      </c>
      <c r="AF1194" s="432">
        <f>VLOOKUP(AD1194,[5]Hoja1!$A$10:$K$1393,11,0)</f>
        <v>3532322</v>
      </c>
      <c r="AG1194" s="432">
        <v>0</v>
      </c>
      <c r="AH1194" s="432">
        <f t="shared" si="293"/>
        <v>3532</v>
      </c>
      <c r="AL1194" s="448"/>
    </row>
    <row r="1195" spans="1:39" s="467" customFormat="1" ht="12.75" customHeight="1">
      <c r="A1195" s="487" t="str">
        <f t="shared" si="285"/>
        <v>4</v>
      </c>
      <c r="B1195" s="487" t="str">
        <f t="shared" si="281"/>
        <v>10</v>
      </c>
      <c r="C1195" s="487" t="str">
        <f t="shared" si="282"/>
        <v>49</v>
      </c>
      <c r="D1195" s="487" t="str">
        <f t="shared" si="283"/>
        <v>0490</v>
      </c>
      <c r="E1195" s="487">
        <v>532100000</v>
      </c>
      <c r="F1195" s="488"/>
      <c r="G1195" s="489"/>
      <c r="H1195" s="489"/>
      <c r="I1195" s="488"/>
      <c r="J1195" s="487"/>
      <c r="K1195" s="487"/>
      <c r="L1195" s="488"/>
      <c r="M1195" s="487"/>
      <c r="N1195" s="487"/>
      <c r="O1195" s="488"/>
      <c r="P1195" s="489"/>
      <c r="Q1195" s="489"/>
      <c r="R1195" s="592"/>
      <c r="S1195" s="487"/>
      <c r="T1195" s="487"/>
      <c r="U1195" s="488"/>
      <c r="V1195" s="489"/>
      <c r="W1195" s="489"/>
      <c r="X1195" s="488"/>
      <c r="Y1195" s="489"/>
      <c r="Z1195" s="489"/>
      <c r="AA1195" s="490"/>
      <c r="AB1195" s="489"/>
      <c r="AC1195" s="489"/>
      <c r="AD1195" s="27">
        <v>410490</v>
      </c>
      <c r="AE1195" s="27" t="s">
        <v>1086</v>
      </c>
      <c r="AF1195" s="432">
        <f>VLOOKUP(AD1195,[5]Hoja1!$A$10:$K$1393,11,0)</f>
        <v>-375649333</v>
      </c>
      <c r="AG1195" s="432"/>
      <c r="AH1195" s="432">
        <f t="shared" si="293"/>
        <v>-375649</v>
      </c>
      <c r="AL1195" s="448"/>
      <c r="AM1195" s="467">
        <f>VLOOKUP(AD1195,[6]BV201101!$A$10:$A$1236,1,0)</f>
        <v>410490</v>
      </c>
    </row>
    <row r="1196" spans="1:39" s="467" customFormat="1" ht="12.75" customHeight="1">
      <c r="A1196" s="487" t="str">
        <f t="shared" si="285"/>
        <v>4</v>
      </c>
      <c r="B1196" s="487" t="str">
        <f t="shared" si="281"/>
        <v>10</v>
      </c>
      <c r="C1196" s="487" t="str">
        <f t="shared" si="282"/>
        <v>49</v>
      </c>
      <c r="D1196" s="487" t="str">
        <f t="shared" si="283"/>
        <v>0491</v>
      </c>
      <c r="E1196" s="487">
        <v>532100000</v>
      </c>
      <c r="F1196" s="488"/>
      <c r="G1196" s="489"/>
      <c r="H1196" s="489"/>
      <c r="I1196" s="488"/>
      <c r="J1196" s="487"/>
      <c r="K1196" s="487"/>
      <c r="L1196" s="488"/>
      <c r="M1196" s="487"/>
      <c r="N1196" s="487"/>
      <c r="O1196" s="488"/>
      <c r="P1196" s="489"/>
      <c r="Q1196" s="489"/>
      <c r="R1196" s="592"/>
      <c r="S1196" s="487"/>
      <c r="T1196" s="487"/>
      <c r="U1196" s="488"/>
      <c r="V1196" s="489"/>
      <c r="W1196" s="489"/>
      <c r="X1196" s="488"/>
      <c r="Y1196" s="489"/>
      <c r="Z1196" s="489"/>
      <c r="AA1196" s="490"/>
      <c r="AB1196" s="489"/>
      <c r="AC1196" s="489"/>
      <c r="AD1196" s="27">
        <v>410491</v>
      </c>
      <c r="AE1196" s="27" t="s">
        <v>2559</v>
      </c>
      <c r="AF1196" s="432">
        <f>VLOOKUP(AD1196,[5]Hoja1!$A$10:$K$1393,11,0)</f>
        <v>-698134919</v>
      </c>
      <c r="AG1196" s="432"/>
      <c r="AH1196" s="432">
        <f t="shared" si="293"/>
        <v>-698135</v>
      </c>
      <c r="AL1196" s="448"/>
    </row>
    <row r="1197" spans="1:39" s="467" customFormat="1" ht="12.75" customHeight="1">
      <c r="A1197" s="487" t="str">
        <f t="shared" si="285"/>
        <v>4</v>
      </c>
      <c r="B1197" s="487" t="str">
        <f t="shared" si="281"/>
        <v>10</v>
      </c>
      <c r="C1197" s="487" t="str">
        <f t="shared" si="282"/>
        <v>49</v>
      </c>
      <c r="D1197" s="487" t="str">
        <f t="shared" si="283"/>
        <v>0492</v>
      </c>
      <c r="E1197" s="487">
        <v>532201200</v>
      </c>
      <c r="F1197" s="488"/>
      <c r="G1197" s="489"/>
      <c r="H1197" s="489"/>
      <c r="I1197" s="488"/>
      <c r="J1197" s="487"/>
      <c r="K1197" s="487"/>
      <c r="L1197" s="488"/>
      <c r="M1197" s="487"/>
      <c r="N1197" s="487"/>
      <c r="O1197" s="488"/>
      <c r="P1197" s="489"/>
      <c r="Q1197" s="489"/>
      <c r="R1197" s="592"/>
      <c r="S1197" s="487"/>
      <c r="T1197" s="487"/>
      <c r="U1197" s="488"/>
      <c r="V1197" s="489"/>
      <c r="W1197" s="489"/>
      <c r="X1197" s="488"/>
      <c r="Y1197" s="489"/>
      <c r="Z1197" s="489"/>
      <c r="AA1197" s="490"/>
      <c r="AB1197" s="489"/>
      <c r="AC1197" s="489"/>
      <c r="AD1197" s="27">
        <v>410492</v>
      </c>
      <c r="AE1197" s="27" t="s">
        <v>2560</v>
      </c>
      <c r="AF1197" s="432">
        <f>VLOOKUP(AD1197,[5]Hoja1!$A$10:$K$1393,11,0)</f>
        <v>0</v>
      </c>
      <c r="AG1197" s="432"/>
      <c r="AH1197" s="432">
        <f t="shared" si="293"/>
        <v>0</v>
      </c>
      <c r="AL1197" s="448"/>
    </row>
    <row r="1198" spans="1:39" s="467" customFormat="1" ht="12.75" customHeight="1">
      <c r="A1198" s="487" t="str">
        <f t="shared" si="285"/>
        <v>4</v>
      </c>
      <c r="B1198" s="487" t="str">
        <f t="shared" si="281"/>
        <v>10</v>
      </c>
      <c r="C1198" s="487" t="str">
        <f t="shared" si="282"/>
        <v>49</v>
      </c>
      <c r="D1198" s="487" t="str">
        <f t="shared" si="283"/>
        <v>0494</v>
      </c>
      <c r="E1198" s="487">
        <v>532201200</v>
      </c>
      <c r="F1198" s="488"/>
      <c r="G1198" s="489"/>
      <c r="H1198" s="489"/>
      <c r="I1198" s="488"/>
      <c r="J1198" s="487"/>
      <c r="K1198" s="487"/>
      <c r="L1198" s="488"/>
      <c r="M1198" s="487"/>
      <c r="N1198" s="487"/>
      <c r="O1198" s="488"/>
      <c r="P1198" s="489"/>
      <c r="Q1198" s="489"/>
      <c r="R1198" s="592"/>
      <c r="S1198" s="487"/>
      <c r="T1198" s="487"/>
      <c r="U1198" s="488"/>
      <c r="V1198" s="489"/>
      <c r="W1198" s="489"/>
      <c r="X1198" s="488"/>
      <c r="Y1198" s="489"/>
      <c r="Z1198" s="489"/>
      <c r="AA1198" s="490"/>
      <c r="AB1198" s="489"/>
      <c r="AC1198" s="489"/>
      <c r="AD1198" s="27">
        <v>410494</v>
      </c>
      <c r="AE1198" s="27" t="s">
        <v>2637</v>
      </c>
      <c r="AF1198" s="432">
        <f>VLOOKUP(AD1198,[5]Hoja1!$A$10:$K$1393,11,0)</f>
        <v>-153760000</v>
      </c>
      <c r="AG1198" s="432"/>
      <c r="AH1198" s="432">
        <f t="shared" si="293"/>
        <v>-153760</v>
      </c>
      <c r="AL1198" s="448"/>
    </row>
    <row r="1199" spans="1:39" s="467" customFormat="1" ht="12.75" customHeight="1">
      <c r="A1199" s="487" t="str">
        <f t="shared" ref="A1199:A1262" si="294">+LEFT($AD1199,1)</f>
        <v>4</v>
      </c>
      <c r="B1199" s="487" t="str">
        <f t="shared" si="281"/>
        <v>10</v>
      </c>
      <c r="C1199" s="487" t="str">
        <f t="shared" si="282"/>
        <v>50</v>
      </c>
      <c r="D1199" s="487" t="str">
        <f t="shared" si="283"/>
        <v>0501</v>
      </c>
      <c r="E1199" s="487">
        <v>532100000</v>
      </c>
      <c r="F1199" s="488" t="str">
        <f t="shared" si="286"/>
        <v/>
      </c>
      <c r="G1199" s="489"/>
      <c r="H1199" s="489"/>
      <c r="I1199" s="488" t="str">
        <f t="shared" si="287"/>
        <v/>
      </c>
      <c r="J1199" s="487"/>
      <c r="K1199" s="487"/>
      <c r="L1199" s="488" t="str">
        <f t="shared" si="288"/>
        <v/>
      </c>
      <c r="M1199" s="487"/>
      <c r="N1199" s="487"/>
      <c r="O1199" s="488" t="str">
        <f t="shared" si="289"/>
        <v/>
      </c>
      <c r="P1199" s="489"/>
      <c r="Q1199" s="489"/>
      <c r="R1199" s="592" t="str">
        <f t="shared" si="290"/>
        <v/>
      </c>
      <c r="S1199" s="487"/>
      <c r="T1199" s="487"/>
      <c r="U1199" s="488" t="str">
        <f t="shared" si="291"/>
        <v/>
      </c>
      <c r="V1199" s="489"/>
      <c r="W1199" s="489"/>
      <c r="X1199" s="488" t="str">
        <f t="shared" si="292"/>
        <v/>
      </c>
      <c r="Y1199" s="489"/>
      <c r="Z1199" s="489"/>
      <c r="AA1199" s="490" t="str">
        <f t="shared" si="273"/>
        <v/>
      </c>
      <c r="AB1199" s="489"/>
      <c r="AC1199" s="489"/>
      <c r="AD1199" s="27">
        <v>410501</v>
      </c>
      <c r="AE1199" s="27" t="s">
        <v>2339</v>
      </c>
      <c r="AF1199" s="432">
        <f>VLOOKUP(AD1199,[5]Hoja1!$A$10:$K$1393,11,0)</f>
        <v>0</v>
      </c>
      <c r="AG1199" s="432"/>
      <c r="AH1199" s="432">
        <f t="shared" si="293"/>
        <v>0</v>
      </c>
      <c r="AL1199" s="448"/>
      <c r="AM1199" s="467">
        <f>VLOOKUP(AD1199,[6]BV201101!$A$10:$A$1236,1,0)</f>
        <v>410501</v>
      </c>
    </row>
    <row r="1200" spans="1:39" s="467" customFormat="1" ht="12.75" customHeight="1">
      <c r="A1200" s="487" t="str">
        <f t="shared" si="294"/>
        <v>4</v>
      </c>
      <c r="B1200" s="487" t="str">
        <f t="shared" si="281"/>
        <v>10</v>
      </c>
      <c r="C1200" s="487" t="str">
        <f t="shared" si="282"/>
        <v>50</v>
      </c>
      <c r="D1200" s="487" t="str">
        <f t="shared" si="283"/>
        <v>0502</v>
      </c>
      <c r="E1200" s="487">
        <v>532100000</v>
      </c>
      <c r="F1200" s="488" t="str">
        <f t="shared" si="286"/>
        <v/>
      </c>
      <c r="G1200" s="489"/>
      <c r="H1200" s="489"/>
      <c r="I1200" s="488" t="str">
        <f t="shared" si="287"/>
        <v/>
      </c>
      <c r="J1200" s="487"/>
      <c r="K1200" s="487"/>
      <c r="L1200" s="488" t="str">
        <f t="shared" si="288"/>
        <v/>
      </c>
      <c r="M1200" s="487"/>
      <c r="N1200" s="487"/>
      <c r="O1200" s="488" t="str">
        <f t="shared" si="289"/>
        <v/>
      </c>
      <c r="P1200" s="489"/>
      <c r="Q1200" s="489"/>
      <c r="R1200" s="592" t="str">
        <f t="shared" si="290"/>
        <v/>
      </c>
      <c r="S1200" s="487"/>
      <c r="T1200" s="487"/>
      <c r="U1200" s="488" t="str">
        <f t="shared" si="291"/>
        <v/>
      </c>
      <c r="V1200" s="489"/>
      <c r="W1200" s="489"/>
      <c r="X1200" s="488" t="str">
        <f t="shared" si="292"/>
        <v/>
      </c>
      <c r="Y1200" s="489"/>
      <c r="Z1200" s="489"/>
      <c r="AA1200" s="490" t="str">
        <f t="shared" si="273"/>
        <v/>
      </c>
      <c r="AB1200" s="489"/>
      <c r="AC1200" s="489"/>
      <c r="AD1200" s="27">
        <v>410502</v>
      </c>
      <c r="AE1200" s="27" t="s">
        <v>2340</v>
      </c>
      <c r="AF1200" s="432">
        <f>VLOOKUP(AD1200,[5]Hoja1!$A$10:$K$1393,11,0)</f>
        <v>-683913237</v>
      </c>
      <c r="AG1200" s="432"/>
      <c r="AH1200" s="432">
        <f t="shared" si="293"/>
        <v>-683913</v>
      </c>
      <c r="AL1200" s="448"/>
      <c r="AM1200" s="467">
        <f>VLOOKUP(AD1200,[6]BV201101!$A$10:$A$1236,1,0)</f>
        <v>410502</v>
      </c>
    </row>
    <row r="1201" spans="1:39" s="467" customFormat="1" ht="12.75" customHeight="1">
      <c r="A1201" s="487" t="str">
        <f t="shared" si="294"/>
        <v>4</v>
      </c>
      <c r="B1201" s="487" t="str">
        <f t="shared" si="281"/>
        <v>10</v>
      </c>
      <c r="C1201" s="487" t="str">
        <f t="shared" si="282"/>
        <v>50</v>
      </c>
      <c r="D1201" s="487" t="str">
        <f t="shared" si="283"/>
        <v>0503</v>
      </c>
      <c r="E1201" s="487">
        <v>532100000</v>
      </c>
      <c r="F1201" s="488" t="str">
        <f t="shared" si="286"/>
        <v/>
      </c>
      <c r="G1201" s="489"/>
      <c r="H1201" s="489"/>
      <c r="I1201" s="488" t="str">
        <f t="shared" si="287"/>
        <v/>
      </c>
      <c r="J1201" s="487"/>
      <c r="K1201" s="487"/>
      <c r="L1201" s="488" t="str">
        <f t="shared" si="288"/>
        <v/>
      </c>
      <c r="M1201" s="487"/>
      <c r="N1201" s="487"/>
      <c r="O1201" s="488" t="str">
        <f t="shared" si="289"/>
        <v/>
      </c>
      <c r="P1201" s="489"/>
      <c r="Q1201" s="489"/>
      <c r="R1201" s="592" t="str">
        <f t="shared" si="290"/>
        <v/>
      </c>
      <c r="S1201" s="489"/>
      <c r="T1201" s="487"/>
      <c r="U1201" s="488" t="str">
        <f t="shared" si="291"/>
        <v/>
      </c>
      <c r="V1201" s="489"/>
      <c r="W1201" s="489"/>
      <c r="X1201" s="488" t="str">
        <f t="shared" si="292"/>
        <v/>
      </c>
      <c r="Y1201" s="489"/>
      <c r="Z1201" s="489"/>
      <c r="AA1201" s="490" t="str">
        <f t="shared" si="273"/>
        <v/>
      </c>
      <c r="AB1201" s="489"/>
      <c r="AC1201" s="489"/>
      <c r="AD1201" s="27">
        <v>410503</v>
      </c>
      <c r="AE1201" s="27" t="s">
        <v>1292</v>
      </c>
      <c r="AF1201" s="432">
        <f>VLOOKUP(AD1201,[5]Hoja1!$A$10:$K$1393,11,0)</f>
        <v>479288828</v>
      </c>
      <c r="AG1201" s="432"/>
      <c r="AH1201" s="432">
        <f t="shared" si="293"/>
        <v>479289</v>
      </c>
      <c r="AI1201" s="445"/>
      <c r="AL1201" s="448"/>
      <c r="AM1201" s="467">
        <f>VLOOKUP(AD1201,[6]BV201101!$A$10:$A$1236,1,0)</f>
        <v>410503</v>
      </c>
    </row>
    <row r="1202" spans="1:39" s="467" customFormat="1" ht="12.75" customHeight="1">
      <c r="A1202" s="487" t="str">
        <f t="shared" si="294"/>
        <v>4</v>
      </c>
      <c r="B1202" s="487" t="str">
        <f t="shared" si="281"/>
        <v>10</v>
      </c>
      <c r="C1202" s="487" t="str">
        <f t="shared" si="282"/>
        <v>50</v>
      </c>
      <c r="D1202" s="487" t="str">
        <f t="shared" si="283"/>
        <v>0504</v>
      </c>
      <c r="E1202" s="487">
        <v>532100000</v>
      </c>
      <c r="F1202" s="488" t="str">
        <f t="shared" si="286"/>
        <v/>
      </c>
      <c r="G1202" s="489"/>
      <c r="H1202" s="489"/>
      <c r="I1202" s="488" t="str">
        <f t="shared" si="287"/>
        <v/>
      </c>
      <c r="J1202" s="487"/>
      <c r="K1202" s="487"/>
      <c r="L1202" s="488" t="str">
        <f t="shared" si="288"/>
        <v/>
      </c>
      <c r="M1202" s="487"/>
      <c r="N1202" s="487"/>
      <c r="O1202" s="488" t="str">
        <f t="shared" si="289"/>
        <v/>
      </c>
      <c r="P1202" s="489"/>
      <c r="Q1202" s="489"/>
      <c r="R1202" s="592" t="str">
        <f t="shared" si="290"/>
        <v/>
      </c>
      <c r="S1202" s="489"/>
      <c r="T1202" s="487"/>
      <c r="U1202" s="488" t="str">
        <f t="shared" si="291"/>
        <v/>
      </c>
      <c r="V1202" s="489"/>
      <c r="W1202" s="489"/>
      <c r="X1202" s="488" t="str">
        <f t="shared" si="292"/>
        <v/>
      </c>
      <c r="Y1202" s="489"/>
      <c r="Z1202" s="489"/>
      <c r="AA1202" s="490" t="str">
        <f t="shared" si="273"/>
        <v/>
      </c>
      <c r="AB1202" s="489"/>
      <c r="AC1202" s="489"/>
      <c r="AD1202" s="27">
        <v>410504</v>
      </c>
      <c r="AE1202" s="27" t="s">
        <v>2341</v>
      </c>
      <c r="AF1202" s="432">
        <f>VLOOKUP(AD1202,[5]Hoja1!$A$10:$K$1393,11,0)</f>
        <v>2730306360</v>
      </c>
      <c r="AG1202" s="432"/>
      <c r="AH1202" s="432">
        <f t="shared" si="293"/>
        <v>2730306</v>
      </c>
      <c r="AI1202" s="445"/>
      <c r="AL1202" s="448"/>
      <c r="AM1202" s="467">
        <f>VLOOKUP(AD1202,[6]BV201101!$A$10:$A$1236,1,0)</f>
        <v>410504</v>
      </c>
    </row>
    <row r="1203" spans="1:39" s="467" customFormat="1" ht="12.75" customHeight="1">
      <c r="A1203" s="487" t="str">
        <f t="shared" si="294"/>
        <v>4</v>
      </c>
      <c r="B1203" s="487" t="str">
        <f t="shared" si="281"/>
        <v>10</v>
      </c>
      <c r="C1203" s="487" t="str">
        <f t="shared" si="282"/>
        <v>50</v>
      </c>
      <c r="D1203" s="487" t="str">
        <f t="shared" si="283"/>
        <v>0505</v>
      </c>
      <c r="E1203" s="487">
        <v>532201120</v>
      </c>
      <c r="F1203" s="488" t="str">
        <f t="shared" si="286"/>
        <v/>
      </c>
      <c r="G1203" s="489"/>
      <c r="H1203" s="489"/>
      <c r="I1203" s="488" t="str">
        <f t="shared" si="287"/>
        <v/>
      </c>
      <c r="J1203" s="487"/>
      <c r="K1203" s="487"/>
      <c r="L1203" s="488" t="str">
        <f t="shared" si="288"/>
        <v/>
      </c>
      <c r="M1203" s="487"/>
      <c r="N1203" s="487"/>
      <c r="O1203" s="488" t="str">
        <f t="shared" si="289"/>
        <v/>
      </c>
      <c r="P1203" s="489"/>
      <c r="Q1203" s="489"/>
      <c r="R1203" s="592" t="str">
        <f t="shared" si="290"/>
        <v/>
      </c>
      <c r="S1203" s="489"/>
      <c r="T1203" s="487"/>
      <c r="U1203" s="488" t="str">
        <f t="shared" si="291"/>
        <v/>
      </c>
      <c r="V1203" s="489"/>
      <c r="W1203" s="489"/>
      <c r="X1203" s="488" t="str">
        <f t="shared" si="292"/>
        <v/>
      </c>
      <c r="Y1203" s="489"/>
      <c r="Z1203" s="489"/>
      <c r="AA1203" s="490" t="str">
        <f t="shared" si="273"/>
        <v/>
      </c>
      <c r="AB1203" s="489"/>
      <c r="AC1203" s="489"/>
      <c r="AD1203" s="27">
        <v>410505</v>
      </c>
      <c r="AE1203" s="27" t="s">
        <v>2342</v>
      </c>
      <c r="AF1203" s="432">
        <f>VLOOKUP(AD1203,[5]Hoja1!$A$10:$K$1393,11,0)</f>
        <v>-1455231207</v>
      </c>
      <c r="AG1203" s="432"/>
      <c r="AH1203" s="432">
        <f t="shared" si="293"/>
        <v>-1455231</v>
      </c>
      <c r="AI1203" s="445"/>
      <c r="AL1203" s="448"/>
      <c r="AM1203" s="467">
        <f>VLOOKUP(AD1203,[6]BV201101!$A$10:$A$1236,1,0)</f>
        <v>410505</v>
      </c>
    </row>
    <row r="1204" spans="1:39" s="467" customFormat="1" ht="12.75" customHeight="1">
      <c r="A1204" s="487" t="str">
        <f t="shared" si="294"/>
        <v>4</v>
      </c>
      <c r="B1204" s="487" t="str">
        <f t="shared" si="281"/>
        <v>10</v>
      </c>
      <c r="C1204" s="487" t="str">
        <f t="shared" si="282"/>
        <v>50</v>
      </c>
      <c r="D1204" s="487" t="str">
        <f t="shared" si="283"/>
        <v>0506</v>
      </c>
      <c r="E1204" s="487">
        <v>532201130</v>
      </c>
      <c r="F1204" s="488" t="str">
        <f t="shared" si="286"/>
        <v/>
      </c>
      <c r="G1204" s="489"/>
      <c r="H1204" s="489"/>
      <c r="I1204" s="488" t="str">
        <f t="shared" si="287"/>
        <v/>
      </c>
      <c r="J1204" s="487"/>
      <c r="K1204" s="487"/>
      <c r="L1204" s="488" t="str">
        <f t="shared" si="288"/>
        <v/>
      </c>
      <c r="M1204" s="487"/>
      <c r="N1204" s="487"/>
      <c r="O1204" s="488" t="str">
        <f t="shared" si="289"/>
        <v/>
      </c>
      <c r="P1204" s="489"/>
      <c r="Q1204" s="489"/>
      <c r="R1204" s="592" t="str">
        <f t="shared" si="290"/>
        <v/>
      </c>
      <c r="S1204" s="489"/>
      <c r="T1204" s="487"/>
      <c r="U1204" s="488" t="str">
        <f t="shared" si="291"/>
        <v/>
      </c>
      <c r="V1204" s="489"/>
      <c r="W1204" s="489"/>
      <c r="X1204" s="488" t="str">
        <f t="shared" si="292"/>
        <v/>
      </c>
      <c r="Y1204" s="489"/>
      <c r="Z1204" s="489"/>
      <c r="AA1204" s="490" t="str">
        <f t="shared" si="273"/>
        <v/>
      </c>
      <c r="AB1204" s="489"/>
      <c r="AC1204" s="489"/>
      <c r="AD1204" s="27">
        <v>410506</v>
      </c>
      <c r="AE1204" s="27" t="s">
        <v>2343</v>
      </c>
      <c r="AF1204" s="432">
        <f>VLOOKUP(AD1204,[5]Hoja1!$A$10:$K$1393,11,0)</f>
        <v>-2148722736</v>
      </c>
      <c r="AG1204" s="432"/>
      <c r="AH1204" s="432">
        <f t="shared" si="293"/>
        <v>-2148723</v>
      </c>
      <c r="AI1204" s="445"/>
      <c r="AL1204" s="448"/>
      <c r="AM1204" s="467">
        <f>VLOOKUP(AD1204,[6]BV201101!$A$10:$A$1236,1,0)</f>
        <v>410506</v>
      </c>
    </row>
    <row r="1205" spans="1:39" s="467" customFormat="1" ht="12.75" customHeight="1">
      <c r="A1205" s="487" t="str">
        <f t="shared" si="294"/>
        <v>4</v>
      </c>
      <c r="B1205" s="487" t="str">
        <f t="shared" si="281"/>
        <v>10</v>
      </c>
      <c r="C1205" s="487" t="str">
        <f t="shared" si="282"/>
        <v>50</v>
      </c>
      <c r="D1205" s="487" t="str">
        <f t="shared" si="283"/>
        <v>0507</v>
      </c>
      <c r="E1205" s="487">
        <v>532201110</v>
      </c>
      <c r="F1205" s="488" t="str">
        <f t="shared" si="286"/>
        <v/>
      </c>
      <c r="G1205" s="489"/>
      <c r="H1205" s="489"/>
      <c r="I1205" s="488" t="str">
        <f t="shared" si="287"/>
        <v/>
      </c>
      <c r="J1205" s="487"/>
      <c r="K1205" s="487"/>
      <c r="L1205" s="488" t="str">
        <f t="shared" si="288"/>
        <v/>
      </c>
      <c r="M1205" s="487"/>
      <c r="N1205" s="487"/>
      <c r="O1205" s="488" t="str">
        <f t="shared" si="289"/>
        <v/>
      </c>
      <c r="P1205" s="489"/>
      <c r="Q1205" s="489"/>
      <c r="R1205" s="592" t="str">
        <f t="shared" si="290"/>
        <v/>
      </c>
      <c r="S1205" s="489"/>
      <c r="T1205" s="487"/>
      <c r="U1205" s="488" t="str">
        <f t="shared" si="291"/>
        <v/>
      </c>
      <c r="V1205" s="489"/>
      <c r="W1205" s="489"/>
      <c r="X1205" s="488" t="str">
        <f t="shared" si="292"/>
        <v/>
      </c>
      <c r="Y1205" s="489"/>
      <c r="Z1205" s="489"/>
      <c r="AA1205" s="490" t="str">
        <f t="shared" si="273"/>
        <v/>
      </c>
      <c r="AB1205" s="489"/>
      <c r="AC1205" s="489"/>
      <c r="AD1205" s="27">
        <v>410507</v>
      </c>
      <c r="AE1205" s="27" t="s">
        <v>2344</v>
      </c>
      <c r="AF1205" s="432">
        <f>VLOOKUP(AD1205,[5]Hoja1!$A$10:$K$1393,11,0)</f>
        <v>-612092550</v>
      </c>
      <c r="AG1205" s="432"/>
      <c r="AH1205" s="432">
        <f t="shared" si="293"/>
        <v>-612093</v>
      </c>
      <c r="AI1205" s="445"/>
      <c r="AL1205" s="448"/>
      <c r="AM1205" s="467">
        <f>VLOOKUP(AD1205,[6]BV201101!$A$10:$A$1236,1,0)</f>
        <v>410507</v>
      </c>
    </row>
    <row r="1206" spans="1:39" s="467" customFormat="1" ht="12.75" customHeight="1">
      <c r="A1206" s="487" t="str">
        <f t="shared" si="294"/>
        <v>4</v>
      </c>
      <c r="B1206" s="487" t="str">
        <f t="shared" si="281"/>
        <v>10</v>
      </c>
      <c r="C1206" s="487" t="str">
        <f t="shared" si="282"/>
        <v>50</v>
      </c>
      <c r="D1206" s="487" t="str">
        <f t="shared" si="283"/>
        <v>0508</v>
      </c>
      <c r="E1206" s="487">
        <v>532201200</v>
      </c>
      <c r="F1206" s="488" t="str">
        <f t="shared" si="286"/>
        <v/>
      </c>
      <c r="G1206" s="489"/>
      <c r="H1206" s="489"/>
      <c r="I1206" s="488" t="str">
        <f t="shared" si="287"/>
        <v/>
      </c>
      <c r="J1206" s="487"/>
      <c r="K1206" s="487"/>
      <c r="L1206" s="488" t="str">
        <f t="shared" si="288"/>
        <v/>
      </c>
      <c r="M1206" s="487"/>
      <c r="N1206" s="487"/>
      <c r="O1206" s="488" t="str">
        <f t="shared" si="289"/>
        <v/>
      </c>
      <c r="P1206" s="489"/>
      <c r="Q1206" s="489"/>
      <c r="R1206" s="592" t="str">
        <f t="shared" si="290"/>
        <v/>
      </c>
      <c r="S1206" s="489"/>
      <c r="T1206" s="487"/>
      <c r="U1206" s="488" t="str">
        <f t="shared" si="291"/>
        <v/>
      </c>
      <c r="V1206" s="489"/>
      <c r="W1206" s="489"/>
      <c r="X1206" s="488" t="str">
        <f t="shared" si="292"/>
        <v/>
      </c>
      <c r="Y1206" s="489"/>
      <c r="Z1206" s="489"/>
      <c r="AA1206" s="490" t="str">
        <f t="shared" si="273"/>
        <v/>
      </c>
      <c r="AB1206" s="489"/>
      <c r="AC1206" s="489"/>
      <c r="AD1206" s="27">
        <v>410508</v>
      </c>
      <c r="AE1206" s="27" t="s">
        <v>1965</v>
      </c>
      <c r="AF1206" s="432">
        <f>VLOOKUP(AD1206,[5]Hoja1!$A$10:$K$1393,11,0)</f>
        <v>631378020</v>
      </c>
      <c r="AG1206" s="432"/>
      <c r="AH1206" s="432">
        <f t="shared" si="293"/>
        <v>631378</v>
      </c>
      <c r="AI1206" s="445"/>
      <c r="AL1206" s="448"/>
      <c r="AM1206" s="467">
        <f>VLOOKUP(AD1206,[6]BV201101!$A$10:$A$1236,1,0)</f>
        <v>410508</v>
      </c>
    </row>
    <row r="1207" spans="1:39" s="467" customFormat="1" ht="12.75" customHeight="1">
      <c r="A1207" s="487" t="str">
        <f t="shared" si="294"/>
        <v>4</v>
      </c>
      <c r="B1207" s="487" t="str">
        <f t="shared" si="281"/>
        <v>10</v>
      </c>
      <c r="C1207" s="487" t="str">
        <f t="shared" si="282"/>
        <v>50</v>
      </c>
      <c r="D1207" s="487" t="str">
        <f t="shared" si="283"/>
        <v>0509</v>
      </c>
      <c r="E1207" s="487">
        <v>532100000</v>
      </c>
      <c r="F1207" s="488" t="str">
        <f t="shared" si="286"/>
        <v/>
      </c>
      <c r="G1207" s="489"/>
      <c r="H1207" s="489"/>
      <c r="I1207" s="488" t="str">
        <f t="shared" si="287"/>
        <v/>
      </c>
      <c r="J1207" s="487"/>
      <c r="K1207" s="487"/>
      <c r="L1207" s="488" t="str">
        <f t="shared" si="288"/>
        <v/>
      </c>
      <c r="M1207" s="487"/>
      <c r="N1207" s="487"/>
      <c r="O1207" s="488" t="str">
        <f t="shared" si="289"/>
        <v/>
      </c>
      <c r="P1207" s="489"/>
      <c r="Q1207" s="489"/>
      <c r="R1207" s="592" t="str">
        <f t="shared" si="290"/>
        <v/>
      </c>
      <c r="S1207" s="489"/>
      <c r="T1207" s="487"/>
      <c r="U1207" s="488" t="str">
        <f t="shared" si="291"/>
        <v/>
      </c>
      <c r="V1207" s="489"/>
      <c r="W1207" s="489"/>
      <c r="X1207" s="488" t="str">
        <f t="shared" si="292"/>
        <v/>
      </c>
      <c r="Y1207" s="489"/>
      <c r="Z1207" s="489"/>
      <c r="AA1207" s="490" t="str">
        <f t="shared" si="273"/>
        <v/>
      </c>
      <c r="AB1207" s="489"/>
      <c r="AC1207" s="489"/>
      <c r="AD1207" s="27">
        <v>410509</v>
      </c>
      <c r="AE1207" s="27" t="s">
        <v>1106</v>
      </c>
      <c r="AF1207" s="432">
        <f>VLOOKUP(AD1207,[5]Hoja1!$A$10:$K$1393,11,0)</f>
        <v>-3145075350</v>
      </c>
      <c r="AG1207" s="432"/>
      <c r="AH1207" s="432">
        <f t="shared" si="293"/>
        <v>-3145075</v>
      </c>
      <c r="AL1207" s="448"/>
      <c r="AM1207" s="467">
        <f>VLOOKUP(AD1207,[6]BV201101!$A$10:$A$1236,1,0)</f>
        <v>410509</v>
      </c>
    </row>
    <row r="1208" spans="1:39" s="467" customFormat="1" ht="12.75" customHeight="1">
      <c r="A1208" s="487" t="str">
        <f t="shared" si="294"/>
        <v>4</v>
      </c>
      <c r="B1208" s="487" t="str">
        <f t="shared" si="281"/>
        <v>10</v>
      </c>
      <c r="C1208" s="487" t="str">
        <f t="shared" si="282"/>
        <v>51</v>
      </c>
      <c r="D1208" s="487" t="str">
        <f t="shared" si="283"/>
        <v>0510</v>
      </c>
      <c r="E1208" s="487"/>
      <c r="F1208" s="488" t="str">
        <f t="shared" si="286"/>
        <v/>
      </c>
      <c r="G1208" s="489"/>
      <c r="H1208" s="489"/>
      <c r="I1208" s="488" t="str">
        <f t="shared" si="287"/>
        <v/>
      </c>
      <c r="J1208" s="487"/>
      <c r="K1208" s="487"/>
      <c r="L1208" s="488" t="str">
        <f t="shared" si="288"/>
        <v/>
      </c>
      <c r="M1208" s="487"/>
      <c r="N1208" s="487"/>
      <c r="O1208" s="488" t="str">
        <f t="shared" si="289"/>
        <v/>
      </c>
      <c r="P1208" s="489"/>
      <c r="Q1208" s="489"/>
      <c r="R1208" s="592" t="str">
        <f t="shared" si="290"/>
        <v/>
      </c>
      <c r="S1208" s="489"/>
      <c r="T1208" s="487"/>
      <c r="U1208" s="488" t="str">
        <f t="shared" si="291"/>
        <v/>
      </c>
      <c r="V1208" s="489"/>
      <c r="W1208" s="489"/>
      <c r="X1208" s="488" t="str">
        <f t="shared" si="292"/>
        <v/>
      </c>
      <c r="Y1208" s="489"/>
      <c r="Z1208" s="489"/>
      <c r="AA1208" s="490" t="str">
        <f t="shared" si="273"/>
        <v/>
      </c>
      <c r="AB1208" s="489"/>
      <c r="AC1208" s="489"/>
      <c r="AD1208" s="27">
        <v>410510</v>
      </c>
      <c r="AE1208" s="27" t="s">
        <v>2345</v>
      </c>
      <c r="AF1208" s="432">
        <v>0</v>
      </c>
      <c r="AG1208" s="432"/>
      <c r="AH1208" s="432">
        <f t="shared" si="293"/>
        <v>0</v>
      </c>
      <c r="AK1208" s="491"/>
      <c r="AL1208" s="448"/>
      <c r="AM1208" s="467" t="e">
        <f>VLOOKUP(AD1208,[6]BV201101!$A$10:$A$1236,1,0)</f>
        <v>#N/A</v>
      </c>
    </row>
    <row r="1209" spans="1:39" s="467" customFormat="1" ht="12.75" customHeight="1">
      <c r="A1209" s="487" t="str">
        <f t="shared" si="294"/>
        <v>4</v>
      </c>
      <c r="B1209" s="487" t="str">
        <f t="shared" si="281"/>
        <v>10</v>
      </c>
      <c r="C1209" s="487" t="str">
        <f t="shared" si="282"/>
        <v>51</v>
      </c>
      <c r="D1209" s="487" t="str">
        <f t="shared" si="283"/>
        <v>0511</v>
      </c>
      <c r="E1209" s="487">
        <v>532300000</v>
      </c>
      <c r="F1209" s="488" t="str">
        <f t="shared" si="286"/>
        <v/>
      </c>
      <c r="G1209" s="489"/>
      <c r="H1209" s="489"/>
      <c r="I1209" s="488" t="str">
        <f t="shared" si="287"/>
        <v/>
      </c>
      <c r="J1209" s="487"/>
      <c r="K1209" s="487"/>
      <c r="L1209" s="488" t="str">
        <f t="shared" si="288"/>
        <v/>
      </c>
      <c r="M1209" s="487"/>
      <c r="N1209" s="487"/>
      <c r="O1209" s="488" t="str">
        <f t="shared" si="289"/>
        <v/>
      </c>
      <c r="P1209" s="489"/>
      <c r="Q1209" s="489"/>
      <c r="R1209" s="592" t="str">
        <f t="shared" si="290"/>
        <v/>
      </c>
      <c r="S1209" s="489"/>
      <c r="T1209" s="487"/>
      <c r="U1209" s="488" t="str">
        <f t="shared" si="291"/>
        <v/>
      </c>
      <c r="V1209" s="489"/>
      <c r="W1209" s="489"/>
      <c r="X1209" s="488" t="str">
        <f t="shared" si="292"/>
        <v/>
      </c>
      <c r="Y1209" s="489"/>
      <c r="Z1209" s="489"/>
      <c r="AA1209" s="490" t="str">
        <f t="shared" si="273"/>
        <v/>
      </c>
      <c r="AB1209" s="489"/>
      <c r="AC1209" s="489"/>
      <c r="AD1209" s="27">
        <v>410511</v>
      </c>
      <c r="AE1209" s="27" t="s">
        <v>1119</v>
      </c>
      <c r="AF1209" s="432">
        <f>VLOOKUP(AD1209,[5]Hoja1!$A$10:$K$1393,11,0)</f>
        <v>-59643847</v>
      </c>
      <c r="AG1209" s="432"/>
      <c r="AH1209" s="432">
        <f t="shared" si="293"/>
        <v>-59644</v>
      </c>
      <c r="AK1209" s="491"/>
      <c r="AL1209" s="448"/>
      <c r="AM1209" s="467">
        <f>VLOOKUP(AD1209,[6]BV201101!$A$10:$A$1236,1,0)</f>
        <v>410511</v>
      </c>
    </row>
    <row r="1210" spans="1:39" s="467" customFormat="1" ht="12.75" customHeight="1">
      <c r="A1210" s="487" t="str">
        <f t="shared" si="294"/>
        <v>4</v>
      </c>
      <c r="B1210" s="487" t="str">
        <f t="shared" si="281"/>
        <v>10</v>
      </c>
      <c r="C1210" s="487" t="str">
        <f t="shared" si="282"/>
        <v>51</v>
      </c>
      <c r="D1210" s="487" t="str">
        <f t="shared" si="283"/>
        <v>0512</v>
      </c>
      <c r="E1210" s="487">
        <v>532300000</v>
      </c>
      <c r="F1210" s="488" t="str">
        <f t="shared" si="286"/>
        <v/>
      </c>
      <c r="G1210" s="489"/>
      <c r="H1210" s="489"/>
      <c r="I1210" s="488" t="str">
        <f t="shared" si="287"/>
        <v/>
      </c>
      <c r="J1210" s="487"/>
      <c r="K1210" s="487"/>
      <c r="L1210" s="488" t="str">
        <f t="shared" si="288"/>
        <v/>
      </c>
      <c r="M1210" s="487"/>
      <c r="N1210" s="487"/>
      <c r="O1210" s="488" t="str">
        <f t="shared" si="289"/>
        <v/>
      </c>
      <c r="P1210" s="489"/>
      <c r="Q1210" s="489"/>
      <c r="R1210" s="592" t="str">
        <f t="shared" si="290"/>
        <v/>
      </c>
      <c r="S1210" s="489"/>
      <c r="T1210" s="487"/>
      <c r="U1210" s="488" t="str">
        <f t="shared" si="291"/>
        <v/>
      </c>
      <c r="V1210" s="489"/>
      <c r="W1210" s="489"/>
      <c r="X1210" s="488" t="str">
        <f t="shared" si="292"/>
        <v/>
      </c>
      <c r="Y1210" s="489"/>
      <c r="Z1210" s="489"/>
      <c r="AA1210" s="490" t="str">
        <f t="shared" ref="AA1210:AA1217" si="295">+AB1210&amp;AC1210</f>
        <v/>
      </c>
      <c r="AB1210" s="489"/>
      <c r="AC1210" s="489"/>
      <c r="AD1210" s="27">
        <v>410512</v>
      </c>
      <c r="AE1210" s="27" t="s">
        <v>1120</v>
      </c>
      <c r="AF1210" s="432">
        <f>VLOOKUP(AD1210,[5]Hoja1!$A$10:$K$1393,11,0)</f>
        <v>0</v>
      </c>
      <c r="AG1210" s="432"/>
      <c r="AH1210" s="432">
        <f t="shared" si="293"/>
        <v>0</v>
      </c>
      <c r="AL1210" s="448"/>
      <c r="AM1210" s="467" t="e">
        <f>VLOOKUP(AD1210,[6]BV201101!$A$10:$A$1236,1,0)</f>
        <v>#N/A</v>
      </c>
    </row>
    <row r="1211" spans="1:39" s="467" customFormat="1" ht="12.75" customHeight="1">
      <c r="A1211" s="487" t="str">
        <f t="shared" si="294"/>
        <v>4</v>
      </c>
      <c r="B1211" s="487" t="str">
        <f t="shared" si="281"/>
        <v>10</v>
      </c>
      <c r="C1211" s="487" t="str">
        <f t="shared" si="282"/>
        <v>51</v>
      </c>
      <c r="D1211" s="487" t="str">
        <f t="shared" si="283"/>
        <v>0513</v>
      </c>
      <c r="E1211" s="487">
        <v>532300000</v>
      </c>
      <c r="F1211" s="488" t="str">
        <f t="shared" si="286"/>
        <v/>
      </c>
      <c r="G1211" s="489"/>
      <c r="H1211" s="489"/>
      <c r="I1211" s="488" t="str">
        <f t="shared" si="287"/>
        <v/>
      </c>
      <c r="J1211" s="487"/>
      <c r="K1211" s="487"/>
      <c r="L1211" s="488" t="str">
        <f t="shared" si="288"/>
        <v/>
      </c>
      <c r="M1211" s="487"/>
      <c r="N1211" s="487"/>
      <c r="O1211" s="488" t="str">
        <f t="shared" si="289"/>
        <v/>
      </c>
      <c r="P1211" s="489"/>
      <c r="Q1211" s="489"/>
      <c r="R1211" s="592" t="str">
        <f t="shared" si="290"/>
        <v/>
      </c>
      <c r="S1211" s="489"/>
      <c r="T1211" s="487"/>
      <c r="U1211" s="488" t="str">
        <f t="shared" si="291"/>
        <v/>
      </c>
      <c r="V1211" s="489"/>
      <c r="W1211" s="489"/>
      <c r="X1211" s="488" t="str">
        <f t="shared" si="292"/>
        <v/>
      </c>
      <c r="Y1211" s="489"/>
      <c r="Z1211" s="489"/>
      <c r="AA1211" s="490" t="str">
        <f t="shared" si="295"/>
        <v/>
      </c>
      <c r="AB1211" s="489"/>
      <c r="AC1211" s="489"/>
      <c r="AD1211" s="27">
        <v>410513</v>
      </c>
      <c r="AE1211" s="27" t="s">
        <v>834</v>
      </c>
      <c r="AF1211" s="432">
        <f>VLOOKUP(AD1211,[5]Hoja1!$A$10:$K$1393,11,0)</f>
        <v>0</v>
      </c>
      <c r="AG1211" s="432"/>
      <c r="AH1211" s="432">
        <f t="shared" si="293"/>
        <v>0</v>
      </c>
      <c r="AL1211" s="448"/>
      <c r="AM1211" s="467">
        <f>VLOOKUP(AD1211,[6]BV201101!$A$10:$A$1236,1,0)</f>
        <v>410513</v>
      </c>
    </row>
    <row r="1212" spans="1:39" s="467" customFormat="1" ht="12.75" customHeight="1">
      <c r="A1212" s="487" t="str">
        <f t="shared" si="294"/>
        <v>4</v>
      </c>
      <c r="B1212" s="487" t="str">
        <f t="shared" si="281"/>
        <v>10</v>
      </c>
      <c r="C1212" s="487" t="str">
        <f t="shared" si="282"/>
        <v>51</v>
      </c>
      <c r="D1212" s="487" t="str">
        <f t="shared" si="283"/>
        <v>0514</v>
      </c>
      <c r="E1212" s="487">
        <v>532300000</v>
      </c>
      <c r="F1212" s="488" t="str">
        <f t="shared" si="286"/>
        <v/>
      </c>
      <c r="G1212" s="489"/>
      <c r="H1212" s="489"/>
      <c r="I1212" s="488" t="str">
        <f t="shared" si="287"/>
        <v/>
      </c>
      <c r="J1212" s="487"/>
      <c r="K1212" s="487"/>
      <c r="L1212" s="488" t="str">
        <f t="shared" si="288"/>
        <v/>
      </c>
      <c r="M1212" s="487"/>
      <c r="N1212" s="487"/>
      <c r="O1212" s="488" t="str">
        <f t="shared" si="289"/>
        <v/>
      </c>
      <c r="P1212" s="489"/>
      <c r="Q1212" s="489"/>
      <c r="R1212" s="592" t="str">
        <f t="shared" si="290"/>
        <v/>
      </c>
      <c r="S1212" s="489"/>
      <c r="T1212" s="487"/>
      <c r="U1212" s="488" t="str">
        <f t="shared" si="291"/>
        <v/>
      </c>
      <c r="V1212" s="489"/>
      <c r="W1212" s="489"/>
      <c r="X1212" s="488" t="str">
        <f t="shared" si="292"/>
        <v/>
      </c>
      <c r="Y1212" s="489"/>
      <c r="Z1212" s="489"/>
      <c r="AA1212" s="490" t="str">
        <f t="shared" si="295"/>
        <v/>
      </c>
      <c r="AB1212" s="489"/>
      <c r="AC1212" s="489"/>
      <c r="AD1212" s="27">
        <v>410514</v>
      </c>
      <c r="AE1212" s="27" t="s">
        <v>1880</v>
      </c>
      <c r="AF1212" s="432">
        <f>VLOOKUP(AD1212,[5]Hoja1!$A$10:$K$1393,11,0)</f>
        <v>-6991720206</v>
      </c>
      <c r="AG1212" s="432"/>
      <c r="AH1212" s="432">
        <f t="shared" si="293"/>
        <v>-6991720</v>
      </c>
      <c r="AL1212" s="448"/>
      <c r="AM1212" s="467">
        <f>VLOOKUP(AD1212,[6]BV201101!$A$10:$A$1236,1,0)</f>
        <v>410514</v>
      </c>
    </row>
    <row r="1213" spans="1:39" s="467" customFormat="1" ht="12.75" customHeight="1">
      <c r="A1213" s="487" t="str">
        <f t="shared" si="294"/>
        <v>4</v>
      </c>
      <c r="B1213" s="487" t="str">
        <f t="shared" si="281"/>
        <v>10</v>
      </c>
      <c r="C1213" s="487" t="str">
        <f t="shared" si="282"/>
        <v>51</v>
      </c>
      <c r="D1213" s="487" t="str">
        <f t="shared" si="283"/>
        <v>0515</v>
      </c>
      <c r="E1213" s="487">
        <v>532300000</v>
      </c>
      <c r="F1213" s="488" t="str">
        <f t="shared" si="286"/>
        <v/>
      </c>
      <c r="G1213" s="489"/>
      <c r="H1213" s="489"/>
      <c r="I1213" s="488" t="str">
        <f t="shared" si="287"/>
        <v/>
      </c>
      <c r="J1213" s="487"/>
      <c r="K1213" s="487"/>
      <c r="L1213" s="488" t="str">
        <f t="shared" si="288"/>
        <v/>
      </c>
      <c r="M1213" s="487"/>
      <c r="N1213" s="487"/>
      <c r="O1213" s="488" t="str">
        <f t="shared" si="289"/>
        <v/>
      </c>
      <c r="P1213" s="489"/>
      <c r="Q1213" s="489"/>
      <c r="R1213" s="592" t="str">
        <f t="shared" si="290"/>
        <v/>
      </c>
      <c r="S1213" s="489"/>
      <c r="T1213" s="487"/>
      <c r="U1213" s="488" t="str">
        <f t="shared" si="291"/>
        <v/>
      </c>
      <c r="V1213" s="489"/>
      <c r="W1213" s="489"/>
      <c r="X1213" s="488" t="str">
        <f t="shared" si="292"/>
        <v/>
      </c>
      <c r="Y1213" s="489"/>
      <c r="Z1213" s="489"/>
      <c r="AA1213" s="490" t="str">
        <f t="shared" si="295"/>
        <v/>
      </c>
      <c r="AB1213" s="489"/>
      <c r="AC1213" s="489"/>
      <c r="AD1213" s="27">
        <v>410515</v>
      </c>
      <c r="AE1213" s="27" t="s">
        <v>2346</v>
      </c>
      <c r="AF1213" s="432">
        <f>VLOOKUP(AD1213,[5]Hoja1!$A$10:$K$1393,11,0)</f>
        <v>-174653040</v>
      </c>
      <c r="AG1213" s="432"/>
      <c r="AH1213" s="432">
        <f t="shared" si="293"/>
        <v>-174653</v>
      </c>
      <c r="AL1213" s="448"/>
      <c r="AM1213" s="467">
        <f>VLOOKUP(AD1213,[6]BV201101!$A$10:$A$1236,1,0)</f>
        <v>410515</v>
      </c>
    </row>
    <row r="1214" spans="1:39" s="467" customFormat="1" ht="12.75" customHeight="1">
      <c r="A1214" s="487" t="str">
        <f t="shared" si="294"/>
        <v>4</v>
      </c>
      <c r="B1214" s="487" t="str">
        <f t="shared" si="281"/>
        <v>10</v>
      </c>
      <c r="C1214" s="487" t="str">
        <f t="shared" si="282"/>
        <v>51</v>
      </c>
      <c r="D1214" s="487" t="str">
        <f t="shared" si="283"/>
        <v>0516</v>
      </c>
      <c r="E1214" s="487">
        <v>531201200</v>
      </c>
      <c r="F1214" s="488" t="str">
        <f t="shared" si="286"/>
        <v/>
      </c>
      <c r="G1214" s="487"/>
      <c r="H1214" s="487"/>
      <c r="I1214" s="488" t="str">
        <f t="shared" si="287"/>
        <v/>
      </c>
      <c r="J1214" s="487"/>
      <c r="K1214" s="487"/>
      <c r="L1214" s="488" t="str">
        <f t="shared" si="288"/>
        <v/>
      </c>
      <c r="M1214" s="487"/>
      <c r="N1214" s="487"/>
      <c r="O1214" s="488" t="str">
        <f t="shared" si="289"/>
        <v/>
      </c>
      <c r="P1214" s="489"/>
      <c r="Q1214" s="489"/>
      <c r="R1214" s="592" t="str">
        <f t="shared" si="290"/>
        <v/>
      </c>
      <c r="S1214" s="487"/>
      <c r="T1214" s="487"/>
      <c r="U1214" s="488" t="str">
        <f t="shared" si="291"/>
        <v/>
      </c>
      <c r="V1214" s="489"/>
      <c r="W1214" s="489"/>
      <c r="X1214" s="488" t="str">
        <f t="shared" si="292"/>
        <v/>
      </c>
      <c r="Y1214" s="489"/>
      <c r="Z1214" s="489"/>
      <c r="AA1214" s="490" t="str">
        <f t="shared" si="295"/>
        <v/>
      </c>
      <c r="AB1214" s="489"/>
      <c r="AC1214" s="489"/>
      <c r="AD1214" s="27">
        <v>410516</v>
      </c>
      <c r="AE1214" s="27" t="s">
        <v>1881</v>
      </c>
      <c r="AF1214" s="432">
        <f>VLOOKUP(AD1214,[5]Hoja1!$A$10:$K$1393,11,0)</f>
        <v>0</v>
      </c>
      <c r="AG1214" s="432"/>
      <c r="AH1214" s="432">
        <f t="shared" si="293"/>
        <v>0</v>
      </c>
      <c r="AL1214" s="448"/>
      <c r="AM1214" s="467">
        <f>VLOOKUP(AD1214,[6]BV201101!$A$10:$A$1236,1,0)</f>
        <v>410516</v>
      </c>
    </row>
    <row r="1215" spans="1:39" s="467" customFormat="1" ht="12.75" customHeight="1">
      <c r="A1215" s="487" t="str">
        <f t="shared" si="294"/>
        <v>4</v>
      </c>
      <c r="B1215" s="487" t="str">
        <f t="shared" si="281"/>
        <v>10</v>
      </c>
      <c r="C1215" s="487" t="str">
        <f t="shared" si="282"/>
        <v>51</v>
      </c>
      <c r="D1215" s="487" t="str">
        <f t="shared" si="283"/>
        <v>0517</v>
      </c>
      <c r="E1215" s="487">
        <v>532201110</v>
      </c>
      <c r="F1215" s="488" t="str">
        <f t="shared" si="286"/>
        <v/>
      </c>
      <c r="G1215" s="489"/>
      <c r="H1215" s="489"/>
      <c r="I1215" s="488" t="str">
        <f t="shared" si="287"/>
        <v/>
      </c>
      <c r="J1215" s="487"/>
      <c r="K1215" s="487"/>
      <c r="L1215" s="488" t="str">
        <f t="shared" si="288"/>
        <v/>
      </c>
      <c r="M1215" s="487"/>
      <c r="N1215" s="487"/>
      <c r="O1215" s="488" t="str">
        <f t="shared" si="289"/>
        <v/>
      </c>
      <c r="P1215" s="489"/>
      <c r="Q1215" s="489"/>
      <c r="R1215" s="592" t="str">
        <f t="shared" si="290"/>
        <v/>
      </c>
      <c r="S1215" s="487"/>
      <c r="T1215" s="487"/>
      <c r="U1215" s="488" t="str">
        <f t="shared" si="291"/>
        <v/>
      </c>
      <c r="V1215" s="489"/>
      <c r="W1215" s="489"/>
      <c r="X1215" s="488" t="str">
        <f t="shared" si="292"/>
        <v/>
      </c>
      <c r="Y1215" s="489"/>
      <c r="Z1215" s="489"/>
      <c r="AA1215" s="490" t="str">
        <f t="shared" si="295"/>
        <v/>
      </c>
      <c r="AB1215" s="489"/>
      <c r="AC1215" s="489"/>
      <c r="AD1215" s="27">
        <v>410517</v>
      </c>
      <c r="AE1215" s="27" t="s">
        <v>1882</v>
      </c>
      <c r="AF1215" s="432">
        <f>VLOOKUP(AD1215,[5]Hoja1!$A$10:$K$1393,11,0)</f>
        <v>-7025096</v>
      </c>
      <c r="AG1215" s="432"/>
      <c r="AH1215" s="432">
        <f t="shared" si="293"/>
        <v>-7025</v>
      </c>
      <c r="AL1215" s="448"/>
      <c r="AM1215" s="467">
        <f>VLOOKUP(AD1215,[6]BV201101!$A$10:$A$1236,1,0)</f>
        <v>410517</v>
      </c>
    </row>
    <row r="1216" spans="1:39" s="467" customFormat="1" ht="12.75" customHeight="1">
      <c r="A1216" s="487" t="str">
        <f t="shared" si="294"/>
        <v>4</v>
      </c>
      <c r="B1216" s="487" t="str">
        <f t="shared" si="281"/>
        <v>10</v>
      </c>
      <c r="C1216" s="487" t="str">
        <f t="shared" si="282"/>
        <v>51</v>
      </c>
      <c r="D1216" s="487" t="str">
        <f t="shared" si="283"/>
        <v>0518</v>
      </c>
      <c r="E1216" s="487">
        <v>532300000</v>
      </c>
      <c r="F1216" s="488" t="str">
        <f t="shared" si="286"/>
        <v/>
      </c>
      <c r="G1216" s="489"/>
      <c r="H1216" s="489"/>
      <c r="I1216" s="488" t="str">
        <f t="shared" si="287"/>
        <v/>
      </c>
      <c r="J1216" s="487"/>
      <c r="K1216" s="487"/>
      <c r="L1216" s="488" t="str">
        <f t="shared" si="288"/>
        <v/>
      </c>
      <c r="M1216" s="487"/>
      <c r="N1216" s="487"/>
      <c r="O1216" s="488" t="str">
        <f t="shared" si="289"/>
        <v/>
      </c>
      <c r="P1216" s="489"/>
      <c r="Q1216" s="489"/>
      <c r="R1216" s="592" t="str">
        <f t="shared" si="290"/>
        <v/>
      </c>
      <c r="S1216" s="487"/>
      <c r="T1216" s="487"/>
      <c r="U1216" s="488" t="str">
        <f t="shared" si="291"/>
        <v/>
      </c>
      <c r="V1216" s="489"/>
      <c r="W1216" s="489"/>
      <c r="X1216" s="488" t="str">
        <f t="shared" si="292"/>
        <v/>
      </c>
      <c r="Y1216" s="489"/>
      <c r="Z1216" s="489"/>
      <c r="AA1216" s="490" t="str">
        <f t="shared" si="295"/>
        <v/>
      </c>
      <c r="AB1216" s="489"/>
      <c r="AC1216" s="489"/>
      <c r="AD1216" s="27">
        <v>410518</v>
      </c>
      <c r="AE1216" s="27" t="s">
        <v>2347</v>
      </c>
      <c r="AF1216" s="432">
        <f>VLOOKUP(AD1216,[5]Hoja1!$A$10:$K$1393,11,0)</f>
        <v>0</v>
      </c>
      <c r="AG1216" s="432"/>
      <c r="AH1216" s="432">
        <f t="shared" si="293"/>
        <v>0</v>
      </c>
      <c r="AL1216" s="448"/>
      <c r="AM1216" s="467">
        <f>VLOOKUP(AD1216,[6]BV201101!$A$10:$A$1236,1,0)</f>
        <v>410518</v>
      </c>
    </row>
    <row r="1217" spans="1:39" s="467" customFormat="1" ht="12.75" customHeight="1">
      <c r="A1217" s="487" t="str">
        <f t="shared" si="294"/>
        <v>4</v>
      </c>
      <c r="B1217" s="487" t="str">
        <f t="shared" si="281"/>
        <v>10</v>
      </c>
      <c r="C1217" s="487" t="str">
        <f t="shared" si="282"/>
        <v>51</v>
      </c>
      <c r="D1217" s="487" t="str">
        <f t="shared" si="283"/>
        <v>0519</v>
      </c>
      <c r="E1217" s="487">
        <v>532300000</v>
      </c>
      <c r="F1217" s="488" t="str">
        <f t="shared" si="286"/>
        <v/>
      </c>
      <c r="G1217" s="489"/>
      <c r="H1217" s="489"/>
      <c r="I1217" s="488" t="str">
        <f t="shared" si="287"/>
        <v/>
      </c>
      <c r="J1217" s="487"/>
      <c r="K1217" s="487"/>
      <c r="L1217" s="488" t="str">
        <f t="shared" si="288"/>
        <v/>
      </c>
      <c r="M1217" s="487"/>
      <c r="N1217" s="487"/>
      <c r="O1217" s="488" t="str">
        <f t="shared" si="289"/>
        <v/>
      </c>
      <c r="P1217" s="489"/>
      <c r="Q1217" s="489"/>
      <c r="R1217" s="592" t="str">
        <f t="shared" si="290"/>
        <v/>
      </c>
      <c r="S1217" s="487"/>
      <c r="T1217" s="487"/>
      <c r="U1217" s="488" t="str">
        <f t="shared" si="291"/>
        <v/>
      </c>
      <c r="V1217" s="489"/>
      <c r="W1217" s="489"/>
      <c r="X1217" s="488" t="str">
        <f t="shared" si="292"/>
        <v/>
      </c>
      <c r="Y1217" s="489"/>
      <c r="Z1217" s="489"/>
      <c r="AA1217" s="490" t="str">
        <f t="shared" si="295"/>
        <v/>
      </c>
      <c r="AB1217" s="489"/>
      <c r="AC1217" s="489"/>
      <c r="AD1217" s="27">
        <v>410519</v>
      </c>
      <c r="AE1217" s="27" t="s">
        <v>2348</v>
      </c>
      <c r="AF1217" s="432">
        <f>VLOOKUP(AD1217,[5]Hoja1!$A$10:$K$1393,11,0)</f>
        <v>0</v>
      </c>
      <c r="AG1217" s="432"/>
      <c r="AH1217" s="432">
        <f t="shared" si="293"/>
        <v>0</v>
      </c>
      <c r="AL1217" s="448"/>
      <c r="AM1217" s="467">
        <f>VLOOKUP(AD1217,[6]BV201101!$A$10:$A$1236,1,0)</f>
        <v>410519</v>
      </c>
    </row>
    <row r="1218" spans="1:39" s="467" customFormat="1" ht="12.75" customHeight="1">
      <c r="A1218" s="487" t="str">
        <f t="shared" si="294"/>
        <v>4</v>
      </c>
      <c r="B1218" s="487" t="str">
        <f t="shared" si="281"/>
        <v>10</v>
      </c>
      <c r="C1218" s="487" t="str">
        <f t="shared" si="282"/>
        <v>52</v>
      </c>
      <c r="D1218" s="487" t="str">
        <f t="shared" si="283"/>
        <v>0520</v>
      </c>
      <c r="E1218" s="487">
        <v>532300000</v>
      </c>
      <c r="F1218" s="488"/>
      <c r="G1218" s="489"/>
      <c r="H1218" s="489"/>
      <c r="I1218" s="488"/>
      <c r="J1218" s="487"/>
      <c r="K1218" s="487"/>
      <c r="L1218" s="488"/>
      <c r="M1218" s="487"/>
      <c r="N1218" s="487"/>
      <c r="O1218" s="488"/>
      <c r="P1218" s="489"/>
      <c r="Q1218" s="489"/>
      <c r="R1218" s="592"/>
      <c r="S1218" s="487"/>
      <c r="T1218" s="487"/>
      <c r="U1218" s="488"/>
      <c r="V1218" s="489"/>
      <c r="W1218" s="489"/>
      <c r="X1218" s="488"/>
      <c r="Y1218" s="489"/>
      <c r="Z1218" s="489"/>
      <c r="AA1218" s="490"/>
      <c r="AB1218" s="489"/>
      <c r="AC1218" s="489"/>
      <c r="AD1218" s="27">
        <v>410520</v>
      </c>
      <c r="AE1218" s="27" t="s">
        <v>2349</v>
      </c>
      <c r="AF1218" s="432">
        <f>VLOOKUP(AD1218,[5]Hoja1!$A$10:$K$1393,11,0)</f>
        <v>0</v>
      </c>
      <c r="AG1218" s="432"/>
      <c r="AH1218" s="432">
        <f t="shared" si="293"/>
        <v>0</v>
      </c>
      <c r="AL1218" s="448"/>
      <c r="AM1218" s="467">
        <f>VLOOKUP(AD1218,[6]BV201101!$A$10:$A$1236,1,0)</f>
        <v>410520</v>
      </c>
    </row>
    <row r="1219" spans="1:39" s="467" customFormat="1" ht="12.75" customHeight="1">
      <c r="A1219" s="487" t="str">
        <f t="shared" si="294"/>
        <v>4</v>
      </c>
      <c r="B1219" s="487" t="str">
        <f t="shared" si="281"/>
        <v>10</v>
      </c>
      <c r="C1219" s="487" t="str">
        <f t="shared" si="282"/>
        <v>52</v>
      </c>
      <c r="D1219" s="487" t="str">
        <f t="shared" si="283"/>
        <v>0521</v>
      </c>
      <c r="E1219" s="487">
        <v>532300000</v>
      </c>
      <c r="F1219" s="488" t="str">
        <f>+G1219&amp;H1219</f>
        <v/>
      </c>
      <c r="G1219" s="489"/>
      <c r="H1219" s="489"/>
      <c r="I1219" s="488" t="str">
        <f>+J1219&amp;K1219</f>
        <v/>
      </c>
      <c r="J1219" s="487"/>
      <c r="K1219" s="487"/>
      <c r="L1219" s="488" t="str">
        <f>+M1219&amp;N1219</f>
        <v/>
      </c>
      <c r="M1219" s="487"/>
      <c r="N1219" s="487"/>
      <c r="O1219" s="488" t="str">
        <f>+P1219&amp;Q1219</f>
        <v/>
      </c>
      <c r="P1219" s="489"/>
      <c r="Q1219" s="489"/>
      <c r="R1219" s="592" t="str">
        <f>+S1219&amp;T1219</f>
        <v/>
      </c>
      <c r="S1219" s="487"/>
      <c r="T1219" s="487"/>
      <c r="U1219" s="488" t="str">
        <f>+V1219&amp;W1219</f>
        <v/>
      </c>
      <c r="V1219" s="489"/>
      <c r="W1219" s="489"/>
      <c r="X1219" s="488" t="str">
        <f>+Y1219&amp;Z1219</f>
        <v/>
      </c>
      <c r="Y1219" s="489"/>
      <c r="Z1219" s="489"/>
      <c r="AA1219" s="490" t="str">
        <f>+AB1219&amp;AC1219</f>
        <v/>
      </c>
      <c r="AB1219" s="489"/>
      <c r="AC1219" s="489"/>
      <c r="AD1219" s="27">
        <v>410521</v>
      </c>
      <c r="AE1219" s="27" t="s">
        <v>2350</v>
      </c>
      <c r="AF1219" s="432">
        <f>VLOOKUP(AD1219,[5]Hoja1!$A$10:$K$1393,11,0)</f>
        <v>-200319491</v>
      </c>
      <c r="AG1219" s="432"/>
      <c r="AH1219" s="432">
        <f t="shared" si="293"/>
        <v>-200319</v>
      </c>
      <c r="AL1219" s="448"/>
      <c r="AM1219" s="467">
        <f>VLOOKUP(AD1219,[6]BV201101!$A$10:$A$1236,1,0)</f>
        <v>410521</v>
      </c>
    </row>
    <row r="1220" spans="1:39" s="467" customFormat="1" ht="12.75" customHeight="1">
      <c r="A1220" s="487" t="str">
        <f t="shared" si="294"/>
        <v>4</v>
      </c>
      <c r="B1220" s="487" t="str">
        <f t="shared" si="281"/>
        <v>10</v>
      </c>
      <c r="C1220" s="487" t="str">
        <f t="shared" si="282"/>
        <v>52</v>
      </c>
      <c r="D1220" s="487" t="str">
        <f t="shared" si="283"/>
        <v>0522</v>
      </c>
      <c r="E1220" s="487">
        <v>532300000</v>
      </c>
      <c r="F1220" s="488" t="str">
        <f>+G1220&amp;H1220</f>
        <v/>
      </c>
      <c r="G1220" s="489"/>
      <c r="H1220" s="489"/>
      <c r="I1220" s="488" t="str">
        <f>+J1220&amp;K1220</f>
        <v/>
      </c>
      <c r="J1220" s="487"/>
      <c r="K1220" s="487"/>
      <c r="L1220" s="488" t="str">
        <f>+M1220&amp;N1220</f>
        <v/>
      </c>
      <c r="M1220" s="487"/>
      <c r="N1220" s="487"/>
      <c r="O1220" s="488" t="str">
        <f>+P1220&amp;Q1220</f>
        <v/>
      </c>
      <c r="P1220" s="489"/>
      <c r="Q1220" s="489"/>
      <c r="R1220" s="592" t="str">
        <f>+S1220&amp;T1220</f>
        <v/>
      </c>
      <c r="S1220" s="487"/>
      <c r="T1220" s="487"/>
      <c r="U1220" s="488" t="str">
        <f>+V1220&amp;W1220</f>
        <v/>
      </c>
      <c r="V1220" s="489"/>
      <c r="W1220" s="489"/>
      <c r="X1220" s="488" t="str">
        <f>+Y1220&amp;Z1220</f>
        <v/>
      </c>
      <c r="Y1220" s="489"/>
      <c r="Z1220" s="489"/>
      <c r="AA1220" s="490" t="str">
        <f>+AB1220&amp;AC1220</f>
        <v/>
      </c>
      <c r="AB1220" s="489"/>
      <c r="AC1220" s="489"/>
      <c r="AD1220" s="27">
        <v>410522</v>
      </c>
      <c r="AE1220" s="27" t="s">
        <v>2351</v>
      </c>
      <c r="AF1220" s="432">
        <f>VLOOKUP(AD1220,[5]Hoja1!$A$10:$K$1393,11,0)</f>
        <v>-11063893</v>
      </c>
      <c r="AG1220" s="432"/>
      <c r="AH1220" s="432">
        <f t="shared" si="293"/>
        <v>-11064</v>
      </c>
      <c r="AI1220" s="445"/>
      <c r="AL1220" s="448"/>
      <c r="AM1220" s="467">
        <f>VLOOKUP(AD1220,[6]BV201101!$A$10:$A$1236,1,0)</f>
        <v>410522</v>
      </c>
    </row>
    <row r="1221" spans="1:39" s="467" customFormat="1" ht="12.75" customHeight="1">
      <c r="A1221" s="487" t="str">
        <f t="shared" si="294"/>
        <v>4</v>
      </c>
      <c r="B1221" s="487" t="str">
        <f t="shared" si="281"/>
        <v>10</v>
      </c>
      <c r="C1221" s="487" t="str">
        <f t="shared" si="282"/>
        <v>52</v>
      </c>
      <c r="D1221" s="487" t="str">
        <f t="shared" si="283"/>
        <v>0523</v>
      </c>
      <c r="E1221" s="487">
        <v>532300000</v>
      </c>
      <c r="F1221" s="488"/>
      <c r="G1221" s="489"/>
      <c r="H1221" s="489"/>
      <c r="I1221" s="488"/>
      <c r="J1221" s="487"/>
      <c r="K1221" s="487"/>
      <c r="L1221" s="488"/>
      <c r="M1221" s="487"/>
      <c r="N1221" s="487"/>
      <c r="O1221" s="488"/>
      <c r="P1221" s="489"/>
      <c r="Q1221" s="489"/>
      <c r="R1221" s="592"/>
      <c r="S1221" s="487"/>
      <c r="T1221" s="487"/>
      <c r="U1221" s="488"/>
      <c r="V1221" s="489"/>
      <c r="W1221" s="489"/>
      <c r="X1221" s="488"/>
      <c r="Y1221" s="489"/>
      <c r="Z1221" s="489"/>
      <c r="AA1221" s="490"/>
      <c r="AB1221" s="489"/>
      <c r="AC1221" s="489"/>
      <c r="AD1221" s="27">
        <v>410523</v>
      </c>
      <c r="AE1221" s="27" t="s">
        <v>2352</v>
      </c>
      <c r="AF1221" s="432">
        <f>VLOOKUP(AD1221,[5]Hoja1!$A$10:$K$1393,11,0)</f>
        <v>0</v>
      </c>
      <c r="AG1221" s="432"/>
      <c r="AH1221" s="432">
        <f t="shared" si="293"/>
        <v>0</v>
      </c>
      <c r="AI1221" s="445"/>
      <c r="AL1221" s="448"/>
      <c r="AM1221" s="467">
        <f>VLOOKUP(AD1221,[6]BV201101!$A$10:$A$1236,1,0)</f>
        <v>410523</v>
      </c>
    </row>
    <row r="1222" spans="1:39" s="467" customFormat="1" ht="12.75" customHeight="1">
      <c r="A1222" s="487" t="str">
        <f t="shared" si="294"/>
        <v>4</v>
      </c>
      <c r="B1222" s="487" t="str">
        <f t="shared" si="281"/>
        <v>10</v>
      </c>
      <c r="C1222" s="487" t="str">
        <f t="shared" si="282"/>
        <v>52</v>
      </c>
      <c r="D1222" s="487" t="str">
        <f t="shared" si="283"/>
        <v>0524</v>
      </c>
      <c r="E1222" s="487">
        <v>532300000</v>
      </c>
      <c r="F1222" s="488"/>
      <c r="G1222" s="489"/>
      <c r="H1222" s="489"/>
      <c r="I1222" s="488"/>
      <c r="J1222" s="487"/>
      <c r="K1222" s="487"/>
      <c r="L1222" s="488"/>
      <c r="M1222" s="487"/>
      <c r="N1222" s="487"/>
      <c r="O1222" s="488"/>
      <c r="P1222" s="489"/>
      <c r="Q1222" s="489"/>
      <c r="R1222" s="592"/>
      <c r="S1222" s="487"/>
      <c r="T1222" s="487"/>
      <c r="U1222" s="488"/>
      <c r="V1222" s="489"/>
      <c r="W1222" s="489"/>
      <c r="X1222" s="488"/>
      <c r="Y1222" s="489"/>
      <c r="Z1222" s="489"/>
      <c r="AA1222" s="490"/>
      <c r="AB1222" s="489"/>
      <c r="AC1222" s="489"/>
      <c r="AD1222" s="27">
        <v>410524</v>
      </c>
      <c r="AE1222" s="27" t="s">
        <v>1263</v>
      </c>
      <c r="AF1222" s="432">
        <f>VLOOKUP(AD1222,[5]Hoja1!$A$10:$K$1393,11,0)</f>
        <v>-20164536</v>
      </c>
      <c r="AG1222" s="432"/>
      <c r="AH1222" s="432">
        <f t="shared" si="293"/>
        <v>-20165</v>
      </c>
      <c r="AI1222" s="445"/>
      <c r="AL1222" s="448"/>
      <c r="AM1222" s="467">
        <f>VLOOKUP(AD1222,[6]BV201101!$A$10:$A$1236,1,0)</f>
        <v>410524</v>
      </c>
    </row>
    <row r="1223" spans="1:39" s="467" customFormat="1" ht="12.75" customHeight="1">
      <c r="A1223" s="487" t="str">
        <f t="shared" si="294"/>
        <v>4</v>
      </c>
      <c r="B1223" s="487" t="str">
        <f t="shared" si="281"/>
        <v>10</v>
      </c>
      <c r="C1223" s="487" t="str">
        <f t="shared" si="282"/>
        <v>52</v>
      </c>
      <c r="D1223" s="487" t="str">
        <f t="shared" si="283"/>
        <v>0525</v>
      </c>
      <c r="E1223" s="487">
        <v>532201120</v>
      </c>
      <c r="F1223" s="488" t="str">
        <f>+G1223&amp;H1223</f>
        <v/>
      </c>
      <c r="G1223" s="489"/>
      <c r="H1223" s="489"/>
      <c r="I1223" s="488" t="str">
        <f>+J1223&amp;K1223</f>
        <v/>
      </c>
      <c r="J1223" s="487"/>
      <c r="K1223" s="487"/>
      <c r="L1223" s="488" t="str">
        <f>+M1223&amp;N1223</f>
        <v/>
      </c>
      <c r="M1223" s="487"/>
      <c r="N1223" s="487"/>
      <c r="O1223" s="488" t="str">
        <f>+P1223&amp;Q1223</f>
        <v/>
      </c>
      <c r="P1223" s="489"/>
      <c r="Q1223" s="489"/>
      <c r="R1223" s="592" t="str">
        <f>+S1223&amp;T1223</f>
        <v/>
      </c>
      <c r="S1223" s="487"/>
      <c r="T1223" s="487"/>
      <c r="U1223" s="488" t="str">
        <f>+V1223&amp;W1223</f>
        <v/>
      </c>
      <c r="V1223" s="489"/>
      <c r="W1223" s="489"/>
      <c r="X1223" s="488" t="str">
        <f>+Y1223&amp;Z1223</f>
        <v/>
      </c>
      <c r="Y1223" s="489"/>
      <c r="Z1223" s="489"/>
      <c r="AA1223" s="490" t="str">
        <f>+AB1223&amp;AC1223</f>
        <v/>
      </c>
      <c r="AB1223" s="489"/>
      <c r="AC1223" s="489"/>
      <c r="AD1223" s="27">
        <v>410525</v>
      </c>
      <c r="AE1223" s="27" t="s">
        <v>2353</v>
      </c>
      <c r="AF1223" s="432">
        <f>VLOOKUP(AD1223,[5]Hoja1!$A$10:$K$1393,11,0)</f>
        <v>0</v>
      </c>
      <c r="AG1223" s="432"/>
      <c r="AH1223" s="432">
        <f t="shared" si="293"/>
        <v>0</v>
      </c>
      <c r="AI1223" s="445"/>
      <c r="AL1223" s="448"/>
      <c r="AM1223" s="467">
        <f>VLOOKUP(AD1223,[6]BV201101!$A$10:$A$1236,1,0)</f>
        <v>410525</v>
      </c>
    </row>
    <row r="1224" spans="1:39" s="467" customFormat="1" ht="12.75" customHeight="1">
      <c r="A1224" s="487" t="str">
        <f t="shared" si="294"/>
        <v>4</v>
      </c>
      <c r="B1224" s="487" t="str">
        <f t="shared" si="281"/>
        <v>10</v>
      </c>
      <c r="C1224" s="487" t="str">
        <f t="shared" si="282"/>
        <v>52</v>
      </c>
      <c r="D1224" s="487" t="str">
        <f t="shared" si="283"/>
        <v>0526</v>
      </c>
      <c r="E1224" s="487">
        <v>532300000</v>
      </c>
      <c r="F1224" s="488" t="str">
        <f>+G1224&amp;H1224</f>
        <v/>
      </c>
      <c r="G1224" s="489"/>
      <c r="H1224" s="489"/>
      <c r="I1224" s="488" t="str">
        <f>+J1224&amp;K1224</f>
        <v/>
      </c>
      <c r="J1224" s="487"/>
      <c r="K1224" s="487"/>
      <c r="L1224" s="488" t="str">
        <f>+M1224&amp;N1224</f>
        <v/>
      </c>
      <c r="M1224" s="487"/>
      <c r="N1224" s="487"/>
      <c r="O1224" s="488" t="str">
        <f>+P1224&amp;Q1224</f>
        <v/>
      </c>
      <c r="P1224" s="489"/>
      <c r="Q1224" s="489"/>
      <c r="R1224" s="592" t="str">
        <f>+S1224&amp;T1224</f>
        <v/>
      </c>
      <c r="S1224" s="487"/>
      <c r="T1224" s="487"/>
      <c r="U1224" s="488" t="str">
        <f>+V1224&amp;W1224</f>
        <v/>
      </c>
      <c r="V1224" s="489"/>
      <c r="W1224" s="489"/>
      <c r="X1224" s="488" t="str">
        <f>+Y1224&amp;Z1224</f>
        <v/>
      </c>
      <c r="Y1224" s="489"/>
      <c r="Z1224" s="489"/>
      <c r="AA1224" s="490" t="str">
        <f>+AB1224&amp;AC1224</f>
        <v/>
      </c>
      <c r="AB1224" s="489"/>
      <c r="AC1224" s="489"/>
      <c r="AD1224" s="27">
        <v>410526</v>
      </c>
      <c r="AE1224" s="27" t="s">
        <v>2354</v>
      </c>
      <c r="AF1224" s="432">
        <f>VLOOKUP(AD1224,[5]Hoja1!$A$10:$K$1393,11,0)</f>
        <v>-302428280</v>
      </c>
      <c r="AG1224" s="432"/>
      <c r="AH1224" s="432">
        <f t="shared" si="293"/>
        <v>-302428</v>
      </c>
      <c r="AL1224" s="448"/>
      <c r="AM1224" s="467">
        <f>VLOOKUP(AD1224,[6]BV201101!$A$10:$A$1236,1,0)</f>
        <v>410526</v>
      </c>
    </row>
    <row r="1225" spans="1:39" s="467" customFormat="1" ht="12.75" customHeight="1">
      <c r="A1225" s="487" t="str">
        <f t="shared" si="294"/>
        <v>4</v>
      </c>
      <c r="B1225" s="487" t="str">
        <f t="shared" si="281"/>
        <v>10</v>
      </c>
      <c r="C1225" s="487" t="str">
        <f t="shared" si="282"/>
        <v>52</v>
      </c>
      <c r="D1225" s="487" t="str">
        <f t="shared" si="283"/>
        <v>0527</v>
      </c>
      <c r="E1225" s="487">
        <v>532300000</v>
      </c>
      <c r="F1225" s="488" t="str">
        <f>+G1225&amp;H1225</f>
        <v/>
      </c>
      <c r="G1225" s="489"/>
      <c r="H1225" s="489"/>
      <c r="I1225" s="488" t="str">
        <f>+J1225&amp;K1225</f>
        <v/>
      </c>
      <c r="J1225" s="487"/>
      <c r="K1225" s="487"/>
      <c r="L1225" s="488" t="str">
        <f>+M1225&amp;N1225</f>
        <v/>
      </c>
      <c r="M1225" s="487"/>
      <c r="N1225" s="487"/>
      <c r="O1225" s="488" t="str">
        <f>+P1225&amp;Q1225</f>
        <v/>
      </c>
      <c r="P1225" s="489"/>
      <c r="Q1225" s="489"/>
      <c r="R1225" s="592" t="str">
        <f>+S1225&amp;T1225</f>
        <v/>
      </c>
      <c r="S1225" s="487"/>
      <c r="T1225" s="487"/>
      <c r="U1225" s="488" t="str">
        <f>+V1225&amp;W1225</f>
        <v/>
      </c>
      <c r="V1225" s="489"/>
      <c r="W1225" s="489"/>
      <c r="X1225" s="488" t="str">
        <f>+Y1225&amp;Z1225</f>
        <v/>
      </c>
      <c r="Y1225" s="489"/>
      <c r="Z1225" s="489"/>
      <c r="AA1225" s="490" t="str">
        <f>+AB1225&amp;AC1225</f>
        <v/>
      </c>
      <c r="AB1225" s="489"/>
      <c r="AC1225" s="489"/>
      <c r="AD1225" s="27">
        <v>410527</v>
      </c>
      <c r="AE1225" s="27" t="s">
        <v>2355</v>
      </c>
      <c r="AF1225" s="432">
        <v>0</v>
      </c>
      <c r="AG1225" s="432"/>
      <c r="AH1225" s="432">
        <f t="shared" si="293"/>
        <v>0</v>
      </c>
      <c r="AI1225" s="445"/>
      <c r="AL1225" s="448"/>
      <c r="AM1225" s="467" t="e">
        <f>VLOOKUP(AD1225,[6]BV201101!$A$10:$A$1236,1,0)</f>
        <v>#N/A</v>
      </c>
    </row>
    <row r="1226" spans="1:39" s="467" customFormat="1" ht="12.75" customHeight="1">
      <c r="A1226" s="487" t="str">
        <f t="shared" si="294"/>
        <v>4</v>
      </c>
      <c r="B1226" s="487" t="str">
        <f t="shared" si="281"/>
        <v>10</v>
      </c>
      <c r="C1226" s="487" t="str">
        <f t="shared" si="282"/>
        <v>52</v>
      </c>
      <c r="D1226" s="487" t="str">
        <f t="shared" si="283"/>
        <v>0528</v>
      </c>
      <c r="E1226" s="487">
        <v>532300000</v>
      </c>
      <c r="F1226" s="488"/>
      <c r="G1226" s="489"/>
      <c r="H1226" s="489"/>
      <c r="I1226" s="488"/>
      <c r="J1226" s="487"/>
      <c r="K1226" s="487"/>
      <c r="L1226" s="488"/>
      <c r="M1226" s="487"/>
      <c r="N1226" s="487"/>
      <c r="O1226" s="488"/>
      <c r="P1226" s="489"/>
      <c r="Q1226" s="489"/>
      <c r="R1226" s="592"/>
      <c r="S1226" s="487"/>
      <c r="T1226" s="487"/>
      <c r="U1226" s="488"/>
      <c r="V1226" s="489"/>
      <c r="W1226" s="489"/>
      <c r="X1226" s="488"/>
      <c r="Y1226" s="489"/>
      <c r="Z1226" s="489"/>
      <c r="AA1226" s="490"/>
      <c r="AB1226" s="489"/>
      <c r="AC1226" s="489"/>
      <c r="AD1226" s="27">
        <v>410528</v>
      </c>
      <c r="AE1226" s="27" t="s">
        <v>38</v>
      </c>
      <c r="AF1226" s="432">
        <v>0</v>
      </c>
      <c r="AG1226" s="432"/>
      <c r="AH1226" s="432">
        <f t="shared" si="293"/>
        <v>0</v>
      </c>
      <c r="AI1226" s="445"/>
      <c r="AL1226" s="448"/>
      <c r="AM1226" s="467">
        <f>VLOOKUP(AD1226,[6]BV201101!$A$10:$A$1236,1,0)</f>
        <v>410528</v>
      </c>
    </row>
    <row r="1227" spans="1:39" s="467" customFormat="1" ht="12.75" customHeight="1">
      <c r="A1227" s="487" t="str">
        <f t="shared" si="294"/>
        <v>4</v>
      </c>
      <c r="B1227" s="487" t="str">
        <f t="shared" si="281"/>
        <v>10</v>
      </c>
      <c r="C1227" s="487" t="str">
        <f t="shared" si="282"/>
        <v>52</v>
      </c>
      <c r="D1227" s="487" t="str">
        <f t="shared" si="283"/>
        <v>0529</v>
      </c>
      <c r="E1227" s="487">
        <v>532300000</v>
      </c>
      <c r="F1227" s="488"/>
      <c r="G1227" s="489"/>
      <c r="H1227" s="489"/>
      <c r="I1227" s="488"/>
      <c r="J1227" s="487"/>
      <c r="K1227" s="487"/>
      <c r="L1227" s="488"/>
      <c r="M1227" s="487"/>
      <c r="N1227" s="487"/>
      <c r="O1227" s="488"/>
      <c r="P1227" s="489"/>
      <c r="Q1227" s="489"/>
      <c r="R1227" s="592"/>
      <c r="S1227" s="487"/>
      <c r="T1227" s="487"/>
      <c r="U1227" s="488"/>
      <c r="V1227" s="489"/>
      <c r="W1227" s="489"/>
      <c r="X1227" s="488"/>
      <c r="Y1227" s="489"/>
      <c r="Z1227" s="489"/>
      <c r="AA1227" s="490"/>
      <c r="AB1227" s="489"/>
      <c r="AC1227" s="489"/>
      <c r="AD1227" s="27">
        <v>410529</v>
      </c>
      <c r="AE1227" s="27" t="s">
        <v>2356</v>
      </c>
      <c r="AF1227" s="432">
        <f>VLOOKUP(AD1227,[5]Hoja1!$A$10:$K$1393,11,0)</f>
        <v>0</v>
      </c>
      <c r="AG1227" s="432"/>
      <c r="AH1227" s="432">
        <f t="shared" si="293"/>
        <v>0</v>
      </c>
      <c r="AI1227" s="445"/>
      <c r="AL1227" s="448"/>
      <c r="AM1227" s="467">
        <f>VLOOKUP(AD1227,[6]BV201101!$A$10:$A$1236,1,0)</f>
        <v>410529</v>
      </c>
    </row>
    <row r="1228" spans="1:39" s="467" customFormat="1" ht="12.75" customHeight="1">
      <c r="A1228" s="487" t="str">
        <f t="shared" si="294"/>
        <v>4</v>
      </c>
      <c r="B1228" s="487" t="str">
        <f t="shared" si="281"/>
        <v>10</v>
      </c>
      <c r="C1228" s="487" t="str">
        <f t="shared" si="282"/>
        <v>53</v>
      </c>
      <c r="D1228" s="487" t="str">
        <f t="shared" si="283"/>
        <v>0530</v>
      </c>
      <c r="E1228" s="487">
        <v>532300000</v>
      </c>
      <c r="F1228" s="488"/>
      <c r="G1228" s="489"/>
      <c r="H1228" s="489"/>
      <c r="I1228" s="488"/>
      <c r="J1228" s="487"/>
      <c r="K1228" s="487"/>
      <c r="L1228" s="488"/>
      <c r="M1228" s="487"/>
      <c r="N1228" s="487"/>
      <c r="O1228" s="488"/>
      <c r="P1228" s="489"/>
      <c r="Q1228" s="489"/>
      <c r="R1228" s="592"/>
      <c r="S1228" s="487"/>
      <c r="T1228" s="487"/>
      <c r="U1228" s="488"/>
      <c r="V1228" s="489"/>
      <c r="W1228" s="489"/>
      <c r="X1228" s="488"/>
      <c r="Y1228" s="489"/>
      <c r="Z1228" s="489"/>
      <c r="AA1228" s="490"/>
      <c r="AB1228" s="489"/>
      <c r="AC1228" s="489"/>
      <c r="AD1228" s="27">
        <v>410530</v>
      </c>
      <c r="AE1228" s="27" t="s">
        <v>2357</v>
      </c>
      <c r="AF1228" s="432">
        <v>0</v>
      </c>
      <c r="AG1228" s="432"/>
      <c r="AH1228" s="432">
        <f t="shared" si="293"/>
        <v>0</v>
      </c>
      <c r="AI1228" s="445"/>
      <c r="AL1228" s="448"/>
      <c r="AM1228" s="467" t="e">
        <f>VLOOKUP(AD1228,[6]BV201101!$A$10:$A$1236,1,0)</f>
        <v>#N/A</v>
      </c>
    </row>
    <row r="1229" spans="1:39" s="467" customFormat="1" ht="12.75" customHeight="1">
      <c r="A1229" s="487" t="str">
        <f t="shared" si="294"/>
        <v>4</v>
      </c>
      <c r="B1229" s="487" t="str">
        <f t="shared" si="281"/>
        <v>10</v>
      </c>
      <c r="C1229" s="487" t="str">
        <f t="shared" si="282"/>
        <v>53</v>
      </c>
      <c r="D1229" s="487" t="str">
        <f t="shared" si="283"/>
        <v>0531</v>
      </c>
      <c r="E1229" s="487">
        <v>532300000</v>
      </c>
      <c r="F1229" s="488"/>
      <c r="G1229" s="489"/>
      <c r="H1229" s="489"/>
      <c r="I1229" s="488"/>
      <c r="J1229" s="487"/>
      <c r="K1229" s="487"/>
      <c r="L1229" s="488"/>
      <c r="M1229" s="487"/>
      <c r="N1229" s="487"/>
      <c r="O1229" s="488"/>
      <c r="P1229" s="489"/>
      <c r="Q1229" s="489"/>
      <c r="R1229" s="592"/>
      <c r="S1229" s="487"/>
      <c r="T1229" s="487"/>
      <c r="U1229" s="488"/>
      <c r="V1229" s="489"/>
      <c r="W1229" s="489"/>
      <c r="X1229" s="488"/>
      <c r="Y1229" s="489"/>
      <c r="Z1229" s="489"/>
      <c r="AA1229" s="490"/>
      <c r="AB1229" s="489"/>
      <c r="AC1229" s="489"/>
      <c r="AD1229" s="27">
        <v>410531</v>
      </c>
      <c r="AE1229" s="27" t="s">
        <v>2358</v>
      </c>
      <c r="AF1229" s="432">
        <v>0</v>
      </c>
      <c r="AG1229" s="432"/>
      <c r="AH1229" s="432">
        <f t="shared" si="293"/>
        <v>0</v>
      </c>
      <c r="AI1229" s="445"/>
      <c r="AL1229" s="448"/>
      <c r="AM1229" s="467" t="e">
        <f>VLOOKUP(AD1229,[6]BV201101!$A$10:$A$1236,1,0)</f>
        <v>#N/A</v>
      </c>
    </row>
    <row r="1230" spans="1:39" s="467" customFormat="1" ht="12.75" customHeight="1">
      <c r="A1230" s="487" t="str">
        <f t="shared" si="294"/>
        <v>4</v>
      </c>
      <c r="B1230" s="487" t="str">
        <f t="shared" si="281"/>
        <v>10</v>
      </c>
      <c r="C1230" s="487" t="str">
        <f t="shared" si="282"/>
        <v>53</v>
      </c>
      <c r="D1230" s="487" t="str">
        <f t="shared" si="283"/>
        <v>0532</v>
      </c>
      <c r="E1230" s="487">
        <v>534101200</v>
      </c>
      <c r="F1230" s="488"/>
      <c r="G1230" s="489"/>
      <c r="H1230" s="489"/>
      <c r="I1230" s="488"/>
      <c r="J1230" s="487"/>
      <c r="K1230" s="487"/>
      <c r="L1230" s="488"/>
      <c r="M1230" s="487"/>
      <c r="N1230" s="487"/>
      <c r="O1230" s="488"/>
      <c r="P1230" s="489"/>
      <c r="Q1230" s="489"/>
      <c r="R1230" s="592"/>
      <c r="S1230" s="487"/>
      <c r="T1230" s="487"/>
      <c r="U1230" s="488"/>
      <c r="V1230" s="489"/>
      <c r="W1230" s="489"/>
      <c r="X1230" s="488"/>
      <c r="Y1230" s="489"/>
      <c r="Z1230" s="489"/>
      <c r="AA1230" s="490"/>
      <c r="AB1230" s="489"/>
      <c r="AC1230" s="489"/>
      <c r="AD1230" s="27">
        <v>410532</v>
      </c>
      <c r="AE1230" s="27" t="s">
        <v>2359</v>
      </c>
      <c r="AF1230" s="432">
        <f>VLOOKUP(AD1230,[5]Hoja1!$A$10:$K$1393,11,0)</f>
        <v>-131339839</v>
      </c>
      <c r="AG1230" s="432"/>
      <c r="AH1230" s="432">
        <f t="shared" si="293"/>
        <v>-131340</v>
      </c>
      <c r="AI1230" s="445"/>
      <c r="AL1230" s="448"/>
      <c r="AM1230" s="467">
        <f>VLOOKUP(AD1230,[6]BV201101!$A$10:$A$1236,1,0)</f>
        <v>410532</v>
      </c>
    </row>
    <row r="1231" spans="1:39" s="467" customFormat="1" ht="12.75" customHeight="1">
      <c r="A1231" s="487" t="str">
        <f t="shared" si="294"/>
        <v>4</v>
      </c>
      <c r="B1231" s="487" t="str">
        <f t="shared" si="281"/>
        <v>10</v>
      </c>
      <c r="C1231" s="487" t="str">
        <f t="shared" si="282"/>
        <v>53</v>
      </c>
      <c r="D1231" s="487" t="str">
        <f t="shared" si="283"/>
        <v>0533</v>
      </c>
      <c r="E1231" s="487">
        <v>532300000</v>
      </c>
      <c r="F1231" s="488"/>
      <c r="G1231" s="489"/>
      <c r="H1231" s="489"/>
      <c r="I1231" s="488"/>
      <c r="J1231" s="487"/>
      <c r="K1231" s="487"/>
      <c r="L1231" s="488"/>
      <c r="M1231" s="487"/>
      <c r="N1231" s="487"/>
      <c r="O1231" s="488"/>
      <c r="P1231" s="489"/>
      <c r="Q1231" s="489"/>
      <c r="R1231" s="592"/>
      <c r="S1231" s="487"/>
      <c r="T1231" s="487"/>
      <c r="U1231" s="488"/>
      <c r="V1231" s="489"/>
      <c r="W1231" s="489"/>
      <c r="X1231" s="488"/>
      <c r="Y1231" s="489"/>
      <c r="Z1231" s="489"/>
      <c r="AA1231" s="490"/>
      <c r="AB1231" s="489"/>
      <c r="AC1231" s="489"/>
      <c r="AD1231" s="27">
        <v>410533</v>
      </c>
      <c r="AE1231" s="27" t="s">
        <v>1137</v>
      </c>
      <c r="AF1231" s="432">
        <v>0</v>
      </c>
      <c r="AG1231" s="432"/>
      <c r="AH1231" s="432">
        <f t="shared" si="293"/>
        <v>0</v>
      </c>
      <c r="AI1231" s="445"/>
      <c r="AL1231" s="448"/>
      <c r="AM1231" s="467" t="e">
        <f>VLOOKUP(AD1231,[6]BV201101!$A$10:$A$1236,1,0)</f>
        <v>#N/A</v>
      </c>
    </row>
    <row r="1232" spans="1:39" s="467" customFormat="1" ht="12.75" customHeight="1">
      <c r="A1232" s="487" t="str">
        <f t="shared" si="294"/>
        <v>4</v>
      </c>
      <c r="B1232" s="487" t="str">
        <f t="shared" si="281"/>
        <v>10</v>
      </c>
      <c r="C1232" s="487" t="str">
        <f t="shared" si="282"/>
        <v>53</v>
      </c>
      <c r="D1232" s="487" t="str">
        <f t="shared" si="283"/>
        <v>0534</v>
      </c>
      <c r="E1232" s="487">
        <v>532300000</v>
      </c>
      <c r="F1232" s="488"/>
      <c r="G1232" s="489"/>
      <c r="H1232" s="489"/>
      <c r="I1232" s="488"/>
      <c r="J1232" s="487"/>
      <c r="K1232" s="487"/>
      <c r="L1232" s="488"/>
      <c r="M1232" s="487"/>
      <c r="N1232" s="487"/>
      <c r="O1232" s="488"/>
      <c r="P1232" s="489"/>
      <c r="Q1232" s="489"/>
      <c r="R1232" s="592"/>
      <c r="S1232" s="487"/>
      <c r="T1232" s="487"/>
      <c r="U1232" s="488"/>
      <c r="V1232" s="489"/>
      <c r="W1232" s="489"/>
      <c r="X1232" s="488"/>
      <c r="Y1232" s="489"/>
      <c r="Z1232" s="489"/>
      <c r="AA1232" s="490"/>
      <c r="AB1232" s="489"/>
      <c r="AC1232" s="489"/>
      <c r="AD1232" s="27">
        <v>410534</v>
      </c>
      <c r="AE1232" s="27" t="s">
        <v>1138</v>
      </c>
      <c r="AF1232" s="432">
        <v>0</v>
      </c>
      <c r="AG1232" s="432"/>
      <c r="AH1232" s="432">
        <f t="shared" si="293"/>
        <v>0</v>
      </c>
      <c r="AI1232" s="445"/>
      <c r="AL1232" s="448"/>
      <c r="AM1232" s="467" t="e">
        <f>VLOOKUP(AD1232,[6]BV201101!$A$10:$A$1236,1,0)</f>
        <v>#N/A</v>
      </c>
    </row>
    <row r="1233" spans="1:39" s="467" customFormat="1" ht="12.75" customHeight="1">
      <c r="A1233" s="487" t="str">
        <f t="shared" si="294"/>
        <v>4</v>
      </c>
      <c r="B1233" s="487" t="str">
        <f t="shared" si="281"/>
        <v>10</v>
      </c>
      <c r="C1233" s="487" t="str">
        <f t="shared" si="282"/>
        <v>53</v>
      </c>
      <c r="D1233" s="487" t="str">
        <f t="shared" si="283"/>
        <v>0535</v>
      </c>
      <c r="E1233" s="487">
        <v>532300000</v>
      </c>
      <c r="F1233" s="488"/>
      <c r="G1233" s="489"/>
      <c r="H1233" s="489"/>
      <c r="I1233" s="488"/>
      <c r="J1233" s="487"/>
      <c r="K1233" s="487"/>
      <c r="L1233" s="488"/>
      <c r="M1233" s="487"/>
      <c r="N1233" s="487"/>
      <c r="O1233" s="488"/>
      <c r="P1233" s="489"/>
      <c r="Q1233" s="489"/>
      <c r="R1233" s="592"/>
      <c r="S1233" s="487"/>
      <c r="T1233" s="487"/>
      <c r="U1233" s="488"/>
      <c r="V1233" s="489"/>
      <c r="W1233" s="489"/>
      <c r="X1233" s="488"/>
      <c r="Y1233" s="489"/>
      <c r="Z1233" s="489"/>
      <c r="AA1233" s="490"/>
      <c r="AB1233" s="489"/>
      <c r="AC1233" s="489"/>
      <c r="AD1233" s="27">
        <v>410535</v>
      </c>
      <c r="AE1233" s="27" t="s">
        <v>1139</v>
      </c>
      <c r="AF1233" s="432">
        <v>0</v>
      </c>
      <c r="AG1233" s="432"/>
      <c r="AH1233" s="432">
        <f t="shared" si="293"/>
        <v>0</v>
      </c>
      <c r="AI1233" s="445"/>
      <c r="AL1233" s="448"/>
      <c r="AM1233" s="467" t="e">
        <f>VLOOKUP(AD1233,[6]BV201101!$A$10:$A$1236,1,0)</f>
        <v>#N/A</v>
      </c>
    </row>
    <row r="1234" spans="1:39" s="467" customFormat="1" ht="12.75" customHeight="1">
      <c r="A1234" s="487" t="str">
        <f t="shared" si="294"/>
        <v>4</v>
      </c>
      <c r="B1234" s="487" t="str">
        <f t="shared" si="281"/>
        <v>10</v>
      </c>
      <c r="C1234" s="487" t="str">
        <f t="shared" si="282"/>
        <v>53</v>
      </c>
      <c r="D1234" s="487" t="str">
        <f t="shared" si="283"/>
        <v>0536</v>
      </c>
      <c r="E1234" s="487">
        <v>532300000</v>
      </c>
      <c r="F1234" s="488" t="str">
        <f>+G1234&amp;H1234</f>
        <v/>
      </c>
      <c r="G1234" s="489"/>
      <c r="H1234" s="489"/>
      <c r="I1234" s="488" t="str">
        <f>+J1234&amp;K1234</f>
        <v/>
      </c>
      <c r="J1234" s="487"/>
      <c r="K1234" s="487"/>
      <c r="L1234" s="488" t="str">
        <f>+M1234&amp;N1234</f>
        <v/>
      </c>
      <c r="M1234" s="487"/>
      <c r="N1234" s="487"/>
      <c r="O1234" s="488" t="str">
        <f>+P1234&amp;Q1234</f>
        <v/>
      </c>
      <c r="P1234" s="489"/>
      <c r="Q1234" s="489"/>
      <c r="R1234" s="592" t="str">
        <f>+S1234&amp;T1234</f>
        <v/>
      </c>
      <c r="S1234" s="487"/>
      <c r="T1234" s="487"/>
      <c r="U1234" s="488" t="str">
        <f>+V1234&amp;W1234</f>
        <v/>
      </c>
      <c r="V1234" s="489"/>
      <c r="W1234" s="489"/>
      <c r="X1234" s="488" t="str">
        <f>+Y1234&amp;Z1234</f>
        <v/>
      </c>
      <c r="Y1234" s="489"/>
      <c r="Z1234" s="489"/>
      <c r="AA1234" s="490" t="str">
        <f>+AB1234&amp;AC1234</f>
        <v/>
      </c>
      <c r="AB1234" s="489"/>
      <c r="AC1234" s="489"/>
      <c r="AD1234" s="27">
        <v>410536</v>
      </c>
      <c r="AE1234" s="27" t="s">
        <v>2106</v>
      </c>
      <c r="AF1234" s="432">
        <f>VLOOKUP(AD1234,[5]Hoja1!$A$10:$K$1393,11,0)</f>
        <v>0</v>
      </c>
      <c r="AG1234" s="432"/>
      <c r="AH1234" s="432">
        <f t="shared" si="293"/>
        <v>0</v>
      </c>
      <c r="AI1234" s="445"/>
      <c r="AL1234" s="448"/>
      <c r="AM1234" s="467">
        <f>VLOOKUP(AD1234,[6]BV201101!$A$10:$A$1236,1,0)</f>
        <v>410536</v>
      </c>
    </row>
    <row r="1235" spans="1:39" s="467" customFormat="1" ht="12.75" customHeight="1">
      <c r="A1235" s="487" t="str">
        <f t="shared" si="294"/>
        <v>4</v>
      </c>
      <c r="B1235" s="487" t="str">
        <f t="shared" si="281"/>
        <v>10</v>
      </c>
      <c r="C1235" s="487" t="str">
        <f t="shared" si="282"/>
        <v>53</v>
      </c>
      <c r="D1235" s="487" t="str">
        <f t="shared" si="283"/>
        <v>0537</v>
      </c>
      <c r="E1235" s="487">
        <v>532300000</v>
      </c>
      <c r="F1235" s="488" t="str">
        <f>+G1235&amp;H1235</f>
        <v/>
      </c>
      <c r="G1235" s="489"/>
      <c r="H1235" s="489"/>
      <c r="I1235" s="488" t="str">
        <f>+J1235&amp;K1235</f>
        <v/>
      </c>
      <c r="J1235" s="487"/>
      <c r="K1235" s="487"/>
      <c r="L1235" s="488" t="str">
        <f>+M1235&amp;N1235</f>
        <v/>
      </c>
      <c r="M1235" s="487"/>
      <c r="N1235" s="487"/>
      <c r="O1235" s="488" t="str">
        <f>+P1235&amp;Q1235</f>
        <v/>
      </c>
      <c r="P1235" s="489"/>
      <c r="Q1235" s="489"/>
      <c r="R1235" s="592" t="str">
        <f>+S1235&amp;T1235</f>
        <v/>
      </c>
      <c r="S1235" s="487"/>
      <c r="T1235" s="487"/>
      <c r="U1235" s="488" t="str">
        <f>+V1235&amp;W1235</f>
        <v/>
      </c>
      <c r="V1235" s="489"/>
      <c r="W1235" s="489"/>
      <c r="X1235" s="488" t="str">
        <f>+Y1235&amp;Z1235</f>
        <v/>
      </c>
      <c r="Y1235" s="489"/>
      <c r="Z1235" s="489"/>
      <c r="AA1235" s="490" t="str">
        <f>+AB1235&amp;AC1235</f>
        <v/>
      </c>
      <c r="AB1235" s="489"/>
      <c r="AC1235" s="489"/>
      <c r="AD1235" s="27">
        <v>410537</v>
      </c>
      <c r="AE1235" s="27" t="s">
        <v>2360</v>
      </c>
      <c r="AF1235" s="432">
        <f>VLOOKUP(AD1235,[5]Hoja1!$A$10:$K$1393,11,0)</f>
        <v>-8484208</v>
      </c>
      <c r="AG1235" s="432"/>
      <c r="AH1235" s="432">
        <f t="shared" si="293"/>
        <v>-8484</v>
      </c>
      <c r="AL1235" s="448"/>
      <c r="AM1235" s="467">
        <f>VLOOKUP(AD1235,[6]BV201101!$A$10:$A$1236,1,0)</f>
        <v>410537</v>
      </c>
    </row>
    <row r="1236" spans="1:39" s="467" customFormat="1" ht="12.75" customHeight="1">
      <c r="A1236" s="487" t="str">
        <f t="shared" si="294"/>
        <v>4</v>
      </c>
      <c r="B1236" s="487" t="str">
        <f t="shared" si="281"/>
        <v>10</v>
      </c>
      <c r="C1236" s="487" t="str">
        <f t="shared" si="282"/>
        <v>53</v>
      </c>
      <c r="D1236" s="487" t="str">
        <f t="shared" si="283"/>
        <v>0538</v>
      </c>
      <c r="E1236" s="487">
        <v>532201200</v>
      </c>
      <c r="F1236" s="488" t="str">
        <f>+G1236&amp;H1236</f>
        <v/>
      </c>
      <c r="G1236" s="489"/>
      <c r="H1236" s="489"/>
      <c r="I1236" s="488" t="str">
        <f>+J1236&amp;K1236</f>
        <v/>
      </c>
      <c r="J1236" s="487"/>
      <c r="K1236" s="487"/>
      <c r="L1236" s="488" t="str">
        <f>+M1236&amp;N1236</f>
        <v/>
      </c>
      <c r="M1236" s="487"/>
      <c r="N1236" s="487"/>
      <c r="O1236" s="488" t="str">
        <f>+P1236&amp;Q1236</f>
        <v/>
      </c>
      <c r="P1236" s="489"/>
      <c r="Q1236" s="489"/>
      <c r="R1236" s="592" t="str">
        <f>+S1236&amp;T1236</f>
        <v/>
      </c>
      <c r="S1236" s="487"/>
      <c r="T1236" s="487"/>
      <c r="U1236" s="488" t="str">
        <f>+V1236&amp;W1236</f>
        <v/>
      </c>
      <c r="V1236" s="489"/>
      <c r="W1236" s="489"/>
      <c r="X1236" s="488" t="str">
        <f>+Y1236&amp;Z1236</f>
        <v/>
      </c>
      <c r="Y1236" s="489"/>
      <c r="Z1236" s="489"/>
      <c r="AA1236" s="490" t="str">
        <f>+AB1236&amp;AC1236</f>
        <v/>
      </c>
      <c r="AB1236" s="489"/>
      <c r="AC1236" s="489"/>
      <c r="AD1236" s="27">
        <v>410538</v>
      </c>
      <c r="AE1236" s="27" t="s">
        <v>2361</v>
      </c>
      <c r="AF1236" s="432">
        <f>VLOOKUP(AD1236,[5]Hoja1!$A$10:$K$1393,11,0)</f>
        <v>-307144909</v>
      </c>
      <c r="AG1236" s="432"/>
      <c r="AH1236" s="432">
        <f t="shared" si="293"/>
        <v>-307145</v>
      </c>
      <c r="AL1236" s="448"/>
      <c r="AM1236" s="467">
        <f>VLOOKUP(AD1236,[6]BV201101!$A$10:$A$1236,1,0)</f>
        <v>410538</v>
      </c>
    </row>
    <row r="1237" spans="1:39" s="467" customFormat="1" ht="12.75" customHeight="1">
      <c r="A1237" s="487" t="str">
        <f t="shared" si="294"/>
        <v>4</v>
      </c>
      <c r="B1237" s="487" t="str">
        <f t="shared" si="281"/>
        <v>10</v>
      </c>
      <c r="C1237" s="487" t="str">
        <f t="shared" si="282"/>
        <v>53</v>
      </c>
      <c r="D1237" s="487" t="str">
        <f t="shared" si="283"/>
        <v>0539</v>
      </c>
      <c r="E1237" s="487">
        <v>532300000</v>
      </c>
      <c r="F1237" s="488" t="str">
        <f>+G1237&amp;H1237</f>
        <v/>
      </c>
      <c r="G1237" s="489"/>
      <c r="H1237" s="489"/>
      <c r="I1237" s="488" t="str">
        <f>+J1237&amp;K1237</f>
        <v/>
      </c>
      <c r="J1237" s="487"/>
      <c r="K1237" s="487"/>
      <c r="L1237" s="488" t="str">
        <f>+M1237&amp;N1237</f>
        <v/>
      </c>
      <c r="M1237" s="487"/>
      <c r="N1237" s="487"/>
      <c r="O1237" s="488" t="str">
        <f>+P1237&amp;Q1237</f>
        <v/>
      </c>
      <c r="P1237" s="489"/>
      <c r="Q1237" s="489"/>
      <c r="R1237" s="592" t="str">
        <f>+S1237&amp;T1237</f>
        <v/>
      </c>
      <c r="S1237" s="487"/>
      <c r="T1237" s="487"/>
      <c r="U1237" s="488" t="str">
        <f>+V1237&amp;W1237</f>
        <v/>
      </c>
      <c r="V1237" s="489"/>
      <c r="W1237" s="489"/>
      <c r="X1237" s="488" t="str">
        <f>+Y1237&amp;Z1237</f>
        <v/>
      </c>
      <c r="Y1237" s="489"/>
      <c r="Z1237" s="489"/>
      <c r="AA1237" s="490" t="str">
        <f>+AB1237&amp;AC1237</f>
        <v/>
      </c>
      <c r="AB1237" s="489"/>
      <c r="AC1237" s="489"/>
      <c r="AD1237" s="27">
        <v>410539</v>
      </c>
      <c r="AE1237" s="27" t="s">
        <v>668</v>
      </c>
      <c r="AF1237" s="432">
        <f>VLOOKUP(AD1237,[5]Hoja1!$A$10:$K$1393,11,0)</f>
        <v>-82111425</v>
      </c>
      <c r="AG1237" s="432"/>
      <c r="AH1237" s="432">
        <f t="shared" si="293"/>
        <v>-82111</v>
      </c>
      <c r="AL1237" s="448"/>
      <c r="AM1237" s="467">
        <f>VLOOKUP(AD1237,[6]BV201101!$A$10:$A$1236,1,0)</f>
        <v>410539</v>
      </c>
    </row>
    <row r="1238" spans="1:39" s="467" customFormat="1" ht="12.75" customHeight="1">
      <c r="A1238" s="487" t="str">
        <f t="shared" si="294"/>
        <v>4</v>
      </c>
      <c r="B1238" s="487" t="str">
        <f t="shared" si="281"/>
        <v>10</v>
      </c>
      <c r="C1238" s="487" t="str">
        <f t="shared" si="282"/>
        <v>54</v>
      </c>
      <c r="D1238" s="487" t="str">
        <f t="shared" si="283"/>
        <v>0540</v>
      </c>
      <c r="E1238" s="487">
        <v>532400000</v>
      </c>
      <c r="F1238" s="488" t="str">
        <f>+G1238&amp;H1238</f>
        <v/>
      </c>
      <c r="G1238" s="489"/>
      <c r="H1238" s="489"/>
      <c r="I1238" s="488" t="str">
        <f>+J1238&amp;K1238</f>
        <v/>
      </c>
      <c r="J1238" s="487"/>
      <c r="K1238" s="487"/>
      <c r="L1238" s="488" t="str">
        <f>+M1238&amp;N1238</f>
        <v/>
      </c>
      <c r="M1238" s="487"/>
      <c r="N1238" s="487"/>
      <c r="O1238" s="488" t="str">
        <f>+P1238&amp;Q1238</f>
        <v/>
      </c>
      <c r="P1238" s="489"/>
      <c r="Q1238" s="489"/>
      <c r="R1238" s="592" t="str">
        <f>+S1238&amp;T1238</f>
        <v/>
      </c>
      <c r="S1238" s="487"/>
      <c r="T1238" s="487"/>
      <c r="U1238" s="488" t="str">
        <f>+V1238&amp;W1238</f>
        <v/>
      </c>
      <c r="V1238" s="489"/>
      <c r="W1238" s="489"/>
      <c r="X1238" s="488" t="str">
        <f>+Y1238&amp;Z1238</f>
        <v/>
      </c>
      <c r="Y1238" s="489"/>
      <c r="Z1238" s="489"/>
      <c r="AA1238" s="490" t="str">
        <f>+AB1238&amp;AC1238</f>
        <v/>
      </c>
      <c r="AB1238" s="489"/>
      <c r="AC1238" s="489"/>
      <c r="AD1238" s="27">
        <v>410540</v>
      </c>
      <c r="AE1238" s="27" t="s">
        <v>818</v>
      </c>
      <c r="AF1238" s="432">
        <f>VLOOKUP(AD1238,[5]Hoja1!$A$10:$K$1393,11,0)</f>
        <v>-22328963</v>
      </c>
      <c r="AG1238" s="432"/>
      <c r="AH1238" s="432">
        <f t="shared" si="293"/>
        <v>-22329</v>
      </c>
      <c r="AL1238" s="448"/>
      <c r="AM1238" s="467">
        <f>VLOOKUP(AD1238,[6]BV201101!$A$10:$A$1236,1,0)</f>
        <v>410540</v>
      </c>
    </row>
    <row r="1239" spans="1:39" s="467" customFormat="1" ht="12.75" customHeight="1">
      <c r="A1239" s="487" t="str">
        <f t="shared" si="294"/>
        <v>4</v>
      </c>
      <c r="B1239" s="487" t="str">
        <f t="shared" si="281"/>
        <v>10</v>
      </c>
      <c r="C1239" s="487" t="str">
        <f t="shared" si="282"/>
        <v>54</v>
      </c>
      <c r="D1239" s="487" t="str">
        <f t="shared" si="283"/>
        <v>0541</v>
      </c>
      <c r="E1239" s="487">
        <v>532400000</v>
      </c>
      <c r="F1239" s="488"/>
      <c r="G1239" s="489"/>
      <c r="H1239" s="489"/>
      <c r="I1239" s="488"/>
      <c r="J1239" s="487"/>
      <c r="K1239" s="487"/>
      <c r="L1239" s="488"/>
      <c r="M1239" s="487"/>
      <c r="N1239" s="487"/>
      <c r="O1239" s="488"/>
      <c r="P1239" s="489"/>
      <c r="Q1239" s="489"/>
      <c r="R1239" s="592"/>
      <c r="S1239" s="487"/>
      <c r="T1239" s="487"/>
      <c r="U1239" s="488"/>
      <c r="V1239" s="489"/>
      <c r="W1239" s="489"/>
      <c r="X1239" s="488"/>
      <c r="Y1239" s="489"/>
      <c r="Z1239" s="489"/>
      <c r="AA1239" s="490"/>
      <c r="AB1239" s="489"/>
      <c r="AC1239" s="489"/>
      <c r="AD1239" s="27">
        <v>410541</v>
      </c>
      <c r="AE1239" s="27" t="s">
        <v>2362</v>
      </c>
      <c r="AF1239" s="432">
        <f>VLOOKUP(AD1239,[5]Hoja1!$A$10:$K$1393,11,0)</f>
        <v>118376374</v>
      </c>
      <c r="AG1239" s="432"/>
      <c r="AH1239" s="432">
        <f t="shared" si="293"/>
        <v>118376</v>
      </c>
      <c r="AL1239" s="448"/>
      <c r="AM1239" s="467">
        <f>VLOOKUP(AD1239,[6]BV201101!$A$10:$A$1236,1,0)</f>
        <v>410541</v>
      </c>
    </row>
    <row r="1240" spans="1:39" s="467" customFormat="1" ht="12.75" customHeight="1">
      <c r="A1240" s="487" t="str">
        <f t="shared" si="294"/>
        <v>4</v>
      </c>
      <c r="B1240" s="487" t="str">
        <f t="shared" si="281"/>
        <v>10</v>
      </c>
      <c r="C1240" s="487" t="str">
        <f t="shared" si="282"/>
        <v>54</v>
      </c>
      <c r="D1240" s="487" t="str">
        <f t="shared" si="283"/>
        <v>0542</v>
      </c>
      <c r="E1240" s="487"/>
      <c r="F1240" s="488"/>
      <c r="G1240" s="489"/>
      <c r="H1240" s="489"/>
      <c r="I1240" s="488"/>
      <c r="J1240" s="487"/>
      <c r="K1240" s="487"/>
      <c r="L1240" s="488"/>
      <c r="M1240" s="487"/>
      <c r="N1240" s="487"/>
      <c r="O1240" s="488"/>
      <c r="P1240" s="489"/>
      <c r="Q1240" s="489"/>
      <c r="R1240" s="592"/>
      <c r="S1240" s="487"/>
      <c r="T1240" s="487"/>
      <c r="U1240" s="488"/>
      <c r="V1240" s="489"/>
      <c r="W1240" s="489"/>
      <c r="X1240" s="488"/>
      <c r="Y1240" s="489"/>
      <c r="Z1240" s="489"/>
      <c r="AA1240" s="490"/>
      <c r="AB1240" s="489"/>
      <c r="AC1240" s="489"/>
      <c r="AD1240" s="27">
        <v>410542</v>
      </c>
      <c r="AE1240" s="27" t="s">
        <v>1838</v>
      </c>
      <c r="AF1240" s="432">
        <v>0</v>
      </c>
      <c r="AG1240" s="432"/>
      <c r="AH1240" s="432">
        <f t="shared" si="293"/>
        <v>0</v>
      </c>
      <c r="AL1240" s="448"/>
      <c r="AM1240" s="467" t="e">
        <f>VLOOKUP(AD1240,[6]BV201101!$A$10:$A$1236,1,0)</f>
        <v>#N/A</v>
      </c>
    </row>
    <row r="1241" spans="1:39" s="467" customFormat="1" ht="12.75" customHeight="1">
      <c r="A1241" s="487" t="str">
        <f t="shared" si="294"/>
        <v>4</v>
      </c>
      <c r="B1241" s="487" t="str">
        <f t="shared" si="281"/>
        <v>10</v>
      </c>
      <c r="C1241" s="487" t="str">
        <f t="shared" si="282"/>
        <v>54</v>
      </c>
      <c r="D1241" s="487" t="str">
        <f t="shared" si="283"/>
        <v>0543</v>
      </c>
      <c r="E1241" s="487"/>
      <c r="F1241" s="488"/>
      <c r="G1241" s="489"/>
      <c r="H1241" s="489"/>
      <c r="I1241" s="488"/>
      <c r="J1241" s="487"/>
      <c r="K1241" s="487"/>
      <c r="L1241" s="488"/>
      <c r="M1241" s="487"/>
      <c r="N1241" s="487"/>
      <c r="O1241" s="488"/>
      <c r="P1241" s="489"/>
      <c r="Q1241" s="489"/>
      <c r="R1241" s="592"/>
      <c r="S1241" s="487"/>
      <c r="T1241" s="487"/>
      <c r="U1241" s="488"/>
      <c r="V1241" s="489"/>
      <c r="W1241" s="489"/>
      <c r="X1241" s="488"/>
      <c r="Y1241" s="489"/>
      <c r="Z1241" s="489"/>
      <c r="AA1241" s="490"/>
      <c r="AB1241" s="489"/>
      <c r="AC1241" s="489"/>
      <c r="AD1241" s="27">
        <v>410543</v>
      </c>
      <c r="AE1241" s="27" t="s">
        <v>2363</v>
      </c>
      <c r="AF1241" s="432">
        <v>0</v>
      </c>
      <c r="AG1241" s="432"/>
      <c r="AH1241" s="432">
        <f t="shared" si="293"/>
        <v>0</v>
      </c>
      <c r="AL1241" s="448"/>
      <c r="AM1241" s="467" t="e">
        <f>VLOOKUP(AD1241,[6]BV201101!$A$10:$A$1236,1,0)</f>
        <v>#N/A</v>
      </c>
    </row>
    <row r="1242" spans="1:39" s="467" customFormat="1" ht="12.75" customHeight="1">
      <c r="A1242" s="487" t="str">
        <f t="shared" si="294"/>
        <v>4</v>
      </c>
      <c r="B1242" s="487" t="str">
        <f t="shared" si="281"/>
        <v>10</v>
      </c>
      <c r="C1242" s="487" t="str">
        <f t="shared" si="282"/>
        <v>54</v>
      </c>
      <c r="D1242" s="487" t="str">
        <f t="shared" si="283"/>
        <v>0544</v>
      </c>
      <c r="E1242" s="487"/>
      <c r="F1242" s="488"/>
      <c r="G1242" s="489"/>
      <c r="H1242" s="489"/>
      <c r="I1242" s="488"/>
      <c r="J1242" s="487"/>
      <c r="K1242" s="487"/>
      <c r="L1242" s="488"/>
      <c r="M1242" s="487"/>
      <c r="N1242" s="487"/>
      <c r="O1242" s="488"/>
      <c r="P1242" s="489"/>
      <c r="Q1242" s="489"/>
      <c r="R1242" s="592"/>
      <c r="S1242" s="487"/>
      <c r="T1242" s="487"/>
      <c r="U1242" s="488"/>
      <c r="V1242" s="489"/>
      <c r="W1242" s="489"/>
      <c r="X1242" s="488"/>
      <c r="Y1242" s="489"/>
      <c r="Z1242" s="489"/>
      <c r="AA1242" s="490"/>
      <c r="AB1242" s="489"/>
      <c r="AC1242" s="489"/>
      <c r="AD1242" s="27">
        <v>410544</v>
      </c>
      <c r="AE1242" s="27" t="s">
        <v>1839</v>
      </c>
      <c r="AF1242" s="432">
        <v>0</v>
      </c>
      <c r="AG1242" s="432"/>
      <c r="AH1242" s="432">
        <f t="shared" si="293"/>
        <v>0</v>
      </c>
      <c r="AL1242" s="448"/>
      <c r="AM1242" s="467" t="e">
        <f>VLOOKUP(AD1242,[6]BV201101!$A$10:$A$1236,1,0)</f>
        <v>#N/A</v>
      </c>
    </row>
    <row r="1243" spans="1:39" s="467" customFormat="1" ht="12.75" customHeight="1">
      <c r="A1243" s="487" t="str">
        <f t="shared" si="294"/>
        <v>4</v>
      </c>
      <c r="B1243" s="487" t="str">
        <f t="shared" si="281"/>
        <v>10</v>
      </c>
      <c r="C1243" s="487" t="str">
        <f t="shared" si="282"/>
        <v>54</v>
      </c>
      <c r="D1243" s="487" t="str">
        <f t="shared" si="283"/>
        <v>0545</v>
      </c>
      <c r="E1243" s="487">
        <v>532100000</v>
      </c>
      <c r="F1243" s="488"/>
      <c r="G1243" s="489"/>
      <c r="H1243" s="489"/>
      <c r="I1243" s="488"/>
      <c r="J1243" s="487"/>
      <c r="K1243" s="487"/>
      <c r="L1243" s="488"/>
      <c r="M1243" s="487"/>
      <c r="N1243" s="487"/>
      <c r="O1243" s="488"/>
      <c r="P1243" s="489"/>
      <c r="Q1243" s="489"/>
      <c r="R1243" s="592"/>
      <c r="S1243" s="487"/>
      <c r="T1243" s="487"/>
      <c r="U1243" s="488"/>
      <c r="V1243" s="489"/>
      <c r="W1243" s="489"/>
      <c r="X1243" s="488"/>
      <c r="Y1243" s="489"/>
      <c r="Z1243" s="489"/>
      <c r="AA1243" s="490"/>
      <c r="AB1243" s="489"/>
      <c r="AC1243" s="489"/>
      <c r="AD1243" s="27">
        <v>410545</v>
      </c>
      <c r="AE1243" s="27" t="s">
        <v>2364</v>
      </c>
      <c r="AF1243" s="432">
        <f>VLOOKUP(AD1243,[5]Hoja1!$A$10:$K$1393,11,0)</f>
        <v>-2530099972</v>
      </c>
      <c r="AG1243" s="432"/>
      <c r="AH1243" s="432">
        <f t="shared" si="293"/>
        <v>-2530100</v>
      </c>
      <c r="AL1243" s="448"/>
      <c r="AM1243" s="467">
        <f>VLOOKUP(AD1243,[6]BV201101!$A$10:$A$1236,1,0)</f>
        <v>410545</v>
      </c>
    </row>
    <row r="1244" spans="1:39" s="467" customFormat="1" ht="12.75" customHeight="1">
      <c r="A1244" s="487" t="str">
        <f t="shared" si="294"/>
        <v>4</v>
      </c>
      <c r="B1244" s="487" t="str">
        <f t="shared" si="281"/>
        <v>10</v>
      </c>
      <c r="C1244" s="487" t="str">
        <f t="shared" si="282"/>
        <v>54</v>
      </c>
      <c r="D1244" s="487" t="str">
        <f t="shared" si="283"/>
        <v>0546</v>
      </c>
      <c r="E1244" s="487">
        <v>532201110</v>
      </c>
      <c r="F1244" s="488"/>
      <c r="G1244" s="489"/>
      <c r="H1244" s="489"/>
      <c r="I1244" s="488"/>
      <c r="J1244" s="487"/>
      <c r="K1244" s="487"/>
      <c r="L1244" s="488"/>
      <c r="M1244" s="487"/>
      <c r="N1244" s="487"/>
      <c r="O1244" s="488"/>
      <c r="P1244" s="489"/>
      <c r="Q1244" s="489"/>
      <c r="R1244" s="592"/>
      <c r="S1244" s="487"/>
      <c r="T1244" s="487"/>
      <c r="U1244" s="488"/>
      <c r="V1244" s="489"/>
      <c r="W1244" s="489"/>
      <c r="X1244" s="488"/>
      <c r="Y1244" s="489"/>
      <c r="Z1244" s="489"/>
      <c r="AA1244" s="490"/>
      <c r="AB1244" s="489"/>
      <c r="AC1244" s="489"/>
      <c r="AD1244" s="27">
        <v>410546</v>
      </c>
      <c r="AE1244" s="27" t="s">
        <v>3474</v>
      </c>
      <c r="AF1244" s="432">
        <f>VLOOKUP(AD1244,[5]Hoja1!$A$10:$K$1393,11,0)</f>
        <v>-1259553062</v>
      </c>
      <c r="AG1244" s="432"/>
      <c r="AH1244" s="432">
        <f t="shared" si="293"/>
        <v>-1259553</v>
      </c>
      <c r="AL1244" s="448"/>
      <c r="AM1244" s="467">
        <f>VLOOKUP(AD1244,[6]BV201101!$A$10:$A$1236,1,0)</f>
        <v>410546</v>
      </c>
    </row>
    <row r="1245" spans="1:39" s="467" customFormat="1" ht="12.75" customHeight="1">
      <c r="A1245" s="487" t="str">
        <f t="shared" si="294"/>
        <v>4</v>
      </c>
      <c r="B1245" s="487" t="str">
        <f t="shared" si="281"/>
        <v>10</v>
      </c>
      <c r="C1245" s="487" t="str">
        <f t="shared" si="282"/>
        <v>54</v>
      </c>
      <c r="D1245" s="487" t="str">
        <f t="shared" si="283"/>
        <v>0547</v>
      </c>
      <c r="E1245" s="487">
        <v>532201110</v>
      </c>
      <c r="F1245" s="488"/>
      <c r="G1245" s="489"/>
      <c r="H1245" s="489"/>
      <c r="I1245" s="488"/>
      <c r="J1245" s="487"/>
      <c r="K1245" s="487"/>
      <c r="L1245" s="488"/>
      <c r="M1245" s="487"/>
      <c r="N1245" s="487"/>
      <c r="O1245" s="488"/>
      <c r="P1245" s="489"/>
      <c r="Q1245" s="489"/>
      <c r="R1245" s="592"/>
      <c r="S1245" s="487"/>
      <c r="T1245" s="487"/>
      <c r="U1245" s="488"/>
      <c r="V1245" s="489"/>
      <c r="W1245" s="489"/>
      <c r="X1245" s="488"/>
      <c r="Y1245" s="489"/>
      <c r="Z1245" s="489"/>
      <c r="AA1245" s="490"/>
      <c r="AB1245" s="489"/>
      <c r="AC1245" s="489"/>
      <c r="AD1245" s="27">
        <v>410547</v>
      </c>
      <c r="AE1245" s="27" t="s">
        <v>2365</v>
      </c>
      <c r="AF1245" s="432">
        <f>VLOOKUP(AD1245,[5]Hoja1!$A$10:$K$1393,11,0)</f>
        <v>0</v>
      </c>
      <c r="AG1245" s="432"/>
      <c r="AH1245" s="432">
        <f t="shared" ref="AH1245:AH1308" si="296">ROUND((AF1245+AG1245)/$AH$2,0)</f>
        <v>0</v>
      </c>
      <c r="AL1245" s="448"/>
      <c r="AM1245" s="467">
        <f>VLOOKUP(AD1245,[6]BV201101!$A$10:$A$1236,1,0)</f>
        <v>410547</v>
      </c>
    </row>
    <row r="1246" spans="1:39" s="467" customFormat="1" ht="12.75" customHeight="1">
      <c r="A1246" s="487" t="str">
        <f t="shared" si="294"/>
        <v>4</v>
      </c>
      <c r="B1246" s="487" t="str">
        <f t="shared" si="281"/>
        <v>10</v>
      </c>
      <c r="C1246" s="487" t="str">
        <f t="shared" si="282"/>
        <v>54</v>
      </c>
      <c r="D1246" s="487" t="str">
        <f t="shared" si="283"/>
        <v>0548</v>
      </c>
      <c r="E1246" s="487">
        <v>532201120</v>
      </c>
      <c r="F1246" s="488"/>
      <c r="G1246" s="489"/>
      <c r="H1246" s="489"/>
      <c r="I1246" s="488"/>
      <c r="J1246" s="487"/>
      <c r="K1246" s="487"/>
      <c r="L1246" s="488"/>
      <c r="M1246" s="487"/>
      <c r="N1246" s="487"/>
      <c r="O1246" s="488"/>
      <c r="P1246" s="489"/>
      <c r="Q1246" s="489"/>
      <c r="R1246" s="592"/>
      <c r="S1246" s="487"/>
      <c r="T1246" s="487"/>
      <c r="U1246" s="488"/>
      <c r="V1246" s="489"/>
      <c r="W1246" s="489"/>
      <c r="X1246" s="488"/>
      <c r="Y1246" s="489"/>
      <c r="Z1246" s="489"/>
      <c r="AA1246" s="490"/>
      <c r="AB1246" s="489"/>
      <c r="AC1246" s="489"/>
      <c r="AD1246" s="27">
        <v>410548</v>
      </c>
      <c r="AE1246" s="27" t="s">
        <v>2366</v>
      </c>
      <c r="AF1246" s="432">
        <f>VLOOKUP(AD1246,[5]Hoja1!$A$10:$K$1393,11,0)</f>
        <v>0</v>
      </c>
      <c r="AG1246" s="432"/>
      <c r="AH1246" s="432">
        <f t="shared" si="296"/>
        <v>0</v>
      </c>
      <c r="AL1246" s="448"/>
      <c r="AM1246" s="467">
        <f>VLOOKUP(AD1246,[6]BV201101!$A$10:$A$1236,1,0)</f>
        <v>410548</v>
      </c>
    </row>
    <row r="1247" spans="1:39" s="467" customFormat="1" ht="12.75" customHeight="1">
      <c r="A1247" s="487" t="str">
        <f t="shared" si="294"/>
        <v>4</v>
      </c>
      <c r="B1247" s="487" t="str">
        <f t="shared" si="281"/>
        <v>10</v>
      </c>
      <c r="C1247" s="487" t="str">
        <f t="shared" si="282"/>
        <v>54</v>
      </c>
      <c r="D1247" s="487" t="str">
        <f t="shared" si="283"/>
        <v>0549</v>
      </c>
      <c r="E1247" s="487">
        <v>532201200</v>
      </c>
      <c r="F1247" s="488"/>
      <c r="G1247" s="489"/>
      <c r="H1247" s="489"/>
      <c r="I1247" s="488"/>
      <c r="J1247" s="487"/>
      <c r="K1247" s="487"/>
      <c r="L1247" s="488"/>
      <c r="M1247" s="487"/>
      <c r="N1247" s="487"/>
      <c r="O1247" s="488"/>
      <c r="P1247" s="489"/>
      <c r="Q1247" s="489"/>
      <c r="R1247" s="592"/>
      <c r="S1247" s="487"/>
      <c r="T1247" s="487"/>
      <c r="U1247" s="488"/>
      <c r="V1247" s="489"/>
      <c r="W1247" s="489"/>
      <c r="X1247" s="488"/>
      <c r="Y1247" s="489"/>
      <c r="Z1247" s="489"/>
      <c r="AA1247" s="490"/>
      <c r="AB1247" s="489"/>
      <c r="AC1247" s="489"/>
      <c r="AD1247" s="27">
        <v>410549</v>
      </c>
      <c r="AE1247" s="27" t="s">
        <v>2367</v>
      </c>
      <c r="AF1247" s="432">
        <f>VLOOKUP(AD1247,[5]Hoja1!$A$10:$K$1393,11,0)</f>
        <v>-254057726</v>
      </c>
      <c r="AG1247" s="432"/>
      <c r="AH1247" s="432">
        <f t="shared" si="296"/>
        <v>-254058</v>
      </c>
      <c r="AL1247" s="448"/>
      <c r="AM1247" s="467">
        <f>VLOOKUP(AD1247,[6]BV201101!$A$10:$A$1236,1,0)</f>
        <v>410549</v>
      </c>
    </row>
    <row r="1248" spans="1:39" s="467" customFormat="1" ht="12.75" customHeight="1">
      <c r="A1248" s="487" t="str">
        <f t="shared" si="294"/>
        <v>4</v>
      </c>
      <c r="B1248" s="487" t="str">
        <f t="shared" si="281"/>
        <v>10</v>
      </c>
      <c r="C1248" s="487" t="str">
        <f t="shared" si="282"/>
        <v>55</v>
      </c>
      <c r="D1248" s="487" t="str">
        <f t="shared" si="283"/>
        <v>0550</v>
      </c>
      <c r="E1248" s="487">
        <v>532400000</v>
      </c>
      <c r="F1248" s="488"/>
      <c r="G1248" s="489"/>
      <c r="H1248" s="489"/>
      <c r="I1248" s="488"/>
      <c r="J1248" s="487"/>
      <c r="K1248" s="487"/>
      <c r="L1248" s="488"/>
      <c r="M1248" s="487"/>
      <c r="N1248" s="487"/>
      <c r="O1248" s="488"/>
      <c r="P1248" s="489"/>
      <c r="Q1248" s="489"/>
      <c r="R1248" s="592"/>
      <c r="S1248" s="487"/>
      <c r="T1248" s="487"/>
      <c r="U1248" s="488"/>
      <c r="V1248" s="489"/>
      <c r="W1248" s="489"/>
      <c r="X1248" s="488"/>
      <c r="Y1248" s="489"/>
      <c r="Z1248" s="489"/>
      <c r="AA1248" s="490"/>
      <c r="AB1248" s="489"/>
      <c r="AC1248" s="489"/>
      <c r="AD1248" s="27">
        <v>410550</v>
      </c>
      <c r="AE1248" s="27" t="s">
        <v>2368</v>
      </c>
      <c r="AF1248" s="432">
        <f>VLOOKUP(AD1248,[5]Hoja1!$A$10:$K$1393,11,0)</f>
        <v>-14645630</v>
      </c>
      <c r="AG1248" s="432"/>
      <c r="AH1248" s="432">
        <f t="shared" si="296"/>
        <v>-14646</v>
      </c>
      <c r="AL1248" s="448"/>
      <c r="AM1248" s="467">
        <f>VLOOKUP(AD1248,[6]BV201101!$A$10:$A$1236,1,0)</f>
        <v>410550</v>
      </c>
    </row>
    <row r="1249" spans="1:39" s="467" customFormat="1" ht="12.75" customHeight="1">
      <c r="A1249" s="487" t="str">
        <f t="shared" si="294"/>
        <v>4</v>
      </c>
      <c r="B1249" s="487" t="str">
        <f t="shared" si="281"/>
        <v>10</v>
      </c>
      <c r="C1249" s="487" t="str">
        <f t="shared" si="282"/>
        <v>55</v>
      </c>
      <c r="D1249" s="487" t="str">
        <f t="shared" si="283"/>
        <v>0551</v>
      </c>
      <c r="E1249" s="487">
        <v>532400000</v>
      </c>
      <c r="F1249" s="488"/>
      <c r="G1249" s="489"/>
      <c r="H1249" s="489"/>
      <c r="I1249" s="488"/>
      <c r="J1249" s="487"/>
      <c r="K1249" s="487"/>
      <c r="L1249" s="488"/>
      <c r="M1249" s="487"/>
      <c r="N1249" s="487"/>
      <c r="O1249" s="488"/>
      <c r="P1249" s="489"/>
      <c r="Q1249" s="489"/>
      <c r="R1249" s="592"/>
      <c r="S1249" s="487"/>
      <c r="T1249" s="487"/>
      <c r="U1249" s="488"/>
      <c r="V1249" s="489"/>
      <c r="W1249" s="489"/>
      <c r="X1249" s="488"/>
      <c r="Y1249" s="489"/>
      <c r="Z1249" s="489"/>
      <c r="AA1249" s="490"/>
      <c r="AB1249" s="489"/>
      <c r="AC1249" s="489"/>
      <c r="AD1249" s="27">
        <v>410551</v>
      </c>
      <c r="AE1249" s="27" t="s">
        <v>2369</v>
      </c>
      <c r="AF1249" s="432">
        <f>VLOOKUP(AD1249,[5]Hoja1!$A$10:$K$1393,11,0)</f>
        <v>0</v>
      </c>
      <c r="AG1249" s="432"/>
      <c r="AH1249" s="432">
        <f t="shared" si="296"/>
        <v>0</v>
      </c>
      <c r="AL1249" s="448"/>
      <c r="AM1249" s="467">
        <f>VLOOKUP(AD1249,[6]BV201101!$A$10:$A$1236,1,0)</f>
        <v>410551</v>
      </c>
    </row>
    <row r="1250" spans="1:39" s="467" customFormat="1" ht="12.75" customHeight="1">
      <c r="A1250" s="487" t="str">
        <f t="shared" si="294"/>
        <v>4</v>
      </c>
      <c r="B1250" s="487" t="str">
        <f t="shared" si="281"/>
        <v>10</v>
      </c>
      <c r="C1250" s="487" t="str">
        <f t="shared" si="282"/>
        <v>55</v>
      </c>
      <c r="D1250" s="487" t="str">
        <f t="shared" si="283"/>
        <v>0552</v>
      </c>
      <c r="E1250" s="487">
        <v>532400000</v>
      </c>
      <c r="F1250" s="488"/>
      <c r="G1250" s="489"/>
      <c r="H1250" s="489"/>
      <c r="I1250" s="488"/>
      <c r="J1250" s="487"/>
      <c r="K1250" s="487"/>
      <c r="L1250" s="488"/>
      <c r="M1250" s="487"/>
      <c r="N1250" s="487"/>
      <c r="O1250" s="488"/>
      <c r="P1250" s="489"/>
      <c r="Q1250" s="489"/>
      <c r="R1250" s="592"/>
      <c r="S1250" s="487"/>
      <c r="T1250" s="487"/>
      <c r="U1250" s="488"/>
      <c r="V1250" s="489"/>
      <c r="W1250" s="489"/>
      <c r="X1250" s="488"/>
      <c r="Y1250" s="489"/>
      <c r="Z1250" s="489"/>
      <c r="AA1250" s="490"/>
      <c r="AB1250" s="489"/>
      <c r="AC1250" s="489"/>
      <c r="AD1250" s="27">
        <v>410552</v>
      </c>
      <c r="AE1250" s="27" t="s">
        <v>2370</v>
      </c>
      <c r="AF1250" s="432">
        <f>VLOOKUP(AD1250,[5]Hoja1!$A$10:$K$1393,11,0)</f>
        <v>0</v>
      </c>
      <c r="AG1250" s="432"/>
      <c r="AH1250" s="432">
        <f t="shared" si="296"/>
        <v>0</v>
      </c>
      <c r="AL1250" s="448"/>
      <c r="AM1250" s="467">
        <f>VLOOKUP(AD1250,[6]BV201101!$A$10:$A$1236,1,0)</f>
        <v>410552</v>
      </c>
    </row>
    <row r="1251" spans="1:39" s="467" customFormat="1" ht="12.75" customHeight="1">
      <c r="A1251" s="487" t="str">
        <f t="shared" si="294"/>
        <v>4</v>
      </c>
      <c r="B1251" s="487" t="str">
        <f t="shared" si="281"/>
        <v>10</v>
      </c>
      <c r="C1251" s="487" t="str">
        <f t="shared" si="282"/>
        <v>55</v>
      </c>
      <c r="D1251" s="487" t="str">
        <f t="shared" si="283"/>
        <v>0553</v>
      </c>
      <c r="E1251" s="487">
        <v>532201110</v>
      </c>
      <c r="F1251" s="488"/>
      <c r="G1251" s="489"/>
      <c r="H1251" s="489"/>
      <c r="I1251" s="488"/>
      <c r="J1251" s="487"/>
      <c r="K1251" s="487"/>
      <c r="L1251" s="488"/>
      <c r="M1251" s="487"/>
      <c r="N1251" s="487"/>
      <c r="O1251" s="488"/>
      <c r="P1251" s="489"/>
      <c r="Q1251" s="489"/>
      <c r="R1251" s="592"/>
      <c r="S1251" s="487"/>
      <c r="T1251" s="487"/>
      <c r="U1251" s="488"/>
      <c r="V1251" s="489"/>
      <c r="W1251" s="489"/>
      <c r="X1251" s="488"/>
      <c r="Y1251" s="489"/>
      <c r="Z1251" s="489"/>
      <c r="AA1251" s="490"/>
      <c r="AB1251" s="489"/>
      <c r="AC1251" s="489"/>
      <c r="AD1251" s="27">
        <v>410553</v>
      </c>
      <c r="AE1251" s="27" t="s">
        <v>2079</v>
      </c>
      <c r="AF1251" s="432">
        <f>VLOOKUP(AD1251,[5]Hoja1!$A$10:$K$1393,11,0)</f>
        <v>0</v>
      </c>
      <c r="AG1251" s="432"/>
      <c r="AH1251" s="432">
        <f t="shared" si="296"/>
        <v>0</v>
      </c>
      <c r="AL1251" s="448"/>
      <c r="AM1251" s="467">
        <f>VLOOKUP(AD1251,[6]BV201101!$A$10:$A$1236,1,0)</f>
        <v>410553</v>
      </c>
    </row>
    <row r="1252" spans="1:39" s="467" customFormat="1" ht="12.75" customHeight="1">
      <c r="A1252" s="487" t="str">
        <f t="shared" si="294"/>
        <v>4</v>
      </c>
      <c r="B1252" s="487" t="str">
        <f t="shared" si="281"/>
        <v>10</v>
      </c>
      <c r="C1252" s="487" t="str">
        <f t="shared" si="282"/>
        <v>55</v>
      </c>
      <c r="D1252" s="487" t="str">
        <f t="shared" si="283"/>
        <v>0554</v>
      </c>
      <c r="E1252" s="487">
        <v>532201110</v>
      </c>
      <c r="F1252" s="488"/>
      <c r="G1252" s="489"/>
      <c r="H1252" s="489"/>
      <c r="I1252" s="488"/>
      <c r="J1252" s="487"/>
      <c r="K1252" s="487"/>
      <c r="L1252" s="488"/>
      <c r="M1252" s="487"/>
      <c r="N1252" s="487"/>
      <c r="O1252" s="488"/>
      <c r="P1252" s="489"/>
      <c r="Q1252" s="489"/>
      <c r="R1252" s="592"/>
      <c r="S1252" s="487"/>
      <c r="T1252" s="487"/>
      <c r="U1252" s="488"/>
      <c r="V1252" s="489"/>
      <c r="W1252" s="489"/>
      <c r="X1252" s="488"/>
      <c r="Y1252" s="489"/>
      <c r="Z1252" s="489"/>
      <c r="AA1252" s="490"/>
      <c r="AB1252" s="489"/>
      <c r="AC1252" s="489"/>
      <c r="AD1252" s="27">
        <v>410554</v>
      </c>
      <c r="AE1252" s="27" t="s">
        <v>167</v>
      </c>
      <c r="AF1252" s="432">
        <f>VLOOKUP(AD1252,[5]Hoja1!$A$10:$K$1393,11,0)</f>
        <v>0</v>
      </c>
      <c r="AG1252" s="432"/>
      <c r="AH1252" s="432">
        <f t="shared" si="296"/>
        <v>0</v>
      </c>
      <c r="AL1252" s="448"/>
      <c r="AM1252" s="467">
        <f>VLOOKUP(AD1252,[6]BV201101!$A$10:$A$1236,1,0)</f>
        <v>410554</v>
      </c>
    </row>
    <row r="1253" spans="1:39" s="467" customFormat="1" ht="12.75" customHeight="1">
      <c r="A1253" s="487" t="str">
        <f t="shared" si="294"/>
        <v>4</v>
      </c>
      <c r="B1253" s="487" t="str">
        <f t="shared" si="281"/>
        <v>10</v>
      </c>
      <c r="C1253" s="487" t="str">
        <f t="shared" si="282"/>
        <v>55</v>
      </c>
      <c r="D1253" s="487" t="str">
        <f t="shared" si="283"/>
        <v>0555</v>
      </c>
      <c r="E1253" s="487">
        <v>532201200</v>
      </c>
      <c r="F1253" s="488"/>
      <c r="G1253" s="489"/>
      <c r="H1253" s="489"/>
      <c r="I1253" s="488"/>
      <c r="J1253" s="487"/>
      <c r="K1253" s="487"/>
      <c r="L1253" s="488"/>
      <c r="M1253" s="487"/>
      <c r="N1253" s="487"/>
      <c r="O1253" s="488"/>
      <c r="P1253" s="489"/>
      <c r="Q1253" s="489"/>
      <c r="R1253" s="592"/>
      <c r="S1253" s="487"/>
      <c r="T1253" s="487"/>
      <c r="U1253" s="488"/>
      <c r="V1253" s="489"/>
      <c r="W1253" s="489"/>
      <c r="X1253" s="488"/>
      <c r="Y1253" s="489"/>
      <c r="Z1253" s="489"/>
      <c r="AA1253" s="490"/>
      <c r="AB1253" s="489"/>
      <c r="AC1253" s="489"/>
      <c r="AD1253" s="27">
        <v>410555</v>
      </c>
      <c r="AE1253" s="27" t="s">
        <v>2371</v>
      </c>
      <c r="AF1253" s="432">
        <f>VLOOKUP(AD1253,[5]Hoja1!$A$10:$K$1393,11,0)</f>
        <v>-559645240</v>
      </c>
      <c r="AG1253" s="432"/>
      <c r="AH1253" s="432">
        <f t="shared" si="296"/>
        <v>-559645</v>
      </c>
      <c r="AL1253" s="448"/>
      <c r="AM1253" s="467">
        <f>VLOOKUP(AD1253,[6]BV201101!$A$10:$A$1236,1,0)</f>
        <v>410555</v>
      </c>
    </row>
    <row r="1254" spans="1:39" s="467" customFormat="1" ht="12.75" customHeight="1">
      <c r="A1254" s="487" t="str">
        <f t="shared" si="294"/>
        <v>4</v>
      </c>
      <c r="B1254" s="487" t="str">
        <f t="shared" si="281"/>
        <v>10</v>
      </c>
      <c r="C1254" s="487" t="str">
        <f t="shared" si="282"/>
        <v>55</v>
      </c>
      <c r="D1254" s="487" t="str">
        <f t="shared" si="283"/>
        <v>0556</v>
      </c>
      <c r="E1254" s="487">
        <v>532201200</v>
      </c>
      <c r="F1254" s="488"/>
      <c r="G1254" s="489"/>
      <c r="H1254" s="489"/>
      <c r="I1254" s="488"/>
      <c r="J1254" s="487"/>
      <c r="K1254" s="487"/>
      <c r="L1254" s="488"/>
      <c r="M1254" s="487"/>
      <c r="N1254" s="487"/>
      <c r="O1254" s="488"/>
      <c r="P1254" s="489"/>
      <c r="Q1254" s="489"/>
      <c r="R1254" s="592"/>
      <c r="S1254" s="487"/>
      <c r="T1254" s="487"/>
      <c r="U1254" s="488"/>
      <c r="V1254" s="489"/>
      <c r="W1254" s="489"/>
      <c r="X1254" s="488"/>
      <c r="Y1254" s="489"/>
      <c r="Z1254" s="489"/>
      <c r="AA1254" s="490"/>
      <c r="AB1254" s="489"/>
      <c r="AC1254" s="489"/>
      <c r="AD1254" s="27">
        <v>410556</v>
      </c>
      <c r="AE1254" s="27" t="s">
        <v>2372</v>
      </c>
      <c r="AF1254" s="432">
        <f>VLOOKUP(AD1254,[5]Hoja1!$A$10:$K$1393,11,0)</f>
        <v>0</v>
      </c>
      <c r="AG1254" s="432"/>
      <c r="AH1254" s="432">
        <f t="shared" si="296"/>
        <v>0</v>
      </c>
      <c r="AL1254" s="448"/>
      <c r="AM1254" s="467">
        <f>VLOOKUP(AD1254,[6]BV201101!$A$10:$A$1236,1,0)</f>
        <v>410556</v>
      </c>
    </row>
    <row r="1255" spans="1:39" s="467" customFormat="1" ht="12.75" customHeight="1">
      <c r="A1255" s="487" t="str">
        <f t="shared" si="294"/>
        <v>4</v>
      </c>
      <c r="B1255" s="487" t="str">
        <f t="shared" si="281"/>
        <v>10</v>
      </c>
      <c r="C1255" s="487" t="str">
        <f t="shared" si="282"/>
        <v>55</v>
      </c>
      <c r="D1255" s="487" t="str">
        <f t="shared" si="283"/>
        <v>0557</v>
      </c>
      <c r="E1255" s="487">
        <v>532201200</v>
      </c>
      <c r="F1255" s="488"/>
      <c r="G1255" s="489"/>
      <c r="H1255" s="489"/>
      <c r="I1255" s="488"/>
      <c r="J1255" s="487"/>
      <c r="K1255" s="487"/>
      <c r="L1255" s="488"/>
      <c r="M1255" s="487"/>
      <c r="N1255" s="487"/>
      <c r="O1255" s="488"/>
      <c r="P1255" s="489"/>
      <c r="Q1255" s="489"/>
      <c r="R1255" s="592"/>
      <c r="S1255" s="487"/>
      <c r="T1255" s="487"/>
      <c r="U1255" s="488"/>
      <c r="V1255" s="489"/>
      <c r="W1255" s="489"/>
      <c r="X1255" s="488"/>
      <c r="Y1255" s="489"/>
      <c r="Z1255" s="489"/>
      <c r="AA1255" s="490"/>
      <c r="AB1255" s="489"/>
      <c r="AC1255" s="489"/>
      <c r="AD1255" s="27">
        <v>410557</v>
      </c>
      <c r="AE1255" s="27" t="s">
        <v>2373</v>
      </c>
      <c r="AF1255" s="432">
        <f>VLOOKUP(AD1255,[5]Hoja1!$A$10:$K$1393,11,0)</f>
        <v>-175292355</v>
      </c>
      <c r="AG1255" s="432"/>
      <c r="AH1255" s="432">
        <f t="shared" si="296"/>
        <v>-175292</v>
      </c>
      <c r="AL1255" s="448"/>
      <c r="AM1255" s="467">
        <f>VLOOKUP(AD1255,[6]BV201101!$A$10:$A$1236,1,0)</f>
        <v>410557</v>
      </c>
    </row>
    <row r="1256" spans="1:39" s="467" customFormat="1" ht="12.75" customHeight="1">
      <c r="A1256" s="487" t="str">
        <f t="shared" si="294"/>
        <v>4</v>
      </c>
      <c r="B1256" s="487" t="str">
        <f t="shared" si="281"/>
        <v>10</v>
      </c>
      <c r="C1256" s="487" t="str">
        <f t="shared" si="282"/>
        <v>55</v>
      </c>
      <c r="D1256" s="487" t="str">
        <f t="shared" si="283"/>
        <v>0558</v>
      </c>
      <c r="E1256" s="487">
        <v>532201200</v>
      </c>
      <c r="F1256" s="488"/>
      <c r="G1256" s="489"/>
      <c r="H1256" s="489"/>
      <c r="I1256" s="488"/>
      <c r="J1256" s="487"/>
      <c r="K1256" s="487"/>
      <c r="L1256" s="488"/>
      <c r="M1256" s="487"/>
      <c r="N1256" s="487"/>
      <c r="O1256" s="488"/>
      <c r="P1256" s="489"/>
      <c r="Q1256" s="489"/>
      <c r="R1256" s="592"/>
      <c r="S1256" s="487"/>
      <c r="T1256" s="487"/>
      <c r="U1256" s="488"/>
      <c r="V1256" s="489"/>
      <c r="W1256" s="489"/>
      <c r="X1256" s="488"/>
      <c r="Y1256" s="489"/>
      <c r="Z1256" s="489"/>
      <c r="AA1256" s="490"/>
      <c r="AB1256" s="489"/>
      <c r="AC1256" s="489"/>
      <c r="AD1256" s="27">
        <v>410558</v>
      </c>
      <c r="AE1256" s="27" t="s">
        <v>1868</v>
      </c>
      <c r="AF1256" s="432">
        <v>0</v>
      </c>
      <c r="AG1256" s="432"/>
      <c r="AH1256" s="432">
        <f t="shared" si="296"/>
        <v>0</v>
      </c>
      <c r="AL1256" s="448"/>
      <c r="AM1256" s="467" t="e">
        <f>VLOOKUP(AD1256,[6]BV201101!$A$10:$A$1236,1,0)</f>
        <v>#N/A</v>
      </c>
    </row>
    <row r="1257" spans="1:39" s="467" customFormat="1" ht="12.75" customHeight="1">
      <c r="A1257" s="487" t="str">
        <f t="shared" si="294"/>
        <v>4</v>
      </c>
      <c r="B1257" s="487" t="str">
        <f t="shared" si="281"/>
        <v>10</v>
      </c>
      <c r="C1257" s="487" t="str">
        <f t="shared" si="282"/>
        <v>55</v>
      </c>
      <c r="D1257" s="487" t="str">
        <f t="shared" si="283"/>
        <v>0559</v>
      </c>
      <c r="E1257" s="590">
        <v>532201200</v>
      </c>
      <c r="F1257" s="488"/>
      <c r="G1257" s="489"/>
      <c r="H1257" s="489"/>
      <c r="I1257" s="488"/>
      <c r="J1257" s="487"/>
      <c r="K1257" s="487"/>
      <c r="L1257" s="488"/>
      <c r="M1257" s="487"/>
      <c r="N1257" s="487"/>
      <c r="O1257" s="488"/>
      <c r="P1257" s="489"/>
      <c r="Q1257" s="489"/>
      <c r="R1257" s="592"/>
      <c r="S1257" s="487"/>
      <c r="T1257" s="487"/>
      <c r="U1257" s="488"/>
      <c r="V1257" s="489"/>
      <c r="W1257" s="489"/>
      <c r="X1257" s="488"/>
      <c r="Y1257" s="489"/>
      <c r="Z1257" s="489"/>
      <c r="AA1257" s="490"/>
      <c r="AB1257" s="489"/>
      <c r="AC1257" s="489"/>
      <c r="AD1257" s="27">
        <v>410559</v>
      </c>
      <c r="AE1257" s="27" t="s">
        <v>1867</v>
      </c>
      <c r="AF1257" s="432">
        <f>VLOOKUP(AD1257,[5]Hoja1!$A$10:$K$1393,11,0)</f>
        <v>-677068681</v>
      </c>
      <c r="AG1257" s="432"/>
      <c r="AH1257" s="432">
        <f t="shared" si="296"/>
        <v>-677069</v>
      </c>
      <c r="AL1257" s="448"/>
      <c r="AM1257" s="467">
        <f>VLOOKUP(AD1257,[6]BV201101!$A$10:$A$1236,1,0)</f>
        <v>410559</v>
      </c>
    </row>
    <row r="1258" spans="1:39" s="467" customFormat="1" ht="12.75" customHeight="1">
      <c r="A1258" s="487" t="str">
        <f t="shared" si="294"/>
        <v>4</v>
      </c>
      <c r="B1258" s="487" t="str">
        <f t="shared" si="281"/>
        <v>10</v>
      </c>
      <c r="C1258" s="487" t="str">
        <f t="shared" si="282"/>
        <v>56</v>
      </c>
      <c r="D1258" s="487" t="str">
        <f t="shared" si="283"/>
        <v>0560</v>
      </c>
      <c r="E1258" s="590">
        <v>532201200</v>
      </c>
      <c r="F1258" s="488"/>
      <c r="G1258" s="489"/>
      <c r="H1258" s="489"/>
      <c r="I1258" s="488"/>
      <c r="J1258" s="487"/>
      <c r="K1258" s="487"/>
      <c r="L1258" s="488"/>
      <c r="M1258" s="487"/>
      <c r="N1258" s="487"/>
      <c r="O1258" s="488"/>
      <c r="P1258" s="489"/>
      <c r="Q1258" s="489"/>
      <c r="R1258" s="592"/>
      <c r="S1258" s="487"/>
      <c r="T1258" s="487"/>
      <c r="U1258" s="488"/>
      <c r="V1258" s="489"/>
      <c r="W1258" s="489"/>
      <c r="X1258" s="488"/>
      <c r="Y1258" s="489"/>
      <c r="Z1258" s="489"/>
      <c r="AA1258" s="490"/>
      <c r="AB1258" s="489"/>
      <c r="AC1258" s="489"/>
      <c r="AD1258" s="27">
        <v>410560</v>
      </c>
      <c r="AE1258" s="27" t="s">
        <v>1869</v>
      </c>
      <c r="AF1258" s="432">
        <f>VLOOKUP(AD1258,[5]Hoja1!$A$10:$K$1393,11,0)</f>
        <v>-962538957</v>
      </c>
      <c r="AG1258" s="432"/>
      <c r="AH1258" s="432">
        <f t="shared" si="296"/>
        <v>-962539</v>
      </c>
      <c r="AL1258" s="448"/>
      <c r="AM1258" s="467">
        <f>VLOOKUP(AD1258,[6]BV201101!$A$10:$A$1236,1,0)</f>
        <v>410560</v>
      </c>
    </row>
    <row r="1259" spans="1:39" s="467" customFormat="1" ht="12.75" customHeight="1">
      <c r="A1259" s="487" t="str">
        <f t="shared" si="294"/>
        <v>4</v>
      </c>
      <c r="B1259" s="487" t="str">
        <f t="shared" si="281"/>
        <v>10</v>
      </c>
      <c r="C1259" s="487" t="str">
        <f t="shared" si="282"/>
        <v>56</v>
      </c>
      <c r="D1259" s="487" t="str">
        <f t="shared" si="283"/>
        <v>0561</v>
      </c>
      <c r="E1259" s="590">
        <v>532201200</v>
      </c>
      <c r="F1259" s="488"/>
      <c r="G1259" s="489"/>
      <c r="H1259" s="489"/>
      <c r="I1259" s="488"/>
      <c r="J1259" s="487"/>
      <c r="K1259" s="487"/>
      <c r="L1259" s="488"/>
      <c r="M1259" s="487"/>
      <c r="N1259" s="487"/>
      <c r="O1259" s="488"/>
      <c r="P1259" s="489"/>
      <c r="Q1259" s="489"/>
      <c r="R1259" s="592"/>
      <c r="S1259" s="487"/>
      <c r="T1259" s="487"/>
      <c r="U1259" s="488"/>
      <c r="V1259" s="489"/>
      <c r="W1259" s="489"/>
      <c r="X1259" s="488"/>
      <c r="Y1259" s="489"/>
      <c r="Z1259" s="489"/>
      <c r="AA1259" s="490"/>
      <c r="AB1259" s="489"/>
      <c r="AC1259" s="489"/>
      <c r="AD1259" s="27">
        <v>410561</v>
      </c>
      <c r="AE1259" s="27" t="s">
        <v>1870</v>
      </c>
      <c r="AF1259" s="432">
        <f>VLOOKUP(AD1259,[5]Hoja1!$A$10:$K$1393,11,0)</f>
        <v>-441398117</v>
      </c>
      <c r="AG1259" s="432"/>
      <c r="AH1259" s="432">
        <f t="shared" si="296"/>
        <v>-441398</v>
      </c>
      <c r="AL1259" s="448"/>
      <c r="AM1259" s="467">
        <f>VLOOKUP(AD1259,[6]BV201101!$A$10:$A$1236,1,0)</f>
        <v>410561</v>
      </c>
    </row>
    <row r="1260" spans="1:39" s="467" customFormat="1" ht="12.75" customHeight="1">
      <c r="A1260" s="487" t="str">
        <f t="shared" si="294"/>
        <v>4</v>
      </c>
      <c r="B1260" s="487" t="str">
        <f t="shared" si="281"/>
        <v>10</v>
      </c>
      <c r="C1260" s="487" t="str">
        <f t="shared" si="282"/>
        <v>56</v>
      </c>
      <c r="D1260" s="487" t="str">
        <f t="shared" si="283"/>
        <v>0562</v>
      </c>
      <c r="E1260" s="487">
        <v>532201200</v>
      </c>
      <c r="F1260" s="488"/>
      <c r="G1260" s="489"/>
      <c r="H1260" s="489"/>
      <c r="I1260" s="488"/>
      <c r="J1260" s="487"/>
      <c r="K1260" s="487"/>
      <c r="L1260" s="488"/>
      <c r="M1260" s="487"/>
      <c r="N1260" s="487"/>
      <c r="O1260" s="488"/>
      <c r="P1260" s="489"/>
      <c r="Q1260" s="489"/>
      <c r="R1260" s="592"/>
      <c r="S1260" s="487"/>
      <c r="T1260" s="487"/>
      <c r="U1260" s="488"/>
      <c r="V1260" s="489"/>
      <c r="W1260" s="489"/>
      <c r="X1260" s="488"/>
      <c r="Y1260" s="489"/>
      <c r="Z1260" s="489"/>
      <c r="AA1260" s="490"/>
      <c r="AB1260" s="489"/>
      <c r="AC1260" s="489"/>
      <c r="AD1260" s="27">
        <v>410562</v>
      </c>
      <c r="AE1260" s="27" t="s">
        <v>2374</v>
      </c>
      <c r="AF1260" s="432">
        <f>VLOOKUP(AD1260,[5]Hoja1!$A$10:$K$1393,11,0)</f>
        <v>0</v>
      </c>
      <c r="AG1260" s="432"/>
      <c r="AH1260" s="432">
        <f t="shared" si="296"/>
        <v>0</v>
      </c>
      <c r="AL1260" s="448"/>
      <c r="AM1260" s="467">
        <f>VLOOKUP(AD1260,[6]BV201101!$A$10:$A$1236,1,0)</f>
        <v>410562</v>
      </c>
    </row>
    <row r="1261" spans="1:39" s="467" customFormat="1" ht="12.75" customHeight="1">
      <c r="A1261" s="487" t="str">
        <f t="shared" si="294"/>
        <v>4</v>
      </c>
      <c r="B1261" s="487" t="str">
        <f t="shared" si="281"/>
        <v>10</v>
      </c>
      <c r="C1261" s="487" t="str">
        <f t="shared" si="282"/>
        <v>56</v>
      </c>
      <c r="D1261" s="487" t="str">
        <f t="shared" si="283"/>
        <v>0563</v>
      </c>
      <c r="E1261" s="487">
        <v>532400000</v>
      </c>
      <c r="F1261" s="488"/>
      <c r="G1261" s="489"/>
      <c r="H1261" s="489"/>
      <c r="I1261" s="488"/>
      <c r="J1261" s="487"/>
      <c r="K1261" s="487"/>
      <c r="L1261" s="488"/>
      <c r="M1261" s="487"/>
      <c r="N1261" s="487"/>
      <c r="O1261" s="488"/>
      <c r="P1261" s="489"/>
      <c r="Q1261" s="489"/>
      <c r="R1261" s="592"/>
      <c r="S1261" s="487"/>
      <c r="T1261" s="487"/>
      <c r="U1261" s="488"/>
      <c r="V1261" s="489"/>
      <c r="W1261" s="489"/>
      <c r="X1261" s="488"/>
      <c r="Y1261" s="489"/>
      <c r="Z1261" s="489"/>
      <c r="AA1261" s="490"/>
      <c r="AB1261" s="489"/>
      <c r="AC1261" s="489"/>
      <c r="AD1261" s="27">
        <v>410563</v>
      </c>
      <c r="AE1261" s="27" t="s">
        <v>1957</v>
      </c>
      <c r="AF1261" s="432">
        <f>VLOOKUP(AD1261,[5]Hoja1!$A$10:$K$1393,11,0)</f>
        <v>-579991926</v>
      </c>
      <c r="AG1261" s="432"/>
      <c r="AH1261" s="432">
        <f t="shared" si="296"/>
        <v>-579992</v>
      </c>
      <c r="AL1261" s="448"/>
      <c r="AM1261" s="467">
        <f>VLOOKUP(AD1261,[6]BV201101!$A$10:$A$1236,1,0)</f>
        <v>410563</v>
      </c>
    </row>
    <row r="1262" spans="1:39" s="467" customFormat="1" ht="12.75" customHeight="1">
      <c r="A1262" s="487" t="str">
        <f t="shared" si="294"/>
        <v>4</v>
      </c>
      <c r="B1262" s="487" t="str">
        <f t="shared" si="281"/>
        <v>10</v>
      </c>
      <c r="C1262" s="487" t="str">
        <f t="shared" si="282"/>
        <v>56</v>
      </c>
      <c r="D1262" s="487" t="str">
        <f t="shared" si="283"/>
        <v>0564</v>
      </c>
      <c r="E1262" s="487">
        <v>532201200</v>
      </c>
      <c r="F1262" s="488"/>
      <c r="G1262" s="489"/>
      <c r="H1262" s="489"/>
      <c r="I1262" s="488"/>
      <c r="J1262" s="487"/>
      <c r="K1262" s="487"/>
      <c r="L1262" s="488"/>
      <c r="M1262" s="487"/>
      <c r="N1262" s="487"/>
      <c r="O1262" s="488"/>
      <c r="P1262" s="489"/>
      <c r="Q1262" s="489"/>
      <c r="R1262" s="592"/>
      <c r="S1262" s="487"/>
      <c r="T1262" s="487"/>
      <c r="U1262" s="488"/>
      <c r="V1262" s="489"/>
      <c r="W1262" s="489"/>
      <c r="X1262" s="488"/>
      <c r="Y1262" s="489"/>
      <c r="Z1262" s="489"/>
      <c r="AA1262" s="490"/>
      <c r="AB1262" s="489"/>
      <c r="AC1262" s="489"/>
      <c r="AD1262" s="27">
        <v>410564</v>
      </c>
      <c r="AE1262" s="27" t="s">
        <v>227</v>
      </c>
      <c r="AF1262" s="432">
        <f>VLOOKUP(AD1262,[5]Hoja1!$A$10:$K$1393,11,0)</f>
        <v>566186137</v>
      </c>
      <c r="AG1262" s="432"/>
      <c r="AH1262" s="432">
        <f t="shared" si="296"/>
        <v>566186</v>
      </c>
      <c r="AL1262" s="448"/>
      <c r="AM1262" s="467">
        <f>VLOOKUP(AD1262,[6]BV201101!$A$10:$A$1236,1,0)</f>
        <v>410564</v>
      </c>
    </row>
    <row r="1263" spans="1:39" s="467" customFormat="1" ht="12.75" customHeight="1">
      <c r="A1263" s="487" t="str">
        <f t="shared" ref="A1263:A1326" si="297">+LEFT($AD1263,1)</f>
        <v>4</v>
      </c>
      <c r="B1263" s="487" t="str">
        <f t="shared" si="281"/>
        <v>10</v>
      </c>
      <c r="C1263" s="487" t="str">
        <f t="shared" si="282"/>
        <v>56</v>
      </c>
      <c r="D1263" s="487" t="str">
        <f t="shared" si="283"/>
        <v>0565</v>
      </c>
      <c r="E1263" s="487">
        <v>532400000</v>
      </c>
      <c r="F1263" s="488"/>
      <c r="G1263" s="489"/>
      <c r="H1263" s="489"/>
      <c r="I1263" s="488"/>
      <c r="J1263" s="487"/>
      <c r="K1263" s="487"/>
      <c r="L1263" s="488"/>
      <c r="M1263" s="487"/>
      <c r="N1263" s="487"/>
      <c r="O1263" s="488"/>
      <c r="P1263" s="489"/>
      <c r="Q1263" s="489"/>
      <c r="R1263" s="592"/>
      <c r="S1263" s="487"/>
      <c r="T1263" s="487"/>
      <c r="U1263" s="488"/>
      <c r="V1263" s="489"/>
      <c r="W1263" s="489"/>
      <c r="X1263" s="488"/>
      <c r="Y1263" s="489"/>
      <c r="Z1263" s="489"/>
      <c r="AA1263" s="490"/>
      <c r="AB1263" s="489"/>
      <c r="AC1263" s="489"/>
      <c r="AD1263" s="27">
        <v>410565</v>
      </c>
      <c r="AE1263" s="27" t="s">
        <v>2375</v>
      </c>
      <c r="AF1263" s="432">
        <f>VLOOKUP(AD1263,[5]Hoja1!$A$10:$K$1393,11,0)</f>
        <v>-234425016</v>
      </c>
      <c r="AG1263" s="432"/>
      <c r="AH1263" s="432">
        <f t="shared" si="296"/>
        <v>-234425</v>
      </c>
      <c r="AL1263" s="448"/>
      <c r="AM1263" s="467">
        <f>VLOOKUP(AD1263,[6]BV201101!$A$10:$A$1236,1,0)</f>
        <v>410565</v>
      </c>
    </row>
    <row r="1264" spans="1:39" s="467" customFormat="1" ht="12.75" customHeight="1">
      <c r="A1264" s="487" t="str">
        <f t="shared" si="297"/>
        <v>4</v>
      </c>
      <c r="B1264" s="487" t="str">
        <f t="shared" si="281"/>
        <v>10</v>
      </c>
      <c r="C1264" s="487" t="str">
        <f t="shared" si="282"/>
        <v>56</v>
      </c>
      <c r="D1264" s="487" t="str">
        <f t="shared" si="283"/>
        <v>0566</v>
      </c>
      <c r="E1264" s="487">
        <v>532400000</v>
      </c>
      <c r="F1264" s="488"/>
      <c r="G1264" s="489"/>
      <c r="H1264" s="489"/>
      <c r="I1264" s="488"/>
      <c r="J1264" s="487"/>
      <c r="K1264" s="487"/>
      <c r="L1264" s="488"/>
      <c r="M1264" s="487"/>
      <c r="N1264" s="487"/>
      <c r="O1264" s="488"/>
      <c r="P1264" s="489"/>
      <c r="Q1264" s="489"/>
      <c r="R1264" s="592"/>
      <c r="S1264" s="487"/>
      <c r="T1264" s="487"/>
      <c r="U1264" s="488"/>
      <c r="V1264" s="489"/>
      <c r="W1264" s="489"/>
      <c r="X1264" s="488"/>
      <c r="Y1264" s="489"/>
      <c r="Z1264" s="489"/>
      <c r="AA1264" s="490"/>
      <c r="AB1264" s="489"/>
      <c r="AC1264" s="489"/>
      <c r="AD1264" s="27">
        <v>410566</v>
      </c>
      <c r="AE1264" s="27" t="s">
        <v>319</v>
      </c>
      <c r="AF1264" s="432">
        <f>VLOOKUP(AD1264,[5]Hoja1!$A$10:$K$1393,11,0)</f>
        <v>-14822804</v>
      </c>
      <c r="AG1264" s="432"/>
      <c r="AH1264" s="432">
        <f t="shared" si="296"/>
        <v>-14823</v>
      </c>
      <c r="AL1264" s="448"/>
      <c r="AM1264" s="467">
        <f>VLOOKUP(AD1264,[6]BV201101!$A$10:$A$1236,1,0)</f>
        <v>410566</v>
      </c>
    </row>
    <row r="1265" spans="1:39" s="467" customFormat="1" ht="12.75" customHeight="1">
      <c r="A1265" s="487" t="str">
        <f t="shared" si="297"/>
        <v>4</v>
      </c>
      <c r="B1265" s="487" t="str">
        <f t="shared" si="281"/>
        <v>10</v>
      </c>
      <c r="C1265" s="487" t="str">
        <f t="shared" si="282"/>
        <v>56</v>
      </c>
      <c r="D1265" s="487" t="str">
        <f t="shared" si="283"/>
        <v>0567</v>
      </c>
      <c r="E1265" s="487">
        <v>532201110</v>
      </c>
      <c r="F1265" s="488"/>
      <c r="G1265" s="489"/>
      <c r="H1265" s="489"/>
      <c r="I1265" s="488"/>
      <c r="J1265" s="487"/>
      <c r="K1265" s="487"/>
      <c r="L1265" s="488"/>
      <c r="M1265" s="487"/>
      <c r="N1265" s="487"/>
      <c r="O1265" s="488"/>
      <c r="P1265" s="489"/>
      <c r="Q1265" s="489"/>
      <c r="R1265" s="592"/>
      <c r="S1265" s="487"/>
      <c r="T1265" s="487"/>
      <c r="U1265" s="488"/>
      <c r="V1265" s="489"/>
      <c r="W1265" s="489"/>
      <c r="X1265" s="488"/>
      <c r="Y1265" s="489"/>
      <c r="Z1265" s="489"/>
      <c r="AA1265" s="490"/>
      <c r="AB1265" s="489"/>
      <c r="AC1265" s="489"/>
      <c r="AD1265" s="27">
        <v>410567</v>
      </c>
      <c r="AE1265" s="27" t="s">
        <v>2376</v>
      </c>
      <c r="AF1265" s="432">
        <f>VLOOKUP(AD1265,[5]Hoja1!$A$10:$K$1393,11,0)</f>
        <v>-14273702</v>
      </c>
      <c r="AG1265" s="432"/>
      <c r="AH1265" s="432">
        <f t="shared" si="296"/>
        <v>-14274</v>
      </c>
      <c r="AL1265" s="448"/>
      <c r="AM1265" s="467">
        <f>VLOOKUP(AD1265,[6]BV201101!$A$10:$A$1236,1,0)</f>
        <v>410567</v>
      </c>
    </row>
    <row r="1266" spans="1:39" s="467" customFormat="1" ht="12.75" customHeight="1">
      <c r="A1266" s="487" t="str">
        <f t="shared" si="297"/>
        <v>4</v>
      </c>
      <c r="B1266" s="487" t="str">
        <f t="shared" si="281"/>
        <v>10</v>
      </c>
      <c r="C1266" s="487" t="str">
        <f t="shared" si="282"/>
        <v>56</v>
      </c>
      <c r="D1266" s="487" t="str">
        <f t="shared" si="283"/>
        <v>0568</v>
      </c>
      <c r="E1266" s="487">
        <v>532201130</v>
      </c>
      <c r="F1266" s="488"/>
      <c r="G1266" s="489"/>
      <c r="H1266" s="489"/>
      <c r="I1266" s="488"/>
      <c r="J1266" s="487"/>
      <c r="K1266" s="487"/>
      <c r="L1266" s="488"/>
      <c r="M1266" s="487"/>
      <c r="N1266" s="487"/>
      <c r="O1266" s="488"/>
      <c r="P1266" s="489"/>
      <c r="Q1266" s="489"/>
      <c r="R1266" s="592"/>
      <c r="S1266" s="487"/>
      <c r="T1266" s="487"/>
      <c r="U1266" s="488"/>
      <c r="V1266" s="489"/>
      <c r="W1266" s="489"/>
      <c r="X1266" s="488"/>
      <c r="Y1266" s="489"/>
      <c r="Z1266" s="489"/>
      <c r="AA1266" s="490"/>
      <c r="AB1266" s="489"/>
      <c r="AC1266" s="489"/>
      <c r="AD1266" s="27">
        <v>410568</v>
      </c>
      <c r="AE1266" s="27" t="s">
        <v>2377</v>
      </c>
      <c r="AF1266" s="432">
        <f>VLOOKUP(AD1266,[5]Hoja1!$A$10:$K$1393,11,0)</f>
        <v>-22736682</v>
      </c>
      <c r="AG1266" s="432"/>
      <c r="AH1266" s="432">
        <f t="shared" si="296"/>
        <v>-22737</v>
      </c>
      <c r="AL1266" s="448"/>
      <c r="AM1266" s="467">
        <f>VLOOKUP(AD1266,[6]BV201101!$A$10:$A$1236,1,0)</f>
        <v>410568</v>
      </c>
    </row>
    <row r="1267" spans="1:39" s="467" customFormat="1" ht="12.75" customHeight="1">
      <c r="A1267" s="487" t="str">
        <f t="shared" si="297"/>
        <v>4</v>
      </c>
      <c r="B1267" s="487" t="str">
        <f t="shared" si="281"/>
        <v>10</v>
      </c>
      <c r="C1267" s="487" t="str">
        <f t="shared" si="282"/>
        <v>56</v>
      </c>
      <c r="D1267" s="487" t="str">
        <f t="shared" si="283"/>
        <v>0569</v>
      </c>
      <c r="E1267" s="487">
        <v>532201200</v>
      </c>
      <c r="F1267" s="488"/>
      <c r="G1267" s="489"/>
      <c r="H1267" s="489"/>
      <c r="I1267" s="488"/>
      <c r="J1267" s="487"/>
      <c r="K1267" s="487"/>
      <c r="L1267" s="488"/>
      <c r="M1267" s="487"/>
      <c r="N1267" s="487"/>
      <c r="O1267" s="488"/>
      <c r="P1267" s="489"/>
      <c r="Q1267" s="489"/>
      <c r="R1267" s="592"/>
      <c r="S1267" s="487"/>
      <c r="T1267" s="487"/>
      <c r="U1267" s="488"/>
      <c r="V1267" s="489"/>
      <c r="W1267" s="489"/>
      <c r="X1267" s="488"/>
      <c r="Y1267" s="489"/>
      <c r="Z1267" s="489"/>
      <c r="AA1267" s="490"/>
      <c r="AB1267" s="489"/>
      <c r="AC1267" s="489"/>
      <c r="AD1267" s="27">
        <v>410569</v>
      </c>
      <c r="AE1267" s="27" t="s">
        <v>2378</v>
      </c>
      <c r="AF1267" s="432">
        <f>VLOOKUP(AD1267,[5]Hoja1!$A$10:$K$1393,11,0)</f>
        <v>0</v>
      </c>
      <c r="AG1267" s="432"/>
      <c r="AH1267" s="432">
        <f t="shared" si="296"/>
        <v>0</v>
      </c>
      <c r="AL1267" s="448"/>
      <c r="AM1267" s="467">
        <f>VLOOKUP(AD1267,[6]BV201101!$A$10:$A$1236,1,0)</f>
        <v>410569</v>
      </c>
    </row>
    <row r="1268" spans="1:39" s="467" customFormat="1" ht="12.75" customHeight="1">
      <c r="A1268" s="487" t="str">
        <f t="shared" si="297"/>
        <v>4</v>
      </c>
      <c r="B1268" s="487" t="str">
        <f t="shared" si="281"/>
        <v>10</v>
      </c>
      <c r="C1268" s="487" t="str">
        <f t="shared" si="282"/>
        <v>57</v>
      </c>
      <c r="D1268" s="487" t="str">
        <f t="shared" si="283"/>
        <v>0570</v>
      </c>
      <c r="E1268" s="487">
        <v>532100000</v>
      </c>
      <c r="F1268" s="488"/>
      <c r="G1268" s="489"/>
      <c r="H1268" s="489"/>
      <c r="I1268" s="488"/>
      <c r="J1268" s="487"/>
      <c r="K1268" s="487"/>
      <c r="L1268" s="488"/>
      <c r="M1268" s="487"/>
      <c r="N1268" s="487"/>
      <c r="O1268" s="488"/>
      <c r="P1268" s="489"/>
      <c r="Q1268" s="489"/>
      <c r="R1268" s="592"/>
      <c r="S1268" s="487"/>
      <c r="T1268" s="487"/>
      <c r="U1268" s="488"/>
      <c r="V1268" s="489"/>
      <c r="W1268" s="489"/>
      <c r="X1268" s="488"/>
      <c r="Y1268" s="489"/>
      <c r="Z1268" s="489"/>
      <c r="AA1268" s="490"/>
      <c r="AB1268" s="489"/>
      <c r="AC1268" s="489"/>
      <c r="AD1268" s="27">
        <v>410570</v>
      </c>
      <c r="AE1268" s="27" t="s">
        <v>2379</v>
      </c>
      <c r="AF1268" s="432">
        <f>VLOOKUP(AD1268,[5]Hoja1!$A$10:$K$1393,11,0)</f>
        <v>1019157265</v>
      </c>
      <c r="AG1268" s="432"/>
      <c r="AH1268" s="432">
        <f t="shared" si="296"/>
        <v>1019157</v>
      </c>
      <c r="AL1268" s="448"/>
      <c r="AM1268" s="467">
        <f>VLOOKUP(AD1268,[6]BV201101!$A$10:$A$1236,1,0)</f>
        <v>410570</v>
      </c>
    </row>
    <row r="1269" spans="1:39" s="467" customFormat="1" ht="12.75" customHeight="1">
      <c r="A1269" s="487" t="str">
        <f t="shared" si="297"/>
        <v>4</v>
      </c>
      <c r="B1269" s="487" t="str">
        <f t="shared" si="281"/>
        <v>10</v>
      </c>
      <c r="C1269" s="487" t="str">
        <f t="shared" si="282"/>
        <v>57</v>
      </c>
      <c r="D1269" s="487" t="str">
        <f t="shared" si="283"/>
        <v>0571</v>
      </c>
      <c r="E1269" s="590">
        <v>534101200</v>
      </c>
      <c r="F1269" s="488" t="str">
        <f>+G1269&amp;H1269</f>
        <v/>
      </c>
      <c r="G1269" s="487"/>
      <c r="H1269" s="487"/>
      <c r="I1269" s="488" t="str">
        <f>+J1269&amp;K1269</f>
        <v/>
      </c>
      <c r="J1269" s="487"/>
      <c r="K1269" s="487"/>
      <c r="L1269" s="488" t="str">
        <f>+M1269&amp;N1269</f>
        <v/>
      </c>
      <c r="M1269" s="487"/>
      <c r="N1269" s="487"/>
      <c r="O1269" s="488" t="str">
        <f>+P1269&amp;Q1269</f>
        <v/>
      </c>
      <c r="P1269" s="489"/>
      <c r="Q1269" s="489"/>
      <c r="R1269" s="592" t="str">
        <f>+S1269&amp;T1269</f>
        <v>691112000</v>
      </c>
      <c r="S1269" s="487">
        <v>691112000</v>
      </c>
      <c r="T1269" s="487"/>
      <c r="U1269" s="488" t="str">
        <f>+V1269&amp;W1269</f>
        <v/>
      </c>
      <c r="V1269" s="489"/>
      <c r="W1269" s="489"/>
      <c r="X1269" s="488" t="str">
        <f>+Y1269&amp;Z1269</f>
        <v>631101710</v>
      </c>
      <c r="Y1269" s="489">
        <v>631101710</v>
      </c>
      <c r="Z1269" s="489"/>
      <c r="AA1269" s="490" t="str">
        <f>+AB1269&amp;AC1269</f>
        <v/>
      </c>
      <c r="AB1269" s="489"/>
      <c r="AC1269" s="489"/>
      <c r="AD1269" s="27">
        <v>410571</v>
      </c>
      <c r="AE1269" s="27" t="s">
        <v>2380</v>
      </c>
      <c r="AF1269" s="432">
        <f>VLOOKUP(AD1269,[5]Hoja1!$A$10:$K$1393,11,0)</f>
        <v>-230909004</v>
      </c>
      <c r="AG1269" s="432"/>
      <c r="AH1269" s="432">
        <f t="shared" si="296"/>
        <v>-230909</v>
      </c>
      <c r="AL1269" s="448"/>
      <c r="AM1269" s="467">
        <f>VLOOKUP(AD1269,[6]BV201101!$A$10:$A$1236,1,0)</f>
        <v>410571</v>
      </c>
    </row>
    <row r="1270" spans="1:39" s="467" customFormat="1" ht="12.75" customHeight="1">
      <c r="A1270" s="487" t="str">
        <f t="shared" si="297"/>
        <v>4</v>
      </c>
      <c r="B1270" s="487" t="str">
        <f t="shared" si="281"/>
        <v>10</v>
      </c>
      <c r="C1270" s="487" t="str">
        <f t="shared" si="282"/>
        <v>57</v>
      </c>
      <c r="D1270" s="487" t="str">
        <f t="shared" si="283"/>
        <v>0572</v>
      </c>
      <c r="E1270" s="487">
        <v>532201110</v>
      </c>
      <c r="F1270" s="488"/>
      <c r="G1270" s="487"/>
      <c r="H1270" s="487"/>
      <c r="I1270" s="488"/>
      <c r="J1270" s="487"/>
      <c r="K1270" s="487"/>
      <c r="L1270" s="488"/>
      <c r="M1270" s="487"/>
      <c r="N1270" s="487"/>
      <c r="O1270" s="488"/>
      <c r="P1270" s="489"/>
      <c r="Q1270" s="489"/>
      <c r="R1270" s="592"/>
      <c r="S1270" s="487"/>
      <c r="T1270" s="487"/>
      <c r="U1270" s="488"/>
      <c r="V1270" s="489"/>
      <c r="W1270" s="489"/>
      <c r="X1270" s="488"/>
      <c r="Y1270" s="489"/>
      <c r="Z1270" s="489"/>
      <c r="AA1270" s="490"/>
      <c r="AB1270" s="489"/>
      <c r="AC1270" s="489"/>
      <c r="AD1270" s="27">
        <v>410572</v>
      </c>
      <c r="AE1270" s="27" t="s">
        <v>2381</v>
      </c>
      <c r="AF1270" s="432">
        <f>VLOOKUP(AD1270,[5]Hoja1!$A$10:$K$1393,11,0)</f>
        <v>0</v>
      </c>
      <c r="AG1270" s="432"/>
      <c r="AH1270" s="432">
        <f t="shared" si="296"/>
        <v>0</v>
      </c>
      <c r="AL1270" s="448"/>
      <c r="AM1270" s="467">
        <f>VLOOKUP(AD1270,[6]BV201101!$A$10:$A$1236,1,0)</f>
        <v>410572</v>
      </c>
    </row>
    <row r="1271" spans="1:39" s="467" customFormat="1" ht="12.75" customHeight="1">
      <c r="A1271" s="487" t="str">
        <f t="shared" si="297"/>
        <v>4</v>
      </c>
      <c r="B1271" s="487" t="str">
        <f t="shared" si="281"/>
        <v>10</v>
      </c>
      <c r="C1271" s="487" t="str">
        <f t="shared" si="282"/>
        <v>57</v>
      </c>
      <c r="D1271" s="487" t="str">
        <f t="shared" si="283"/>
        <v>0573</v>
      </c>
      <c r="E1271" s="487">
        <v>532201110</v>
      </c>
      <c r="F1271" s="488"/>
      <c r="G1271" s="487"/>
      <c r="H1271" s="487"/>
      <c r="I1271" s="488"/>
      <c r="J1271" s="487"/>
      <c r="K1271" s="487"/>
      <c r="L1271" s="488"/>
      <c r="M1271" s="487"/>
      <c r="N1271" s="487"/>
      <c r="O1271" s="488"/>
      <c r="P1271" s="489"/>
      <c r="Q1271" s="489"/>
      <c r="R1271" s="592"/>
      <c r="S1271" s="487"/>
      <c r="T1271" s="487"/>
      <c r="U1271" s="488"/>
      <c r="V1271" s="489"/>
      <c r="W1271" s="489"/>
      <c r="X1271" s="488"/>
      <c r="Y1271" s="489"/>
      <c r="Z1271" s="489"/>
      <c r="AA1271" s="490"/>
      <c r="AB1271" s="489"/>
      <c r="AC1271" s="489"/>
      <c r="AD1271" s="27">
        <v>410573</v>
      </c>
      <c r="AE1271" s="27" t="s">
        <v>2382</v>
      </c>
      <c r="AF1271" s="432">
        <f>VLOOKUP(AD1271,[5]Hoja1!$A$10:$K$1393,11,0)</f>
        <v>0</v>
      </c>
      <c r="AG1271" s="432"/>
      <c r="AH1271" s="432">
        <f t="shared" si="296"/>
        <v>0</v>
      </c>
      <c r="AL1271" s="448"/>
      <c r="AM1271" s="467">
        <f>VLOOKUP(AD1271,[6]BV201101!$A$10:$A$1236,1,0)</f>
        <v>410573</v>
      </c>
    </row>
    <row r="1272" spans="1:39" s="467" customFormat="1" ht="12.75" customHeight="1">
      <c r="A1272" s="487" t="str">
        <f t="shared" si="297"/>
        <v>4</v>
      </c>
      <c r="B1272" s="487" t="str">
        <f t="shared" si="281"/>
        <v>10</v>
      </c>
      <c r="C1272" s="487" t="str">
        <f t="shared" si="282"/>
        <v>57</v>
      </c>
      <c r="D1272" s="487" t="str">
        <f t="shared" si="283"/>
        <v>0574</v>
      </c>
      <c r="E1272" s="487">
        <v>532201110</v>
      </c>
      <c r="F1272" s="488"/>
      <c r="G1272" s="487"/>
      <c r="H1272" s="487"/>
      <c r="I1272" s="488"/>
      <c r="J1272" s="487"/>
      <c r="K1272" s="487"/>
      <c r="L1272" s="488"/>
      <c r="M1272" s="487"/>
      <c r="N1272" s="487"/>
      <c r="O1272" s="488"/>
      <c r="P1272" s="489"/>
      <c r="Q1272" s="489"/>
      <c r="R1272" s="592"/>
      <c r="S1272" s="487"/>
      <c r="T1272" s="487"/>
      <c r="U1272" s="488"/>
      <c r="V1272" s="489"/>
      <c r="W1272" s="489"/>
      <c r="X1272" s="488"/>
      <c r="Y1272" s="489"/>
      <c r="Z1272" s="489"/>
      <c r="AA1272" s="490"/>
      <c r="AB1272" s="489"/>
      <c r="AC1272" s="489"/>
      <c r="AD1272" s="27">
        <v>410574</v>
      </c>
      <c r="AE1272" s="27" t="s">
        <v>2383</v>
      </c>
      <c r="AF1272" s="432">
        <f>VLOOKUP(AD1272,[5]Hoja1!$A$10:$K$1393,11,0)</f>
        <v>-7715400</v>
      </c>
      <c r="AG1272" s="432"/>
      <c r="AH1272" s="432">
        <f t="shared" si="296"/>
        <v>-7715</v>
      </c>
      <c r="AL1272" s="448"/>
      <c r="AM1272" s="467">
        <f>VLOOKUP(AD1272,[6]BV201101!$A$10:$A$1236,1,0)</f>
        <v>410574</v>
      </c>
    </row>
    <row r="1273" spans="1:39" s="467" customFormat="1" ht="12.75" customHeight="1">
      <c r="A1273" s="487" t="str">
        <f t="shared" si="297"/>
        <v>4</v>
      </c>
      <c r="B1273" s="487" t="str">
        <f t="shared" si="281"/>
        <v>10</v>
      </c>
      <c r="C1273" s="487" t="str">
        <f t="shared" si="282"/>
        <v>57</v>
      </c>
      <c r="D1273" s="487" t="str">
        <f t="shared" si="283"/>
        <v>0575</v>
      </c>
      <c r="E1273" s="487">
        <v>532100000</v>
      </c>
      <c r="F1273" s="488"/>
      <c r="G1273" s="487"/>
      <c r="H1273" s="487"/>
      <c r="I1273" s="488"/>
      <c r="J1273" s="487"/>
      <c r="K1273" s="487"/>
      <c r="L1273" s="488"/>
      <c r="M1273" s="487"/>
      <c r="N1273" s="487"/>
      <c r="O1273" s="488"/>
      <c r="P1273" s="489"/>
      <c r="Q1273" s="489"/>
      <c r="R1273" s="592"/>
      <c r="S1273" s="487"/>
      <c r="T1273" s="487"/>
      <c r="U1273" s="488"/>
      <c r="V1273" s="489"/>
      <c r="W1273" s="489"/>
      <c r="X1273" s="488"/>
      <c r="Y1273" s="489"/>
      <c r="Z1273" s="489"/>
      <c r="AA1273" s="490"/>
      <c r="AB1273" s="489"/>
      <c r="AC1273" s="489"/>
      <c r="AD1273" s="27">
        <v>410575</v>
      </c>
      <c r="AE1273" s="27" t="s">
        <v>2384</v>
      </c>
      <c r="AF1273" s="432">
        <f>VLOOKUP(AD1273,[5]Hoja1!$A$10:$K$1393,11,0)</f>
        <v>-9576083</v>
      </c>
      <c r="AG1273" s="432"/>
      <c r="AH1273" s="432">
        <f t="shared" si="296"/>
        <v>-9576</v>
      </c>
      <c r="AL1273" s="448"/>
      <c r="AM1273" s="467">
        <f>VLOOKUP(AD1273,[6]BV201101!$A$10:$A$1236,1,0)</f>
        <v>410575</v>
      </c>
    </row>
    <row r="1274" spans="1:39" s="467" customFormat="1" ht="12.75" customHeight="1">
      <c r="A1274" s="487" t="str">
        <f t="shared" si="297"/>
        <v>4</v>
      </c>
      <c r="B1274" s="487" t="str">
        <f t="shared" si="281"/>
        <v>10</v>
      </c>
      <c r="C1274" s="487" t="str">
        <f t="shared" si="282"/>
        <v>57</v>
      </c>
      <c r="D1274" s="487" t="str">
        <f t="shared" si="283"/>
        <v>0576</v>
      </c>
      <c r="E1274" s="487">
        <v>532100000</v>
      </c>
      <c r="F1274" s="488"/>
      <c r="G1274" s="487"/>
      <c r="H1274" s="487"/>
      <c r="I1274" s="488"/>
      <c r="J1274" s="487"/>
      <c r="K1274" s="487"/>
      <c r="L1274" s="488"/>
      <c r="M1274" s="487"/>
      <c r="N1274" s="487"/>
      <c r="O1274" s="488"/>
      <c r="P1274" s="489"/>
      <c r="Q1274" s="489"/>
      <c r="R1274" s="592"/>
      <c r="S1274" s="487"/>
      <c r="T1274" s="487"/>
      <c r="U1274" s="488"/>
      <c r="V1274" s="489"/>
      <c r="W1274" s="489"/>
      <c r="X1274" s="488"/>
      <c r="Y1274" s="489"/>
      <c r="Z1274" s="489"/>
      <c r="AA1274" s="490"/>
      <c r="AB1274" s="489"/>
      <c r="AC1274" s="489"/>
      <c r="AD1274" s="27">
        <v>410576</v>
      </c>
      <c r="AE1274" s="27" t="s">
        <v>2385</v>
      </c>
      <c r="AF1274" s="432">
        <f>VLOOKUP(AD1274,[5]Hoja1!$A$10:$K$1393,11,0)</f>
        <v>-1291056</v>
      </c>
      <c r="AG1274" s="432"/>
      <c r="AH1274" s="432">
        <f t="shared" si="296"/>
        <v>-1291</v>
      </c>
      <c r="AL1274" s="448"/>
      <c r="AM1274" s="467">
        <f>VLOOKUP(AD1274,[6]BV201101!$A$10:$A$1236,1,0)</f>
        <v>410576</v>
      </c>
    </row>
    <row r="1275" spans="1:39" s="467" customFormat="1" ht="12.75" customHeight="1">
      <c r="A1275" s="487" t="str">
        <f t="shared" si="297"/>
        <v>4</v>
      </c>
      <c r="B1275" s="487" t="str">
        <f t="shared" si="281"/>
        <v>10</v>
      </c>
      <c r="C1275" s="487" t="str">
        <f t="shared" si="282"/>
        <v>57</v>
      </c>
      <c r="D1275" s="487" t="str">
        <f t="shared" si="283"/>
        <v>0577</v>
      </c>
      <c r="E1275" s="487">
        <v>532100000</v>
      </c>
      <c r="F1275" s="488"/>
      <c r="G1275" s="487"/>
      <c r="H1275" s="487"/>
      <c r="I1275" s="488"/>
      <c r="J1275" s="487"/>
      <c r="K1275" s="487"/>
      <c r="L1275" s="488"/>
      <c r="M1275" s="487"/>
      <c r="N1275" s="487"/>
      <c r="O1275" s="488"/>
      <c r="P1275" s="489"/>
      <c r="Q1275" s="489"/>
      <c r="R1275" s="592"/>
      <c r="S1275" s="487"/>
      <c r="T1275" s="487"/>
      <c r="U1275" s="488"/>
      <c r="V1275" s="489"/>
      <c r="W1275" s="489"/>
      <c r="X1275" s="488"/>
      <c r="Y1275" s="489"/>
      <c r="Z1275" s="489"/>
      <c r="AA1275" s="490"/>
      <c r="AB1275" s="489"/>
      <c r="AC1275" s="489"/>
      <c r="AD1275" s="27">
        <v>410577</v>
      </c>
      <c r="AE1275" s="27" t="s">
        <v>2386</v>
      </c>
      <c r="AF1275" s="432">
        <f>VLOOKUP(AD1275,[5]Hoja1!$A$10:$K$1393,11,0)</f>
        <v>0</v>
      </c>
      <c r="AG1275" s="432"/>
      <c r="AH1275" s="432">
        <f t="shared" si="296"/>
        <v>0</v>
      </c>
      <c r="AL1275" s="448"/>
      <c r="AM1275" s="467">
        <f>VLOOKUP(AD1275,[6]BV201101!$A$10:$A$1236,1,0)</f>
        <v>410577</v>
      </c>
    </row>
    <row r="1276" spans="1:39" s="467" customFormat="1" ht="12.75" customHeight="1">
      <c r="A1276" s="487" t="str">
        <f t="shared" si="297"/>
        <v>4</v>
      </c>
      <c r="B1276" s="487" t="str">
        <f t="shared" si="281"/>
        <v>10</v>
      </c>
      <c r="C1276" s="487" t="str">
        <f t="shared" si="282"/>
        <v>57</v>
      </c>
      <c r="D1276" s="487" t="str">
        <f t="shared" si="283"/>
        <v>0578</v>
      </c>
      <c r="E1276" s="487">
        <v>532100000</v>
      </c>
      <c r="F1276" s="488"/>
      <c r="G1276" s="487"/>
      <c r="H1276" s="487"/>
      <c r="I1276" s="488"/>
      <c r="J1276" s="487"/>
      <c r="K1276" s="487"/>
      <c r="L1276" s="488"/>
      <c r="M1276" s="487"/>
      <c r="N1276" s="487"/>
      <c r="O1276" s="488"/>
      <c r="P1276" s="489"/>
      <c r="Q1276" s="489"/>
      <c r="R1276" s="592"/>
      <c r="S1276" s="487"/>
      <c r="T1276" s="487"/>
      <c r="U1276" s="488"/>
      <c r="V1276" s="489"/>
      <c r="W1276" s="489"/>
      <c r="X1276" s="488"/>
      <c r="Y1276" s="489"/>
      <c r="Z1276" s="489"/>
      <c r="AA1276" s="490"/>
      <c r="AB1276" s="489"/>
      <c r="AC1276" s="489"/>
      <c r="AD1276" s="27">
        <v>410578</v>
      </c>
      <c r="AE1276" s="27" t="s">
        <v>2387</v>
      </c>
      <c r="AF1276" s="432">
        <f>VLOOKUP(AD1276,[5]Hoja1!$A$10:$K$1393,11,0)</f>
        <v>1289130</v>
      </c>
      <c r="AG1276" s="432"/>
      <c r="AH1276" s="432">
        <f t="shared" si="296"/>
        <v>1289</v>
      </c>
      <c r="AL1276" s="448"/>
      <c r="AM1276" s="467">
        <f>VLOOKUP(AD1276,[6]BV201101!$A$10:$A$1236,1,0)</f>
        <v>410578</v>
      </c>
    </row>
    <row r="1277" spans="1:39" s="467" customFormat="1" ht="12.75" customHeight="1">
      <c r="A1277" s="487" t="str">
        <f t="shared" si="297"/>
        <v>4</v>
      </c>
      <c r="B1277" s="487" t="str">
        <f t="shared" si="281"/>
        <v>10</v>
      </c>
      <c r="C1277" s="487" t="str">
        <f t="shared" si="282"/>
        <v>57</v>
      </c>
      <c r="D1277" s="487" t="str">
        <f t="shared" si="283"/>
        <v>0579</v>
      </c>
      <c r="E1277" s="487">
        <v>532100000</v>
      </c>
      <c r="F1277" s="488"/>
      <c r="G1277" s="487"/>
      <c r="H1277" s="487"/>
      <c r="I1277" s="488"/>
      <c r="J1277" s="487"/>
      <c r="K1277" s="487"/>
      <c r="L1277" s="488"/>
      <c r="M1277" s="487"/>
      <c r="N1277" s="487"/>
      <c r="O1277" s="488"/>
      <c r="P1277" s="489"/>
      <c r="Q1277" s="489"/>
      <c r="R1277" s="592"/>
      <c r="S1277" s="487"/>
      <c r="T1277" s="487"/>
      <c r="U1277" s="488"/>
      <c r="V1277" s="489"/>
      <c r="W1277" s="489"/>
      <c r="X1277" s="488"/>
      <c r="Y1277" s="489"/>
      <c r="Z1277" s="489"/>
      <c r="AA1277" s="490"/>
      <c r="AB1277" s="489"/>
      <c r="AC1277" s="489"/>
      <c r="AD1277" s="27">
        <v>410579</v>
      </c>
      <c r="AE1277" s="27" t="s">
        <v>2388</v>
      </c>
      <c r="AF1277" s="432">
        <f>VLOOKUP(AD1277,[5]Hoja1!$A$10:$K$1393,11,0)</f>
        <v>797</v>
      </c>
      <c r="AG1277" s="432"/>
      <c r="AH1277" s="432">
        <f t="shared" si="296"/>
        <v>1</v>
      </c>
      <c r="AL1277" s="448"/>
      <c r="AM1277" s="467">
        <f>VLOOKUP(AD1277,[6]BV201101!$A$10:$A$1236,1,0)</f>
        <v>410579</v>
      </c>
    </row>
    <row r="1278" spans="1:39" s="467" customFormat="1" ht="12.75" customHeight="1">
      <c r="A1278" s="487" t="str">
        <f t="shared" si="297"/>
        <v>4</v>
      </c>
      <c r="B1278" s="487" t="str">
        <f t="shared" si="281"/>
        <v>10</v>
      </c>
      <c r="C1278" s="487" t="str">
        <f t="shared" si="282"/>
        <v>58</v>
      </c>
      <c r="D1278" s="487" t="str">
        <f t="shared" si="283"/>
        <v>0580</v>
      </c>
      <c r="E1278" s="487">
        <v>532100000</v>
      </c>
      <c r="F1278" s="488"/>
      <c r="G1278" s="487"/>
      <c r="H1278" s="487"/>
      <c r="I1278" s="488"/>
      <c r="J1278" s="487"/>
      <c r="K1278" s="487"/>
      <c r="L1278" s="488"/>
      <c r="M1278" s="487"/>
      <c r="N1278" s="487"/>
      <c r="O1278" s="488"/>
      <c r="P1278" s="489"/>
      <c r="Q1278" s="489"/>
      <c r="R1278" s="592"/>
      <c r="S1278" s="487"/>
      <c r="T1278" s="487"/>
      <c r="U1278" s="488"/>
      <c r="V1278" s="489"/>
      <c r="W1278" s="489"/>
      <c r="X1278" s="488"/>
      <c r="Y1278" s="489"/>
      <c r="Z1278" s="489"/>
      <c r="AA1278" s="490"/>
      <c r="AB1278" s="489"/>
      <c r="AC1278" s="489"/>
      <c r="AD1278" s="27">
        <v>410580</v>
      </c>
      <c r="AE1278" s="27" t="s">
        <v>2389</v>
      </c>
      <c r="AF1278" s="432">
        <f>VLOOKUP(AD1278,[5]Hoja1!$A$10:$K$1393,11,0)</f>
        <v>-33852464</v>
      </c>
      <c r="AG1278" s="432"/>
      <c r="AH1278" s="432">
        <f t="shared" si="296"/>
        <v>-33852</v>
      </c>
      <c r="AL1278" s="448"/>
      <c r="AM1278" s="467">
        <f>VLOOKUP(AD1278,[6]BV201101!$A$10:$A$1236,1,0)</f>
        <v>410580</v>
      </c>
    </row>
    <row r="1279" spans="1:39" s="467" customFormat="1" ht="12.75" customHeight="1">
      <c r="A1279" s="487" t="str">
        <f t="shared" si="297"/>
        <v>4</v>
      </c>
      <c r="B1279" s="487" t="str">
        <f t="shared" si="281"/>
        <v>10</v>
      </c>
      <c r="C1279" s="487" t="str">
        <f t="shared" si="282"/>
        <v>58</v>
      </c>
      <c r="D1279" s="487" t="str">
        <f t="shared" si="283"/>
        <v>0581</v>
      </c>
      <c r="E1279" s="487">
        <v>532100000</v>
      </c>
      <c r="F1279" s="488"/>
      <c r="G1279" s="487"/>
      <c r="H1279" s="487"/>
      <c r="I1279" s="488"/>
      <c r="J1279" s="487"/>
      <c r="K1279" s="487"/>
      <c r="L1279" s="488"/>
      <c r="M1279" s="487"/>
      <c r="N1279" s="487"/>
      <c r="O1279" s="488"/>
      <c r="P1279" s="489"/>
      <c r="Q1279" s="489"/>
      <c r="R1279" s="592"/>
      <c r="S1279" s="487"/>
      <c r="T1279" s="487"/>
      <c r="U1279" s="488"/>
      <c r="V1279" s="489"/>
      <c r="W1279" s="489"/>
      <c r="X1279" s="488"/>
      <c r="Y1279" s="489"/>
      <c r="Z1279" s="489"/>
      <c r="AA1279" s="490"/>
      <c r="AB1279" s="489"/>
      <c r="AC1279" s="489"/>
      <c r="AD1279" s="27">
        <v>410581</v>
      </c>
      <c r="AE1279" s="27" t="s">
        <v>2390</v>
      </c>
      <c r="AF1279" s="432">
        <f>VLOOKUP(AD1279,[5]Hoja1!$A$10:$K$1393,11,0)</f>
        <v>0</v>
      </c>
      <c r="AG1279" s="432"/>
      <c r="AH1279" s="432">
        <f t="shared" si="296"/>
        <v>0</v>
      </c>
      <c r="AL1279" s="448"/>
      <c r="AM1279" s="467">
        <f>VLOOKUP(AD1279,[6]BV201101!$A$10:$A$1236,1,0)</f>
        <v>410581</v>
      </c>
    </row>
    <row r="1280" spans="1:39" s="467" customFormat="1" ht="12.75" customHeight="1">
      <c r="A1280" s="487" t="str">
        <f t="shared" si="297"/>
        <v>4</v>
      </c>
      <c r="B1280" s="487" t="str">
        <f t="shared" si="281"/>
        <v>10</v>
      </c>
      <c r="C1280" s="487" t="str">
        <f t="shared" si="282"/>
        <v>58</v>
      </c>
      <c r="D1280" s="487" t="str">
        <f t="shared" si="283"/>
        <v>0582</v>
      </c>
      <c r="E1280" s="487">
        <v>532100000</v>
      </c>
      <c r="F1280" s="488"/>
      <c r="G1280" s="487"/>
      <c r="H1280" s="487"/>
      <c r="I1280" s="488"/>
      <c r="J1280" s="487"/>
      <c r="K1280" s="487"/>
      <c r="L1280" s="488"/>
      <c r="M1280" s="487"/>
      <c r="N1280" s="487"/>
      <c r="O1280" s="488"/>
      <c r="P1280" s="489"/>
      <c r="Q1280" s="489"/>
      <c r="R1280" s="592"/>
      <c r="S1280" s="487"/>
      <c r="T1280" s="487"/>
      <c r="U1280" s="488"/>
      <c r="V1280" s="489"/>
      <c r="W1280" s="489"/>
      <c r="X1280" s="488"/>
      <c r="Y1280" s="489"/>
      <c r="Z1280" s="489"/>
      <c r="AA1280" s="490"/>
      <c r="AB1280" s="489"/>
      <c r="AC1280" s="489"/>
      <c r="AD1280" s="27">
        <v>410582</v>
      </c>
      <c r="AE1280" s="27" t="s">
        <v>2391</v>
      </c>
      <c r="AF1280" s="432">
        <f>VLOOKUP(AD1280,[5]Hoja1!$A$10:$K$1393,11,0)</f>
        <v>-655251</v>
      </c>
      <c r="AG1280" s="432"/>
      <c r="AH1280" s="432">
        <f t="shared" si="296"/>
        <v>-655</v>
      </c>
      <c r="AL1280" s="448"/>
      <c r="AM1280" s="467">
        <f>VLOOKUP(AD1280,[6]BV201101!$A$10:$A$1236,1,0)</f>
        <v>410582</v>
      </c>
    </row>
    <row r="1281" spans="1:39" s="467" customFormat="1" ht="12.75" customHeight="1">
      <c r="A1281" s="487" t="str">
        <f t="shared" si="297"/>
        <v>4</v>
      </c>
      <c r="B1281" s="487" t="str">
        <f t="shared" si="281"/>
        <v>10</v>
      </c>
      <c r="C1281" s="487" t="str">
        <f t="shared" si="282"/>
        <v>58</v>
      </c>
      <c r="D1281" s="487" t="str">
        <f t="shared" si="283"/>
        <v>0583</v>
      </c>
      <c r="E1281" s="487">
        <v>532100000</v>
      </c>
      <c r="F1281" s="488"/>
      <c r="G1281" s="487"/>
      <c r="H1281" s="487"/>
      <c r="I1281" s="488"/>
      <c r="J1281" s="487"/>
      <c r="K1281" s="487"/>
      <c r="L1281" s="488"/>
      <c r="M1281" s="487"/>
      <c r="N1281" s="487"/>
      <c r="O1281" s="488"/>
      <c r="P1281" s="489"/>
      <c r="Q1281" s="489"/>
      <c r="R1281" s="592"/>
      <c r="S1281" s="487"/>
      <c r="T1281" s="487"/>
      <c r="U1281" s="488"/>
      <c r="V1281" s="489"/>
      <c r="W1281" s="489"/>
      <c r="X1281" s="488"/>
      <c r="Y1281" s="489"/>
      <c r="Z1281" s="489"/>
      <c r="AA1281" s="490"/>
      <c r="AB1281" s="489"/>
      <c r="AC1281" s="489"/>
      <c r="AD1281" s="27">
        <v>410583</v>
      </c>
      <c r="AE1281" s="27" t="s">
        <v>2392</v>
      </c>
      <c r="AF1281" s="432">
        <f>VLOOKUP(AD1281,[5]Hoja1!$A$10:$K$1393,11,0)</f>
        <v>0</v>
      </c>
      <c r="AG1281" s="432"/>
      <c r="AH1281" s="432">
        <f t="shared" si="296"/>
        <v>0</v>
      </c>
      <c r="AL1281" s="448"/>
      <c r="AM1281" s="467">
        <f>VLOOKUP(AD1281,[6]BV201101!$A$10:$A$1236,1,0)</f>
        <v>410583</v>
      </c>
    </row>
    <row r="1282" spans="1:39" s="467" customFormat="1" ht="12.75" customHeight="1">
      <c r="A1282" s="487" t="str">
        <f t="shared" si="297"/>
        <v>4</v>
      </c>
      <c r="B1282" s="487" t="str">
        <f t="shared" si="281"/>
        <v>10</v>
      </c>
      <c r="C1282" s="487" t="str">
        <f t="shared" si="282"/>
        <v>58</v>
      </c>
      <c r="D1282" s="487" t="str">
        <f t="shared" si="283"/>
        <v>0584</v>
      </c>
      <c r="E1282" s="487">
        <v>532100000</v>
      </c>
      <c r="F1282" s="488"/>
      <c r="G1282" s="487"/>
      <c r="H1282" s="487"/>
      <c r="I1282" s="488"/>
      <c r="J1282" s="487"/>
      <c r="K1282" s="487"/>
      <c r="L1282" s="488"/>
      <c r="M1282" s="487"/>
      <c r="N1282" s="487"/>
      <c r="O1282" s="488"/>
      <c r="P1282" s="489"/>
      <c r="Q1282" s="489"/>
      <c r="R1282" s="592"/>
      <c r="S1282" s="487"/>
      <c r="T1282" s="487"/>
      <c r="U1282" s="488"/>
      <c r="V1282" s="489"/>
      <c r="W1282" s="489"/>
      <c r="X1282" s="488"/>
      <c r="Y1282" s="489"/>
      <c r="Z1282" s="489"/>
      <c r="AA1282" s="490"/>
      <c r="AB1282" s="489"/>
      <c r="AC1282" s="489"/>
      <c r="AD1282" s="27">
        <v>410584</v>
      </c>
      <c r="AE1282" s="27" t="s">
        <v>2393</v>
      </c>
      <c r="AF1282" s="432">
        <f>VLOOKUP(AD1282,[5]Hoja1!$A$10:$K$1393,11,0)</f>
        <v>0</v>
      </c>
      <c r="AG1282" s="432"/>
      <c r="AH1282" s="432">
        <f t="shared" si="296"/>
        <v>0</v>
      </c>
      <c r="AL1282" s="448"/>
      <c r="AM1282" s="467">
        <f>VLOOKUP(AD1282,[6]BV201101!$A$10:$A$1236,1,0)</f>
        <v>410584</v>
      </c>
    </row>
    <row r="1283" spans="1:39" s="467" customFormat="1" ht="12.75" customHeight="1">
      <c r="A1283" s="487" t="str">
        <f t="shared" si="297"/>
        <v>4</v>
      </c>
      <c r="B1283" s="487" t="str">
        <f t="shared" si="281"/>
        <v>10</v>
      </c>
      <c r="C1283" s="487" t="str">
        <f t="shared" si="282"/>
        <v>58</v>
      </c>
      <c r="D1283" s="487" t="str">
        <f t="shared" si="283"/>
        <v>0585</v>
      </c>
      <c r="E1283" s="487">
        <v>532100000</v>
      </c>
      <c r="F1283" s="488"/>
      <c r="G1283" s="487"/>
      <c r="H1283" s="487"/>
      <c r="I1283" s="488"/>
      <c r="J1283" s="487"/>
      <c r="K1283" s="487"/>
      <c r="L1283" s="488"/>
      <c r="M1283" s="487"/>
      <c r="N1283" s="487"/>
      <c r="O1283" s="488"/>
      <c r="P1283" s="489"/>
      <c r="Q1283" s="489"/>
      <c r="R1283" s="592"/>
      <c r="S1283" s="487"/>
      <c r="T1283" s="487"/>
      <c r="U1283" s="488"/>
      <c r="V1283" s="489"/>
      <c r="W1283" s="489"/>
      <c r="X1283" s="488"/>
      <c r="Y1283" s="489"/>
      <c r="Z1283" s="489"/>
      <c r="AA1283" s="490"/>
      <c r="AB1283" s="489"/>
      <c r="AC1283" s="489"/>
      <c r="AD1283" s="27">
        <v>410585</v>
      </c>
      <c r="AE1283" s="27" t="s">
        <v>2394</v>
      </c>
      <c r="AF1283" s="432">
        <f>VLOOKUP(AD1283,[5]Hoja1!$A$10:$K$1393,11,0)</f>
        <v>638027</v>
      </c>
      <c r="AG1283" s="432"/>
      <c r="AH1283" s="432">
        <f t="shared" si="296"/>
        <v>638</v>
      </c>
      <c r="AL1283" s="448"/>
      <c r="AM1283" s="467">
        <f>VLOOKUP(AD1283,[6]BV201101!$A$10:$A$1236,1,0)</f>
        <v>410585</v>
      </c>
    </row>
    <row r="1284" spans="1:39" s="467" customFormat="1" ht="12.75" customHeight="1">
      <c r="A1284" s="487" t="str">
        <f t="shared" si="297"/>
        <v>4</v>
      </c>
      <c r="B1284" s="487" t="str">
        <f t="shared" si="281"/>
        <v>10</v>
      </c>
      <c r="C1284" s="487" t="str">
        <f t="shared" si="282"/>
        <v>58</v>
      </c>
      <c r="D1284" s="487" t="str">
        <f t="shared" si="283"/>
        <v>0586</v>
      </c>
      <c r="E1284" s="487">
        <v>532100000</v>
      </c>
      <c r="F1284" s="488"/>
      <c r="G1284" s="487"/>
      <c r="H1284" s="487"/>
      <c r="I1284" s="488"/>
      <c r="J1284" s="487"/>
      <c r="K1284" s="487"/>
      <c r="L1284" s="488"/>
      <c r="M1284" s="487"/>
      <c r="N1284" s="487"/>
      <c r="O1284" s="488"/>
      <c r="P1284" s="489"/>
      <c r="Q1284" s="489"/>
      <c r="R1284" s="592"/>
      <c r="S1284" s="487"/>
      <c r="T1284" s="487"/>
      <c r="U1284" s="488"/>
      <c r="V1284" s="489"/>
      <c r="W1284" s="489"/>
      <c r="X1284" s="488"/>
      <c r="Y1284" s="489"/>
      <c r="Z1284" s="489"/>
      <c r="AA1284" s="490"/>
      <c r="AB1284" s="489"/>
      <c r="AC1284" s="489"/>
      <c r="AD1284" s="27">
        <v>410586</v>
      </c>
      <c r="AE1284" s="27" t="s">
        <v>2395</v>
      </c>
      <c r="AF1284" s="432">
        <f>VLOOKUP(AD1284,[5]Hoja1!$A$10:$K$1393,11,0)</f>
        <v>0</v>
      </c>
      <c r="AG1284" s="432"/>
      <c r="AH1284" s="432">
        <f t="shared" si="296"/>
        <v>0</v>
      </c>
      <c r="AL1284" s="448"/>
      <c r="AM1284" s="467">
        <f>VLOOKUP(AD1284,[6]BV201101!$A$10:$A$1236,1,0)</f>
        <v>410586</v>
      </c>
    </row>
    <row r="1285" spans="1:39" s="467" customFormat="1" ht="12.75" customHeight="1">
      <c r="A1285" s="487" t="str">
        <f t="shared" si="297"/>
        <v>4</v>
      </c>
      <c r="B1285" s="487" t="str">
        <f t="shared" si="281"/>
        <v>10</v>
      </c>
      <c r="C1285" s="487" t="str">
        <f t="shared" si="282"/>
        <v>58</v>
      </c>
      <c r="D1285" s="487" t="str">
        <f t="shared" si="283"/>
        <v>0587</v>
      </c>
      <c r="E1285" s="487">
        <v>532201200</v>
      </c>
      <c r="F1285" s="488"/>
      <c r="G1285" s="487"/>
      <c r="H1285" s="487"/>
      <c r="I1285" s="488"/>
      <c r="J1285" s="487"/>
      <c r="K1285" s="487"/>
      <c r="L1285" s="488"/>
      <c r="M1285" s="487"/>
      <c r="N1285" s="487"/>
      <c r="O1285" s="488"/>
      <c r="P1285" s="489"/>
      <c r="Q1285" s="489"/>
      <c r="R1285" s="592"/>
      <c r="S1285" s="487"/>
      <c r="T1285" s="487"/>
      <c r="U1285" s="488"/>
      <c r="V1285" s="489"/>
      <c r="W1285" s="489"/>
      <c r="X1285" s="488"/>
      <c r="Y1285" s="489"/>
      <c r="Z1285" s="489"/>
      <c r="AA1285" s="490"/>
      <c r="AB1285" s="489"/>
      <c r="AC1285" s="489"/>
      <c r="AD1285" s="27">
        <v>410587</v>
      </c>
      <c r="AE1285" s="27" t="s">
        <v>2396</v>
      </c>
      <c r="AF1285" s="432">
        <f>VLOOKUP(AD1285,[5]Hoja1!$A$10:$K$1393,11,0)</f>
        <v>0</v>
      </c>
      <c r="AG1285" s="432"/>
      <c r="AH1285" s="432">
        <f t="shared" si="296"/>
        <v>0</v>
      </c>
      <c r="AL1285" s="448"/>
      <c r="AM1285" s="467">
        <f>VLOOKUP(AD1285,[6]BV201101!$A$10:$A$1236,1,0)</f>
        <v>410587</v>
      </c>
    </row>
    <row r="1286" spans="1:39" s="467" customFormat="1" ht="12.75" customHeight="1">
      <c r="A1286" s="487" t="str">
        <f t="shared" si="297"/>
        <v>4</v>
      </c>
      <c r="B1286" s="487" t="str">
        <f t="shared" si="281"/>
        <v>10</v>
      </c>
      <c r="C1286" s="487" t="str">
        <f t="shared" si="282"/>
        <v>58</v>
      </c>
      <c r="D1286" s="487" t="str">
        <f t="shared" si="283"/>
        <v>0588</v>
      </c>
      <c r="E1286" s="487">
        <v>532300000</v>
      </c>
      <c r="F1286" s="488"/>
      <c r="G1286" s="487"/>
      <c r="H1286" s="487"/>
      <c r="I1286" s="488"/>
      <c r="J1286" s="487"/>
      <c r="K1286" s="487"/>
      <c r="L1286" s="488"/>
      <c r="M1286" s="487"/>
      <c r="N1286" s="487"/>
      <c r="O1286" s="488"/>
      <c r="P1286" s="489"/>
      <c r="Q1286" s="489"/>
      <c r="R1286" s="592"/>
      <c r="S1286" s="487"/>
      <c r="T1286" s="487"/>
      <c r="U1286" s="488"/>
      <c r="V1286" s="489"/>
      <c r="W1286" s="489"/>
      <c r="X1286" s="488"/>
      <c r="Y1286" s="489"/>
      <c r="Z1286" s="489"/>
      <c r="AA1286" s="490"/>
      <c r="AB1286" s="489"/>
      <c r="AC1286" s="489"/>
      <c r="AD1286" s="27">
        <v>410588</v>
      </c>
      <c r="AE1286" s="27" t="s">
        <v>1024</v>
      </c>
      <c r="AF1286" s="432">
        <f>VLOOKUP(AD1286,[5]Hoja1!$A$10:$K$1393,11,0)</f>
        <v>72528114</v>
      </c>
      <c r="AG1286" s="432"/>
      <c r="AH1286" s="432">
        <f t="shared" si="296"/>
        <v>72528</v>
      </c>
      <c r="AL1286" s="448"/>
      <c r="AM1286" s="467">
        <f>VLOOKUP(AD1286,[6]BV201101!$A$10:$A$1236,1,0)</f>
        <v>410588</v>
      </c>
    </row>
    <row r="1287" spans="1:39" s="467" customFormat="1" ht="12.75" customHeight="1">
      <c r="A1287" s="487" t="str">
        <f t="shared" si="297"/>
        <v>4</v>
      </c>
      <c r="B1287" s="487" t="str">
        <f t="shared" si="281"/>
        <v>10</v>
      </c>
      <c r="C1287" s="487" t="str">
        <f t="shared" si="282"/>
        <v>58</v>
      </c>
      <c r="D1287" s="487" t="str">
        <f t="shared" si="283"/>
        <v>0589</v>
      </c>
      <c r="E1287" s="487">
        <v>532201120</v>
      </c>
      <c r="F1287" s="488"/>
      <c r="G1287" s="487"/>
      <c r="H1287" s="487"/>
      <c r="I1287" s="488"/>
      <c r="J1287" s="487"/>
      <c r="K1287" s="487"/>
      <c r="L1287" s="488"/>
      <c r="M1287" s="487"/>
      <c r="N1287" s="487"/>
      <c r="O1287" s="488"/>
      <c r="P1287" s="489"/>
      <c r="Q1287" s="489"/>
      <c r="R1287" s="592"/>
      <c r="S1287" s="487"/>
      <c r="T1287" s="487"/>
      <c r="U1287" s="488"/>
      <c r="V1287" s="489"/>
      <c r="W1287" s="489"/>
      <c r="X1287" s="488"/>
      <c r="Y1287" s="489"/>
      <c r="Z1287" s="489"/>
      <c r="AA1287" s="490"/>
      <c r="AB1287" s="489"/>
      <c r="AC1287" s="489"/>
      <c r="AD1287" s="27">
        <v>410589</v>
      </c>
      <c r="AE1287" s="27" t="s">
        <v>2397</v>
      </c>
      <c r="AF1287" s="432">
        <f>VLOOKUP(AD1287,[5]Hoja1!$A$10:$K$1393,11,0)</f>
        <v>0</v>
      </c>
      <c r="AG1287" s="432"/>
      <c r="AH1287" s="432">
        <f t="shared" si="296"/>
        <v>0</v>
      </c>
      <c r="AL1287" s="448"/>
      <c r="AM1287" s="467">
        <f>VLOOKUP(AD1287,[6]BV201101!$A$10:$A$1236,1,0)</f>
        <v>410589</v>
      </c>
    </row>
    <row r="1288" spans="1:39" s="467" customFormat="1" ht="12.75" customHeight="1">
      <c r="A1288" s="487" t="str">
        <f t="shared" si="297"/>
        <v>4</v>
      </c>
      <c r="B1288" s="487" t="str">
        <f t="shared" si="281"/>
        <v>10</v>
      </c>
      <c r="C1288" s="487" t="str">
        <f t="shared" si="282"/>
        <v>59</v>
      </c>
      <c r="D1288" s="487" t="str">
        <f t="shared" si="283"/>
        <v>0590</v>
      </c>
      <c r="E1288" s="487">
        <v>532201110</v>
      </c>
      <c r="F1288" s="488"/>
      <c r="G1288" s="487"/>
      <c r="H1288" s="487"/>
      <c r="I1288" s="488"/>
      <c r="J1288" s="487"/>
      <c r="K1288" s="487"/>
      <c r="L1288" s="488"/>
      <c r="M1288" s="487"/>
      <c r="N1288" s="487"/>
      <c r="O1288" s="488"/>
      <c r="P1288" s="489"/>
      <c r="Q1288" s="489"/>
      <c r="R1288" s="592"/>
      <c r="S1288" s="487"/>
      <c r="T1288" s="487"/>
      <c r="U1288" s="488"/>
      <c r="V1288" s="489"/>
      <c r="W1288" s="489"/>
      <c r="X1288" s="488"/>
      <c r="Y1288" s="489"/>
      <c r="Z1288" s="489"/>
      <c r="AA1288" s="490"/>
      <c r="AB1288" s="489"/>
      <c r="AC1288" s="489"/>
      <c r="AD1288" s="27">
        <v>410590</v>
      </c>
      <c r="AE1288" s="27" t="s">
        <v>2398</v>
      </c>
      <c r="AF1288" s="432">
        <f>VLOOKUP(AD1288,[5]Hoja1!$A$10:$K$1393,11,0)</f>
        <v>261078246</v>
      </c>
      <c r="AG1288" s="432"/>
      <c r="AH1288" s="432">
        <f t="shared" si="296"/>
        <v>261078</v>
      </c>
      <c r="AL1288" s="448"/>
      <c r="AM1288" s="467">
        <f>VLOOKUP(AD1288,[6]BV201101!$A$10:$A$1236,1,0)</f>
        <v>410590</v>
      </c>
    </row>
    <row r="1289" spans="1:39" s="467" customFormat="1" ht="12.75" customHeight="1">
      <c r="A1289" s="487" t="str">
        <f t="shared" si="297"/>
        <v>4</v>
      </c>
      <c r="B1289" s="487" t="str">
        <f t="shared" si="281"/>
        <v>10</v>
      </c>
      <c r="C1289" s="487" t="str">
        <f t="shared" si="282"/>
        <v>59</v>
      </c>
      <c r="D1289" s="487" t="str">
        <f t="shared" si="283"/>
        <v>0591</v>
      </c>
      <c r="E1289" s="487">
        <v>532100000</v>
      </c>
      <c r="F1289" s="488"/>
      <c r="G1289" s="487"/>
      <c r="H1289" s="487"/>
      <c r="I1289" s="488"/>
      <c r="J1289" s="487"/>
      <c r="K1289" s="487"/>
      <c r="L1289" s="488"/>
      <c r="M1289" s="487"/>
      <c r="N1289" s="487"/>
      <c r="O1289" s="488"/>
      <c r="P1289" s="489"/>
      <c r="Q1289" s="489"/>
      <c r="R1289" s="592"/>
      <c r="S1289" s="487"/>
      <c r="T1289" s="487"/>
      <c r="U1289" s="488"/>
      <c r="V1289" s="489"/>
      <c r="W1289" s="489"/>
      <c r="X1289" s="488"/>
      <c r="Y1289" s="489"/>
      <c r="Z1289" s="489"/>
      <c r="AA1289" s="490"/>
      <c r="AB1289" s="489"/>
      <c r="AC1289" s="489"/>
      <c r="AD1289" s="27">
        <v>410591</v>
      </c>
      <c r="AE1289" s="27" t="s">
        <v>2399</v>
      </c>
      <c r="AF1289" s="432">
        <f>VLOOKUP(AD1289,[5]Hoja1!$A$10:$K$1393,11,0)</f>
        <v>-18558836</v>
      </c>
      <c r="AG1289" s="432"/>
      <c r="AH1289" s="432">
        <f t="shared" si="296"/>
        <v>-18559</v>
      </c>
      <c r="AL1289" s="448"/>
      <c r="AM1289" s="467">
        <f>VLOOKUP(AD1289,[6]BV201101!$A$10:$A$1236,1,0)</f>
        <v>410591</v>
      </c>
    </row>
    <row r="1290" spans="1:39" s="467" customFormat="1" ht="12.75" customHeight="1">
      <c r="A1290" s="487" t="str">
        <f t="shared" si="297"/>
        <v>4</v>
      </c>
      <c r="B1290" s="487" t="str">
        <f t="shared" si="281"/>
        <v>10</v>
      </c>
      <c r="C1290" s="487" t="str">
        <f t="shared" si="282"/>
        <v>59</v>
      </c>
      <c r="D1290" s="487" t="str">
        <f t="shared" si="283"/>
        <v>0592</v>
      </c>
      <c r="E1290" s="487">
        <v>532201200</v>
      </c>
      <c r="F1290" s="488"/>
      <c r="G1290" s="487"/>
      <c r="H1290" s="487"/>
      <c r="I1290" s="488"/>
      <c r="J1290" s="487"/>
      <c r="K1290" s="487"/>
      <c r="L1290" s="488"/>
      <c r="M1290" s="487"/>
      <c r="N1290" s="487"/>
      <c r="O1290" s="488"/>
      <c r="P1290" s="489"/>
      <c r="Q1290" s="489"/>
      <c r="R1290" s="592"/>
      <c r="S1290" s="487"/>
      <c r="T1290" s="487"/>
      <c r="U1290" s="488"/>
      <c r="V1290" s="489"/>
      <c r="W1290" s="489"/>
      <c r="X1290" s="488"/>
      <c r="Y1290" s="489"/>
      <c r="Z1290" s="489"/>
      <c r="AA1290" s="490"/>
      <c r="AB1290" s="489"/>
      <c r="AC1290" s="489"/>
      <c r="AD1290" s="27">
        <v>410592</v>
      </c>
      <c r="AE1290" s="27" t="s">
        <v>2101</v>
      </c>
      <c r="AF1290" s="432">
        <f>VLOOKUP(AD1290,[5]Hoja1!$A$10:$K$1393,11,0)</f>
        <v>175371157</v>
      </c>
      <c r="AG1290" s="432"/>
      <c r="AH1290" s="432">
        <f t="shared" si="296"/>
        <v>175371</v>
      </c>
      <c r="AL1290" s="448"/>
      <c r="AM1290" s="467">
        <f>VLOOKUP(AD1290,[6]BV201101!$A$10:$A$1236,1,0)</f>
        <v>410592</v>
      </c>
    </row>
    <row r="1291" spans="1:39" s="467" customFormat="1" ht="12.75" customHeight="1">
      <c r="A1291" s="487" t="str">
        <f t="shared" si="297"/>
        <v>4</v>
      </c>
      <c r="B1291" s="487" t="str">
        <f t="shared" si="281"/>
        <v>10</v>
      </c>
      <c r="C1291" s="487" t="str">
        <f t="shared" si="282"/>
        <v>59</v>
      </c>
      <c r="D1291" s="487" t="str">
        <f t="shared" si="283"/>
        <v>0593</v>
      </c>
      <c r="E1291" s="487">
        <v>532201200</v>
      </c>
      <c r="F1291" s="488"/>
      <c r="G1291" s="487"/>
      <c r="H1291" s="487"/>
      <c r="I1291" s="488"/>
      <c r="J1291" s="487"/>
      <c r="K1291" s="487"/>
      <c r="L1291" s="488"/>
      <c r="M1291" s="487"/>
      <c r="N1291" s="487"/>
      <c r="O1291" s="488"/>
      <c r="P1291" s="489"/>
      <c r="Q1291" s="489"/>
      <c r="R1291" s="592"/>
      <c r="S1291" s="487"/>
      <c r="T1291" s="487"/>
      <c r="U1291" s="488"/>
      <c r="V1291" s="489"/>
      <c r="W1291" s="489"/>
      <c r="X1291" s="488"/>
      <c r="Y1291" s="489"/>
      <c r="Z1291" s="489"/>
      <c r="AA1291" s="490"/>
      <c r="AB1291" s="489"/>
      <c r="AC1291" s="489"/>
      <c r="AD1291" s="27">
        <v>410593</v>
      </c>
      <c r="AE1291" s="27" t="s">
        <v>1504</v>
      </c>
      <c r="AF1291" s="432">
        <f>VLOOKUP(AD1291,[5]Hoja1!$A$10:$K$1393,11,0)</f>
        <v>0</v>
      </c>
      <c r="AG1291" s="432"/>
      <c r="AH1291" s="432">
        <f t="shared" si="296"/>
        <v>0</v>
      </c>
      <c r="AL1291" s="448"/>
      <c r="AM1291" s="467">
        <f>VLOOKUP(AD1291,[6]BV201101!$A$10:$A$1236,1,0)</f>
        <v>410593</v>
      </c>
    </row>
    <row r="1292" spans="1:39" s="467" customFormat="1" ht="12.75" customHeight="1">
      <c r="A1292" s="487" t="str">
        <f t="shared" si="297"/>
        <v>4</v>
      </c>
      <c r="B1292" s="487" t="str">
        <f t="shared" si="281"/>
        <v>10</v>
      </c>
      <c r="C1292" s="487" t="str">
        <f t="shared" si="282"/>
        <v>59</v>
      </c>
      <c r="D1292" s="487" t="str">
        <f t="shared" si="283"/>
        <v>0594</v>
      </c>
      <c r="E1292" s="487">
        <v>532201200</v>
      </c>
      <c r="F1292" s="488"/>
      <c r="G1292" s="487"/>
      <c r="H1292" s="487"/>
      <c r="I1292" s="488"/>
      <c r="J1292" s="487"/>
      <c r="K1292" s="487"/>
      <c r="L1292" s="488"/>
      <c r="M1292" s="487"/>
      <c r="N1292" s="487"/>
      <c r="O1292" s="488"/>
      <c r="P1292" s="489"/>
      <c r="Q1292" s="489"/>
      <c r="R1292" s="592"/>
      <c r="S1292" s="487"/>
      <c r="T1292" s="487"/>
      <c r="U1292" s="488"/>
      <c r="V1292" s="489"/>
      <c r="W1292" s="489"/>
      <c r="X1292" s="488"/>
      <c r="Y1292" s="489"/>
      <c r="Z1292" s="489"/>
      <c r="AA1292" s="490"/>
      <c r="AB1292" s="489"/>
      <c r="AC1292" s="489"/>
      <c r="AD1292" s="27">
        <v>410594</v>
      </c>
      <c r="AE1292" s="27" t="s">
        <v>1505</v>
      </c>
      <c r="AF1292" s="432">
        <f>VLOOKUP(AD1292,[5]Hoja1!$A$10:$K$1393,11,0)</f>
        <v>-5216025</v>
      </c>
      <c r="AG1292" s="432"/>
      <c r="AH1292" s="432">
        <f t="shared" si="296"/>
        <v>-5216</v>
      </c>
      <c r="AL1292" s="448"/>
      <c r="AM1292" s="467">
        <f>VLOOKUP(AD1292,[6]BV201101!$A$10:$A$1236,1,0)</f>
        <v>410594</v>
      </c>
    </row>
    <row r="1293" spans="1:39" s="467" customFormat="1" ht="12.75" customHeight="1">
      <c r="A1293" s="487" t="str">
        <f t="shared" si="297"/>
        <v>4</v>
      </c>
      <c r="B1293" s="487" t="str">
        <f t="shared" si="281"/>
        <v>10</v>
      </c>
      <c r="C1293" s="487" t="str">
        <f t="shared" si="282"/>
        <v>59</v>
      </c>
      <c r="D1293" s="487" t="str">
        <f t="shared" si="283"/>
        <v>0595</v>
      </c>
      <c r="E1293" s="487">
        <v>532201200</v>
      </c>
      <c r="F1293" s="488"/>
      <c r="G1293" s="487"/>
      <c r="H1293" s="487"/>
      <c r="I1293" s="488"/>
      <c r="J1293" s="487"/>
      <c r="K1293" s="487"/>
      <c r="L1293" s="488"/>
      <c r="M1293" s="487"/>
      <c r="N1293" s="487"/>
      <c r="O1293" s="488"/>
      <c r="P1293" s="489"/>
      <c r="Q1293" s="489"/>
      <c r="R1293" s="592"/>
      <c r="S1293" s="487"/>
      <c r="T1293" s="487"/>
      <c r="U1293" s="488"/>
      <c r="V1293" s="489"/>
      <c r="W1293" s="489"/>
      <c r="X1293" s="488"/>
      <c r="Y1293" s="489"/>
      <c r="Z1293" s="489"/>
      <c r="AA1293" s="490"/>
      <c r="AB1293" s="489"/>
      <c r="AC1293" s="489"/>
      <c r="AD1293" s="27">
        <v>410595</v>
      </c>
      <c r="AE1293" s="27" t="s">
        <v>1513</v>
      </c>
      <c r="AF1293" s="432">
        <f>VLOOKUP(AD1293,[5]Hoja1!$A$10:$K$1393,11,0)</f>
        <v>15671957</v>
      </c>
      <c r="AG1293" s="432"/>
      <c r="AH1293" s="432">
        <f t="shared" si="296"/>
        <v>15672</v>
      </c>
      <c r="AL1293" s="448"/>
      <c r="AM1293" s="467">
        <f>VLOOKUP(AD1293,[6]BV201101!$A$10:$A$1236,1,0)</f>
        <v>410595</v>
      </c>
    </row>
    <row r="1294" spans="1:39" s="467" customFormat="1" ht="12.75" customHeight="1">
      <c r="A1294" s="487" t="str">
        <f t="shared" si="297"/>
        <v>4</v>
      </c>
      <c r="B1294" s="487" t="str">
        <f t="shared" si="281"/>
        <v>10</v>
      </c>
      <c r="C1294" s="487" t="str">
        <f t="shared" si="282"/>
        <v>59</v>
      </c>
      <c r="D1294" s="487" t="str">
        <f t="shared" si="283"/>
        <v>0596</v>
      </c>
      <c r="E1294" s="487">
        <v>534101200</v>
      </c>
      <c r="F1294" s="488"/>
      <c r="G1294" s="487"/>
      <c r="H1294" s="487"/>
      <c r="I1294" s="488"/>
      <c r="J1294" s="487"/>
      <c r="K1294" s="487"/>
      <c r="L1294" s="488"/>
      <c r="M1294" s="487"/>
      <c r="N1294" s="487"/>
      <c r="O1294" s="488"/>
      <c r="P1294" s="489"/>
      <c r="Q1294" s="489"/>
      <c r="R1294" s="592"/>
      <c r="S1294" s="487"/>
      <c r="T1294" s="487"/>
      <c r="U1294" s="488"/>
      <c r="V1294" s="489"/>
      <c r="W1294" s="489"/>
      <c r="X1294" s="488"/>
      <c r="Y1294" s="489"/>
      <c r="Z1294" s="489"/>
      <c r="AA1294" s="490"/>
      <c r="AB1294" s="489"/>
      <c r="AC1294" s="489"/>
      <c r="AD1294" s="27">
        <v>410596</v>
      </c>
      <c r="AE1294" s="27" t="s">
        <v>1374</v>
      </c>
      <c r="AF1294" s="432">
        <f>VLOOKUP(AD1294,[5]Hoja1!$A$10:$K$1393,11,0)</f>
        <v>-308615566</v>
      </c>
      <c r="AG1294" s="432"/>
      <c r="AH1294" s="432">
        <f t="shared" si="296"/>
        <v>-308616</v>
      </c>
      <c r="AL1294" s="448"/>
      <c r="AM1294" s="467">
        <f>VLOOKUP(AD1294,[6]BV201101!$A$10:$A$1236,1,0)</f>
        <v>410596</v>
      </c>
    </row>
    <row r="1295" spans="1:39" s="467" customFormat="1" ht="12.75" customHeight="1">
      <c r="A1295" s="487" t="str">
        <f t="shared" si="297"/>
        <v>4</v>
      </c>
      <c r="B1295" s="487" t="str">
        <f t="shared" si="281"/>
        <v>10</v>
      </c>
      <c r="C1295" s="487" t="str">
        <f t="shared" si="282"/>
        <v>59</v>
      </c>
      <c r="D1295" s="487" t="str">
        <f t="shared" si="283"/>
        <v>0597</v>
      </c>
      <c r="E1295" s="487">
        <v>534101200</v>
      </c>
      <c r="F1295" s="488"/>
      <c r="G1295" s="487"/>
      <c r="H1295" s="487"/>
      <c r="I1295" s="488"/>
      <c r="J1295" s="487"/>
      <c r="K1295" s="487"/>
      <c r="L1295" s="488"/>
      <c r="M1295" s="487"/>
      <c r="N1295" s="487"/>
      <c r="O1295" s="488"/>
      <c r="P1295" s="489"/>
      <c r="Q1295" s="489"/>
      <c r="R1295" s="592"/>
      <c r="S1295" s="487"/>
      <c r="T1295" s="487"/>
      <c r="U1295" s="488"/>
      <c r="V1295" s="489"/>
      <c r="W1295" s="489"/>
      <c r="X1295" s="488"/>
      <c r="Y1295" s="489"/>
      <c r="Z1295" s="489"/>
      <c r="AA1295" s="490"/>
      <c r="AB1295" s="489"/>
      <c r="AC1295" s="489"/>
      <c r="AD1295" s="27">
        <v>410597</v>
      </c>
      <c r="AE1295" s="27" t="s">
        <v>1375</v>
      </c>
      <c r="AF1295" s="432">
        <f>VLOOKUP(AD1295,[5]Hoja1!$A$10:$K$1393,11,0)</f>
        <v>-317856173</v>
      </c>
      <c r="AG1295" s="432"/>
      <c r="AH1295" s="432">
        <f t="shared" si="296"/>
        <v>-317856</v>
      </c>
      <c r="AL1295" s="448"/>
      <c r="AM1295" s="467">
        <f>VLOOKUP(AD1295,[6]BV201101!$A$10:$A$1236,1,0)</f>
        <v>410597</v>
      </c>
    </row>
    <row r="1296" spans="1:39" s="467" customFormat="1" ht="12.75" customHeight="1">
      <c r="A1296" s="487" t="str">
        <f t="shared" si="297"/>
        <v>4</v>
      </c>
      <c r="B1296" s="487" t="str">
        <f t="shared" si="281"/>
        <v>10</v>
      </c>
      <c r="C1296" s="487" t="str">
        <f t="shared" si="282"/>
        <v>59</v>
      </c>
      <c r="D1296" s="487" t="str">
        <f t="shared" si="283"/>
        <v>0598</v>
      </c>
      <c r="E1296" s="487">
        <v>534101200</v>
      </c>
      <c r="F1296" s="488"/>
      <c r="G1296" s="487"/>
      <c r="H1296" s="487"/>
      <c r="I1296" s="488"/>
      <c r="J1296" s="487"/>
      <c r="K1296" s="487"/>
      <c r="L1296" s="488"/>
      <c r="M1296" s="487"/>
      <c r="N1296" s="487"/>
      <c r="O1296" s="488"/>
      <c r="P1296" s="489"/>
      <c r="Q1296" s="489"/>
      <c r="R1296" s="592"/>
      <c r="S1296" s="487"/>
      <c r="T1296" s="487"/>
      <c r="U1296" s="488"/>
      <c r="V1296" s="489"/>
      <c r="W1296" s="489"/>
      <c r="X1296" s="488"/>
      <c r="Y1296" s="489"/>
      <c r="Z1296" s="489"/>
      <c r="AA1296" s="490"/>
      <c r="AB1296" s="489"/>
      <c r="AC1296" s="489"/>
      <c r="AD1296" s="27">
        <v>410598</v>
      </c>
      <c r="AE1296" s="27" t="s">
        <v>2400</v>
      </c>
      <c r="AF1296" s="432">
        <f>VLOOKUP(AD1296,[5]Hoja1!$A$10:$K$1393,11,0)</f>
        <v>-838019</v>
      </c>
      <c r="AG1296" s="432"/>
      <c r="AH1296" s="432">
        <f t="shared" si="296"/>
        <v>-838</v>
      </c>
      <c r="AL1296" s="448"/>
      <c r="AM1296" s="467">
        <f>VLOOKUP(AD1296,[6]BV201101!$A$10:$A$1236,1,0)</f>
        <v>410598</v>
      </c>
    </row>
    <row r="1297" spans="1:39" s="467" customFormat="1" ht="12.75" customHeight="1">
      <c r="A1297" s="487" t="str">
        <f t="shared" si="297"/>
        <v>4</v>
      </c>
      <c r="B1297" s="487" t="str">
        <f t="shared" si="281"/>
        <v>10</v>
      </c>
      <c r="C1297" s="487" t="str">
        <f t="shared" si="282"/>
        <v>59</v>
      </c>
      <c r="D1297" s="487" t="str">
        <f t="shared" si="283"/>
        <v>0599</v>
      </c>
      <c r="E1297" s="487">
        <v>531101110</v>
      </c>
      <c r="F1297" s="488"/>
      <c r="G1297" s="487"/>
      <c r="H1297" s="487"/>
      <c r="I1297" s="488"/>
      <c r="J1297" s="487"/>
      <c r="K1297" s="487"/>
      <c r="L1297" s="488"/>
      <c r="M1297" s="487"/>
      <c r="N1297" s="487"/>
      <c r="O1297" s="488"/>
      <c r="P1297" s="489"/>
      <c r="Q1297" s="489"/>
      <c r="R1297" s="592"/>
      <c r="S1297" s="487"/>
      <c r="T1297" s="487"/>
      <c r="U1297" s="488"/>
      <c r="V1297" s="489"/>
      <c r="W1297" s="489"/>
      <c r="X1297" s="488"/>
      <c r="Y1297" s="489"/>
      <c r="Z1297" s="489"/>
      <c r="AA1297" s="490"/>
      <c r="AB1297" s="489"/>
      <c r="AC1297" s="489"/>
      <c r="AD1297" s="27">
        <v>410599</v>
      </c>
      <c r="AE1297" s="27" t="s">
        <v>2401</v>
      </c>
      <c r="AF1297" s="432">
        <f>VLOOKUP(AD1297,[5]Hoja1!$A$10:$K$1393,11,0)</f>
        <v>-251475883</v>
      </c>
      <c r="AG1297" s="432"/>
      <c r="AH1297" s="432">
        <f t="shared" si="296"/>
        <v>-251476</v>
      </c>
      <c r="AL1297" s="448"/>
      <c r="AM1297" s="467">
        <f>VLOOKUP(AD1297,[6]BV201101!$A$10:$A$1236,1,0)</f>
        <v>410599</v>
      </c>
    </row>
    <row r="1298" spans="1:39" s="467" customFormat="1" ht="12.75" customHeight="1">
      <c r="A1298" s="487" t="str">
        <f t="shared" si="297"/>
        <v>4</v>
      </c>
      <c r="B1298" s="487" t="str">
        <f t="shared" si="281"/>
        <v>10</v>
      </c>
      <c r="C1298" s="487" t="str">
        <f t="shared" si="282"/>
        <v>60</v>
      </c>
      <c r="D1298" s="487" t="str">
        <f t="shared" si="283"/>
        <v>0601</v>
      </c>
      <c r="E1298" s="487">
        <v>535200000</v>
      </c>
      <c r="F1298" s="488" t="str">
        <f>+G1298&amp;H1298</f>
        <v/>
      </c>
      <c r="G1298" s="489"/>
      <c r="H1298" s="489"/>
      <c r="I1298" s="488" t="str">
        <f>+J1298&amp;K1298</f>
        <v/>
      </c>
      <c r="J1298" s="487"/>
      <c r="K1298" s="487"/>
      <c r="L1298" s="488" t="str">
        <f>+M1298&amp;N1298</f>
        <v/>
      </c>
      <c r="M1298" s="487"/>
      <c r="N1298" s="487"/>
      <c r="O1298" s="488" t="str">
        <f>+P1298&amp;Q1298</f>
        <v/>
      </c>
      <c r="P1298" s="489"/>
      <c r="Q1298" s="489"/>
      <c r="R1298" s="592" t="str">
        <f>+S1298&amp;T1298</f>
        <v/>
      </c>
      <c r="S1298" s="487"/>
      <c r="T1298" s="487"/>
      <c r="U1298" s="488" t="str">
        <f>+V1298&amp;W1298</f>
        <v/>
      </c>
      <c r="V1298" s="489"/>
      <c r="W1298" s="489"/>
      <c r="X1298" s="488" t="str">
        <f>+Y1298&amp;Z1298</f>
        <v/>
      </c>
      <c r="Y1298" s="489"/>
      <c r="Z1298" s="489"/>
      <c r="AA1298" s="490" t="str">
        <f t="shared" ref="AA1298:AA1332" si="298">+AB1298&amp;AC1298</f>
        <v>43</v>
      </c>
      <c r="AB1298" s="489">
        <v>4</v>
      </c>
      <c r="AC1298" s="489">
        <v>3</v>
      </c>
      <c r="AD1298" s="27">
        <v>410601</v>
      </c>
      <c r="AE1298" s="27" t="s">
        <v>600</v>
      </c>
      <c r="AF1298" s="432">
        <f>VLOOKUP(AD1298,[5]Hoja1!$A$10:$K$1393,11,0)</f>
        <v>0</v>
      </c>
      <c r="AG1298" s="432"/>
      <c r="AH1298" s="432">
        <f t="shared" si="296"/>
        <v>0</v>
      </c>
      <c r="AL1298" s="448"/>
      <c r="AM1298" s="467">
        <f>VLOOKUP(AD1298,[6]BV201101!$A$10:$A$1236,1,0)</f>
        <v>410601</v>
      </c>
    </row>
    <row r="1299" spans="1:39" s="467" customFormat="1" ht="12.75" customHeight="1">
      <c r="A1299" s="487" t="str">
        <f t="shared" si="297"/>
        <v>4</v>
      </c>
      <c r="B1299" s="487" t="str">
        <f t="shared" si="281"/>
        <v>10</v>
      </c>
      <c r="C1299" s="487" t="str">
        <f t="shared" si="282"/>
        <v>60</v>
      </c>
      <c r="D1299" s="487" t="str">
        <f t="shared" si="283"/>
        <v>0602</v>
      </c>
      <c r="E1299" s="487">
        <v>535200000</v>
      </c>
      <c r="F1299" s="488" t="str">
        <f t="shared" ref="F1299:F1374" si="299">+G1299&amp;H1299</f>
        <v/>
      </c>
      <c r="G1299" s="489"/>
      <c r="H1299" s="489"/>
      <c r="I1299" s="488" t="str">
        <f t="shared" ref="I1299:I1374" si="300">+J1299&amp;K1299</f>
        <v/>
      </c>
      <c r="J1299" s="487"/>
      <c r="K1299" s="487"/>
      <c r="L1299" s="488" t="str">
        <f t="shared" ref="L1299:L1373" si="301">+M1299&amp;N1299</f>
        <v/>
      </c>
      <c r="M1299" s="487"/>
      <c r="N1299" s="487"/>
      <c r="O1299" s="488" t="str">
        <f t="shared" ref="O1299:O1373" si="302">+P1299&amp;Q1299</f>
        <v/>
      </c>
      <c r="P1299" s="489"/>
      <c r="Q1299" s="489"/>
      <c r="R1299" s="592" t="str">
        <f t="shared" ref="R1299:R1373" si="303">+S1299&amp;T1299</f>
        <v/>
      </c>
      <c r="S1299" s="487"/>
      <c r="T1299" s="487"/>
      <c r="U1299" s="488" t="str">
        <f t="shared" ref="U1299:U1373" si="304">+V1299&amp;W1299</f>
        <v/>
      </c>
      <c r="V1299" s="489"/>
      <c r="W1299" s="489"/>
      <c r="X1299" s="488" t="str">
        <f t="shared" ref="X1299:X1373" si="305">+Y1299&amp;Z1299</f>
        <v/>
      </c>
      <c r="Y1299" s="489"/>
      <c r="Z1299" s="489"/>
      <c r="AA1299" s="490" t="str">
        <f t="shared" si="298"/>
        <v>43</v>
      </c>
      <c r="AB1299" s="489">
        <v>4</v>
      </c>
      <c r="AC1299" s="489">
        <v>3</v>
      </c>
      <c r="AD1299" s="27">
        <v>410602</v>
      </c>
      <c r="AE1299" s="27" t="s">
        <v>601</v>
      </c>
      <c r="AF1299" s="432">
        <f>VLOOKUP(AD1299,[5]Hoja1!$A$10:$K$1393,11,0)</f>
        <v>256936</v>
      </c>
      <c r="AG1299" s="432"/>
      <c r="AH1299" s="432">
        <f t="shared" si="296"/>
        <v>257</v>
      </c>
      <c r="AL1299" s="448"/>
      <c r="AM1299" s="467">
        <f>VLOOKUP(AD1299,[6]BV201101!$A$10:$A$1236,1,0)</f>
        <v>410602</v>
      </c>
    </row>
    <row r="1300" spans="1:39" s="467" customFormat="1" ht="12.75" customHeight="1">
      <c r="A1300" s="487" t="str">
        <f t="shared" si="297"/>
        <v>4</v>
      </c>
      <c r="B1300" s="487" t="str">
        <f t="shared" ref="B1300:B1375" si="306">RIGHT(LEFT($AD1300,3),2)</f>
        <v>10</v>
      </c>
      <c r="C1300" s="487" t="str">
        <f t="shared" ref="C1300:C1375" si="307">RIGHT(LEFT($AD1300,5),2)</f>
        <v>60</v>
      </c>
      <c r="D1300" s="487" t="str">
        <f t="shared" ref="D1300:D1375" si="308">RIGHT(LEFT($AD1300,9),4)</f>
        <v>0603</v>
      </c>
      <c r="E1300" s="487">
        <v>535200000</v>
      </c>
      <c r="F1300" s="488" t="str">
        <f t="shared" si="299"/>
        <v/>
      </c>
      <c r="G1300" s="489"/>
      <c r="H1300" s="489"/>
      <c r="I1300" s="488" t="str">
        <f t="shared" si="300"/>
        <v/>
      </c>
      <c r="J1300" s="487"/>
      <c r="K1300" s="487"/>
      <c r="L1300" s="488" t="str">
        <f t="shared" si="301"/>
        <v/>
      </c>
      <c r="M1300" s="487"/>
      <c r="N1300" s="487"/>
      <c r="O1300" s="488" t="str">
        <f t="shared" si="302"/>
        <v/>
      </c>
      <c r="P1300" s="489"/>
      <c r="Q1300" s="489"/>
      <c r="R1300" s="592" t="str">
        <f t="shared" si="303"/>
        <v/>
      </c>
      <c r="S1300" s="487"/>
      <c r="T1300" s="487"/>
      <c r="U1300" s="488" t="str">
        <f t="shared" si="304"/>
        <v/>
      </c>
      <c r="V1300" s="489"/>
      <c r="W1300" s="489"/>
      <c r="X1300" s="488" t="str">
        <f t="shared" si="305"/>
        <v/>
      </c>
      <c r="Y1300" s="489"/>
      <c r="Z1300" s="489"/>
      <c r="AA1300" s="490" t="str">
        <f t="shared" si="298"/>
        <v>41</v>
      </c>
      <c r="AB1300" s="489">
        <v>4</v>
      </c>
      <c r="AC1300" s="489">
        <v>1</v>
      </c>
      <c r="AD1300" s="27">
        <v>410603</v>
      </c>
      <c r="AE1300" s="27" t="s">
        <v>2402</v>
      </c>
      <c r="AF1300" s="432">
        <f>VLOOKUP(AD1300,[5]Hoja1!$A$10:$K$1393,11,0)</f>
        <v>0</v>
      </c>
      <c r="AG1300" s="432"/>
      <c r="AH1300" s="432">
        <f t="shared" si="296"/>
        <v>0</v>
      </c>
      <c r="AL1300" s="448"/>
      <c r="AM1300" s="467">
        <f>VLOOKUP(AD1300,[6]BV201101!$A$10:$A$1236,1,0)</f>
        <v>410603</v>
      </c>
    </row>
    <row r="1301" spans="1:39" s="467" customFormat="1" ht="12.75" customHeight="1">
      <c r="A1301" s="487" t="str">
        <f t="shared" si="297"/>
        <v>4</v>
      </c>
      <c r="B1301" s="487" t="str">
        <f t="shared" si="306"/>
        <v>10</v>
      </c>
      <c r="C1301" s="487" t="str">
        <f t="shared" si="307"/>
        <v>60</v>
      </c>
      <c r="D1301" s="487" t="str">
        <f t="shared" si="308"/>
        <v>0604</v>
      </c>
      <c r="E1301" s="487">
        <v>535200000</v>
      </c>
      <c r="F1301" s="488" t="str">
        <f t="shared" si="299"/>
        <v/>
      </c>
      <c r="G1301" s="489"/>
      <c r="H1301" s="489"/>
      <c r="I1301" s="488" t="str">
        <f t="shared" si="300"/>
        <v/>
      </c>
      <c r="J1301" s="487"/>
      <c r="K1301" s="487"/>
      <c r="L1301" s="488" t="str">
        <f t="shared" si="301"/>
        <v/>
      </c>
      <c r="M1301" s="487"/>
      <c r="N1301" s="487"/>
      <c r="O1301" s="488" t="str">
        <f t="shared" si="302"/>
        <v/>
      </c>
      <c r="P1301" s="489"/>
      <c r="Q1301" s="489"/>
      <c r="R1301" s="592" t="str">
        <f t="shared" si="303"/>
        <v/>
      </c>
      <c r="S1301" s="487"/>
      <c r="T1301" s="487"/>
      <c r="U1301" s="488" t="str">
        <f t="shared" si="304"/>
        <v/>
      </c>
      <c r="V1301" s="489"/>
      <c r="W1301" s="489"/>
      <c r="X1301" s="488" t="str">
        <f t="shared" si="305"/>
        <v/>
      </c>
      <c r="Y1301" s="489"/>
      <c r="Z1301" s="489"/>
      <c r="AA1301" s="490" t="str">
        <f t="shared" si="298"/>
        <v>41</v>
      </c>
      <c r="AB1301" s="489">
        <v>4</v>
      </c>
      <c r="AC1301" s="489">
        <v>1</v>
      </c>
      <c r="AD1301" s="27">
        <v>410604</v>
      </c>
      <c r="AE1301" s="27" t="s">
        <v>2403</v>
      </c>
      <c r="AF1301" s="432">
        <f>VLOOKUP(AD1301,[5]Hoja1!$A$10:$K$1393,11,0)</f>
        <v>-565425584</v>
      </c>
      <c r="AG1301" s="432"/>
      <c r="AH1301" s="432">
        <f t="shared" si="296"/>
        <v>-565426</v>
      </c>
      <c r="AL1301" s="448"/>
      <c r="AM1301" s="467">
        <f>VLOOKUP(AD1301,[6]BV201101!$A$10:$A$1236,1,0)</f>
        <v>410604</v>
      </c>
    </row>
    <row r="1302" spans="1:39" s="467" customFormat="1" ht="12.75" customHeight="1">
      <c r="A1302" s="487" t="str">
        <f t="shared" si="297"/>
        <v>4</v>
      </c>
      <c r="B1302" s="487" t="str">
        <f t="shared" si="306"/>
        <v>10</v>
      </c>
      <c r="C1302" s="487" t="str">
        <f t="shared" si="307"/>
        <v>60</v>
      </c>
      <c r="D1302" s="487" t="str">
        <f t="shared" si="308"/>
        <v>0605</v>
      </c>
      <c r="E1302" s="487">
        <v>535200000</v>
      </c>
      <c r="F1302" s="488" t="str">
        <f t="shared" si="299"/>
        <v/>
      </c>
      <c r="G1302" s="489"/>
      <c r="H1302" s="489"/>
      <c r="I1302" s="488" t="str">
        <f t="shared" si="300"/>
        <v/>
      </c>
      <c r="J1302" s="487"/>
      <c r="K1302" s="487"/>
      <c r="L1302" s="488" t="str">
        <f t="shared" si="301"/>
        <v/>
      </c>
      <c r="M1302" s="487"/>
      <c r="N1302" s="487"/>
      <c r="O1302" s="488" t="str">
        <f t="shared" si="302"/>
        <v/>
      </c>
      <c r="P1302" s="489"/>
      <c r="Q1302" s="489"/>
      <c r="R1302" s="592" t="str">
        <f t="shared" si="303"/>
        <v/>
      </c>
      <c r="S1302" s="487"/>
      <c r="T1302" s="487"/>
      <c r="U1302" s="488" t="str">
        <f t="shared" si="304"/>
        <v/>
      </c>
      <c r="V1302" s="489"/>
      <c r="W1302" s="489"/>
      <c r="X1302" s="488" t="str">
        <f t="shared" si="305"/>
        <v/>
      </c>
      <c r="Y1302" s="489"/>
      <c r="Z1302" s="489"/>
      <c r="AA1302" s="490" t="str">
        <f t="shared" si="298"/>
        <v>41</v>
      </c>
      <c r="AB1302" s="489">
        <v>4</v>
      </c>
      <c r="AC1302" s="489">
        <v>1</v>
      </c>
      <c r="AD1302" s="27">
        <v>410605</v>
      </c>
      <c r="AE1302" s="27" t="s">
        <v>602</v>
      </c>
      <c r="AF1302" s="432">
        <f>VLOOKUP(AD1302,[5]Hoja1!$A$10:$K$1393,11,0)</f>
        <v>-403206149</v>
      </c>
      <c r="AG1302" s="432"/>
      <c r="AH1302" s="432">
        <f t="shared" si="296"/>
        <v>-403206</v>
      </c>
      <c r="AL1302" s="448"/>
      <c r="AM1302" s="467">
        <f>VLOOKUP(AD1302,[6]BV201101!$A$10:$A$1236,1,0)</f>
        <v>410605</v>
      </c>
    </row>
    <row r="1303" spans="1:39" s="467" customFormat="1" ht="12.75" customHeight="1">
      <c r="A1303" s="487" t="str">
        <f t="shared" si="297"/>
        <v>4</v>
      </c>
      <c r="B1303" s="487" t="str">
        <f t="shared" si="306"/>
        <v>10</v>
      </c>
      <c r="C1303" s="487" t="str">
        <f t="shared" si="307"/>
        <v>60</v>
      </c>
      <c r="D1303" s="487" t="str">
        <f t="shared" si="308"/>
        <v>0606</v>
      </c>
      <c r="E1303" s="487">
        <v>535200000</v>
      </c>
      <c r="F1303" s="488" t="str">
        <f t="shared" si="299"/>
        <v/>
      </c>
      <c r="G1303" s="489"/>
      <c r="H1303" s="489"/>
      <c r="I1303" s="488" t="str">
        <f t="shared" si="300"/>
        <v/>
      </c>
      <c r="J1303" s="487"/>
      <c r="K1303" s="487"/>
      <c r="L1303" s="488" t="str">
        <f t="shared" si="301"/>
        <v/>
      </c>
      <c r="M1303" s="487"/>
      <c r="N1303" s="487"/>
      <c r="O1303" s="488" t="str">
        <f t="shared" si="302"/>
        <v/>
      </c>
      <c r="P1303" s="489"/>
      <c r="Q1303" s="489"/>
      <c r="R1303" s="592" t="str">
        <f t="shared" si="303"/>
        <v/>
      </c>
      <c r="S1303" s="487"/>
      <c r="T1303" s="487"/>
      <c r="U1303" s="488" t="str">
        <f t="shared" si="304"/>
        <v/>
      </c>
      <c r="V1303" s="489"/>
      <c r="W1303" s="489"/>
      <c r="X1303" s="488" t="str">
        <f t="shared" si="305"/>
        <v/>
      </c>
      <c r="Y1303" s="489"/>
      <c r="Z1303" s="489"/>
      <c r="AA1303" s="490" t="str">
        <f t="shared" si="298"/>
        <v>41</v>
      </c>
      <c r="AB1303" s="489">
        <v>4</v>
      </c>
      <c r="AC1303" s="489">
        <v>1</v>
      </c>
      <c r="AD1303" s="27">
        <v>410606</v>
      </c>
      <c r="AE1303" s="27" t="s">
        <v>2404</v>
      </c>
      <c r="AF1303" s="432">
        <f>VLOOKUP(AD1303,[5]Hoja1!$A$10:$K$1393,11,0)</f>
        <v>-7568921</v>
      </c>
      <c r="AG1303" s="432"/>
      <c r="AH1303" s="432">
        <f t="shared" si="296"/>
        <v>-7569</v>
      </c>
      <c r="AL1303" s="448"/>
      <c r="AM1303" s="467">
        <f>VLOOKUP(AD1303,[6]BV201101!$A$10:$A$1236,1,0)</f>
        <v>410606</v>
      </c>
    </row>
    <row r="1304" spans="1:39" s="467" customFormat="1" ht="12.75" customHeight="1">
      <c r="A1304" s="487" t="str">
        <f t="shared" si="297"/>
        <v>4</v>
      </c>
      <c r="B1304" s="487" t="str">
        <f t="shared" si="306"/>
        <v>10</v>
      </c>
      <c r="C1304" s="487" t="str">
        <f t="shared" si="307"/>
        <v>60</v>
      </c>
      <c r="D1304" s="487" t="str">
        <f t="shared" si="308"/>
        <v>0607</v>
      </c>
      <c r="E1304" s="487">
        <v>535200000</v>
      </c>
      <c r="F1304" s="488" t="str">
        <f t="shared" si="299"/>
        <v/>
      </c>
      <c r="G1304" s="489"/>
      <c r="H1304" s="489"/>
      <c r="I1304" s="488" t="str">
        <f t="shared" si="300"/>
        <v/>
      </c>
      <c r="J1304" s="487"/>
      <c r="K1304" s="487"/>
      <c r="L1304" s="488" t="str">
        <f t="shared" si="301"/>
        <v/>
      </c>
      <c r="M1304" s="487"/>
      <c r="N1304" s="487"/>
      <c r="O1304" s="488" t="str">
        <f t="shared" si="302"/>
        <v/>
      </c>
      <c r="P1304" s="489"/>
      <c r="Q1304" s="489"/>
      <c r="R1304" s="592" t="str">
        <f t="shared" si="303"/>
        <v/>
      </c>
      <c r="S1304" s="487"/>
      <c r="T1304" s="487"/>
      <c r="U1304" s="488" t="str">
        <f t="shared" si="304"/>
        <v/>
      </c>
      <c r="V1304" s="489"/>
      <c r="W1304" s="489"/>
      <c r="X1304" s="488" t="str">
        <f t="shared" si="305"/>
        <v/>
      </c>
      <c r="Y1304" s="489"/>
      <c r="Z1304" s="489"/>
      <c r="AA1304" s="490" t="str">
        <f t="shared" si="298"/>
        <v>41</v>
      </c>
      <c r="AB1304" s="489">
        <v>4</v>
      </c>
      <c r="AC1304" s="489">
        <v>1</v>
      </c>
      <c r="AD1304" s="27">
        <v>410607</v>
      </c>
      <c r="AE1304" s="27" t="s">
        <v>603</v>
      </c>
      <c r="AF1304" s="432">
        <f>VLOOKUP(AD1304,[5]Hoja1!$A$10:$K$1393,11,0)</f>
        <v>-301838859</v>
      </c>
      <c r="AG1304" s="432"/>
      <c r="AH1304" s="432">
        <f t="shared" si="296"/>
        <v>-301839</v>
      </c>
      <c r="AL1304" s="448"/>
      <c r="AM1304" s="467">
        <f>VLOOKUP(AD1304,[6]BV201101!$A$10:$A$1236,1,0)</f>
        <v>410607</v>
      </c>
    </row>
    <row r="1305" spans="1:39" s="467" customFormat="1" ht="12.75" customHeight="1">
      <c r="A1305" s="487" t="str">
        <f t="shared" si="297"/>
        <v>4</v>
      </c>
      <c r="B1305" s="487" t="str">
        <f t="shared" si="306"/>
        <v>10</v>
      </c>
      <c r="C1305" s="487" t="str">
        <f t="shared" si="307"/>
        <v>60</v>
      </c>
      <c r="D1305" s="487" t="str">
        <f t="shared" si="308"/>
        <v>0608</v>
      </c>
      <c r="E1305" s="487">
        <v>535200000</v>
      </c>
      <c r="F1305" s="488" t="str">
        <f t="shared" si="299"/>
        <v/>
      </c>
      <c r="G1305" s="489"/>
      <c r="H1305" s="489"/>
      <c r="I1305" s="488" t="str">
        <f t="shared" si="300"/>
        <v/>
      </c>
      <c r="J1305" s="487"/>
      <c r="K1305" s="487"/>
      <c r="L1305" s="488" t="str">
        <f t="shared" si="301"/>
        <v/>
      </c>
      <c r="M1305" s="487"/>
      <c r="N1305" s="487"/>
      <c r="O1305" s="488" t="str">
        <f t="shared" si="302"/>
        <v/>
      </c>
      <c r="P1305" s="489"/>
      <c r="Q1305" s="489"/>
      <c r="R1305" s="592" t="str">
        <f t="shared" si="303"/>
        <v/>
      </c>
      <c r="S1305" s="487"/>
      <c r="T1305" s="487"/>
      <c r="U1305" s="488" t="str">
        <f t="shared" si="304"/>
        <v/>
      </c>
      <c r="V1305" s="489"/>
      <c r="W1305" s="489"/>
      <c r="X1305" s="488" t="str">
        <f t="shared" si="305"/>
        <v/>
      </c>
      <c r="Y1305" s="489"/>
      <c r="Z1305" s="489"/>
      <c r="AA1305" s="490" t="str">
        <f t="shared" si="298"/>
        <v>41</v>
      </c>
      <c r="AB1305" s="489">
        <v>4</v>
      </c>
      <c r="AC1305" s="489">
        <v>1</v>
      </c>
      <c r="AD1305" s="27">
        <v>410608</v>
      </c>
      <c r="AE1305" s="27" t="s">
        <v>604</v>
      </c>
      <c r="AF1305" s="432">
        <f>VLOOKUP(AD1305,[5]Hoja1!$A$10:$K$1393,11,0)</f>
        <v>-6921309168</v>
      </c>
      <c r="AG1305" s="432"/>
      <c r="AH1305" s="432">
        <f t="shared" si="296"/>
        <v>-6921309</v>
      </c>
      <c r="AJ1305" s="491"/>
      <c r="AL1305" s="448"/>
      <c r="AM1305" s="467">
        <f>VLOOKUP(AD1305,[6]BV201101!$A$10:$A$1236,1,0)</f>
        <v>410608</v>
      </c>
    </row>
    <row r="1306" spans="1:39" s="467" customFormat="1" ht="12.75" customHeight="1">
      <c r="A1306" s="487" t="str">
        <f t="shared" si="297"/>
        <v>4</v>
      </c>
      <c r="B1306" s="487" t="str">
        <f t="shared" si="306"/>
        <v>10</v>
      </c>
      <c r="C1306" s="487" t="str">
        <f t="shared" si="307"/>
        <v>60</v>
      </c>
      <c r="D1306" s="487" t="str">
        <f t="shared" si="308"/>
        <v>0609</v>
      </c>
      <c r="E1306" s="487">
        <v>535200000</v>
      </c>
      <c r="F1306" s="488" t="str">
        <f t="shared" si="299"/>
        <v/>
      </c>
      <c r="G1306" s="489"/>
      <c r="H1306" s="489"/>
      <c r="I1306" s="488" t="str">
        <f t="shared" si="300"/>
        <v/>
      </c>
      <c r="J1306" s="487"/>
      <c r="K1306" s="487"/>
      <c r="L1306" s="488" t="str">
        <f t="shared" si="301"/>
        <v/>
      </c>
      <c r="M1306" s="487"/>
      <c r="N1306" s="487"/>
      <c r="O1306" s="488" t="str">
        <f t="shared" si="302"/>
        <v/>
      </c>
      <c r="P1306" s="489"/>
      <c r="Q1306" s="489"/>
      <c r="R1306" s="592" t="str">
        <f t="shared" si="303"/>
        <v/>
      </c>
      <c r="S1306" s="487"/>
      <c r="T1306" s="487"/>
      <c r="U1306" s="488" t="str">
        <f t="shared" si="304"/>
        <v/>
      </c>
      <c r="V1306" s="489"/>
      <c r="W1306" s="489"/>
      <c r="X1306" s="488" t="str">
        <f t="shared" si="305"/>
        <v/>
      </c>
      <c r="Y1306" s="489"/>
      <c r="Z1306" s="489"/>
      <c r="AA1306" s="490" t="str">
        <f t="shared" si="298"/>
        <v>41</v>
      </c>
      <c r="AB1306" s="489">
        <v>4</v>
      </c>
      <c r="AC1306" s="489">
        <v>1</v>
      </c>
      <c r="AD1306" s="27">
        <v>410609</v>
      </c>
      <c r="AE1306" s="27" t="s">
        <v>605</v>
      </c>
      <c r="AF1306" s="432">
        <f>VLOOKUP(AD1306,[5]Hoja1!$A$10:$K$1393,11,0)</f>
        <v>-29472225</v>
      </c>
      <c r="AG1306" s="432"/>
      <c r="AH1306" s="432">
        <f t="shared" si="296"/>
        <v>-29472</v>
      </c>
      <c r="AL1306" s="448"/>
      <c r="AM1306" s="467">
        <f>VLOOKUP(AD1306,[6]BV201101!$A$10:$A$1236,1,0)</f>
        <v>410609</v>
      </c>
    </row>
    <row r="1307" spans="1:39" s="467" customFormat="1" ht="12.75" customHeight="1">
      <c r="A1307" s="487" t="str">
        <f t="shared" si="297"/>
        <v>4</v>
      </c>
      <c r="B1307" s="487" t="str">
        <f t="shared" si="306"/>
        <v>10</v>
      </c>
      <c r="C1307" s="487" t="str">
        <f t="shared" si="307"/>
        <v>61</v>
      </c>
      <c r="D1307" s="487" t="str">
        <f t="shared" si="308"/>
        <v>0610</v>
      </c>
      <c r="E1307" s="487">
        <v>535200000</v>
      </c>
      <c r="F1307" s="488" t="str">
        <f t="shared" si="299"/>
        <v/>
      </c>
      <c r="G1307" s="489"/>
      <c r="H1307" s="489"/>
      <c r="I1307" s="488" t="str">
        <f t="shared" si="300"/>
        <v/>
      </c>
      <c r="J1307" s="487"/>
      <c r="K1307" s="487"/>
      <c r="L1307" s="488" t="str">
        <f t="shared" si="301"/>
        <v/>
      </c>
      <c r="M1307" s="487"/>
      <c r="N1307" s="487"/>
      <c r="O1307" s="488" t="str">
        <f t="shared" si="302"/>
        <v/>
      </c>
      <c r="P1307" s="489"/>
      <c r="Q1307" s="489"/>
      <c r="R1307" s="592" t="str">
        <f t="shared" si="303"/>
        <v/>
      </c>
      <c r="S1307" s="487"/>
      <c r="T1307" s="487"/>
      <c r="U1307" s="488" t="str">
        <f t="shared" si="304"/>
        <v/>
      </c>
      <c r="V1307" s="489"/>
      <c r="W1307" s="489"/>
      <c r="X1307" s="488" t="str">
        <f t="shared" si="305"/>
        <v/>
      </c>
      <c r="Y1307" s="489"/>
      <c r="Z1307" s="489"/>
      <c r="AA1307" s="490" t="str">
        <f t="shared" si="298"/>
        <v>41</v>
      </c>
      <c r="AB1307" s="489">
        <v>4</v>
      </c>
      <c r="AC1307" s="489">
        <v>1</v>
      </c>
      <c r="AD1307" s="27">
        <v>410610</v>
      </c>
      <c r="AE1307" s="27" t="s">
        <v>606</v>
      </c>
      <c r="AF1307" s="432">
        <f>VLOOKUP(AD1307,[5]Hoja1!$A$10:$K$1393,11,0)</f>
        <v>-1083642673</v>
      </c>
      <c r="AG1307" s="432"/>
      <c r="AH1307" s="432">
        <f t="shared" si="296"/>
        <v>-1083643</v>
      </c>
      <c r="AL1307" s="448"/>
      <c r="AM1307" s="467">
        <f>VLOOKUP(AD1307,[6]BV201101!$A$10:$A$1236,1,0)</f>
        <v>410610</v>
      </c>
    </row>
    <row r="1308" spans="1:39" s="467" customFormat="1" ht="12.75" customHeight="1">
      <c r="A1308" s="487" t="str">
        <f t="shared" si="297"/>
        <v>4</v>
      </c>
      <c r="B1308" s="487" t="str">
        <f t="shared" si="306"/>
        <v>10</v>
      </c>
      <c r="C1308" s="487" t="str">
        <f t="shared" si="307"/>
        <v>61</v>
      </c>
      <c r="D1308" s="487" t="str">
        <f t="shared" si="308"/>
        <v>0611</v>
      </c>
      <c r="E1308" s="487">
        <v>535200000</v>
      </c>
      <c r="F1308" s="488" t="str">
        <f t="shared" si="299"/>
        <v/>
      </c>
      <c r="G1308" s="489"/>
      <c r="H1308" s="489"/>
      <c r="I1308" s="488" t="str">
        <f t="shared" si="300"/>
        <v/>
      </c>
      <c r="J1308" s="487"/>
      <c r="K1308" s="487"/>
      <c r="L1308" s="488" t="str">
        <f t="shared" si="301"/>
        <v/>
      </c>
      <c r="M1308" s="487"/>
      <c r="N1308" s="487"/>
      <c r="O1308" s="488" t="str">
        <f t="shared" si="302"/>
        <v/>
      </c>
      <c r="P1308" s="489"/>
      <c r="Q1308" s="489"/>
      <c r="R1308" s="592" t="str">
        <f t="shared" si="303"/>
        <v/>
      </c>
      <c r="S1308" s="487"/>
      <c r="T1308" s="487"/>
      <c r="U1308" s="488" t="str">
        <f t="shared" si="304"/>
        <v/>
      </c>
      <c r="V1308" s="489"/>
      <c r="W1308" s="489"/>
      <c r="X1308" s="488" t="str">
        <f t="shared" si="305"/>
        <v/>
      </c>
      <c r="Y1308" s="489"/>
      <c r="Z1308" s="489"/>
      <c r="AA1308" s="490" t="str">
        <f t="shared" si="298"/>
        <v>41</v>
      </c>
      <c r="AB1308" s="489">
        <v>4</v>
      </c>
      <c r="AC1308" s="489">
        <v>1</v>
      </c>
      <c r="AD1308" s="27">
        <v>410611</v>
      </c>
      <c r="AE1308" s="27" t="s">
        <v>1078</v>
      </c>
      <c r="AF1308" s="432">
        <f>VLOOKUP(AD1308,[5]Hoja1!$A$10:$K$1393,11,0)</f>
        <v>-857966692</v>
      </c>
      <c r="AG1308" s="432"/>
      <c r="AH1308" s="432">
        <f t="shared" si="296"/>
        <v>-857967</v>
      </c>
      <c r="AL1308" s="448"/>
      <c r="AM1308" s="467">
        <f>VLOOKUP(AD1308,[6]BV201101!$A$10:$A$1236,1,0)</f>
        <v>410611</v>
      </c>
    </row>
    <row r="1309" spans="1:39" s="467" customFormat="1" ht="12.75" customHeight="1">
      <c r="A1309" s="487" t="str">
        <f t="shared" si="297"/>
        <v>4</v>
      </c>
      <c r="B1309" s="487" t="str">
        <f t="shared" si="306"/>
        <v>10</v>
      </c>
      <c r="C1309" s="487" t="str">
        <f t="shared" si="307"/>
        <v>61</v>
      </c>
      <c r="D1309" s="487" t="str">
        <f t="shared" si="308"/>
        <v>0612</v>
      </c>
      <c r="E1309" s="487">
        <v>535200000</v>
      </c>
      <c r="F1309" s="488" t="str">
        <f t="shared" si="299"/>
        <v/>
      </c>
      <c r="G1309" s="487"/>
      <c r="H1309" s="487"/>
      <c r="I1309" s="488" t="str">
        <f t="shared" si="300"/>
        <v/>
      </c>
      <c r="J1309" s="487"/>
      <c r="K1309" s="487"/>
      <c r="L1309" s="488" t="str">
        <f t="shared" si="301"/>
        <v/>
      </c>
      <c r="M1309" s="487"/>
      <c r="N1309" s="487"/>
      <c r="O1309" s="488" t="str">
        <f t="shared" si="302"/>
        <v/>
      </c>
      <c r="P1309" s="489"/>
      <c r="Q1309" s="489"/>
      <c r="R1309" s="592" t="str">
        <f t="shared" si="303"/>
        <v/>
      </c>
      <c r="S1309" s="489"/>
      <c r="T1309" s="487"/>
      <c r="U1309" s="488" t="str">
        <f t="shared" si="304"/>
        <v/>
      </c>
      <c r="V1309" s="489"/>
      <c r="W1309" s="489"/>
      <c r="X1309" s="488" t="str">
        <f t="shared" si="305"/>
        <v/>
      </c>
      <c r="Y1309" s="489"/>
      <c r="Z1309" s="489"/>
      <c r="AA1309" s="490" t="str">
        <f t="shared" si="298"/>
        <v>41</v>
      </c>
      <c r="AB1309" s="489">
        <v>4</v>
      </c>
      <c r="AC1309" s="489">
        <v>1</v>
      </c>
      <c r="AD1309" s="27">
        <v>410612</v>
      </c>
      <c r="AE1309" s="27" t="s">
        <v>1079</v>
      </c>
      <c r="AF1309" s="432">
        <f>VLOOKUP(AD1309,[5]Hoja1!$A$10:$K$1393,11,0)</f>
        <v>-3432043277</v>
      </c>
      <c r="AG1309" s="432"/>
      <c r="AH1309" s="432">
        <f t="shared" ref="AH1309:AH1372" si="309">ROUND((AF1309+AG1309)/$AH$2,0)</f>
        <v>-3432043</v>
      </c>
      <c r="AL1309" s="448"/>
      <c r="AM1309" s="467">
        <f>VLOOKUP(AD1309,[6]BV201101!$A$10:$A$1236,1,0)</f>
        <v>410612</v>
      </c>
    </row>
    <row r="1310" spans="1:39" s="467" customFormat="1" ht="12.75" customHeight="1">
      <c r="A1310" s="487" t="str">
        <f t="shared" si="297"/>
        <v>4</v>
      </c>
      <c r="B1310" s="487" t="str">
        <f t="shared" si="306"/>
        <v>10</v>
      </c>
      <c r="C1310" s="487" t="str">
        <f t="shared" si="307"/>
        <v>61</v>
      </c>
      <c r="D1310" s="487" t="str">
        <f t="shared" si="308"/>
        <v>0613</v>
      </c>
      <c r="E1310" s="487">
        <v>535200000</v>
      </c>
      <c r="F1310" s="488" t="str">
        <f t="shared" si="299"/>
        <v/>
      </c>
      <c r="G1310" s="487"/>
      <c r="H1310" s="487"/>
      <c r="I1310" s="488" t="str">
        <f t="shared" si="300"/>
        <v/>
      </c>
      <c r="J1310" s="487"/>
      <c r="K1310" s="487"/>
      <c r="L1310" s="488" t="str">
        <f t="shared" si="301"/>
        <v/>
      </c>
      <c r="M1310" s="487"/>
      <c r="N1310" s="487"/>
      <c r="O1310" s="488" t="str">
        <f t="shared" si="302"/>
        <v/>
      </c>
      <c r="P1310" s="489"/>
      <c r="Q1310" s="489"/>
      <c r="R1310" s="592" t="str">
        <f t="shared" si="303"/>
        <v/>
      </c>
      <c r="S1310" s="489"/>
      <c r="T1310" s="487"/>
      <c r="U1310" s="488" t="str">
        <f t="shared" si="304"/>
        <v/>
      </c>
      <c r="V1310" s="489"/>
      <c r="W1310" s="489"/>
      <c r="X1310" s="488" t="str">
        <f t="shared" si="305"/>
        <v/>
      </c>
      <c r="Y1310" s="489"/>
      <c r="Z1310" s="489"/>
      <c r="AA1310" s="490" t="str">
        <f t="shared" si="298"/>
        <v>41</v>
      </c>
      <c r="AB1310" s="489">
        <v>4</v>
      </c>
      <c r="AC1310" s="489">
        <v>1</v>
      </c>
      <c r="AD1310" s="27">
        <v>410613</v>
      </c>
      <c r="AE1310" s="27" t="s">
        <v>1080</v>
      </c>
      <c r="AF1310" s="432">
        <v>0</v>
      </c>
      <c r="AG1310" s="432"/>
      <c r="AH1310" s="432">
        <f t="shared" si="309"/>
        <v>0</v>
      </c>
      <c r="AL1310" s="448"/>
      <c r="AM1310" s="467" t="e">
        <f>VLOOKUP(AD1310,[6]BV201101!$A$10:$A$1236,1,0)</f>
        <v>#N/A</v>
      </c>
    </row>
    <row r="1311" spans="1:39" s="467" customFormat="1" ht="12.75" customHeight="1">
      <c r="A1311" s="487" t="str">
        <f t="shared" si="297"/>
        <v>4</v>
      </c>
      <c r="B1311" s="487" t="str">
        <f t="shared" si="306"/>
        <v>10</v>
      </c>
      <c r="C1311" s="487" t="str">
        <f t="shared" si="307"/>
        <v>61</v>
      </c>
      <c r="D1311" s="487" t="str">
        <f t="shared" si="308"/>
        <v>0614</v>
      </c>
      <c r="E1311" s="487">
        <v>535200000</v>
      </c>
      <c r="F1311" s="488" t="str">
        <f t="shared" si="299"/>
        <v/>
      </c>
      <c r="G1311" s="487"/>
      <c r="H1311" s="487"/>
      <c r="I1311" s="488" t="str">
        <f t="shared" si="300"/>
        <v/>
      </c>
      <c r="J1311" s="487"/>
      <c r="K1311" s="487"/>
      <c r="L1311" s="488" t="str">
        <f t="shared" si="301"/>
        <v/>
      </c>
      <c r="M1311" s="487"/>
      <c r="N1311" s="487"/>
      <c r="O1311" s="488" t="str">
        <f t="shared" si="302"/>
        <v/>
      </c>
      <c r="P1311" s="489"/>
      <c r="Q1311" s="489"/>
      <c r="R1311" s="592" t="str">
        <f t="shared" si="303"/>
        <v/>
      </c>
      <c r="S1311" s="489"/>
      <c r="T1311" s="487"/>
      <c r="U1311" s="488" t="str">
        <f t="shared" si="304"/>
        <v/>
      </c>
      <c r="V1311" s="489"/>
      <c r="W1311" s="489"/>
      <c r="X1311" s="488" t="str">
        <f t="shared" si="305"/>
        <v/>
      </c>
      <c r="Y1311" s="489"/>
      <c r="Z1311" s="489"/>
      <c r="AA1311" s="490" t="str">
        <f t="shared" si="298"/>
        <v>41</v>
      </c>
      <c r="AB1311" s="489">
        <v>4</v>
      </c>
      <c r="AC1311" s="489">
        <v>1</v>
      </c>
      <c r="AD1311" s="27">
        <v>410614</v>
      </c>
      <c r="AE1311" s="27" t="s">
        <v>1082</v>
      </c>
      <c r="AF1311" s="432">
        <f>VLOOKUP(AD1311,[5]Hoja1!$A$10:$K$1393,11,0)</f>
        <v>-4347181</v>
      </c>
      <c r="AG1311" s="432"/>
      <c r="AH1311" s="432">
        <f t="shared" si="309"/>
        <v>-4347</v>
      </c>
      <c r="AL1311" s="448"/>
      <c r="AM1311" s="467">
        <f>VLOOKUP(AD1311,[6]BV201101!$A$10:$A$1236,1,0)</f>
        <v>410614</v>
      </c>
    </row>
    <row r="1312" spans="1:39" s="467" customFormat="1" ht="12.75" customHeight="1">
      <c r="A1312" s="487" t="str">
        <f t="shared" si="297"/>
        <v>4</v>
      </c>
      <c r="B1312" s="487" t="str">
        <f t="shared" si="306"/>
        <v>10</v>
      </c>
      <c r="C1312" s="487" t="str">
        <f t="shared" si="307"/>
        <v>61</v>
      </c>
      <c r="D1312" s="487" t="str">
        <f t="shared" si="308"/>
        <v>0615</v>
      </c>
      <c r="E1312" s="487">
        <v>535200000</v>
      </c>
      <c r="F1312" s="488" t="str">
        <f t="shared" si="299"/>
        <v/>
      </c>
      <c r="G1312" s="487"/>
      <c r="H1312" s="487"/>
      <c r="I1312" s="488" t="str">
        <f t="shared" si="300"/>
        <v/>
      </c>
      <c r="J1312" s="487"/>
      <c r="K1312" s="487"/>
      <c r="L1312" s="488" t="str">
        <f t="shared" si="301"/>
        <v/>
      </c>
      <c r="M1312" s="487"/>
      <c r="N1312" s="487"/>
      <c r="O1312" s="488" t="str">
        <f t="shared" si="302"/>
        <v/>
      </c>
      <c r="P1312" s="489"/>
      <c r="Q1312" s="489"/>
      <c r="R1312" s="592" t="str">
        <f t="shared" si="303"/>
        <v/>
      </c>
      <c r="S1312" s="489"/>
      <c r="T1312" s="487"/>
      <c r="U1312" s="488" t="str">
        <f t="shared" si="304"/>
        <v/>
      </c>
      <c r="V1312" s="489"/>
      <c r="W1312" s="489"/>
      <c r="X1312" s="488" t="str">
        <f t="shared" si="305"/>
        <v/>
      </c>
      <c r="Y1312" s="489"/>
      <c r="Z1312" s="489"/>
      <c r="AA1312" s="490" t="str">
        <f t="shared" si="298"/>
        <v>41</v>
      </c>
      <c r="AB1312" s="489">
        <v>4</v>
      </c>
      <c r="AC1312" s="489">
        <v>1</v>
      </c>
      <c r="AD1312" s="27">
        <v>410615</v>
      </c>
      <c r="AE1312" s="27" t="s">
        <v>1083</v>
      </c>
      <c r="AF1312" s="432">
        <f>VLOOKUP(AD1312,[5]Hoja1!$A$10:$K$1393,11,0)</f>
        <v>-1591071271</v>
      </c>
      <c r="AG1312" s="432"/>
      <c r="AH1312" s="432">
        <f t="shared" si="309"/>
        <v>-1591071</v>
      </c>
      <c r="AL1312" s="448"/>
      <c r="AM1312" s="467">
        <f>VLOOKUP(AD1312,[6]BV201101!$A$10:$A$1236,1,0)</f>
        <v>410615</v>
      </c>
    </row>
    <row r="1313" spans="1:39" s="467" customFormat="1" ht="12.75" customHeight="1">
      <c r="A1313" s="487" t="str">
        <f t="shared" si="297"/>
        <v>4</v>
      </c>
      <c r="B1313" s="487" t="str">
        <f t="shared" si="306"/>
        <v>10</v>
      </c>
      <c r="C1313" s="487" t="str">
        <f t="shared" si="307"/>
        <v>61</v>
      </c>
      <c r="D1313" s="487" t="str">
        <f t="shared" si="308"/>
        <v>0616</v>
      </c>
      <c r="E1313" s="487">
        <v>535200000</v>
      </c>
      <c r="F1313" s="488" t="str">
        <f t="shared" si="299"/>
        <v/>
      </c>
      <c r="G1313" s="489"/>
      <c r="H1313" s="489"/>
      <c r="I1313" s="488" t="str">
        <f t="shared" si="300"/>
        <v/>
      </c>
      <c r="J1313" s="487"/>
      <c r="K1313" s="487"/>
      <c r="L1313" s="488" t="str">
        <f t="shared" si="301"/>
        <v/>
      </c>
      <c r="M1313" s="487"/>
      <c r="N1313" s="487"/>
      <c r="O1313" s="488" t="str">
        <f t="shared" si="302"/>
        <v/>
      </c>
      <c r="P1313" s="489"/>
      <c r="Q1313" s="489"/>
      <c r="R1313" s="592" t="str">
        <f t="shared" si="303"/>
        <v/>
      </c>
      <c r="S1313" s="487"/>
      <c r="T1313" s="487"/>
      <c r="U1313" s="488" t="str">
        <f t="shared" si="304"/>
        <v/>
      </c>
      <c r="V1313" s="489"/>
      <c r="W1313" s="489"/>
      <c r="X1313" s="488" t="str">
        <f t="shared" si="305"/>
        <v/>
      </c>
      <c r="Y1313" s="489"/>
      <c r="Z1313" s="489"/>
      <c r="AA1313" s="490" t="str">
        <f t="shared" si="298"/>
        <v>41</v>
      </c>
      <c r="AB1313" s="489">
        <v>4</v>
      </c>
      <c r="AC1313" s="489">
        <v>1</v>
      </c>
      <c r="AD1313" s="27">
        <v>410616</v>
      </c>
      <c r="AE1313" s="27" t="s">
        <v>674</v>
      </c>
      <c r="AF1313" s="432">
        <v>0</v>
      </c>
      <c r="AG1313" s="432"/>
      <c r="AH1313" s="432">
        <f t="shared" si="309"/>
        <v>0</v>
      </c>
      <c r="AL1313" s="448"/>
      <c r="AM1313" s="467" t="e">
        <f>VLOOKUP(AD1313,[6]BV201101!$A$10:$A$1236,1,0)</f>
        <v>#N/A</v>
      </c>
    </row>
    <row r="1314" spans="1:39" s="467" customFormat="1" ht="12.75" customHeight="1">
      <c r="A1314" s="487" t="str">
        <f t="shared" si="297"/>
        <v>4</v>
      </c>
      <c r="B1314" s="487" t="str">
        <f t="shared" si="306"/>
        <v>10</v>
      </c>
      <c r="C1314" s="487" t="str">
        <f t="shared" si="307"/>
        <v>61</v>
      </c>
      <c r="D1314" s="487" t="str">
        <f t="shared" si="308"/>
        <v>0617</v>
      </c>
      <c r="E1314" s="487">
        <v>535200000</v>
      </c>
      <c r="F1314" s="488" t="str">
        <f t="shared" si="299"/>
        <v/>
      </c>
      <c r="G1314" s="489"/>
      <c r="H1314" s="489"/>
      <c r="I1314" s="488" t="str">
        <f t="shared" si="300"/>
        <v/>
      </c>
      <c r="J1314" s="487"/>
      <c r="K1314" s="487"/>
      <c r="L1314" s="488" t="str">
        <f t="shared" si="301"/>
        <v/>
      </c>
      <c r="M1314" s="487"/>
      <c r="N1314" s="487"/>
      <c r="O1314" s="488" t="str">
        <f t="shared" si="302"/>
        <v/>
      </c>
      <c r="P1314" s="489"/>
      <c r="Q1314" s="489"/>
      <c r="R1314" s="592" t="str">
        <f t="shared" si="303"/>
        <v/>
      </c>
      <c r="S1314" s="487"/>
      <c r="T1314" s="487"/>
      <c r="U1314" s="488" t="str">
        <f t="shared" si="304"/>
        <v/>
      </c>
      <c r="V1314" s="489"/>
      <c r="W1314" s="489"/>
      <c r="X1314" s="488" t="str">
        <f t="shared" si="305"/>
        <v/>
      </c>
      <c r="Y1314" s="489"/>
      <c r="Z1314" s="489"/>
      <c r="AA1314" s="490" t="str">
        <f t="shared" si="298"/>
        <v>41</v>
      </c>
      <c r="AB1314" s="489">
        <v>4</v>
      </c>
      <c r="AC1314" s="489">
        <v>1</v>
      </c>
      <c r="AD1314" s="27">
        <v>410617</v>
      </c>
      <c r="AE1314" s="27" t="s">
        <v>675</v>
      </c>
      <c r="AF1314" s="432">
        <f>VLOOKUP(AD1314,[5]Hoja1!$A$10:$K$1393,11,0)</f>
        <v>-7013124</v>
      </c>
      <c r="AG1314" s="432"/>
      <c r="AH1314" s="432">
        <f t="shared" si="309"/>
        <v>-7013</v>
      </c>
      <c r="AL1314" s="448"/>
      <c r="AM1314" s="467">
        <f>VLOOKUP(AD1314,[6]BV201101!$A$10:$A$1236,1,0)</f>
        <v>410617</v>
      </c>
    </row>
    <row r="1315" spans="1:39" s="467" customFormat="1" ht="12.75" customHeight="1">
      <c r="A1315" s="487" t="str">
        <f t="shared" si="297"/>
        <v>4</v>
      </c>
      <c r="B1315" s="487" t="str">
        <f t="shared" si="306"/>
        <v>10</v>
      </c>
      <c r="C1315" s="487" t="str">
        <f t="shared" si="307"/>
        <v>61</v>
      </c>
      <c r="D1315" s="487" t="str">
        <f t="shared" si="308"/>
        <v>0618</v>
      </c>
      <c r="E1315" s="487">
        <v>535200000</v>
      </c>
      <c r="F1315" s="488" t="str">
        <f t="shared" si="299"/>
        <v/>
      </c>
      <c r="G1315" s="489"/>
      <c r="H1315" s="489"/>
      <c r="I1315" s="488" t="str">
        <f t="shared" si="300"/>
        <v/>
      </c>
      <c r="J1315" s="487"/>
      <c r="K1315" s="487"/>
      <c r="L1315" s="488" t="str">
        <f t="shared" si="301"/>
        <v/>
      </c>
      <c r="M1315" s="487"/>
      <c r="N1315" s="487"/>
      <c r="O1315" s="488" t="str">
        <f t="shared" si="302"/>
        <v/>
      </c>
      <c r="P1315" s="489"/>
      <c r="Q1315" s="489"/>
      <c r="R1315" s="592" t="str">
        <f t="shared" si="303"/>
        <v/>
      </c>
      <c r="S1315" s="487"/>
      <c r="T1315" s="487"/>
      <c r="U1315" s="488" t="str">
        <f t="shared" si="304"/>
        <v/>
      </c>
      <c r="V1315" s="489"/>
      <c r="W1315" s="489"/>
      <c r="X1315" s="488" t="str">
        <f t="shared" si="305"/>
        <v/>
      </c>
      <c r="Y1315" s="489"/>
      <c r="Z1315" s="489"/>
      <c r="AA1315" s="490" t="str">
        <f t="shared" si="298"/>
        <v>41</v>
      </c>
      <c r="AB1315" s="489">
        <v>4</v>
      </c>
      <c r="AC1315" s="489">
        <v>1</v>
      </c>
      <c r="AD1315" s="27">
        <v>410618</v>
      </c>
      <c r="AE1315" s="27" t="s">
        <v>1445</v>
      </c>
      <c r="AF1315" s="432">
        <f>VLOOKUP(AD1315,[5]Hoja1!$A$10:$K$1393,11,0)</f>
        <v>0</v>
      </c>
      <c r="AG1315" s="432"/>
      <c r="AH1315" s="432">
        <f t="shared" si="309"/>
        <v>0</v>
      </c>
      <c r="AL1315" s="448"/>
      <c r="AM1315" s="467">
        <f>VLOOKUP(AD1315,[6]BV201101!$A$10:$A$1236,1,0)</f>
        <v>410618</v>
      </c>
    </row>
    <row r="1316" spans="1:39" s="467" customFormat="1" ht="12.75" customHeight="1">
      <c r="A1316" s="487" t="str">
        <f t="shared" si="297"/>
        <v>4</v>
      </c>
      <c r="B1316" s="487" t="str">
        <f t="shared" si="306"/>
        <v>10</v>
      </c>
      <c r="C1316" s="487" t="str">
        <f t="shared" si="307"/>
        <v>61</v>
      </c>
      <c r="D1316" s="487" t="str">
        <f t="shared" si="308"/>
        <v>0619</v>
      </c>
      <c r="E1316" s="487">
        <v>535200000</v>
      </c>
      <c r="F1316" s="488" t="str">
        <f t="shared" si="299"/>
        <v/>
      </c>
      <c r="G1316" s="489"/>
      <c r="H1316" s="489"/>
      <c r="I1316" s="488" t="str">
        <f t="shared" si="300"/>
        <v/>
      </c>
      <c r="J1316" s="487"/>
      <c r="K1316" s="487"/>
      <c r="L1316" s="488" t="str">
        <f t="shared" si="301"/>
        <v/>
      </c>
      <c r="M1316" s="487"/>
      <c r="N1316" s="487"/>
      <c r="O1316" s="488" t="str">
        <f t="shared" si="302"/>
        <v/>
      </c>
      <c r="P1316" s="489"/>
      <c r="Q1316" s="489"/>
      <c r="R1316" s="592" t="str">
        <f t="shared" si="303"/>
        <v/>
      </c>
      <c r="S1316" s="487"/>
      <c r="T1316" s="487"/>
      <c r="U1316" s="488" t="str">
        <f t="shared" si="304"/>
        <v/>
      </c>
      <c r="V1316" s="489"/>
      <c r="W1316" s="489"/>
      <c r="X1316" s="488" t="str">
        <f t="shared" si="305"/>
        <v/>
      </c>
      <c r="Y1316" s="489"/>
      <c r="Z1316" s="489"/>
      <c r="AA1316" s="490" t="str">
        <f t="shared" si="298"/>
        <v>42</v>
      </c>
      <c r="AB1316" s="489">
        <v>4</v>
      </c>
      <c r="AC1316" s="489">
        <v>2</v>
      </c>
      <c r="AD1316" s="27">
        <v>410619</v>
      </c>
      <c r="AE1316" s="27" t="s">
        <v>1056</v>
      </c>
      <c r="AF1316" s="432">
        <f>VLOOKUP(AD1316,[5]Hoja1!$A$10:$K$1393,11,0)</f>
        <v>0</v>
      </c>
      <c r="AG1316" s="432"/>
      <c r="AH1316" s="432">
        <f t="shared" si="309"/>
        <v>0</v>
      </c>
      <c r="AL1316" s="448"/>
      <c r="AM1316" s="467">
        <f>VLOOKUP(AD1316,[6]BV201101!$A$10:$A$1236,1,0)</f>
        <v>410619</v>
      </c>
    </row>
    <row r="1317" spans="1:39" s="467" customFormat="1" ht="12.75" customHeight="1">
      <c r="A1317" s="487" t="str">
        <f t="shared" si="297"/>
        <v>4</v>
      </c>
      <c r="B1317" s="487" t="str">
        <f t="shared" si="306"/>
        <v>10</v>
      </c>
      <c r="C1317" s="487" t="str">
        <f t="shared" si="307"/>
        <v>62</v>
      </c>
      <c r="D1317" s="487" t="str">
        <f t="shared" si="308"/>
        <v>0620</v>
      </c>
      <c r="E1317" s="487">
        <v>535200000</v>
      </c>
      <c r="F1317" s="488" t="str">
        <f t="shared" si="299"/>
        <v/>
      </c>
      <c r="G1317" s="487"/>
      <c r="H1317" s="487"/>
      <c r="I1317" s="488" t="str">
        <f t="shared" si="300"/>
        <v/>
      </c>
      <c r="J1317" s="487"/>
      <c r="K1317" s="487"/>
      <c r="L1317" s="488" t="str">
        <f t="shared" si="301"/>
        <v/>
      </c>
      <c r="M1317" s="487"/>
      <c r="N1317" s="487"/>
      <c r="O1317" s="488" t="str">
        <f t="shared" si="302"/>
        <v/>
      </c>
      <c r="P1317" s="489"/>
      <c r="Q1317" s="489"/>
      <c r="R1317" s="592" t="str">
        <f t="shared" si="303"/>
        <v/>
      </c>
      <c r="S1317" s="489"/>
      <c r="T1317" s="487"/>
      <c r="U1317" s="488" t="str">
        <f t="shared" si="304"/>
        <v/>
      </c>
      <c r="V1317" s="489"/>
      <c r="W1317" s="489"/>
      <c r="X1317" s="488" t="str">
        <f t="shared" si="305"/>
        <v/>
      </c>
      <c r="Y1317" s="489"/>
      <c r="Z1317" s="489"/>
      <c r="AA1317" s="490" t="str">
        <f t="shared" si="298"/>
        <v>43</v>
      </c>
      <c r="AB1317" s="489">
        <v>4</v>
      </c>
      <c r="AC1317" s="489">
        <v>3</v>
      </c>
      <c r="AD1317" s="27">
        <v>410620</v>
      </c>
      <c r="AE1317" s="27" t="s">
        <v>600</v>
      </c>
      <c r="AF1317" s="432">
        <f>VLOOKUP(AD1317,[5]Hoja1!$A$10:$K$1393,11,0)</f>
        <v>1900256</v>
      </c>
      <c r="AG1317" s="432"/>
      <c r="AH1317" s="432">
        <f t="shared" si="309"/>
        <v>1900</v>
      </c>
      <c r="AL1317" s="448"/>
      <c r="AM1317" s="467">
        <f>VLOOKUP(AD1317,[6]BV201101!$A$10:$A$1236,1,0)</f>
        <v>410620</v>
      </c>
    </row>
    <row r="1318" spans="1:39" s="467" customFormat="1" ht="12.75" customHeight="1">
      <c r="A1318" s="487" t="str">
        <f t="shared" si="297"/>
        <v>4</v>
      </c>
      <c r="B1318" s="487" t="str">
        <f t="shared" si="306"/>
        <v>10</v>
      </c>
      <c r="C1318" s="487" t="str">
        <f t="shared" si="307"/>
        <v>62</v>
      </c>
      <c r="D1318" s="487" t="str">
        <f t="shared" si="308"/>
        <v>0621</v>
      </c>
      <c r="E1318" s="487">
        <v>535200000</v>
      </c>
      <c r="F1318" s="488" t="str">
        <f t="shared" si="299"/>
        <v/>
      </c>
      <c r="G1318" s="489"/>
      <c r="H1318" s="489"/>
      <c r="I1318" s="488" t="str">
        <f t="shared" si="300"/>
        <v/>
      </c>
      <c r="J1318" s="487"/>
      <c r="K1318" s="487"/>
      <c r="L1318" s="488" t="str">
        <f t="shared" si="301"/>
        <v/>
      </c>
      <c r="M1318" s="487"/>
      <c r="N1318" s="487"/>
      <c r="O1318" s="488" t="str">
        <f t="shared" si="302"/>
        <v/>
      </c>
      <c r="P1318" s="489"/>
      <c r="Q1318" s="489"/>
      <c r="R1318" s="592" t="str">
        <f t="shared" si="303"/>
        <v/>
      </c>
      <c r="S1318" s="487"/>
      <c r="T1318" s="487"/>
      <c r="U1318" s="488" t="str">
        <f t="shared" si="304"/>
        <v/>
      </c>
      <c r="V1318" s="489"/>
      <c r="W1318" s="489"/>
      <c r="X1318" s="488" t="str">
        <f t="shared" si="305"/>
        <v/>
      </c>
      <c r="Y1318" s="489"/>
      <c r="Z1318" s="489"/>
      <c r="AA1318" s="490" t="str">
        <f t="shared" si="298"/>
        <v>45</v>
      </c>
      <c r="AB1318" s="489">
        <v>4</v>
      </c>
      <c r="AC1318" s="489">
        <v>5</v>
      </c>
      <c r="AD1318" s="27">
        <v>410621</v>
      </c>
      <c r="AE1318" s="27" t="s">
        <v>676</v>
      </c>
      <c r="AF1318" s="432">
        <f>VLOOKUP(AD1318,[5]Hoja1!$A$10:$K$1393,11,0)</f>
        <v>0</v>
      </c>
      <c r="AG1318" s="432"/>
      <c r="AH1318" s="432">
        <f t="shared" si="309"/>
        <v>0</v>
      </c>
      <c r="AI1318" s="467">
        <v>779852000</v>
      </c>
      <c r="AL1318" s="448"/>
      <c r="AM1318" s="467">
        <f>VLOOKUP(AD1318,[6]BV201101!$A$10:$A$1236,1,0)</f>
        <v>410621</v>
      </c>
    </row>
    <row r="1319" spans="1:39" s="467" customFormat="1" ht="12.75" customHeight="1">
      <c r="A1319" s="487" t="str">
        <f t="shared" si="297"/>
        <v>4</v>
      </c>
      <c r="B1319" s="487" t="str">
        <f t="shared" si="306"/>
        <v>10</v>
      </c>
      <c r="C1319" s="487" t="str">
        <f t="shared" si="307"/>
        <v>62</v>
      </c>
      <c r="D1319" s="487" t="str">
        <f t="shared" si="308"/>
        <v>0622</v>
      </c>
      <c r="E1319" s="487">
        <v>535200000</v>
      </c>
      <c r="F1319" s="488" t="str">
        <f t="shared" si="299"/>
        <v/>
      </c>
      <c r="G1319" s="489"/>
      <c r="H1319" s="489"/>
      <c r="I1319" s="488" t="str">
        <f t="shared" si="300"/>
        <v/>
      </c>
      <c r="J1319" s="487"/>
      <c r="K1319" s="487"/>
      <c r="L1319" s="488" t="str">
        <f t="shared" si="301"/>
        <v/>
      </c>
      <c r="M1319" s="487"/>
      <c r="N1319" s="487"/>
      <c r="O1319" s="488" t="str">
        <f t="shared" si="302"/>
        <v/>
      </c>
      <c r="P1319" s="489"/>
      <c r="Q1319" s="489"/>
      <c r="R1319" s="592" t="str">
        <f t="shared" si="303"/>
        <v/>
      </c>
      <c r="S1319" s="487"/>
      <c r="T1319" s="487"/>
      <c r="U1319" s="488" t="str">
        <f t="shared" si="304"/>
        <v/>
      </c>
      <c r="V1319" s="489"/>
      <c r="W1319" s="489"/>
      <c r="X1319" s="488" t="str">
        <f t="shared" si="305"/>
        <v/>
      </c>
      <c r="Y1319" s="489"/>
      <c r="Z1319" s="489"/>
      <c r="AA1319" s="490" t="str">
        <f t="shared" si="298"/>
        <v>46</v>
      </c>
      <c r="AB1319" s="489">
        <v>4</v>
      </c>
      <c r="AC1319" s="489">
        <v>6</v>
      </c>
      <c r="AD1319" s="27">
        <v>410622</v>
      </c>
      <c r="AE1319" s="27" t="s">
        <v>677</v>
      </c>
      <c r="AF1319" s="432">
        <f>VLOOKUP(AD1319,[5]Hoja1!$A$10:$K$1393,11,0)</f>
        <v>41880166</v>
      </c>
      <c r="AG1319" s="432"/>
      <c r="AH1319" s="432">
        <f t="shared" si="309"/>
        <v>41880</v>
      </c>
      <c r="AL1319" s="448"/>
      <c r="AM1319" s="467">
        <f>VLOOKUP(AD1319,[6]BV201101!$A$10:$A$1236,1,0)</f>
        <v>410622</v>
      </c>
    </row>
    <row r="1320" spans="1:39" s="467" customFormat="1" ht="12.75" customHeight="1">
      <c r="A1320" s="487" t="str">
        <f t="shared" si="297"/>
        <v>4</v>
      </c>
      <c r="B1320" s="487" t="str">
        <f t="shared" si="306"/>
        <v>10</v>
      </c>
      <c r="C1320" s="487" t="str">
        <f t="shared" si="307"/>
        <v>62</v>
      </c>
      <c r="D1320" s="487" t="str">
        <f t="shared" si="308"/>
        <v>0623</v>
      </c>
      <c r="E1320" s="487">
        <v>535200000</v>
      </c>
      <c r="F1320" s="488" t="str">
        <f t="shared" si="299"/>
        <v/>
      </c>
      <c r="G1320" s="489"/>
      <c r="H1320" s="489"/>
      <c r="I1320" s="488" t="str">
        <f t="shared" si="300"/>
        <v/>
      </c>
      <c r="J1320" s="487"/>
      <c r="K1320" s="487"/>
      <c r="L1320" s="488" t="str">
        <f t="shared" si="301"/>
        <v/>
      </c>
      <c r="M1320" s="487"/>
      <c r="N1320" s="487"/>
      <c r="O1320" s="488" t="str">
        <f t="shared" si="302"/>
        <v/>
      </c>
      <c r="P1320" s="489"/>
      <c r="Q1320" s="489"/>
      <c r="R1320" s="592" t="str">
        <f t="shared" si="303"/>
        <v/>
      </c>
      <c r="S1320" s="487"/>
      <c r="T1320" s="487"/>
      <c r="U1320" s="488" t="str">
        <f t="shared" si="304"/>
        <v/>
      </c>
      <c r="V1320" s="489"/>
      <c r="W1320" s="489"/>
      <c r="X1320" s="488" t="str">
        <f t="shared" si="305"/>
        <v/>
      </c>
      <c r="Y1320" s="489"/>
      <c r="Z1320" s="489"/>
      <c r="AA1320" s="490" t="str">
        <f t="shared" si="298"/>
        <v>44</v>
      </c>
      <c r="AB1320" s="489">
        <v>4</v>
      </c>
      <c r="AC1320" s="489">
        <v>4</v>
      </c>
      <c r="AD1320" s="27">
        <v>410623</v>
      </c>
      <c r="AE1320" s="27" t="s">
        <v>678</v>
      </c>
      <c r="AF1320" s="432">
        <f>VLOOKUP(AD1320,[5]Hoja1!$A$10:$K$1393,11,0)</f>
        <v>0</v>
      </c>
      <c r="AG1320" s="432"/>
      <c r="AH1320" s="432">
        <f t="shared" si="309"/>
        <v>0</v>
      </c>
      <c r="AL1320" s="448"/>
      <c r="AM1320" s="467">
        <f>VLOOKUP(AD1320,[6]BV201101!$A$10:$A$1236,1,0)</f>
        <v>410623</v>
      </c>
    </row>
    <row r="1321" spans="1:39" s="467" customFormat="1" ht="12.75" customHeight="1">
      <c r="A1321" s="487" t="str">
        <f t="shared" si="297"/>
        <v>4</v>
      </c>
      <c r="B1321" s="487" t="str">
        <f t="shared" si="306"/>
        <v>10</v>
      </c>
      <c r="C1321" s="487" t="str">
        <f t="shared" si="307"/>
        <v>62</v>
      </c>
      <c r="D1321" s="487" t="str">
        <f t="shared" si="308"/>
        <v>0624</v>
      </c>
      <c r="E1321" s="487">
        <v>535200000</v>
      </c>
      <c r="F1321" s="488" t="str">
        <f t="shared" si="299"/>
        <v/>
      </c>
      <c r="G1321" s="489"/>
      <c r="H1321" s="489"/>
      <c r="I1321" s="488" t="str">
        <f t="shared" si="300"/>
        <v/>
      </c>
      <c r="J1321" s="487"/>
      <c r="K1321" s="487"/>
      <c r="L1321" s="488" t="str">
        <f t="shared" si="301"/>
        <v/>
      </c>
      <c r="M1321" s="487"/>
      <c r="N1321" s="487"/>
      <c r="O1321" s="488" t="str">
        <f t="shared" si="302"/>
        <v/>
      </c>
      <c r="P1321" s="489"/>
      <c r="Q1321" s="489"/>
      <c r="R1321" s="592" t="str">
        <f t="shared" si="303"/>
        <v/>
      </c>
      <c r="S1321" s="487"/>
      <c r="T1321" s="487"/>
      <c r="U1321" s="488" t="str">
        <f t="shared" si="304"/>
        <v/>
      </c>
      <c r="V1321" s="489"/>
      <c r="W1321" s="489"/>
      <c r="X1321" s="488" t="str">
        <f t="shared" si="305"/>
        <v/>
      </c>
      <c r="Y1321" s="489"/>
      <c r="Z1321" s="489"/>
      <c r="AA1321" s="490" t="str">
        <f t="shared" si="298"/>
        <v>46</v>
      </c>
      <c r="AB1321" s="489">
        <v>4</v>
      </c>
      <c r="AC1321" s="489">
        <v>6</v>
      </c>
      <c r="AD1321" s="27">
        <v>410624</v>
      </c>
      <c r="AE1321" s="27" t="s">
        <v>1412</v>
      </c>
      <c r="AF1321" s="432">
        <f>VLOOKUP(AD1321,[5]Hoja1!$A$10:$K$1393,11,0)</f>
        <v>0</v>
      </c>
      <c r="AG1321" s="432"/>
      <c r="AH1321" s="432">
        <f t="shared" si="309"/>
        <v>0</v>
      </c>
      <c r="AL1321" s="448"/>
      <c r="AM1321" s="467">
        <f>VLOOKUP(AD1321,[6]BV201101!$A$10:$A$1236,1,0)</f>
        <v>410624</v>
      </c>
    </row>
    <row r="1322" spans="1:39" s="467" customFormat="1" ht="12.75" customHeight="1">
      <c r="A1322" s="487" t="str">
        <f t="shared" si="297"/>
        <v>4</v>
      </c>
      <c r="B1322" s="487" t="str">
        <f t="shared" si="306"/>
        <v>10</v>
      </c>
      <c r="C1322" s="487" t="str">
        <f t="shared" si="307"/>
        <v>62</v>
      </c>
      <c r="D1322" s="487" t="str">
        <f t="shared" si="308"/>
        <v>0625</v>
      </c>
      <c r="E1322" s="487">
        <v>535200000</v>
      </c>
      <c r="F1322" s="488" t="str">
        <f t="shared" si="299"/>
        <v/>
      </c>
      <c r="G1322" s="489"/>
      <c r="H1322" s="489"/>
      <c r="I1322" s="488" t="str">
        <f t="shared" si="300"/>
        <v/>
      </c>
      <c r="J1322" s="487"/>
      <c r="K1322" s="487"/>
      <c r="L1322" s="488" t="str">
        <f t="shared" si="301"/>
        <v/>
      </c>
      <c r="M1322" s="487"/>
      <c r="N1322" s="487"/>
      <c r="O1322" s="488" t="str">
        <f t="shared" si="302"/>
        <v/>
      </c>
      <c r="P1322" s="489"/>
      <c r="Q1322" s="489"/>
      <c r="R1322" s="592" t="str">
        <f t="shared" si="303"/>
        <v/>
      </c>
      <c r="S1322" s="487"/>
      <c r="T1322" s="487"/>
      <c r="U1322" s="488" t="str">
        <f t="shared" si="304"/>
        <v/>
      </c>
      <c r="V1322" s="489"/>
      <c r="W1322" s="489"/>
      <c r="X1322" s="488" t="str">
        <f t="shared" si="305"/>
        <v/>
      </c>
      <c r="Y1322" s="489"/>
      <c r="Z1322" s="489"/>
      <c r="AA1322" s="490" t="str">
        <f t="shared" si="298"/>
        <v>46</v>
      </c>
      <c r="AB1322" s="489">
        <v>4</v>
      </c>
      <c r="AC1322" s="489">
        <v>6</v>
      </c>
      <c r="AD1322" s="27">
        <v>410625</v>
      </c>
      <c r="AE1322" s="27" t="s">
        <v>851</v>
      </c>
      <c r="AF1322" s="432">
        <v>0</v>
      </c>
      <c r="AG1322" s="432"/>
      <c r="AH1322" s="432">
        <f t="shared" si="309"/>
        <v>0</v>
      </c>
      <c r="AL1322" s="448"/>
      <c r="AM1322" s="467" t="e">
        <f>VLOOKUP(AD1322,[6]BV201101!$A$10:$A$1236,1,0)</f>
        <v>#N/A</v>
      </c>
    </row>
    <row r="1323" spans="1:39" s="467" customFormat="1" ht="12.75" customHeight="1">
      <c r="A1323" s="487" t="str">
        <f t="shared" si="297"/>
        <v>4</v>
      </c>
      <c r="B1323" s="487" t="str">
        <f t="shared" si="306"/>
        <v>10</v>
      </c>
      <c r="C1323" s="487" t="str">
        <f t="shared" si="307"/>
        <v>62</v>
      </c>
      <c r="D1323" s="487" t="str">
        <f t="shared" si="308"/>
        <v>0626</v>
      </c>
      <c r="E1323" s="487">
        <v>535200000</v>
      </c>
      <c r="F1323" s="488" t="str">
        <f t="shared" si="299"/>
        <v/>
      </c>
      <c r="G1323" s="489"/>
      <c r="H1323" s="489"/>
      <c r="I1323" s="488" t="str">
        <f t="shared" si="300"/>
        <v/>
      </c>
      <c r="J1323" s="487"/>
      <c r="K1323" s="487"/>
      <c r="L1323" s="488" t="str">
        <f t="shared" si="301"/>
        <v/>
      </c>
      <c r="M1323" s="487"/>
      <c r="N1323" s="487"/>
      <c r="O1323" s="488" t="str">
        <f t="shared" si="302"/>
        <v/>
      </c>
      <c r="P1323" s="489"/>
      <c r="Q1323" s="489"/>
      <c r="R1323" s="592" t="str">
        <f t="shared" si="303"/>
        <v/>
      </c>
      <c r="S1323" s="487"/>
      <c r="T1323" s="487"/>
      <c r="U1323" s="488" t="str">
        <f t="shared" si="304"/>
        <v/>
      </c>
      <c r="V1323" s="489"/>
      <c r="W1323" s="489"/>
      <c r="X1323" s="488" t="str">
        <f t="shared" si="305"/>
        <v/>
      </c>
      <c r="Y1323" s="489"/>
      <c r="Z1323" s="489"/>
      <c r="AA1323" s="490" t="str">
        <f t="shared" si="298"/>
        <v>47</v>
      </c>
      <c r="AB1323" s="489">
        <v>4</v>
      </c>
      <c r="AC1323" s="489">
        <v>7</v>
      </c>
      <c r="AD1323" s="27">
        <v>410626</v>
      </c>
      <c r="AE1323" s="27" t="s">
        <v>852</v>
      </c>
      <c r="AF1323" s="432">
        <f>VLOOKUP(AD1323,[5]Hoja1!$A$10:$K$1393,11,0)</f>
        <v>0</v>
      </c>
      <c r="AG1323" s="432"/>
      <c r="AH1323" s="432">
        <f t="shared" si="309"/>
        <v>0</v>
      </c>
      <c r="AL1323" s="448"/>
      <c r="AM1323" s="467">
        <f>VLOOKUP(AD1323,[6]BV201101!$A$10:$A$1236,1,0)</f>
        <v>410626</v>
      </c>
    </row>
    <row r="1324" spans="1:39" s="467" customFormat="1" ht="12.75" customHeight="1">
      <c r="A1324" s="487" t="str">
        <f t="shared" si="297"/>
        <v>4</v>
      </c>
      <c r="B1324" s="487" t="str">
        <f t="shared" si="306"/>
        <v>10</v>
      </c>
      <c r="C1324" s="487" t="str">
        <f t="shared" si="307"/>
        <v>62</v>
      </c>
      <c r="D1324" s="487" t="str">
        <f t="shared" si="308"/>
        <v>0627</v>
      </c>
      <c r="E1324" s="487">
        <v>535200000</v>
      </c>
      <c r="F1324" s="488" t="str">
        <f t="shared" si="299"/>
        <v/>
      </c>
      <c r="G1324" s="489"/>
      <c r="H1324" s="489"/>
      <c r="I1324" s="488" t="str">
        <f t="shared" si="300"/>
        <v/>
      </c>
      <c r="J1324" s="487"/>
      <c r="K1324" s="487"/>
      <c r="L1324" s="488" t="str">
        <f t="shared" si="301"/>
        <v/>
      </c>
      <c r="M1324" s="487"/>
      <c r="N1324" s="487"/>
      <c r="O1324" s="488" t="str">
        <f t="shared" si="302"/>
        <v/>
      </c>
      <c r="P1324" s="489"/>
      <c r="Q1324" s="489"/>
      <c r="R1324" s="592" t="str">
        <f t="shared" si="303"/>
        <v/>
      </c>
      <c r="S1324" s="487"/>
      <c r="T1324" s="487"/>
      <c r="U1324" s="488" t="str">
        <f t="shared" si="304"/>
        <v/>
      </c>
      <c r="V1324" s="489"/>
      <c r="W1324" s="489"/>
      <c r="X1324" s="488" t="str">
        <f t="shared" si="305"/>
        <v/>
      </c>
      <c r="Y1324" s="489"/>
      <c r="Z1324" s="489"/>
      <c r="AA1324" s="490" t="str">
        <f t="shared" si="298"/>
        <v>45</v>
      </c>
      <c r="AB1324" s="489">
        <v>4</v>
      </c>
      <c r="AC1324" s="489">
        <v>5</v>
      </c>
      <c r="AD1324" s="27">
        <v>410627</v>
      </c>
      <c r="AE1324" s="27" t="s">
        <v>1413</v>
      </c>
      <c r="AF1324" s="432">
        <v>0</v>
      </c>
      <c r="AG1324" s="432"/>
      <c r="AH1324" s="432">
        <f t="shared" si="309"/>
        <v>0</v>
      </c>
      <c r="AL1324" s="448"/>
      <c r="AM1324" s="467" t="e">
        <f>VLOOKUP(AD1324,[6]BV201101!$A$10:$A$1236,1,0)</f>
        <v>#N/A</v>
      </c>
    </row>
    <row r="1325" spans="1:39" s="467" customFormat="1" ht="12.75" customHeight="1">
      <c r="A1325" s="487" t="str">
        <f t="shared" si="297"/>
        <v>4</v>
      </c>
      <c r="B1325" s="487" t="str">
        <f t="shared" si="306"/>
        <v>10</v>
      </c>
      <c r="C1325" s="487" t="str">
        <f t="shared" si="307"/>
        <v>62</v>
      </c>
      <c r="D1325" s="487" t="str">
        <f t="shared" si="308"/>
        <v>0628</v>
      </c>
      <c r="E1325" s="487">
        <v>535200000</v>
      </c>
      <c r="F1325" s="488" t="str">
        <f t="shared" si="299"/>
        <v/>
      </c>
      <c r="G1325" s="489"/>
      <c r="H1325" s="489"/>
      <c r="I1325" s="488" t="str">
        <f t="shared" si="300"/>
        <v/>
      </c>
      <c r="J1325" s="487"/>
      <c r="K1325" s="487"/>
      <c r="L1325" s="488" t="str">
        <f t="shared" si="301"/>
        <v/>
      </c>
      <c r="M1325" s="487"/>
      <c r="N1325" s="487"/>
      <c r="O1325" s="488" t="str">
        <f t="shared" si="302"/>
        <v/>
      </c>
      <c r="P1325" s="489"/>
      <c r="Q1325" s="489"/>
      <c r="R1325" s="592" t="str">
        <f t="shared" si="303"/>
        <v/>
      </c>
      <c r="S1325" s="487"/>
      <c r="T1325" s="487"/>
      <c r="U1325" s="488" t="str">
        <f t="shared" si="304"/>
        <v/>
      </c>
      <c r="V1325" s="489"/>
      <c r="W1325" s="489"/>
      <c r="X1325" s="488" t="str">
        <f t="shared" si="305"/>
        <v/>
      </c>
      <c r="Y1325" s="489"/>
      <c r="Z1325" s="489"/>
      <c r="AA1325" s="490" t="str">
        <f t="shared" si="298"/>
        <v>41</v>
      </c>
      <c r="AB1325" s="489">
        <v>4</v>
      </c>
      <c r="AC1325" s="489">
        <v>1</v>
      </c>
      <c r="AD1325" s="27">
        <v>410628</v>
      </c>
      <c r="AE1325" s="27" t="s">
        <v>1216</v>
      </c>
      <c r="AF1325" s="432">
        <f>VLOOKUP(AD1325,[5]Hoja1!$A$10:$K$1393,11,0)</f>
        <v>0</v>
      </c>
      <c r="AG1325" s="432"/>
      <c r="AH1325" s="432">
        <f t="shared" si="309"/>
        <v>0</v>
      </c>
      <c r="AL1325" s="448"/>
      <c r="AM1325" s="467">
        <f>VLOOKUP(AD1325,[6]BV201101!$A$10:$A$1236,1,0)</f>
        <v>410628</v>
      </c>
    </row>
    <row r="1326" spans="1:39" s="467" customFormat="1" ht="12.75" customHeight="1">
      <c r="A1326" s="487" t="str">
        <f t="shared" si="297"/>
        <v>4</v>
      </c>
      <c r="B1326" s="487" t="str">
        <f t="shared" si="306"/>
        <v>10</v>
      </c>
      <c r="C1326" s="487" t="str">
        <f t="shared" si="307"/>
        <v>62</v>
      </c>
      <c r="D1326" s="487" t="str">
        <f t="shared" si="308"/>
        <v>0629</v>
      </c>
      <c r="E1326" s="487">
        <v>535200000</v>
      </c>
      <c r="F1326" s="488" t="str">
        <f t="shared" si="299"/>
        <v/>
      </c>
      <c r="G1326" s="489"/>
      <c r="H1326" s="489"/>
      <c r="I1326" s="488" t="str">
        <f t="shared" si="300"/>
        <v/>
      </c>
      <c r="J1326" s="487"/>
      <c r="K1326" s="487"/>
      <c r="L1326" s="488" t="str">
        <f t="shared" si="301"/>
        <v/>
      </c>
      <c r="M1326" s="487"/>
      <c r="N1326" s="487"/>
      <c r="O1326" s="488" t="str">
        <f t="shared" si="302"/>
        <v/>
      </c>
      <c r="P1326" s="489"/>
      <c r="Q1326" s="489"/>
      <c r="R1326" s="592" t="str">
        <f t="shared" si="303"/>
        <v/>
      </c>
      <c r="S1326" s="487"/>
      <c r="T1326" s="487"/>
      <c r="U1326" s="488" t="str">
        <f t="shared" si="304"/>
        <v/>
      </c>
      <c r="V1326" s="489"/>
      <c r="W1326" s="489"/>
      <c r="X1326" s="488" t="str">
        <f t="shared" si="305"/>
        <v/>
      </c>
      <c r="Y1326" s="489"/>
      <c r="Z1326" s="489"/>
      <c r="AA1326" s="490" t="str">
        <f t="shared" si="298"/>
        <v>41</v>
      </c>
      <c r="AB1326" s="489">
        <v>4</v>
      </c>
      <c r="AC1326" s="489">
        <v>1</v>
      </c>
      <c r="AD1326" s="27">
        <v>410629</v>
      </c>
      <c r="AE1326" s="27" t="s">
        <v>1414</v>
      </c>
      <c r="AF1326" s="432">
        <f>VLOOKUP(AD1326,[5]Hoja1!$A$10:$K$1393,11,0)</f>
        <v>-45193321</v>
      </c>
      <c r="AG1326" s="432"/>
      <c r="AH1326" s="432">
        <f t="shared" si="309"/>
        <v>-45193</v>
      </c>
      <c r="AJ1326" s="467" t="s">
        <v>858</v>
      </c>
      <c r="AL1326" s="448"/>
      <c r="AM1326" s="467">
        <f>VLOOKUP(AD1326,[6]BV201101!$A$10:$A$1236,1,0)</f>
        <v>410629</v>
      </c>
    </row>
    <row r="1327" spans="1:39" s="467" customFormat="1" ht="12.75" customHeight="1">
      <c r="A1327" s="487" t="str">
        <f t="shared" ref="A1327:A1395" si="310">+LEFT($AD1327,1)</f>
        <v>4</v>
      </c>
      <c r="B1327" s="487" t="str">
        <f t="shared" si="306"/>
        <v>10</v>
      </c>
      <c r="C1327" s="487" t="str">
        <f t="shared" si="307"/>
        <v>63</v>
      </c>
      <c r="D1327" s="487" t="str">
        <f t="shared" si="308"/>
        <v>0630</v>
      </c>
      <c r="E1327" s="487">
        <v>535200000</v>
      </c>
      <c r="F1327" s="488" t="str">
        <f t="shared" si="299"/>
        <v/>
      </c>
      <c r="G1327" s="489"/>
      <c r="H1327" s="489"/>
      <c r="I1327" s="488" t="str">
        <f t="shared" si="300"/>
        <v/>
      </c>
      <c r="J1327" s="487"/>
      <c r="K1327" s="487"/>
      <c r="L1327" s="488" t="str">
        <f t="shared" si="301"/>
        <v/>
      </c>
      <c r="M1327" s="487"/>
      <c r="N1327" s="487"/>
      <c r="O1327" s="488" t="str">
        <f t="shared" si="302"/>
        <v/>
      </c>
      <c r="P1327" s="489"/>
      <c r="Q1327" s="489"/>
      <c r="R1327" s="592" t="str">
        <f t="shared" si="303"/>
        <v/>
      </c>
      <c r="S1327" s="487"/>
      <c r="T1327" s="487"/>
      <c r="U1327" s="488" t="str">
        <f t="shared" si="304"/>
        <v/>
      </c>
      <c r="V1327" s="489"/>
      <c r="W1327" s="489"/>
      <c r="X1327" s="488" t="str">
        <f t="shared" si="305"/>
        <v/>
      </c>
      <c r="Y1327" s="489"/>
      <c r="Z1327" s="489"/>
      <c r="AA1327" s="490" t="str">
        <f t="shared" si="298"/>
        <v>45</v>
      </c>
      <c r="AB1327" s="489">
        <v>4</v>
      </c>
      <c r="AC1327" s="489">
        <v>5</v>
      </c>
      <c r="AD1327" s="27">
        <v>410630</v>
      </c>
      <c r="AE1327" s="27" t="s">
        <v>439</v>
      </c>
      <c r="AF1327" s="432">
        <f>VLOOKUP(AD1327,[5]Hoja1!$A$10:$K$1393,11,0)</f>
        <v>0</v>
      </c>
      <c r="AG1327" s="432"/>
      <c r="AH1327" s="432">
        <f t="shared" si="309"/>
        <v>0</v>
      </c>
      <c r="AL1327" s="448"/>
      <c r="AM1327" s="467">
        <f>VLOOKUP(AD1327,[6]BV201101!$A$10:$A$1236,1,0)</f>
        <v>410630</v>
      </c>
    </row>
    <row r="1328" spans="1:39" s="467" customFormat="1" ht="12.75" customHeight="1">
      <c r="A1328" s="487" t="str">
        <f t="shared" si="310"/>
        <v>4</v>
      </c>
      <c r="B1328" s="487" t="str">
        <f t="shared" si="306"/>
        <v>10</v>
      </c>
      <c r="C1328" s="487" t="str">
        <f t="shared" si="307"/>
        <v>63</v>
      </c>
      <c r="D1328" s="487" t="str">
        <f t="shared" si="308"/>
        <v>0631</v>
      </c>
      <c r="E1328" s="487">
        <v>535200000</v>
      </c>
      <c r="F1328" s="488" t="str">
        <f t="shared" si="299"/>
        <v/>
      </c>
      <c r="G1328" s="489"/>
      <c r="H1328" s="489"/>
      <c r="I1328" s="488" t="str">
        <f t="shared" si="300"/>
        <v/>
      </c>
      <c r="J1328" s="487"/>
      <c r="K1328" s="487"/>
      <c r="L1328" s="488" t="str">
        <f t="shared" si="301"/>
        <v/>
      </c>
      <c r="M1328" s="487"/>
      <c r="N1328" s="487"/>
      <c r="O1328" s="488" t="str">
        <f t="shared" si="302"/>
        <v/>
      </c>
      <c r="P1328" s="489"/>
      <c r="Q1328" s="489"/>
      <c r="R1328" s="592" t="str">
        <f t="shared" si="303"/>
        <v/>
      </c>
      <c r="S1328" s="487"/>
      <c r="T1328" s="487"/>
      <c r="U1328" s="488" t="str">
        <f t="shared" si="304"/>
        <v/>
      </c>
      <c r="V1328" s="489"/>
      <c r="W1328" s="489"/>
      <c r="X1328" s="488" t="str">
        <f t="shared" si="305"/>
        <v/>
      </c>
      <c r="Y1328" s="489"/>
      <c r="Z1328" s="489"/>
      <c r="AA1328" s="490" t="str">
        <f t="shared" si="298"/>
        <v>45</v>
      </c>
      <c r="AB1328" s="489">
        <v>4</v>
      </c>
      <c r="AC1328" s="489">
        <v>5</v>
      </c>
      <c r="AD1328" s="27">
        <v>410631</v>
      </c>
      <c r="AE1328" s="27" t="s">
        <v>440</v>
      </c>
      <c r="AF1328" s="432">
        <f>VLOOKUP(AD1328,[5]Hoja1!$A$10:$K$1393,11,0)</f>
        <v>0</v>
      </c>
      <c r="AG1328" s="432"/>
      <c r="AH1328" s="432">
        <f t="shared" si="309"/>
        <v>0</v>
      </c>
      <c r="AJ1328" s="467">
        <v>9746000</v>
      </c>
      <c r="AK1328" s="467">
        <f>+AJ1328*1.8%+AJ1328</f>
        <v>9921428</v>
      </c>
      <c r="AL1328" s="448"/>
      <c r="AM1328" s="467">
        <f>VLOOKUP(AD1328,[6]BV201101!$A$10:$A$1236,1,0)</f>
        <v>410631</v>
      </c>
    </row>
    <row r="1329" spans="1:39" s="467" customFormat="1" ht="12.75" customHeight="1">
      <c r="A1329" s="487" t="str">
        <f t="shared" si="310"/>
        <v>4</v>
      </c>
      <c r="B1329" s="487" t="str">
        <f t="shared" si="306"/>
        <v>10</v>
      </c>
      <c r="C1329" s="487" t="str">
        <f t="shared" si="307"/>
        <v>63</v>
      </c>
      <c r="D1329" s="487" t="str">
        <f t="shared" si="308"/>
        <v>0632</v>
      </c>
      <c r="E1329" s="487">
        <v>535200000</v>
      </c>
      <c r="F1329" s="488" t="str">
        <f t="shared" si="299"/>
        <v/>
      </c>
      <c r="G1329" s="489"/>
      <c r="H1329" s="489"/>
      <c r="I1329" s="488" t="str">
        <f t="shared" si="300"/>
        <v/>
      </c>
      <c r="J1329" s="487"/>
      <c r="K1329" s="487"/>
      <c r="L1329" s="488" t="str">
        <f t="shared" si="301"/>
        <v/>
      </c>
      <c r="M1329" s="487"/>
      <c r="N1329" s="487"/>
      <c r="O1329" s="488" t="str">
        <f t="shared" si="302"/>
        <v/>
      </c>
      <c r="P1329" s="489"/>
      <c r="Q1329" s="489"/>
      <c r="R1329" s="592" t="str">
        <f t="shared" si="303"/>
        <v/>
      </c>
      <c r="S1329" s="487"/>
      <c r="T1329" s="487"/>
      <c r="U1329" s="488" t="str">
        <f t="shared" si="304"/>
        <v/>
      </c>
      <c r="V1329" s="489"/>
      <c r="W1329" s="489"/>
      <c r="X1329" s="488" t="str">
        <f t="shared" si="305"/>
        <v/>
      </c>
      <c r="Y1329" s="489"/>
      <c r="Z1329" s="489"/>
      <c r="AA1329" s="490" t="str">
        <f t="shared" si="298"/>
        <v>41</v>
      </c>
      <c r="AB1329" s="489">
        <v>4</v>
      </c>
      <c r="AC1329" s="489">
        <v>1</v>
      </c>
      <c r="AD1329" s="418">
        <v>410632</v>
      </c>
      <c r="AE1329" s="27" t="s">
        <v>2405</v>
      </c>
      <c r="AF1329" s="432">
        <f>VLOOKUP(AD1329,[5]Hoja1!$A$10:$K$1393,11,0)</f>
        <v>-512649139</v>
      </c>
      <c r="AG1329" s="432"/>
      <c r="AH1329" s="432">
        <f t="shared" si="309"/>
        <v>-512649</v>
      </c>
      <c r="AJ1329" s="467">
        <v>270000</v>
      </c>
      <c r="AK1329" s="467">
        <f>+AJ1329*1.8%+AJ1329</f>
        <v>274860</v>
      </c>
      <c r="AL1329" s="448"/>
      <c r="AM1329" s="467">
        <f>VLOOKUP(AD1329,[6]BV201101!$A$10:$A$1236,1,0)</f>
        <v>410632</v>
      </c>
    </row>
    <row r="1330" spans="1:39" s="467" customFormat="1" ht="12.75" customHeight="1">
      <c r="A1330" s="487" t="str">
        <f t="shared" si="310"/>
        <v>4</v>
      </c>
      <c r="B1330" s="487" t="str">
        <f t="shared" si="306"/>
        <v>10</v>
      </c>
      <c r="C1330" s="487" t="str">
        <f t="shared" si="307"/>
        <v>63</v>
      </c>
      <c r="D1330" s="487" t="str">
        <f t="shared" si="308"/>
        <v>0633</v>
      </c>
      <c r="E1330" s="487">
        <v>535200000</v>
      </c>
      <c r="F1330" s="488" t="str">
        <f t="shared" si="299"/>
        <v/>
      </c>
      <c r="G1330" s="489"/>
      <c r="H1330" s="489"/>
      <c r="I1330" s="488" t="str">
        <f t="shared" si="300"/>
        <v/>
      </c>
      <c r="J1330" s="487"/>
      <c r="K1330" s="487"/>
      <c r="L1330" s="488" t="str">
        <f t="shared" si="301"/>
        <v/>
      </c>
      <c r="M1330" s="487"/>
      <c r="N1330" s="487"/>
      <c r="O1330" s="488" t="str">
        <f t="shared" si="302"/>
        <v/>
      </c>
      <c r="P1330" s="489"/>
      <c r="Q1330" s="489"/>
      <c r="R1330" s="592" t="str">
        <f t="shared" si="303"/>
        <v/>
      </c>
      <c r="S1330" s="487"/>
      <c r="T1330" s="487"/>
      <c r="U1330" s="488" t="str">
        <f t="shared" si="304"/>
        <v/>
      </c>
      <c r="V1330" s="489"/>
      <c r="W1330" s="489"/>
      <c r="X1330" s="488" t="str">
        <f t="shared" si="305"/>
        <v/>
      </c>
      <c r="Y1330" s="489"/>
      <c r="Z1330" s="489"/>
      <c r="AA1330" s="490" t="str">
        <f t="shared" si="298"/>
        <v>41</v>
      </c>
      <c r="AB1330" s="489">
        <v>4</v>
      </c>
      <c r="AC1330" s="489">
        <v>1</v>
      </c>
      <c r="AD1330" s="418">
        <v>410633</v>
      </c>
      <c r="AE1330" s="27" t="s">
        <v>2406</v>
      </c>
      <c r="AF1330" s="432">
        <f>VLOOKUP(AD1330,[5]Hoja1!$A$10:$K$1393,11,0)</f>
        <v>0</v>
      </c>
      <c r="AG1330" s="432"/>
      <c r="AH1330" s="432">
        <f t="shared" si="309"/>
        <v>0</v>
      </c>
      <c r="AJ1330" s="467">
        <v>11011000</v>
      </c>
      <c r="AK1330" s="467">
        <f>+AJ1330*1.8%+AJ1330</f>
        <v>11209198</v>
      </c>
      <c r="AL1330" s="448"/>
      <c r="AM1330" s="467">
        <f>VLOOKUP(AD1330,[6]BV201101!$A$10:$A$1236,1,0)</f>
        <v>410633</v>
      </c>
    </row>
    <row r="1331" spans="1:39" s="467" customFormat="1" ht="12.75" customHeight="1">
      <c r="A1331" s="487" t="str">
        <f t="shared" si="310"/>
        <v>4</v>
      </c>
      <c r="B1331" s="487" t="str">
        <f t="shared" si="306"/>
        <v>10</v>
      </c>
      <c r="C1331" s="487" t="str">
        <f t="shared" si="307"/>
        <v>63</v>
      </c>
      <c r="D1331" s="487" t="str">
        <f t="shared" si="308"/>
        <v>0634</v>
      </c>
      <c r="E1331" s="487">
        <v>535200000</v>
      </c>
      <c r="F1331" s="488" t="str">
        <f>+G1331&amp;H1331</f>
        <v/>
      </c>
      <c r="G1331" s="489"/>
      <c r="H1331" s="489"/>
      <c r="I1331" s="488" t="str">
        <f>+J1331&amp;K1331</f>
        <v/>
      </c>
      <c r="J1331" s="487"/>
      <c r="K1331" s="487"/>
      <c r="L1331" s="488" t="str">
        <f>+M1331&amp;N1331</f>
        <v/>
      </c>
      <c r="M1331" s="487"/>
      <c r="N1331" s="487"/>
      <c r="O1331" s="488" t="str">
        <f>+P1331&amp;Q1331</f>
        <v/>
      </c>
      <c r="P1331" s="489"/>
      <c r="Q1331" s="489"/>
      <c r="R1331" s="592" t="str">
        <f>+S1331&amp;T1331</f>
        <v/>
      </c>
      <c r="S1331" s="487"/>
      <c r="T1331" s="487"/>
      <c r="U1331" s="488" t="str">
        <f>+V1331&amp;W1331</f>
        <v/>
      </c>
      <c r="V1331" s="489"/>
      <c r="W1331" s="489"/>
      <c r="X1331" s="488" t="str">
        <f>+Y1331&amp;Z1331</f>
        <v/>
      </c>
      <c r="Y1331" s="489"/>
      <c r="Z1331" s="489"/>
      <c r="AA1331" s="490" t="str">
        <f t="shared" si="298"/>
        <v>41</v>
      </c>
      <c r="AB1331" s="489">
        <v>4</v>
      </c>
      <c r="AC1331" s="489">
        <v>1</v>
      </c>
      <c r="AD1331" s="418">
        <v>410634</v>
      </c>
      <c r="AE1331" s="27" t="s">
        <v>2407</v>
      </c>
      <c r="AF1331" s="432">
        <v>0</v>
      </c>
      <c r="AG1331" s="432"/>
      <c r="AH1331" s="432">
        <f t="shared" si="309"/>
        <v>0</v>
      </c>
      <c r="AL1331" s="448"/>
      <c r="AM1331" s="467" t="e">
        <f>VLOOKUP(AD1331,[6]BV201101!$A$10:$A$1236,1,0)</f>
        <v>#N/A</v>
      </c>
    </row>
    <row r="1332" spans="1:39" s="467" customFormat="1" ht="12.75" customHeight="1">
      <c r="A1332" s="487" t="str">
        <f t="shared" si="310"/>
        <v>4</v>
      </c>
      <c r="B1332" s="487" t="str">
        <f t="shared" si="306"/>
        <v>10</v>
      </c>
      <c r="C1332" s="487" t="str">
        <f t="shared" si="307"/>
        <v>63</v>
      </c>
      <c r="D1332" s="487" t="str">
        <f t="shared" si="308"/>
        <v>0635</v>
      </c>
      <c r="E1332" s="487">
        <v>535200000</v>
      </c>
      <c r="F1332" s="488" t="str">
        <f t="shared" si="299"/>
        <v/>
      </c>
      <c r="G1332" s="489"/>
      <c r="H1332" s="489"/>
      <c r="I1332" s="488" t="str">
        <f t="shared" si="300"/>
        <v/>
      </c>
      <c r="J1332" s="487"/>
      <c r="K1332" s="487"/>
      <c r="L1332" s="488" t="str">
        <f t="shared" si="301"/>
        <v/>
      </c>
      <c r="M1332" s="487"/>
      <c r="N1332" s="487"/>
      <c r="O1332" s="488" t="str">
        <f t="shared" si="302"/>
        <v/>
      </c>
      <c r="P1332" s="489"/>
      <c r="Q1332" s="489"/>
      <c r="R1332" s="592" t="str">
        <f t="shared" si="303"/>
        <v/>
      </c>
      <c r="S1332" s="487"/>
      <c r="T1332" s="487"/>
      <c r="U1332" s="488" t="str">
        <f t="shared" si="304"/>
        <v/>
      </c>
      <c r="V1332" s="489"/>
      <c r="W1332" s="489"/>
      <c r="X1332" s="488" t="str">
        <f t="shared" si="305"/>
        <v/>
      </c>
      <c r="Y1332" s="489"/>
      <c r="Z1332" s="489"/>
      <c r="AA1332" s="490" t="str">
        <f t="shared" si="298"/>
        <v>41</v>
      </c>
      <c r="AB1332" s="489">
        <v>4</v>
      </c>
      <c r="AC1332" s="489">
        <v>1</v>
      </c>
      <c r="AD1332" s="418">
        <v>410635</v>
      </c>
      <c r="AE1332" s="27" t="s">
        <v>669</v>
      </c>
      <c r="AF1332" s="432">
        <f>VLOOKUP(AD1332,[5]Hoja1!$A$10:$K$1393,11,0)</f>
        <v>0</v>
      </c>
      <c r="AG1332" s="432"/>
      <c r="AH1332" s="432">
        <f t="shared" si="309"/>
        <v>0</v>
      </c>
      <c r="AJ1332" s="467">
        <v>296000</v>
      </c>
      <c r="AK1332" s="467">
        <f>+AJ1332*1.8%+AJ1332</f>
        <v>301328</v>
      </c>
      <c r="AL1332" s="448"/>
      <c r="AM1332" s="467">
        <f>VLOOKUP(AD1332,[6]BV201101!$A$10:$A$1236,1,0)</f>
        <v>410635</v>
      </c>
    </row>
    <row r="1333" spans="1:39" s="467" customFormat="1" ht="12.75" customHeight="1">
      <c r="A1333" s="487" t="str">
        <f t="shared" si="310"/>
        <v>4</v>
      </c>
      <c r="B1333" s="487" t="str">
        <f t="shared" si="306"/>
        <v>10</v>
      </c>
      <c r="C1333" s="487" t="str">
        <f t="shared" si="307"/>
        <v>63</v>
      </c>
      <c r="D1333" s="487" t="str">
        <f t="shared" si="308"/>
        <v>0636</v>
      </c>
      <c r="E1333" s="487">
        <v>535200000</v>
      </c>
      <c r="F1333" s="488"/>
      <c r="G1333" s="489"/>
      <c r="H1333" s="489"/>
      <c r="I1333" s="488"/>
      <c r="J1333" s="487"/>
      <c r="K1333" s="487"/>
      <c r="L1333" s="488"/>
      <c r="M1333" s="487"/>
      <c r="N1333" s="487"/>
      <c r="O1333" s="488"/>
      <c r="P1333" s="489"/>
      <c r="Q1333" s="489"/>
      <c r="R1333" s="592"/>
      <c r="S1333" s="487"/>
      <c r="T1333" s="487"/>
      <c r="U1333" s="488"/>
      <c r="V1333" s="489"/>
      <c r="W1333" s="489"/>
      <c r="X1333" s="488"/>
      <c r="Y1333" s="489"/>
      <c r="Z1333" s="489"/>
      <c r="AA1333" s="490" t="str">
        <f t="shared" ref="AA1333:AA1339" si="311">+AB1333&amp;AC1333</f>
        <v>41</v>
      </c>
      <c r="AB1333" s="489">
        <v>4</v>
      </c>
      <c r="AC1333" s="489">
        <v>1</v>
      </c>
      <c r="AD1333" s="418">
        <v>410636</v>
      </c>
      <c r="AE1333" s="27" t="s">
        <v>39</v>
      </c>
      <c r="AF1333" s="432">
        <f>VLOOKUP(AD1333,[5]Hoja1!$A$10:$K$1393,11,0)</f>
        <v>0</v>
      </c>
      <c r="AG1333" s="432"/>
      <c r="AH1333" s="432">
        <f t="shared" si="309"/>
        <v>0</v>
      </c>
      <c r="AL1333" s="448"/>
      <c r="AM1333" s="467">
        <f>VLOOKUP(AD1333,[6]BV201101!$A$10:$A$1236,1,0)</f>
        <v>410636</v>
      </c>
    </row>
    <row r="1334" spans="1:39" s="467" customFormat="1" ht="12.75" customHeight="1">
      <c r="A1334" s="487" t="str">
        <f t="shared" si="310"/>
        <v>4</v>
      </c>
      <c r="B1334" s="487" t="str">
        <f t="shared" si="306"/>
        <v>10</v>
      </c>
      <c r="C1334" s="487" t="str">
        <f t="shared" si="307"/>
        <v>63</v>
      </c>
      <c r="D1334" s="487" t="str">
        <f t="shared" si="308"/>
        <v>0637</v>
      </c>
      <c r="E1334" s="487">
        <v>535200000</v>
      </c>
      <c r="F1334" s="488"/>
      <c r="G1334" s="489"/>
      <c r="H1334" s="489"/>
      <c r="I1334" s="488"/>
      <c r="J1334" s="487"/>
      <c r="K1334" s="487"/>
      <c r="L1334" s="488"/>
      <c r="M1334" s="487"/>
      <c r="N1334" s="487"/>
      <c r="O1334" s="488"/>
      <c r="P1334" s="489"/>
      <c r="Q1334" s="489"/>
      <c r="R1334" s="592"/>
      <c r="S1334" s="487"/>
      <c r="T1334" s="487"/>
      <c r="U1334" s="488"/>
      <c r="V1334" s="489"/>
      <c r="W1334" s="489"/>
      <c r="X1334" s="488"/>
      <c r="Y1334" s="489"/>
      <c r="Z1334" s="489"/>
      <c r="AA1334" s="490" t="str">
        <f t="shared" si="311"/>
        <v>41</v>
      </c>
      <c r="AB1334" s="489">
        <v>4</v>
      </c>
      <c r="AC1334" s="489">
        <v>1</v>
      </c>
      <c r="AD1334" s="418">
        <v>410637</v>
      </c>
      <c r="AE1334" s="27" t="s">
        <v>2408</v>
      </c>
      <c r="AF1334" s="432">
        <f>VLOOKUP(AD1334,[5]Hoja1!$A$10:$K$1393,11,0)</f>
        <v>0</v>
      </c>
      <c r="AG1334" s="432"/>
      <c r="AH1334" s="432">
        <f t="shared" si="309"/>
        <v>0</v>
      </c>
      <c r="AL1334" s="448"/>
      <c r="AM1334" s="467">
        <f>VLOOKUP(AD1334,[6]BV201101!$A$10:$A$1236,1,0)</f>
        <v>410637</v>
      </c>
    </row>
    <row r="1335" spans="1:39" s="467" customFormat="1" ht="12.75" customHeight="1">
      <c r="A1335" s="487" t="str">
        <f t="shared" si="310"/>
        <v>4</v>
      </c>
      <c r="B1335" s="487" t="str">
        <f t="shared" si="306"/>
        <v>10</v>
      </c>
      <c r="C1335" s="487" t="str">
        <f t="shared" si="307"/>
        <v>63</v>
      </c>
      <c r="D1335" s="487" t="str">
        <f t="shared" si="308"/>
        <v>0638</v>
      </c>
      <c r="E1335" s="487">
        <v>535200000</v>
      </c>
      <c r="F1335" s="488"/>
      <c r="G1335" s="489"/>
      <c r="H1335" s="489"/>
      <c r="I1335" s="488"/>
      <c r="J1335" s="487"/>
      <c r="K1335" s="487"/>
      <c r="L1335" s="488"/>
      <c r="M1335" s="487"/>
      <c r="N1335" s="487"/>
      <c r="O1335" s="488"/>
      <c r="P1335" s="489"/>
      <c r="Q1335" s="489"/>
      <c r="R1335" s="592"/>
      <c r="S1335" s="487"/>
      <c r="T1335" s="487"/>
      <c r="U1335" s="488"/>
      <c r="V1335" s="489"/>
      <c r="W1335" s="489"/>
      <c r="X1335" s="488"/>
      <c r="Y1335" s="489"/>
      <c r="Z1335" s="489"/>
      <c r="AA1335" s="490" t="str">
        <f t="shared" si="311"/>
        <v>46</v>
      </c>
      <c r="AB1335" s="489">
        <v>4</v>
      </c>
      <c r="AC1335" s="489">
        <v>6</v>
      </c>
      <c r="AD1335" s="418">
        <v>410638</v>
      </c>
      <c r="AE1335" s="27" t="s">
        <v>2409</v>
      </c>
      <c r="AF1335" s="432">
        <f>VLOOKUP(AD1335,[5]Hoja1!$A$10:$K$1393,11,0)</f>
        <v>0</v>
      </c>
      <c r="AG1335" s="432"/>
      <c r="AH1335" s="432">
        <f t="shared" si="309"/>
        <v>0</v>
      </c>
      <c r="AL1335" s="448"/>
      <c r="AM1335" s="467">
        <f>VLOOKUP(AD1335,[6]BV201101!$A$10:$A$1236,1,0)</f>
        <v>410638</v>
      </c>
    </row>
    <row r="1336" spans="1:39" s="467" customFormat="1" ht="12.75" customHeight="1">
      <c r="A1336" s="487" t="str">
        <f t="shared" si="310"/>
        <v>4</v>
      </c>
      <c r="B1336" s="487" t="str">
        <f t="shared" si="306"/>
        <v>10</v>
      </c>
      <c r="C1336" s="487" t="str">
        <f t="shared" si="307"/>
        <v>63</v>
      </c>
      <c r="D1336" s="487" t="str">
        <f t="shared" si="308"/>
        <v>0639</v>
      </c>
      <c r="E1336" s="487">
        <v>535200000</v>
      </c>
      <c r="F1336" s="488"/>
      <c r="G1336" s="489"/>
      <c r="H1336" s="489"/>
      <c r="I1336" s="488"/>
      <c r="J1336" s="487"/>
      <c r="K1336" s="487"/>
      <c r="L1336" s="488"/>
      <c r="M1336" s="487"/>
      <c r="N1336" s="487"/>
      <c r="O1336" s="488"/>
      <c r="P1336" s="489"/>
      <c r="Q1336" s="489"/>
      <c r="R1336" s="592"/>
      <c r="S1336" s="487"/>
      <c r="T1336" s="487"/>
      <c r="U1336" s="488"/>
      <c r="V1336" s="489"/>
      <c r="W1336" s="489"/>
      <c r="X1336" s="488"/>
      <c r="Y1336" s="489"/>
      <c r="Z1336" s="489"/>
      <c r="AA1336" s="490" t="str">
        <f t="shared" si="311"/>
        <v>42</v>
      </c>
      <c r="AB1336" s="489">
        <v>4</v>
      </c>
      <c r="AC1336" s="489">
        <v>2</v>
      </c>
      <c r="AD1336" s="418">
        <v>410639</v>
      </c>
      <c r="AE1336" s="27" t="s">
        <v>2410</v>
      </c>
      <c r="AF1336" s="432">
        <f>VLOOKUP(AD1336,[5]Hoja1!$A$10:$K$1393,11,0)</f>
        <v>0</v>
      </c>
      <c r="AG1336" s="432"/>
      <c r="AH1336" s="432">
        <f t="shared" si="309"/>
        <v>0</v>
      </c>
      <c r="AL1336" s="448"/>
      <c r="AM1336" s="467">
        <f>VLOOKUP(AD1336,[6]BV201101!$A$10:$A$1236,1,0)</f>
        <v>410639</v>
      </c>
    </row>
    <row r="1337" spans="1:39" s="467" customFormat="1" ht="12.75" customHeight="1">
      <c r="A1337" s="487" t="str">
        <f t="shared" si="310"/>
        <v>4</v>
      </c>
      <c r="B1337" s="487" t="str">
        <f t="shared" si="306"/>
        <v>10</v>
      </c>
      <c r="C1337" s="487" t="str">
        <f t="shared" si="307"/>
        <v>64</v>
      </c>
      <c r="D1337" s="487" t="str">
        <f t="shared" si="308"/>
        <v>0640</v>
      </c>
      <c r="E1337" s="487">
        <v>535200000</v>
      </c>
      <c r="F1337" s="488"/>
      <c r="G1337" s="489"/>
      <c r="H1337" s="489"/>
      <c r="I1337" s="488"/>
      <c r="J1337" s="487"/>
      <c r="K1337" s="487"/>
      <c r="L1337" s="488"/>
      <c r="M1337" s="487"/>
      <c r="N1337" s="487"/>
      <c r="O1337" s="488"/>
      <c r="P1337" s="489"/>
      <c r="Q1337" s="489"/>
      <c r="R1337" s="592"/>
      <c r="S1337" s="487"/>
      <c r="T1337" s="487"/>
      <c r="U1337" s="488"/>
      <c r="V1337" s="489"/>
      <c r="W1337" s="489"/>
      <c r="X1337" s="488"/>
      <c r="Y1337" s="489"/>
      <c r="Z1337" s="489"/>
      <c r="AA1337" s="490" t="str">
        <f t="shared" si="311"/>
        <v>41</v>
      </c>
      <c r="AB1337" s="489">
        <v>4</v>
      </c>
      <c r="AC1337" s="489">
        <v>1</v>
      </c>
      <c r="AD1337" s="418">
        <v>410640</v>
      </c>
      <c r="AE1337" s="27" t="s">
        <v>2411</v>
      </c>
      <c r="AF1337" s="432">
        <f>VLOOKUP(AD1337,[5]Hoja1!$A$10:$K$1393,11,0)</f>
        <v>-203793952</v>
      </c>
      <c r="AG1337" s="432"/>
      <c r="AH1337" s="432">
        <f t="shared" si="309"/>
        <v>-203794</v>
      </c>
      <c r="AL1337" s="448"/>
      <c r="AM1337" s="467">
        <f>VLOOKUP(AD1337,[6]BV201101!$A$10:$A$1236,1,0)</f>
        <v>410640</v>
      </c>
    </row>
    <row r="1338" spans="1:39" s="467" customFormat="1" ht="12.75" customHeight="1">
      <c r="A1338" s="487" t="str">
        <f t="shared" si="310"/>
        <v>4</v>
      </c>
      <c r="B1338" s="487" t="str">
        <f t="shared" si="306"/>
        <v>10</v>
      </c>
      <c r="C1338" s="487" t="str">
        <f t="shared" si="307"/>
        <v>64</v>
      </c>
      <c r="D1338" s="487" t="str">
        <f t="shared" si="308"/>
        <v>0641</v>
      </c>
      <c r="E1338" s="487">
        <v>535200000</v>
      </c>
      <c r="F1338" s="488"/>
      <c r="G1338" s="489"/>
      <c r="H1338" s="489"/>
      <c r="I1338" s="488"/>
      <c r="J1338" s="487"/>
      <c r="K1338" s="487"/>
      <c r="L1338" s="488"/>
      <c r="M1338" s="487"/>
      <c r="N1338" s="487"/>
      <c r="O1338" s="488"/>
      <c r="P1338" s="489"/>
      <c r="Q1338" s="489"/>
      <c r="R1338" s="592"/>
      <c r="S1338" s="487"/>
      <c r="T1338" s="487"/>
      <c r="U1338" s="488"/>
      <c r="V1338" s="489"/>
      <c r="W1338" s="489"/>
      <c r="X1338" s="488"/>
      <c r="Y1338" s="489"/>
      <c r="Z1338" s="489"/>
      <c r="AA1338" s="490" t="str">
        <f t="shared" si="311"/>
        <v>41</v>
      </c>
      <c r="AB1338" s="489">
        <v>4</v>
      </c>
      <c r="AC1338" s="489">
        <v>1</v>
      </c>
      <c r="AD1338" s="418">
        <v>410641</v>
      </c>
      <c r="AE1338" s="27" t="s">
        <v>28</v>
      </c>
      <c r="AF1338" s="432">
        <f>VLOOKUP(AD1338,[5]Hoja1!$A$10:$K$1393,11,0)</f>
        <v>0</v>
      </c>
      <c r="AG1338" s="432"/>
      <c r="AH1338" s="432">
        <f t="shared" si="309"/>
        <v>0</v>
      </c>
      <c r="AL1338" s="448"/>
      <c r="AM1338" s="467">
        <f>VLOOKUP(AD1338,[6]BV201101!$A$10:$A$1236,1,0)</f>
        <v>410641</v>
      </c>
    </row>
    <row r="1339" spans="1:39" s="467" customFormat="1" ht="12.75" customHeight="1">
      <c r="A1339" s="487" t="str">
        <f t="shared" si="310"/>
        <v>4</v>
      </c>
      <c r="B1339" s="487" t="str">
        <f t="shared" si="306"/>
        <v>10</v>
      </c>
      <c r="C1339" s="487" t="str">
        <f t="shared" si="307"/>
        <v>64</v>
      </c>
      <c r="D1339" s="487" t="str">
        <f t="shared" si="308"/>
        <v>0642</v>
      </c>
      <c r="E1339" s="487">
        <v>535200000</v>
      </c>
      <c r="F1339" s="488"/>
      <c r="G1339" s="489"/>
      <c r="H1339" s="489"/>
      <c r="I1339" s="488"/>
      <c r="J1339" s="487"/>
      <c r="K1339" s="487"/>
      <c r="L1339" s="488"/>
      <c r="M1339" s="487"/>
      <c r="N1339" s="487"/>
      <c r="O1339" s="488"/>
      <c r="P1339" s="489"/>
      <c r="Q1339" s="489"/>
      <c r="R1339" s="592"/>
      <c r="S1339" s="487"/>
      <c r="T1339" s="487"/>
      <c r="U1339" s="488"/>
      <c r="V1339" s="489"/>
      <c r="W1339" s="489"/>
      <c r="X1339" s="488"/>
      <c r="Y1339" s="489"/>
      <c r="Z1339" s="489"/>
      <c r="AA1339" s="490" t="str">
        <f t="shared" si="311"/>
        <v>41</v>
      </c>
      <c r="AB1339" s="489">
        <v>4</v>
      </c>
      <c r="AC1339" s="489">
        <v>1</v>
      </c>
      <c r="AD1339" s="418">
        <v>410642</v>
      </c>
      <c r="AE1339" s="27" t="s">
        <v>684</v>
      </c>
      <c r="AF1339" s="432">
        <f>VLOOKUP(AD1339,[5]Hoja1!$A$10:$K$1393,11,0)</f>
        <v>1</v>
      </c>
      <c r="AG1339" s="432"/>
      <c r="AH1339" s="432">
        <f t="shared" si="309"/>
        <v>0</v>
      </c>
      <c r="AL1339" s="448"/>
      <c r="AM1339" s="467">
        <f>VLOOKUP(AD1339,[6]BV201101!$A$10:$A$1236,1,0)</f>
        <v>410642</v>
      </c>
    </row>
    <row r="1340" spans="1:39" s="467" customFormat="1" ht="12.75" customHeight="1">
      <c r="A1340" s="487" t="str">
        <f t="shared" si="310"/>
        <v>4</v>
      </c>
      <c r="B1340" s="487" t="str">
        <f t="shared" si="306"/>
        <v>10</v>
      </c>
      <c r="C1340" s="487" t="str">
        <f t="shared" si="307"/>
        <v>64</v>
      </c>
      <c r="D1340" s="487" t="str">
        <f t="shared" si="308"/>
        <v>0643</v>
      </c>
      <c r="E1340" s="487">
        <v>535200000</v>
      </c>
      <c r="F1340" s="488"/>
      <c r="G1340" s="489"/>
      <c r="H1340" s="489"/>
      <c r="I1340" s="488"/>
      <c r="J1340" s="487"/>
      <c r="K1340" s="487"/>
      <c r="L1340" s="488"/>
      <c r="M1340" s="487"/>
      <c r="N1340" s="487"/>
      <c r="O1340" s="488"/>
      <c r="P1340" s="489"/>
      <c r="Q1340" s="489"/>
      <c r="R1340" s="592"/>
      <c r="S1340" s="487"/>
      <c r="T1340" s="487"/>
      <c r="U1340" s="488"/>
      <c r="V1340" s="489"/>
      <c r="W1340" s="489"/>
      <c r="X1340" s="488"/>
      <c r="Y1340" s="489"/>
      <c r="Z1340" s="489"/>
      <c r="AA1340" s="490" t="str">
        <f t="shared" ref="AA1340:AA1350" si="312">+AB1340&amp;AC1340</f>
        <v>41</v>
      </c>
      <c r="AB1340" s="489">
        <v>4</v>
      </c>
      <c r="AC1340" s="489">
        <v>1</v>
      </c>
      <c r="AD1340" s="418">
        <v>410643</v>
      </c>
      <c r="AE1340" s="27" t="s">
        <v>320</v>
      </c>
      <c r="AF1340" s="432">
        <f>VLOOKUP(AD1340,[5]Hoja1!$A$10:$K$1393,11,0)</f>
        <v>-1041835</v>
      </c>
      <c r="AG1340" s="432"/>
      <c r="AH1340" s="432">
        <f t="shared" si="309"/>
        <v>-1042</v>
      </c>
      <c r="AL1340" s="448"/>
      <c r="AM1340" s="467">
        <f>VLOOKUP(AD1340,[6]BV201101!$A$10:$A$1236,1,0)</f>
        <v>410643</v>
      </c>
    </row>
    <row r="1341" spans="1:39" s="467" customFormat="1" ht="12.75" customHeight="1">
      <c r="A1341" s="487" t="str">
        <f t="shared" si="310"/>
        <v>4</v>
      </c>
      <c r="B1341" s="487" t="str">
        <f t="shared" si="306"/>
        <v>10</v>
      </c>
      <c r="C1341" s="487" t="str">
        <f t="shared" si="307"/>
        <v>64</v>
      </c>
      <c r="D1341" s="487" t="str">
        <f t="shared" si="308"/>
        <v>0644</v>
      </c>
      <c r="E1341" s="487">
        <v>535200000</v>
      </c>
      <c r="F1341" s="488"/>
      <c r="G1341" s="489"/>
      <c r="H1341" s="489"/>
      <c r="I1341" s="488"/>
      <c r="J1341" s="487"/>
      <c r="K1341" s="487"/>
      <c r="L1341" s="488"/>
      <c r="M1341" s="487"/>
      <c r="N1341" s="487"/>
      <c r="O1341" s="488"/>
      <c r="P1341" s="489"/>
      <c r="Q1341" s="489"/>
      <c r="R1341" s="592"/>
      <c r="S1341" s="487"/>
      <c r="T1341" s="487"/>
      <c r="U1341" s="488"/>
      <c r="V1341" s="489"/>
      <c r="W1341" s="489"/>
      <c r="X1341" s="488"/>
      <c r="Y1341" s="489"/>
      <c r="Z1341" s="489"/>
      <c r="AA1341" s="490" t="str">
        <f t="shared" si="312"/>
        <v>41</v>
      </c>
      <c r="AB1341" s="489">
        <v>4</v>
      </c>
      <c r="AC1341" s="489">
        <v>1</v>
      </c>
      <c r="AD1341" s="418">
        <v>410644</v>
      </c>
      <c r="AE1341" s="27" t="s">
        <v>321</v>
      </c>
      <c r="AF1341" s="432">
        <f>VLOOKUP(AD1341,[5]Hoja1!$A$10:$K$1393,11,0)</f>
        <v>-80563704</v>
      </c>
      <c r="AG1341" s="432"/>
      <c r="AH1341" s="432">
        <f t="shared" si="309"/>
        <v>-80564</v>
      </c>
      <c r="AL1341" s="448"/>
      <c r="AM1341" s="467">
        <f>VLOOKUP(AD1341,[6]BV201101!$A$10:$A$1236,1,0)</f>
        <v>410644</v>
      </c>
    </row>
    <row r="1342" spans="1:39" s="467" customFormat="1" ht="12.75" customHeight="1">
      <c r="A1342" s="487" t="str">
        <f t="shared" si="310"/>
        <v>4</v>
      </c>
      <c r="B1342" s="487" t="str">
        <f t="shared" si="306"/>
        <v>10</v>
      </c>
      <c r="C1342" s="487" t="str">
        <f t="shared" si="307"/>
        <v>64</v>
      </c>
      <c r="D1342" s="487" t="str">
        <f t="shared" si="308"/>
        <v>0645</v>
      </c>
      <c r="E1342" s="487">
        <v>535200000</v>
      </c>
      <c r="F1342" s="488"/>
      <c r="G1342" s="489"/>
      <c r="H1342" s="489"/>
      <c r="I1342" s="488"/>
      <c r="J1342" s="487"/>
      <c r="K1342" s="487"/>
      <c r="L1342" s="488"/>
      <c r="M1342" s="487"/>
      <c r="N1342" s="487"/>
      <c r="O1342" s="488"/>
      <c r="P1342" s="489"/>
      <c r="Q1342" s="489"/>
      <c r="R1342" s="592"/>
      <c r="S1342" s="487"/>
      <c r="T1342" s="487"/>
      <c r="U1342" s="488"/>
      <c r="V1342" s="489"/>
      <c r="W1342" s="489"/>
      <c r="X1342" s="488"/>
      <c r="Y1342" s="489"/>
      <c r="Z1342" s="489"/>
      <c r="AA1342" s="490" t="str">
        <f t="shared" si="312"/>
        <v>41</v>
      </c>
      <c r="AB1342" s="489">
        <v>4</v>
      </c>
      <c r="AC1342" s="489">
        <v>1</v>
      </c>
      <c r="AD1342" s="418">
        <v>410645</v>
      </c>
      <c r="AE1342" s="27" t="s">
        <v>322</v>
      </c>
      <c r="AF1342" s="432">
        <f>VLOOKUP(AD1342,[5]Hoja1!$A$10:$K$1393,11,0)</f>
        <v>-1429972022</v>
      </c>
      <c r="AG1342" s="432"/>
      <c r="AH1342" s="432">
        <f t="shared" si="309"/>
        <v>-1429972</v>
      </c>
      <c r="AL1342" s="448"/>
      <c r="AM1342" s="467">
        <f>VLOOKUP(AD1342,[6]BV201101!$A$10:$A$1236,1,0)</f>
        <v>410645</v>
      </c>
    </row>
    <row r="1343" spans="1:39" s="467" customFormat="1" ht="12.75" customHeight="1">
      <c r="A1343" s="487" t="str">
        <f t="shared" si="310"/>
        <v>4</v>
      </c>
      <c r="B1343" s="487" t="str">
        <f t="shared" si="306"/>
        <v>10</v>
      </c>
      <c r="C1343" s="487" t="str">
        <f t="shared" si="307"/>
        <v>64</v>
      </c>
      <c r="D1343" s="487" t="str">
        <f t="shared" si="308"/>
        <v>0646</v>
      </c>
      <c r="E1343" s="487">
        <v>535200000</v>
      </c>
      <c r="F1343" s="488"/>
      <c r="G1343" s="489"/>
      <c r="H1343" s="489"/>
      <c r="I1343" s="488"/>
      <c r="J1343" s="487"/>
      <c r="K1343" s="487"/>
      <c r="L1343" s="488"/>
      <c r="M1343" s="487"/>
      <c r="N1343" s="487"/>
      <c r="O1343" s="488"/>
      <c r="P1343" s="489"/>
      <c r="Q1343" s="489"/>
      <c r="R1343" s="592"/>
      <c r="S1343" s="487"/>
      <c r="T1343" s="487"/>
      <c r="U1343" s="488"/>
      <c r="V1343" s="489"/>
      <c r="W1343" s="489"/>
      <c r="X1343" s="488"/>
      <c r="Y1343" s="489"/>
      <c r="Z1343" s="489"/>
      <c r="AA1343" s="490" t="str">
        <f t="shared" si="312"/>
        <v>41</v>
      </c>
      <c r="AB1343" s="489">
        <v>4</v>
      </c>
      <c r="AC1343" s="489">
        <v>1</v>
      </c>
      <c r="AD1343" s="418">
        <v>410646</v>
      </c>
      <c r="AE1343" s="27" t="s">
        <v>323</v>
      </c>
      <c r="AF1343" s="432">
        <f>VLOOKUP(AD1343,[5]Hoja1!$A$10:$K$1393,11,0)</f>
        <v>-138895849</v>
      </c>
      <c r="AG1343" s="432"/>
      <c r="AH1343" s="432">
        <f t="shared" si="309"/>
        <v>-138896</v>
      </c>
      <c r="AL1343" s="448"/>
      <c r="AM1343" s="467">
        <f>VLOOKUP(AD1343,[6]BV201101!$A$10:$A$1236,1,0)</f>
        <v>410646</v>
      </c>
    </row>
    <row r="1344" spans="1:39" s="467" customFormat="1" ht="12.75" customHeight="1">
      <c r="A1344" s="487" t="str">
        <f t="shared" si="310"/>
        <v>4</v>
      </c>
      <c r="B1344" s="487" t="str">
        <f t="shared" si="306"/>
        <v>10</v>
      </c>
      <c r="C1344" s="487" t="str">
        <f t="shared" si="307"/>
        <v>64</v>
      </c>
      <c r="D1344" s="487" t="str">
        <f t="shared" si="308"/>
        <v>0647</v>
      </c>
      <c r="E1344" s="487">
        <v>535200000</v>
      </c>
      <c r="F1344" s="488"/>
      <c r="G1344" s="489"/>
      <c r="H1344" s="489"/>
      <c r="I1344" s="488"/>
      <c r="J1344" s="487"/>
      <c r="K1344" s="487"/>
      <c r="L1344" s="488"/>
      <c r="M1344" s="487"/>
      <c r="N1344" s="487"/>
      <c r="O1344" s="488"/>
      <c r="P1344" s="489"/>
      <c r="Q1344" s="489"/>
      <c r="R1344" s="592"/>
      <c r="S1344" s="487"/>
      <c r="T1344" s="487"/>
      <c r="U1344" s="488"/>
      <c r="V1344" s="489"/>
      <c r="W1344" s="489"/>
      <c r="X1344" s="488"/>
      <c r="Y1344" s="489"/>
      <c r="Z1344" s="489"/>
      <c r="AA1344" s="490" t="str">
        <f t="shared" si="312"/>
        <v>41</v>
      </c>
      <c r="AB1344" s="489">
        <v>4</v>
      </c>
      <c r="AC1344" s="489">
        <v>1</v>
      </c>
      <c r="AD1344" s="418">
        <v>410647</v>
      </c>
      <c r="AE1344" s="27" t="s">
        <v>324</v>
      </c>
      <c r="AF1344" s="432">
        <f>VLOOKUP(AD1344,[5]Hoja1!$A$10:$K$1393,11,0)</f>
        <v>-612406045</v>
      </c>
      <c r="AG1344" s="432"/>
      <c r="AH1344" s="432">
        <f t="shared" si="309"/>
        <v>-612406</v>
      </c>
      <c r="AL1344" s="448"/>
      <c r="AM1344" s="467">
        <f>VLOOKUP(AD1344,[6]BV201101!$A$10:$A$1236,1,0)</f>
        <v>410647</v>
      </c>
    </row>
    <row r="1345" spans="1:39" s="467" customFormat="1" ht="12.75" customHeight="1">
      <c r="A1345" s="487" t="str">
        <f t="shared" si="310"/>
        <v>4</v>
      </c>
      <c r="B1345" s="487" t="str">
        <f t="shared" si="306"/>
        <v>10</v>
      </c>
      <c r="C1345" s="487" t="str">
        <f t="shared" si="307"/>
        <v>64</v>
      </c>
      <c r="D1345" s="487" t="str">
        <f t="shared" si="308"/>
        <v>0648</v>
      </c>
      <c r="E1345" s="487">
        <v>535200000</v>
      </c>
      <c r="F1345" s="488"/>
      <c r="G1345" s="489"/>
      <c r="H1345" s="489"/>
      <c r="I1345" s="488"/>
      <c r="J1345" s="487"/>
      <c r="K1345" s="487"/>
      <c r="L1345" s="488"/>
      <c r="M1345" s="487"/>
      <c r="N1345" s="487"/>
      <c r="O1345" s="488"/>
      <c r="P1345" s="489"/>
      <c r="Q1345" s="489"/>
      <c r="R1345" s="592"/>
      <c r="S1345" s="487"/>
      <c r="T1345" s="487"/>
      <c r="U1345" s="488"/>
      <c r="V1345" s="489"/>
      <c r="W1345" s="489"/>
      <c r="X1345" s="488"/>
      <c r="Y1345" s="489"/>
      <c r="Z1345" s="489"/>
      <c r="AA1345" s="490" t="str">
        <f t="shared" si="312"/>
        <v>41</v>
      </c>
      <c r="AB1345" s="489">
        <v>4</v>
      </c>
      <c r="AC1345" s="489">
        <v>1</v>
      </c>
      <c r="AD1345" s="418">
        <v>410648</v>
      </c>
      <c r="AE1345" s="27" t="s">
        <v>325</v>
      </c>
      <c r="AF1345" s="432">
        <f>VLOOKUP(AD1345,[5]Hoja1!$A$10:$K$1393,11,0)</f>
        <v>-516024791</v>
      </c>
      <c r="AG1345" s="432"/>
      <c r="AH1345" s="432">
        <f t="shared" si="309"/>
        <v>-516025</v>
      </c>
      <c r="AL1345" s="448"/>
      <c r="AM1345" s="467">
        <f>VLOOKUP(AD1345,[6]BV201101!$A$10:$A$1236,1,0)</f>
        <v>410648</v>
      </c>
    </row>
    <row r="1346" spans="1:39" s="467" customFormat="1" ht="12.75" customHeight="1">
      <c r="A1346" s="487" t="str">
        <f t="shared" si="310"/>
        <v>4</v>
      </c>
      <c r="B1346" s="487" t="str">
        <f t="shared" si="306"/>
        <v>10</v>
      </c>
      <c r="C1346" s="487" t="str">
        <f t="shared" si="307"/>
        <v>64</v>
      </c>
      <c r="D1346" s="487" t="str">
        <f t="shared" si="308"/>
        <v>0649</v>
      </c>
      <c r="E1346" s="487">
        <v>535200000</v>
      </c>
      <c r="F1346" s="488"/>
      <c r="G1346" s="489"/>
      <c r="H1346" s="489"/>
      <c r="I1346" s="488"/>
      <c r="J1346" s="487"/>
      <c r="K1346" s="487"/>
      <c r="L1346" s="488"/>
      <c r="M1346" s="487"/>
      <c r="N1346" s="487"/>
      <c r="O1346" s="488"/>
      <c r="P1346" s="489"/>
      <c r="Q1346" s="489"/>
      <c r="R1346" s="592"/>
      <c r="S1346" s="487"/>
      <c r="T1346" s="487"/>
      <c r="U1346" s="488"/>
      <c r="V1346" s="489"/>
      <c r="W1346" s="489"/>
      <c r="X1346" s="488"/>
      <c r="Y1346" s="489"/>
      <c r="Z1346" s="489"/>
      <c r="AA1346" s="490" t="str">
        <f t="shared" si="312"/>
        <v>41</v>
      </c>
      <c r="AB1346" s="489">
        <v>4</v>
      </c>
      <c r="AC1346" s="489">
        <v>1</v>
      </c>
      <c r="AD1346" s="418">
        <v>410649</v>
      </c>
      <c r="AE1346" s="27" t="s">
        <v>326</v>
      </c>
      <c r="AF1346" s="432">
        <f>VLOOKUP(AD1346,[5]Hoja1!$A$10:$K$1393,11,0)</f>
        <v>-15169254</v>
      </c>
      <c r="AG1346" s="432"/>
      <c r="AH1346" s="432">
        <f t="shared" si="309"/>
        <v>-15169</v>
      </c>
      <c r="AL1346" s="448"/>
      <c r="AM1346" s="467">
        <f>VLOOKUP(AD1346,[6]BV201101!$A$10:$A$1236,1,0)</f>
        <v>410649</v>
      </c>
    </row>
    <row r="1347" spans="1:39" s="467" customFormat="1" ht="12.75" customHeight="1">
      <c r="A1347" s="487" t="str">
        <f t="shared" si="310"/>
        <v>4</v>
      </c>
      <c r="B1347" s="487" t="str">
        <f t="shared" si="306"/>
        <v>10</v>
      </c>
      <c r="C1347" s="487" t="str">
        <f t="shared" si="307"/>
        <v>65</v>
      </c>
      <c r="D1347" s="487" t="str">
        <f t="shared" si="308"/>
        <v>0650</v>
      </c>
      <c r="E1347" s="487">
        <v>535200000</v>
      </c>
      <c r="F1347" s="488"/>
      <c r="G1347" s="489"/>
      <c r="H1347" s="489"/>
      <c r="I1347" s="488"/>
      <c r="J1347" s="487"/>
      <c r="K1347" s="487"/>
      <c r="L1347" s="488"/>
      <c r="M1347" s="487"/>
      <c r="N1347" s="487"/>
      <c r="O1347" s="488"/>
      <c r="P1347" s="489"/>
      <c r="Q1347" s="489"/>
      <c r="R1347" s="592"/>
      <c r="S1347" s="487"/>
      <c r="T1347" s="487"/>
      <c r="U1347" s="488"/>
      <c r="V1347" s="489"/>
      <c r="W1347" s="489"/>
      <c r="X1347" s="488"/>
      <c r="Y1347" s="489"/>
      <c r="Z1347" s="489"/>
      <c r="AA1347" s="490" t="str">
        <f t="shared" si="312"/>
        <v>41</v>
      </c>
      <c r="AB1347" s="489">
        <v>4</v>
      </c>
      <c r="AC1347" s="489">
        <v>1</v>
      </c>
      <c r="AD1347" s="418">
        <v>410650</v>
      </c>
      <c r="AE1347" s="27" t="s">
        <v>327</v>
      </c>
      <c r="AF1347" s="432">
        <f>VLOOKUP(AD1347,[5]Hoja1!$A$10:$K$1393,11,0)</f>
        <v>-61017526</v>
      </c>
      <c r="AG1347" s="432"/>
      <c r="AH1347" s="432">
        <f t="shared" si="309"/>
        <v>-61018</v>
      </c>
      <c r="AL1347" s="448"/>
      <c r="AM1347" s="467">
        <f>VLOOKUP(AD1347,[6]BV201101!$A$10:$A$1236,1,0)</f>
        <v>410650</v>
      </c>
    </row>
    <row r="1348" spans="1:39" s="467" customFormat="1" ht="12.75" customHeight="1">
      <c r="A1348" s="487" t="str">
        <f t="shared" si="310"/>
        <v>4</v>
      </c>
      <c r="B1348" s="487" t="str">
        <f t="shared" si="306"/>
        <v>10</v>
      </c>
      <c r="C1348" s="487" t="str">
        <f t="shared" si="307"/>
        <v>65</v>
      </c>
      <c r="D1348" s="487" t="str">
        <f t="shared" si="308"/>
        <v>0651</v>
      </c>
      <c r="E1348" s="487">
        <v>535200000</v>
      </c>
      <c r="F1348" s="488"/>
      <c r="G1348" s="489"/>
      <c r="H1348" s="489"/>
      <c r="I1348" s="488"/>
      <c r="J1348" s="487"/>
      <c r="K1348" s="487"/>
      <c r="L1348" s="488"/>
      <c r="M1348" s="487"/>
      <c r="N1348" s="487"/>
      <c r="O1348" s="488"/>
      <c r="P1348" s="489"/>
      <c r="Q1348" s="489"/>
      <c r="R1348" s="592"/>
      <c r="S1348" s="487"/>
      <c r="T1348" s="487"/>
      <c r="U1348" s="488"/>
      <c r="V1348" s="489"/>
      <c r="W1348" s="489"/>
      <c r="X1348" s="488"/>
      <c r="Y1348" s="489"/>
      <c r="Z1348" s="489"/>
      <c r="AA1348" s="490" t="str">
        <f t="shared" si="312"/>
        <v>41</v>
      </c>
      <c r="AB1348" s="489">
        <v>4</v>
      </c>
      <c r="AC1348" s="489">
        <v>1</v>
      </c>
      <c r="AD1348" s="418">
        <v>410651</v>
      </c>
      <c r="AE1348" s="27" t="s">
        <v>328</v>
      </c>
      <c r="AF1348" s="432">
        <f>VLOOKUP(AD1348,[5]Hoja1!$A$10:$K$1393,11,0)</f>
        <v>-128716</v>
      </c>
      <c r="AG1348" s="432"/>
      <c r="AH1348" s="432">
        <f t="shared" si="309"/>
        <v>-129</v>
      </c>
      <c r="AL1348" s="448"/>
      <c r="AM1348" s="467">
        <f>VLOOKUP(AD1348,[6]BV201101!$A$10:$A$1236,1,0)</f>
        <v>410651</v>
      </c>
    </row>
    <row r="1349" spans="1:39" s="467" customFormat="1" ht="12.75" customHeight="1">
      <c r="A1349" s="487" t="str">
        <f t="shared" si="310"/>
        <v>4</v>
      </c>
      <c r="B1349" s="487" t="str">
        <f t="shared" si="306"/>
        <v>10</v>
      </c>
      <c r="C1349" s="487" t="str">
        <f t="shared" si="307"/>
        <v>65</v>
      </c>
      <c r="D1349" s="487" t="str">
        <f t="shared" si="308"/>
        <v>0652</v>
      </c>
      <c r="E1349" s="487">
        <v>535200000</v>
      </c>
      <c r="F1349" s="488"/>
      <c r="G1349" s="489"/>
      <c r="H1349" s="489"/>
      <c r="I1349" s="488"/>
      <c r="J1349" s="487"/>
      <c r="K1349" s="487"/>
      <c r="L1349" s="488"/>
      <c r="M1349" s="487"/>
      <c r="N1349" s="487"/>
      <c r="O1349" s="488"/>
      <c r="P1349" s="489"/>
      <c r="Q1349" s="489"/>
      <c r="R1349" s="592"/>
      <c r="S1349" s="487"/>
      <c r="T1349" s="487"/>
      <c r="U1349" s="488"/>
      <c r="V1349" s="489"/>
      <c r="W1349" s="489"/>
      <c r="X1349" s="488"/>
      <c r="Y1349" s="489"/>
      <c r="Z1349" s="489"/>
      <c r="AA1349" s="490" t="str">
        <f t="shared" si="312"/>
        <v>41</v>
      </c>
      <c r="AB1349" s="489">
        <v>4</v>
      </c>
      <c r="AC1349" s="489">
        <v>1</v>
      </c>
      <c r="AD1349" s="418">
        <v>410652</v>
      </c>
      <c r="AE1349" s="27" t="s">
        <v>329</v>
      </c>
      <c r="AF1349" s="432">
        <f>VLOOKUP(AD1349,[5]Hoja1!$A$10:$K$1393,11,0)</f>
        <v>0</v>
      </c>
      <c r="AG1349" s="432"/>
      <c r="AH1349" s="432">
        <f t="shared" si="309"/>
        <v>0</v>
      </c>
      <c r="AL1349" s="448"/>
      <c r="AM1349" s="467">
        <f>VLOOKUP(AD1349,[6]BV201101!$A$10:$A$1236,1,0)</f>
        <v>410652</v>
      </c>
    </row>
    <row r="1350" spans="1:39" s="467" customFormat="1" ht="12.75" customHeight="1">
      <c r="A1350" s="487" t="str">
        <f t="shared" si="310"/>
        <v>4</v>
      </c>
      <c r="B1350" s="487" t="str">
        <f t="shared" si="306"/>
        <v>10</v>
      </c>
      <c r="C1350" s="487" t="str">
        <f t="shared" si="307"/>
        <v>65</v>
      </c>
      <c r="D1350" s="487" t="str">
        <f t="shared" si="308"/>
        <v>0653</v>
      </c>
      <c r="E1350" s="487">
        <v>535200000</v>
      </c>
      <c r="F1350" s="488"/>
      <c r="G1350" s="489"/>
      <c r="H1350" s="489"/>
      <c r="I1350" s="488"/>
      <c r="J1350" s="487"/>
      <c r="K1350" s="487"/>
      <c r="L1350" s="488"/>
      <c r="M1350" s="487"/>
      <c r="N1350" s="487"/>
      <c r="O1350" s="488"/>
      <c r="P1350" s="489"/>
      <c r="Q1350" s="489"/>
      <c r="R1350" s="592"/>
      <c r="S1350" s="487"/>
      <c r="T1350" s="487"/>
      <c r="U1350" s="488"/>
      <c r="V1350" s="489"/>
      <c r="W1350" s="489"/>
      <c r="X1350" s="488"/>
      <c r="Y1350" s="489"/>
      <c r="Z1350" s="489"/>
      <c r="AA1350" s="490" t="str">
        <f t="shared" si="312"/>
        <v>41</v>
      </c>
      <c r="AB1350" s="489">
        <v>4</v>
      </c>
      <c r="AC1350" s="489">
        <v>1</v>
      </c>
      <c r="AD1350" s="418">
        <v>410653</v>
      </c>
      <c r="AE1350" s="27" t="s">
        <v>2412</v>
      </c>
      <c r="AF1350" s="432">
        <f>VLOOKUP(AD1350,[5]Hoja1!$A$10:$K$1393,11,0)</f>
        <v>0</v>
      </c>
      <c r="AG1350" s="432"/>
      <c r="AH1350" s="432">
        <f t="shared" si="309"/>
        <v>0</v>
      </c>
      <c r="AL1350" s="448"/>
      <c r="AM1350" s="467">
        <f>VLOOKUP(AD1350,[6]BV201101!$A$10:$A$1236,1,0)</f>
        <v>410653</v>
      </c>
    </row>
    <row r="1351" spans="1:39" s="467" customFormat="1" ht="12.75" customHeight="1">
      <c r="A1351" s="487" t="str">
        <f t="shared" si="310"/>
        <v>4</v>
      </c>
      <c r="B1351" s="487" t="str">
        <f t="shared" si="306"/>
        <v>10</v>
      </c>
      <c r="C1351" s="487" t="str">
        <f t="shared" si="307"/>
        <v>65</v>
      </c>
      <c r="D1351" s="487" t="str">
        <f t="shared" si="308"/>
        <v>0654</v>
      </c>
      <c r="E1351" s="487">
        <v>535200000</v>
      </c>
      <c r="F1351" s="488"/>
      <c r="G1351" s="489"/>
      <c r="H1351" s="489"/>
      <c r="I1351" s="488"/>
      <c r="J1351" s="487"/>
      <c r="K1351" s="487"/>
      <c r="L1351" s="488"/>
      <c r="M1351" s="487"/>
      <c r="N1351" s="487"/>
      <c r="O1351" s="488"/>
      <c r="P1351" s="489"/>
      <c r="Q1351" s="489"/>
      <c r="R1351" s="592"/>
      <c r="S1351" s="487"/>
      <c r="T1351" s="487"/>
      <c r="U1351" s="488"/>
      <c r="V1351" s="489"/>
      <c r="W1351" s="489"/>
      <c r="X1351" s="488"/>
      <c r="Y1351" s="489"/>
      <c r="Z1351" s="489"/>
      <c r="AA1351" s="490" t="str">
        <f t="shared" ref="AA1351:AA1373" si="313">+AB1351&amp;AC1351</f>
        <v>41</v>
      </c>
      <c r="AB1351" s="489">
        <v>4</v>
      </c>
      <c r="AC1351" s="489">
        <v>1</v>
      </c>
      <c r="AD1351" s="418">
        <v>410654</v>
      </c>
      <c r="AE1351" s="27" t="s">
        <v>989</v>
      </c>
      <c r="AF1351" s="432">
        <f>VLOOKUP(AD1351,[5]Hoja1!$A$10:$K$1393,11,0)</f>
        <v>0</v>
      </c>
      <c r="AG1351" s="432"/>
      <c r="AH1351" s="432">
        <f t="shared" si="309"/>
        <v>0</v>
      </c>
      <c r="AL1351" s="448"/>
      <c r="AM1351" s="467">
        <f>VLOOKUP(AD1351,[6]BV201101!$A$10:$A$1236,1,0)</f>
        <v>410654</v>
      </c>
    </row>
    <row r="1352" spans="1:39" s="467" customFormat="1" ht="12.75" customHeight="1">
      <c r="A1352" s="487" t="str">
        <f t="shared" si="310"/>
        <v>4</v>
      </c>
      <c r="B1352" s="487" t="str">
        <f t="shared" si="306"/>
        <v>10</v>
      </c>
      <c r="C1352" s="487" t="str">
        <f t="shared" si="307"/>
        <v>65</v>
      </c>
      <c r="D1352" s="487" t="str">
        <f t="shared" si="308"/>
        <v>0655</v>
      </c>
      <c r="E1352" s="487">
        <v>535200000</v>
      </c>
      <c r="F1352" s="488"/>
      <c r="G1352" s="489"/>
      <c r="H1352" s="489"/>
      <c r="I1352" s="488"/>
      <c r="J1352" s="487"/>
      <c r="K1352" s="487"/>
      <c r="L1352" s="488"/>
      <c r="M1352" s="487"/>
      <c r="N1352" s="487"/>
      <c r="O1352" s="488"/>
      <c r="P1352" s="489"/>
      <c r="Q1352" s="489"/>
      <c r="R1352" s="592"/>
      <c r="S1352" s="487"/>
      <c r="T1352" s="487"/>
      <c r="U1352" s="488"/>
      <c r="V1352" s="489"/>
      <c r="W1352" s="489"/>
      <c r="X1352" s="488"/>
      <c r="Y1352" s="489"/>
      <c r="Z1352" s="489"/>
      <c r="AA1352" s="490" t="str">
        <f t="shared" si="313"/>
        <v>41</v>
      </c>
      <c r="AB1352" s="489">
        <v>4</v>
      </c>
      <c r="AC1352" s="489">
        <v>1</v>
      </c>
      <c r="AD1352" s="418">
        <v>410655</v>
      </c>
      <c r="AE1352" s="27" t="s">
        <v>1285</v>
      </c>
      <c r="AF1352" s="432">
        <f>VLOOKUP(AD1352,[5]Hoja1!$A$10:$K$1393,11,0)</f>
        <v>-1596138</v>
      </c>
      <c r="AG1352" s="432"/>
      <c r="AH1352" s="432">
        <f t="shared" si="309"/>
        <v>-1596</v>
      </c>
      <c r="AL1352" s="448"/>
      <c r="AM1352" s="467">
        <f>VLOOKUP(AD1352,[6]BV201101!$A$10:$A$1236,1,0)</f>
        <v>410655</v>
      </c>
    </row>
    <row r="1353" spans="1:39" s="467" customFormat="1" ht="12.75" customHeight="1">
      <c r="A1353" s="487" t="str">
        <f t="shared" si="310"/>
        <v>4</v>
      </c>
      <c r="B1353" s="487" t="str">
        <f t="shared" si="306"/>
        <v>10</v>
      </c>
      <c r="C1353" s="487" t="str">
        <f t="shared" si="307"/>
        <v>65</v>
      </c>
      <c r="D1353" s="487" t="str">
        <f t="shared" si="308"/>
        <v>0656</v>
      </c>
      <c r="E1353" s="487">
        <v>535200000</v>
      </c>
      <c r="F1353" s="488"/>
      <c r="G1353" s="489"/>
      <c r="H1353" s="489"/>
      <c r="I1353" s="488"/>
      <c r="J1353" s="487"/>
      <c r="K1353" s="487"/>
      <c r="L1353" s="488"/>
      <c r="M1353" s="487"/>
      <c r="N1353" s="487"/>
      <c r="O1353" s="488"/>
      <c r="P1353" s="489"/>
      <c r="Q1353" s="489"/>
      <c r="R1353" s="592"/>
      <c r="S1353" s="487"/>
      <c r="T1353" s="487"/>
      <c r="U1353" s="488"/>
      <c r="V1353" s="489"/>
      <c r="W1353" s="489"/>
      <c r="X1353" s="488"/>
      <c r="Y1353" s="489"/>
      <c r="Z1353" s="489"/>
      <c r="AA1353" s="490" t="str">
        <f t="shared" si="313"/>
        <v>41</v>
      </c>
      <c r="AB1353" s="489">
        <v>4</v>
      </c>
      <c r="AC1353" s="489">
        <v>1</v>
      </c>
      <c r="AD1353" s="418">
        <v>410656</v>
      </c>
      <c r="AE1353" s="27" t="s">
        <v>2413</v>
      </c>
      <c r="AF1353" s="432">
        <f>VLOOKUP(AD1353,[5]Hoja1!$A$10:$K$1393,11,0)</f>
        <v>-105352336</v>
      </c>
      <c r="AG1353" s="432"/>
      <c r="AH1353" s="432">
        <f t="shared" si="309"/>
        <v>-105352</v>
      </c>
      <c r="AL1353" s="448"/>
      <c r="AM1353" s="467">
        <f>VLOOKUP(AD1353,[6]BV201101!$A$10:$A$1236,1,0)</f>
        <v>410656</v>
      </c>
    </row>
    <row r="1354" spans="1:39" s="467" customFormat="1" ht="12.75" customHeight="1">
      <c r="A1354" s="487" t="str">
        <f t="shared" si="310"/>
        <v>4</v>
      </c>
      <c r="B1354" s="487" t="str">
        <f t="shared" si="306"/>
        <v>10</v>
      </c>
      <c r="C1354" s="487" t="str">
        <f t="shared" si="307"/>
        <v>65</v>
      </c>
      <c r="D1354" s="487" t="str">
        <f t="shared" si="308"/>
        <v>0657</v>
      </c>
      <c r="E1354" s="487">
        <v>535200000</v>
      </c>
      <c r="F1354" s="488"/>
      <c r="G1354" s="489"/>
      <c r="H1354" s="489"/>
      <c r="I1354" s="488"/>
      <c r="J1354" s="487"/>
      <c r="K1354" s="487"/>
      <c r="L1354" s="488"/>
      <c r="M1354" s="487"/>
      <c r="N1354" s="487"/>
      <c r="O1354" s="488"/>
      <c r="P1354" s="489"/>
      <c r="Q1354" s="489"/>
      <c r="R1354" s="592"/>
      <c r="S1354" s="487"/>
      <c r="T1354" s="487"/>
      <c r="U1354" s="488"/>
      <c r="V1354" s="489"/>
      <c r="W1354" s="489"/>
      <c r="X1354" s="488"/>
      <c r="Y1354" s="489"/>
      <c r="Z1354" s="489"/>
      <c r="AA1354" s="490" t="str">
        <f t="shared" si="313"/>
        <v>42</v>
      </c>
      <c r="AB1354" s="489">
        <v>4</v>
      </c>
      <c r="AC1354" s="489">
        <v>2</v>
      </c>
      <c r="AD1354" s="418">
        <v>410657</v>
      </c>
      <c r="AE1354" s="27" t="s">
        <v>1293</v>
      </c>
      <c r="AF1354" s="432">
        <f>VLOOKUP(AD1354,[5]Hoja1!$A$10:$K$1393,11,0)</f>
        <v>-1113113894</v>
      </c>
      <c r="AG1354" s="432"/>
      <c r="AH1354" s="432">
        <f t="shared" si="309"/>
        <v>-1113114</v>
      </c>
      <c r="AL1354" s="448"/>
      <c r="AM1354" s="467">
        <f>VLOOKUP(AD1354,[6]BV201101!$A$10:$A$1236,1,0)</f>
        <v>410657</v>
      </c>
    </row>
    <row r="1355" spans="1:39" s="467" customFormat="1" ht="12.75" customHeight="1">
      <c r="A1355" s="487" t="str">
        <f t="shared" si="310"/>
        <v>4</v>
      </c>
      <c r="B1355" s="487" t="str">
        <f t="shared" si="306"/>
        <v>10</v>
      </c>
      <c r="C1355" s="487" t="str">
        <f t="shared" si="307"/>
        <v>65</v>
      </c>
      <c r="D1355" s="487" t="str">
        <f t="shared" si="308"/>
        <v>0658</v>
      </c>
      <c r="E1355" s="487">
        <v>535200000</v>
      </c>
      <c r="F1355" s="488"/>
      <c r="G1355" s="489"/>
      <c r="H1355" s="489"/>
      <c r="I1355" s="488"/>
      <c r="J1355" s="487"/>
      <c r="K1355" s="487"/>
      <c r="L1355" s="488"/>
      <c r="M1355" s="487"/>
      <c r="N1355" s="487"/>
      <c r="O1355" s="488"/>
      <c r="P1355" s="489"/>
      <c r="Q1355" s="489"/>
      <c r="R1355" s="592"/>
      <c r="S1355" s="487"/>
      <c r="T1355" s="487"/>
      <c r="U1355" s="488"/>
      <c r="V1355" s="489"/>
      <c r="W1355" s="489"/>
      <c r="X1355" s="488"/>
      <c r="Y1355" s="489"/>
      <c r="Z1355" s="489"/>
      <c r="AA1355" s="490" t="str">
        <f t="shared" si="313"/>
        <v>42</v>
      </c>
      <c r="AB1355" s="489">
        <v>4</v>
      </c>
      <c r="AC1355" s="489">
        <v>2</v>
      </c>
      <c r="AD1355" s="418">
        <v>410658</v>
      </c>
      <c r="AE1355" s="27" t="s">
        <v>1294</v>
      </c>
      <c r="AF1355" s="432">
        <f>VLOOKUP(AD1355,[5]Hoja1!$A$10:$K$1393,11,0)</f>
        <v>53731008</v>
      </c>
      <c r="AG1355" s="432"/>
      <c r="AH1355" s="432">
        <f t="shared" si="309"/>
        <v>53731</v>
      </c>
      <c r="AL1355" s="448"/>
      <c r="AM1355" s="467">
        <f>VLOOKUP(AD1355,[6]BV201101!$A$10:$A$1236,1,0)</f>
        <v>410658</v>
      </c>
    </row>
    <row r="1356" spans="1:39" s="467" customFormat="1" ht="12.75" customHeight="1">
      <c r="A1356" s="487" t="str">
        <f t="shared" si="310"/>
        <v>4</v>
      </c>
      <c r="B1356" s="487" t="str">
        <f t="shared" si="306"/>
        <v>10</v>
      </c>
      <c r="C1356" s="487" t="str">
        <f t="shared" si="307"/>
        <v>65</v>
      </c>
      <c r="D1356" s="487" t="str">
        <f t="shared" si="308"/>
        <v>0659</v>
      </c>
      <c r="E1356" s="487">
        <v>535200000</v>
      </c>
      <c r="F1356" s="488"/>
      <c r="G1356" s="489"/>
      <c r="H1356" s="489"/>
      <c r="I1356" s="488"/>
      <c r="J1356" s="487"/>
      <c r="K1356" s="487"/>
      <c r="L1356" s="488"/>
      <c r="M1356" s="487"/>
      <c r="N1356" s="487"/>
      <c r="O1356" s="488"/>
      <c r="P1356" s="489"/>
      <c r="Q1356" s="489"/>
      <c r="R1356" s="592"/>
      <c r="S1356" s="487"/>
      <c r="T1356" s="487"/>
      <c r="U1356" s="488"/>
      <c r="V1356" s="489"/>
      <c r="W1356" s="489"/>
      <c r="X1356" s="488"/>
      <c r="Y1356" s="489"/>
      <c r="Z1356" s="489"/>
      <c r="AA1356" s="490" t="str">
        <f t="shared" si="313"/>
        <v>41</v>
      </c>
      <c r="AB1356" s="489">
        <v>4</v>
      </c>
      <c r="AC1356" s="489">
        <v>1</v>
      </c>
      <c r="AD1356" s="418">
        <v>410659</v>
      </c>
      <c r="AE1356" s="27" t="s">
        <v>915</v>
      </c>
      <c r="AF1356" s="432">
        <f>VLOOKUP(AD1356,[5]Hoja1!$A$10:$K$1393,11,0)</f>
        <v>-70591683</v>
      </c>
      <c r="AG1356" s="432"/>
      <c r="AH1356" s="432">
        <f t="shared" si="309"/>
        <v>-70592</v>
      </c>
      <c r="AL1356" s="448"/>
      <c r="AM1356" s="467">
        <f>VLOOKUP(AD1356,[6]BV201101!$A$10:$A$1236,1,0)</f>
        <v>410659</v>
      </c>
    </row>
    <row r="1357" spans="1:39" s="467" customFormat="1" ht="12.75" customHeight="1">
      <c r="A1357" s="487" t="str">
        <f t="shared" si="310"/>
        <v>4</v>
      </c>
      <c r="B1357" s="487" t="str">
        <f t="shared" si="306"/>
        <v>10</v>
      </c>
      <c r="C1357" s="487" t="str">
        <f t="shared" si="307"/>
        <v>66</v>
      </c>
      <c r="D1357" s="487" t="str">
        <f t="shared" si="308"/>
        <v>0660</v>
      </c>
      <c r="E1357" s="487">
        <v>535200000</v>
      </c>
      <c r="F1357" s="488"/>
      <c r="G1357" s="489"/>
      <c r="H1357" s="489"/>
      <c r="I1357" s="488"/>
      <c r="J1357" s="487"/>
      <c r="K1357" s="487"/>
      <c r="L1357" s="488"/>
      <c r="M1357" s="487"/>
      <c r="N1357" s="487"/>
      <c r="O1357" s="488"/>
      <c r="P1357" s="489"/>
      <c r="Q1357" s="489"/>
      <c r="R1357" s="592"/>
      <c r="S1357" s="487"/>
      <c r="T1357" s="487"/>
      <c r="U1357" s="488"/>
      <c r="V1357" s="489"/>
      <c r="W1357" s="489"/>
      <c r="X1357" s="488"/>
      <c r="Y1357" s="489"/>
      <c r="Z1357" s="489"/>
      <c r="AA1357" s="490" t="str">
        <f>+AB1357&amp;AC1357</f>
        <v>41</v>
      </c>
      <c r="AB1357" s="489">
        <v>4</v>
      </c>
      <c r="AC1357" s="489">
        <v>1</v>
      </c>
      <c r="AD1357" s="418">
        <v>410660</v>
      </c>
      <c r="AE1357" s="27" t="s">
        <v>2414</v>
      </c>
      <c r="AF1357" s="432">
        <f>VLOOKUP(AD1357,[5]Hoja1!$A$10:$K$1393,11,0)</f>
        <v>-4444184</v>
      </c>
      <c r="AG1357" s="432"/>
      <c r="AH1357" s="432">
        <f t="shared" si="309"/>
        <v>-4444</v>
      </c>
      <c r="AL1357" s="448"/>
      <c r="AM1357" s="467">
        <f>VLOOKUP(AD1357,[6]BV201101!$A$10:$A$1236,1,0)</f>
        <v>410660</v>
      </c>
    </row>
    <row r="1358" spans="1:39" s="467" customFormat="1" ht="12.75" customHeight="1">
      <c r="A1358" s="487" t="str">
        <f t="shared" si="310"/>
        <v>4</v>
      </c>
      <c r="B1358" s="487" t="str">
        <f t="shared" si="306"/>
        <v>10</v>
      </c>
      <c r="C1358" s="487" t="str">
        <f t="shared" si="307"/>
        <v>66</v>
      </c>
      <c r="D1358" s="487" t="str">
        <f t="shared" si="308"/>
        <v>0661</v>
      </c>
      <c r="E1358" s="487">
        <v>535200000</v>
      </c>
      <c r="F1358" s="488"/>
      <c r="G1358" s="489"/>
      <c r="H1358" s="489"/>
      <c r="I1358" s="488"/>
      <c r="J1358" s="487"/>
      <c r="K1358" s="487"/>
      <c r="L1358" s="488"/>
      <c r="M1358" s="487"/>
      <c r="N1358" s="487"/>
      <c r="O1358" s="488"/>
      <c r="P1358" s="489"/>
      <c r="Q1358" s="489"/>
      <c r="R1358" s="592"/>
      <c r="S1358" s="487"/>
      <c r="T1358" s="487"/>
      <c r="U1358" s="488"/>
      <c r="V1358" s="489"/>
      <c r="W1358" s="489"/>
      <c r="X1358" s="488"/>
      <c r="Y1358" s="489"/>
      <c r="Z1358" s="489"/>
      <c r="AA1358" s="490" t="str">
        <f>+AB1358&amp;AC1358</f>
        <v>43</v>
      </c>
      <c r="AB1358" s="489">
        <v>4</v>
      </c>
      <c r="AC1358" s="489">
        <v>3</v>
      </c>
      <c r="AD1358" s="418">
        <v>410661</v>
      </c>
      <c r="AE1358" s="27" t="s">
        <v>2415</v>
      </c>
      <c r="AF1358" s="432">
        <f>VLOOKUP(AD1358,[5]Hoja1!$A$10:$K$1393,11,0)</f>
        <v>0</v>
      </c>
      <c r="AG1358" s="432"/>
      <c r="AH1358" s="432">
        <f t="shared" si="309"/>
        <v>0</v>
      </c>
      <c r="AL1358" s="448"/>
      <c r="AM1358" s="467">
        <f>VLOOKUP(AD1358,[6]BV201101!$A$10:$A$1236,1,0)</f>
        <v>410661</v>
      </c>
    </row>
    <row r="1359" spans="1:39" s="467" customFormat="1" ht="12.75" customHeight="1">
      <c r="A1359" s="487" t="str">
        <f t="shared" si="310"/>
        <v>4</v>
      </c>
      <c r="B1359" s="487" t="str">
        <f t="shared" si="306"/>
        <v>10</v>
      </c>
      <c r="C1359" s="487" t="str">
        <f t="shared" si="307"/>
        <v>66</v>
      </c>
      <c r="D1359" s="487" t="str">
        <f t="shared" si="308"/>
        <v>0662</v>
      </c>
      <c r="E1359" s="487">
        <v>535200000</v>
      </c>
      <c r="F1359" s="488"/>
      <c r="G1359" s="489"/>
      <c r="H1359" s="489"/>
      <c r="I1359" s="488"/>
      <c r="J1359" s="487"/>
      <c r="K1359" s="487"/>
      <c r="L1359" s="488"/>
      <c r="M1359" s="487"/>
      <c r="N1359" s="487"/>
      <c r="O1359" s="488"/>
      <c r="P1359" s="489"/>
      <c r="Q1359" s="489"/>
      <c r="R1359" s="592"/>
      <c r="S1359" s="487"/>
      <c r="T1359" s="487"/>
      <c r="U1359" s="488"/>
      <c r="V1359" s="489"/>
      <c r="W1359" s="489"/>
      <c r="X1359" s="488"/>
      <c r="Y1359" s="489"/>
      <c r="Z1359" s="489"/>
      <c r="AA1359" s="490" t="str">
        <f>+AB1359&amp;AC1359</f>
        <v>42</v>
      </c>
      <c r="AB1359" s="489">
        <v>4</v>
      </c>
      <c r="AC1359" s="489">
        <v>2</v>
      </c>
      <c r="AD1359" s="418">
        <v>410662</v>
      </c>
      <c r="AE1359" s="27" t="s">
        <v>2416</v>
      </c>
      <c r="AF1359" s="432">
        <f>VLOOKUP(AD1359,[5]Hoja1!$A$10:$K$1393,11,0)</f>
        <v>-28448033</v>
      </c>
      <c r="AG1359" s="432"/>
      <c r="AH1359" s="432">
        <f t="shared" si="309"/>
        <v>-28448</v>
      </c>
      <c r="AL1359" s="448"/>
      <c r="AM1359" s="467">
        <f>VLOOKUP(AD1359,[6]BV201101!$A$10:$A$1236,1,0)</f>
        <v>410662</v>
      </c>
    </row>
    <row r="1360" spans="1:39" s="467" customFormat="1" ht="12.75" customHeight="1">
      <c r="A1360" s="487" t="str">
        <f t="shared" si="310"/>
        <v>4</v>
      </c>
      <c r="B1360" s="487" t="str">
        <f t="shared" si="306"/>
        <v>10</v>
      </c>
      <c r="C1360" s="487" t="str">
        <f t="shared" si="307"/>
        <v>66</v>
      </c>
      <c r="D1360" s="487" t="str">
        <f t="shared" si="308"/>
        <v>0663</v>
      </c>
      <c r="E1360" s="487">
        <v>535200000</v>
      </c>
      <c r="F1360" s="488"/>
      <c r="G1360" s="489"/>
      <c r="H1360" s="489"/>
      <c r="I1360" s="488"/>
      <c r="J1360" s="487"/>
      <c r="K1360" s="487"/>
      <c r="L1360" s="488"/>
      <c r="M1360" s="487"/>
      <c r="N1360" s="487"/>
      <c r="O1360" s="488"/>
      <c r="P1360" s="489"/>
      <c r="Q1360" s="489"/>
      <c r="R1360" s="592"/>
      <c r="S1360" s="487"/>
      <c r="T1360" s="487"/>
      <c r="U1360" s="488"/>
      <c r="V1360" s="489"/>
      <c r="W1360" s="489"/>
      <c r="X1360" s="488"/>
      <c r="Y1360" s="489"/>
      <c r="Z1360" s="489"/>
      <c r="AA1360" s="490" t="str">
        <f>+AB1360&amp;AC1360</f>
        <v>42</v>
      </c>
      <c r="AB1360" s="489">
        <v>4</v>
      </c>
      <c r="AC1360" s="489">
        <v>2</v>
      </c>
      <c r="AD1360" s="418">
        <v>410663</v>
      </c>
      <c r="AE1360" s="27" t="s">
        <v>2417</v>
      </c>
      <c r="AF1360" s="432">
        <f>VLOOKUP(AD1360,[5]Hoja1!$A$10:$K$1393,11,0)</f>
        <v>542662</v>
      </c>
      <c r="AG1360" s="432"/>
      <c r="AH1360" s="432">
        <f t="shared" si="309"/>
        <v>543</v>
      </c>
      <c r="AL1360" s="448"/>
      <c r="AM1360" s="467">
        <f>VLOOKUP(AD1360,[6]BV201101!$A$10:$A$1236,1,0)</f>
        <v>410663</v>
      </c>
    </row>
    <row r="1361" spans="1:39" s="467" customFormat="1" ht="12.75" customHeight="1">
      <c r="A1361" s="487" t="str">
        <f t="shared" si="310"/>
        <v>4</v>
      </c>
      <c r="B1361" s="487" t="str">
        <f t="shared" si="306"/>
        <v>10</v>
      </c>
      <c r="C1361" s="487" t="str">
        <f t="shared" si="307"/>
        <v>67</v>
      </c>
      <c r="D1361" s="487" t="str">
        <f t="shared" si="308"/>
        <v>0672</v>
      </c>
      <c r="E1361" s="487">
        <v>535200000</v>
      </c>
      <c r="F1361" s="488"/>
      <c r="G1361" s="489"/>
      <c r="H1361" s="489"/>
      <c r="I1361" s="488"/>
      <c r="J1361" s="487"/>
      <c r="K1361" s="487"/>
      <c r="L1361" s="488"/>
      <c r="M1361" s="487"/>
      <c r="N1361" s="487"/>
      <c r="O1361" s="488"/>
      <c r="P1361" s="489"/>
      <c r="Q1361" s="489"/>
      <c r="R1361" s="592"/>
      <c r="S1361" s="487"/>
      <c r="T1361" s="487"/>
      <c r="U1361" s="488"/>
      <c r="V1361" s="489"/>
      <c r="W1361" s="489"/>
      <c r="X1361" s="488"/>
      <c r="Y1361" s="489"/>
      <c r="Z1361" s="489"/>
      <c r="AA1361" s="490" t="str">
        <f>+AB1361&amp;AC1361</f>
        <v>45</v>
      </c>
      <c r="AB1361" s="489">
        <v>4</v>
      </c>
      <c r="AC1361" s="489">
        <v>5</v>
      </c>
      <c r="AD1361" s="418">
        <v>410672</v>
      </c>
      <c r="AE1361" s="27" t="s">
        <v>2578</v>
      </c>
      <c r="AF1361" s="432">
        <f>VLOOKUP(AD1361,[5]Hoja1!$A$10:$K$1393,11,0)</f>
        <v>0</v>
      </c>
      <c r="AG1361" s="432"/>
      <c r="AH1361" s="432">
        <f t="shared" si="309"/>
        <v>0</v>
      </c>
      <c r="AL1361" s="448"/>
    </row>
    <row r="1362" spans="1:39" s="467" customFormat="1" ht="12.75" customHeight="1">
      <c r="A1362" s="487" t="str">
        <f t="shared" si="310"/>
        <v>4</v>
      </c>
      <c r="B1362" s="487" t="str">
        <f t="shared" si="306"/>
        <v>10</v>
      </c>
      <c r="C1362" s="487" t="str">
        <f t="shared" si="307"/>
        <v>70</v>
      </c>
      <c r="D1362" s="487" t="str">
        <f t="shared" si="308"/>
        <v>0700</v>
      </c>
      <c r="E1362" s="487"/>
      <c r="F1362" s="488"/>
      <c r="G1362" s="489"/>
      <c r="H1362" s="489"/>
      <c r="I1362" s="488"/>
      <c r="J1362" s="487"/>
      <c r="K1362" s="487"/>
      <c r="L1362" s="488"/>
      <c r="M1362" s="487"/>
      <c r="N1362" s="487"/>
      <c r="O1362" s="488"/>
      <c r="P1362" s="489"/>
      <c r="Q1362" s="489"/>
      <c r="R1362" s="592"/>
      <c r="S1362" s="487"/>
      <c r="T1362" s="487"/>
      <c r="U1362" s="488"/>
      <c r="V1362" s="489"/>
      <c r="W1362" s="489"/>
      <c r="X1362" s="488"/>
      <c r="Y1362" s="489"/>
      <c r="Z1362" s="489"/>
      <c r="AA1362" s="490"/>
      <c r="AB1362" s="489"/>
      <c r="AC1362" s="489"/>
      <c r="AD1362" s="928">
        <v>410700</v>
      </c>
      <c r="AE1362" s="27" t="s">
        <v>2711</v>
      </c>
      <c r="AF1362" s="432">
        <v>0</v>
      </c>
      <c r="AG1362" s="432"/>
      <c r="AH1362" s="432">
        <f t="shared" si="309"/>
        <v>0</v>
      </c>
      <c r="AL1362" s="448"/>
    </row>
    <row r="1363" spans="1:39" s="467" customFormat="1" ht="12.75" customHeight="1">
      <c r="A1363" s="487" t="str">
        <f t="shared" si="310"/>
        <v>5</v>
      </c>
      <c r="B1363" s="487" t="str">
        <f t="shared" si="306"/>
        <v>10</v>
      </c>
      <c r="C1363" s="487" t="str">
        <f t="shared" si="307"/>
        <v>00</v>
      </c>
      <c r="D1363" s="487" t="str">
        <f t="shared" si="308"/>
        <v>0001</v>
      </c>
      <c r="E1363" s="487">
        <v>531201200</v>
      </c>
      <c r="F1363" s="488" t="str">
        <f t="shared" si="299"/>
        <v/>
      </c>
      <c r="G1363" s="489"/>
      <c r="H1363" s="489"/>
      <c r="I1363" s="488" t="str">
        <f t="shared" si="300"/>
        <v/>
      </c>
      <c r="J1363" s="487"/>
      <c r="K1363" s="487"/>
      <c r="L1363" s="488" t="str">
        <f t="shared" si="301"/>
        <v/>
      </c>
      <c r="M1363" s="487"/>
      <c r="N1363" s="487"/>
      <c r="O1363" s="488" t="str">
        <f t="shared" si="302"/>
        <v/>
      </c>
      <c r="P1363" s="489"/>
      <c r="Q1363" s="489"/>
      <c r="R1363" s="592" t="str">
        <f t="shared" si="303"/>
        <v/>
      </c>
      <c r="S1363" s="487"/>
      <c r="T1363" s="487"/>
      <c r="U1363" s="488" t="str">
        <f t="shared" si="304"/>
        <v/>
      </c>
      <c r="V1363" s="489"/>
      <c r="W1363" s="489"/>
      <c r="X1363" s="488" t="str">
        <f t="shared" si="305"/>
        <v/>
      </c>
      <c r="Y1363" s="489"/>
      <c r="Z1363" s="489"/>
      <c r="AA1363" s="490" t="str">
        <f t="shared" si="313"/>
        <v/>
      </c>
      <c r="AB1363" s="489"/>
      <c r="AC1363" s="489"/>
      <c r="AD1363" s="418">
        <v>510001</v>
      </c>
      <c r="AE1363" s="27" t="s">
        <v>1121</v>
      </c>
      <c r="AF1363" s="432">
        <f>VLOOKUP(AD1363,[5]Hoja1!$A$10:$K$1393,11,0)</f>
        <v>0</v>
      </c>
      <c r="AG1363" s="432"/>
      <c r="AH1363" s="432">
        <f t="shared" si="309"/>
        <v>0</v>
      </c>
      <c r="AJ1363" s="467">
        <v>433000</v>
      </c>
      <c r="AK1363" s="467">
        <f>+AJ1363*1.8%+AJ1363</f>
        <v>440794</v>
      </c>
      <c r="AL1363" s="448"/>
      <c r="AM1363" s="467">
        <f>VLOOKUP(AD1363,[6]BV201101!$A$10:$A$1236,1,0)</f>
        <v>510001</v>
      </c>
    </row>
    <row r="1364" spans="1:39" s="467" customFormat="1" ht="12.75" customHeight="1">
      <c r="A1364" s="487" t="str">
        <f t="shared" si="310"/>
        <v>5</v>
      </c>
      <c r="B1364" s="487" t="str">
        <f t="shared" si="306"/>
        <v>10</v>
      </c>
      <c r="C1364" s="487" t="str">
        <f t="shared" si="307"/>
        <v>00</v>
      </c>
      <c r="D1364" s="487" t="str">
        <f t="shared" si="308"/>
        <v>0002</v>
      </c>
      <c r="E1364" s="487">
        <v>531201200</v>
      </c>
      <c r="F1364" s="488" t="str">
        <f t="shared" si="299"/>
        <v/>
      </c>
      <c r="G1364" s="489"/>
      <c r="H1364" s="489"/>
      <c r="I1364" s="488" t="str">
        <f t="shared" si="300"/>
        <v/>
      </c>
      <c r="J1364" s="487"/>
      <c r="K1364" s="487"/>
      <c r="L1364" s="488" t="str">
        <f t="shared" si="301"/>
        <v/>
      </c>
      <c r="M1364" s="487"/>
      <c r="N1364" s="487"/>
      <c r="O1364" s="488" t="str">
        <f t="shared" si="302"/>
        <v/>
      </c>
      <c r="P1364" s="489"/>
      <c r="Q1364" s="489"/>
      <c r="R1364" s="592" t="str">
        <f t="shared" si="303"/>
        <v/>
      </c>
      <c r="S1364" s="487"/>
      <c r="T1364" s="487"/>
      <c r="U1364" s="488" t="str">
        <f t="shared" si="304"/>
        <v/>
      </c>
      <c r="V1364" s="489"/>
      <c r="W1364" s="489"/>
      <c r="X1364" s="488" t="str">
        <f t="shared" si="305"/>
        <v/>
      </c>
      <c r="Y1364" s="489"/>
      <c r="Z1364" s="489"/>
      <c r="AA1364" s="490" t="str">
        <f t="shared" si="313"/>
        <v/>
      </c>
      <c r="AB1364" s="489"/>
      <c r="AC1364" s="489"/>
      <c r="AD1364" s="418">
        <v>510002</v>
      </c>
      <c r="AE1364" s="27" t="s">
        <v>2418</v>
      </c>
      <c r="AF1364" s="432">
        <f>VLOOKUP(AD1364,[5]Hoja1!$A$10:$K$1393,11,0)</f>
        <v>11536250</v>
      </c>
      <c r="AG1364" s="432"/>
      <c r="AH1364" s="432">
        <f t="shared" si="309"/>
        <v>11536</v>
      </c>
      <c r="AL1364" s="448"/>
      <c r="AM1364" s="467">
        <f>VLOOKUP(AD1364,[6]BV201101!$A$10:$A$1236,1,0)</f>
        <v>510002</v>
      </c>
    </row>
    <row r="1365" spans="1:39" s="467" customFormat="1" ht="12.75" customHeight="1">
      <c r="A1365" s="487" t="str">
        <f t="shared" si="310"/>
        <v>5</v>
      </c>
      <c r="B1365" s="487" t="str">
        <f t="shared" si="306"/>
        <v>10</v>
      </c>
      <c r="C1365" s="487" t="str">
        <f t="shared" si="307"/>
        <v>00</v>
      </c>
      <c r="D1365" s="487" t="str">
        <f t="shared" si="308"/>
        <v>0003</v>
      </c>
      <c r="E1365" s="487">
        <v>531201200</v>
      </c>
      <c r="F1365" s="488" t="str">
        <f t="shared" si="299"/>
        <v/>
      </c>
      <c r="G1365" s="489"/>
      <c r="H1365" s="489"/>
      <c r="I1365" s="488" t="str">
        <f t="shared" si="300"/>
        <v/>
      </c>
      <c r="J1365" s="487"/>
      <c r="K1365" s="487"/>
      <c r="L1365" s="488" t="str">
        <f t="shared" si="301"/>
        <v/>
      </c>
      <c r="M1365" s="487"/>
      <c r="N1365" s="487"/>
      <c r="O1365" s="488" t="str">
        <f t="shared" si="302"/>
        <v/>
      </c>
      <c r="P1365" s="489"/>
      <c r="Q1365" s="489"/>
      <c r="R1365" s="592" t="str">
        <f t="shared" si="303"/>
        <v/>
      </c>
      <c r="S1365" s="487"/>
      <c r="T1365" s="487"/>
      <c r="U1365" s="488" t="str">
        <f t="shared" si="304"/>
        <v/>
      </c>
      <c r="V1365" s="489"/>
      <c r="W1365" s="489"/>
      <c r="X1365" s="488" t="str">
        <f t="shared" si="305"/>
        <v/>
      </c>
      <c r="Y1365" s="489"/>
      <c r="Z1365" s="489"/>
      <c r="AA1365" s="490" t="str">
        <f t="shared" si="313"/>
        <v/>
      </c>
      <c r="AB1365" s="489"/>
      <c r="AC1365" s="489"/>
      <c r="AD1365" s="27">
        <v>510003</v>
      </c>
      <c r="AE1365" s="27" t="s">
        <v>594</v>
      </c>
      <c r="AF1365" s="432">
        <v>0</v>
      </c>
      <c r="AG1365" s="432"/>
      <c r="AH1365" s="432">
        <f t="shared" si="309"/>
        <v>0</v>
      </c>
      <c r="AL1365" s="448"/>
      <c r="AM1365" s="467" t="e">
        <f>VLOOKUP(AD1365,[6]BV201101!$A$10:$A$1236,1,0)</f>
        <v>#N/A</v>
      </c>
    </row>
    <row r="1366" spans="1:39" s="467" customFormat="1" ht="12.75" customHeight="1">
      <c r="A1366" s="487" t="str">
        <f t="shared" si="310"/>
        <v>5</v>
      </c>
      <c r="B1366" s="487" t="str">
        <f t="shared" si="306"/>
        <v>10</v>
      </c>
      <c r="C1366" s="487" t="str">
        <f t="shared" si="307"/>
        <v>00</v>
      </c>
      <c r="D1366" s="487" t="str">
        <f t="shared" si="308"/>
        <v>0004</v>
      </c>
      <c r="E1366" s="487"/>
      <c r="F1366" s="488" t="str">
        <f t="shared" si="299"/>
        <v/>
      </c>
      <c r="G1366" s="489"/>
      <c r="H1366" s="489"/>
      <c r="I1366" s="488" t="str">
        <f t="shared" si="300"/>
        <v/>
      </c>
      <c r="J1366" s="487"/>
      <c r="K1366" s="487"/>
      <c r="L1366" s="488" t="str">
        <f t="shared" si="301"/>
        <v/>
      </c>
      <c r="M1366" s="487"/>
      <c r="N1366" s="487"/>
      <c r="O1366" s="488" t="str">
        <f t="shared" si="302"/>
        <v/>
      </c>
      <c r="P1366" s="489"/>
      <c r="Q1366" s="489"/>
      <c r="R1366" s="592" t="str">
        <f t="shared" si="303"/>
        <v/>
      </c>
      <c r="S1366" s="487"/>
      <c r="T1366" s="487"/>
      <c r="U1366" s="488" t="str">
        <f t="shared" si="304"/>
        <v/>
      </c>
      <c r="V1366" s="489"/>
      <c r="W1366" s="489"/>
      <c r="X1366" s="488" t="str">
        <f t="shared" si="305"/>
        <v/>
      </c>
      <c r="Y1366" s="489"/>
      <c r="Z1366" s="489"/>
      <c r="AA1366" s="490" t="str">
        <f t="shared" si="313"/>
        <v/>
      </c>
      <c r="AB1366" s="489"/>
      <c r="AC1366" s="489"/>
      <c r="AD1366" s="27">
        <v>510004</v>
      </c>
      <c r="AE1366" s="27" t="s">
        <v>686</v>
      </c>
      <c r="AF1366" s="432">
        <v>0</v>
      </c>
      <c r="AG1366" s="432"/>
      <c r="AH1366" s="432">
        <f t="shared" si="309"/>
        <v>0</v>
      </c>
      <c r="AL1366" s="448"/>
      <c r="AM1366" s="467" t="e">
        <f>VLOOKUP(AD1366,[6]BV201101!$A$10:$A$1236,1,0)</f>
        <v>#N/A</v>
      </c>
    </row>
    <row r="1367" spans="1:39" s="467" customFormat="1" ht="12.75" customHeight="1">
      <c r="A1367" s="487" t="str">
        <f t="shared" si="310"/>
        <v>5</v>
      </c>
      <c r="B1367" s="487" t="str">
        <f t="shared" si="306"/>
        <v>10</v>
      </c>
      <c r="C1367" s="487" t="str">
        <f t="shared" si="307"/>
        <v>00</v>
      </c>
      <c r="D1367" s="487" t="str">
        <f t="shared" si="308"/>
        <v>0005</v>
      </c>
      <c r="E1367" s="487"/>
      <c r="F1367" s="488" t="str">
        <f t="shared" si="299"/>
        <v/>
      </c>
      <c r="G1367" s="489"/>
      <c r="H1367" s="489"/>
      <c r="I1367" s="488" t="str">
        <f t="shared" si="300"/>
        <v/>
      </c>
      <c r="J1367" s="487"/>
      <c r="K1367" s="487"/>
      <c r="L1367" s="488" t="str">
        <f t="shared" si="301"/>
        <v/>
      </c>
      <c r="M1367" s="487"/>
      <c r="N1367" s="487"/>
      <c r="O1367" s="488" t="str">
        <f t="shared" si="302"/>
        <v/>
      </c>
      <c r="P1367" s="489"/>
      <c r="Q1367" s="489"/>
      <c r="R1367" s="592" t="str">
        <f t="shared" si="303"/>
        <v/>
      </c>
      <c r="S1367" s="487"/>
      <c r="T1367" s="487"/>
      <c r="U1367" s="488" t="str">
        <f t="shared" si="304"/>
        <v/>
      </c>
      <c r="V1367" s="489"/>
      <c r="W1367" s="489"/>
      <c r="X1367" s="488" t="str">
        <f t="shared" si="305"/>
        <v/>
      </c>
      <c r="Y1367" s="489"/>
      <c r="Z1367" s="489"/>
      <c r="AA1367" s="490" t="str">
        <f t="shared" si="313"/>
        <v/>
      </c>
      <c r="AB1367" s="489"/>
      <c r="AC1367" s="489"/>
      <c r="AD1367" s="27">
        <v>510005</v>
      </c>
      <c r="AE1367" s="27" t="s">
        <v>2419</v>
      </c>
      <c r="AF1367" s="432">
        <f>VLOOKUP(AD1367,[5]Hoja1!$A$10:$K$1393,11,0)</f>
        <v>0</v>
      </c>
      <c r="AG1367" s="432"/>
      <c r="AH1367" s="432">
        <f t="shared" si="309"/>
        <v>0</v>
      </c>
      <c r="AL1367" s="448"/>
      <c r="AM1367" s="467" t="e">
        <f>VLOOKUP(AD1367,[6]BV201101!$A$10:$A$1236,1,0)</f>
        <v>#N/A</v>
      </c>
    </row>
    <row r="1368" spans="1:39" s="467" customFormat="1" ht="12.75" customHeight="1">
      <c r="A1368" s="487" t="str">
        <f t="shared" si="310"/>
        <v>5</v>
      </c>
      <c r="B1368" s="487" t="str">
        <f t="shared" si="306"/>
        <v>10</v>
      </c>
      <c r="C1368" s="487" t="str">
        <f t="shared" si="307"/>
        <v>00</v>
      </c>
      <c r="D1368" s="487" t="str">
        <f t="shared" si="308"/>
        <v>0006</v>
      </c>
      <c r="E1368" s="487">
        <v>531201200</v>
      </c>
      <c r="F1368" s="488" t="str">
        <f t="shared" si="299"/>
        <v/>
      </c>
      <c r="G1368" s="489"/>
      <c r="H1368" s="489"/>
      <c r="I1368" s="488" t="str">
        <f t="shared" si="300"/>
        <v/>
      </c>
      <c r="J1368" s="487"/>
      <c r="K1368" s="487"/>
      <c r="L1368" s="488" t="str">
        <f t="shared" si="301"/>
        <v/>
      </c>
      <c r="M1368" s="487"/>
      <c r="N1368" s="487"/>
      <c r="O1368" s="488" t="str">
        <f t="shared" si="302"/>
        <v/>
      </c>
      <c r="P1368" s="489"/>
      <c r="Q1368" s="489"/>
      <c r="R1368" s="592" t="str">
        <f t="shared" si="303"/>
        <v/>
      </c>
      <c r="S1368" s="487"/>
      <c r="T1368" s="487"/>
      <c r="U1368" s="488" t="str">
        <f t="shared" si="304"/>
        <v/>
      </c>
      <c r="V1368" s="489"/>
      <c r="W1368" s="489"/>
      <c r="X1368" s="488" t="str">
        <f t="shared" si="305"/>
        <v/>
      </c>
      <c r="Y1368" s="489"/>
      <c r="Z1368" s="489"/>
      <c r="AA1368" s="490" t="str">
        <f t="shared" si="313"/>
        <v/>
      </c>
      <c r="AB1368" s="489"/>
      <c r="AC1368" s="489"/>
      <c r="AD1368" s="27">
        <v>510006</v>
      </c>
      <c r="AE1368" s="27" t="s">
        <v>687</v>
      </c>
      <c r="AF1368" s="432">
        <f>VLOOKUP(AD1368,[5]Hoja1!$A$10:$K$1393,11,0)</f>
        <v>226973</v>
      </c>
      <c r="AG1368" s="432"/>
      <c r="AH1368" s="432">
        <f t="shared" si="309"/>
        <v>227</v>
      </c>
      <c r="AL1368" s="448"/>
      <c r="AM1368" s="467">
        <f>VLOOKUP(AD1368,[6]BV201101!$A$10:$A$1236,1,0)</f>
        <v>510006</v>
      </c>
    </row>
    <row r="1369" spans="1:39" s="467" customFormat="1" ht="12.75" customHeight="1">
      <c r="A1369" s="487" t="str">
        <f t="shared" si="310"/>
        <v>5</v>
      </c>
      <c r="B1369" s="487" t="str">
        <f t="shared" si="306"/>
        <v>10</v>
      </c>
      <c r="C1369" s="487" t="str">
        <f t="shared" si="307"/>
        <v>00</v>
      </c>
      <c r="D1369" s="487" t="str">
        <f t="shared" si="308"/>
        <v>0007</v>
      </c>
      <c r="E1369" s="487"/>
      <c r="F1369" s="488" t="str">
        <f t="shared" si="299"/>
        <v/>
      </c>
      <c r="G1369" s="489"/>
      <c r="H1369" s="489"/>
      <c r="I1369" s="488" t="str">
        <f t="shared" si="300"/>
        <v/>
      </c>
      <c r="J1369" s="487"/>
      <c r="K1369" s="487"/>
      <c r="L1369" s="488" t="str">
        <f t="shared" si="301"/>
        <v/>
      </c>
      <c r="M1369" s="487"/>
      <c r="N1369" s="487"/>
      <c r="O1369" s="488" t="str">
        <f t="shared" si="302"/>
        <v/>
      </c>
      <c r="P1369" s="489"/>
      <c r="Q1369" s="489"/>
      <c r="R1369" s="592" t="str">
        <f t="shared" si="303"/>
        <v/>
      </c>
      <c r="S1369" s="487"/>
      <c r="T1369" s="487"/>
      <c r="U1369" s="488" t="str">
        <f t="shared" si="304"/>
        <v/>
      </c>
      <c r="V1369" s="489"/>
      <c r="W1369" s="489"/>
      <c r="X1369" s="488" t="str">
        <f t="shared" si="305"/>
        <v/>
      </c>
      <c r="Y1369" s="489"/>
      <c r="Z1369" s="489"/>
      <c r="AA1369" s="490" t="str">
        <f t="shared" si="313"/>
        <v/>
      </c>
      <c r="AB1369" s="489"/>
      <c r="AC1369" s="489"/>
      <c r="AD1369" s="27">
        <v>510007</v>
      </c>
      <c r="AE1369" s="27" t="s">
        <v>688</v>
      </c>
      <c r="AF1369" s="432">
        <v>0</v>
      </c>
      <c r="AG1369" s="432"/>
      <c r="AH1369" s="432">
        <f t="shared" si="309"/>
        <v>0</v>
      </c>
      <c r="AL1369" s="448"/>
      <c r="AM1369" s="467" t="e">
        <f>VLOOKUP(AD1369,[6]BV201101!$A$10:$A$1236,1,0)</f>
        <v>#N/A</v>
      </c>
    </row>
    <row r="1370" spans="1:39" s="467" customFormat="1" ht="12.75" customHeight="1">
      <c r="A1370" s="487" t="str">
        <f t="shared" si="310"/>
        <v>5</v>
      </c>
      <c r="B1370" s="487" t="str">
        <f t="shared" si="306"/>
        <v>10</v>
      </c>
      <c r="C1370" s="487" t="str">
        <f t="shared" si="307"/>
        <v>00</v>
      </c>
      <c r="D1370" s="487" t="str">
        <f t="shared" si="308"/>
        <v>0008</v>
      </c>
      <c r="E1370" s="487">
        <v>531101820</v>
      </c>
      <c r="F1370" s="488" t="str">
        <f t="shared" si="299"/>
        <v/>
      </c>
      <c r="G1370" s="489"/>
      <c r="H1370" s="489"/>
      <c r="I1370" s="488" t="str">
        <f t="shared" si="300"/>
        <v/>
      </c>
      <c r="J1370" s="487"/>
      <c r="K1370" s="487"/>
      <c r="L1370" s="488" t="str">
        <f t="shared" si="301"/>
        <v/>
      </c>
      <c r="M1370" s="487"/>
      <c r="N1370" s="487"/>
      <c r="O1370" s="488" t="str">
        <f t="shared" si="302"/>
        <v/>
      </c>
      <c r="P1370" s="489"/>
      <c r="Q1370" s="489"/>
      <c r="R1370" s="592" t="str">
        <f t="shared" si="303"/>
        <v/>
      </c>
      <c r="S1370" s="487"/>
      <c r="T1370" s="487"/>
      <c r="U1370" s="488" t="str">
        <f t="shared" si="304"/>
        <v/>
      </c>
      <c r="V1370" s="489"/>
      <c r="W1370" s="489"/>
      <c r="X1370" s="488" t="str">
        <f t="shared" si="305"/>
        <v>631101820421</v>
      </c>
      <c r="Y1370" s="489">
        <v>631101820</v>
      </c>
      <c r="Z1370" s="489">
        <v>421</v>
      </c>
      <c r="AA1370" s="490" t="str">
        <f t="shared" si="313"/>
        <v/>
      </c>
      <c r="AB1370" s="489"/>
      <c r="AC1370" s="489"/>
      <c r="AD1370" s="27">
        <v>510008</v>
      </c>
      <c r="AE1370" s="27" t="s">
        <v>702</v>
      </c>
      <c r="AF1370" s="432">
        <f>VLOOKUP(AD1370,[5]Hoja1!$A$10:$K$1393,11,0)</f>
        <v>0</v>
      </c>
      <c r="AG1370" s="432"/>
      <c r="AH1370" s="432">
        <f t="shared" si="309"/>
        <v>0</v>
      </c>
      <c r="AL1370" s="448"/>
      <c r="AM1370" s="467">
        <f>VLOOKUP(AD1370,[6]BV201101!$A$10:$A$1236,1,0)</f>
        <v>510008</v>
      </c>
    </row>
    <row r="1371" spans="1:39" s="467" customFormat="1" ht="12.75" customHeight="1">
      <c r="A1371" s="487" t="str">
        <f t="shared" si="310"/>
        <v>5</v>
      </c>
      <c r="B1371" s="487" t="str">
        <f t="shared" si="306"/>
        <v>10</v>
      </c>
      <c r="C1371" s="487" t="str">
        <f t="shared" si="307"/>
        <v>00</v>
      </c>
      <c r="D1371" s="487" t="str">
        <f t="shared" si="308"/>
        <v>0009</v>
      </c>
      <c r="E1371" s="487">
        <v>531201200</v>
      </c>
      <c r="F1371" s="488" t="str">
        <f t="shared" si="299"/>
        <v/>
      </c>
      <c r="G1371" s="489"/>
      <c r="H1371" s="489"/>
      <c r="I1371" s="488" t="str">
        <f t="shared" si="300"/>
        <v/>
      </c>
      <c r="J1371" s="487"/>
      <c r="K1371" s="487"/>
      <c r="L1371" s="488" t="str">
        <f t="shared" si="301"/>
        <v/>
      </c>
      <c r="M1371" s="487"/>
      <c r="N1371" s="487"/>
      <c r="O1371" s="488" t="str">
        <f t="shared" si="302"/>
        <v/>
      </c>
      <c r="P1371" s="489"/>
      <c r="Q1371" s="489"/>
      <c r="R1371" s="592" t="str">
        <f t="shared" si="303"/>
        <v/>
      </c>
      <c r="S1371" s="487"/>
      <c r="T1371" s="487"/>
      <c r="U1371" s="488" t="str">
        <f t="shared" si="304"/>
        <v/>
      </c>
      <c r="V1371" s="489"/>
      <c r="W1371" s="489"/>
      <c r="X1371" s="488" t="str">
        <f t="shared" si="305"/>
        <v/>
      </c>
      <c r="Y1371" s="489"/>
      <c r="Z1371" s="489"/>
      <c r="AA1371" s="490" t="str">
        <f t="shared" si="313"/>
        <v/>
      </c>
      <c r="AB1371" s="489"/>
      <c r="AC1371" s="489"/>
      <c r="AD1371" s="27">
        <v>510009</v>
      </c>
      <c r="AE1371" s="27" t="s">
        <v>703</v>
      </c>
      <c r="AF1371" s="432">
        <f>VLOOKUP(AD1371,[5]Hoja1!$A$10:$K$1393,11,0)</f>
        <v>0</v>
      </c>
      <c r="AG1371" s="432"/>
      <c r="AH1371" s="432">
        <f t="shared" si="309"/>
        <v>0</v>
      </c>
      <c r="AL1371" s="448"/>
      <c r="AM1371" s="467">
        <f>VLOOKUP(AD1371,[6]BV201101!$A$10:$A$1236,1,0)</f>
        <v>510009</v>
      </c>
    </row>
    <row r="1372" spans="1:39" s="467" customFormat="1" ht="12.75" customHeight="1">
      <c r="A1372" s="487" t="str">
        <f t="shared" si="310"/>
        <v>5</v>
      </c>
      <c r="B1372" s="487" t="str">
        <f t="shared" si="306"/>
        <v>10</v>
      </c>
      <c r="C1372" s="487" t="str">
        <f t="shared" si="307"/>
        <v>01</v>
      </c>
      <c r="D1372" s="487" t="str">
        <f t="shared" si="308"/>
        <v>0010</v>
      </c>
      <c r="E1372" s="487">
        <v>531201200</v>
      </c>
      <c r="F1372" s="488" t="str">
        <f t="shared" si="299"/>
        <v/>
      </c>
      <c r="G1372" s="489"/>
      <c r="H1372" s="489"/>
      <c r="I1372" s="488" t="str">
        <f t="shared" si="300"/>
        <v/>
      </c>
      <c r="J1372" s="487"/>
      <c r="K1372" s="487"/>
      <c r="L1372" s="488" t="str">
        <f t="shared" si="301"/>
        <v/>
      </c>
      <c r="M1372" s="487"/>
      <c r="N1372" s="487"/>
      <c r="O1372" s="488" t="str">
        <f t="shared" si="302"/>
        <v/>
      </c>
      <c r="P1372" s="489"/>
      <c r="Q1372" s="489"/>
      <c r="R1372" s="592" t="str">
        <f t="shared" si="303"/>
        <v/>
      </c>
      <c r="S1372" s="487"/>
      <c r="T1372" s="487"/>
      <c r="U1372" s="488" t="str">
        <f t="shared" si="304"/>
        <v/>
      </c>
      <c r="V1372" s="489"/>
      <c r="W1372" s="489"/>
      <c r="X1372" s="488" t="str">
        <f t="shared" si="305"/>
        <v/>
      </c>
      <c r="Y1372" s="489"/>
      <c r="Z1372" s="489"/>
      <c r="AA1372" s="490" t="str">
        <f t="shared" si="313"/>
        <v/>
      </c>
      <c r="AB1372" s="489"/>
      <c r="AC1372" s="489"/>
      <c r="AD1372" s="27">
        <v>510010</v>
      </c>
      <c r="AE1372" s="27" t="s">
        <v>919</v>
      </c>
      <c r="AF1372" s="432">
        <v>0</v>
      </c>
      <c r="AG1372" s="432"/>
      <c r="AH1372" s="432">
        <f t="shared" si="309"/>
        <v>0</v>
      </c>
      <c r="AL1372" s="448"/>
      <c r="AM1372" s="467" t="e">
        <f>VLOOKUP(AD1372,[6]BV201101!$A$10:$A$1236,1,0)</f>
        <v>#N/A</v>
      </c>
    </row>
    <row r="1373" spans="1:39" s="467" customFormat="1" ht="12.75" customHeight="1">
      <c r="A1373" s="487" t="str">
        <f t="shared" si="310"/>
        <v>5</v>
      </c>
      <c r="B1373" s="487" t="str">
        <f t="shared" si="306"/>
        <v>10</v>
      </c>
      <c r="C1373" s="487" t="str">
        <f t="shared" si="307"/>
        <v>01</v>
      </c>
      <c r="D1373" s="487" t="str">
        <f t="shared" si="308"/>
        <v>0011</v>
      </c>
      <c r="E1373" s="487">
        <v>531201200</v>
      </c>
      <c r="F1373" s="488" t="str">
        <f t="shared" si="299"/>
        <v/>
      </c>
      <c r="G1373" s="489"/>
      <c r="H1373" s="489"/>
      <c r="I1373" s="488" t="str">
        <f t="shared" si="300"/>
        <v/>
      </c>
      <c r="J1373" s="487"/>
      <c r="K1373" s="487"/>
      <c r="L1373" s="488" t="str">
        <f t="shared" si="301"/>
        <v/>
      </c>
      <c r="M1373" s="487"/>
      <c r="N1373" s="487"/>
      <c r="O1373" s="488" t="str">
        <f t="shared" si="302"/>
        <v/>
      </c>
      <c r="P1373" s="489"/>
      <c r="Q1373" s="489"/>
      <c r="R1373" s="592" t="str">
        <f t="shared" si="303"/>
        <v/>
      </c>
      <c r="S1373" s="487"/>
      <c r="T1373" s="487"/>
      <c r="U1373" s="488" t="str">
        <f t="shared" si="304"/>
        <v/>
      </c>
      <c r="V1373" s="489"/>
      <c r="W1373" s="489"/>
      <c r="X1373" s="488" t="str">
        <f t="shared" si="305"/>
        <v/>
      </c>
      <c r="Y1373" s="489"/>
      <c r="Z1373" s="489"/>
      <c r="AA1373" s="490" t="str">
        <f t="shared" si="313"/>
        <v/>
      </c>
      <c r="AB1373" s="489"/>
      <c r="AC1373" s="489"/>
      <c r="AD1373" s="27">
        <v>510011</v>
      </c>
      <c r="AE1373" s="27" t="s">
        <v>704</v>
      </c>
      <c r="AF1373" s="432">
        <f>VLOOKUP(AD1373,[5]Hoja1!$A$10:$K$1393,11,0)</f>
        <v>0</v>
      </c>
      <c r="AG1373" s="432"/>
      <c r="AH1373" s="432">
        <f t="shared" ref="AH1373:AH1443" si="314">ROUND((AF1373+AG1373)/$AH$2,0)</f>
        <v>0</v>
      </c>
      <c r="AL1373" s="448"/>
      <c r="AM1373" s="467">
        <f>VLOOKUP(AD1373,[6]BV201101!$A$10:$A$1236,1,0)</f>
        <v>510011</v>
      </c>
    </row>
    <row r="1374" spans="1:39" s="467" customFormat="1" ht="12.75" customHeight="1">
      <c r="A1374" s="487" t="str">
        <f t="shared" si="310"/>
        <v>5</v>
      </c>
      <c r="B1374" s="487" t="str">
        <f t="shared" si="306"/>
        <v>10</v>
      </c>
      <c r="C1374" s="487" t="str">
        <f t="shared" si="307"/>
        <v>01</v>
      </c>
      <c r="D1374" s="487" t="str">
        <f t="shared" si="308"/>
        <v>0012</v>
      </c>
      <c r="E1374" s="487">
        <v>531201200</v>
      </c>
      <c r="F1374" s="488" t="str">
        <f t="shared" si="299"/>
        <v/>
      </c>
      <c r="G1374" s="489"/>
      <c r="H1374" s="489"/>
      <c r="I1374" s="488" t="str">
        <f t="shared" si="300"/>
        <v/>
      </c>
      <c r="J1374" s="487"/>
      <c r="K1374" s="487"/>
      <c r="L1374" s="488"/>
      <c r="M1374" s="487"/>
      <c r="N1374" s="487"/>
      <c r="O1374" s="488"/>
      <c r="P1374" s="489"/>
      <c r="Q1374" s="489"/>
      <c r="R1374" s="592"/>
      <c r="S1374" s="487"/>
      <c r="T1374" s="487"/>
      <c r="U1374" s="488"/>
      <c r="V1374" s="489"/>
      <c r="W1374" s="489"/>
      <c r="X1374" s="488"/>
      <c r="Y1374" s="489"/>
      <c r="Z1374" s="489"/>
      <c r="AA1374" s="490"/>
      <c r="AB1374" s="489"/>
      <c r="AC1374" s="489"/>
      <c r="AD1374" s="27">
        <v>510012</v>
      </c>
      <c r="AE1374" s="27" t="s">
        <v>1840</v>
      </c>
      <c r="AF1374" s="432">
        <v>0</v>
      </c>
      <c r="AG1374" s="432"/>
      <c r="AH1374" s="432">
        <f t="shared" si="314"/>
        <v>0</v>
      </c>
      <c r="AL1374" s="448"/>
      <c r="AM1374" s="467" t="e">
        <f>VLOOKUP(AD1374,[6]BV201101!$A$10:$A$1236,1,0)</f>
        <v>#N/A</v>
      </c>
    </row>
    <row r="1375" spans="1:39" s="467" customFormat="1" ht="12.75" customHeight="1">
      <c r="A1375" s="487" t="str">
        <f t="shared" si="310"/>
        <v>5</v>
      </c>
      <c r="B1375" s="487" t="str">
        <f t="shared" si="306"/>
        <v>10</v>
      </c>
      <c r="C1375" s="487" t="str">
        <f t="shared" si="307"/>
        <v>03</v>
      </c>
      <c r="D1375" s="487" t="str">
        <f t="shared" si="308"/>
        <v>0035</v>
      </c>
      <c r="E1375" s="487">
        <v>531101710</v>
      </c>
      <c r="F1375" s="488"/>
      <c r="G1375" s="489"/>
      <c r="H1375" s="489"/>
      <c r="I1375" s="488"/>
      <c r="J1375" s="487"/>
      <c r="K1375" s="487"/>
      <c r="L1375" s="488"/>
      <c r="M1375" s="487"/>
      <c r="N1375" s="487"/>
      <c r="O1375" s="488"/>
      <c r="P1375" s="489"/>
      <c r="Q1375" s="489"/>
      <c r="R1375" s="592"/>
      <c r="S1375" s="487"/>
      <c r="T1375" s="487"/>
      <c r="U1375" s="488"/>
      <c r="V1375" s="489"/>
      <c r="W1375" s="489"/>
      <c r="X1375" s="488"/>
      <c r="Y1375" s="489"/>
      <c r="Z1375" s="489"/>
      <c r="AA1375" s="490"/>
      <c r="AB1375" s="489"/>
      <c r="AC1375" s="489"/>
      <c r="AD1375" s="27">
        <v>510035</v>
      </c>
      <c r="AE1375" s="27" t="s">
        <v>721</v>
      </c>
      <c r="AF1375" s="432">
        <f>VLOOKUP(AD1375,[5]Hoja1!$A$10:$K$1393,11,0)</f>
        <v>0</v>
      </c>
      <c r="AG1375" s="432"/>
      <c r="AH1375" s="432">
        <f t="shared" si="314"/>
        <v>0</v>
      </c>
      <c r="AL1375" s="448"/>
      <c r="AM1375" s="467">
        <f>VLOOKUP(AD1375,[6]BV201101!$A$10:$A$1236,1,0)</f>
        <v>510035</v>
      </c>
    </row>
    <row r="1376" spans="1:39" s="467" customFormat="1" ht="12.75" customHeight="1">
      <c r="A1376" s="487" t="str">
        <f t="shared" si="310"/>
        <v>5</v>
      </c>
      <c r="B1376" s="487" t="str">
        <f t="shared" ref="B1376:B1394" si="315">RIGHT(LEFT($AD1376,3),2)</f>
        <v>10</v>
      </c>
      <c r="C1376" s="487" t="str">
        <f t="shared" ref="C1376:C1394" si="316">RIGHT(LEFT($AD1376,5),2)</f>
        <v>10</v>
      </c>
      <c r="D1376" s="487" t="str">
        <f t="shared" ref="D1376:D1394" si="317">RIGHT(LEFT($AD1376,9),4)</f>
        <v>0100</v>
      </c>
      <c r="E1376" s="487">
        <v>531101710</v>
      </c>
      <c r="F1376" s="488" t="str">
        <f t="shared" ref="F1376:F1391" si="318">+G1376&amp;H1376</f>
        <v/>
      </c>
      <c r="G1376" s="487"/>
      <c r="H1376" s="487"/>
      <c r="I1376" s="488" t="str">
        <f t="shared" ref="I1376:I1391" si="319">+J1376&amp;K1376</f>
        <v/>
      </c>
      <c r="J1376" s="487"/>
      <c r="K1376" s="487"/>
      <c r="L1376" s="488" t="str">
        <f t="shared" ref="L1376:L1391" si="320">+M1376&amp;N1376</f>
        <v/>
      </c>
      <c r="M1376" s="487"/>
      <c r="N1376" s="487"/>
      <c r="O1376" s="488" t="str">
        <f t="shared" ref="O1376:O1391" si="321">+P1376&amp;Q1376</f>
        <v/>
      </c>
      <c r="P1376" s="489"/>
      <c r="Q1376" s="489"/>
      <c r="R1376" s="592" t="str">
        <f t="shared" ref="R1376:R1391" si="322">+S1376&amp;T1376</f>
        <v>691111000</v>
      </c>
      <c r="S1376" s="487">
        <v>691111000</v>
      </c>
      <c r="T1376" s="487"/>
      <c r="U1376" s="488" t="str">
        <f t="shared" ref="U1376:U1391" si="323">+V1376&amp;W1376</f>
        <v/>
      </c>
      <c r="V1376" s="489"/>
      <c r="W1376" s="489"/>
      <c r="X1376" s="488" t="str">
        <f t="shared" ref="X1376:X1391" si="324">+Y1376&amp;Z1376</f>
        <v>631101710</v>
      </c>
      <c r="Y1376" s="489">
        <v>631101710</v>
      </c>
      <c r="Z1376" s="489"/>
      <c r="AA1376" s="490" t="str">
        <f t="shared" ref="AA1376:AA1381" si="325">+AB1376&amp;AC1376</f>
        <v/>
      </c>
      <c r="AB1376" s="489"/>
      <c r="AC1376" s="489"/>
      <c r="AD1376" s="27">
        <v>510100</v>
      </c>
      <c r="AE1376" s="27" t="s">
        <v>2420</v>
      </c>
      <c r="AF1376" s="432">
        <f>VLOOKUP(AD1376,[5]Hoja1!$A$10:$K$1393,11,0)</f>
        <v>3641645871</v>
      </c>
      <c r="AG1376" s="1188">
        <v>504182998</v>
      </c>
      <c r="AH1376" s="432">
        <f t="shared" si="314"/>
        <v>4145829</v>
      </c>
      <c r="AI1376" s="467" t="s">
        <v>1805</v>
      </c>
      <c r="AJ1376" s="445"/>
      <c r="AL1376" s="448"/>
      <c r="AM1376" s="467">
        <f>VLOOKUP(AD1376,[6]BV201101!$A$10:$A$1236,1,0)</f>
        <v>510100</v>
      </c>
    </row>
    <row r="1377" spans="1:39" s="467" customFormat="1" ht="12.75" customHeight="1">
      <c r="A1377" s="487" t="str">
        <f t="shared" si="310"/>
        <v>5</v>
      </c>
      <c r="B1377" s="487" t="str">
        <f t="shared" si="315"/>
        <v>10</v>
      </c>
      <c r="C1377" s="487" t="str">
        <f t="shared" si="316"/>
        <v>10</v>
      </c>
      <c r="D1377" s="487" t="str">
        <f t="shared" si="317"/>
        <v>0101</v>
      </c>
      <c r="E1377" s="487">
        <v>531101610</v>
      </c>
      <c r="F1377" s="488" t="str">
        <f t="shared" si="318"/>
        <v/>
      </c>
      <c r="G1377" s="487"/>
      <c r="H1377" s="487"/>
      <c r="I1377" s="488" t="str">
        <f t="shared" si="319"/>
        <v/>
      </c>
      <c r="J1377" s="487"/>
      <c r="K1377" s="487"/>
      <c r="L1377" s="488" t="str">
        <f t="shared" si="320"/>
        <v/>
      </c>
      <c r="M1377" s="487"/>
      <c r="N1377" s="487"/>
      <c r="O1377" s="488" t="str">
        <f t="shared" si="321"/>
        <v/>
      </c>
      <c r="P1377" s="489"/>
      <c r="Q1377" s="489"/>
      <c r="R1377" s="592" t="str">
        <f t="shared" si="322"/>
        <v>691111000</v>
      </c>
      <c r="S1377" s="487">
        <v>691111000</v>
      </c>
      <c r="T1377" s="487"/>
      <c r="U1377" s="488" t="str">
        <f t="shared" si="323"/>
        <v/>
      </c>
      <c r="V1377" s="489"/>
      <c r="W1377" s="489"/>
      <c r="X1377" s="488" t="str">
        <f t="shared" si="324"/>
        <v>631101710</v>
      </c>
      <c r="Y1377" s="489">
        <v>631101710</v>
      </c>
      <c r="Z1377" s="489"/>
      <c r="AA1377" s="490" t="str">
        <f t="shared" si="325"/>
        <v/>
      </c>
      <c r="AB1377" s="489"/>
      <c r="AC1377" s="489"/>
      <c r="AD1377" s="27">
        <v>510101</v>
      </c>
      <c r="AE1377" s="27" t="s">
        <v>1327</v>
      </c>
      <c r="AF1377" s="432">
        <f>VLOOKUP(AD1377,[5]Hoja1!$A$10:$K$1393,11,0)</f>
        <v>1535319191</v>
      </c>
      <c r="AG1377" s="1188">
        <v>-504182998</v>
      </c>
      <c r="AH1377" s="432">
        <f t="shared" si="314"/>
        <v>1031136</v>
      </c>
      <c r="AI1377" s="445">
        <f>+AH1377+AH1399+AH1400+AH1401</f>
        <v>39705039</v>
      </c>
      <c r="AJ1377" s="445" t="s">
        <v>1805</v>
      </c>
      <c r="AL1377" s="448"/>
      <c r="AM1377" s="467">
        <f>VLOOKUP(AD1377,[6]BV201101!$A$10:$A$1236,1,0)</f>
        <v>510101</v>
      </c>
    </row>
    <row r="1378" spans="1:39" s="467" customFormat="1" ht="12.75" customHeight="1">
      <c r="A1378" s="487" t="str">
        <f t="shared" si="310"/>
        <v>5</v>
      </c>
      <c r="B1378" s="487" t="str">
        <f t="shared" si="315"/>
        <v>10</v>
      </c>
      <c r="C1378" s="487" t="str">
        <f t="shared" si="316"/>
        <v>10</v>
      </c>
      <c r="D1378" s="487" t="str">
        <f t="shared" si="317"/>
        <v>0102</v>
      </c>
      <c r="E1378" s="487">
        <v>531101710</v>
      </c>
      <c r="F1378" s="488" t="str">
        <f t="shared" si="318"/>
        <v/>
      </c>
      <c r="G1378" s="487"/>
      <c r="H1378" s="487"/>
      <c r="I1378" s="488" t="str">
        <f t="shared" si="319"/>
        <v/>
      </c>
      <c r="J1378" s="487"/>
      <c r="K1378" s="487"/>
      <c r="L1378" s="488" t="str">
        <f t="shared" si="320"/>
        <v/>
      </c>
      <c r="M1378" s="487"/>
      <c r="N1378" s="487"/>
      <c r="O1378" s="488" t="str">
        <f t="shared" si="321"/>
        <v/>
      </c>
      <c r="P1378" s="489"/>
      <c r="Q1378" s="489"/>
      <c r="R1378" s="592" t="str">
        <f t="shared" si="322"/>
        <v>691111000</v>
      </c>
      <c r="S1378" s="487">
        <v>691111000</v>
      </c>
      <c r="T1378" s="487"/>
      <c r="U1378" s="488" t="str">
        <f t="shared" si="323"/>
        <v/>
      </c>
      <c r="V1378" s="489"/>
      <c r="W1378" s="489"/>
      <c r="X1378" s="488" t="str">
        <f t="shared" si="324"/>
        <v>631101710</v>
      </c>
      <c r="Y1378" s="489">
        <v>631101710</v>
      </c>
      <c r="Z1378" s="489"/>
      <c r="AA1378" s="490" t="str">
        <f t="shared" si="325"/>
        <v/>
      </c>
      <c r="AB1378" s="489"/>
      <c r="AC1378" s="489"/>
      <c r="AD1378" s="27">
        <v>510102</v>
      </c>
      <c r="AE1378" s="27" t="s">
        <v>1328</v>
      </c>
      <c r="AF1378" s="432">
        <f>VLOOKUP(AD1378,[5]Hoja1!$A$10:$K$1393,11,0)</f>
        <v>24025008379</v>
      </c>
      <c r="AG1378" s="1188">
        <v>369544642</v>
      </c>
      <c r="AH1378" s="432">
        <f t="shared" si="314"/>
        <v>24394553</v>
      </c>
      <c r="AI1378" s="467" t="s">
        <v>1805</v>
      </c>
      <c r="AJ1378" s="445"/>
      <c r="AL1378" s="448"/>
      <c r="AM1378" s="467">
        <f>VLOOKUP(AD1378,[6]BV201101!$A$10:$A$1236,1,0)</f>
        <v>510102</v>
      </c>
    </row>
    <row r="1379" spans="1:39" s="467" customFormat="1" ht="12.75" customHeight="1">
      <c r="A1379" s="487" t="str">
        <f t="shared" si="310"/>
        <v>5</v>
      </c>
      <c r="B1379" s="487" t="str">
        <f t="shared" si="315"/>
        <v>10</v>
      </c>
      <c r="C1379" s="487" t="str">
        <f t="shared" si="316"/>
        <v>11</v>
      </c>
      <c r="D1379" s="487" t="str">
        <f t="shared" si="317"/>
        <v>0110</v>
      </c>
      <c r="E1379" s="487">
        <v>531101730</v>
      </c>
      <c r="F1379" s="488" t="str">
        <f t="shared" si="318"/>
        <v/>
      </c>
      <c r="G1379" s="489"/>
      <c r="H1379" s="489"/>
      <c r="I1379" s="488" t="str">
        <f t="shared" si="319"/>
        <v/>
      </c>
      <c r="J1379" s="487"/>
      <c r="K1379" s="487"/>
      <c r="L1379" s="488" t="str">
        <f t="shared" si="320"/>
        <v/>
      </c>
      <c r="M1379" s="487"/>
      <c r="N1379" s="487"/>
      <c r="O1379" s="488" t="str">
        <f t="shared" si="321"/>
        <v/>
      </c>
      <c r="P1379" s="489"/>
      <c r="Q1379" s="489"/>
      <c r="R1379" s="592" t="str">
        <f t="shared" si="322"/>
        <v>691131000</v>
      </c>
      <c r="S1379" s="487">
        <v>691131000</v>
      </c>
      <c r="T1379" s="487"/>
      <c r="U1379" s="488" t="str">
        <f t="shared" si="323"/>
        <v/>
      </c>
      <c r="V1379" s="489"/>
      <c r="W1379" s="489"/>
      <c r="X1379" s="488" t="str">
        <f t="shared" si="324"/>
        <v>631101730</v>
      </c>
      <c r="Y1379" s="489">
        <v>631101730</v>
      </c>
      <c r="Z1379" s="489"/>
      <c r="AA1379" s="490" t="str">
        <f t="shared" si="325"/>
        <v/>
      </c>
      <c r="AB1379" s="489"/>
      <c r="AC1379" s="489"/>
      <c r="AD1379" s="27">
        <v>510110</v>
      </c>
      <c r="AE1379" s="27" t="s">
        <v>2421</v>
      </c>
      <c r="AF1379" s="432">
        <v>0</v>
      </c>
      <c r="AG1379" s="432"/>
      <c r="AH1379" s="432">
        <f t="shared" si="314"/>
        <v>0</v>
      </c>
      <c r="AI1379" s="445" t="s">
        <v>1805</v>
      </c>
      <c r="AJ1379" s="445"/>
      <c r="AL1379" s="448"/>
      <c r="AM1379" s="467" t="e">
        <f>VLOOKUP(AD1379,[6]BV201101!$A$10:$A$1236,1,0)</f>
        <v>#N/A</v>
      </c>
    </row>
    <row r="1380" spans="1:39" s="467" customFormat="1" ht="12.75" customHeight="1">
      <c r="A1380" s="487" t="str">
        <f t="shared" si="310"/>
        <v>5</v>
      </c>
      <c r="B1380" s="487" t="str">
        <f t="shared" si="315"/>
        <v>10</v>
      </c>
      <c r="C1380" s="487" t="str">
        <f t="shared" si="316"/>
        <v>11</v>
      </c>
      <c r="D1380" s="487" t="str">
        <f t="shared" si="317"/>
        <v>0111</v>
      </c>
      <c r="E1380" s="487">
        <v>531101730</v>
      </c>
      <c r="F1380" s="488" t="str">
        <f t="shared" si="318"/>
        <v/>
      </c>
      <c r="G1380" s="489"/>
      <c r="H1380" s="489"/>
      <c r="I1380" s="488" t="str">
        <f t="shared" si="319"/>
        <v/>
      </c>
      <c r="J1380" s="487"/>
      <c r="K1380" s="487"/>
      <c r="L1380" s="488" t="str">
        <f t="shared" si="320"/>
        <v/>
      </c>
      <c r="M1380" s="487"/>
      <c r="N1380" s="487"/>
      <c r="O1380" s="488" t="str">
        <f t="shared" si="321"/>
        <v/>
      </c>
      <c r="P1380" s="489"/>
      <c r="Q1380" s="489"/>
      <c r="R1380" s="592" t="str">
        <f t="shared" si="322"/>
        <v>691131000</v>
      </c>
      <c r="S1380" s="487">
        <v>691131000</v>
      </c>
      <c r="T1380" s="487"/>
      <c r="U1380" s="488" t="str">
        <f t="shared" si="323"/>
        <v/>
      </c>
      <c r="V1380" s="489"/>
      <c r="W1380" s="489"/>
      <c r="X1380" s="488" t="str">
        <f t="shared" si="324"/>
        <v>631101730</v>
      </c>
      <c r="Y1380" s="489">
        <v>631101730</v>
      </c>
      <c r="Z1380" s="489"/>
      <c r="AA1380" s="490" t="str">
        <f t="shared" si="325"/>
        <v/>
      </c>
      <c r="AB1380" s="489"/>
      <c r="AC1380" s="489"/>
      <c r="AD1380" s="27">
        <v>510111</v>
      </c>
      <c r="AE1380" s="27" t="s">
        <v>1329</v>
      </c>
      <c r="AF1380" s="432">
        <v>0</v>
      </c>
      <c r="AG1380" s="432"/>
      <c r="AH1380" s="432">
        <f t="shared" si="314"/>
        <v>0</v>
      </c>
      <c r="AI1380" s="467" t="s">
        <v>1805</v>
      </c>
      <c r="AJ1380" s="445"/>
      <c r="AL1380" s="448"/>
      <c r="AM1380" s="467" t="e">
        <f>VLOOKUP(AD1380,[6]BV201101!$A$10:$A$1236,1,0)</f>
        <v>#N/A</v>
      </c>
    </row>
    <row r="1381" spans="1:39" s="467" customFormat="1" ht="12.75" customHeight="1">
      <c r="A1381" s="487" t="str">
        <f t="shared" si="310"/>
        <v>5</v>
      </c>
      <c r="B1381" s="487" t="str">
        <f t="shared" si="315"/>
        <v>10</v>
      </c>
      <c r="C1381" s="487" t="str">
        <f t="shared" si="316"/>
        <v>11</v>
      </c>
      <c r="D1381" s="487" t="str">
        <f t="shared" si="317"/>
        <v>0112</v>
      </c>
      <c r="E1381" s="487">
        <v>531101730</v>
      </c>
      <c r="F1381" s="488" t="str">
        <f t="shared" si="318"/>
        <v/>
      </c>
      <c r="G1381" s="489"/>
      <c r="H1381" s="489"/>
      <c r="I1381" s="488" t="str">
        <f t="shared" si="319"/>
        <v/>
      </c>
      <c r="J1381" s="487"/>
      <c r="K1381" s="487"/>
      <c r="L1381" s="488" t="str">
        <f t="shared" si="320"/>
        <v/>
      </c>
      <c r="M1381" s="487"/>
      <c r="N1381" s="487"/>
      <c r="O1381" s="488" t="str">
        <f t="shared" si="321"/>
        <v/>
      </c>
      <c r="P1381" s="489"/>
      <c r="Q1381" s="489"/>
      <c r="R1381" s="592" t="str">
        <f t="shared" si="322"/>
        <v>691131000</v>
      </c>
      <c r="S1381" s="487">
        <v>691131000</v>
      </c>
      <c r="T1381" s="487"/>
      <c r="U1381" s="488" t="str">
        <f t="shared" si="323"/>
        <v/>
      </c>
      <c r="V1381" s="489"/>
      <c r="W1381" s="489"/>
      <c r="X1381" s="488" t="str">
        <f t="shared" si="324"/>
        <v>631101730</v>
      </c>
      <c r="Y1381" s="489">
        <v>631101730</v>
      </c>
      <c r="Z1381" s="489"/>
      <c r="AA1381" s="490" t="str">
        <f t="shared" si="325"/>
        <v/>
      </c>
      <c r="AB1381" s="489"/>
      <c r="AC1381" s="489"/>
      <c r="AD1381" s="27">
        <v>510112</v>
      </c>
      <c r="AE1381" s="27" t="s">
        <v>1330</v>
      </c>
      <c r="AF1381" s="432">
        <f>VLOOKUP(AD1381,[5]Hoja1!$A$10:$K$1393,11,0)</f>
        <v>-1504090237</v>
      </c>
      <c r="AG1381" s="432">
        <v>0</v>
      </c>
      <c r="AH1381" s="432">
        <f t="shared" si="314"/>
        <v>-1504090</v>
      </c>
      <c r="AI1381" s="467" t="s">
        <v>1805</v>
      </c>
      <c r="AJ1381" s="445"/>
      <c r="AL1381" s="448"/>
      <c r="AM1381" s="467">
        <f>VLOOKUP(AD1381,[6]BV201101!$A$10:$A$1236,1,0)</f>
        <v>510112</v>
      </c>
    </row>
    <row r="1382" spans="1:39" s="467" customFormat="1" ht="12.75" customHeight="1">
      <c r="A1382" s="487" t="str">
        <f t="shared" si="310"/>
        <v>5</v>
      </c>
      <c r="B1382" s="487" t="str">
        <f t="shared" si="315"/>
        <v>10</v>
      </c>
      <c r="C1382" s="487" t="str">
        <f t="shared" si="316"/>
        <v>11</v>
      </c>
      <c r="D1382" s="487" t="str">
        <f t="shared" si="317"/>
        <v>0119</v>
      </c>
      <c r="E1382" s="487">
        <v>531101710</v>
      </c>
      <c r="F1382" s="488"/>
      <c r="G1382" s="489"/>
      <c r="H1382" s="489"/>
      <c r="I1382" s="488"/>
      <c r="J1382" s="487"/>
      <c r="K1382" s="487"/>
      <c r="L1382" s="488"/>
      <c r="M1382" s="487"/>
      <c r="N1382" s="487"/>
      <c r="O1382" s="488"/>
      <c r="P1382" s="489"/>
      <c r="Q1382" s="489"/>
      <c r="R1382" s="592" t="str">
        <f t="shared" si="322"/>
        <v>691111000</v>
      </c>
      <c r="S1382" s="487">
        <v>691111000</v>
      </c>
      <c r="T1382" s="487"/>
      <c r="U1382" s="488"/>
      <c r="V1382" s="489"/>
      <c r="W1382" s="489"/>
      <c r="X1382" s="488" t="str">
        <f t="shared" si="324"/>
        <v>631101710</v>
      </c>
      <c r="Y1382" s="489">
        <v>631101710</v>
      </c>
      <c r="Z1382" s="489"/>
      <c r="AA1382" s="490"/>
      <c r="AB1382" s="489"/>
      <c r="AC1382" s="489"/>
      <c r="AD1382" s="27">
        <v>510119</v>
      </c>
      <c r="AE1382" s="27" t="s">
        <v>3470</v>
      </c>
      <c r="AF1382" s="432">
        <f>VLOOKUP(AD1382,[5]Hoja1!$A$10:$K$1393,11,0)</f>
        <v>390842139</v>
      </c>
      <c r="AG1382" s="432"/>
      <c r="AH1382" s="432">
        <f t="shared" si="314"/>
        <v>390842</v>
      </c>
      <c r="AJ1382" s="445"/>
      <c r="AL1382" s="448"/>
    </row>
    <row r="1383" spans="1:39" s="467" customFormat="1" ht="12.75" customHeight="1">
      <c r="A1383" s="487" t="str">
        <f t="shared" si="310"/>
        <v>5</v>
      </c>
      <c r="B1383" s="487" t="str">
        <f t="shared" si="315"/>
        <v>10</v>
      </c>
      <c r="C1383" s="487" t="str">
        <f t="shared" si="316"/>
        <v>12</v>
      </c>
      <c r="D1383" s="487" t="str">
        <f t="shared" si="317"/>
        <v>0120</v>
      </c>
      <c r="E1383" s="487">
        <v>531101710</v>
      </c>
      <c r="F1383" s="488"/>
      <c r="G1383" s="489"/>
      <c r="H1383" s="489"/>
      <c r="I1383" s="488"/>
      <c r="J1383" s="487"/>
      <c r="K1383" s="487"/>
      <c r="L1383" s="488"/>
      <c r="M1383" s="487"/>
      <c r="N1383" s="487"/>
      <c r="O1383" s="488"/>
      <c r="P1383" s="489"/>
      <c r="Q1383" s="489"/>
      <c r="R1383" s="592" t="str">
        <f t="shared" si="322"/>
        <v>691111000</v>
      </c>
      <c r="S1383" s="487">
        <v>691111000</v>
      </c>
      <c r="T1383" s="487"/>
      <c r="U1383" s="488"/>
      <c r="V1383" s="489"/>
      <c r="W1383" s="489"/>
      <c r="X1383" s="488" t="str">
        <f t="shared" si="324"/>
        <v>631101710</v>
      </c>
      <c r="Y1383" s="489">
        <v>631101710</v>
      </c>
      <c r="Z1383" s="489"/>
      <c r="AA1383" s="490"/>
      <c r="AB1383" s="489"/>
      <c r="AC1383" s="489"/>
      <c r="AD1383" s="27">
        <v>510120</v>
      </c>
      <c r="AE1383" s="27" t="s">
        <v>3471</v>
      </c>
      <c r="AF1383" s="432">
        <f>VLOOKUP(AD1383,[5]Hoja1!$A$10:$K$1393,11,0)</f>
        <v>182002493</v>
      </c>
      <c r="AG1383" s="432"/>
      <c r="AH1383" s="432">
        <f t="shared" si="314"/>
        <v>182002</v>
      </c>
      <c r="AJ1383" s="445"/>
      <c r="AL1383" s="448"/>
    </row>
    <row r="1384" spans="1:39" s="467" customFormat="1" ht="12.75" customHeight="1">
      <c r="A1384" s="487" t="str">
        <f t="shared" si="310"/>
        <v>5</v>
      </c>
      <c r="B1384" s="487" t="str">
        <f t="shared" si="315"/>
        <v>10</v>
      </c>
      <c r="C1384" s="487" t="str">
        <f t="shared" si="316"/>
        <v>12</v>
      </c>
      <c r="D1384" s="487" t="str">
        <f t="shared" si="317"/>
        <v>0121</v>
      </c>
      <c r="E1384" s="487">
        <v>531101710</v>
      </c>
      <c r="F1384" s="488"/>
      <c r="G1384" s="489"/>
      <c r="H1384" s="489"/>
      <c r="I1384" s="488"/>
      <c r="J1384" s="487"/>
      <c r="K1384" s="487"/>
      <c r="L1384" s="488"/>
      <c r="M1384" s="487"/>
      <c r="N1384" s="487"/>
      <c r="O1384" s="488"/>
      <c r="P1384" s="489"/>
      <c r="Q1384" s="489"/>
      <c r="R1384" s="592" t="str">
        <f t="shared" si="322"/>
        <v>691111000</v>
      </c>
      <c r="S1384" s="487">
        <v>691111000</v>
      </c>
      <c r="T1384" s="487"/>
      <c r="U1384" s="488"/>
      <c r="V1384" s="489"/>
      <c r="W1384" s="489"/>
      <c r="X1384" s="488" t="str">
        <f t="shared" si="324"/>
        <v>631101710</v>
      </c>
      <c r="Y1384" s="489">
        <v>631101710</v>
      </c>
      <c r="Z1384" s="489"/>
      <c r="AA1384" s="490"/>
      <c r="AB1384" s="489"/>
      <c r="AC1384" s="489"/>
      <c r="AD1384" s="27">
        <v>510121</v>
      </c>
      <c r="AE1384" s="27" t="s">
        <v>3466</v>
      </c>
      <c r="AF1384" s="432">
        <f>VLOOKUP(AD1384,[5]Hoja1!$A$10:$K$1393,11,0)</f>
        <v>1350928754</v>
      </c>
      <c r="AG1384" s="432"/>
      <c r="AH1384" s="432">
        <f t="shared" si="314"/>
        <v>1350929</v>
      </c>
      <c r="AJ1384" s="445"/>
      <c r="AL1384" s="448"/>
    </row>
    <row r="1385" spans="1:39" s="467" customFormat="1" ht="12.75" customHeight="1">
      <c r="A1385" s="487" t="str">
        <f t="shared" si="310"/>
        <v>5</v>
      </c>
      <c r="B1385" s="487" t="str">
        <f t="shared" si="315"/>
        <v>10</v>
      </c>
      <c r="C1385" s="487" t="str">
        <f t="shared" si="316"/>
        <v>20</v>
      </c>
      <c r="D1385" s="487" t="str">
        <f t="shared" si="317"/>
        <v>0200</v>
      </c>
      <c r="E1385" s="487">
        <v>531101200</v>
      </c>
      <c r="F1385" s="488" t="str">
        <f>+G1385&amp;H1385</f>
        <v/>
      </c>
      <c r="G1385" s="487"/>
      <c r="H1385" s="487"/>
      <c r="I1385" s="488" t="str">
        <f>+J1385&amp;K1385</f>
        <v/>
      </c>
      <c r="J1385" s="487"/>
      <c r="K1385" s="487"/>
      <c r="L1385" s="488" t="str">
        <f>+M1385&amp;N1385</f>
        <v/>
      </c>
      <c r="M1385" s="487"/>
      <c r="N1385" s="487"/>
      <c r="O1385" s="488" t="str">
        <f>+P1385&amp;Q1385</f>
        <v/>
      </c>
      <c r="P1385" s="489"/>
      <c r="Q1385" s="489"/>
      <c r="R1385" s="592" t="str">
        <f>+S1385&amp;T1385</f>
        <v/>
      </c>
      <c r="S1385" s="487"/>
      <c r="T1385" s="487"/>
      <c r="U1385" s="488" t="str">
        <f>+V1385&amp;W1385</f>
        <v/>
      </c>
      <c r="V1385" s="489"/>
      <c r="W1385" s="489"/>
      <c r="X1385" s="488" t="str">
        <f>+Y1385&amp;Z1385</f>
        <v>631101200</v>
      </c>
      <c r="Y1385" s="489">
        <v>631101200</v>
      </c>
      <c r="Z1385" s="489"/>
      <c r="AA1385" s="490"/>
      <c r="AB1385" s="489"/>
      <c r="AC1385" s="489"/>
      <c r="AD1385" s="27">
        <v>510200</v>
      </c>
      <c r="AE1385" s="27" t="s">
        <v>2422</v>
      </c>
      <c r="AF1385" s="432">
        <f>VLOOKUP(AD1385,[5]Hoja1!$A$10:$K$1393,11,0)</f>
        <v>-7213831</v>
      </c>
      <c r="AG1385" s="1188">
        <f>-6212000+14996000</f>
        <v>8784000</v>
      </c>
      <c r="AH1385" s="432">
        <f t="shared" si="314"/>
        <v>1570</v>
      </c>
      <c r="AI1385" s="467" t="s">
        <v>1805</v>
      </c>
      <c r="AL1385" s="448"/>
      <c r="AM1385" s="467">
        <f>VLOOKUP(AD1385,[6]BV201101!$A$10:$A$1236,1,0)</f>
        <v>510200</v>
      </c>
    </row>
    <row r="1386" spans="1:39" s="467" customFormat="1" ht="12.75" customHeight="1">
      <c r="A1386" s="487" t="str">
        <f t="shared" si="310"/>
        <v>5</v>
      </c>
      <c r="B1386" s="487" t="str">
        <f t="shared" si="315"/>
        <v>10</v>
      </c>
      <c r="C1386" s="487" t="str">
        <f t="shared" si="316"/>
        <v>20</v>
      </c>
      <c r="D1386" s="487" t="str">
        <f t="shared" si="317"/>
        <v>0201</v>
      </c>
      <c r="E1386" s="487">
        <v>531101200</v>
      </c>
      <c r="F1386" s="488" t="str">
        <f>+G1386&amp;H1386</f>
        <v/>
      </c>
      <c r="G1386" s="487"/>
      <c r="H1386" s="487"/>
      <c r="I1386" s="488" t="str">
        <f>+J1386&amp;K1386</f>
        <v/>
      </c>
      <c r="J1386" s="487"/>
      <c r="K1386" s="487"/>
      <c r="L1386" s="488" t="str">
        <f>+M1386&amp;N1386</f>
        <v/>
      </c>
      <c r="M1386" s="487"/>
      <c r="N1386" s="487"/>
      <c r="O1386" s="488" t="str">
        <f>+P1386&amp;Q1386</f>
        <v/>
      </c>
      <c r="P1386" s="489"/>
      <c r="Q1386" s="489"/>
      <c r="R1386" s="592" t="str">
        <f>+S1386&amp;T1386</f>
        <v/>
      </c>
      <c r="S1386" s="487"/>
      <c r="T1386" s="487"/>
      <c r="U1386" s="488" t="str">
        <f>+V1386&amp;W1386</f>
        <v/>
      </c>
      <c r="V1386" s="489"/>
      <c r="W1386" s="489"/>
      <c r="X1386" s="488" t="str">
        <f>+Y1386&amp;Z1386</f>
        <v>631101200</v>
      </c>
      <c r="Y1386" s="489">
        <v>631101200</v>
      </c>
      <c r="Z1386" s="489"/>
      <c r="AA1386" s="490" t="str">
        <f>+AB1386&amp;AC1386</f>
        <v/>
      </c>
      <c r="AB1386" s="489"/>
      <c r="AC1386" s="489"/>
      <c r="AD1386" s="27">
        <v>510201</v>
      </c>
      <c r="AE1386" s="27" t="s">
        <v>2423</v>
      </c>
      <c r="AF1386" s="432">
        <v>0</v>
      </c>
      <c r="AG1386" s="432"/>
      <c r="AH1386" s="432">
        <f t="shared" si="314"/>
        <v>0</v>
      </c>
      <c r="AI1386" s="467" t="s">
        <v>1805</v>
      </c>
      <c r="AL1386" s="448"/>
      <c r="AM1386" s="467" t="e">
        <f>VLOOKUP(AD1386,[6]BV201101!$A$10:$A$1236,1,0)</f>
        <v>#N/A</v>
      </c>
    </row>
    <row r="1387" spans="1:39" s="467" customFormat="1" ht="12.75" customHeight="1">
      <c r="A1387" s="487" t="str">
        <f t="shared" si="310"/>
        <v>5</v>
      </c>
      <c r="B1387" s="487" t="str">
        <f t="shared" si="315"/>
        <v>10</v>
      </c>
      <c r="C1387" s="487" t="str">
        <f t="shared" si="316"/>
        <v>20</v>
      </c>
      <c r="D1387" s="487" t="str">
        <f t="shared" si="317"/>
        <v>0202</v>
      </c>
      <c r="E1387" s="487">
        <v>531101200</v>
      </c>
      <c r="F1387" s="488" t="str">
        <f>+G1387&amp;H1387</f>
        <v/>
      </c>
      <c r="G1387" s="487"/>
      <c r="H1387" s="487"/>
      <c r="I1387" s="488" t="str">
        <f>+J1387&amp;K1387</f>
        <v/>
      </c>
      <c r="J1387" s="487"/>
      <c r="K1387" s="487"/>
      <c r="L1387" s="488" t="str">
        <f>+M1387&amp;N1387</f>
        <v/>
      </c>
      <c r="M1387" s="487"/>
      <c r="N1387" s="487"/>
      <c r="O1387" s="488" t="str">
        <f>+P1387&amp;Q1387</f>
        <v/>
      </c>
      <c r="P1387" s="489"/>
      <c r="Q1387" s="489"/>
      <c r="R1387" s="592" t="str">
        <f>+S1387&amp;T1387</f>
        <v/>
      </c>
      <c r="S1387" s="487"/>
      <c r="T1387" s="487"/>
      <c r="U1387" s="488" t="str">
        <f>+V1387&amp;W1387</f>
        <v/>
      </c>
      <c r="V1387" s="489"/>
      <c r="W1387" s="489"/>
      <c r="X1387" s="488" t="str">
        <f>+Y1387&amp;Z1387</f>
        <v>631101200</v>
      </c>
      <c r="Y1387" s="489">
        <v>631101200</v>
      </c>
      <c r="Z1387" s="489"/>
      <c r="AA1387" s="490" t="str">
        <f>+AB1387&amp;AC1387</f>
        <v/>
      </c>
      <c r="AB1387" s="489"/>
      <c r="AC1387" s="489"/>
      <c r="AD1387" s="27">
        <v>510202</v>
      </c>
      <c r="AE1387" s="27" t="s">
        <v>2424</v>
      </c>
      <c r="AF1387" s="432">
        <f>VLOOKUP(AD1387,[5]Hoja1!$A$10:$K$1393,11,0)</f>
        <v>-289304046</v>
      </c>
      <c r="AG1387" s="432"/>
      <c r="AH1387" s="432">
        <f t="shared" si="314"/>
        <v>-289304</v>
      </c>
      <c r="AI1387" s="467" t="s">
        <v>1805</v>
      </c>
      <c r="AJ1387" s="467" t="s">
        <v>1805</v>
      </c>
      <c r="AL1387" s="448"/>
      <c r="AM1387" s="467">
        <f>VLOOKUP(AD1387,[6]BV201101!$A$10:$A$1236,1,0)</f>
        <v>510202</v>
      </c>
    </row>
    <row r="1388" spans="1:39" s="467" customFormat="1" ht="12.75" customHeight="1">
      <c r="A1388" s="487" t="str">
        <f t="shared" si="310"/>
        <v>5</v>
      </c>
      <c r="B1388" s="487" t="str">
        <f t="shared" si="315"/>
        <v>10</v>
      </c>
      <c r="C1388" s="487" t="str">
        <f t="shared" si="316"/>
        <v>20</v>
      </c>
      <c r="D1388" s="487" t="str">
        <f t="shared" si="317"/>
        <v>0203</v>
      </c>
      <c r="E1388" s="487">
        <v>531101400</v>
      </c>
      <c r="F1388" s="488"/>
      <c r="G1388" s="487"/>
      <c r="H1388" s="487"/>
      <c r="I1388" s="488"/>
      <c r="J1388" s="487"/>
      <c r="K1388" s="487"/>
      <c r="L1388" s="488"/>
      <c r="M1388" s="487"/>
      <c r="N1388" s="487"/>
      <c r="O1388" s="488"/>
      <c r="P1388" s="489"/>
      <c r="Q1388" s="489"/>
      <c r="R1388" s="592"/>
      <c r="S1388" s="487"/>
      <c r="T1388" s="487"/>
      <c r="U1388" s="488"/>
      <c r="V1388" s="489"/>
      <c r="W1388" s="489"/>
      <c r="X1388" s="488"/>
      <c r="Y1388" s="489"/>
      <c r="Z1388" s="489"/>
      <c r="AA1388" s="490"/>
      <c r="AB1388" s="489"/>
      <c r="AC1388" s="489"/>
      <c r="AD1388" s="27">
        <v>510203</v>
      </c>
      <c r="AE1388" s="27" t="s">
        <v>2941</v>
      </c>
      <c r="AF1388" s="432">
        <f>VLOOKUP(AD1388,[5]Hoja1!$A$10:$K$1393,11,0)</f>
        <v>2461190916</v>
      </c>
      <c r="AG1388" s="1188">
        <f>-4144000+71755000</f>
        <v>67611000</v>
      </c>
      <c r="AH1388" s="432">
        <f t="shared" si="314"/>
        <v>2528802</v>
      </c>
      <c r="AL1388" s="448"/>
    </row>
    <row r="1389" spans="1:39" s="467" customFormat="1" ht="12.75" customHeight="1">
      <c r="A1389" s="487" t="str">
        <f t="shared" si="310"/>
        <v>5</v>
      </c>
      <c r="B1389" s="487" t="str">
        <f t="shared" si="315"/>
        <v>10</v>
      </c>
      <c r="C1389" s="487" t="str">
        <f t="shared" si="316"/>
        <v>21</v>
      </c>
      <c r="D1389" s="487" t="str">
        <f t="shared" si="317"/>
        <v>0210</v>
      </c>
      <c r="E1389" s="487">
        <v>531101300</v>
      </c>
      <c r="F1389" s="488" t="str">
        <f t="shared" si="318"/>
        <v/>
      </c>
      <c r="G1389" s="487"/>
      <c r="H1389" s="487"/>
      <c r="I1389" s="488" t="str">
        <f t="shared" si="319"/>
        <v/>
      </c>
      <c r="J1389" s="487"/>
      <c r="K1389" s="487"/>
      <c r="L1389" s="488" t="str">
        <f t="shared" si="320"/>
        <v/>
      </c>
      <c r="M1389" s="487"/>
      <c r="N1389" s="487"/>
      <c r="O1389" s="488" t="str">
        <f t="shared" si="321"/>
        <v/>
      </c>
      <c r="P1389" s="489"/>
      <c r="Q1389" s="489"/>
      <c r="R1389" s="592" t="str">
        <f t="shared" si="322"/>
        <v/>
      </c>
      <c r="S1389" s="487"/>
      <c r="T1389" s="487"/>
      <c r="U1389" s="488" t="str">
        <f t="shared" si="323"/>
        <v/>
      </c>
      <c r="V1389" s="489"/>
      <c r="W1389" s="489"/>
      <c r="X1389" s="488" t="str">
        <f t="shared" si="324"/>
        <v>631101300</v>
      </c>
      <c r="Y1389" s="489">
        <v>631101300</v>
      </c>
      <c r="Z1389" s="489"/>
      <c r="AA1389" s="490" t="str">
        <f>+AB1389&amp;AC1389</f>
        <v/>
      </c>
      <c r="AB1389" s="489"/>
      <c r="AC1389" s="489"/>
      <c r="AD1389" s="27">
        <v>510210</v>
      </c>
      <c r="AE1389" s="27" t="s">
        <v>2425</v>
      </c>
      <c r="AF1389" s="432">
        <v>0</v>
      </c>
      <c r="AG1389" s="432"/>
      <c r="AH1389" s="432">
        <f t="shared" si="314"/>
        <v>0</v>
      </c>
      <c r="AI1389" s="445" t="s">
        <v>1805</v>
      </c>
      <c r="AL1389" s="492"/>
      <c r="AM1389" s="467" t="e">
        <f>VLOOKUP(AD1389,[6]BV201101!$A$10:$A$1236,1,0)</f>
        <v>#N/A</v>
      </c>
    </row>
    <row r="1390" spans="1:39" s="467" customFormat="1" ht="12.75" customHeight="1">
      <c r="A1390" s="487" t="str">
        <f t="shared" si="310"/>
        <v>5</v>
      </c>
      <c r="B1390" s="487" t="str">
        <f t="shared" si="315"/>
        <v>10</v>
      </c>
      <c r="C1390" s="487" t="str">
        <f t="shared" si="316"/>
        <v>21</v>
      </c>
      <c r="D1390" s="487" t="str">
        <f t="shared" si="317"/>
        <v>0211</v>
      </c>
      <c r="E1390" s="487">
        <v>531101300</v>
      </c>
      <c r="F1390" s="488" t="str">
        <f t="shared" si="318"/>
        <v/>
      </c>
      <c r="G1390" s="487"/>
      <c r="H1390" s="487"/>
      <c r="I1390" s="488" t="str">
        <f t="shared" si="319"/>
        <v/>
      </c>
      <c r="J1390" s="487"/>
      <c r="K1390" s="487"/>
      <c r="L1390" s="488" t="str">
        <f t="shared" si="320"/>
        <v/>
      </c>
      <c r="M1390" s="487"/>
      <c r="N1390" s="487"/>
      <c r="O1390" s="488" t="str">
        <f t="shared" si="321"/>
        <v/>
      </c>
      <c r="P1390" s="489"/>
      <c r="Q1390" s="489"/>
      <c r="R1390" s="592" t="str">
        <f t="shared" si="322"/>
        <v/>
      </c>
      <c r="S1390" s="487"/>
      <c r="T1390" s="487"/>
      <c r="U1390" s="488" t="str">
        <f t="shared" si="323"/>
        <v/>
      </c>
      <c r="V1390" s="489"/>
      <c r="W1390" s="489"/>
      <c r="X1390" s="488" t="str">
        <f t="shared" si="324"/>
        <v>631101300</v>
      </c>
      <c r="Y1390" s="489">
        <v>631101300</v>
      </c>
      <c r="Z1390" s="489"/>
      <c r="AA1390" s="490" t="str">
        <f>+AB1390&amp;AC1390</f>
        <v/>
      </c>
      <c r="AB1390" s="489"/>
      <c r="AC1390" s="489"/>
      <c r="AD1390" s="27">
        <v>510211</v>
      </c>
      <c r="AE1390" s="27" t="s">
        <v>2426</v>
      </c>
      <c r="AF1390" s="432">
        <v>0</v>
      </c>
      <c r="AG1390" s="680">
        <v>0</v>
      </c>
      <c r="AH1390" s="432">
        <f t="shared" si="314"/>
        <v>0</v>
      </c>
      <c r="AI1390" s="467" t="s">
        <v>1805</v>
      </c>
      <c r="AL1390" s="448"/>
      <c r="AM1390" s="467" t="e">
        <f>VLOOKUP(AD1390,[6]BV201101!$A$10:$A$1236,1,0)</f>
        <v>#N/A</v>
      </c>
    </row>
    <row r="1391" spans="1:39" s="467" customFormat="1" ht="12.75" customHeight="1">
      <c r="A1391" s="487" t="str">
        <f t="shared" si="310"/>
        <v>5</v>
      </c>
      <c r="B1391" s="487" t="str">
        <f t="shared" si="315"/>
        <v>10</v>
      </c>
      <c r="C1391" s="487" t="str">
        <f t="shared" si="316"/>
        <v>21</v>
      </c>
      <c r="D1391" s="487" t="str">
        <f t="shared" si="317"/>
        <v>0212</v>
      </c>
      <c r="E1391" s="487">
        <v>531101300</v>
      </c>
      <c r="F1391" s="488" t="str">
        <f t="shared" si="318"/>
        <v/>
      </c>
      <c r="G1391" s="487"/>
      <c r="H1391" s="487"/>
      <c r="I1391" s="488" t="str">
        <f t="shared" si="319"/>
        <v/>
      </c>
      <c r="J1391" s="487"/>
      <c r="K1391" s="487"/>
      <c r="L1391" s="488" t="str">
        <f t="shared" si="320"/>
        <v/>
      </c>
      <c r="M1391" s="487"/>
      <c r="N1391" s="487"/>
      <c r="O1391" s="488" t="str">
        <f t="shared" si="321"/>
        <v/>
      </c>
      <c r="P1391" s="489"/>
      <c r="Q1391" s="489"/>
      <c r="R1391" s="592" t="str">
        <f t="shared" si="322"/>
        <v/>
      </c>
      <c r="S1391" s="487"/>
      <c r="T1391" s="487"/>
      <c r="U1391" s="488" t="str">
        <f t="shared" si="323"/>
        <v/>
      </c>
      <c r="V1391" s="489"/>
      <c r="W1391" s="489"/>
      <c r="X1391" s="488" t="str">
        <f t="shared" si="324"/>
        <v>631101300</v>
      </c>
      <c r="Y1391" s="489">
        <v>631101300</v>
      </c>
      <c r="Z1391" s="489"/>
      <c r="AA1391" s="490" t="str">
        <f>+AB1391&amp;AC1391</f>
        <v/>
      </c>
      <c r="AB1391" s="489"/>
      <c r="AC1391" s="489"/>
      <c r="AD1391" s="27">
        <v>510212</v>
      </c>
      <c r="AE1391" s="27" t="s">
        <v>2427</v>
      </c>
      <c r="AF1391" s="432">
        <f>VLOOKUP(AD1391,[5]Hoja1!$A$10:$K$1393,11,0)</f>
        <v>234312424</v>
      </c>
      <c r="AG1391" s="1188">
        <f>239000+48258000</f>
        <v>48497000</v>
      </c>
      <c r="AH1391" s="432">
        <f t="shared" si="314"/>
        <v>282809</v>
      </c>
      <c r="AI1391" s="445"/>
      <c r="AL1391" s="499"/>
      <c r="AM1391" s="467">
        <f>VLOOKUP(AD1391,[6]BV201101!$A$10:$A$1236,1,0)</f>
        <v>510212</v>
      </c>
    </row>
    <row r="1392" spans="1:39" s="467" customFormat="1" ht="12.75" customHeight="1">
      <c r="A1392" s="487" t="str">
        <f t="shared" si="310"/>
        <v>5</v>
      </c>
      <c r="B1392" s="487" t="str">
        <f t="shared" si="315"/>
        <v>10</v>
      </c>
      <c r="C1392" s="487" t="str">
        <f t="shared" si="316"/>
        <v>21</v>
      </c>
      <c r="D1392" s="487" t="str">
        <f t="shared" si="317"/>
        <v>0212</v>
      </c>
      <c r="E1392" s="487">
        <v>531101400</v>
      </c>
      <c r="F1392" s="488"/>
      <c r="G1392" s="487"/>
      <c r="H1392" s="487"/>
      <c r="I1392" s="488"/>
      <c r="J1392" s="487"/>
      <c r="K1392" s="487"/>
      <c r="L1392" s="488"/>
      <c r="M1392" s="487"/>
      <c r="N1392" s="487"/>
      <c r="O1392" s="488"/>
      <c r="P1392" s="489"/>
      <c r="Q1392" s="489"/>
      <c r="R1392" s="592"/>
      <c r="S1392" s="487"/>
      <c r="T1392" s="487"/>
      <c r="U1392" s="488"/>
      <c r="V1392" s="489"/>
      <c r="W1392" s="489"/>
      <c r="X1392" s="488"/>
      <c r="Y1392" s="489"/>
      <c r="Z1392" s="489"/>
      <c r="AA1392" s="490"/>
      <c r="AB1392" s="489"/>
      <c r="AC1392" s="489"/>
      <c r="AD1392" s="500">
        <v>510212</v>
      </c>
      <c r="AE1392" s="599" t="s">
        <v>2427</v>
      </c>
      <c r="AF1392" s="432">
        <v>0</v>
      </c>
      <c r="AG1392" s="680">
        <v>0</v>
      </c>
      <c r="AH1392" s="432">
        <f t="shared" si="314"/>
        <v>0</v>
      </c>
      <c r="AL1392" s="499"/>
      <c r="AM1392" s="467">
        <f>VLOOKUP(AD1392,[6]BV201101!$A$10:$A$1236,1,0)</f>
        <v>510212</v>
      </c>
    </row>
    <row r="1393" spans="1:39" s="467" customFormat="1" ht="12.75" customHeight="1">
      <c r="A1393" s="487" t="str">
        <f t="shared" si="310"/>
        <v>5</v>
      </c>
      <c r="B1393" s="487" t="str">
        <f t="shared" si="315"/>
        <v>10</v>
      </c>
      <c r="C1393" s="487" t="str">
        <f t="shared" si="316"/>
        <v>21</v>
      </c>
      <c r="D1393" s="487" t="str">
        <f t="shared" si="317"/>
        <v>0214</v>
      </c>
      <c r="E1393" s="487">
        <v>531101710</v>
      </c>
      <c r="F1393" s="488"/>
      <c r="G1393" s="489"/>
      <c r="H1393" s="489"/>
      <c r="I1393" s="488"/>
      <c r="J1393" s="487"/>
      <c r="K1393" s="487"/>
      <c r="L1393" s="488"/>
      <c r="M1393" s="487"/>
      <c r="N1393" s="487"/>
      <c r="O1393" s="488"/>
      <c r="P1393" s="489"/>
      <c r="Q1393" s="489"/>
      <c r="R1393" s="592" t="str">
        <f t="shared" ref="R1393" si="326">+S1393&amp;T1393</f>
        <v>691111000</v>
      </c>
      <c r="S1393" s="487">
        <v>691111000</v>
      </c>
      <c r="T1393" s="487"/>
      <c r="U1393" s="488"/>
      <c r="V1393" s="489"/>
      <c r="W1393" s="489"/>
      <c r="X1393" s="488"/>
      <c r="Y1393" s="489"/>
      <c r="Z1393" s="489"/>
      <c r="AA1393" s="490"/>
      <c r="AB1393" s="489"/>
      <c r="AC1393" s="489"/>
      <c r="AD1393" s="1031">
        <v>510214</v>
      </c>
      <c r="AE1393" s="1021" t="s">
        <v>3531</v>
      </c>
      <c r="AF1393" s="432">
        <f>VLOOKUP(AD1393,[5]Hoja1!$A$10:$K$1393,11,0)</f>
        <v>960856</v>
      </c>
      <c r="AG1393" s="680">
        <v>0</v>
      </c>
      <c r="AH1393" s="432">
        <f t="shared" ref="AH1393:AH1394" si="327">ROUND((AF1393+AG1393)/$AH$2,0)</f>
        <v>961</v>
      </c>
      <c r="AL1393" s="499"/>
    </row>
    <row r="1394" spans="1:39" s="467" customFormat="1" ht="12.75" customHeight="1">
      <c r="A1394" s="487" t="str">
        <f t="shared" si="310"/>
        <v>5</v>
      </c>
      <c r="B1394" s="487" t="str">
        <f t="shared" si="315"/>
        <v>10</v>
      </c>
      <c r="C1394" s="487" t="str">
        <f t="shared" si="316"/>
        <v>21</v>
      </c>
      <c r="D1394" s="487" t="str">
        <f t="shared" si="317"/>
        <v>0215</v>
      </c>
      <c r="E1394" s="487">
        <v>531101710</v>
      </c>
      <c r="F1394" s="488"/>
      <c r="G1394" s="489"/>
      <c r="H1394" s="489"/>
      <c r="I1394" s="488"/>
      <c r="J1394" s="487"/>
      <c r="K1394" s="487"/>
      <c r="L1394" s="488"/>
      <c r="M1394" s="487"/>
      <c r="N1394" s="487"/>
      <c r="O1394" s="488"/>
      <c r="P1394" s="489"/>
      <c r="Q1394" s="489"/>
      <c r="R1394" s="592" t="str">
        <f t="shared" ref="R1394" si="328">+S1394&amp;T1394</f>
        <v>691111000</v>
      </c>
      <c r="S1394" s="487">
        <v>691111000</v>
      </c>
      <c r="T1394" s="487"/>
      <c r="U1394" s="488"/>
      <c r="V1394" s="489"/>
      <c r="W1394" s="489"/>
      <c r="X1394" s="488"/>
      <c r="Y1394" s="489"/>
      <c r="Z1394" s="489"/>
      <c r="AA1394" s="490"/>
      <c r="AB1394" s="489"/>
      <c r="AC1394" s="489"/>
      <c r="AD1394" s="1031">
        <v>510215</v>
      </c>
      <c r="AE1394" s="1021" t="s">
        <v>3527</v>
      </c>
      <c r="AF1394" s="432">
        <f>VLOOKUP(AD1394,[5]Hoja1!$A$10:$K$1393,11,0)</f>
        <v>1094225099</v>
      </c>
      <c r="AG1394" s="680">
        <v>0</v>
      </c>
      <c r="AH1394" s="432">
        <f t="shared" si="327"/>
        <v>1094225</v>
      </c>
      <c r="AL1394" s="499"/>
    </row>
    <row r="1395" spans="1:39" s="467" customFormat="1" ht="12.75" customHeight="1">
      <c r="A1395" s="487" t="str">
        <f t="shared" si="310"/>
        <v>5</v>
      </c>
      <c r="B1395" s="487" t="str">
        <f t="shared" ref="B1395:B1403" si="329">RIGHT(LEFT($AD1395,3),2)</f>
        <v>10</v>
      </c>
      <c r="C1395" s="487" t="str">
        <f t="shared" ref="C1395:C1403" si="330">RIGHT(LEFT($AD1395,5),2)</f>
        <v>22</v>
      </c>
      <c r="D1395" s="487" t="str">
        <f t="shared" ref="D1395:D1403" si="331">RIGHT(LEFT($AD1395,9),4)</f>
        <v>0220</v>
      </c>
      <c r="E1395" s="487">
        <v>531101710</v>
      </c>
      <c r="F1395" s="488" t="str">
        <f>+G1395&amp;H1395</f>
        <v/>
      </c>
      <c r="G1395" s="487"/>
      <c r="H1395" s="487"/>
      <c r="I1395" s="488" t="str">
        <f>+J1395&amp;K1395</f>
        <v/>
      </c>
      <c r="J1395" s="487"/>
      <c r="K1395" s="487"/>
      <c r="L1395" s="488" t="str">
        <f>+M1395&amp;N1395</f>
        <v/>
      </c>
      <c r="M1395" s="487"/>
      <c r="N1395" s="487"/>
      <c r="O1395" s="488" t="str">
        <f>+P1395&amp;Q1395</f>
        <v/>
      </c>
      <c r="P1395" s="489"/>
      <c r="Q1395" s="489"/>
      <c r="R1395" s="592" t="str">
        <f>+S1395&amp;T1395</f>
        <v>691111000</v>
      </c>
      <c r="S1395" s="487">
        <v>691111000</v>
      </c>
      <c r="T1395" s="487"/>
      <c r="U1395" s="488" t="str">
        <f>+V1395&amp;W1395</f>
        <v/>
      </c>
      <c r="V1395" s="489"/>
      <c r="W1395" s="489"/>
      <c r="X1395" s="488" t="str">
        <f t="shared" ref="X1395:X1409" si="332">+Y1395&amp;Z1395</f>
        <v>631101710</v>
      </c>
      <c r="Y1395" s="489">
        <v>631101710</v>
      </c>
      <c r="Z1395" s="489"/>
      <c r="AA1395" s="490" t="str">
        <f>+AB1395&amp;AC1395</f>
        <v/>
      </c>
      <c r="AB1395" s="489"/>
      <c r="AC1395" s="489"/>
      <c r="AD1395" s="27">
        <v>510220</v>
      </c>
      <c r="AE1395" s="27" t="s">
        <v>521</v>
      </c>
      <c r="AF1395" s="432">
        <f>VLOOKUP(AD1395,[5]Hoja1!$A$10:$K$1393,11,0)</f>
        <v>-10921332554</v>
      </c>
      <c r="AG1395" s="1191">
        <v>-336318000</v>
      </c>
      <c r="AH1395" s="432">
        <f t="shared" si="314"/>
        <v>-11257651</v>
      </c>
      <c r="AL1395" s="448"/>
      <c r="AM1395" s="467">
        <f>VLOOKUP(AD1395,[6]BV201101!$A$10:$A$1236,1,0)</f>
        <v>510220</v>
      </c>
    </row>
    <row r="1396" spans="1:39" s="467" customFormat="1" ht="12.75" customHeight="1">
      <c r="A1396" s="487" t="str">
        <f t="shared" ref="A1396:A1461" si="333">+LEFT($AD1396,1)</f>
        <v>5</v>
      </c>
      <c r="B1396" s="487" t="str">
        <f t="shared" si="329"/>
        <v>10</v>
      </c>
      <c r="C1396" s="487" t="str">
        <f t="shared" si="330"/>
        <v>22</v>
      </c>
      <c r="D1396" s="487" t="str">
        <f t="shared" si="331"/>
        <v>0221</v>
      </c>
      <c r="E1396" s="487">
        <v>531101710</v>
      </c>
      <c r="F1396" s="488"/>
      <c r="G1396" s="487"/>
      <c r="H1396" s="487"/>
      <c r="I1396" s="488"/>
      <c r="J1396" s="487"/>
      <c r="K1396" s="487"/>
      <c r="L1396" s="488"/>
      <c r="M1396" s="487"/>
      <c r="N1396" s="487"/>
      <c r="O1396" s="488"/>
      <c r="P1396" s="489"/>
      <c r="Q1396" s="489"/>
      <c r="R1396" s="592"/>
      <c r="S1396" s="487"/>
      <c r="T1396" s="487"/>
      <c r="U1396" s="488"/>
      <c r="V1396" s="489"/>
      <c r="W1396" s="489"/>
      <c r="X1396" s="488"/>
      <c r="Y1396" s="489"/>
      <c r="Z1396" s="489"/>
      <c r="AA1396" s="490"/>
      <c r="AB1396" s="489"/>
      <c r="AC1396" s="489"/>
      <c r="AD1396" s="27">
        <v>510221</v>
      </c>
      <c r="AE1396" s="27" t="s">
        <v>2579</v>
      </c>
      <c r="AF1396" s="432">
        <f>VLOOKUP(AD1396,[5]Hoja1!$A$10:$K$1393,11,0)</f>
        <v>3193191722</v>
      </c>
      <c r="AG1396" s="680"/>
      <c r="AH1396" s="432">
        <f t="shared" si="314"/>
        <v>3193192</v>
      </c>
      <c r="AL1396" s="448"/>
    </row>
    <row r="1397" spans="1:39" s="467" customFormat="1" ht="12.75" customHeight="1">
      <c r="A1397" s="487" t="str">
        <f t="shared" si="333"/>
        <v>5</v>
      </c>
      <c r="B1397" s="487" t="str">
        <f t="shared" si="329"/>
        <v>10</v>
      </c>
      <c r="C1397" s="487" t="str">
        <f t="shared" si="330"/>
        <v>22</v>
      </c>
      <c r="D1397" s="487" t="str">
        <f t="shared" si="331"/>
        <v>0223</v>
      </c>
      <c r="E1397" s="487">
        <v>531101610</v>
      </c>
      <c r="F1397" s="488"/>
      <c r="G1397" s="487"/>
      <c r="H1397" s="487"/>
      <c r="I1397" s="488"/>
      <c r="J1397" s="487"/>
      <c r="K1397" s="487"/>
      <c r="L1397" s="488"/>
      <c r="M1397" s="487"/>
      <c r="N1397" s="487"/>
      <c r="O1397" s="488"/>
      <c r="P1397" s="489"/>
      <c r="Q1397" s="489"/>
      <c r="R1397" s="592"/>
      <c r="S1397" s="487"/>
      <c r="T1397" s="487"/>
      <c r="U1397" s="488"/>
      <c r="V1397" s="489"/>
      <c r="W1397" s="489"/>
      <c r="X1397" s="488"/>
      <c r="Y1397" s="489"/>
      <c r="Z1397" s="489"/>
      <c r="AA1397" s="490"/>
      <c r="AB1397" s="489"/>
      <c r="AC1397" s="489"/>
      <c r="AD1397" s="27">
        <v>510223</v>
      </c>
      <c r="AE1397" s="27" t="s">
        <v>2942</v>
      </c>
      <c r="AF1397" s="432">
        <f>VLOOKUP(AD1397,[5]Hoja1!$A$10:$K$1393,11,0)</f>
        <v>62605354172</v>
      </c>
      <c r="AG1397" s="1201">
        <v>3488429000</v>
      </c>
      <c r="AH1397" s="432">
        <f t="shared" si="314"/>
        <v>66093783</v>
      </c>
      <c r="AL1397" s="448"/>
    </row>
    <row r="1398" spans="1:39" s="467" customFormat="1" ht="12.75" customHeight="1">
      <c r="A1398" s="487" t="str">
        <f t="shared" si="333"/>
        <v>5</v>
      </c>
      <c r="B1398" s="487" t="str">
        <f t="shared" si="329"/>
        <v>10</v>
      </c>
      <c r="C1398" s="487" t="str">
        <f t="shared" si="330"/>
        <v>22</v>
      </c>
      <c r="D1398" s="487" t="str">
        <f t="shared" si="331"/>
        <v>0224</v>
      </c>
      <c r="E1398" s="487">
        <v>531101610</v>
      </c>
      <c r="F1398" s="488"/>
      <c r="G1398" s="487"/>
      <c r="H1398" s="487"/>
      <c r="I1398" s="488"/>
      <c r="J1398" s="487"/>
      <c r="K1398" s="487"/>
      <c r="L1398" s="488"/>
      <c r="M1398" s="487"/>
      <c r="N1398" s="487"/>
      <c r="O1398" s="488"/>
      <c r="P1398" s="489"/>
      <c r="Q1398" s="489"/>
      <c r="R1398" s="592"/>
      <c r="S1398" s="487"/>
      <c r="T1398" s="487"/>
      <c r="U1398" s="488"/>
      <c r="V1398" s="489"/>
      <c r="W1398" s="489"/>
      <c r="X1398" s="488"/>
      <c r="Y1398" s="489"/>
      <c r="Z1398" s="489"/>
      <c r="AA1398" s="490"/>
      <c r="AB1398" s="489"/>
      <c r="AC1398" s="489"/>
      <c r="AD1398" s="27">
        <v>510224</v>
      </c>
      <c r="AE1398" s="27" t="s">
        <v>2943</v>
      </c>
      <c r="AF1398" s="432">
        <f>VLOOKUP(AD1398,[5]Hoja1!$A$10:$K$1393,11,0)</f>
        <v>19059507506</v>
      </c>
      <c r="AG1398" s="680"/>
      <c r="AH1398" s="432">
        <f t="shared" si="314"/>
        <v>19059508</v>
      </c>
      <c r="AL1398" s="448"/>
    </row>
    <row r="1399" spans="1:39" s="467" customFormat="1" ht="12.75" customHeight="1">
      <c r="A1399" s="487" t="str">
        <f t="shared" si="333"/>
        <v>5</v>
      </c>
      <c r="B1399" s="487" t="str">
        <f t="shared" si="329"/>
        <v>10</v>
      </c>
      <c r="C1399" s="487" t="str">
        <f t="shared" si="330"/>
        <v>23</v>
      </c>
      <c r="D1399" s="487" t="str">
        <f t="shared" si="331"/>
        <v>0230</v>
      </c>
      <c r="E1399" s="487">
        <v>531101610</v>
      </c>
      <c r="F1399" s="488" t="str">
        <f>+G1399&amp;H1399</f>
        <v/>
      </c>
      <c r="G1399" s="489"/>
      <c r="H1399" s="489"/>
      <c r="I1399" s="488" t="str">
        <f>+J1399&amp;K1399</f>
        <v/>
      </c>
      <c r="J1399" s="487"/>
      <c r="K1399" s="487"/>
      <c r="L1399" s="488" t="str">
        <f>+M1399&amp;N1399</f>
        <v/>
      </c>
      <c r="M1399" s="487"/>
      <c r="N1399" s="487"/>
      <c r="O1399" s="488" t="str">
        <f>+P1399&amp;Q1399</f>
        <v>695110000</v>
      </c>
      <c r="P1399" s="489">
        <v>695110000</v>
      </c>
      <c r="Q1399" s="489"/>
      <c r="R1399" s="592" t="str">
        <f>+S1399&amp;T1399</f>
        <v/>
      </c>
      <c r="S1399" s="487"/>
      <c r="T1399" s="487"/>
      <c r="U1399" s="488" t="str">
        <f>+V1399&amp;W1399</f>
        <v/>
      </c>
      <c r="V1399" s="489"/>
      <c r="W1399" s="489"/>
      <c r="X1399" s="488" t="str">
        <f t="shared" si="332"/>
        <v>631101610</v>
      </c>
      <c r="Y1399" s="489">
        <v>631101610</v>
      </c>
      <c r="Z1399" s="489"/>
      <c r="AA1399" s="490" t="str">
        <f>+AB1399&amp;AC1399</f>
        <v/>
      </c>
      <c r="AB1399" s="489"/>
      <c r="AC1399" s="489"/>
      <c r="AD1399" s="27">
        <v>510230</v>
      </c>
      <c r="AE1399" s="27" t="s">
        <v>522</v>
      </c>
      <c r="AF1399" s="432">
        <f>VLOOKUP(AD1399,[5]Hoja1!$A$10:$K$1393,11,0)</f>
        <v>73432600233</v>
      </c>
      <c r="AG1399" s="1188">
        <v>-369544642</v>
      </c>
      <c r="AH1399" s="432">
        <f t="shared" si="314"/>
        <v>73063056</v>
      </c>
      <c r="AJ1399" s="467" t="s">
        <v>1805</v>
      </c>
      <c r="AL1399" s="448"/>
      <c r="AM1399" s="467">
        <f>VLOOKUP(AD1399,[6]BV201101!$A$10:$A$1236,1,0)</f>
        <v>510230</v>
      </c>
    </row>
    <row r="1400" spans="1:39" s="467" customFormat="1" ht="12.75" customHeight="1">
      <c r="A1400" s="487" t="str">
        <f t="shared" si="333"/>
        <v>5</v>
      </c>
      <c r="B1400" s="487" t="str">
        <f t="shared" si="329"/>
        <v>10</v>
      </c>
      <c r="C1400" s="487" t="str">
        <f t="shared" si="330"/>
        <v>24</v>
      </c>
      <c r="D1400" s="487" t="str">
        <f t="shared" si="331"/>
        <v>0240</v>
      </c>
      <c r="E1400" s="487">
        <v>531101610</v>
      </c>
      <c r="F1400" s="488" t="str">
        <f>+G1400&amp;H1400</f>
        <v/>
      </c>
      <c r="G1400" s="489"/>
      <c r="H1400" s="489"/>
      <c r="I1400" s="488" t="str">
        <f>+J1400&amp;K1400</f>
        <v/>
      </c>
      <c r="J1400" s="487"/>
      <c r="K1400" s="487"/>
      <c r="L1400" s="488" t="str">
        <f>+M1400&amp;N1400</f>
        <v/>
      </c>
      <c r="M1400" s="487"/>
      <c r="N1400" s="487"/>
      <c r="O1400" s="488" t="str">
        <f>+P1400&amp;Q1400</f>
        <v/>
      </c>
      <c r="P1400" s="489"/>
      <c r="Q1400" s="489"/>
      <c r="R1400" s="592" t="str">
        <f>+S1400&amp;T1400</f>
        <v/>
      </c>
      <c r="S1400" s="487"/>
      <c r="T1400" s="487"/>
      <c r="U1400" s="488" t="str">
        <f>+V1400&amp;W1400</f>
        <v/>
      </c>
      <c r="V1400" s="489"/>
      <c r="W1400" s="489"/>
      <c r="X1400" s="488" t="str">
        <f t="shared" si="332"/>
        <v>631101610</v>
      </c>
      <c r="Y1400" s="489">
        <v>631101610</v>
      </c>
      <c r="Z1400" s="489"/>
      <c r="AA1400" s="490" t="str">
        <f>+AB1400&amp;AC1400</f>
        <v/>
      </c>
      <c r="AB1400" s="489"/>
      <c r="AC1400" s="489"/>
      <c r="AD1400" s="27">
        <v>510240</v>
      </c>
      <c r="AE1400" s="27" t="s">
        <v>523</v>
      </c>
      <c r="AF1400" s="432">
        <f>VLOOKUP(AD1400,[5]Hoja1!$A$10:$K$1393,11,0)</f>
        <v>-8482218140</v>
      </c>
      <c r="AG1400" s="680">
        <f>-779852000*0</f>
        <v>0</v>
      </c>
      <c r="AH1400" s="432">
        <f t="shared" si="314"/>
        <v>-8482218</v>
      </c>
      <c r="AL1400" s="448"/>
      <c r="AM1400" s="467">
        <f>VLOOKUP(AD1400,[6]BV201101!$A$10:$A$1236,1,0)</f>
        <v>510240</v>
      </c>
    </row>
    <row r="1401" spans="1:39" s="467" customFormat="1" ht="12.75" customHeight="1">
      <c r="A1401" s="487" t="str">
        <f t="shared" si="333"/>
        <v>5</v>
      </c>
      <c r="B1401" s="487" t="str">
        <f t="shared" si="329"/>
        <v>10</v>
      </c>
      <c r="C1401" s="487" t="str">
        <f t="shared" si="330"/>
        <v>25</v>
      </c>
      <c r="D1401" s="487" t="str">
        <f t="shared" si="331"/>
        <v>0250</v>
      </c>
      <c r="E1401" s="487">
        <v>531101610</v>
      </c>
      <c r="F1401" s="488" t="str">
        <f>+G1401&amp;H1401</f>
        <v/>
      </c>
      <c r="G1401" s="489"/>
      <c r="H1401" s="489"/>
      <c r="I1401" s="488" t="str">
        <f>+J1401&amp;K1401</f>
        <v/>
      </c>
      <c r="J1401" s="487"/>
      <c r="K1401" s="487"/>
      <c r="L1401" s="488" t="str">
        <f>+M1401&amp;N1401</f>
        <v/>
      </c>
      <c r="M1401" s="487"/>
      <c r="N1401" s="487"/>
      <c r="O1401" s="488" t="str">
        <f>+P1401&amp;Q1401</f>
        <v/>
      </c>
      <c r="P1401" s="489"/>
      <c r="Q1401" s="489"/>
      <c r="R1401" s="592" t="str">
        <f>+S1401&amp;T1401</f>
        <v/>
      </c>
      <c r="S1401" s="487"/>
      <c r="T1401" s="487"/>
      <c r="U1401" s="488" t="str">
        <f>+V1401&amp;W1401</f>
        <v/>
      </c>
      <c r="V1401" s="489"/>
      <c r="W1401" s="489"/>
      <c r="X1401" s="488" t="str">
        <f t="shared" si="332"/>
        <v>631101610</v>
      </c>
      <c r="Y1401" s="489">
        <v>631101610</v>
      </c>
      <c r="Z1401" s="489"/>
      <c r="AA1401" s="490" t="str">
        <f>+AB1401&amp;AC1401</f>
        <v/>
      </c>
      <c r="AB1401" s="489"/>
      <c r="AC1401" s="489"/>
      <c r="AD1401" s="27">
        <v>510250</v>
      </c>
      <c r="AE1401" s="27" t="s">
        <v>2428</v>
      </c>
      <c r="AF1401" s="432">
        <f>VLOOKUP(AD1401,[5]Hoja1!$A$10:$K$1393,11,0)</f>
        <v>-25906934555</v>
      </c>
      <c r="AG1401" s="680"/>
      <c r="AH1401" s="432">
        <f t="shared" si="314"/>
        <v>-25906935</v>
      </c>
      <c r="AL1401" s="448"/>
      <c r="AM1401" s="467">
        <f>VLOOKUP(AD1401,[6]BV201101!$A$10:$A$1236,1,0)</f>
        <v>510250</v>
      </c>
    </row>
    <row r="1402" spans="1:39" s="467" customFormat="1" ht="12.75" customHeight="1">
      <c r="A1402" s="487" t="str">
        <f t="shared" si="333"/>
        <v>5</v>
      </c>
      <c r="B1402" s="487" t="str">
        <f t="shared" si="329"/>
        <v>10</v>
      </c>
      <c r="C1402" s="487" t="str">
        <f t="shared" si="330"/>
        <v>25</v>
      </c>
      <c r="D1402" s="487" t="str">
        <f t="shared" si="331"/>
        <v>0251</v>
      </c>
      <c r="E1402" s="487">
        <v>531101710</v>
      </c>
      <c r="F1402" s="488"/>
      <c r="G1402" s="489"/>
      <c r="H1402" s="489"/>
      <c r="I1402" s="488"/>
      <c r="J1402" s="487"/>
      <c r="K1402" s="487"/>
      <c r="L1402" s="488"/>
      <c r="M1402" s="487"/>
      <c r="N1402" s="487"/>
      <c r="O1402" s="488"/>
      <c r="P1402" s="489"/>
      <c r="Q1402" s="489"/>
      <c r="R1402" s="592" t="str">
        <f t="shared" ref="R1402" si="334">+S1402&amp;T1402</f>
        <v>691111000</v>
      </c>
      <c r="S1402" s="487">
        <v>691111000</v>
      </c>
      <c r="T1402" s="487"/>
      <c r="U1402" s="488"/>
      <c r="V1402" s="489"/>
      <c r="W1402" s="489"/>
      <c r="X1402" s="488" t="str">
        <f t="shared" si="332"/>
        <v>631101710</v>
      </c>
      <c r="Y1402" s="489">
        <v>631101710</v>
      </c>
      <c r="Z1402" s="489"/>
      <c r="AA1402" s="490"/>
      <c r="AB1402" s="489"/>
      <c r="AC1402" s="489"/>
      <c r="AD1402" s="27">
        <v>510251</v>
      </c>
      <c r="AE1402" s="1021" t="s">
        <v>3532</v>
      </c>
      <c r="AF1402" s="432">
        <f>VLOOKUP(AD1402,[5]Hoja1!$A$10:$K$1393,11,0)</f>
        <v>18567009</v>
      </c>
      <c r="AG1402" s="680"/>
      <c r="AH1402" s="432">
        <f t="shared" si="314"/>
        <v>18567</v>
      </c>
      <c r="AL1402" s="448"/>
    </row>
    <row r="1403" spans="1:39" s="467" customFormat="1" ht="12.75" customHeight="1">
      <c r="A1403" s="487" t="str">
        <f t="shared" si="333"/>
        <v>5</v>
      </c>
      <c r="B1403" s="487" t="str">
        <f t="shared" si="329"/>
        <v>10</v>
      </c>
      <c r="C1403" s="487" t="str">
        <f t="shared" si="330"/>
        <v>50</v>
      </c>
      <c r="D1403" s="487" t="str">
        <f t="shared" si="331"/>
        <v>0504</v>
      </c>
      <c r="E1403" s="487">
        <v>532100000</v>
      </c>
      <c r="F1403" s="488"/>
      <c r="G1403" s="489"/>
      <c r="H1403" s="489"/>
      <c r="I1403" s="488"/>
      <c r="J1403" s="487"/>
      <c r="K1403" s="487"/>
      <c r="L1403" s="488"/>
      <c r="M1403" s="487"/>
      <c r="N1403" s="487"/>
      <c r="O1403" s="488"/>
      <c r="P1403" s="489"/>
      <c r="Q1403" s="489"/>
      <c r="R1403" s="592"/>
      <c r="S1403" s="487"/>
      <c r="T1403" s="487"/>
      <c r="U1403" s="488"/>
      <c r="V1403" s="489"/>
      <c r="W1403" s="489"/>
      <c r="X1403" s="488"/>
      <c r="Y1403" s="489"/>
      <c r="Z1403" s="489"/>
      <c r="AA1403" s="490"/>
      <c r="AB1403" s="489"/>
      <c r="AC1403" s="489"/>
      <c r="AD1403" s="27">
        <v>510504</v>
      </c>
      <c r="AE1403" s="27" t="s">
        <v>3472</v>
      </c>
      <c r="AF1403" s="432">
        <f>VLOOKUP(AD1403,[5]Hoja1!$A$10:$K$1393,11,0)</f>
        <v>154503746</v>
      </c>
      <c r="AG1403" s="680"/>
      <c r="AH1403" s="432">
        <f t="shared" si="314"/>
        <v>154504</v>
      </c>
      <c r="AL1403" s="448"/>
    </row>
    <row r="1404" spans="1:39" s="467" customFormat="1" ht="12.75" customHeight="1">
      <c r="A1404" s="487" t="str">
        <f t="shared" si="333"/>
        <v>5</v>
      </c>
      <c r="B1404" s="487" t="str">
        <f t="shared" ref="B1404:B1501" si="335">RIGHT(LEFT($AD1404,3),2)</f>
        <v>20</v>
      </c>
      <c r="C1404" s="487" t="str">
        <f t="shared" ref="C1404:C1501" si="336">RIGHT(LEFT($AD1404,5),2)</f>
        <v>10</v>
      </c>
      <c r="D1404" s="487" t="str">
        <f t="shared" ref="D1404:D1501" si="337">RIGHT(LEFT($AD1404,9),4)</f>
        <v>0100</v>
      </c>
      <c r="E1404" s="487">
        <v>531101820</v>
      </c>
      <c r="F1404" s="488" t="str">
        <f t="shared" ref="F1404:F1500" si="338">+G1404&amp;H1404</f>
        <v/>
      </c>
      <c r="G1404" s="487"/>
      <c r="H1404" s="487"/>
      <c r="I1404" s="488" t="str">
        <f t="shared" ref="I1404:I1500" si="339">+J1404&amp;K1404</f>
        <v/>
      </c>
      <c r="J1404" s="487"/>
      <c r="K1404" s="487"/>
      <c r="L1404" s="488" t="str">
        <f t="shared" ref="L1404:L1500" si="340">+M1404&amp;N1404</f>
        <v/>
      </c>
      <c r="M1404" s="487"/>
      <c r="N1404" s="487"/>
      <c r="O1404" s="488" t="str">
        <f t="shared" ref="O1404:O1500" si="341">+P1404&amp;Q1404</f>
        <v/>
      </c>
      <c r="P1404" s="489"/>
      <c r="Q1404" s="489"/>
      <c r="R1404" s="592" t="str">
        <f t="shared" ref="R1404:R1500" si="342">+S1404&amp;T1404</f>
        <v/>
      </c>
      <c r="S1404" s="487"/>
      <c r="T1404" s="487"/>
      <c r="U1404" s="488" t="str">
        <f t="shared" ref="U1404:U1500" si="343">+V1404&amp;W1404</f>
        <v/>
      </c>
      <c r="V1404" s="489"/>
      <c r="W1404" s="489"/>
      <c r="X1404" s="488" t="str">
        <f t="shared" si="332"/>
        <v>631101820</v>
      </c>
      <c r="Y1404" s="489">
        <v>631101820</v>
      </c>
      <c r="Z1404" s="489"/>
      <c r="AA1404" s="490" t="str">
        <f t="shared" ref="AA1404:AA1461" si="344">+AB1404&amp;AC1404</f>
        <v/>
      </c>
      <c r="AB1404" s="489"/>
      <c r="AC1404" s="489"/>
      <c r="AD1404" s="27">
        <v>520100</v>
      </c>
      <c r="AE1404" s="27" t="s">
        <v>1481</v>
      </c>
      <c r="AF1404" s="432">
        <f>VLOOKUP(AD1404,[5]Hoja1!$A$10:$K$1393,11,0)</f>
        <v>4680386085</v>
      </c>
      <c r="AG1404" s="680">
        <v>0</v>
      </c>
      <c r="AH1404" s="432">
        <f t="shared" si="314"/>
        <v>4680386</v>
      </c>
      <c r="AL1404" s="448"/>
      <c r="AM1404" s="467">
        <f>VLOOKUP(AD1404,[6]BV201101!$A$10:$A$1236,1,0)</f>
        <v>520100</v>
      </c>
    </row>
    <row r="1405" spans="1:39" s="467" customFormat="1" ht="12.75" customHeight="1">
      <c r="A1405" s="487" t="str">
        <f t="shared" si="333"/>
        <v>5</v>
      </c>
      <c r="B1405" s="487" t="str">
        <f t="shared" si="335"/>
        <v>20</v>
      </c>
      <c r="C1405" s="487" t="str">
        <f t="shared" si="336"/>
        <v>11</v>
      </c>
      <c r="D1405" s="487" t="str">
        <f t="shared" si="337"/>
        <v>0110</v>
      </c>
      <c r="E1405" s="487">
        <v>531101810</v>
      </c>
      <c r="F1405" s="488"/>
      <c r="G1405" s="487"/>
      <c r="H1405" s="487"/>
      <c r="I1405" s="488"/>
      <c r="J1405" s="487"/>
      <c r="K1405" s="487"/>
      <c r="L1405" s="488"/>
      <c r="M1405" s="487"/>
      <c r="N1405" s="487"/>
      <c r="O1405" s="488"/>
      <c r="P1405" s="489"/>
      <c r="Q1405" s="489"/>
      <c r="R1405" s="592"/>
      <c r="S1405" s="487"/>
      <c r="T1405" s="487"/>
      <c r="U1405" s="488"/>
      <c r="V1405" s="489"/>
      <c r="W1405" s="489"/>
      <c r="X1405" s="488" t="str">
        <f t="shared" si="332"/>
        <v>631101810</v>
      </c>
      <c r="Y1405" s="489">
        <v>631101810</v>
      </c>
      <c r="Z1405" s="489"/>
      <c r="AA1405" s="490"/>
      <c r="AB1405" s="489"/>
      <c r="AC1405" s="489"/>
      <c r="AD1405" s="591">
        <v>520110</v>
      </c>
      <c r="AE1405" s="27" t="s">
        <v>268</v>
      </c>
      <c r="AF1405" s="432">
        <f>VLOOKUP(AD1405,[5]Hoja1!$A$10:$K$1393,11,0)</f>
        <v>171057561</v>
      </c>
      <c r="AG1405" s="680">
        <v>0</v>
      </c>
      <c r="AH1405" s="432">
        <f t="shared" si="314"/>
        <v>171058</v>
      </c>
      <c r="AL1405" s="448"/>
      <c r="AM1405" s="467">
        <f>VLOOKUP(AD1405,[6]BV201101!$A$10:$A$1236,1,0)</f>
        <v>520110</v>
      </c>
    </row>
    <row r="1406" spans="1:39" s="467" customFormat="1" ht="12.75" customHeight="1">
      <c r="A1406" s="487" t="str">
        <f t="shared" si="333"/>
        <v>5</v>
      </c>
      <c r="B1406" s="487" t="str">
        <f t="shared" si="335"/>
        <v>20</v>
      </c>
      <c r="C1406" s="487" t="str">
        <f t="shared" si="336"/>
        <v>20</v>
      </c>
      <c r="D1406" s="487" t="str">
        <f t="shared" si="337"/>
        <v>0200</v>
      </c>
      <c r="E1406" s="487">
        <v>531101130</v>
      </c>
      <c r="F1406" s="488" t="str">
        <f t="shared" si="338"/>
        <v>671130000</v>
      </c>
      <c r="G1406" s="489">
        <v>671130000</v>
      </c>
      <c r="H1406" s="489"/>
      <c r="I1406" s="488" t="str">
        <f t="shared" si="339"/>
        <v/>
      </c>
      <c r="J1406" s="487"/>
      <c r="K1406" s="487"/>
      <c r="L1406" s="488" t="str">
        <f t="shared" si="340"/>
        <v/>
      </c>
      <c r="M1406" s="489"/>
      <c r="N1406" s="489"/>
      <c r="O1406" s="488" t="str">
        <f t="shared" si="341"/>
        <v/>
      </c>
      <c r="P1406" s="489"/>
      <c r="Q1406" s="489"/>
      <c r="R1406" s="592" t="str">
        <f t="shared" si="342"/>
        <v/>
      </c>
      <c r="S1406" s="487"/>
      <c r="T1406" s="487"/>
      <c r="U1406" s="488" t="str">
        <f t="shared" si="343"/>
        <v>630130000</v>
      </c>
      <c r="V1406" s="489">
        <v>630130000</v>
      </c>
      <c r="W1406" s="489"/>
      <c r="X1406" s="488" t="str">
        <f t="shared" si="332"/>
        <v>631101130</v>
      </c>
      <c r="Y1406" s="489">
        <v>631101130</v>
      </c>
      <c r="Z1406" s="489"/>
      <c r="AA1406" s="490" t="str">
        <f t="shared" si="344"/>
        <v/>
      </c>
      <c r="AB1406" s="489"/>
      <c r="AC1406" s="489"/>
      <c r="AD1406" s="27">
        <v>520200</v>
      </c>
      <c r="AE1406" s="27" t="s">
        <v>524</v>
      </c>
      <c r="AF1406" s="432">
        <f>VLOOKUP(AD1406,[5]Hoja1!$A$10:$K$1393,11,0)</f>
        <v>0</v>
      </c>
      <c r="AG1406" s="432">
        <v>0</v>
      </c>
      <c r="AH1406" s="432">
        <f t="shared" si="314"/>
        <v>0</v>
      </c>
      <c r="AL1406" s="448"/>
      <c r="AM1406" s="467">
        <f>VLOOKUP(AD1406,[6]BV201101!$A$10:$A$1236,1,0)</f>
        <v>520200</v>
      </c>
    </row>
    <row r="1407" spans="1:39" s="467" customFormat="1" ht="12.75" customHeight="1">
      <c r="A1407" s="487" t="str">
        <f t="shared" si="333"/>
        <v>5</v>
      </c>
      <c r="B1407" s="487" t="str">
        <f t="shared" si="335"/>
        <v>20</v>
      </c>
      <c r="C1407" s="487" t="str">
        <f t="shared" si="336"/>
        <v>30</v>
      </c>
      <c r="D1407" s="487" t="str">
        <f t="shared" si="337"/>
        <v>0300</v>
      </c>
      <c r="E1407" s="487">
        <v>531101900</v>
      </c>
      <c r="F1407" s="488" t="str">
        <f t="shared" si="338"/>
        <v/>
      </c>
      <c r="G1407" s="487"/>
      <c r="H1407" s="487"/>
      <c r="I1407" s="488" t="str">
        <f t="shared" si="339"/>
        <v/>
      </c>
      <c r="J1407" s="487"/>
      <c r="K1407" s="487"/>
      <c r="L1407" s="488" t="str">
        <f t="shared" si="340"/>
        <v/>
      </c>
      <c r="M1407" s="487"/>
      <c r="N1407" s="487"/>
      <c r="O1407" s="488" t="str">
        <f t="shared" si="341"/>
        <v/>
      </c>
      <c r="P1407" s="489"/>
      <c r="Q1407" s="489"/>
      <c r="R1407" s="592" t="str">
        <f t="shared" si="342"/>
        <v/>
      </c>
      <c r="S1407" s="489"/>
      <c r="T1407" s="487"/>
      <c r="U1407" s="488" t="str">
        <f t="shared" si="343"/>
        <v/>
      </c>
      <c r="V1407" s="489"/>
      <c r="W1407" s="489"/>
      <c r="X1407" s="488" t="str">
        <f t="shared" si="332"/>
        <v>631101900</v>
      </c>
      <c r="Y1407" s="489">
        <v>631101900</v>
      </c>
      <c r="Z1407" s="489"/>
      <c r="AA1407" s="490" t="str">
        <f t="shared" si="344"/>
        <v/>
      </c>
      <c r="AB1407" s="489"/>
      <c r="AC1407" s="489"/>
      <c r="AD1407" s="27">
        <v>520300</v>
      </c>
      <c r="AE1407" s="27" t="s">
        <v>2429</v>
      </c>
      <c r="AF1407" s="432">
        <f>VLOOKUP(AD1407,[5]Hoja1!$A$10:$K$1393,11,0)</f>
        <v>229560456</v>
      </c>
      <c r="AG1407" s="432"/>
      <c r="AH1407" s="432">
        <f t="shared" si="314"/>
        <v>229560</v>
      </c>
      <c r="AL1407" s="448"/>
      <c r="AM1407" s="467">
        <f>VLOOKUP(AD1407,[6]BV201101!$A$10:$A$1236,1,0)</f>
        <v>520300</v>
      </c>
    </row>
    <row r="1408" spans="1:39" s="467" customFormat="1" ht="12.75" customHeight="1">
      <c r="A1408" s="487" t="str">
        <f t="shared" si="333"/>
        <v>5</v>
      </c>
      <c r="B1408" s="487" t="str">
        <f t="shared" si="335"/>
        <v>20</v>
      </c>
      <c r="C1408" s="487" t="str">
        <f t="shared" si="336"/>
        <v>40</v>
      </c>
      <c r="D1408" s="487" t="str">
        <f t="shared" si="337"/>
        <v>0400</v>
      </c>
      <c r="E1408" s="487">
        <v>531102000</v>
      </c>
      <c r="F1408" s="488" t="str">
        <f t="shared" si="338"/>
        <v/>
      </c>
      <c r="G1408" s="487"/>
      <c r="H1408" s="487"/>
      <c r="I1408" s="488" t="str">
        <f t="shared" si="339"/>
        <v/>
      </c>
      <c r="J1408" s="487"/>
      <c r="K1408" s="487"/>
      <c r="L1408" s="488" t="str">
        <f t="shared" si="340"/>
        <v/>
      </c>
      <c r="M1408" s="487"/>
      <c r="N1408" s="487"/>
      <c r="O1408" s="488" t="str">
        <f t="shared" si="341"/>
        <v/>
      </c>
      <c r="P1408" s="489"/>
      <c r="Q1408" s="489"/>
      <c r="R1408" s="592" t="str">
        <f t="shared" si="342"/>
        <v/>
      </c>
      <c r="S1408" s="487"/>
      <c r="T1408" s="487"/>
      <c r="U1408" s="488" t="str">
        <f t="shared" si="343"/>
        <v/>
      </c>
      <c r="V1408" s="487"/>
      <c r="W1408" s="489"/>
      <c r="X1408" s="488" t="str">
        <f t="shared" si="332"/>
        <v>631102000</v>
      </c>
      <c r="Y1408" s="489">
        <v>631102000</v>
      </c>
      <c r="Z1408" s="489"/>
      <c r="AA1408" s="490" t="str">
        <f t="shared" si="344"/>
        <v/>
      </c>
      <c r="AB1408" s="489"/>
      <c r="AC1408" s="489"/>
      <c r="AD1408" s="27">
        <v>520400</v>
      </c>
      <c r="AE1408" s="27" t="s">
        <v>1878</v>
      </c>
      <c r="AF1408" s="432">
        <f>VLOOKUP(AD1408,[5]Hoja1!$A$10:$K$1393,11,0)</f>
        <v>80364817</v>
      </c>
      <c r="AG1408" s="432"/>
      <c r="AH1408" s="432">
        <f t="shared" si="314"/>
        <v>80365</v>
      </c>
      <c r="AL1408" s="448"/>
      <c r="AM1408" s="467">
        <f>VLOOKUP(AD1408,[6]BV201101!$A$10:$A$1236,1,0)</f>
        <v>520400</v>
      </c>
    </row>
    <row r="1409" spans="1:39" s="467" customFormat="1" ht="12.75" customHeight="1">
      <c r="A1409" s="487" t="str">
        <f t="shared" si="333"/>
        <v>5</v>
      </c>
      <c r="B1409" s="487" t="str">
        <f t="shared" si="335"/>
        <v>20</v>
      </c>
      <c r="C1409" s="487" t="str">
        <f t="shared" si="336"/>
        <v>50</v>
      </c>
      <c r="D1409" s="487" t="str">
        <f t="shared" si="337"/>
        <v>0500</v>
      </c>
      <c r="E1409" s="487">
        <v>531101710</v>
      </c>
      <c r="F1409" s="488" t="str">
        <f t="shared" si="338"/>
        <v/>
      </c>
      <c r="G1409" s="487"/>
      <c r="H1409" s="487"/>
      <c r="I1409" s="488" t="str">
        <f t="shared" si="339"/>
        <v/>
      </c>
      <c r="J1409" s="487"/>
      <c r="K1409" s="487"/>
      <c r="L1409" s="488" t="str">
        <f t="shared" si="340"/>
        <v/>
      </c>
      <c r="M1409" s="487"/>
      <c r="N1409" s="487"/>
      <c r="O1409" s="488" t="str">
        <f t="shared" si="341"/>
        <v/>
      </c>
      <c r="P1409" s="489"/>
      <c r="Q1409" s="489"/>
      <c r="R1409" s="592" t="str">
        <f t="shared" si="342"/>
        <v>691112000</v>
      </c>
      <c r="S1409" s="487">
        <v>691112000</v>
      </c>
      <c r="T1409" s="487"/>
      <c r="U1409" s="488" t="str">
        <f t="shared" si="343"/>
        <v/>
      </c>
      <c r="V1409" s="489"/>
      <c r="W1409" s="489"/>
      <c r="X1409" s="488" t="str">
        <f t="shared" si="332"/>
        <v>631101710</v>
      </c>
      <c r="Y1409" s="489">
        <v>631101710</v>
      </c>
      <c r="Z1409" s="489"/>
      <c r="AA1409" s="490" t="str">
        <f t="shared" si="344"/>
        <v/>
      </c>
      <c r="AB1409" s="489"/>
      <c r="AC1409" s="489"/>
      <c r="AD1409" s="27">
        <v>520500</v>
      </c>
      <c r="AE1409" s="27" t="s">
        <v>525</v>
      </c>
      <c r="AF1409" s="432">
        <f>VLOOKUP(AD1409,[5]Hoja1!$A$10:$K$1393,11,0)</f>
        <v>2625771624</v>
      </c>
      <c r="AG1409" s="432">
        <v>0</v>
      </c>
      <c r="AH1409" s="432">
        <f t="shared" si="314"/>
        <v>2625772</v>
      </c>
      <c r="AL1409" s="448"/>
      <c r="AM1409" s="467">
        <f>VLOOKUP(AD1409,[6]BV201101!$A$10:$A$1236,1,0)</f>
        <v>520500</v>
      </c>
    </row>
    <row r="1410" spans="1:39" s="467" customFormat="1" ht="12.75" customHeight="1">
      <c r="A1410" s="487" t="str">
        <f t="shared" si="333"/>
        <v>5</v>
      </c>
      <c r="B1410" s="487" t="str">
        <f t="shared" si="335"/>
        <v>20</v>
      </c>
      <c r="C1410" s="487" t="str">
        <f t="shared" si="336"/>
        <v>50</v>
      </c>
      <c r="D1410" s="487" t="str">
        <f t="shared" si="337"/>
        <v>0501</v>
      </c>
      <c r="E1410" s="487">
        <v>531201200</v>
      </c>
      <c r="F1410" s="488"/>
      <c r="G1410" s="487"/>
      <c r="H1410" s="487"/>
      <c r="I1410" s="488"/>
      <c r="J1410" s="487"/>
      <c r="K1410" s="487"/>
      <c r="L1410" s="488"/>
      <c r="M1410" s="487"/>
      <c r="N1410" s="487"/>
      <c r="O1410" s="488"/>
      <c r="P1410" s="489"/>
      <c r="Q1410" s="489"/>
      <c r="R1410" s="592"/>
      <c r="S1410" s="487"/>
      <c r="T1410" s="487"/>
      <c r="U1410" s="488"/>
      <c r="V1410" s="489"/>
      <c r="W1410" s="489"/>
      <c r="X1410" s="488"/>
      <c r="Y1410" s="489"/>
      <c r="Z1410" s="489"/>
      <c r="AA1410" s="490"/>
      <c r="AB1410" s="489"/>
      <c r="AC1410" s="489"/>
      <c r="AD1410" s="27">
        <v>520501</v>
      </c>
      <c r="AE1410" s="27" t="s">
        <v>1434</v>
      </c>
      <c r="AF1410" s="432">
        <f>VLOOKUP(AD1410,[5]Hoja1!$A$10:$K$1393,11,0)</f>
        <v>0</v>
      </c>
      <c r="AG1410" s="432"/>
      <c r="AH1410" s="432">
        <f t="shared" si="314"/>
        <v>0</v>
      </c>
      <c r="AL1410" s="448"/>
      <c r="AM1410" s="467">
        <f>VLOOKUP(AD1410,[6]BV201101!$A$10:$A$1236,1,0)</f>
        <v>520501</v>
      </c>
    </row>
    <row r="1411" spans="1:39" s="467" customFormat="1" ht="12.75" customHeight="1">
      <c r="A1411" s="487" t="str">
        <f t="shared" si="333"/>
        <v>5</v>
      </c>
      <c r="B1411" s="487" t="str">
        <f t="shared" si="335"/>
        <v>20</v>
      </c>
      <c r="C1411" s="487" t="str">
        <f t="shared" si="336"/>
        <v>60</v>
      </c>
      <c r="D1411" s="487" t="str">
        <f t="shared" si="337"/>
        <v>0600</v>
      </c>
      <c r="E1411" s="487">
        <v>531101110</v>
      </c>
      <c r="F1411" s="488" t="str">
        <f>+G1411&amp;H1411</f>
        <v>671110000</v>
      </c>
      <c r="G1411" s="487">
        <v>671110000</v>
      </c>
      <c r="H1411" s="487"/>
      <c r="I1411" s="488" t="str">
        <f>+J1411&amp;K1411</f>
        <v/>
      </c>
      <c r="J1411" s="487"/>
      <c r="K1411" s="487"/>
      <c r="L1411" s="488" t="str">
        <f>+M1411&amp;N1411</f>
        <v/>
      </c>
      <c r="M1411" s="487"/>
      <c r="N1411" s="487"/>
      <c r="O1411" s="488" t="str">
        <f>+P1411&amp;Q1411</f>
        <v/>
      </c>
      <c r="P1411" s="489"/>
      <c r="Q1411" s="489"/>
      <c r="R1411" s="592" t="str">
        <f>+S1411&amp;T1411</f>
        <v/>
      </c>
      <c r="S1411" s="487"/>
      <c r="T1411" s="487"/>
      <c r="U1411" s="488" t="str">
        <f>+V1411&amp;W1411</f>
        <v>630112000</v>
      </c>
      <c r="V1411" s="489">
        <v>630112000</v>
      </c>
      <c r="W1411" s="489"/>
      <c r="X1411" s="488" t="str">
        <f>+Y1411&amp;Z1411</f>
        <v>631101110</v>
      </c>
      <c r="Y1411" s="489">
        <v>631101110</v>
      </c>
      <c r="Z1411" s="489"/>
      <c r="AA1411" s="490" t="str">
        <f>+AB1411&amp;AC1411</f>
        <v/>
      </c>
      <c r="AB1411" s="489"/>
      <c r="AC1411" s="489"/>
      <c r="AD1411" s="27">
        <v>520600</v>
      </c>
      <c r="AE1411" s="27" t="s">
        <v>526</v>
      </c>
      <c r="AF1411" s="432">
        <f>VLOOKUP(AD1411,[5]Hoja1!$A$10:$K$1393,11,0)</f>
        <v>455701454</v>
      </c>
      <c r="AG1411" s="432"/>
      <c r="AH1411" s="432">
        <f t="shared" si="314"/>
        <v>455701</v>
      </c>
      <c r="AL1411" s="448"/>
      <c r="AM1411" s="467">
        <f>VLOOKUP(AD1411,[6]BV201101!$A$10:$A$1236,1,0)</f>
        <v>520600</v>
      </c>
    </row>
    <row r="1412" spans="1:39" s="467" customFormat="1" ht="12.75" customHeight="1">
      <c r="A1412" s="487" t="str">
        <f t="shared" si="333"/>
        <v>5</v>
      </c>
      <c r="B1412" s="487" t="str">
        <f t="shared" si="335"/>
        <v>20</v>
      </c>
      <c r="C1412" s="487" t="str">
        <f t="shared" si="336"/>
        <v>70</v>
      </c>
      <c r="D1412" s="487" t="str">
        <f t="shared" si="337"/>
        <v>0700</v>
      </c>
      <c r="E1412" s="487">
        <v>532100000</v>
      </c>
      <c r="F1412" s="488" t="str">
        <f>+G1412&amp;H1412</f>
        <v/>
      </c>
      <c r="G1412" s="489"/>
      <c r="H1412" s="489"/>
      <c r="I1412" s="488" t="str">
        <f>+J1412&amp;K1412</f>
        <v/>
      </c>
      <c r="J1412" s="487"/>
      <c r="K1412" s="487"/>
      <c r="L1412" s="488" t="str">
        <f>+M1412&amp;N1412</f>
        <v/>
      </c>
      <c r="M1412" s="487"/>
      <c r="N1412" s="487"/>
      <c r="O1412" s="488" t="str">
        <f>+P1412&amp;Q1412</f>
        <v/>
      </c>
      <c r="P1412" s="489"/>
      <c r="Q1412" s="489"/>
      <c r="R1412" s="592" t="str">
        <f>+S1412&amp;T1412</f>
        <v/>
      </c>
      <c r="S1412" s="489"/>
      <c r="T1412" s="487"/>
      <c r="U1412" s="488" t="str">
        <f>+V1412&amp;W1412</f>
        <v/>
      </c>
      <c r="V1412" s="489"/>
      <c r="W1412" s="489"/>
      <c r="X1412" s="488" t="str">
        <f>+Y1412&amp;Z1412</f>
        <v/>
      </c>
      <c r="Y1412" s="489"/>
      <c r="Z1412" s="489"/>
      <c r="AA1412" s="490" t="str">
        <f>+AB1412&amp;AC1412</f>
        <v/>
      </c>
      <c r="AB1412" s="489"/>
      <c r="AC1412" s="489"/>
      <c r="AD1412" s="27">
        <v>520700</v>
      </c>
      <c r="AE1412" s="27" t="s">
        <v>884</v>
      </c>
      <c r="AF1412" s="432">
        <f>VLOOKUP(AD1412,[5]Hoja1!$A$10:$K$1393,11,0)</f>
        <v>20196125</v>
      </c>
      <c r="AG1412" s="432"/>
      <c r="AH1412" s="432">
        <f t="shared" si="314"/>
        <v>20196</v>
      </c>
      <c r="AL1412" s="448"/>
      <c r="AM1412" s="467">
        <f>VLOOKUP(AD1412,[6]BV201101!$A$10:$A$1236,1,0)</f>
        <v>520700</v>
      </c>
    </row>
    <row r="1413" spans="1:39" s="467" customFormat="1" ht="12.75" customHeight="1">
      <c r="A1413" s="487" t="str">
        <f t="shared" si="333"/>
        <v>5</v>
      </c>
      <c r="B1413" s="487" t="str">
        <f t="shared" si="335"/>
        <v>20</v>
      </c>
      <c r="C1413" s="487" t="str">
        <f t="shared" si="336"/>
        <v>71</v>
      </c>
      <c r="D1413" s="487" t="str">
        <f t="shared" si="337"/>
        <v>0710</v>
      </c>
      <c r="E1413" s="487">
        <v>532100000</v>
      </c>
      <c r="F1413" s="488"/>
      <c r="G1413" s="489"/>
      <c r="H1413" s="489"/>
      <c r="I1413" s="488"/>
      <c r="J1413" s="487"/>
      <c r="K1413" s="487"/>
      <c r="L1413" s="488"/>
      <c r="M1413" s="487"/>
      <c r="N1413" s="487"/>
      <c r="O1413" s="488"/>
      <c r="P1413" s="489"/>
      <c r="Q1413" s="489"/>
      <c r="R1413" s="592"/>
      <c r="S1413" s="489"/>
      <c r="T1413" s="487"/>
      <c r="U1413" s="488"/>
      <c r="V1413" s="489"/>
      <c r="W1413" s="489"/>
      <c r="X1413" s="488"/>
      <c r="Y1413" s="489"/>
      <c r="Z1413" s="489"/>
      <c r="AA1413" s="490"/>
      <c r="AB1413" s="489"/>
      <c r="AC1413" s="489"/>
      <c r="AD1413" s="27">
        <v>520710</v>
      </c>
      <c r="AE1413" s="27" t="s">
        <v>375</v>
      </c>
      <c r="AF1413" s="432">
        <f>VLOOKUP(AD1413,[5]Hoja1!$A$10:$K$1393,11,0)</f>
        <v>-178906112</v>
      </c>
      <c r="AG1413" s="432"/>
      <c r="AH1413" s="432">
        <f t="shared" si="314"/>
        <v>-178906</v>
      </c>
      <c r="AL1413" s="448"/>
      <c r="AM1413" s="467">
        <f>VLOOKUP(AD1413,[6]BV201101!$A$10:$A$1236,1,0)</f>
        <v>520710</v>
      </c>
    </row>
    <row r="1414" spans="1:39" s="467" customFormat="1" ht="12.75" customHeight="1">
      <c r="A1414" s="487" t="str">
        <f t="shared" si="333"/>
        <v>5</v>
      </c>
      <c r="B1414" s="487" t="str">
        <f t="shared" si="335"/>
        <v>20</v>
      </c>
      <c r="C1414" s="487" t="str">
        <f t="shared" si="336"/>
        <v>72</v>
      </c>
      <c r="D1414" s="487" t="str">
        <f t="shared" si="337"/>
        <v>0720</v>
      </c>
      <c r="E1414" s="487">
        <v>532100000</v>
      </c>
      <c r="F1414" s="488"/>
      <c r="G1414" s="489"/>
      <c r="H1414" s="489"/>
      <c r="I1414" s="488"/>
      <c r="J1414" s="487"/>
      <c r="K1414" s="487"/>
      <c r="L1414" s="488"/>
      <c r="M1414" s="487"/>
      <c r="N1414" s="487"/>
      <c r="O1414" s="488"/>
      <c r="P1414" s="489"/>
      <c r="Q1414" s="489"/>
      <c r="R1414" s="592"/>
      <c r="S1414" s="489"/>
      <c r="T1414" s="487"/>
      <c r="U1414" s="488"/>
      <c r="V1414" s="489"/>
      <c r="W1414" s="489"/>
      <c r="X1414" s="488"/>
      <c r="Y1414" s="489"/>
      <c r="Z1414" s="489"/>
      <c r="AA1414" s="490"/>
      <c r="AB1414" s="489"/>
      <c r="AC1414" s="489"/>
      <c r="AD1414" s="27">
        <v>520720</v>
      </c>
      <c r="AE1414" s="27" t="s">
        <v>374</v>
      </c>
      <c r="AF1414" s="432">
        <f>VLOOKUP(AD1414,[5]Hoja1!$A$10:$K$1393,11,0)</f>
        <v>18968747</v>
      </c>
      <c r="AG1414" s="432"/>
      <c r="AH1414" s="432">
        <f t="shared" si="314"/>
        <v>18969</v>
      </c>
      <c r="AL1414" s="448"/>
      <c r="AM1414" s="467">
        <f>VLOOKUP(AD1414,[6]BV201101!$A$10:$A$1236,1,0)</f>
        <v>520720</v>
      </c>
    </row>
    <row r="1415" spans="1:39" s="467" customFormat="1" ht="12.75" customHeight="1">
      <c r="A1415" s="487" t="str">
        <f t="shared" si="333"/>
        <v>5</v>
      </c>
      <c r="B1415" s="487" t="str">
        <f t="shared" si="335"/>
        <v>20</v>
      </c>
      <c r="C1415" s="487" t="str">
        <f t="shared" si="336"/>
        <v>72</v>
      </c>
      <c r="D1415" s="487" t="str">
        <f t="shared" si="337"/>
        <v>0721</v>
      </c>
      <c r="E1415" s="487">
        <v>532100000</v>
      </c>
      <c r="F1415" s="488"/>
      <c r="G1415" s="489"/>
      <c r="H1415" s="489"/>
      <c r="I1415" s="488"/>
      <c r="J1415" s="487"/>
      <c r="K1415" s="487"/>
      <c r="L1415" s="488"/>
      <c r="M1415" s="487"/>
      <c r="N1415" s="487"/>
      <c r="O1415" s="488"/>
      <c r="P1415" s="489"/>
      <c r="Q1415" s="489"/>
      <c r="R1415" s="592"/>
      <c r="S1415" s="489"/>
      <c r="T1415" s="487"/>
      <c r="U1415" s="488"/>
      <c r="V1415" s="489"/>
      <c r="W1415" s="489"/>
      <c r="X1415" s="488"/>
      <c r="Y1415" s="489"/>
      <c r="Z1415" s="489"/>
      <c r="AA1415" s="490"/>
      <c r="AB1415" s="489"/>
      <c r="AC1415" s="489"/>
      <c r="AD1415" s="27">
        <v>520721</v>
      </c>
      <c r="AE1415" s="27" t="s">
        <v>2045</v>
      </c>
      <c r="AF1415" s="432">
        <f>VLOOKUP(AD1415,[5]Hoja1!$A$10:$K$1393,11,0)</f>
        <v>991482</v>
      </c>
      <c r="AG1415" s="432"/>
      <c r="AH1415" s="432">
        <f t="shared" si="314"/>
        <v>991</v>
      </c>
      <c r="AL1415" s="448"/>
      <c r="AM1415" s="467">
        <f>VLOOKUP(AD1415,[6]BV201101!$A$10:$A$1236,1,0)</f>
        <v>520721</v>
      </c>
    </row>
    <row r="1416" spans="1:39" s="467" customFormat="1" ht="12.75" customHeight="1">
      <c r="A1416" s="487" t="str">
        <f t="shared" si="333"/>
        <v>5</v>
      </c>
      <c r="B1416" s="487" t="str">
        <f t="shared" si="335"/>
        <v>20</v>
      </c>
      <c r="C1416" s="487" t="str">
        <f t="shared" si="336"/>
        <v>72</v>
      </c>
      <c r="D1416" s="487" t="str">
        <f t="shared" si="337"/>
        <v>0722</v>
      </c>
      <c r="E1416" s="487">
        <v>532100000</v>
      </c>
      <c r="F1416" s="488"/>
      <c r="G1416" s="489"/>
      <c r="H1416" s="489"/>
      <c r="I1416" s="488"/>
      <c r="J1416" s="487"/>
      <c r="K1416" s="487"/>
      <c r="L1416" s="488"/>
      <c r="M1416" s="487"/>
      <c r="N1416" s="487"/>
      <c r="O1416" s="488"/>
      <c r="P1416" s="489"/>
      <c r="Q1416" s="489"/>
      <c r="R1416" s="592"/>
      <c r="S1416" s="489"/>
      <c r="T1416" s="487"/>
      <c r="U1416" s="488"/>
      <c r="V1416" s="489"/>
      <c r="W1416" s="489"/>
      <c r="X1416" s="488"/>
      <c r="Y1416" s="489"/>
      <c r="Z1416" s="489"/>
      <c r="AA1416" s="490"/>
      <c r="AB1416" s="489"/>
      <c r="AC1416" s="489"/>
      <c r="AD1416" s="27">
        <v>520722</v>
      </c>
      <c r="AE1416" s="27" t="s">
        <v>2582</v>
      </c>
      <c r="AF1416" s="432">
        <f>VLOOKUP(AD1416,[5]Hoja1!$A$10:$K$1393,11,0)</f>
        <v>108614</v>
      </c>
      <c r="AG1416" s="432"/>
      <c r="AH1416" s="432">
        <f t="shared" si="314"/>
        <v>109</v>
      </c>
      <c r="AL1416" s="448"/>
    </row>
    <row r="1417" spans="1:39" s="467" customFormat="1" ht="12.75" customHeight="1">
      <c r="A1417" s="487" t="str">
        <f t="shared" si="333"/>
        <v>5</v>
      </c>
      <c r="B1417" s="487" t="str">
        <f t="shared" si="335"/>
        <v>20</v>
      </c>
      <c r="C1417" s="487" t="str">
        <f t="shared" si="336"/>
        <v>74</v>
      </c>
      <c r="D1417" s="487" t="str">
        <f t="shared" si="337"/>
        <v>0740</v>
      </c>
      <c r="E1417" s="487">
        <v>531201200</v>
      </c>
      <c r="F1417" s="488"/>
      <c r="G1417" s="489"/>
      <c r="H1417" s="489"/>
      <c r="I1417" s="488"/>
      <c r="J1417" s="487"/>
      <c r="K1417" s="487"/>
      <c r="L1417" s="488"/>
      <c r="M1417" s="487"/>
      <c r="N1417" s="487"/>
      <c r="O1417" s="488"/>
      <c r="P1417" s="489"/>
      <c r="Q1417" s="489"/>
      <c r="R1417" s="592"/>
      <c r="S1417" s="489"/>
      <c r="T1417" s="487"/>
      <c r="U1417" s="488"/>
      <c r="V1417" s="489"/>
      <c r="W1417" s="489"/>
      <c r="X1417" s="488"/>
      <c r="Y1417" s="489"/>
      <c r="Z1417" s="489"/>
      <c r="AA1417" s="490"/>
      <c r="AB1417" s="489"/>
      <c r="AC1417" s="489"/>
      <c r="AD1417" s="27">
        <v>520740</v>
      </c>
      <c r="AE1417" s="27" t="s">
        <v>1303</v>
      </c>
      <c r="AF1417" s="432">
        <f>VLOOKUP(AD1417,[5]Hoja1!$A$10:$K$1393,11,0)</f>
        <v>31933</v>
      </c>
      <c r="AG1417" s="432"/>
      <c r="AH1417" s="432">
        <f t="shared" si="314"/>
        <v>32</v>
      </c>
      <c r="AL1417" s="448"/>
      <c r="AM1417" s="467">
        <f>VLOOKUP(AD1417,[6]BV201101!$A$10:$A$1236,1,0)</f>
        <v>520740</v>
      </c>
    </row>
    <row r="1418" spans="1:39" s="467" customFormat="1" ht="12.75" customHeight="1">
      <c r="A1418" s="487" t="str">
        <f t="shared" si="333"/>
        <v>5</v>
      </c>
      <c r="B1418" s="487" t="str">
        <f t="shared" si="335"/>
        <v>20</v>
      </c>
      <c r="C1418" s="487" t="str">
        <f t="shared" si="336"/>
        <v>80</v>
      </c>
      <c r="D1418" s="487" t="str">
        <f t="shared" si="337"/>
        <v>0800</v>
      </c>
      <c r="E1418" s="487">
        <v>531201200</v>
      </c>
      <c r="F1418" s="488"/>
      <c r="G1418" s="487"/>
      <c r="H1418" s="487"/>
      <c r="I1418" s="488"/>
      <c r="J1418" s="487"/>
      <c r="K1418" s="487"/>
      <c r="L1418" s="488"/>
      <c r="M1418" s="487"/>
      <c r="N1418" s="487"/>
      <c r="O1418" s="488"/>
      <c r="P1418" s="489"/>
      <c r="Q1418" s="489"/>
      <c r="R1418" s="592"/>
      <c r="S1418" s="487"/>
      <c r="T1418" s="487"/>
      <c r="U1418" s="488"/>
      <c r="V1418" s="489"/>
      <c r="W1418" s="489"/>
      <c r="X1418" s="488"/>
      <c r="Y1418" s="489"/>
      <c r="Z1418" s="489"/>
      <c r="AA1418" s="490"/>
      <c r="AB1418" s="489"/>
      <c r="AC1418" s="489"/>
      <c r="AD1418" s="27">
        <v>520800</v>
      </c>
      <c r="AE1418" s="27" t="s">
        <v>527</v>
      </c>
      <c r="AF1418" s="432">
        <f>VLOOKUP(AD1418,[5]Hoja1!$A$10:$K$1393,11,0)</f>
        <v>0</v>
      </c>
      <c r="AG1418" s="432"/>
      <c r="AH1418" s="432">
        <f t="shared" si="314"/>
        <v>0</v>
      </c>
      <c r="AL1418" s="448"/>
      <c r="AM1418" s="467">
        <f>VLOOKUP(AD1418,[6]BV201101!$A$10:$A$1236,1,0)</f>
        <v>520800</v>
      </c>
    </row>
    <row r="1419" spans="1:39" s="467" customFormat="1" ht="12.75" customHeight="1">
      <c r="A1419" s="487" t="str">
        <f t="shared" si="333"/>
        <v>5</v>
      </c>
      <c r="B1419" s="487" t="str">
        <f t="shared" si="335"/>
        <v>20</v>
      </c>
      <c r="C1419" s="487" t="str">
        <f t="shared" si="336"/>
        <v>80</v>
      </c>
      <c r="D1419" s="487" t="str">
        <f t="shared" si="337"/>
        <v>0801</v>
      </c>
      <c r="E1419" s="487">
        <v>531201200</v>
      </c>
      <c r="F1419" s="488"/>
      <c r="G1419" s="487"/>
      <c r="H1419" s="487"/>
      <c r="I1419" s="488"/>
      <c r="J1419" s="487"/>
      <c r="K1419" s="487"/>
      <c r="L1419" s="488"/>
      <c r="M1419" s="487"/>
      <c r="N1419" s="487"/>
      <c r="O1419" s="488"/>
      <c r="P1419" s="489"/>
      <c r="Q1419" s="489"/>
      <c r="R1419" s="592"/>
      <c r="S1419" s="487"/>
      <c r="T1419" s="487"/>
      <c r="U1419" s="488"/>
      <c r="V1419" s="489"/>
      <c r="W1419" s="489"/>
      <c r="X1419" s="488"/>
      <c r="Y1419" s="489"/>
      <c r="Z1419" s="489"/>
      <c r="AA1419" s="490"/>
      <c r="AB1419" s="489"/>
      <c r="AC1419" s="489"/>
      <c r="AD1419" s="27">
        <v>520801</v>
      </c>
      <c r="AE1419" s="27" t="s">
        <v>2430</v>
      </c>
      <c r="AF1419" s="432">
        <f>VLOOKUP(AD1419,[5]Hoja1!$A$10:$K$1393,11,0)</f>
        <v>-4970299</v>
      </c>
      <c r="AG1419" s="432"/>
      <c r="AH1419" s="432">
        <f t="shared" si="314"/>
        <v>-4970</v>
      </c>
      <c r="AL1419" s="448"/>
      <c r="AM1419" s="467">
        <f>VLOOKUP(AD1419,[6]BV201101!$A$10:$A$1236,1,0)</f>
        <v>520801</v>
      </c>
    </row>
    <row r="1420" spans="1:39" s="467" customFormat="1" ht="12.75" customHeight="1">
      <c r="A1420" s="487" t="str">
        <f t="shared" si="333"/>
        <v>5</v>
      </c>
      <c r="B1420" s="487" t="str">
        <f t="shared" si="335"/>
        <v>20</v>
      </c>
      <c r="C1420" s="487" t="str">
        <f t="shared" si="336"/>
        <v>90</v>
      </c>
      <c r="D1420" s="487" t="str">
        <f t="shared" si="337"/>
        <v>0900</v>
      </c>
      <c r="E1420" s="487">
        <v>531201200</v>
      </c>
      <c r="F1420" s="488"/>
      <c r="G1420" s="487"/>
      <c r="H1420" s="487"/>
      <c r="I1420" s="488"/>
      <c r="J1420" s="487"/>
      <c r="K1420" s="487"/>
      <c r="L1420" s="488"/>
      <c r="M1420" s="487"/>
      <c r="N1420" s="487"/>
      <c r="O1420" s="488"/>
      <c r="P1420" s="489"/>
      <c r="Q1420" s="489"/>
      <c r="R1420" s="592"/>
      <c r="S1420" s="487"/>
      <c r="T1420" s="487"/>
      <c r="U1420" s="488"/>
      <c r="V1420" s="489"/>
      <c r="W1420" s="489"/>
      <c r="X1420" s="488"/>
      <c r="Y1420" s="489"/>
      <c r="Z1420" s="489"/>
      <c r="AA1420" s="490"/>
      <c r="AB1420" s="489"/>
      <c r="AC1420" s="489"/>
      <c r="AD1420" s="27">
        <v>520900</v>
      </c>
      <c r="AE1420" s="27" t="s">
        <v>528</v>
      </c>
      <c r="AF1420" s="432">
        <f>VLOOKUP(AD1420,[5]Hoja1!$A$10:$K$1393,11,0)</f>
        <v>0</v>
      </c>
      <c r="AG1420" s="432"/>
      <c r="AH1420" s="432">
        <f t="shared" si="314"/>
        <v>0</v>
      </c>
      <c r="AL1420" s="448"/>
      <c r="AM1420" s="467">
        <f>VLOOKUP(AD1420,[6]BV201101!$A$10:$A$1236,1,0)</f>
        <v>520900</v>
      </c>
    </row>
    <row r="1421" spans="1:39" s="467" customFormat="1" ht="12.75" customHeight="1">
      <c r="A1421" s="487" t="str">
        <f t="shared" si="333"/>
        <v>6</v>
      </c>
      <c r="B1421" s="487" t="str">
        <f t="shared" si="335"/>
        <v>10</v>
      </c>
      <c r="C1421" s="487" t="str">
        <f t="shared" si="336"/>
        <v>00</v>
      </c>
      <c r="D1421" s="487" t="str">
        <f t="shared" si="337"/>
        <v>0001</v>
      </c>
      <c r="E1421" s="487">
        <v>531201100</v>
      </c>
      <c r="F1421" s="488" t="str">
        <f t="shared" si="338"/>
        <v/>
      </c>
      <c r="G1421" s="487"/>
      <c r="H1421" s="487"/>
      <c r="I1421" s="488" t="str">
        <f t="shared" si="339"/>
        <v/>
      </c>
      <c r="J1421" s="487"/>
      <c r="K1421" s="487"/>
      <c r="L1421" s="488" t="str">
        <f t="shared" si="340"/>
        <v/>
      </c>
      <c r="M1421" s="487"/>
      <c r="N1421" s="487"/>
      <c r="O1421" s="488" t="str">
        <f t="shared" si="341"/>
        <v/>
      </c>
      <c r="P1421" s="489"/>
      <c r="Q1421" s="489"/>
      <c r="R1421" s="592" t="str">
        <f t="shared" si="342"/>
        <v/>
      </c>
      <c r="S1421" s="487"/>
      <c r="T1421" s="487"/>
      <c r="U1421" s="488" t="str">
        <f t="shared" si="343"/>
        <v/>
      </c>
      <c r="V1421" s="489"/>
      <c r="W1421" s="489"/>
      <c r="X1421" s="488" t="str">
        <f t="shared" ref="X1421:X1446" si="345">+Y1421&amp;Z1421</f>
        <v/>
      </c>
      <c r="Y1421" s="489"/>
      <c r="Z1421" s="489"/>
      <c r="AA1421" s="490" t="str">
        <f t="shared" si="344"/>
        <v/>
      </c>
      <c r="AB1421" s="489"/>
      <c r="AC1421" s="489"/>
      <c r="AD1421" s="27">
        <v>610001</v>
      </c>
      <c r="AE1421" s="27" t="s">
        <v>1385</v>
      </c>
      <c r="AF1421" s="432">
        <f>VLOOKUP(AD1421,[5]Hoja1!$A$10:$K$1393,11,0)</f>
        <v>4157800619</v>
      </c>
      <c r="AG1421" s="432"/>
      <c r="AH1421" s="432">
        <f t="shared" si="314"/>
        <v>4157801</v>
      </c>
      <c r="AL1421" s="448"/>
      <c r="AM1421" s="467">
        <f>VLOOKUP(AD1421,[6]BV201101!$A$10:$A$1236,1,0)</f>
        <v>610001</v>
      </c>
    </row>
    <row r="1422" spans="1:39" s="467" customFormat="1" ht="12.75" customHeight="1">
      <c r="A1422" s="487" t="str">
        <f t="shared" si="333"/>
        <v>6</v>
      </c>
      <c r="B1422" s="487" t="str">
        <f t="shared" si="335"/>
        <v>10</v>
      </c>
      <c r="C1422" s="487" t="str">
        <f t="shared" si="336"/>
        <v>00</v>
      </c>
      <c r="D1422" s="487" t="str">
        <f t="shared" si="337"/>
        <v>0002</v>
      </c>
      <c r="E1422" s="487">
        <v>531201100</v>
      </c>
      <c r="F1422" s="488" t="str">
        <f t="shared" si="338"/>
        <v/>
      </c>
      <c r="G1422" s="487"/>
      <c r="H1422" s="487"/>
      <c r="I1422" s="488" t="str">
        <f t="shared" si="339"/>
        <v/>
      </c>
      <c r="J1422" s="487"/>
      <c r="K1422" s="487"/>
      <c r="L1422" s="488" t="str">
        <f t="shared" si="340"/>
        <v/>
      </c>
      <c r="M1422" s="487"/>
      <c r="N1422" s="487"/>
      <c r="O1422" s="488" t="str">
        <f t="shared" si="341"/>
        <v/>
      </c>
      <c r="P1422" s="489"/>
      <c r="Q1422" s="489"/>
      <c r="R1422" s="592" t="str">
        <f t="shared" si="342"/>
        <v/>
      </c>
      <c r="S1422" s="487"/>
      <c r="T1422" s="487"/>
      <c r="U1422" s="488" t="str">
        <f t="shared" si="343"/>
        <v/>
      </c>
      <c r="V1422" s="489"/>
      <c r="W1422" s="489"/>
      <c r="X1422" s="488" t="str">
        <f t="shared" si="345"/>
        <v/>
      </c>
      <c r="Y1422" s="489"/>
      <c r="Z1422" s="489"/>
      <c r="AA1422" s="490" t="str">
        <f t="shared" si="344"/>
        <v/>
      </c>
      <c r="AB1422" s="489"/>
      <c r="AC1422" s="489"/>
      <c r="AD1422" s="27">
        <v>610002</v>
      </c>
      <c r="AE1422" s="27" t="s">
        <v>1386</v>
      </c>
      <c r="AF1422" s="432">
        <f>VLOOKUP(AD1422,[5]Hoja1!$A$10:$K$1393,11,0)</f>
        <v>0</v>
      </c>
      <c r="AG1422" s="432"/>
      <c r="AH1422" s="432">
        <f t="shared" si="314"/>
        <v>0</v>
      </c>
      <c r="AL1422" s="448"/>
      <c r="AM1422" s="467">
        <f>VLOOKUP(AD1422,[6]BV201101!$A$10:$A$1236,1,0)</f>
        <v>610002</v>
      </c>
    </row>
    <row r="1423" spans="1:39" s="467" customFormat="1" ht="12.75" customHeight="1">
      <c r="A1423" s="487" t="str">
        <f t="shared" si="333"/>
        <v>6</v>
      </c>
      <c r="B1423" s="487" t="str">
        <f t="shared" si="335"/>
        <v>10</v>
      </c>
      <c r="C1423" s="487" t="str">
        <f t="shared" si="336"/>
        <v>00</v>
      </c>
      <c r="D1423" s="487" t="str">
        <f t="shared" si="337"/>
        <v>0003</v>
      </c>
      <c r="E1423" s="487">
        <v>531201100</v>
      </c>
      <c r="F1423" s="488" t="str">
        <f t="shared" si="338"/>
        <v/>
      </c>
      <c r="G1423" s="487"/>
      <c r="H1423" s="487"/>
      <c r="I1423" s="488" t="str">
        <f t="shared" si="339"/>
        <v/>
      </c>
      <c r="J1423" s="487"/>
      <c r="K1423" s="487"/>
      <c r="L1423" s="488" t="str">
        <f t="shared" si="340"/>
        <v/>
      </c>
      <c r="M1423" s="487"/>
      <c r="N1423" s="487"/>
      <c r="O1423" s="488" t="str">
        <f t="shared" si="341"/>
        <v/>
      </c>
      <c r="P1423" s="489"/>
      <c r="Q1423" s="489"/>
      <c r="R1423" s="592" t="str">
        <f t="shared" si="342"/>
        <v/>
      </c>
      <c r="S1423" s="487"/>
      <c r="T1423" s="487"/>
      <c r="U1423" s="488" t="str">
        <f t="shared" si="343"/>
        <v/>
      </c>
      <c r="V1423" s="489"/>
      <c r="W1423" s="489"/>
      <c r="X1423" s="488" t="str">
        <f t="shared" si="345"/>
        <v/>
      </c>
      <c r="Y1423" s="489"/>
      <c r="Z1423" s="489"/>
      <c r="AA1423" s="490" t="str">
        <f t="shared" si="344"/>
        <v/>
      </c>
      <c r="AB1423" s="489"/>
      <c r="AC1423" s="489"/>
      <c r="AD1423" s="27">
        <v>610003</v>
      </c>
      <c r="AE1423" s="27" t="s">
        <v>1387</v>
      </c>
      <c r="AF1423" s="432">
        <f>VLOOKUP(AD1423,[5]Hoja1!$A$10:$K$1393,11,0)</f>
        <v>18823310</v>
      </c>
      <c r="AG1423" s="432"/>
      <c r="AH1423" s="432">
        <f t="shared" si="314"/>
        <v>18823</v>
      </c>
      <c r="AL1423" s="448"/>
      <c r="AM1423" s="467">
        <f>VLOOKUP(AD1423,[6]BV201101!$A$10:$A$1236,1,0)</f>
        <v>610003</v>
      </c>
    </row>
    <row r="1424" spans="1:39" s="467" customFormat="1" ht="12.75" customHeight="1">
      <c r="A1424" s="487" t="str">
        <f t="shared" si="333"/>
        <v>6</v>
      </c>
      <c r="B1424" s="487" t="str">
        <f t="shared" si="335"/>
        <v>10</v>
      </c>
      <c r="C1424" s="487" t="str">
        <f t="shared" si="336"/>
        <v>00</v>
      </c>
      <c r="D1424" s="487" t="str">
        <f t="shared" si="337"/>
        <v>0004</v>
      </c>
      <c r="E1424" s="487">
        <v>531101820</v>
      </c>
      <c r="F1424" s="488" t="str">
        <f t="shared" si="338"/>
        <v/>
      </c>
      <c r="G1424" s="487"/>
      <c r="H1424" s="487"/>
      <c r="I1424" s="488" t="str">
        <f t="shared" si="339"/>
        <v/>
      </c>
      <c r="J1424" s="487"/>
      <c r="K1424" s="487"/>
      <c r="L1424" s="488" t="str">
        <f t="shared" si="340"/>
        <v/>
      </c>
      <c r="M1424" s="487"/>
      <c r="N1424" s="487"/>
      <c r="O1424" s="488" t="str">
        <f t="shared" si="341"/>
        <v/>
      </c>
      <c r="P1424" s="489"/>
      <c r="Q1424" s="489"/>
      <c r="R1424" s="592" t="str">
        <f t="shared" si="342"/>
        <v/>
      </c>
      <c r="S1424" s="487"/>
      <c r="T1424" s="487"/>
      <c r="U1424" s="488" t="str">
        <f t="shared" si="343"/>
        <v/>
      </c>
      <c r="V1424" s="489"/>
      <c r="W1424" s="489"/>
      <c r="X1424" s="488" t="str">
        <f t="shared" si="345"/>
        <v>631101820421</v>
      </c>
      <c r="Y1424" s="489">
        <v>631101820</v>
      </c>
      <c r="Z1424" s="489">
        <v>421</v>
      </c>
      <c r="AA1424" s="490" t="str">
        <f t="shared" si="344"/>
        <v/>
      </c>
      <c r="AB1424" s="489"/>
      <c r="AC1424" s="489"/>
      <c r="AD1424" s="27">
        <v>610004</v>
      </c>
      <c r="AE1424" s="27" t="s">
        <v>1690</v>
      </c>
      <c r="AF1424" s="432">
        <v>0</v>
      </c>
      <c r="AG1424" s="432"/>
      <c r="AH1424" s="432">
        <f t="shared" si="314"/>
        <v>0</v>
      </c>
      <c r="AL1424" s="448"/>
      <c r="AM1424" s="467" t="e">
        <f>VLOOKUP(AD1424,[6]BV201101!$A$10:$A$1236,1,0)</f>
        <v>#N/A</v>
      </c>
    </row>
    <row r="1425" spans="1:39" s="467" customFormat="1" ht="12.75" customHeight="1">
      <c r="A1425" s="487" t="str">
        <f t="shared" si="333"/>
        <v>6</v>
      </c>
      <c r="B1425" s="487" t="str">
        <f t="shared" si="335"/>
        <v>10</v>
      </c>
      <c r="C1425" s="487" t="str">
        <f t="shared" si="336"/>
        <v>00</v>
      </c>
      <c r="D1425" s="487" t="str">
        <f t="shared" si="337"/>
        <v>0005</v>
      </c>
      <c r="E1425" s="487">
        <v>531101820</v>
      </c>
      <c r="F1425" s="488" t="str">
        <f t="shared" si="338"/>
        <v/>
      </c>
      <c r="G1425" s="487"/>
      <c r="H1425" s="487"/>
      <c r="I1425" s="488" t="str">
        <f t="shared" si="339"/>
        <v/>
      </c>
      <c r="J1425" s="487"/>
      <c r="K1425" s="487"/>
      <c r="L1425" s="488" t="str">
        <f t="shared" si="340"/>
        <v/>
      </c>
      <c r="M1425" s="487"/>
      <c r="N1425" s="487"/>
      <c r="O1425" s="488" t="str">
        <f t="shared" si="341"/>
        <v/>
      </c>
      <c r="P1425" s="489"/>
      <c r="Q1425" s="489"/>
      <c r="R1425" s="592" t="str">
        <f t="shared" si="342"/>
        <v/>
      </c>
      <c r="S1425" s="487"/>
      <c r="T1425" s="487"/>
      <c r="U1425" s="488" t="str">
        <f t="shared" si="343"/>
        <v/>
      </c>
      <c r="V1425" s="489"/>
      <c r="W1425" s="489"/>
      <c r="X1425" s="488" t="str">
        <f t="shared" si="345"/>
        <v>631101820209</v>
      </c>
      <c r="Y1425" s="489">
        <v>631101820</v>
      </c>
      <c r="Z1425" s="489">
        <v>209</v>
      </c>
      <c r="AA1425" s="490" t="str">
        <f t="shared" si="344"/>
        <v/>
      </c>
      <c r="AB1425" s="489"/>
      <c r="AC1425" s="489"/>
      <c r="AD1425" s="27">
        <v>610005</v>
      </c>
      <c r="AE1425" s="27" t="s">
        <v>78</v>
      </c>
      <c r="AF1425" s="432">
        <f>VLOOKUP(AD1425,[5]Hoja1!$A$10:$K$1393,11,0)</f>
        <v>0</v>
      </c>
      <c r="AG1425" s="432"/>
      <c r="AH1425" s="432">
        <f t="shared" si="314"/>
        <v>0</v>
      </c>
      <c r="AL1425" s="448"/>
      <c r="AM1425" s="467">
        <f>VLOOKUP(AD1425,[6]BV201101!$A$10:$A$1236,1,0)</f>
        <v>610005</v>
      </c>
    </row>
    <row r="1426" spans="1:39" s="467" customFormat="1" ht="12.75" customHeight="1">
      <c r="A1426" s="487" t="str">
        <f t="shared" si="333"/>
        <v>6</v>
      </c>
      <c r="B1426" s="487" t="str">
        <f t="shared" si="335"/>
        <v>10</v>
      </c>
      <c r="C1426" s="487" t="str">
        <f t="shared" si="336"/>
        <v>00</v>
      </c>
      <c r="D1426" s="487" t="str">
        <f t="shared" si="337"/>
        <v>0006</v>
      </c>
      <c r="E1426" s="487">
        <v>531201100</v>
      </c>
      <c r="F1426" s="488" t="str">
        <f t="shared" si="338"/>
        <v/>
      </c>
      <c r="G1426" s="487"/>
      <c r="H1426" s="487"/>
      <c r="I1426" s="488" t="str">
        <f t="shared" si="339"/>
        <v/>
      </c>
      <c r="J1426" s="487"/>
      <c r="K1426" s="487"/>
      <c r="L1426" s="488" t="str">
        <f t="shared" si="340"/>
        <v/>
      </c>
      <c r="M1426" s="487"/>
      <c r="N1426" s="487"/>
      <c r="O1426" s="488" t="str">
        <f t="shared" si="341"/>
        <v/>
      </c>
      <c r="P1426" s="489"/>
      <c r="Q1426" s="489"/>
      <c r="R1426" s="592" t="str">
        <f t="shared" si="342"/>
        <v/>
      </c>
      <c r="S1426" s="487"/>
      <c r="T1426" s="487"/>
      <c r="U1426" s="488" t="str">
        <f t="shared" si="343"/>
        <v/>
      </c>
      <c r="V1426" s="489"/>
      <c r="W1426" s="489"/>
      <c r="X1426" s="488" t="str">
        <f t="shared" si="345"/>
        <v/>
      </c>
      <c r="Y1426" s="489"/>
      <c r="Z1426" s="489"/>
      <c r="AA1426" s="490" t="str">
        <f t="shared" si="344"/>
        <v/>
      </c>
      <c r="AB1426" s="489"/>
      <c r="AC1426" s="489"/>
      <c r="AD1426" s="27">
        <v>610006</v>
      </c>
      <c r="AE1426" s="27" t="s">
        <v>1388</v>
      </c>
      <c r="AF1426" s="432">
        <f>VLOOKUP(AD1426,[5]Hoja1!$A$10:$K$1393,11,0)</f>
        <v>36039308</v>
      </c>
      <c r="AG1426" s="432"/>
      <c r="AH1426" s="432">
        <f t="shared" si="314"/>
        <v>36039</v>
      </c>
      <c r="AL1426" s="448"/>
      <c r="AM1426" s="467">
        <f>VLOOKUP(AD1426,[6]BV201101!$A$10:$A$1236,1,0)</f>
        <v>610006</v>
      </c>
    </row>
    <row r="1427" spans="1:39" s="467" customFormat="1" ht="12.75" customHeight="1">
      <c r="A1427" s="487" t="str">
        <f t="shared" si="333"/>
        <v>6</v>
      </c>
      <c r="B1427" s="487" t="str">
        <f t="shared" si="335"/>
        <v>10</v>
      </c>
      <c r="C1427" s="487" t="str">
        <f t="shared" si="336"/>
        <v>00</v>
      </c>
      <c r="D1427" s="487" t="str">
        <f t="shared" si="337"/>
        <v>0007</v>
      </c>
      <c r="E1427" s="487">
        <v>531201100</v>
      </c>
      <c r="F1427" s="488" t="str">
        <f t="shared" si="338"/>
        <v/>
      </c>
      <c r="G1427" s="487"/>
      <c r="H1427" s="487"/>
      <c r="I1427" s="488" t="str">
        <f t="shared" si="339"/>
        <v/>
      </c>
      <c r="J1427" s="487"/>
      <c r="K1427" s="487"/>
      <c r="L1427" s="488" t="str">
        <f t="shared" si="340"/>
        <v/>
      </c>
      <c r="M1427" s="487"/>
      <c r="N1427" s="487"/>
      <c r="O1427" s="488" t="str">
        <f t="shared" si="341"/>
        <v/>
      </c>
      <c r="P1427" s="489"/>
      <c r="Q1427" s="489"/>
      <c r="R1427" s="592" t="str">
        <f t="shared" si="342"/>
        <v/>
      </c>
      <c r="S1427" s="487"/>
      <c r="T1427" s="487"/>
      <c r="U1427" s="488" t="str">
        <f t="shared" si="343"/>
        <v/>
      </c>
      <c r="V1427" s="489"/>
      <c r="W1427" s="489"/>
      <c r="X1427" s="488" t="str">
        <f t="shared" si="345"/>
        <v/>
      </c>
      <c r="Y1427" s="489"/>
      <c r="Z1427" s="489"/>
      <c r="AA1427" s="490" t="str">
        <f t="shared" si="344"/>
        <v/>
      </c>
      <c r="AB1427" s="489"/>
      <c r="AC1427" s="489"/>
      <c r="AD1427" s="27">
        <v>610007</v>
      </c>
      <c r="AE1427" s="27" t="s">
        <v>1389</v>
      </c>
      <c r="AF1427" s="432">
        <f>VLOOKUP(AD1427,[5]Hoja1!$A$10:$K$1393,11,0)</f>
        <v>184064507</v>
      </c>
      <c r="AG1427" s="432"/>
      <c r="AH1427" s="432">
        <f t="shared" si="314"/>
        <v>184065</v>
      </c>
      <c r="AL1427" s="448"/>
      <c r="AM1427" s="467">
        <f>VLOOKUP(AD1427,[6]BV201101!$A$10:$A$1236,1,0)</f>
        <v>610007</v>
      </c>
    </row>
    <row r="1428" spans="1:39" s="467" customFormat="1" ht="12.75" customHeight="1">
      <c r="A1428" s="487" t="str">
        <f t="shared" si="333"/>
        <v>6</v>
      </c>
      <c r="B1428" s="487" t="str">
        <f t="shared" si="335"/>
        <v>10</v>
      </c>
      <c r="C1428" s="487" t="str">
        <f t="shared" si="336"/>
        <v>00</v>
      </c>
      <c r="D1428" s="487" t="str">
        <f t="shared" si="337"/>
        <v>0008</v>
      </c>
      <c r="E1428" s="487">
        <v>531201100</v>
      </c>
      <c r="F1428" s="488" t="str">
        <f t="shared" si="338"/>
        <v/>
      </c>
      <c r="G1428" s="487"/>
      <c r="H1428" s="487"/>
      <c r="I1428" s="488" t="str">
        <f t="shared" si="339"/>
        <v/>
      </c>
      <c r="J1428" s="487"/>
      <c r="K1428" s="487"/>
      <c r="L1428" s="488" t="str">
        <f t="shared" si="340"/>
        <v/>
      </c>
      <c r="M1428" s="487"/>
      <c r="N1428" s="487"/>
      <c r="O1428" s="488" t="str">
        <f t="shared" si="341"/>
        <v/>
      </c>
      <c r="P1428" s="489"/>
      <c r="Q1428" s="489"/>
      <c r="R1428" s="592" t="str">
        <f t="shared" si="342"/>
        <v/>
      </c>
      <c r="S1428" s="487"/>
      <c r="T1428" s="487"/>
      <c r="U1428" s="488" t="str">
        <f t="shared" si="343"/>
        <v/>
      </c>
      <c r="V1428" s="489"/>
      <c r="W1428" s="489"/>
      <c r="X1428" s="488" t="str">
        <f t="shared" si="345"/>
        <v/>
      </c>
      <c r="Y1428" s="489"/>
      <c r="Z1428" s="489"/>
      <c r="AA1428" s="490" t="str">
        <f t="shared" si="344"/>
        <v/>
      </c>
      <c r="AB1428" s="489"/>
      <c r="AC1428" s="489"/>
      <c r="AD1428" s="27">
        <v>610008</v>
      </c>
      <c r="AE1428" s="27" t="s">
        <v>2431</v>
      </c>
      <c r="AF1428" s="432">
        <f>VLOOKUP(AD1428,[5]Hoja1!$A$10:$K$1393,11,0)</f>
        <v>-9431373</v>
      </c>
      <c r="AG1428" s="432"/>
      <c r="AH1428" s="432">
        <f t="shared" si="314"/>
        <v>-9431</v>
      </c>
      <c r="AL1428" s="448"/>
      <c r="AM1428" s="467">
        <f>VLOOKUP(AD1428,[6]BV201101!$A$10:$A$1236,1,0)</f>
        <v>610008</v>
      </c>
    </row>
    <row r="1429" spans="1:39" s="467" customFormat="1" ht="12.75" customHeight="1">
      <c r="A1429" s="487" t="str">
        <f t="shared" si="333"/>
        <v>6</v>
      </c>
      <c r="B1429" s="487" t="str">
        <f t="shared" si="335"/>
        <v>10</v>
      </c>
      <c r="C1429" s="487" t="str">
        <f t="shared" si="336"/>
        <v>00</v>
      </c>
      <c r="D1429" s="487" t="str">
        <f t="shared" si="337"/>
        <v>0009</v>
      </c>
      <c r="E1429" s="487">
        <v>531201100</v>
      </c>
      <c r="F1429" s="488" t="str">
        <f t="shared" si="338"/>
        <v/>
      </c>
      <c r="G1429" s="487"/>
      <c r="H1429" s="487"/>
      <c r="I1429" s="488" t="str">
        <f t="shared" si="339"/>
        <v/>
      </c>
      <c r="J1429" s="487"/>
      <c r="K1429" s="487"/>
      <c r="L1429" s="488" t="str">
        <f t="shared" si="340"/>
        <v/>
      </c>
      <c r="M1429" s="487"/>
      <c r="N1429" s="487"/>
      <c r="O1429" s="488" t="str">
        <f t="shared" si="341"/>
        <v/>
      </c>
      <c r="P1429" s="489"/>
      <c r="Q1429" s="489"/>
      <c r="R1429" s="592" t="str">
        <f t="shared" si="342"/>
        <v/>
      </c>
      <c r="S1429" s="487"/>
      <c r="T1429" s="487"/>
      <c r="U1429" s="488" t="str">
        <f t="shared" si="343"/>
        <v/>
      </c>
      <c r="V1429" s="489"/>
      <c r="W1429" s="489"/>
      <c r="X1429" s="488" t="str">
        <f t="shared" si="345"/>
        <v/>
      </c>
      <c r="Y1429" s="489"/>
      <c r="Z1429" s="489"/>
      <c r="AA1429" s="490" t="str">
        <f t="shared" si="344"/>
        <v/>
      </c>
      <c r="AB1429" s="489"/>
      <c r="AC1429" s="489"/>
      <c r="AD1429" s="27">
        <v>610009</v>
      </c>
      <c r="AE1429" s="27" t="s">
        <v>2432</v>
      </c>
      <c r="AF1429" s="432">
        <f>VLOOKUP(AD1429,[5]Hoja1!$A$10:$K$1393,11,0)</f>
        <v>131115020</v>
      </c>
      <c r="AG1429" s="432"/>
      <c r="AH1429" s="432">
        <f t="shared" si="314"/>
        <v>131115</v>
      </c>
      <c r="AL1429" s="448"/>
      <c r="AM1429" s="467">
        <f>VLOOKUP(AD1429,[6]BV201101!$A$10:$A$1236,1,0)</f>
        <v>610009</v>
      </c>
    </row>
    <row r="1430" spans="1:39" s="467" customFormat="1" ht="12.75" customHeight="1">
      <c r="A1430" s="487" t="str">
        <f t="shared" si="333"/>
        <v>6</v>
      </c>
      <c r="B1430" s="487" t="str">
        <f t="shared" si="335"/>
        <v>10</v>
      </c>
      <c r="C1430" s="487" t="str">
        <f t="shared" si="336"/>
        <v>01</v>
      </c>
      <c r="D1430" s="487" t="str">
        <f t="shared" si="337"/>
        <v>0010</v>
      </c>
      <c r="E1430" s="487">
        <v>531201100</v>
      </c>
      <c r="F1430" s="488" t="str">
        <f t="shared" si="338"/>
        <v/>
      </c>
      <c r="G1430" s="487"/>
      <c r="H1430" s="487"/>
      <c r="I1430" s="488" t="str">
        <f t="shared" si="339"/>
        <v/>
      </c>
      <c r="J1430" s="487"/>
      <c r="K1430" s="487"/>
      <c r="L1430" s="488" t="str">
        <f t="shared" si="340"/>
        <v/>
      </c>
      <c r="M1430" s="487"/>
      <c r="N1430" s="487"/>
      <c r="O1430" s="488" t="str">
        <f t="shared" si="341"/>
        <v/>
      </c>
      <c r="P1430" s="489"/>
      <c r="Q1430" s="489"/>
      <c r="R1430" s="592" t="str">
        <f t="shared" si="342"/>
        <v/>
      </c>
      <c r="S1430" s="487"/>
      <c r="T1430" s="487"/>
      <c r="U1430" s="488" t="str">
        <f t="shared" si="343"/>
        <v/>
      </c>
      <c r="V1430" s="489"/>
      <c r="W1430" s="489"/>
      <c r="X1430" s="488" t="str">
        <f t="shared" si="345"/>
        <v/>
      </c>
      <c r="Y1430" s="489"/>
      <c r="Z1430" s="489"/>
      <c r="AA1430" s="490" t="str">
        <f t="shared" si="344"/>
        <v/>
      </c>
      <c r="AB1430" s="489"/>
      <c r="AC1430" s="489"/>
      <c r="AD1430" s="27">
        <v>610010</v>
      </c>
      <c r="AE1430" s="27" t="s">
        <v>1390</v>
      </c>
      <c r="AF1430" s="432">
        <f>VLOOKUP(AD1430,[5]Hoja1!$A$10:$K$1393,11,0)</f>
        <v>9387339</v>
      </c>
      <c r="AG1430" s="432"/>
      <c r="AH1430" s="432">
        <f t="shared" si="314"/>
        <v>9387</v>
      </c>
      <c r="AL1430" s="448"/>
      <c r="AM1430" s="467">
        <f>VLOOKUP(AD1430,[6]BV201101!$A$10:$A$1236,1,0)</f>
        <v>610010</v>
      </c>
    </row>
    <row r="1431" spans="1:39" s="467" customFormat="1" ht="12.75" customHeight="1">
      <c r="A1431" s="487" t="str">
        <f t="shared" si="333"/>
        <v>6</v>
      </c>
      <c r="B1431" s="487" t="str">
        <f t="shared" si="335"/>
        <v>10</v>
      </c>
      <c r="C1431" s="487" t="str">
        <f t="shared" si="336"/>
        <v>01</v>
      </c>
      <c r="D1431" s="487" t="str">
        <f t="shared" si="337"/>
        <v>0011</v>
      </c>
      <c r="E1431" s="487">
        <v>531201200</v>
      </c>
      <c r="F1431" s="488" t="str">
        <f t="shared" si="338"/>
        <v/>
      </c>
      <c r="G1431" s="487"/>
      <c r="H1431" s="487"/>
      <c r="I1431" s="488" t="str">
        <f t="shared" si="339"/>
        <v/>
      </c>
      <c r="J1431" s="487"/>
      <c r="K1431" s="487"/>
      <c r="L1431" s="488" t="str">
        <f t="shared" si="340"/>
        <v/>
      </c>
      <c r="M1431" s="487"/>
      <c r="N1431" s="487"/>
      <c r="O1431" s="488" t="str">
        <f t="shared" si="341"/>
        <v/>
      </c>
      <c r="P1431" s="489"/>
      <c r="Q1431" s="489"/>
      <c r="R1431" s="592" t="str">
        <f t="shared" si="342"/>
        <v/>
      </c>
      <c r="S1431" s="487"/>
      <c r="T1431" s="487"/>
      <c r="U1431" s="488" t="str">
        <f t="shared" si="343"/>
        <v/>
      </c>
      <c r="V1431" s="489"/>
      <c r="W1431" s="489"/>
      <c r="X1431" s="488" t="str">
        <f t="shared" si="345"/>
        <v/>
      </c>
      <c r="Y1431" s="489"/>
      <c r="Z1431" s="489"/>
      <c r="AA1431" s="490" t="str">
        <f t="shared" si="344"/>
        <v/>
      </c>
      <c r="AB1431" s="489"/>
      <c r="AC1431" s="489"/>
      <c r="AD1431" s="27">
        <v>610011</v>
      </c>
      <c r="AE1431" s="27" t="s">
        <v>1391</v>
      </c>
      <c r="AF1431" s="432">
        <f>VLOOKUP(AD1431,[5]Hoja1!$A$10:$K$1393,11,0)</f>
        <v>18144347</v>
      </c>
      <c r="AG1431" s="432"/>
      <c r="AH1431" s="432">
        <f t="shared" si="314"/>
        <v>18144</v>
      </c>
      <c r="AL1431" s="448"/>
      <c r="AM1431" s="467">
        <f>VLOOKUP(AD1431,[6]BV201101!$A$10:$A$1236,1,0)</f>
        <v>610011</v>
      </c>
    </row>
    <row r="1432" spans="1:39" s="467" customFormat="1" ht="12.75" customHeight="1">
      <c r="A1432" s="487" t="str">
        <f t="shared" si="333"/>
        <v>6</v>
      </c>
      <c r="B1432" s="487" t="str">
        <f t="shared" si="335"/>
        <v>10</v>
      </c>
      <c r="C1432" s="487" t="str">
        <f t="shared" si="336"/>
        <v>01</v>
      </c>
      <c r="D1432" s="487" t="str">
        <f t="shared" si="337"/>
        <v>0012</v>
      </c>
      <c r="E1432" s="487">
        <v>531201200</v>
      </c>
      <c r="F1432" s="488" t="str">
        <f t="shared" si="338"/>
        <v/>
      </c>
      <c r="G1432" s="487"/>
      <c r="H1432" s="487"/>
      <c r="I1432" s="488" t="str">
        <f t="shared" si="339"/>
        <v/>
      </c>
      <c r="J1432" s="487"/>
      <c r="K1432" s="487"/>
      <c r="L1432" s="488" t="str">
        <f t="shared" si="340"/>
        <v/>
      </c>
      <c r="M1432" s="487"/>
      <c r="N1432" s="487"/>
      <c r="O1432" s="488" t="str">
        <f t="shared" si="341"/>
        <v/>
      </c>
      <c r="P1432" s="489"/>
      <c r="Q1432" s="489"/>
      <c r="R1432" s="592" t="str">
        <f t="shared" si="342"/>
        <v/>
      </c>
      <c r="S1432" s="487"/>
      <c r="T1432" s="487"/>
      <c r="U1432" s="488" t="str">
        <f t="shared" si="343"/>
        <v/>
      </c>
      <c r="V1432" s="489"/>
      <c r="W1432" s="489"/>
      <c r="X1432" s="488" t="str">
        <f t="shared" si="345"/>
        <v/>
      </c>
      <c r="Y1432" s="489"/>
      <c r="Z1432" s="489"/>
      <c r="AA1432" s="490" t="str">
        <f t="shared" si="344"/>
        <v/>
      </c>
      <c r="AB1432" s="489"/>
      <c r="AC1432" s="489"/>
      <c r="AD1432" s="27">
        <v>610012</v>
      </c>
      <c r="AE1432" s="27" t="s">
        <v>1392</v>
      </c>
      <c r="AF1432" s="432">
        <f>VLOOKUP(AD1432,[5]Hoja1!$A$10:$K$1393,11,0)</f>
        <v>31387538</v>
      </c>
      <c r="AG1432" s="432"/>
      <c r="AH1432" s="432">
        <f t="shared" si="314"/>
        <v>31388</v>
      </c>
      <c r="AL1432" s="448"/>
      <c r="AM1432" s="467">
        <f>VLOOKUP(AD1432,[6]BV201101!$A$10:$A$1236,1,0)</f>
        <v>610012</v>
      </c>
    </row>
    <row r="1433" spans="1:39" s="467" customFormat="1" ht="12.75" customHeight="1">
      <c r="A1433" s="487" t="str">
        <f t="shared" si="333"/>
        <v>6</v>
      </c>
      <c r="B1433" s="487" t="str">
        <f t="shared" si="335"/>
        <v>10</v>
      </c>
      <c r="C1433" s="487" t="str">
        <f t="shared" si="336"/>
        <v>01</v>
      </c>
      <c r="D1433" s="487" t="str">
        <f t="shared" si="337"/>
        <v>0013</v>
      </c>
      <c r="E1433" s="487">
        <v>531201200</v>
      </c>
      <c r="F1433" s="488" t="str">
        <f t="shared" si="338"/>
        <v/>
      </c>
      <c r="G1433" s="487"/>
      <c r="H1433" s="487"/>
      <c r="I1433" s="488" t="str">
        <f t="shared" si="339"/>
        <v/>
      </c>
      <c r="J1433" s="487"/>
      <c r="K1433" s="487"/>
      <c r="L1433" s="488" t="str">
        <f t="shared" si="340"/>
        <v/>
      </c>
      <c r="M1433" s="487"/>
      <c r="N1433" s="487"/>
      <c r="O1433" s="488" t="str">
        <f t="shared" si="341"/>
        <v/>
      </c>
      <c r="P1433" s="489"/>
      <c r="Q1433" s="489"/>
      <c r="R1433" s="592" t="str">
        <f t="shared" si="342"/>
        <v/>
      </c>
      <c r="S1433" s="487"/>
      <c r="T1433" s="487"/>
      <c r="U1433" s="488" t="str">
        <f t="shared" si="343"/>
        <v/>
      </c>
      <c r="V1433" s="489"/>
      <c r="W1433" s="489"/>
      <c r="X1433" s="488" t="str">
        <f t="shared" si="345"/>
        <v/>
      </c>
      <c r="Y1433" s="489"/>
      <c r="Z1433" s="489"/>
      <c r="AA1433" s="490" t="str">
        <f t="shared" si="344"/>
        <v/>
      </c>
      <c r="AB1433" s="489"/>
      <c r="AC1433" s="489"/>
      <c r="AD1433" s="27">
        <v>610013</v>
      </c>
      <c r="AE1433" s="27" t="s">
        <v>111</v>
      </c>
      <c r="AF1433" s="432">
        <f>VLOOKUP(AD1433,[5]Hoja1!$A$10:$K$1393,11,0)</f>
        <v>159583733</v>
      </c>
      <c r="AG1433" s="432"/>
      <c r="AH1433" s="432">
        <f t="shared" si="314"/>
        <v>159584</v>
      </c>
      <c r="AL1433" s="448"/>
      <c r="AM1433" s="467">
        <f>VLOOKUP(AD1433,[6]BV201101!$A$10:$A$1236,1,0)</f>
        <v>610013</v>
      </c>
    </row>
    <row r="1434" spans="1:39" s="467" customFormat="1" ht="12.75" customHeight="1">
      <c r="A1434" s="487" t="str">
        <f t="shared" si="333"/>
        <v>6</v>
      </c>
      <c r="B1434" s="487" t="str">
        <f t="shared" si="335"/>
        <v>10</v>
      </c>
      <c r="C1434" s="487" t="str">
        <f t="shared" si="336"/>
        <v>01</v>
      </c>
      <c r="D1434" s="487" t="str">
        <f t="shared" si="337"/>
        <v>0014</v>
      </c>
      <c r="E1434" s="487">
        <v>531201200</v>
      </c>
      <c r="F1434" s="488" t="str">
        <f t="shared" si="338"/>
        <v/>
      </c>
      <c r="G1434" s="487"/>
      <c r="H1434" s="487"/>
      <c r="I1434" s="488" t="str">
        <f t="shared" si="339"/>
        <v/>
      </c>
      <c r="J1434" s="487"/>
      <c r="K1434" s="487"/>
      <c r="L1434" s="488" t="str">
        <f t="shared" si="340"/>
        <v/>
      </c>
      <c r="M1434" s="487"/>
      <c r="N1434" s="487"/>
      <c r="O1434" s="488" t="str">
        <f t="shared" si="341"/>
        <v/>
      </c>
      <c r="P1434" s="489"/>
      <c r="Q1434" s="489"/>
      <c r="R1434" s="592" t="str">
        <f t="shared" si="342"/>
        <v/>
      </c>
      <c r="S1434" s="487"/>
      <c r="T1434" s="487"/>
      <c r="U1434" s="488" t="str">
        <f t="shared" si="343"/>
        <v/>
      </c>
      <c r="V1434" s="489"/>
      <c r="W1434" s="489"/>
      <c r="X1434" s="488" t="str">
        <f t="shared" si="345"/>
        <v/>
      </c>
      <c r="Y1434" s="489"/>
      <c r="Z1434" s="489"/>
      <c r="AA1434" s="490" t="str">
        <f t="shared" si="344"/>
        <v/>
      </c>
      <c r="AB1434" s="489"/>
      <c r="AC1434" s="489"/>
      <c r="AD1434" s="27">
        <v>610014</v>
      </c>
      <c r="AE1434" s="27" t="s">
        <v>141</v>
      </c>
      <c r="AF1434" s="432">
        <f>VLOOKUP(AD1434,[5]Hoja1!$A$10:$K$1393,11,0)</f>
        <v>1097882</v>
      </c>
      <c r="AG1434" s="432"/>
      <c r="AH1434" s="432">
        <f t="shared" si="314"/>
        <v>1098</v>
      </c>
      <c r="AL1434" s="448"/>
      <c r="AM1434" s="467">
        <f>VLOOKUP(AD1434,[6]BV201101!$A$10:$A$1236,1,0)</f>
        <v>610014</v>
      </c>
    </row>
    <row r="1435" spans="1:39" s="467" customFormat="1" ht="12.75" customHeight="1">
      <c r="A1435" s="487" t="str">
        <f t="shared" si="333"/>
        <v>6</v>
      </c>
      <c r="B1435" s="487" t="str">
        <f t="shared" si="335"/>
        <v>10</v>
      </c>
      <c r="C1435" s="487" t="str">
        <f t="shared" si="336"/>
        <v>01</v>
      </c>
      <c r="D1435" s="487" t="str">
        <f t="shared" si="337"/>
        <v>0015</v>
      </c>
      <c r="E1435" s="487">
        <v>531201200</v>
      </c>
      <c r="F1435" s="488" t="str">
        <f t="shared" si="338"/>
        <v/>
      </c>
      <c r="G1435" s="487"/>
      <c r="H1435" s="487"/>
      <c r="I1435" s="488" t="str">
        <f t="shared" si="339"/>
        <v/>
      </c>
      <c r="J1435" s="487"/>
      <c r="K1435" s="487"/>
      <c r="L1435" s="488" t="str">
        <f t="shared" si="340"/>
        <v/>
      </c>
      <c r="M1435" s="487"/>
      <c r="N1435" s="487"/>
      <c r="O1435" s="488" t="str">
        <f t="shared" si="341"/>
        <v/>
      </c>
      <c r="P1435" s="489"/>
      <c r="Q1435" s="489"/>
      <c r="R1435" s="592" t="str">
        <f t="shared" si="342"/>
        <v/>
      </c>
      <c r="S1435" s="487"/>
      <c r="T1435" s="487"/>
      <c r="U1435" s="488" t="str">
        <f t="shared" si="343"/>
        <v/>
      </c>
      <c r="V1435" s="489"/>
      <c r="W1435" s="489"/>
      <c r="X1435" s="488" t="str">
        <f t="shared" si="345"/>
        <v/>
      </c>
      <c r="Y1435" s="489"/>
      <c r="Z1435" s="489"/>
      <c r="AA1435" s="490" t="str">
        <f t="shared" si="344"/>
        <v/>
      </c>
      <c r="AB1435" s="489"/>
      <c r="AC1435" s="489"/>
      <c r="AD1435" s="27">
        <v>610015</v>
      </c>
      <c r="AE1435" s="27" t="s">
        <v>113</v>
      </c>
      <c r="AF1435" s="432">
        <f>VLOOKUP(AD1435,[5]Hoja1!$A$10:$K$1393,11,0)</f>
        <v>11602483</v>
      </c>
      <c r="AG1435" s="432"/>
      <c r="AH1435" s="432">
        <f t="shared" si="314"/>
        <v>11602</v>
      </c>
      <c r="AL1435" s="448"/>
      <c r="AM1435" s="467">
        <f>VLOOKUP(AD1435,[6]BV201101!$A$10:$A$1236,1,0)</f>
        <v>610015</v>
      </c>
    </row>
    <row r="1436" spans="1:39" s="467" customFormat="1" ht="12.75" customHeight="1">
      <c r="A1436" s="487" t="str">
        <f t="shared" si="333"/>
        <v>6</v>
      </c>
      <c r="B1436" s="487" t="str">
        <f t="shared" si="335"/>
        <v>10</v>
      </c>
      <c r="C1436" s="487" t="str">
        <f t="shared" si="336"/>
        <v>01</v>
      </c>
      <c r="D1436" s="487" t="str">
        <f t="shared" si="337"/>
        <v>0016</v>
      </c>
      <c r="E1436" s="487">
        <v>531201200</v>
      </c>
      <c r="F1436" s="488" t="str">
        <f t="shared" si="338"/>
        <v/>
      </c>
      <c r="G1436" s="487"/>
      <c r="H1436" s="487"/>
      <c r="I1436" s="488" t="str">
        <f t="shared" si="339"/>
        <v/>
      </c>
      <c r="J1436" s="487"/>
      <c r="K1436" s="487"/>
      <c r="L1436" s="488" t="str">
        <f t="shared" si="340"/>
        <v/>
      </c>
      <c r="M1436" s="487"/>
      <c r="N1436" s="487"/>
      <c r="O1436" s="488" t="str">
        <f t="shared" si="341"/>
        <v/>
      </c>
      <c r="P1436" s="489"/>
      <c r="Q1436" s="489"/>
      <c r="R1436" s="592" t="str">
        <f t="shared" si="342"/>
        <v/>
      </c>
      <c r="S1436" s="487"/>
      <c r="T1436" s="487"/>
      <c r="U1436" s="488" t="str">
        <f t="shared" si="343"/>
        <v/>
      </c>
      <c r="V1436" s="489"/>
      <c r="W1436" s="489"/>
      <c r="X1436" s="488" t="str">
        <f t="shared" si="345"/>
        <v/>
      </c>
      <c r="Y1436" s="489"/>
      <c r="Z1436" s="489"/>
      <c r="AA1436" s="490" t="str">
        <f t="shared" si="344"/>
        <v/>
      </c>
      <c r="AB1436" s="489"/>
      <c r="AC1436" s="489"/>
      <c r="AD1436" s="27">
        <v>610016</v>
      </c>
      <c r="AE1436" s="27" t="s">
        <v>114</v>
      </c>
      <c r="AF1436" s="432">
        <f>VLOOKUP(AD1436,[5]Hoja1!$A$10:$K$1393,11,0)</f>
        <v>31712387</v>
      </c>
      <c r="AG1436" s="432"/>
      <c r="AH1436" s="432">
        <f t="shared" si="314"/>
        <v>31712</v>
      </c>
      <c r="AL1436" s="448"/>
      <c r="AM1436" s="467">
        <f>VLOOKUP(AD1436,[6]BV201101!$A$10:$A$1236,1,0)</f>
        <v>610016</v>
      </c>
    </row>
    <row r="1437" spans="1:39" s="467" customFormat="1" ht="12.75" customHeight="1">
      <c r="A1437" s="487" t="str">
        <f t="shared" si="333"/>
        <v>6</v>
      </c>
      <c r="B1437" s="487" t="str">
        <f t="shared" si="335"/>
        <v>10</v>
      </c>
      <c r="C1437" s="487" t="str">
        <f t="shared" si="336"/>
        <v>01</v>
      </c>
      <c r="D1437" s="487" t="str">
        <f t="shared" si="337"/>
        <v>0017</v>
      </c>
      <c r="E1437" s="487">
        <v>531201200</v>
      </c>
      <c r="F1437" s="488" t="str">
        <f t="shared" si="338"/>
        <v/>
      </c>
      <c r="G1437" s="487"/>
      <c r="H1437" s="487"/>
      <c r="I1437" s="488" t="str">
        <f t="shared" si="339"/>
        <v/>
      </c>
      <c r="J1437" s="487"/>
      <c r="K1437" s="487"/>
      <c r="L1437" s="488" t="str">
        <f t="shared" si="340"/>
        <v/>
      </c>
      <c r="M1437" s="487"/>
      <c r="N1437" s="487"/>
      <c r="O1437" s="488" t="str">
        <f t="shared" si="341"/>
        <v/>
      </c>
      <c r="P1437" s="489"/>
      <c r="Q1437" s="489"/>
      <c r="R1437" s="592" t="str">
        <f t="shared" si="342"/>
        <v/>
      </c>
      <c r="S1437" s="487"/>
      <c r="T1437" s="487"/>
      <c r="U1437" s="488" t="str">
        <f t="shared" si="343"/>
        <v/>
      </c>
      <c r="V1437" s="489"/>
      <c r="W1437" s="489"/>
      <c r="X1437" s="488" t="str">
        <f t="shared" si="345"/>
        <v/>
      </c>
      <c r="Y1437" s="489"/>
      <c r="Z1437" s="489"/>
      <c r="AA1437" s="490" t="str">
        <f t="shared" si="344"/>
        <v/>
      </c>
      <c r="AB1437" s="489"/>
      <c r="AC1437" s="489"/>
      <c r="AD1437" s="27">
        <v>610017</v>
      </c>
      <c r="AE1437" s="27" t="s">
        <v>2433</v>
      </c>
      <c r="AF1437" s="432">
        <f>VLOOKUP(AD1437,[5]Hoja1!$A$10:$K$1393,11,0)</f>
        <v>52639537</v>
      </c>
      <c r="AG1437" s="432"/>
      <c r="AH1437" s="432">
        <f t="shared" si="314"/>
        <v>52640</v>
      </c>
      <c r="AL1437" s="448"/>
      <c r="AM1437" s="467">
        <f>VLOOKUP(AD1437,[6]BV201101!$A$10:$A$1236,1,0)</f>
        <v>610017</v>
      </c>
    </row>
    <row r="1438" spans="1:39" s="467" customFormat="1" ht="12.75" customHeight="1">
      <c r="A1438" s="487" t="str">
        <f t="shared" si="333"/>
        <v>6</v>
      </c>
      <c r="B1438" s="487" t="str">
        <f t="shared" si="335"/>
        <v>10</v>
      </c>
      <c r="C1438" s="487" t="str">
        <f t="shared" si="336"/>
        <v>01</v>
      </c>
      <c r="D1438" s="487" t="str">
        <f t="shared" si="337"/>
        <v>0018</v>
      </c>
      <c r="E1438" s="487">
        <v>531201100</v>
      </c>
      <c r="F1438" s="488" t="str">
        <f t="shared" si="338"/>
        <v/>
      </c>
      <c r="G1438" s="487"/>
      <c r="H1438" s="487"/>
      <c r="I1438" s="488" t="str">
        <f t="shared" si="339"/>
        <v/>
      </c>
      <c r="J1438" s="487"/>
      <c r="K1438" s="487"/>
      <c r="L1438" s="488" t="str">
        <f t="shared" si="340"/>
        <v/>
      </c>
      <c r="M1438" s="487"/>
      <c r="N1438" s="487"/>
      <c r="O1438" s="488" t="str">
        <f t="shared" si="341"/>
        <v/>
      </c>
      <c r="P1438" s="489"/>
      <c r="Q1438" s="489"/>
      <c r="R1438" s="592" t="str">
        <f t="shared" si="342"/>
        <v/>
      </c>
      <c r="S1438" s="487"/>
      <c r="T1438" s="487"/>
      <c r="U1438" s="488" t="str">
        <f t="shared" si="343"/>
        <v/>
      </c>
      <c r="V1438" s="489"/>
      <c r="W1438" s="489"/>
      <c r="X1438" s="488" t="str">
        <f t="shared" si="345"/>
        <v/>
      </c>
      <c r="Y1438" s="489"/>
      <c r="Z1438" s="489"/>
      <c r="AA1438" s="490" t="str">
        <f t="shared" si="344"/>
        <v/>
      </c>
      <c r="AB1438" s="489"/>
      <c r="AC1438" s="489"/>
      <c r="AD1438" s="27">
        <v>610018</v>
      </c>
      <c r="AE1438" s="27" t="s">
        <v>2434</v>
      </c>
      <c r="AF1438" s="432">
        <f>VLOOKUP(AD1438,[5]Hoja1!$A$10:$K$1393,11,0)</f>
        <v>18628673</v>
      </c>
      <c r="AG1438" s="432"/>
      <c r="AH1438" s="432">
        <f t="shared" si="314"/>
        <v>18629</v>
      </c>
      <c r="AL1438" s="448"/>
      <c r="AM1438" s="467">
        <f>VLOOKUP(AD1438,[6]BV201101!$A$10:$A$1236,1,0)</f>
        <v>610018</v>
      </c>
    </row>
    <row r="1439" spans="1:39" s="467" customFormat="1" ht="12.75" customHeight="1">
      <c r="A1439" s="487" t="str">
        <f t="shared" si="333"/>
        <v>6</v>
      </c>
      <c r="B1439" s="487" t="str">
        <f t="shared" si="335"/>
        <v>10</v>
      </c>
      <c r="C1439" s="487" t="str">
        <f t="shared" si="336"/>
        <v>01</v>
      </c>
      <c r="D1439" s="487" t="str">
        <f t="shared" si="337"/>
        <v>0019</v>
      </c>
      <c r="E1439" s="487">
        <v>531201100</v>
      </c>
      <c r="F1439" s="488" t="str">
        <f t="shared" si="338"/>
        <v/>
      </c>
      <c r="G1439" s="487"/>
      <c r="H1439" s="487"/>
      <c r="I1439" s="488" t="str">
        <f t="shared" si="339"/>
        <v/>
      </c>
      <c r="J1439" s="487"/>
      <c r="K1439" s="487"/>
      <c r="L1439" s="488" t="str">
        <f t="shared" si="340"/>
        <v/>
      </c>
      <c r="M1439" s="487"/>
      <c r="N1439" s="487"/>
      <c r="O1439" s="488" t="str">
        <f t="shared" si="341"/>
        <v/>
      </c>
      <c r="P1439" s="489"/>
      <c r="Q1439" s="489"/>
      <c r="R1439" s="592" t="str">
        <f t="shared" si="342"/>
        <v/>
      </c>
      <c r="S1439" s="487"/>
      <c r="T1439" s="487"/>
      <c r="U1439" s="488" t="str">
        <f t="shared" si="343"/>
        <v/>
      </c>
      <c r="V1439" s="489"/>
      <c r="W1439" s="489"/>
      <c r="X1439" s="488" t="str">
        <f t="shared" si="345"/>
        <v/>
      </c>
      <c r="Y1439" s="489"/>
      <c r="Z1439" s="489"/>
      <c r="AA1439" s="490" t="str">
        <f t="shared" si="344"/>
        <v/>
      </c>
      <c r="AB1439" s="489"/>
      <c r="AC1439" s="489"/>
      <c r="AD1439" s="27">
        <v>610019</v>
      </c>
      <c r="AE1439" s="27" t="s">
        <v>2435</v>
      </c>
      <c r="AF1439" s="432">
        <f>VLOOKUP(AD1439,[5]Hoja1!$A$10:$K$1393,11,0)</f>
        <v>52826565</v>
      </c>
      <c r="AG1439" s="432"/>
      <c r="AH1439" s="432">
        <f t="shared" si="314"/>
        <v>52827</v>
      </c>
      <c r="AL1439" s="448"/>
      <c r="AM1439" s="467">
        <f>VLOOKUP(AD1439,[6]BV201101!$A$10:$A$1236,1,0)</f>
        <v>610019</v>
      </c>
    </row>
    <row r="1440" spans="1:39" s="467" customFormat="1" ht="12.75" customHeight="1">
      <c r="A1440" s="487" t="str">
        <f t="shared" si="333"/>
        <v>6</v>
      </c>
      <c r="B1440" s="487" t="str">
        <f t="shared" si="335"/>
        <v>10</v>
      </c>
      <c r="C1440" s="487" t="str">
        <f t="shared" si="336"/>
        <v>02</v>
      </c>
      <c r="D1440" s="487" t="str">
        <f t="shared" si="337"/>
        <v>0020</v>
      </c>
      <c r="E1440" s="487">
        <v>531201200</v>
      </c>
      <c r="F1440" s="488" t="str">
        <f t="shared" si="338"/>
        <v/>
      </c>
      <c r="G1440" s="487"/>
      <c r="H1440" s="487"/>
      <c r="I1440" s="488" t="str">
        <f t="shared" si="339"/>
        <v/>
      </c>
      <c r="J1440" s="487"/>
      <c r="K1440" s="487"/>
      <c r="L1440" s="488" t="str">
        <f t="shared" si="340"/>
        <v/>
      </c>
      <c r="M1440" s="487"/>
      <c r="N1440" s="487"/>
      <c r="O1440" s="488" t="str">
        <f t="shared" si="341"/>
        <v/>
      </c>
      <c r="P1440" s="489"/>
      <c r="Q1440" s="489"/>
      <c r="R1440" s="592" t="str">
        <f t="shared" si="342"/>
        <v/>
      </c>
      <c r="S1440" s="487"/>
      <c r="T1440" s="487"/>
      <c r="U1440" s="488" t="str">
        <f t="shared" si="343"/>
        <v/>
      </c>
      <c r="V1440" s="489"/>
      <c r="W1440" s="489"/>
      <c r="X1440" s="488" t="str">
        <f t="shared" si="345"/>
        <v/>
      </c>
      <c r="Y1440" s="489"/>
      <c r="Z1440" s="489"/>
      <c r="AA1440" s="490" t="str">
        <f t="shared" si="344"/>
        <v/>
      </c>
      <c r="AB1440" s="489"/>
      <c r="AC1440" s="489"/>
      <c r="AD1440" s="27">
        <v>610020</v>
      </c>
      <c r="AE1440" s="27" t="s">
        <v>1692</v>
      </c>
      <c r="AF1440" s="432">
        <v>0</v>
      </c>
      <c r="AG1440" s="432"/>
      <c r="AH1440" s="432">
        <f t="shared" si="314"/>
        <v>0</v>
      </c>
      <c r="AL1440" s="448"/>
      <c r="AM1440" s="467" t="e">
        <f>VLOOKUP(AD1440,[6]BV201101!$A$10:$A$1236,1,0)</f>
        <v>#N/A</v>
      </c>
    </row>
    <row r="1441" spans="1:39" s="467" customFormat="1" ht="12.75" customHeight="1">
      <c r="A1441" s="487" t="str">
        <f t="shared" si="333"/>
        <v>6</v>
      </c>
      <c r="B1441" s="487" t="str">
        <f t="shared" si="335"/>
        <v>10</v>
      </c>
      <c r="C1441" s="487" t="str">
        <f t="shared" si="336"/>
        <v>02</v>
      </c>
      <c r="D1441" s="487" t="str">
        <f t="shared" si="337"/>
        <v>0021</v>
      </c>
      <c r="E1441" s="487">
        <v>531201200</v>
      </c>
      <c r="F1441" s="488" t="str">
        <f t="shared" si="338"/>
        <v/>
      </c>
      <c r="G1441" s="487"/>
      <c r="H1441" s="487"/>
      <c r="I1441" s="488" t="str">
        <f t="shared" si="339"/>
        <v/>
      </c>
      <c r="J1441" s="487"/>
      <c r="K1441" s="487"/>
      <c r="L1441" s="488" t="str">
        <f t="shared" si="340"/>
        <v/>
      </c>
      <c r="M1441" s="487"/>
      <c r="N1441" s="487"/>
      <c r="O1441" s="488" t="str">
        <f t="shared" si="341"/>
        <v/>
      </c>
      <c r="P1441" s="489"/>
      <c r="Q1441" s="489"/>
      <c r="R1441" s="592" t="str">
        <f t="shared" si="342"/>
        <v/>
      </c>
      <c r="S1441" s="487"/>
      <c r="T1441" s="487"/>
      <c r="U1441" s="488" t="str">
        <f t="shared" si="343"/>
        <v/>
      </c>
      <c r="V1441" s="489"/>
      <c r="W1441" s="489"/>
      <c r="X1441" s="488" t="str">
        <f t="shared" si="345"/>
        <v/>
      </c>
      <c r="Y1441" s="489"/>
      <c r="Z1441" s="489"/>
      <c r="AA1441" s="490" t="str">
        <f t="shared" si="344"/>
        <v/>
      </c>
      <c r="AB1441" s="489"/>
      <c r="AC1441" s="489"/>
      <c r="AD1441" s="27">
        <v>610021</v>
      </c>
      <c r="AE1441" s="27" t="s">
        <v>1189</v>
      </c>
      <c r="AF1441" s="432">
        <v>0</v>
      </c>
      <c r="AG1441" s="432"/>
      <c r="AH1441" s="432">
        <f t="shared" si="314"/>
        <v>0</v>
      </c>
      <c r="AL1441" s="448"/>
      <c r="AM1441" s="467" t="e">
        <f>VLOOKUP(AD1441,[6]BV201101!$A$10:$A$1236,1,0)</f>
        <v>#N/A</v>
      </c>
    </row>
    <row r="1442" spans="1:39" s="467" customFormat="1" ht="12.75" customHeight="1">
      <c r="A1442" s="487" t="str">
        <f t="shared" si="333"/>
        <v>6</v>
      </c>
      <c r="B1442" s="487" t="str">
        <f t="shared" si="335"/>
        <v>10</v>
      </c>
      <c r="C1442" s="487" t="str">
        <f t="shared" si="336"/>
        <v>02</v>
      </c>
      <c r="D1442" s="487" t="str">
        <f t="shared" si="337"/>
        <v>0022</v>
      </c>
      <c r="E1442" s="487">
        <v>531201200</v>
      </c>
      <c r="F1442" s="488" t="str">
        <f t="shared" si="338"/>
        <v/>
      </c>
      <c r="G1442" s="487"/>
      <c r="H1442" s="487"/>
      <c r="I1442" s="488" t="str">
        <f t="shared" si="339"/>
        <v/>
      </c>
      <c r="J1442" s="487"/>
      <c r="K1442" s="487"/>
      <c r="L1442" s="488" t="str">
        <f t="shared" si="340"/>
        <v/>
      </c>
      <c r="M1442" s="487"/>
      <c r="N1442" s="487"/>
      <c r="O1442" s="488" t="str">
        <f t="shared" si="341"/>
        <v/>
      </c>
      <c r="P1442" s="489"/>
      <c r="Q1442" s="489"/>
      <c r="R1442" s="592" t="str">
        <f t="shared" si="342"/>
        <v/>
      </c>
      <c r="S1442" s="487"/>
      <c r="T1442" s="487"/>
      <c r="U1442" s="488" t="str">
        <f t="shared" si="343"/>
        <v/>
      </c>
      <c r="V1442" s="489"/>
      <c r="W1442" s="489"/>
      <c r="X1442" s="488" t="str">
        <f t="shared" si="345"/>
        <v/>
      </c>
      <c r="Y1442" s="489"/>
      <c r="Z1442" s="489"/>
      <c r="AA1442" s="490" t="str">
        <f t="shared" si="344"/>
        <v/>
      </c>
      <c r="AB1442" s="489"/>
      <c r="AC1442" s="489"/>
      <c r="AD1442" s="27">
        <v>610022</v>
      </c>
      <c r="AE1442" s="27" t="s">
        <v>1298</v>
      </c>
      <c r="AF1442" s="432">
        <v>0</v>
      </c>
      <c r="AG1442" s="432"/>
      <c r="AH1442" s="432">
        <f t="shared" si="314"/>
        <v>0</v>
      </c>
      <c r="AL1442" s="448"/>
      <c r="AM1442" s="467" t="e">
        <f>VLOOKUP(AD1442,[6]BV201101!$A$10:$A$1236,1,0)</f>
        <v>#N/A</v>
      </c>
    </row>
    <row r="1443" spans="1:39" s="467" customFormat="1" ht="12.75" customHeight="1">
      <c r="A1443" s="487" t="str">
        <f t="shared" si="333"/>
        <v>6</v>
      </c>
      <c r="B1443" s="487" t="str">
        <f t="shared" si="335"/>
        <v>10</v>
      </c>
      <c r="C1443" s="487" t="str">
        <f t="shared" si="336"/>
        <v>02</v>
      </c>
      <c r="D1443" s="487" t="str">
        <f t="shared" si="337"/>
        <v>0023</v>
      </c>
      <c r="E1443" s="487">
        <v>531201100</v>
      </c>
      <c r="F1443" s="488" t="str">
        <f t="shared" si="338"/>
        <v/>
      </c>
      <c r="G1443" s="487"/>
      <c r="H1443" s="487"/>
      <c r="I1443" s="488" t="str">
        <f t="shared" si="339"/>
        <v/>
      </c>
      <c r="J1443" s="487"/>
      <c r="K1443" s="487"/>
      <c r="L1443" s="488" t="str">
        <f t="shared" si="340"/>
        <v/>
      </c>
      <c r="M1443" s="487"/>
      <c r="N1443" s="487"/>
      <c r="O1443" s="488" t="str">
        <f t="shared" si="341"/>
        <v/>
      </c>
      <c r="P1443" s="489"/>
      <c r="Q1443" s="489"/>
      <c r="R1443" s="592" t="str">
        <f t="shared" si="342"/>
        <v/>
      </c>
      <c r="S1443" s="487"/>
      <c r="T1443" s="487"/>
      <c r="U1443" s="488" t="str">
        <f t="shared" si="343"/>
        <v/>
      </c>
      <c r="V1443" s="489"/>
      <c r="W1443" s="489"/>
      <c r="X1443" s="488" t="str">
        <f t="shared" si="345"/>
        <v/>
      </c>
      <c r="Y1443" s="489"/>
      <c r="Z1443" s="489"/>
      <c r="AA1443" s="490" t="str">
        <f t="shared" si="344"/>
        <v/>
      </c>
      <c r="AB1443" s="489"/>
      <c r="AC1443" s="489"/>
      <c r="AD1443" s="27">
        <v>610023</v>
      </c>
      <c r="AE1443" s="27" t="s">
        <v>1299</v>
      </c>
      <c r="AF1443" s="432">
        <f>VLOOKUP(AD1443,[5]Hoja1!$A$10:$K$1393,11,0)</f>
        <v>9451672</v>
      </c>
      <c r="AG1443" s="432"/>
      <c r="AH1443" s="432">
        <f t="shared" si="314"/>
        <v>9452</v>
      </c>
      <c r="AI1443" s="491"/>
      <c r="AL1443" s="448"/>
      <c r="AM1443" s="467">
        <f>VLOOKUP(AD1443,[6]BV201101!$A$10:$A$1236,1,0)</f>
        <v>610023</v>
      </c>
    </row>
    <row r="1444" spans="1:39" s="467" customFormat="1" ht="12.75" customHeight="1">
      <c r="A1444" s="487" t="str">
        <f t="shared" si="333"/>
        <v>6</v>
      </c>
      <c r="B1444" s="487" t="str">
        <f t="shared" si="335"/>
        <v>10</v>
      </c>
      <c r="C1444" s="487" t="str">
        <f t="shared" si="336"/>
        <v>02</v>
      </c>
      <c r="D1444" s="487" t="str">
        <f t="shared" si="337"/>
        <v>0024</v>
      </c>
      <c r="E1444" s="487">
        <v>531201200</v>
      </c>
      <c r="F1444" s="488" t="str">
        <f t="shared" si="338"/>
        <v/>
      </c>
      <c r="G1444" s="487"/>
      <c r="H1444" s="487"/>
      <c r="I1444" s="488" t="str">
        <f t="shared" si="339"/>
        <v/>
      </c>
      <c r="J1444" s="487"/>
      <c r="K1444" s="487"/>
      <c r="L1444" s="488" t="str">
        <f t="shared" si="340"/>
        <v/>
      </c>
      <c r="M1444" s="487"/>
      <c r="N1444" s="487"/>
      <c r="O1444" s="488" t="str">
        <f t="shared" si="341"/>
        <v/>
      </c>
      <c r="P1444" s="489"/>
      <c r="Q1444" s="489"/>
      <c r="R1444" s="592" t="str">
        <f t="shared" si="342"/>
        <v/>
      </c>
      <c r="S1444" s="487"/>
      <c r="T1444" s="487"/>
      <c r="U1444" s="488" t="str">
        <f t="shared" si="343"/>
        <v/>
      </c>
      <c r="V1444" s="489"/>
      <c r="W1444" s="489"/>
      <c r="X1444" s="488" t="str">
        <f t="shared" si="345"/>
        <v/>
      </c>
      <c r="Y1444" s="489"/>
      <c r="Z1444" s="489"/>
      <c r="AA1444" s="490" t="str">
        <f t="shared" si="344"/>
        <v/>
      </c>
      <c r="AB1444" s="489"/>
      <c r="AC1444" s="489"/>
      <c r="AD1444" s="27">
        <v>610024</v>
      </c>
      <c r="AE1444" s="27" t="s">
        <v>1415</v>
      </c>
      <c r="AF1444" s="432">
        <v>0</v>
      </c>
      <c r="AG1444" s="432"/>
      <c r="AH1444" s="432">
        <f t="shared" ref="AH1444:AH1507" si="346">ROUND((AF1444+AG1444)/$AH$2,0)</f>
        <v>0</v>
      </c>
      <c r="AL1444" s="448"/>
      <c r="AM1444" s="467" t="e">
        <f>VLOOKUP(AD1444,[6]BV201101!$A$10:$A$1236,1,0)</f>
        <v>#N/A</v>
      </c>
    </row>
    <row r="1445" spans="1:39" s="467" customFormat="1" ht="12.75" customHeight="1">
      <c r="A1445" s="487" t="str">
        <f t="shared" si="333"/>
        <v>6</v>
      </c>
      <c r="B1445" s="487" t="str">
        <f t="shared" si="335"/>
        <v>10</v>
      </c>
      <c r="C1445" s="487" t="str">
        <f t="shared" si="336"/>
        <v>02</v>
      </c>
      <c r="D1445" s="487" t="str">
        <f t="shared" si="337"/>
        <v>0025</v>
      </c>
      <c r="E1445" s="487">
        <v>531201100</v>
      </c>
      <c r="F1445" s="488" t="str">
        <f t="shared" si="338"/>
        <v/>
      </c>
      <c r="G1445" s="487"/>
      <c r="H1445" s="487"/>
      <c r="I1445" s="488" t="str">
        <f t="shared" si="339"/>
        <v/>
      </c>
      <c r="J1445" s="487"/>
      <c r="K1445" s="487"/>
      <c r="L1445" s="488" t="str">
        <f t="shared" si="340"/>
        <v/>
      </c>
      <c r="M1445" s="487"/>
      <c r="N1445" s="487"/>
      <c r="O1445" s="488" t="str">
        <f t="shared" si="341"/>
        <v/>
      </c>
      <c r="P1445" s="489"/>
      <c r="Q1445" s="489"/>
      <c r="R1445" s="592" t="str">
        <f t="shared" si="342"/>
        <v/>
      </c>
      <c r="S1445" s="487"/>
      <c r="T1445" s="487"/>
      <c r="U1445" s="488" t="str">
        <f t="shared" si="343"/>
        <v/>
      </c>
      <c r="V1445" s="489"/>
      <c r="W1445" s="489"/>
      <c r="X1445" s="488" t="str">
        <f t="shared" si="345"/>
        <v/>
      </c>
      <c r="Y1445" s="489"/>
      <c r="Z1445" s="489"/>
      <c r="AA1445" s="490" t="str">
        <f t="shared" si="344"/>
        <v/>
      </c>
      <c r="AB1445" s="489"/>
      <c r="AC1445" s="489"/>
      <c r="AD1445" s="27">
        <v>610025</v>
      </c>
      <c r="AE1445" s="27" t="s">
        <v>1217</v>
      </c>
      <c r="AF1445" s="432">
        <f>VLOOKUP(AD1445,[5]Hoja1!$A$10:$K$1393,11,0)</f>
        <v>116789159</v>
      </c>
      <c r="AG1445" s="432"/>
      <c r="AH1445" s="432">
        <f t="shared" si="346"/>
        <v>116789</v>
      </c>
      <c r="AL1445" s="448"/>
      <c r="AM1445" s="467">
        <f>VLOOKUP(AD1445,[6]BV201101!$A$10:$A$1236,1,0)</f>
        <v>610025</v>
      </c>
    </row>
    <row r="1446" spans="1:39" s="467" customFormat="1" ht="12.75" customHeight="1">
      <c r="A1446" s="487" t="str">
        <f t="shared" si="333"/>
        <v>6</v>
      </c>
      <c r="B1446" s="487" t="str">
        <f t="shared" si="335"/>
        <v>10</v>
      </c>
      <c r="C1446" s="487" t="str">
        <f t="shared" si="336"/>
        <v>02</v>
      </c>
      <c r="D1446" s="487" t="str">
        <f t="shared" si="337"/>
        <v>0026</v>
      </c>
      <c r="E1446" s="487">
        <v>531201200</v>
      </c>
      <c r="F1446" s="488" t="str">
        <f t="shared" si="338"/>
        <v/>
      </c>
      <c r="G1446" s="487"/>
      <c r="H1446" s="487"/>
      <c r="I1446" s="488" t="str">
        <f t="shared" si="339"/>
        <v/>
      </c>
      <c r="J1446" s="487"/>
      <c r="K1446" s="487"/>
      <c r="L1446" s="488" t="str">
        <f t="shared" si="340"/>
        <v/>
      </c>
      <c r="M1446" s="487"/>
      <c r="N1446" s="487"/>
      <c r="O1446" s="488" t="str">
        <f t="shared" si="341"/>
        <v/>
      </c>
      <c r="P1446" s="489"/>
      <c r="Q1446" s="489"/>
      <c r="R1446" s="592" t="str">
        <f t="shared" si="342"/>
        <v/>
      </c>
      <c r="S1446" s="487"/>
      <c r="T1446" s="487"/>
      <c r="U1446" s="488" t="str">
        <f t="shared" si="343"/>
        <v/>
      </c>
      <c r="V1446" s="489"/>
      <c r="W1446" s="489"/>
      <c r="X1446" s="488" t="str">
        <f t="shared" si="345"/>
        <v/>
      </c>
      <c r="Y1446" s="489"/>
      <c r="Z1446" s="489"/>
      <c r="AA1446" s="490" t="str">
        <f t="shared" si="344"/>
        <v/>
      </c>
      <c r="AB1446" s="489"/>
      <c r="AC1446" s="489"/>
      <c r="AD1446" s="27">
        <v>610026</v>
      </c>
      <c r="AE1446" s="27" t="s">
        <v>2436</v>
      </c>
      <c r="AF1446" s="432">
        <f>VLOOKUP(AD1446,[5]Hoja1!$A$10:$K$1393,11,0)</f>
        <v>3941287</v>
      </c>
      <c r="AG1446" s="432"/>
      <c r="AH1446" s="432">
        <f t="shared" si="346"/>
        <v>3941</v>
      </c>
      <c r="AI1446" s="491"/>
      <c r="AL1446" s="448"/>
      <c r="AM1446" s="467">
        <f>VLOOKUP(AD1446,[6]BV201101!$A$10:$A$1236,1,0)</f>
        <v>610026</v>
      </c>
    </row>
    <row r="1447" spans="1:39" s="467" customFormat="1" ht="12.75" customHeight="1">
      <c r="A1447" s="487" t="str">
        <f t="shared" si="333"/>
        <v>6</v>
      </c>
      <c r="B1447" s="487" t="str">
        <f t="shared" si="335"/>
        <v>10</v>
      </c>
      <c r="C1447" s="487" t="str">
        <f t="shared" si="336"/>
        <v>02</v>
      </c>
      <c r="D1447" s="487" t="str">
        <f t="shared" si="337"/>
        <v>0027</v>
      </c>
      <c r="E1447" s="487">
        <v>531201100</v>
      </c>
      <c r="F1447" s="488"/>
      <c r="G1447" s="487"/>
      <c r="H1447" s="487"/>
      <c r="I1447" s="488"/>
      <c r="J1447" s="487"/>
      <c r="K1447" s="487"/>
      <c r="L1447" s="488"/>
      <c r="M1447" s="487"/>
      <c r="N1447" s="487"/>
      <c r="O1447" s="488"/>
      <c r="P1447" s="489"/>
      <c r="Q1447" s="489"/>
      <c r="R1447" s="592"/>
      <c r="S1447" s="487"/>
      <c r="T1447" s="487"/>
      <c r="U1447" s="488"/>
      <c r="V1447" s="489"/>
      <c r="W1447" s="489"/>
      <c r="X1447" s="488"/>
      <c r="Y1447" s="489"/>
      <c r="Z1447" s="489"/>
      <c r="AA1447" s="490"/>
      <c r="AB1447" s="489"/>
      <c r="AC1447" s="489"/>
      <c r="AD1447" s="27">
        <v>610027</v>
      </c>
      <c r="AE1447" s="27" t="s">
        <v>1416</v>
      </c>
      <c r="AF1447" s="432">
        <v>0</v>
      </c>
      <c r="AG1447" s="432"/>
      <c r="AH1447" s="432">
        <f t="shared" si="346"/>
        <v>0</v>
      </c>
      <c r="AI1447" s="491"/>
      <c r="AL1447" s="448"/>
      <c r="AM1447" s="467" t="e">
        <f>VLOOKUP(AD1447,[6]BV201101!$A$10:$A$1236,1,0)</f>
        <v>#N/A</v>
      </c>
    </row>
    <row r="1448" spans="1:39" s="467" customFormat="1" ht="12.75" customHeight="1">
      <c r="A1448" s="487" t="str">
        <f t="shared" si="333"/>
        <v>6</v>
      </c>
      <c r="B1448" s="487" t="str">
        <f t="shared" si="335"/>
        <v>10</v>
      </c>
      <c r="C1448" s="487" t="str">
        <f t="shared" si="336"/>
        <v>02</v>
      </c>
      <c r="D1448" s="487" t="str">
        <f t="shared" si="337"/>
        <v>0028</v>
      </c>
      <c r="E1448" s="487">
        <v>531201100</v>
      </c>
      <c r="F1448" s="488"/>
      <c r="G1448" s="487"/>
      <c r="H1448" s="487"/>
      <c r="I1448" s="488"/>
      <c r="J1448" s="487"/>
      <c r="K1448" s="487"/>
      <c r="L1448" s="488"/>
      <c r="M1448" s="487"/>
      <c r="N1448" s="487"/>
      <c r="O1448" s="488"/>
      <c r="P1448" s="489"/>
      <c r="Q1448" s="489"/>
      <c r="R1448" s="592"/>
      <c r="S1448" s="487"/>
      <c r="T1448" s="487"/>
      <c r="U1448" s="488"/>
      <c r="V1448" s="489"/>
      <c r="W1448" s="489"/>
      <c r="X1448" s="488"/>
      <c r="Y1448" s="489"/>
      <c r="Z1448" s="489"/>
      <c r="AA1448" s="490"/>
      <c r="AB1448" s="489"/>
      <c r="AC1448" s="489"/>
      <c r="AD1448" s="27">
        <v>610028</v>
      </c>
      <c r="AE1448" s="27" t="s">
        <v>529</v>
      </c>
      <c r="AF1448" s="432">
        <f>VLOOKUP(AD1448,[5]Hoja1!$A$10:$K$1393,11,0)</f>
        <v>609050110</v>
      </c>
      <c r="AG1448" s="432"/>
      <c r="AH1448" s="432">
        <f t="shared" si="346"/>
        <v>609050</v>
      </c>
      <c r="AI1448" s="491"/>
      <c r="AL1448" s="448"/>
      <c r="AM1448" s="467">
        <f>VLOOKUP(AD1448,[6]BV201101!$A$10:$A$1236,1,0)</f>
        <v>610028</v>
      </c>
    </row>
    <row r="1449" spans="1:39" s="467" customFormat="1" ht="12.75" customHeight="1">
      <c r="A1449" s="487" t="str">
        <f t="shared" si="333"/>
        <v>6</v>
      </c>
      <c r="B1449" s="487" t="str">
        <f t="shared" si="335"/>
        <v>10</v>
      </c>
      <c r="C1449" s="487" t="str">
        <f t="shared" si="336"/>
        <v>02</v>
      </c>
      <c r="D1449" s="487" t="str">
        <f t="shared" si="337"/>
        <v>0029</v>
      </c>
      <c r="E1449" s="487">
        <v>531201100</v>
      </c>
      <c r="F1449" s="488"/>
      <c r="G1449" s="487"/>
      <c r="H1449" s="487"/>
      <c r="I1449" s="488"/>
      <c r="J1449" s="487"/>
      <c r="K1449" s="487"/>
      <c r="L1449" s="488"/>
      <c r="M1449" s="487"/>
      <c r="N1449" s="487"/>
      <c r="O1449" s="488"/>
      <c r="P1449" s="489"/>
      <c r="Q1449" s="489"/>
      <c r="R1449" s="592"/>
      <c r="S1449" s="487"/>
      <c r="T1449" s="487"/>
      <c r="U1449" s="488"/>
      <c r="V1449" s="489"/>
      <c r="W1449" s="489"/>
      <c r="X1449" s="488"/>
      <c r="Y1449" s="489"/>
      <c r="Z1449" s="489"/>
      <c r="AA1449" s="490"/>
      <c r="AB1449" s="489"/>
      <c r="AC1449" s="489"/>
      <c r="AD1449" s="27">
        <v>610029</v>
      </c>
      <c r="AE1449" s="27" t="s">
        <v>1447</v>
      </c>
      <c r="AF1449" s="432">
        <f>VLOOKUP(AD1449,[5]Hoja1!$A$10:$K$1393,11,0)</f>
        <v>53879802</v>
      </c>
      <c r="AG1449" s="432"/>
      <c r="AH1449" s="432">
        <f t="shared" si="346"/>
        <v>53880</v>
      </c>
      <c r="AI1449" s="491"/>
      <c r="AL1449" s="448"/>
      <c r="AM1449" s="467">
        <f>VLOOKUP(AD1449,[6]BV201101!$A$10:$A$1236,1,0)</f>
        <v>610029</v>
      </c>
    </row>
    <row r="1450" spans="1:39" s="467" customFormat="1" ht="12.75" customHeight="1">
      <c r="A1450" s="487" t="str">
        <f t="shared" si="333"/>
        <v>6</v>
      </c>
      <c r="B1450" s="487" t="str">
        <f t="shared" si="335"/>
        <v>10</v>
      </c>
      <c r="C1450" s="487" t="str">
        <f t="shared" si="336"/>
        <v>03</v>
      </c>
      <c r="D1450" s="487" t="str">
        <f t="shared" si="337"/>
        <v>0030</v>
      </c>
      <c r="E1450" s="487">
        <v>531201100</v>
      </c>
      <c r="F1450" s="488"/>
      <c r="G1450" s="487"/>
      <c r="H1450" s="487"/>
      <c r="I1450" s="488"/>
      <c r="J1450" s="487"/>
      <c r="K1450" s="487"/>
      <c r="L1450" s="488"/>
      <c r="M1450" s="487"/>
      <c r="N1450" s="487"/>
      <c r="O1450" s="488"/>
      <c r="P1450" s="489"/>
      <c r="Q1450" s="489"/>
      <c r="R1450" s="592"/>
      <c r="S1450" s="487"/>
      <c r="T1450" s="487"/>
      <c r="U1450" s="488"/>
      <c r="V1450" s="489"/>
      <c r="W1450" s="489"/>
      <c r="X1450" s="488"/>
      <c r="Y1450" s="489"/>
      <c r="Z1450" s="489"/>
      <c r="AA1450" s="490"/>
      <c r="AB1450" s="489"/>
      <c r="AC1450" s="489"/>
      <c r="AD1450" s="27">
        <v>610030</v>
      </c>
      <c r="AE1450" s="27" t="s">
        <v>2437</v>
      </c>
      <c r="AF1450" s="432">
        <f>VLOOKUP(AD1450,[5]Hoja1!$A$10:$K$1393,11,0)</f>
        <v>0</v>
      </c>
      <c r="AG1450" s="432"/>
      <c r="AH1450" s="432">
        <f t="shared" si="346"/>
        <v>0</v>
      </c>
      <c r="AI1450" s="491"/>
      <c r="AL1450" s="448"/>
      <c r="AM1450" s="467">
        <f>VLOOKUP(AD1450,[6]BV201101!$A$10:$A$1236,1,0)</f>
        <v>610030</v>
      </c>
    </row>
    <row r="1451" spans="1:39" s="467" customFormat="1" ht="12.75" customHeight="1">
      <c r="A1451" s="487" t="str">
        <f t="shared" si="333"/>
        <v>6</v>
      </c>
      <c r="B1451" s="487" t="str">
        <f t="shared" si="335"/>
        <v>10</v>
      </c>
      <c r="C1451" s="487" t="str">
        <f t="shared" si="336"/>
        <v>03</v>
      </c>
      <c r="D1451" s="487" t="str">
        <f t="shared" si="337"/>
        <v>0031</v>
      </c>
      <c r="E1451" s="487">
        <v>531201100</v>
      </c>
      <c r="F1451" s="488"/>
      <c r="G1451" s="487"/>
      <c r="H1451" s="487"/>
      <c r="I1451" s="488"/>
      <c r="J1451" s="487"/>
      <c r="K1451" s="487"/>
      <c r="L1451" s="488"/>
      <c r="M1451" s="487"/>
      <c r="N1451" s="487"/>
      <c r="O1451" s="488"/>
      <c r="P1451" s="489"/>
      <c r="Q1451" s="489"/>
      <c r="R1451" s="592"/>
      <c r="S1451" s="487"/>
      <c r="T1451" s="487"/>
      <c r="U1451" s="488"/>
      <c r="V1451" s="489"/>
      <c r="W1451" s="489"/>
      <c r="X1451" s="488"/>
      <c r="Y1451" s="489"/>
      <c r="Z1451" s="489"/>
      <c r="AA1451" s="490"/>
      <c r="AB1451" s="489"/>
      <c r="AC1451" s="489"/>
      <c r="AD1451" s="27">
        <v>610031</v>
      </c>
      <c r="AE1451" s="27" t="s">
        <v>2438</v>
      </c>
      <c r="AF1451" s="432">
        <f>VLOOKUP(AD1451,[5]Hoja1!$A$10:$K$1393,11,0)</f>
        <v>18535911</v>
      </c>
      <c r="AG1451" s="432"/>
      <c r="AH1451" s="432">
        <f t="shared" si="346"/>
        <v>18536</v>
      </c>
      <c r="AI1451" s="491"/>
      <c r="AL1451" s="448"/>
      <c r="AM1451" s="467">
        <f>VLOOKUP(AD1451,[6]BV201101!$A$10:$A$1236,1,0)</f>
        <v>610031</v>
      </c>
    </row>
    <row r="1452" spans="1:39" s="467" customFormat="1" ht="12.75" customHeight="1">
      <c r="A1452" s="487" t="str">
        <f t="shared" si="333"/>
        <v>6</v>
      </c>
      <c r="B1452" s="487" t="str">
        <f t="shared" si="335"/>
        <v>10</v>
      </c>
      <c r="C1452" s="487" t="str">
        <f t="shared" si="336"/>
        <v>03</v>
      </c>
      <c r="D1452" s="487" t="str">
        <f t="shared" si="337"/>
        <v>0032</v>
      </c>
      <c r="E1452" s="487">
        <v>531201100</v>
      </c>
      <c r="F1452" s="488"/>
      <c r="G1452" s="487"/>
      <c r="H1452" s="487"/>
      <c r="I1452" s="488"/>
      <c r="J1452" s="487"/>
      <c r="K1452" s="487"/>
      <c r="L1452" s="488"/>
      <c r="M1452" s="487"/>
      <c r="N1452" s="487"/>
      <c r="O1452" s="488"/>
      <c r="P1452" s="489"/>
      <c r="Q1452" s="489"/>
      <c r="R1452" s="592"/>
      <c r="S1452" s="487"/>
      <c r="T1452" s="487"/>
      <c r="U1452" s="488"/>
      <c r="V1452" s="489"/>
      <c r="W1452" s="489"/>
      <c r="X1452" s="488"/>
      <c r="Y1452" s="489"/>
      <c r="Z1452" s="489"/>
      <c r="AA1452" s="490"/>
      <c r="AB1452" s="489"/>
      <c r="AC1452" s="489"/>
      <c r="AD1452" s="27">
        <v>610032</v>
      </c>
      <c r="AE1452" s="27" t="s">
        <v>2439</v>
      </c>
      <c r="AF1452" s="432">
        <f>VLOOKUP(AD1452,[5]Hoja1!$A$10:$K$1393,11,0)</f>
        <v>41175812</v>
      </c>
      <c r="AG1452" s="432"/>
      <c r="AH1452" s="432">
        <f t="shared" si="346"/>
        <v>41176</v>
      </c>
      <c r="AI1452" s="491"/>
      <c r="AL1452" s="448"/>
      <c r="AM1452" s="467">
        <f>VLOOKUP(AD1452,[6]BV201101!$A$10:$A$1236,1,0)</f>
        <v>610032</v>
      </c>
    </row>
    <row r="1453" spans="1:39" s="467" customFormat="1" ht="12.75" customHeight="1">
      <c r="A1453" s="487" t="str">
        <f t="shared" si="333"/>
        <v>6</v>
      </c>
      <c r="B1453" s="487" t="str">
        <f t="shared" si="335"/>
        <v>10</v>
      </c>
      <c r="C1453" s="487" t="str">
        <f t="shared" si="336"/>
        <v>05</v>
      </c>
      <c r="D1453" s="487" t="str">
        <f t="shared" si="337"/>
        <v>0050</v>
      </c>
      <c r="E1453" s="487">
        <v>531101810</v>
      </c>
      <c r="F1453" s="488" t="str">
        <f t="shared" si="338"/>
        <v/>
      </c>
      <c r="G1453" s="487"/>
      <c r="H1453" s="487"/>
      <c r="I1453" s="488" t="str">
        <f t="shared" si="339"/>
        <v/>
      </c>
      <c r="J1453" s="487"/>
      <c r="K1453" s="487"/>
      <c r="L1453" s="488" t="str">
        <f t="shared" si="340"/>
        <v/>
      </c>
      <c r="M1453" s="487"/>
      <c r="N1453" s="487"/>
      <c r="O1453" s="488" t="str">
        <f t="shared" si="341"/>
        <v/>
      </c>
      <c r="P1453" s="489"/>
      <c r="Q1453" s="489"/>
      <c r="R1453" s="592" t="str">
        <f t="shared" si="342"/>
        <v/>
      </c>
      <c r="S1453" s="487"/>
      <c r="T1453" s="487"/>
      <c r="U1453" s="488" t="str">
        <f t="shared" si="343"/>
        <v/>
      </c>
      <c r="V1453" s="489"/>
      <c r="W1453" s="489"/>
      <c r="X1453" s="488" t="str">
        <f t="shared" ref="X1453:X1467" si="347">+Y1453&amp;Z1453</f>
        <v>631101810103</v>
      </c>
      <c r="Y1453" s="489">
        <v>631101810</v>
      </c>
      <c r="Z1453" s="489">
        <v>103</v>
      </c>
      <c r="AA1453" s="490" t="str">
        <f t="shared" si="344"/>
        <v/>
      </c>
      <c r="AB1453" s="489"/>
      <c r="AC1453" s="489"/>
      <c r="AD1453" s="591">
        <v>610050</v>
      </c>
      <c r="AE1453" s="27" t="s">
        <v>1385</v>
      </c>
      <c r="AF1453" s="432">
        <f>VLOOKUP(AD1453,[5]Hoja1!$A$10:$K$1393,11,0)</f>
        <v>1050095007</v>
      </c>
      <c r="AG1453" s="432"/>
      <c r="AH1453" s="432">
        <f t="shared" si="346"/>
        <v>1050095</v>
      </c>
      <c r="AL1453" s="448"/>
      <c r="AM1453" s="467">
        <f>VLOOKUP(AD1453,[6]BV201101!$A$10:$A$1236,1,0)</f>
        <v>610050</v>
      </c>
    </row>
    <row r="1454" spans="1:39" s="467" customFormat="1" ht="12.75" customHeight="1">
      <c r="A1454" s="487" t="str">
        <f t="shared" si="333"/>
        <v>6</v>
      </c>
      <c r="B1454" s="487" t="str">
        <f t="shared" si="335"/>
        <v>10</v>
      </c>
      <c r="C1454" s="487" t="str">
        <f t="shared" si="336"/>
        <v>05</v>
      </c>
      <c r="D1454" s="487" t="str">
        <f t="shared" si="337"/>
        <v>0051</v>
      </c>
      <c r="E1454" s="487">
        <v>531101810</v>
      </c>
      <c r="F1454" s="488" t="str">
        <f t="shared" si="338"/>
        <v/>
      </c>
      <c r="G1454" s="487"/>
      <c r="H1454" s="487"/>
      <c r="I1454" s="488" t="str">
        <f t="shared" si="339"/>
        <v/>
      </c>
      <c r="J1454" s="487"/>
      <c r="K1454" s="487"/>
      <c r="L1454" s="488" t="str">
        <f t="shared" si="340"/>
        <v/>
      </c>
      <c r="M1454" s="487"/>
      <c r="N1454" s="487"/>
      <c r="O1454" s="488" t="str">
        <f t="shared" si="341"/>
        <v/>
      </c>
      <c r="P1454" s="489"/>
      <c r="Q1454" s="489"/>
      <c r="R1454" s="592" t="str">
        <f t="shared" si="342"/>
        <v/>
      </c>
      <c r="S1454" s="487"/>
      <c r="T1454" s="487"/>
      <c r="U1454" s="488" t="str">
        <f t="shared" si="343"/>
        <v/>
      </c>
      <c r="V1454" s="489"/>
      <c r="W1454" s="489"/>
      <c r="X1454" s="488" t="str">
        <f t="shared" si="347"/>
        <v>631101810101</v>
      </c>
      <c r="Y1454" s="489">
        <v>631101810</v>
      </c>
      <c r="Z1454" s="489">
        <v>101</v>
      </c>
      <c r="AA1454" s="490" t="str">
        <f t="shared" si="344"/>
        <v/>
      </c>
      <c r="AB1454" s="489"/>
      <c r="AC1454" s="489"/>
      <c r="AD1454" s="591">
        <v>610051</v>
      </c>
      <c r="AE1454" s="27" t="s">
        <v>1386</v>
      </c>
      <c r="AF1454" s="432">
        <f>VLOOKUP(AD1454,[5]Hoja1!$A$10:$K$1393,11,0)</f>
        <v>0</v>
      </c>
      <c r="AG1454" s="432"/>
      <c r="AH1454" s="432">
        <f t="shared" si="346"/>
        <v>0</v>
      </c>
      <c r="AL1454" s="448"/>
      <c r="AM1454" s="467">
        <f>VLOOKUP(AD1454,[6]BV201101!$A$10:$A$1236,1,0)</f>
        <v>610051</v>
      </c>
    </row>
    <row r="1455" spans="1:39" s="467" customFormat="1" ht="12.75" customHeight="1">
      <c r="A1455" s="487" t="str">
        <f t="shared" si="333"/>
        <v>6</v>
      </c>
      <c r="B1455" s="487" t="str">
        <f t="shared" si="335"/>
        <v>10</v>
      </c>
      <c r="C1455" s="487" t="str">
        <f t="shared" si="336"/>
        <v>05</v>
      </c>
      <c r="D1455" s="487" t="str">
        <f t="shared" si="337"/>
        <v>0052</v>
      </c>
      <c r="E1455" s="487">
        <v>531101810</v>
      </c>
      <c r="F1455" s="488" t="str">
        <f t="shared" si="338"/>
        <v/>
      </c>
      <c r="G1455" s="487"/>
      <c r="H1455" s="487"/>
      <c r="I1455" s="488" t="str">
        <f t="shared" si="339"/>
        <v/>
      </c>
      <c r="J1455" s="487"/>
      <c r="K1455" s="487"/>
      <c r="L1455" s="488" t="str">
        <f t="shared" si="340"/>
        <v/>
      </c>
      <c r="M1455" s="487"/>
      <c r="N1455" s="487"/>
      <c r="O1455" s="488" t="str">
        <f t="shared" si="341"/>
        <v/>
      </c>
      <c r="P1455" s="489"/>
      <c r="Q1455" s="489"/>
      <c r="R1455" s="592" t="str">
        <f t="shared" si="342"/>
        <v/>
      </c>
      <c r="S1455" s="487"/>
      <c r="T1455" s="487"/>
      <c r="U1455" s="488" t="str">
        <f t="shared" si="343"/>
        <v/>
      </c>
      <c r="V1455" s="489"/>
      <c r="W1455" s="489"/>
      <c r="X1455" s="488" t="str">
        <f t="shared" si="347"/>
        <v>631101810102</v>
      </c>
      <c r="Y1455" s="489">
        <v>631101810</v>
      </c>
      <c r="Z1455" s="489">
        <v>102</v>
      </c>
      <c r="AA1455" s="490" t="str">
        <f t="shared" si="344"/>
        <v/>
      </c>
      <c r="AB1455" s="489"/>
      <c r="AC1455" s="489"/>
      <c r="AD1455" s="591">
        <v>610052</v>
      </c>
      <c r="AE1455" s="27" t="s">
        <v>1416</v>
      </c>
      <c r="AF1455" s="432">
        <v>0</v>
      </c>
      <c r="AG1455" s="432"/>
      <c r="AH1455" s="432">
        <f t="shared" si="346"/>
        <v>0</v>
      </c>
      <c r="AL1455" s="448"/>
      <c r="AM1455" s="467" t="e">
        <f>VLOOKUP(AD1455,[6]BV201101!$A$10:$A$1236,1,0)</f>
        <v>#N/A</v>
      </c>
    </row>
    <row r="1456" spans="1:39" s="467" customFormat="1" ht="12.75" customHeight="1">
      <c r="A1456" s="487" t="str">
        <f t="shared" si="333"/>
        <v>6</v>
      </c>
      <c r="B1456" s="487" t="str">
        <f t="shared" si="335"/>
        <v>10</v>
      </c>
      <c r="C1456" s="487" t="str">
        <f t="shared" si="336"/>
        <v>05</v>
      </c>
      <c r="D1456" s="487" t="str">
        <f t="shared" si="337"/>
        <v>0053</v>
      </c>
      <c r="E1456" s="487">
        <v>531101810</v>
      </c>
      <c r="F1456" s="488" t="str">
        <f t="shared" si="338"/>
        <v/>
      </c>
      <c r="G1456" s="487"/>
      <c r="H1456" s="487"/>
      <c r="I1456" s="488" t="str">
        <f t="shared" si="339"/>
        <v/>
      </c>
      <c r="J1456" s="487"/>
      <c r="K1456" s="487"/>
      <c r="L1456" s="488" t="str">
        <f t="shared" si="340"/>
        <v/>
      </c>
      <c r="M1456" s="487"/>
      <c r="N1456" s="487"/>
      <c r="O1456" s="488" t="str">
        <f t="shared" si="341"/>
        <v/>
      </c>
      <c r="P1456" s="489"/>
      <c r="Q1456" s="489"/>
      <c r="R1456" s="592" t="str">
        <f t="shared" si="342"/>
        <v/>
      </c>
      <c r="S1456" s="487"/>
      <c r="T1456" s="487"/>
      <c r="U1456" s="488" t="str">
        <f t="shared" si="343"/>
        <v/>
      </c>
      <c r="V1456" s="487"/>
      <c r="W1456" s="489"/>
      <c r="X1456" s="488" t="str">
        <f t="shared" si="347"/>
        <v>631101810103</v>
      </c>
      <c r="Y1456" s="489">
        <v>631101810</v>
      </c>
      <c r="Z1456" s="489">
        <v>103</v>
      </c>
      <c r="AA1456" s="490" t="str">
        <f t="shared" si="344"/>
        <v/>
      </c>
      <c r="AB1456" s="489"/>
      <c r="AC1456" s="489"/>
      <c r="AD1456" s="591">
        <v>610053</v>
      </c>
      <c r="AE1456" s="27" t="s">
        <v>1387</v>
      </c>
      <c r="AF1456" s="432">
        <f>VLOOKUP(AD1456,[5]Hoja1!$A$10:$K$1393,11,0)</f>
        <v>50653605</v>
      </c>
      <c r="AG1456" s="432"/>
      <c r="AH1456" s="432">
        <f t="shared" si="346"/>
        <v>50654</v>
      </c>
      <c r="AL1456" s="448"/>
      <c r="AM1456" s="467">
        <f>VLOOKUP(AD1456,[6]BV201101!$A$10:$A$1236,1,0)</f>
        <v>610053</v>
      </c>
    </row>
    <row r="1457" spans="1:39" s="467" customFormat="1" ht="12.75" customHeight="1">
      <c r="A1457" s="487" t="str">
        <f t="shared" si="333"/>
        <v>6</v>
      </c>
      <c r="B1457" s="487" t="str">
        <f t="shared" si="335"/>
        <v>10</v>
      </c>
      <c r="C1457" s="487" t="str">
        <f t="shared" si="336"/>
        <v>05</v>
      </c>
      <c r="D1457" s="487" t="str">
        <f t="shared" si="337"/>
        <v>0054</v>
      </c>
      <c r="E1457" s="487">
        <v>531101820</v>
      </c>
      <c r="F1457" s="488" t="str">
        <f t="shared" si="338"/>
        <v/>
      </c>
      <c r="G1457" s="487"/>
      <c r="H1457" s="487"/>
      <c r="I1457" s="488" t="str">
        <f t="shared" si="339"/>
        <v/>
      </c>
      <c r="J1457" s="487"/>
      <c r="K1457" s="487"/>
      <c r="L1457" s="488" t="str">
        <f t="shared" si="340"/>
        <v/>
      </c>
      <c r="M1457" s="487"/>
      <c r="N1457" s="487"/>
      <c r="O1457" s="488" t="str">
        <f t="shared" si="341"/>
        <v/>
      </c>
      <c r="P1457" s="489"/>
      <c r="Q1457" s="489"/>
      <c r="R1457" s="592" t="str">
        <f t="shared" si="342"/>
        <v/>
      </c>
      <c r="S1457" s="487"/>
      <c r="T1457" s="487"/>
      <c r="U1457" s="488" t="str">
        <f t="shared" si="343"/>
        <v/>
      </c>
      <c r="V1457" s="487"/>
      <c r="W1457" s="489"/>
      <c r="X1457" s="488" t="str">
        <f t="shared" si="347"/>
        <v>631101820421</v>
      </c>
      <c r="Y1457" s="489">
        <v>631101820</v>
      </c>
      <c r="Z1457" s="489">
        <v>421</v>
      </c>
      <c r="AA1457" s="490" t="str">
        <f t="shared" si="344"/>
        <v/>
      </c>
      <c r="AB1457" s="489"/>
      <c r="AC1457" s="489"/>
      <c r="AD1457" s="27">
        <v>610054</v>
      </c>
      <c r="AE1457" s="27" t="s">
        <v>1690</v>
      </c>
      <c r="AF1457" s="432">
        <f>VLOOKUP(AD1457,[5]Hoja1!$A$10:$K$1393,11,0)</f>
        <v>204492499</v>
      </c>
      <c r="AG1457" s="432"/>
      <c r="AH1457" s="432">
        <f t="shared" si="346"/>
        <v>204492</v>
      </c>
      <c r="AL1457" s="448"/>
      <c r="AM1457" s="467">
        <f>VLOOKUP(AD1457,[6]BV201101!$A$10:$A$1236,1,0)</f>
        <v>610054</v>
      </c>
    </row>
    <row r="1458" spans="1:39" s="467" customFormat="1" ht="12.75" customHeight="1">
      <c r="A1458" s="487" t="str">
        <f t="shared" si="333"/>
        <v>6</v>
      </c>
      <c r="B1458" s="487" t="str">
        <f t="shared" si="335"/>
        <v>10</v>
      </c>
      <c r="C1458" s="487" t="str">
        <f t="shared" si="336"/>
        <v>05</v>
      </c>
      <c r="D1458" s="487" t="str">
        <f t="shared" si="337"/>
        <v>0055</v>
      </c>
      <c r="E1458" s="487">
        <v>531101810</v>
      </c>
      <c r="F1458" s="488" t="str">
        <f t="shared" si="338"/>
        <v/>
      </c>
      <c r="G1458" s="487"/>
      <c r="H1458" s="487"/>
      <c r="I1458" s="488" t="str">
        <f t="shared" si="339"/>
        <v/>
      </c>
      <c r="J1458" s="487"/>
      <c r="K1458" s="487"/>
      <c r="L1458" s="488" t="str">
        <f t="shared" si="340"/>
        <v/>
      </c>
      <c r="M1458" s="487"/>
      <c r="N1458" s="487"/>
      <c r="O1458" s="488" t="str">
        <f t="shared" si="341"/>
        <v/>
      </c>
      <c r="P1458" s="489"/>
      <c r="Q1458" s="489"/>
      <c r="R1458" s="592" t="str">
        <f t="shared" si="342"/>
        <v/>
      </c>
      <c r="S1458" s="487"/>
      <c r="T1458" s="487"/>
      <c r="U1458" s="488" t="str">
        <f t="shared" si="343"/>
        <v/>
      </c>
      <c r="V1458" s="487"/>
      <c r="W1458" s="489"/>
      <c r="X1458" s="488" t="str">
        <f t="shared" si="347"/>
        <v>631101810103</v>
      </c>
      <c r="Y1458" s="489">
        <v>631101810</v>
      </c>
      <c r="Z1458" s="489">
        <v>103</v>
      </c>
      <c r="AA1458" s="490" t="str">
        <f t="shared" si="344"/>
        <v/>
      </c>
      <c r="AB1458" s="489"/>
      <c r="AC1458" s="489"/>
      <c r="AD1458" s="591">
        <v>610055</v>
      </c>
      <c r="AE1458" s="27" t="s">
        <v>78</v>
      </c>
      <c r="AF1458" s="432">
        <f>VLOOKUP(AD1458,[5]Hoja1!$A$10:$K$1393,11,0)</f>
        <v>0</v>
      </c>
      <c r="AG1458" s="432"/>
      <c r="AH1458" s="432">
        <f t="shared" si="346"/>
        <v>0</v>
      </c>
      <c r="AL1458" s="448"/>
      <c r="AM1458" s="467">
        <f>VLOOKUP(AD1458,[6]BV201101!$A$10:$A$1236,1,0)</f>
        <v>610055</v>
      </c>
    </row>
    <row r="1459" spans="1:39" s="467" customFormat="1" ht="12.75" customHeight="1">
      <c r="A1459" s="487" t="str">
        <f t="shared" si="333"/>
        <v>6</v>
      </c>
      <c r="B1459" s="487" t="str">
        <f t="shared" si="335"/>
        <v>10</v>
      </c>
      <c r="C1459" s="487" t="str">
        <f t="shared" si="336"/>
        <v>05</v>
      </c>
      <c r="D1459" s="487" t="str">
        <f t="shared" si="337"/>
        <v>0056</v>
      </c>
      <c r="E1459" s="487">
        <v>531201100</v>
      </c>
      <c r="F1459" s="488" t="str">
        <f t="shared" si="338"/>
        <v/>
      </c>
      <c r="G1459" s="487"/>
      <c r="H1459" s="487"/>
      <c r="I1459" s="488" t="str">
        <f t="shared" si="339"/>
        <v/>
      </c>
      <c r="J1459" s="487"/>
      <c r="K1459" s="487"/>
      <c r="L1459" s="488" t="str">
        <f t="shared" si="340"/>
        <v/>
      </c>
      <c r="M1459" s="487"/>
      <c r="N1459" s="487"/>
      <c r="O1459" s="488" t="str">
        <f t="shared" si="341"/>
        <v/>
      </c>
      <c r="P1459" s="489"/>
      <c r="Q1459" s="489"/>
      <c r="R1459" s="592" t="str">
        <f t="shared" si="342"/>
        <v/>
      </c>
      <c r="S1459" s="487"/>
      <c r="T1459" s="487"/>
      <c r="U1459" s="488" t="str">
        <f t="shared" si="343"/>
        <v/>
      </c>
      <c r="V1459" s="487"/>
      <c r="W1459" s="489"/>
      <c r="X1459" s="488" t="str">
        <f t="shared" si="347"/>
        <v>631101810103</v>
      </c>
      <c r="Y1459" s="489">
        <v>631101810</v>
      </c>
      <c r="Z1459" s="489">
        <v>103</v>
      </c>
      <c r="AA1459" s="490" t="str">
        <f t="shared" si="344"/>
        <v/>
      </c>
      <c r="AB1459" s="489"/>
      <c r="AC1459" s="489"/>
      <c r="AD1459" s="27">
        <v>610056</v>
      </c>
      <c r="AE1459" s="27" t="s">
        <v>1388</v>
      </c>
      <c r="AF1459" s="432">
        <f>VLOOKUP(AD1459,[5]Hoja1!$A$10:$K$1393,11,0)</f>
        <v>30008489</v>
      </c>
      <c r="AG1459" s="432"/>
      <c r="AH1459" s="432">
        <f t="shared" si="346"/>
        <v>30008</v>
      </c>
      <c r="AL1459" s="448"/>
      <c r="AM1459" s="467">
        <f>VLOOKUP(AD1459,[6]BV201101!$A$10:$A$1236,1,0)</f>
        <v>610056</v>
      </c>
    </row>
    <row r="1460" spans="1:39" s="467" customFormat="1" ht="12.75" customHeight="1">
      <c r="A1460" s="487" t="str">
        <f t="shared" si="333"/>
        <v>6</v>
      </c>
      <c r="B1460" s="487" t="str">
        <f t="shared" si="335"/>
        <v>10</v>
      </c>
      <c r="C1460" s="487" t="str">
        <f t="shared" si="336"/>
        <v>05</v>
      </c>
      <c r="D1460" s="487" t="str">
        <f t="shared" si="337"/>
        <v>0057</v>
      </c>
      <c r="E1460" s="487">
        <v>531201100</v>
      </c>
      <c r="F1460" s="488" t="str">
        <f t="shared" si="338"/>
        <v/>
      </c>
      <c r="G1460" s="487"/>
      <c r="H1460" s="487"/>
      <c r="I1460" s="488" t="str">
        <f t="shared" si="339"/>
        <v/>
      </c>
      <c r="J1460" s="487"/>
      <c r="K1460" s="487"/>
      <c r="L1460" s="488" t="str">
        <f t="shared" si="340"/>
        <v/>
      </c>
      <c r="M1460" s="487"/>
      <c r="N1460" s="487"/>
      <c r="O1460" s="488" t="str">
        <f t="shared" si="341"/>
        <v/>
      </c>
      <c r="P1460" s="489"/>
      <c r="Q1460" s="489"/>
      <c r="R1460" s="592" t="str">
        <f t="shared" si="342"/>
        <v/>
      </c>
      <c r="S1460" s="487"/>
      <c r="T1460" s="487"/>
      <c r="U1460" s="488" t="str">
        <f t="shared" si="343"/>
        <v/>
      </c>
      <c r="V1460" s="487"/>
      <c r="W1460" s="489"/>
      <c r="X1460" s="488" t="str">
        <f t="shared" si="347"/>
        <v>631101810103</v>
      </c>
      <c r="Y1460" s="489">
        <v>631101810</v>
      </c>
      <c r="Z1460" s="489">
        <v>103</v>
      </c>
      <c r="AA1460" s="490" t="str">
        <f t="shared" si="344"/>
        <v/>
      </c>
      <c r="AB1460" s="489"/>
      <c r="AC1460" s="489"/>
      <c r="AD1460" s="27">
        <v>610057</v>
      </c>
      <c r="AE1460" s="27" t="s">
        <v>1389</v>
      </c>
      <c r="AF1460" s="432">
        <f>VLOOKUP(AD1460,[5]Hoja1!$A$10:$K$1393,11,0)</f>
        <v>73668079</v>
      </c>
      <c r="AG1460" s="432"/>
      <c r="AH1460" s="432">
        <f t="shared" si="346"/>
        <v>73668</v>
      </c>
      <c r="AL1460" s="448"/>
      <c r="AM1460" s="467">
        <f>VLOOKUP(AD1460,[6]BV201101!$A$10:$A$1236,1,0)</f>
        <v>610057</v>
      </c>
    </row>
    <row r="1461" spans="1:39" s="467" customFormat="1" ht="12.75" customHeight="1">
      <c r="A1461" s="487" t="str">
        <f t="shared" si="333"/>
        <v>6</v>
      </c>
      <c r="B1461" s="487" t="str">
        <f t="shared" si="335"/>
        <v>10</v>
      </c>
      <c r="C1461" s="487" t="str">
        <f t="shared" si="336"/>
        <v>05</v>
      </c>
      <c r="D1461" s="487" t="str">
        <f t="shared" si="337"/>
        <v>0058</v>
      </c>
      <c r="E1461" s="487">
        <v>531201100</v>
      </c>
      <c r="F1461" s="488" t="str">
        <f t="shared" si="338"/>
        <v/>
      </c>
      <c r="G1461" s="487"/>
      <c r="H1461" s="487"/>
      <c r="I1461" s="488" t="str">
        <f t="shared" si="339"/>
        <v/>
      </c>
      <c r="J1461" s="487"/>
      <c r="K1461" s="487"/>
      <c r="L1461" s="488" t="str">
        <f t="shared" si="340"/>
        <v/>
      </c>
      <c r="M1461" s="487"/>
      <c r="N1461" s="487"/>
      <c r="O1461" s="488" t="str">
        <f t="shared" si="341"/>
        <v/>
      </c>
      <c r="P1461" s="489"/>
      <c r="Q1461" s="489"/>
      <c r="R1461" s="592" t="str">
        <f t="shared" si="342"/>
        <v/>
      </c>
      <c r="S1461" s="487"/>
      <c r="T1461" s="487"/>
      <c r="U1461" s="488" t="str">
        <f t="shared" si="343"/>
        <v/>
      </c>
      <c r="V1461" s="487"/>
      <c r="W1461" s="489"/>
      <c r="X1461" s="488" t="str">
        <f t="shared" si="347"/>
        <v>631101810103</v>
      </c>
      <c r="Y1461" s="489">
        <v>631101810</v>
      </c>
      <c r="Z1461" s="489">
        <v>103</v>
      </c>
      <c r="AA1461" s="490" t="str">
        <f t="shared" si="344"/>
        <v/>
      </c>
      <c r="AB1461" s="489"/>
      <c r="AC1461" s="489"/>
      <c r="AD1461" s="27">
        <v>610058</v>
      </c>
      <c r="AE1461" s="27" t="s">
        <v>2431</v>
      </c>
      <c r="AF1461" s="432">
        <f>VLOOKUP(AD1461,[5]Hoja1!$A$10:$K$1393,11,0)</f>
        <v>-1201196</v>
      </c>
      <c r="AG1461" s="432"/>
      <c r="AH1461" s="432">
        <f t="shared" si="346"/>
        <v>-1201</v>
      </c>
      <c r="AL1461" s="448"/>
      <c r="AM1461" s="467">
        <f>VLOOKUP(AD1461,[6]BV201101!$A$10:$A$1236,1,0)</f>
        <v>610058</v>
      </c>
    </row>
    <row r="1462" spans="1:39" s="467" customFormat="1" ht="12.75" customHeight="1">
      <c r="A1462" s="487" t="str">
        <f t="shared" ref="A1462:A1525" si="348">+LEFT($AD1462,1)</f>
        <v>6</v>
      </c>
      <c r="B1462" s="487" t="str">
        <f t="shared" si="335"/>
        <v>10</v>
      </c>
      <c r="C1462" s="487" t="str">
        <f t="shared" si="336"/>
        <v>05</v>
      </c>
      <c r="D1462" s="487" t="str">
        <f t="shared" si="337"/>
        <v>0059</v>
      </c>
      <c r="E1462" s="487">
        <v>531201100</v>
      </c>
      <c r="F1462" s="488" t="str">
        <f t="shared" si="338"/>
        <v/>
      </c>
      <c r="G1462" s="487"/>
      <c r="H1462" s="487"/>
      <c r="I1462" s="488" t="str">
        <f t="shared" si="339"/>
        <v/>
      </c>
      <c r="J1462" s="487"/>
      <c r="K1462" s="487"/>
      <c r="L1462" s="488" t="str">
        <f t="shared" si="340"/>
        <v/>
      </c>
      <c r="M1462" s="487"/>
      <c r="N1462" s="487"/>
      <c r="O1462" s="488" t="str">
        <f t="shared" si="341"/>
        <v/>
      </c>
      <c r="P1462" s="489"/>
      <c r="Q1462" s="489"/>
      <c r="R1462" s="592" t="str">
        <f t="shared" si="342"/>
        <v/>
      </c>
      <c r="S1462" s="487"/>
      <c r="T1462" s="487"/>
      <c r="U1462" s="488" t="str">
        <f t="shared" si="343"/>
        <v/>
      </c>
      <c r="V1462" s="487"/>
      <c r="W1462" s="489"/>
      <c r="X1462" s="488" t="str">
        <f t="shared" si="347"/>
        <v>631101810103</v>
      </c>
      <c r="Y1462" s="489">
        <v>631101810</v>
      </c>
      <c r="Z1462" s="489">
        <v>103</v>
      </c>
      <c r="AA1462" s="490" t="str">
        <f t="shared" ref="AA1462:AA1554" si="349">+AB1462&amp;AC1462</f>
        <v/>
      </c>
      <c r="AB1462" s="489"/>
      <c r="AC1462" s="489"/>
      <c r="AD1462" s="27">
        <v>610059</v>
      </c>
      <c r="AE1462" s="27" t="s">
        <v>1691</v>
      </c>
      <c r="AF1462" s="432">
        <f>VLOOKUP(AD1462,[5]Hoja1!$A$10:$K$1393,11,0)</f>
        <v>113677123</v>
      </c>
      <c r="AG1462" s="432"/>
      <c r="AH1462" s="432">
        <f t="shared" si="346"/>
        <v>113677</v>
      </c>
      <c r="AL1462" s="448"/>
      <c r="AM1462" s="467">
        <f>VLOOKUP(AD1462,[6]BV201101!$A$10:$A$1236,1,0)</f>
        <v>610059</v>
      </c>
    </row>
    <row r="1463" spans="1:39" s="467" customFormat="1" ht="12.75" customHeight="1">
      <c r="A1463" s="487" t="str">
        <f t="shared" si="348"/>
        <v>6</v>
      </c>
      <c r="B1463" s="487" t="str">
        <f t="shared" si="335"/>
        <v>10</v>
      </c>
      <c r="C1463" s="487" t="str">
        <f t="shared" si="336"/>
        <v>06</v>
      </c>
      <c r="D1463" s="487" t="str">
        <f t="shared" si="337"/>
        <v>0060</v>
      </c>
      <c r="E1463" s="487">
        <v>531201100</v>
      </c>
      <c r="F1463" s="488" t="str">
        <f t="shared" si="338"/>
        <v/>
      </c>
      <c r="G1463" s="487"/>
      <c r="H1463" s="487"/>
      <c r="I1463" s="488" t="str">
        <f t="shared" si="339"/>
        <v/>
      </c>
      <c r="J1463" s="487"/>
      <c r="K1463" s="487"/>
      <c r="L1463" s="488" t="str">
        <f t="shared" si="340"/>
        <v/>
      </c>
      <c r="M1463" s="487"/>
      <c r="N1463" s="487"/>
      <c r="O1463" s="488" t="str">
        <f t="shared" si="341"/>
        <v/>
      </c>
      <c r="P1463" s="489"/>
      <c r="Q1463" s="489"/>
      <c r="R1463" s="592" t="str">
        <f t="shared" si="342"/>
        <v/>
      </c>
      <c r="S1463" s="487"/>
      <c r="T1463" s="487"/>
      <c r="U1463" s="488" t="str">
        <f t="shared" si="343"/>
        <v/>
      </c>
      <c r="V1463" s="487"/>
      <c r="W1463" s="489"/>
      <c r="X1463" s="488" t="str">
        <f t="shared" si="347"/>
        <v>631101810103</v>
      </c>
      <c r="Y1463" s="489">
        <v>631101810</v>
      </c>
      <c r="Z1463" s="489">
        <v>103</v>
      </c>
      <c r="AA1463" s="490" t="str">
        <f t="shared" si="349"/>
        <v/>
      </c>
      <c r="AB1463" s="489"/>
      <c r="AC1463" s="489"/>
      <c r="AD1463" s="27">
        <v>610060</v>
      </c>
      <c r="AE1463" s="27" t="s">
        <v>1390</v>
      </c>
      <c r="AF1463" s="432">
        <f>VLOOKUP(AD1463,[5]Hoja1!$A$10:$K$1393,11,0)</f>
        <v>5344000</v>
      </c>
      <c r="AG1463" s="432"/>
      <c r="AH1463" s="432">
        <f t="shared" si="346"/>
        <v>5344</v>
      </c>
      <c r="AL1463" s="448"/>
      <c r="AM1463" s="467">
        <f>VLOOKUP(AD1463,[6]BV201101!$A$10:$A$1236,1,0)</f>
        <v>610060</v>
      </c>
    </row>
    <row r="1464" spans="1:39" s="467" customFormat="1" ht="12.75" customHeight="1">
      <c r="A1464" s="487" t="str">
        <f t="shared" si="348"/>
        <v>6</v>
      </c>
      <c r="B1464" s="487" t="str">
        <f t="shared" si="335"/>
        <v>10</v>
      </c>
      <c r="C1464" s="487" t="str">
        <f t="shared" si="336"/>
        <v>06</v>
      </c>
      <c r="D1464" s="487" t="str">
        <f t="shared" si="337"/>
        <v>0061</v>
      </c>
      <c r="E1464" s="487">
        <v>531201100</v>
      </c>
      <c r="F1464" s="488" t="str">
        <f t="shared" si="338"/>
        <v/>
      </c>
      <c r="G1464" s="487"/>
      <c r="H1464" s="487"/>
      <c r="I1464" s="488" t="str">
        <f t="shared" si="339"/>
        <v/>
      </c>
      <c r="J1464" s="487"/>
      <c r="K1464" s="487"/>
      <c r="L1464" s="488" t="str">
        <f t="shared" si="340"/>
        <v/>
      </c>
      <c r="M1464" s="487"/>
      <c r="N1464" s="487"/>
      <c r="O1464" s="488" t="str">
        <f t="shared" si="341"/>
        <v/>
      </c>
      <c r="P1464" s="489"/>
      <c r="Q1464" s="489"/>
      <c r="R1464" s="592" t="str">
        <f t="shared" si="342"/>
        <v/>
      </c>
      <c r="S1464" s="487"/>
      <c r="T1464" s="487"/>
      <c r="U1464" s="488" t="str">
        <f t="shared" si="343"/>
        <v/>
      </c>
      <c r="V1464" s="487"/>
      <c r="W1464" s="489"/>
      <c r="X1464" s="488" t="str">
        <f t="shared" si="347"/>
        <v>631101810103</v>
      </c>
      <c r="Y1464" s="489">
        <v>631101810</v>
      </c>
      <c r="Z1464" s="489">
        <v>103</v>
      </c>
      <c r="AA1464" s="490" t="str">
        <f t="shared" si="349"/>
        <v/>
      </c>
      <c r="AB1464" s="489"/>
      <c r="AC1464" s="489"/>
      <c r="AD1464" s="27">
        <v>610061</v>
      </c>
      <c r="AE1464" s="27" t="s">
        <v>1391</v>
      </c>
      <c r="AF1464" s="432">
        <f>VLOOKUP(AD1464,[5]Hoja1!$A$10:$K$1393,11,0)</f>
        <v>3801024</v>
      </c>
      <c r="AG1464" s="432"/>
      <c r="AH1464" s="432">
        <f t="shared" si="346"/>
        <v>3801</v>
      </c>
      <c r="AL1464" s="448"/>
      <c r="AM1464" s="467">
        <f>VLOOKUP(AD1464,[6]BV201101!$A$10:$A$1236,1,0)</f>
        <v>610061</v>
      </c>
    </row>
    <row r="1465" spans="1:39" s="467" customFormat="1" ht="12.75" customHeight="1">
      <c r="A1465" s="487" t="str">
        <f t="shared" si="348"/>
        <v>6</v>
      </c>
      <c r="B1465" s="487" t="str">
        <f t="shared" si="335"/>
        <v>10</v>
      </c>
      <c r="C1465" s="487" t="str">
        <f t="shared" si="336"/>
        <v>06</v>
      </c>
      <c r="D1465" s="487" t="str">
        <f t="shared" si="337"/>
        <v>0062</v>
      </c>
      <c r="E1465" s="487">
        <v>531201100</v>
      </c>
      <c r="F1465" s="488" t="str">
        <f t="shared" si="338"/>
        <v/>
      </c>
      <c r="G1465" s="487"/>
      <c r="H1465" s="487"/>
      <c r="I1465" s="488" t="str">
        <f t="shared" si="339"/>
        <v/>
      </c>
      <c r="J1465" s="487"/>
      <c r="K1465" s="487"/>
      <c r="L1465" s="488" t="str">
        <f t="shared" si="340"/>
        <v/>
      </c>
      <c r="M1465" s="487"/>
      <c r="N1465" s="487"/>
      <c r="O1465" s="488" t="str">
        <f t="shared" si="341"/>
        <v/>
      </c>
      <c r="P1465" s="489"/>
      <c r="Q1465" s="489"/>
      <c r="R1465" s="592" t="str">
        <f t="shared" si="342"/>
        <v/>
      </c>
      <c r="S1465" s="487"/>
      <c r="T1465" s="487"/>
      <c r="U1465" s="488" t="str">
        <f t="shared" si="343"/>
        <v/>
      </c>
      <c r="V1465" s="487"/>
      <c r="W1465" s="489"/>
      <c r="X1465" s="488" t="str">
        <f t="shared" si="347"/>
        <v>631101810103</v>
      </c>
      <c r="Y1465" s="489">
        <v>631101810</v>
      </c>
      <c r="Z1465" s="489">
        <v>103</v>
      </c>
      <c r="AA1465" s="490" t="str">
        <f t="shared" si="349"/>
        <v/>
      </c>
      <c r="AB1465" s="489"/>
      <c r="AC1465" s="489"/>
      <c r="AD1465" s="27">
        <v>610062</v>
      </c>
      <c r="AE1465" s="27" t="s">
        <v>2440</v>
      </c>
      <c r="AF1465" s="432">
        <f>VLOOKUP(AD1465,[5]Hoja1!$A$10:$K$1393,11,0)</f>
        <v>-778500</v>
      </c>
      <c r="AG1465" s="432"/>
      <c r="AH1465" s="432">
        <f t="shared" si="346"/>
        <v>-779</v>
      </c>
      <c r="AL1465" s="448"/>
      <c r="AM1465" s="467">
        <f>VLOOKUP(AD1465,[6]BV201101!$A$10:$A$1236,1,0)</f>
        <v>610062</v>
      </c>
    </row>
    <row r="1466" spans="1:39" s="467" customFormat="1" ht="12.75" customHeight="1">
      <c r="A1466" s="487" t="str">
        <f t="shared" si="348"/>
        <v>6</v>
      </c>
      <c r="B1466" s="487" t="str">
        <f t="shared" si="335"/>
        <v>10</v>
      </c>
      <c r="C1466" s="487" t="str">
        <f t="shared" si="336"/>
        <v>06</v>
      </c>
      <c r="D1466" s="487" t="str">
        <f t="shared" si="337"/>
        <v>0063</v>
      </c>
      <c r="E1466" s="487">
        <v>531201100</v>
      </c>
      <c r="F1466" s="488" t="str">
        <f t="shared" si="338"/>
        <v/>
      </c>
      <c r="G1466" s="487"/>
      <c r="H1466" s="487"/>
      <c r="I1466" s="488" t="str">
        <f t="shared" si="339"/>
        <v/>
      </c>
      <c r="J1466" s="487"/>
      <c r="K1466" s="487"/>
      <c r="L1466" s="488" t="str">
        <f t="shared" si="340"/>
        <v/>
      </c>
      <c r="M1466" s="487"/>
      <c r="N1466" s="487"/>
      <c r="O1466" s="488" t="str">
        <f t="shared" si="341"/>
        <v/>
      </c>
      <c r="P1466" s="489"/>
      <c r="Q1466" s="489"/>
      <c r="R1466" s="592" t="str">
        <f t="shared" si="342"/>
        <v/>
      </c>
      <c r="S1466" s="487"/>
      <c r="T1466" s="487"/>
      <c r="U1466" s="488" t="str">
        <f t="shared" si="343"/>
        <v/>
      </c>
      <c r="V1466" s="487"/>
      <c r="W1466" s="489"/>
      <c r="X1466" s="488" t="str">
        <f t="shared" si="347"/>
        <v>631101810103</v>
      </c>
      <c r="Y1466" s="489">
        <v>631101810</v>
      </c>
      <c r="Z1466" s="489">
        <v>103</v>
      </c>
      <c r="AA1466" s="490" t="str">
        <f t="shared" si="349"/>
        <v/>
      </c>
      <c r="AB1466" s="489"/>
      <c r="AC1466" s="489"/>
      <c r="AD1466" s="27">
        <v>610063</v>
      </c>
      <c r="AE1466" s="27" t="s">
        <v>111</v>
      </c>
      <c r="AF1466" s="432">
        <f>VLOOKUP(AD1466,[5]Hoja1!$A$10:$K$1393,11,0)</f>
        <v>79437937</v>
      </c>
      <c r="AG1466" s="432"/>
      <c r="AH1466" s="432">
        <f t="shared" si="346"/>
        <v>79438</v>
      </c>
      <c r="AL1466" s="448"/>
      <c r="AM1466" s="467">
        <f>VLOOKUP(AD1466,[6]BV201101!$A$10:$A$1236,1,0)</f>
        <v>610063</v>
      </c>
    </row>
    <row r="1467" spans="1:39" s="467" customFormat="1" ht="12.75" customHeight="1">
      <c r="A1467" s="487" t="str">
        <f t="shared" si="348"/>
        <v>6</v>
      </c>
      <c r="B1467" s="487" t="str">
        <f t="shared" si="335"/>
        <v>10</v>
      </c>
      <c r="C1467" s="487" t="str">
        <f t="shared" si="336"/>
        <v>06</v>
      </c>
      <c r="D1467" s="487" t="str">
        <f t="shared" si="337"/>
        <v>0064</v>
      </c>
      <c r="E1467" s="487">
        <v>531201100</v>
      </c>
      <c r="F1467" s="488" t="str">
        <f t="shared" si="338"/>
        <v/>
      </c>
      <c r="G1467" s="487"/>
      <c r="H1467" s="487"/>
      <c r="I1467" s="488" t="str">
        <f t="shared" si="339"/>
        <v/>
      </c>
      <c r="J1467" s="487"/>
      <c r="K1467" s="487"/>
      <c r="L1467" s="488" t="str">
        <f t="shared" si="340"/>
        <v/>
      </c>
      <c r="M1467" s="487"/>
      <c r="N1467" s="487"/>
      <c r="O1467" s="488" t="str">
        <f t="shared" si="341"/>
        <v/>
      </c>
      <c r="P1467" s="489"/>
      <c r="Q1467" s="489"/>
      <c r="R1467" s="592" t="str">
        <f t="shared" si="342"/>
        <v/>
      </c>
      <c r="S1467" s="487"/>
      <c r="T1467" s="487"/>
      <c r="U1467" s="488" t="str">
        <f t="shared" si="343"/>
        <v/>
      </c>
      <c r="V1467" s="487"/>
      <c r="W1467" s="489"/>
      <c r="X1467" s="488" t="str">
        <f t="shared" si="347"/>
        <v>631101810103</v>
      </c>
      <c r="Y1467" s="489">
        <v>631101810</v>
      </c>
      <c r="Z1467" s="489">
        <v>103</v>
      </c>
      <c r="AA1467" s="490" t="str">
        <f t="shared" si="349"/>
        <v/>
      </c>
      <c r="AB1467" s="489"/>
      <c r="AC1467" s="489"/>
      <c r="AD1467" s="27">
        <v>610064</v>
      </c>
      <c r="AE1467" s="27" t="s">
        <v>112</v>
      </c>
      <c r="AF1467" s="432">
        <f>VLOOKUP(AD1467,[5]Hoja1!$A$10:$K$1393,11,0)</f>
        <v>18138315</v>
      </c>
      <c r="AG1467" s="432"/>
      <c r="AH1467" s="432">
        <f t="shared" si="346"/>
        <v>18138</v>
      </c>
      <c r="AL1467" s="448"/>
      <c r="AM1467" s="467">
        <f>VLOOKUP(AD1467,[6]BV201101!$A$10:$A$1236,1,0)</f>
        <v>610064</v>
      </c>
    </row>
    <row r="1468" spans="1:39" s="467" customFormat="1" ht="12.75" customHeight="1">
      <c r="A1468" s="487" t="str">
        <f t="shared" si="348"/>
        <v>6</v>
      </c>
      <c r="B1468" s="487" t="str">
        <f t="shared" si="335"/>
        <v>10</v>
      </c>
      <c r="C1468" s="487" t="str">
        <f t="shared" si="336"/>
        <v>06</v>
      </c>
      <c r="D1468" s="487" t="str">
        <f t="shared" si="337"/>
        <v>0065</v>
      </c>
      <c r="E1468" s="487">
        <v>531201100</v>
      </c>
      <c r="F1468" s="488" t="str">
        <f t="shared" si="338"/>
        <v/>
      </c>
      <c r="G1468" s="487"/>
      <c r="H1468" s="487"/>
      <c r="I1468" s="488" t="str">
        <f t="shared" si="339"/>
        <v/>
      </c>
      <c r="J1468" s="487"/>
      <c r="K1468" s="487"/>
      <c r="L1468" s="488" t="str">
        <f t="shared" si="340"/>
        <v/>
      </c>
      <c r="M1468" s="487"/>
      <c r="N1468" s="487"/>
      <c r="O1468" s="488" t="str">
        <f t="shared" si="341"/>
        <v/>
      </c>
      <c r="P1468" s="489"/>
      <c r="Q1468" s="489"/>
      <c r="R1468" s="592" t="str">
        <f t="shared" si="342"/>
        <v/>
      </c>
      <c r="S1468" s="487"/>
      <c r="T1468" s="487"/>
      <c r="U1468" s="488" t="str">
        <f t="shared" si="343"/>
        <v/>
      </c>
      <c r="V1468" s="487"/>
      <c r="W1468" s="489"/>
      <c r="X1468" s="488" t="str">
        <f t="shared" ref="X1468:X1478" si="350">+Y1468&amp;Z1468</f>
        <v>631101810103</v>
      </c>
      <c r="Y1468" s="489">
        <v>631101810</v>
      </c>
      <c r="Z1468" s="489">
        <v>103</v>
      </c>
      <c r="AA1468" s="490" t="str">
        <f t="shared" si="349"/>
        <v/>
      </c>
      <c r="AB1468" s="489"/>
      <c r="AC1468" s="489"/>
      <c r="AD1468" s="27">
        <v>610065</v>
      </c>
      <c r="AE1468" s="27" t="s">
        <v>2441</v>
      </c>
      <c r="AF1468" s="432">
        <f>VLOOKUP(AD1468,[5]Hoja1!$A$10:$K$1393,11,0)</f>
        <v>35907553</v>
      </c>
      <c r="AG1468" s="432"/>
      <c r="AH1468" s="432">
        <f t="shared" si="346"/>
        <v>35908</v>
      </c>
      <c r="AL1468" s="448"/>
      <c r="AM1468" s="467">
        <f>VLOOKUP(AD1468,[6]BV201101!$A$10:$A$1236,1,0)</f>
        <v>610065</v>
      </c>
    </row>
    <row r="1469" spans="1:39" s="467" customFormat="1" ht="12.75" customHeight="1">
      <c r="A1469" s="487" t="str">
        <f t="shared" si="348"/>
        <v>6</v>
      </c>
      <c r="B1469" s="487" t="str">
        <f t="shared" si="335"/>
        <v>10</v>
      </c>
      <c r="C1469" s="487" t="str">
        <f t="shared" si="336"/>
        <v>06</v>
      </c>
      <c r="D1469" s="487" t="str">
        <f t="shared" si="337"/>
        <v>0066</v>
      </c>
      <c r="E1469" s="487">
        <v>531201100</v>
      </c>
      <c r="F1469" s="488" t="str">
        <f t="shared" si="338"/>
        <v/>
      </c>
      <c r="G1469" s="487"/>
      <c r="H1469" s="487"/>
      <c r="I1469" s="488" t="str">
        <f t="shared" si="339"/>
        <v/>
      </c>
      <c r="J1469" s="487"/>
      <c r="K1469" s="487"/>
      <c r="L1469" s="488" t="str">
        <f t="shared" si="340"/>
        <v/>
      </c>
      <c r="M1469" s="487"/>
      <c r="N1469" s="487"/>
      <c r="O1469" s="488" t="str">
        <f t="shared" si="341"/>
        <v/>
      </c>
      <c r="P1469" s="489"/>
      <c r="Q1469" s="489"/>
      <c r="R1469" s="592" t="str">
        <f t="shared" si="342"/>
        <v/>
      </c>
      <c r="S1469" s="487"/>
      <c r="T1469" s="487"/>
      <c r="U1469" s="488" t="str">
        <f t="shared" si="343"/>
        <v/>
      </c>
      <c r="V1469" s="487"/>
      <c r="W1469" s="489"/>
      <c r="X1469" s="488" t="str">
        <f t="shared" si="350"/>
        <v>631101810103</v>
      </c>
      <c r="Y1469" s="489">
        <v>631101810</v>
      </c>
      <c r="Z1469" s="489">
        <v>103</v>
      </c>
      <c r="AA1469" s="490" t="str">
        <f t="shared" si="349"/>
        <v/>
      </c>
      <c r="AB1469" s="489"/>
      <c r="AC1469" s="489"/>
      <c r="AD1469" s="27">
        <v>610066</v>
      </c>
      <c r="AE1469" s="27" t="s">
        <v>114</v>
      </c>
      <c r="AF1469" s="432">
        <f>VLOOKUP(AD1469,[5]Hoja1!$A$10:$K$1393,11,0)</f>
        <v>1808400</v>
      </c>
      <c r="AG1469" s="432"/>
      <c r="AH1469" s="432">
        <f t="shared" si="346"/>
        <v>1808</v>
      </c>
      <c r="AL1469" s="448"/>
      <c r="AM1469" s="467">
        <f>VLOOKUP(AD1469,[6]BV201101!$A$10:$A$1236,1,0)</f>
        <v>610066</v>
      </c>
    </row>
    <row r="1470" spans="1:39" s="467" customFormat="1" ht="12.75" customHeight="1">
      <c r="A1470" s="487" t="str">
        <f t="shared" si="348"/>
        <v>6</v>
      </c>
      <c r="B1470" s="487" t="str">
        <f t="shared" si="335"/>
        <v>10</v>
      </c>
      <c r="C1470" s="487" t="str">
        <f t="shared" si="336"/>
        <v>06</v>
      </c>
      <c r="D1470" s="487" t="str">
        <f t="shared" si="337"/>
        <v>0067</v>
      </c>
      <c r="E1470" s="487">
        <v>531201100</v>
      </c>
      <c r="F1470" s="488" t="str">
        <f t="shared" si="338"/>
        <v/>
      </c>
      <c r="G1470" s="487"/>
      <c r="H1470" s="487"/>
      <c r="I1470" s="488" t="str">
        <f t="shared" si="339"/>
        <v/>
      </c>
      <c r="J1470" s="487"/>
      <c r="K1470" s="487"/>
      <c r="L1470" s="488" t="str">
        <f t="shared" si="340"/>
        <v/>
      </c>
      <c r="M1470" s="487"/>
      <c r="N1470" s="487"/>
      <c r="O1470" s="488" t="str">
        <f t="shared" si="341"/>
        <v/>
      </c>
      <c r="P1470" s="489"/>
      <c r="Q1470" s="489"/>
      <c r="R1470" s="592" t="str">
        <f t="shared" si="342"/>
        <v/>
      </c>
      <c r="S1470" s="487"/>
      <c r="T1470" s="487"/>
      <c r="U1470" s="488" t="str">
        <f t="shared" si="343"/>
        <v/>
      </c>
      <c r="V1470" s="487"/>
      <c r="W1470" s="489"/>
      <c r="X1470" s="488" t="str">
        <f t="shared" si="350"/>
        <v>631101810103</v>
      </c>
      <c r="Y1470" s="489">
        <v>631101810</v>
      </c>
      <c r="Z1470" s="489">
        <v>103</v>
      </c>
      <c r="AA1470" s="490" t="str">
        <f t="shared" si="349"/>
        <v/>
      </c>
      <c r="AB1470" s="489"/>
      <c r="AC1470" s="489"/>
      <c r="AD1470" s="27">
        <v>610067</v>
      </c>
      <c r="AE1470" s="27" t="s">
        <v>680</v>
      </c>
      <c r="AF1470" s="432">
        <f>VLOOKUP(AD1470,[5]Hoja1!$A$10:$K$1393,11,0)</f>
        <v>0</v>
      </c>
      <c r="AG1470" s="432"/>
      <c r="AH1470" s="432">
        <f t="shared" si="346"/>
        <v>0</v>
      </c>
      <c r="AL1470" s="448"/>
      <c r="AM1470" s="467">
        <f>VLOOKUP(AD1470,[6]BV201101!$A$10:$A$1236,1,0)</f>
        <v>610067</v>
      </c>
    </row>
    <row r="1471" spans="1:39" s="467" customFormat="1" ht="12.75" customHeight="1">
      <c r="A1471" s="487" t="str">
        <f t="shared" si="348"/>
        <v>6</v>
      </c>
      <c r="B1471" s="487" t="str">
        <f t="shared" si="335"/>
        <v>10</v>
      </c>
      <c r="C1471" s="487" t="str">
        <f t="shared" si="336"/>
        <v>06</v>
      </c>
      <c r="D1471" s="487" t="str">
        <f t="shared" si="337"/>
        <v>0068</v>
      </c>
      <c r="E1471" s="487">
        <v>531201100</v>
      </c>
      <c r="F1471" s="488" t="str">
        <f t="shared" si="338"/>
        <v/>
      </c>
      <c r="G1471" s="487"/>
      <c r="H1471" s="487"/>
      <c r="I1471" s="488" t="str">
        <f t="shared" si="339"/>
        <v/>
      </c>
      <c r="J1471" s="487"/>
      <c r="K1471" s="487"/>
      <c r="L1471" s="488" t="str">
        <f t="shared" si="340"/>
        <v/>
      </c>
      <c r="M1471" s="487"/>
      <c r="N1471" s="487"/>
      <c r="O1471" s="488" t="str">
        <f t="shared" si="341"/>
        <v/>
      </c>
      <c r="P1471" s="489"/>
      <c r="Q1471" s="489"/>
      <c r="R1471" s="592" t="str">
        <f t="shared" si="342"/>
        <v/>
      </c>
      <c r="S1471" s="487"/>
      <c r="T1471" s="487"/>
      <c r="U1471" s="488" t="str">
        <f t="shared" si="343"/>
        <v/>
      </c>
      <c r="V1471" s="487"/>
      <c r="W1471" s="489"/>
      <c r="X1471" s="488" t="str">
        <f t="shared" si="350"/>
        <v>631101810103</v>
      </c>
      <c r="Y1471" s="489">
        <v>631101810</v>
      </c>
      <c r="Z1471" s="489">
        <v>103</v>
      </c>
      <c r="AA1471" s="490" t="str">
        <f t="shared" si="349"/>
        <v/>
      </c>
      <c r="AB1471" s="489"/>
      <c r="AC1471" s="489"/>
      <c r="AD1471" s="27">
        <v>610068</v>
      </c>
      <c r="AE1471" s="27" t="s">
        <v>2442</v>
      </c>
      <c r="AF1471" s="432">
        <f>VLOOKUP(AD1471,[5]Hoja1!$A$10:$K$1393,11,0)</f>
        <v>24122279</v>
      </c>
      <c r="AG1471" s="432"/>
      <c r="AH1471" s="432">
        <f t="shared" si="346"/>
        <v>24122</v>
      </c>
      <c r="AL1471" s="448"/>
      <c r="AM1471" s="467">
        <f>VLOOKUP(AD1471,[6]BV201101!$A$10:$A$1236,1,0)</f>
        <v>610068</v>
      </c>
    </row>
    <row r="1472" spans="1:39" s="467" customFormat="1" ht="12.75" customHeight="1">
      <c r="A1472" s="487" t="str">
        <f t="shared" si="348"/>
        <v>6</v>
      </c>
      <c r="B1472" s="487" t="str">
        <f t="shared" si="335"/>
        <v>10</v>
      </c>
      <c r="C1472" s="487" t="str">
        <f t="shared" si="336"/>
        <v>06</v>
      </c>
      <c r="D1472" s="487" t="str">
        <f t="shared" si="337"/>
        <v>0069</v>
      </c>
      <c r="E1472" s="487">
        <v>531201100</v>
      </c>
      <c r="F1472" s="488" t="str">
        <f t="shared" si="338"/>
        <v/>
      </c>
      <c r="G1472" s="487"/>
      <c r="H1472" s="487"/>
      <c r="I1472" s="488" t="str">
        <f t="shared" si="339"/>
        <v/>
      </c>
      <c r="J1472" s="487"/>
      <c r="K1472" s="487"/>
      <c r="L1472" s="488" t="str">
        <f t="shared" si="340"/>
        <v/>
      </c>
      <c r="M1472" s="487"/>
      <c r="N1472" s="487"/>
      <c r="O1472" s="488" t="str">
        <f t="shared" si="341"/>
        <v/>
      </c>
      <c r="P1472" s="489"/>
      <c r="Q1472" s="489"/>
      <c r="R1472" s="592" t="str">
        <f t="shared" si="342"/>
        <v/>
      </c>
      <c r="S1472" s="487"/>
      <c r="T1472" s="487"/>
      <c r="U1472" s="488" t="str">
        <f t="shared" si="343"/>
        <v/>
      </c>
      <c r="V1472" s="487"/>
      <c r="W1472" s="489"/>
      <c r="X1472" s="488" t="str">
        <f t="shared" si="350"/>
        <v>631101810103</v>
      </c>
      <c r="Y1472" s="489">
        <v>631101810</v>
      </c>
      <c r="Z1472" s="489">
        <v>103</v>
      </c>
      <c r="AA1472" s="490" t="str">
        <f t="shared" si="349"/>
        <v/>
      </c>
      <c r="AB1472" s="489"/>
      <c r="AC1472" s="489"/>
      <c r="AD1472" s="27">
        <v>610069</v>
      </c>
      <c r="AE1472" s="27" t="s">
        <v>2443</v>
      </c>
      <c r="AF1472" s="432">
        <f>VLOOKUP(AD1472,[5]Hoja1!$A$10:$K$1393,11,0)</f>
        <v>55191379</v>
      </c>
      <c r="AG1472" s="432"/>
      <c r="AH1472" s="432">
        <f t="shared" si="346"/>
        <v>55191</v>
      </c>
      <c r="AL1472" s="448"/>
      <c r="AM1472" s="467">
        <f>VLOOKUP(AD1472,[6]BV201101!$A$10:$A$1236,1,0)</f>
        <v>610069</v>
      </c>
    </row>
    <row r="1473" spans="1:39" s="467" customFormat="1" ht="12.75" customHeight="1">
      <c r="A1473" s="487" t="str">
        <f t="shared" si="348"/>
        <v>6</v>
      </c>
      <c r="B1473" s="487" t="str">
        <f t="shared" si="335"/>
        <v>10</v>
      </c>
      <c r="C1473" s="487" t="str">
        <f t="shared" si="336"/>
        <v>07</v>
      </c>
      <c r="D1473" s="487" t="str">
        <f t="shared" si="337"/>
        <v>0070</v>
      </c>
      <c r="E1473" s="487">
        <v>531101810</v>
      </c>
      <c r="F1473" s="488" t="str">
        <f t="shared" si="338"/>
        <v/>
      </c>
      <c r="G1473" s="487"/>
      <c r="H1473" s="487"/>
      <c r="I1473" s="488" t="str">
        <f t="shared" si="339"/>
        <v/>
      </c>
      <c r="J1473" s="487"/>
      <c r="K1473" s="487"/>
      <c r="L1473" s="488" t="str">
        <f t="shared" si="340"/>
        <v/>
      </c>
      <c r="M1473" s="487"/>
      <c r="N1473" s="487"/>
      <c r="O1473" s="488" t="str">
        <f t="shared" si="341"/>
        <v/>
      </c>
      <c r="P1473" s="489"/>
      <c r="Q1473" s="489"/>
      <c r="R1473" s="592" t="str">
        <f t="shared" si="342"/>
        <v/>
      </c>
      <c r="S1473" s="487"/>
      <c r="T1473" s="487"/>
      <c r="U1473" s="488" t="str">
        <f t="shared" si="343"/>
        <v/>
      </c>
      <c r="V1473" s="487"/>
      <c r="W1473" s="489"/>
      <c r="X1473" s="488" t="str">
        <f t="shared" si="350"/>
        <v>631101810103</v>
      </c>
      <c r="Y1473" s="489">
        <v>631101810</v>
      </c>
      <c r="Z1473" s="489">
        <v>103</v>
      </c>
      <c r="AA1473" s="490" t="str">
        <f t="shared" si="349"/>
        <v/>
      </c>
      <c r="AB1473" s="489"/>
      <c r="AC1473" s="489"/>
      <c r="AD1473" s="27">
        <v>610070</v>
      </c>
      <c r="AE1473" s="27" t="s">
        <v>1692</v>
      </c>
      <c r="AF1473" s="432">
        <v>0</v>
      </c>
      <c r="AG1473" s="432"/>
      <c r="AH1473" s="432">
        <f t="shared" si="346"/>
        <v>0</v>
      </c>
      <c r="AL1473" s="448"/>
      <c r="AM1473" s="467" t="e">
        <f>VLOOKUP(AD1473,[6]BV201101!$A$10:$A$1236,1,0)</f>
        <v>#N/A</v>
      </c>
    </row>
    <row r="1474" spans="1:39" s="467" customFormat="1" ht="12.75" customHeight="1">
      <c r="A1474" s="487" t="str">
        <f t="shared" si="348"/>
        <v>6</v>
      </c>
      <c r="B1474" s="487" t="str">
        <f t="shared" si="335"/>
        <v>10</v>
      </c>
      <c r="C1474" s="487" t="str">
        <f t="shared" si="336"/>
        <v>07</v>
      </c>
      <c r="D1474" s="487" t="str">
        <f t="shared" si="337"/>
        <v>0071</v>
      </c>
      <c r="E1474" s="487">
        <v>531101810</v>
      </c>
      <c r="F1474" s="488" t="str">
        <f t="shared" si="338"/>
        <v/>
      </c>
      <c r="G1474" s="487"/>
      <c r="H1474" s="487"/>
      <c r="I1474" s="488" t="str">
        <f t="shared" si="339"/>
        <v/>
      </c>
      <c r="J1474" s="487"/>
      <c r="K1474" s="487"/>
      <c r="L1474" s="488" t="str">
        <f t="shared" si="340"/>
        <v/>
      </c>
      <c r="M1474" s="487"/>
      <c r="N1474" s="487"/>
      <c r="O1474" s="488" t="str">
        <f t="shared" si="341"/>
        <v/>
      </c>
      <c r="P1474" s="489"/>
      <c r="Q1474" s="489"/>
      <c r="R1474" s="592" t="str">
        <f t="shared" si="342"/>
        <v/>
      </c>
      <c r="S1474" s="487"/>
      <c r="T1474" s="487"/>
      <c r="U1474" s="488" t="str">
        <f t="shared" si="343"/>
        <v/>
      </c>
      <c r="V1474" s="487"/>
      <c r="W1474" s="489"/>
      <c r="X1474" s="488" t="str">
        <f t="shared" si="350"/>
        <v>631101810103</v>
      </c>
      <c r="Y1474" s="489">
        <v>631101810</v>
      </c>
      <c r="Z1474" s="489">
        <v>103</v>
      </c>
      <c r="AA1474" s="490" t="str">
        <f t="shared" si="349"/>
        <v/>
      </c>
      <c r="AB1474" s="489"/>
      <c r="AC1474" s="489"/>
      <c r="AD1474" s="27">
        <v>610071</v>
      </c>
      <c r="AE1474" s="27" t="s">
        <v>1189</v>
      </c>
      <c r="AF1474" s="432">
        <v>0</v>
      </c>
      <c r="AG1474" s="432"/>
      <c r="AH1474" s="432">
        <f t="shared" si="346"/>
        <v>0</v>
      </c>
      <c r="AL1474" s="448"/>
      <c r="AM1474" s="467" t="e">
        <f>VLOOKUP(AD1474,[6]BV201101!$A$10:$A$1236,1,0)</f>
        <v>#N/A</v>
      </c>
    </row>
    <row r="1475" spans="1:39" s="467" customFormat="1" ht="12.75" customHeight="1">
      <c r="A1475" s="487" t="str">
        <f t="shared" si="348"/>
        <v>6</v>
      </c>
      <c r="B1475" s="487" t="str">
        <f t="shared" si="335"/>
        <v>10</v>
      </c>
      <c r="C1475" s="487" t="str">
        <f t="shared" si="336"/>
        <v>07</v>
      </c>
      <c r="D1475" s="487" t="str">
        <f t="shared" si="337"/>
        <v>0072</v>
      </c>
      <c r="E1475" s="487">
        <v>531201100</v>
      </c>
      <c r="F1475" s="488" t="str">
        <f t="shared" si="338"/>
        <v/>
      </c>
      <c r="G1475" s="487"/>
      <c r="H1475" s="487"/>
      <c r="I1475" s="488" t="str">
        <f t="shared" si="339"/>
        <v/>
      </c>
      <c r="J1475" s="487"/>
      <c r="K1475" s="487"/>
      <c r="L1475" s="488" t="str">
        <f t="shared" si="340"/>
        <v/>
      </c>
      <c r="M1475" s="487"/>
      <c r="N1475" s="487"/>
      <c r="O1475" s="488" t="str">
        <f t="shared" si="341"/>
        <v/>
      </c>
      <c r="P1475" s="489"/>
      <c r="Q1475" s="489"/>
      <c r="R1475" s="592" t="str">
        <f t="shared" si="342"/>
        <v/>
      </c>
      <c r="S1475" s="487"/>
      <c r="T1475" s="487"/>
      <c r="U1475" s="488" t="str">
        <f t="shared" si="343"/>
        <v/>
      </c>
      <c r="V1475" s="487"/>
      <c r="W1475" s="489"/>
      <c r="X1475" s="488" t="str">
        <f t="shared" si="350"/>
        <v>631101810103</v>
      </c>
      <c r="Y1475" s="489">
        <v>631101810</v>
      </c>
      <c r="Z1475" s="489">
        <v>103</v>
      </c>
      <c r="AA1475" s="490" t="str">
        <f t="shared" si="349"/>
        <v/>
      </c>
      <c r="AB1475" s="489"/>
      <c r="AC1475" s="489"/>
      <c r="AD1475" s="27">
        <v>610072</v>
      </c>
      <c r="AE1475" s="27" t="s">
        <v>1299</v>
      </c>
      <c r="AF1475" s="432">
        <f>VLOOKUP(AD1475,[5]Hoja1!$A$10:$K$1393,11,0)</f>
        <v>9295576</v>
      </c>
      <c r="AG1475" s="432"/>
      <c r="AH1475" s="432">
        <f t="shared" si="346"/>
        <v>9296</v>
      </c>
      <c r="AL1475" s="448"/>
      <c r="AM1475" s="467">
        <f>VLOOKUP(AD1475,[6]BV201101!$A$10:$A$1236,1,0)</f>
        <v>610072</v>
      </c>
    </row>
    <row r="1476" spans="1:39" s="467" customFormat="1" ht="12.75" customHeight="1">
      <c r="A1476" s="487" t="str">
        <f t="shared" si="348"/>
        <v>6</v>
      </c>
      <c r="B1476" s="487" t="str">
        <f t="shared" si="335"/>
        <v>10</v>
      </c>
      <c r="C1476" s="487" t="str">
        <f t="shared" si="336"/>
        <v>07</v>
      </c>
      <c r="D1476" s="487" t="str">
        <f t="shared" si="337"/>
        <v>0073</v>
      </c>
      <c r="E1476" s="487">
        <v>531101810</v>
      </c>
      <c r="F1476" s="488" t="str">
        <f t="shared" si="338"/>
        <v/>
      </c>
      <c r="G1476" s="487"/>
      <c r="H1476" s="487"/>
      <c r="I1476" s="488" t="str">
        <f t="shared" si="339"/>
        <v/>
      </c>
      <c r="J1476" s="487"/>
      <c r="K1476" s="487"/>
      <c r="L1476" s="488" t="str">
        <f t="shared" si="340"/>
        <v/>
      </c>
      <c r="M1476" s="487"/>
      <c r="N1476" s="487"/>
      <c r="O1476" s="488" t="str">
        <f t="shared" si="341"/>
        <v/>
      </c>
      <c r="P1476" s="489"/>
      <c r="Q1476" s="489"/>
      <c r="R1476" s="592" t="str">
        <f t="shared" si="342"/>
        <v/>
      </c>
      <c r="S1476" s="487"/>
      <c r="T1476" s="487"/>
      <c r="U1476" s="488" t="str">
        <f t="shared" si="343"/>
        <v/>
      </c>
      <c r="V1476" s="487"/>
      <c r="W1476" s="489"/>
      <c r="X1476" s="488" t="str">
        <f t="shared" si="350"/>
        <v>631101810103</v>
      </c>
      <c r="Y1476" s="489">
        <v>631101810</v>
      </c>
      <c r="Z1476" s="489">
        <v>103</v>
      </c>
      <c r="AA1476" s="490" t="str">
        <f t="shared" si="349"/>
        <v/>
      </c>
      <c r="AB1476" s="489"/>
      <c r="AC1476" s="489"/>
      <c r="AD1476" s="27">
        <v>610073</v>
      </c>
      <c r="AE1476" s="27" t="s">
        <v>1415</v>
      </c>
      <c r="AF1476" s="432">
        <f>VLOOKUP(AD1476,[5]Hoja1!$A$10:$K$1393,11,0)</f>
        <v>0</v>
      </c>
      <c r="AG1476" s="432"/>
      <c r="AH1476" s="432">
        <f t="shared" si="346"/>
        <v>0</v>
      </c>
      <c r="AL1476" s="448"/>
      <c r="AM1476" s="467">
        <f>VLOOKUP(AD1476,[6]BV201101!$A$10:$A$1236,1,0)</f>
        <v>610073</v>
      </c>
    </row>
    <row r="1477" spans="1:39" s="467" customFormat="1" ht="12.75" customHeight="1">
      <c r="A1477" s="487" t="str">
        <f t="shared" si="348"/>
        <v>6</v>
      </c>
      <c r="B1477" s="487" t="str">
        <f t="shared" si="335"/>
        <v>10</v>
      </c>
      <c r="C1477" s="487" t="str">
        <f t="shared" si="336"/>
        <v>07</v>
      </c>
      <c r="D1477" s="487" t="str">
        <f t="shared" si="337"/>
        <v>0074</v>
      </c>
      <c r="E1477" s="487">
        <v>531101810</v>
      </c>
      <c r="F1477" s="488"/>
      <c r="G1477" s="487"/>
      <c r="H1477" s="487"/>
      <c r="I1477" s="488"/>
      <c r="J1477" s="487"/>
      <c r="K1477" s="487"/>
      <c r="L1477" s="488"/>
      <c r="M1477" s="487"/>
      <c r="N1477" s="487"/>
      <c r="O1477" s="488"/>
      <c r="P1477" s="489"/>
      <c r="Q1477" s="489"/>
      <c r="R1477" s="592"/>
      <c r="S1477" s="487"/>
      <c r="T1477" s="487"/>
      <c r="U1477" s="488"/>
      <c r="V1477" s="487"/>
      <c r="W1477" s="489"/>
      <c r="X1477" s="488" t="str">
        <f t="shared" si="350"/>
        <v>631101810103</v>
      </c>
      <c r="Y1477" s="489">
        <v>631101810</v>
      </c>
      <c r="Z1477" s="489">
        <v>103</v>
      </c>
      <c r="AA1477" s="490"/>
      <c r="AB1477" s="489"/>
      <c r="AC1477" s="489"/>
      <c r="AD1477" s="27">
        <v>610074</v>
      </c>
      <c r="AE1477" s="27" t="s">
        <v>2444</v>
      </c>
      <c r="AF1477" s="432">
        <v>0</v>
      </c>
      <c r="AG1477" s="432"/>
      <c r="AH1477" s="432">
        <f t="shared" si="346"/>
        <v>0</v>
      </c>
      <c r="AL1477" s="448"/>
      <c r="AM1477" s="467" t="e">
        <f>VLOOKUP(AD1477,[6]BV201101!$A$10:$A$1236,1,0)</f>
        <v>#N/A</v>
      </c>
    </row>
    <row r="1478" spans="1:39" s="467" customFormat="1" ht="12.75" customHeight="1">
      <c r="A1478" s="487" t="str">
        <f t="shared" si="348"/>
        <v>6</v>
      </c>
      <c r="B1478" s="487" t="str">
        <f t="shared" si="335"/>
        <v>10</v>
      </c>
      <c r="C1478" s="487" t="str">
        <f t="shared" si="336"/>
        <v>07</v>
      </c>
      <c r="D1478" s="487" t="str">
        <f t="shared" si="337"/>
        <v>0075</v>
      </c>
      <c r="E1478" s="487">
        <v>531201100</v>
      </c>
      <c r="F1478" s="488"/>
      <c r="G1478" s="487"/>
      <c r="H1478" s="487"/>
      <c r="I1478" s="488"/>
      <c r="J1478" s="487"/>
      <c r="K1478" s="487"/>
      <c r="L1478" s="488"/>
      <c r="M1478" s="487"/>
      <c r="N1478" s="487"/>
      <c r="O1478" s="488"/>
      <c r="P1478" s="489"/>
      <c r="Q1478" s="489"/>
      <c r="R1478" s="592"/>
      <c r="S1478" s="487"/>
      <c r="T1478" s="487"/>
      <c r="U1478" s="488"/>
      <c r="V1478" s="487"/>
      <c r="W1478" s="489"/>
      <c r="X1478" s="488" t="str">
        <f t="shared" si="350"/>
        <v>631101810103</v>
      </c>
      <c r="Y1478" s="489">
        <v>631101810</v>
      </c>
      <c r="Z1478" s="489">
        <v>103</v>
      </c>
      <c r="AA1478" s="490"/>
      <c r="AB1478" s="489"/>
      <c r="AC1478" s="489"/>
      <c r="AD1478" s="27">
        <v>610075</v>
      </c>
      <c r="AE1478" s="27" t="s">
        <v>530</v>
      </c>
      <c r="AF1478" s="432">
        <f>VLOOKUP(AD1478,[5]Hoja1!$A$10:$K$1393,11,0)</f>
        <v>60552922</v>
      </c>
      <c r="AG1478" s="432"/>
      <c r="AH1478" s="432">
        <f t="shared" si="346"/>
        <v>60553</v>
      </c>
      <c r="AL1478" s="448"/>
      <c r="AM1478" s="467">
        <f>VLOOKUP(AD1478,[6]BV201101!$A$10:$A$1236,1,0)</f>
        <v>610075</v>
      </c>
    </row>
    <row r="1479" spans="1:39" s="467" customFormat="1" ht="12.75" customHeight="1">
      <c r="A1479" s="487" t="str">
        <f t="shared" si="348"/>
        <v>6</v>
      </c>
      <c r="B1479" s="487" t="str">
        <f t="shared" si="335"/>
        <v>10</v>
      </c>
      <c r="C1479" s="487" t="str">
        <f t="shared" si="336"/>
        <v>07</v>
      </c>
      <c r="D1479" s="487" t="str">
        <f t="shared" si="337"/>
        <v>0076</v>
      </c>
      <c r="E1479" s="487">
        <v>531101810</v>
      </c>
      <c r="F1479" s="488"/>
      <c r="G1479" s="487"/>
      <c r="H1479" s="487"/>
      <c r="I1479" s="488"/>
      <c r="J1479" s="487"/>
      <c r="K1479" s="487"/>
      <c r="L1479" s="488"/>
      <c r="M1479" s="487"/>
      <c r="N1479" s="487"/>
      <c r="O1479" s="488"/>
      <c r="P1479" s="489"/>
      <c r="Q1479" s="489"/>
      <c r="R1479" s="592"/>
      <c r="S1479" s="487"/>
      <c r="T1479" s="487"/>
      <c r="U1479" s="488"/>
      <c r="V1479" s="487"/>
      <c r="W1479" s="489"/>
      <c r="X1479" s="488" t="str">
        <f t="shared" ref="X1479:X1490" si="351">+Y1479&amp;Z1479</f>
        <v>631101810103</v>
      </c>
      <c r="Y1479" s="489">
        <v>631101810</v>
      </c>
      <c r="Z1479" s="489">
        <v>103</v>
      </c>
      <c r="AA1479" s="490"/>
      <c r="AB1479" s="489"/>
      <c r="AC1479" s="489"/>
      <c r="AD1479" s="591">
        <v>610076</v>
      </c>
      <c r="AE1479" s="27" t="s">
        <v>2445</v>
      </c>
      <c r="AF1479" s="432">
        <f>VLOOKUP(AD1479,[5]Hoja1!$A$10:$K$1393,11,0)</f>
        <v>42563117</v>
      </c>
      <c r="AG1479" s="680">
        <v>0</v>
      </c>
      <c r="AH1479" s="432">
        <f t="shared" si="346"/>
        <v>42563</v>
      </c>
      <c r="AL1479" s="448"/>
      <c r="AM1479" s="467">
        <f>VLOOKUP(AD1479,[6]BV201101!$A$10:$A$1236,1,0)</f>
        <v>610076</v>
      </c>
    </row>
    <row r="1480" spans="1:39" s="467" customFormat="1" ht="12.75" customHeight="1">
      <c r="A1480" s="487" t="str">
        <f t="shared" si="348"/>
        <v>6</v>
      </c>
      <c r="B1480" s="487" t="str">
        <f t="shared" si="335"/>
        <v>10</v>
      </c>
      <c r="C1480" s="487" t="str">
        <f t="shared" si="336"/>
        <v>07</v>
      </c>
      <c r="D1480" s="487" t="str">
        <f t="shared" si="337"/>
        <v>0077</v>
      </c>
      <c r="E1480" s="487">
        <v>531101810</v>
      </c>
      <c r="F1480" s="488"/>
      <c r="G1480" s="487"/>
      <c r="H1480" s="487"/>
      <c r="I1480" s="488"/>
      <c r="J1480" s="487"/>
      <c r="K1480" s="487"/>
      <c r="L1480" s="488"/>
      <c r="M1480" s="487"/>
      <c r="N1480" s="487"/>
      <c r="O1480" s="488"/>
      <c r="P1480" s="489"/>
      <c r="Q1480" s="489"/>
      <c r="R1480" s="592"/>
      <c r="S1480" s="487"/>
      <c r="T1480" s="487"/>
      <c r="U1480" s="488"/>
      <c r="V1480" s="487"/>
      <c r="W1480" s="489"/>
      <c r="X1480" s="488" t="str">
        <f t="shared" si="351"/>
        <v>631101810103</v>
      </c>
      <c r="Y1480" s="489">
        <v>631101810</v>
      </c>
      <c r="Z1480" s="489">
        <v>103</v>
      </c>
      <c r="AA1480" s="490"/>
      <c r="AB1480" s="489"/>
      <c r="AC1480" s="489"/>
      <c r="AD1480" s="591">
        <v>610077</v>
      </c>
      <c r="AE1480" s="27" t="s">
        <v>2446</v>
      </c>
      <c r="AF1480" s="432">
        <f>VLOOKUP(AD1480,[5]Hoja1!$A$10:$K$1393,11,0)</f>
        <v>293419324</v>
      </c>
      <c r="AG1480" s="432"/>
      <c r="AH1480" s="432">
        <f t="shared" si="346"/>
        <v>293419</v>
      </c>
      <c r="AL1480" s="448"/>
      <c r="AM1480" s="467">
        <f>VLOOKUP(AD1480,[6]BV201101!$A$10:$A$1236,1,0)</f>
        <v>610077</v>
      </c>
    </row>
    <row r="1481" spans="1:39" s="467" customFormat="1" ht="12.75" customHeight="1">
      <c r="A1481" s="487" t="str">
        <f t="shared" si="348"/>
        <v>6</v>
      </c>
      <c r="B1481" s="487" t="str">
        <f t="shared" si="335"/>
        <v>10</v>
      </c>
      <c r="C1481" s="487" t="str">
        <f t="shared" si="336"/>
        <v>07</v>
      </c>
      <c r="D1481" s="487" t="str">
        <f t="shared" si="337"/>
        <v>0078</v>
      </c>
      <c r="E1481" s="487">
        <v>531101810</v>
      </c>
      <c r="F1481" s="488"/>
      <c r="G1481" s="487"/>
      <c r="H1481" s="487"/>
      <c r="I1481" s="488"/>
      <c r="J1481" s="487"/>
      <c r="K1481" s="487"/>
      <c r="L1481" s="488"/>
      <c r="M1481" s="487"/>
      <c r="N1481" s="487"/>
      <c r="O1481" s="488"/>
      <c r="P1481" s="489"/>
      <c r="Q1481" s="489"/>
      <c r="R1481" s="592"/>
      <c r="S1481" s="487"/>
      <c r="T1481" s="487"/>
      <c r="U1481" s="488"/>
      <c r="V1481" s="487"/>
      <c r="W1481" s="489"/>
      <c r="X1481" s="488" t="str">
        <f t="shared" si="351"/>
        <v>631101810103</v>
      </c>
      <c r="Y1481" s="489">
        <v>631101810</v>
      </c>
      <c r="Z1481" s="489">
        <v>103</v>
      </c>
      <c r="AA1481" s="490"/>
      <c r="AB1481" s="489"/>
      <c r="AC1481" s="489"/>
      <c r="AD1481" s="591">
        <v>610078</v>
      </c>
      <c r="AE1481" s="27" t="s">
        <v>2447</v>
      </c>
      <c r="AF1481" s="432">
        <f>VLOOKUP(AD1481,[5]Hoja1!$A$10:$K$1393,11,0)</f>
        <v>19854500</v>
      </c>
      <c r="AG1481" s="432"/>
      <c r="AH1481" s="432">
        <f t="shared" si="346"/>
        <v>19855</v>
      </c>
      <c r="AL1481" s="448"/>
      <c r="AM1481" s="467">
        <f>VLOOKUP(AD1481,[6]BV201101!$A$10:$A$1236,1,0)</f>
        <v>610078</v>
      </c>
    </row>
    <row r="1482" spans="1:39" s="467" customFormat="1" ht="12.75" customHeight="1">
      <c r="A1482" s="487" t="str">
        <f t="shared" si="348"/>
        <v>6</v>
      </c>
      <c r="B1482" s="487" t="str">
        <f t="shared" si="335"/>
        <v>10</v>
      </c>
      <c r="C1482" s="487" t="str">
        <f t="shared" si="336"/>
        <v>07</v>
      </c>
      <c r="D1482" s="487" t="str">
        <f t="shared" si="337"/>
        <v>0079</v>
      </c>
      <c r="E1482" s="487">
        <v>531101810</v>
      </c>
      <c r="F1482" s="488"/>
      <c r="G1482" s="487"/>
      <c r="H1482" s="487"/>
      <c r="I1482" s="488"/>
      <c r="J1482" s="487"/>
      <c r="K1482" s="487"/>
      <c r="L1482" s="488"/>
      <c r="M1482" s="487"/>
      <c r="N1482" s="487"/>
      <c r="O1482" s="488"/>
      <c r="P1482" s="489"/>
      <c r="Q1482" s="489"/>
      <c r="R1482" s="592"/>
      <c r="S1482" s="487"/>
      <c r="T1482" s="487"/>
      <c r="U1482" s="488"/>
      <c r="V1482" s="487"/>
      <c r="W1482" s="489"/>
      <c r="X1482" s="488" t="str">
        <f t="shared" si="351"/>
        <v>631101810103</v>
      </c>
      <c r="Y1482" s="489">
        <v>631101810</v>
      </c>
      <c r="Z1482" s="489">
        <v>103</v>
      </c>
      <c r="AA1482" s="490"/>
      <c r="AB1482" s="489"/>
      <c r="AC1482" s="489"/>
      <c r="AD1482" s="591">
        <v>610079</v>
      </c>
      <c r="AE1482" s="27" t="s">
        <v>304</v>
      </c>
      <c r="AF1482" s="432">
        <f>VLOOKUP(AD1482,[5]Hoja1!$A$10:$K$1393,11,0)</f>
        <v>2050068</v>
      </c>
      <c r="AG1482" s="432"/>
      <c r="AH1482" s="432">
        <f t="shared" si="346"/>
        <v>2050</v>
      </c>
      <c r="AL1482" s="448"/>
      <c r="AM1482" s="467">
        <f>VLOOKUP(AD1482,[6]BV201101!$A$10:$A$1236,1,0)</f>
        <v>610079</v>
      </c>
    </row>
    <row r="1483" spans="1:39" s="467" customFormat="1" ht="12.75" customHeight="1">
      <c r="A1483" s="487" t="str">
        <f t="shared" si="348"/>
        <v>6</v>
      </c>
      <c r="B1483" s="487" t="str">
        <f t="shared" si="335"/>
        <v>10</v>
      </c>
      <c r="C1483" s="487" t="str">
        <f t="shared" si="336"/>
        <v>08</v>
      </c>
      <c r="D1483" s="487" t="str">
        <f t="shared" si="337"/>
        <v>0080</v>
      </c>
      <c r="E1483" s="487">
        <v>531101810</v>
      </c>
      <c r="F1483" s="488"/>
      <c r="G1483" s="487"/>
      <c r="H1483" s="487"/>
      <c r="I1483" s="488"/>
      <c r="J1483" s="487"/>
      <c r="K1483" s="487"/>
      <c r="L1483" s="488"/>
      <c r="M1483" s="487"/>
      <c r="N1483" s="487"/>
      <c r="O1483" s="488"/>
      <c r="P1483" s="489"/>
      <c r="Q1483" s="489"/>
      <c r="R1483" s="592"/>
      <c r="S1483" s="487"/>
      <c r="T1483" s="487"/>
      <c r="U1483" s="488"/>
      <c r="V1483" s="487"/>
      <c r="W1483" s="489"/>
      <c r="X1483" s="488" t="str">
        <f t="shared" si="351"/>
        <v>631101810103</v>
      </c>
      <c r="Y1483" s="489">
        <v>631101810</v>
      </c>
      <c r="Z1483" s="489">
        <v>103</v>
      </c>
      <c r="AA1483" s="490"/>
      <c r="AB1483" s="489"/>
      <c r="AC1483" s="489"/>
      <c r="AD1483" s="591">
        <v>610080</v>
      </c>
      <c r="AE1483" s="27" t="s">
        <v>305</v>
      </c>
      <c r="AF1483" s="432">
        <f>VLOOKUP(AD1483,[5]Hoja1!$A$10:$K$1393,11,0)</f>
        <v>97580548</v>
      </c>
      <c r="AG1483" s="432"/>
      <c r="AH1483" s="432">
        <f t="shared" si="346"/>
        <v>97581</v>
      </c>
      <c r="AL1483" s="448"/>
      <c r="AM1483" s="467">
        <f>VLOOKUP(AD1483,[6]BV201101!$A$10:$A$1236,1,0)</f>
        <v>610080</v>
      </c>
    </row>
    <row r="1484" spans="1:39" s="467" customFormat="1" ht="12.75" customHeight="1">
      <c r="A1484" s="487" t="str">
        <f t="shared" si="348"/>
        <v>6</v>
      </c>
      <c r="B1484" s="487" t="str">
        <f t="shared" si="335"/>
        <v>10</v>
      </c>
      <c r="C1484" s="487" t="str">
        <f t="shared" si="336"/>
        <v>08</v>
      </c>
      <c r="D1484" s="487" t="str">
        <f t="shared" si="337"/>
        <v>0081</v>
      </c>
      <c r="E1484" s="487">
        <v>531101810</v>
      </c>
      <c r="F1484" s="488"/>
      <c r="G1484" s="487"/>
      <c r="H1484" s="487"/>
      <c r="I1484" s="488"/>
      <c r="J1484" s="487"/>
      <c r="K1484" s="487"/>
      <c r="L1484" s="488"/>
      <c r="M1484" s="487"/>
      <c r="N1484" s="487"/>
      <c r="O1484" s="488"/>
      <c r="P1484" s="489"/>
      <c r="Q1484" s="489"/>
      <c r="R1484" s="592"/>
      <c r="S1484" s="487"/>
      <c r="T1484" s="487"/>
      <c r="U1484" s="488"/>
      <c r="V1484" s="487"/>
      <c r="W1484" s="489"/>
      <c r="X1484" s="488" t="str">
        <f>+Y1484&amp;Z1484</f>
        <v>631101810103</v>
      </c>
      <c r="Y1484" s="489">
        <v>631101810</v>
      </c>
      <c r="Z1484" s="489">
        <v>103</v>
      </c>
      <c r="AA1484" s="490"/>
      <c r="AB1484" s="489"/>
      <c r="AC1484" s="489"/>
      <c r="AD1484" s="591">
        <v>610081</v>
      </c>
      <c r="AE1484" s="27" t="s">
        <v>1501</v>
      </c>
      <c r="AF1484" s="432">
        <f>VLOOKUP(AD1484,[5]Hoja1!$A$10:$K$1393,11,0)</f>
        <v>22666307</v>
      </c>
      <c r="AG1484" s="432"/>
      <c r="AH1484" s="432">
        <f t="shared" si="346"/>
        <v>22666</v>
      </c>
      <c r="AL1484" s="448"/>
      <c r="AM1484" s="467">
        <f>VLOOKUP(AD1484,[6]BV201101!$A$10:$A$1236,1,0)</f>
        <v>610081</v>
      </c>
    </row>
    <row r="1485" spans="1:39" s="467" customFormat="1" ht="12.75" customHeight="1">
      <c r="A1485" s="487" t="str">
        <f t="shared" si="348"/>
        <v>6</v>
      </c>
      <c r="B1485" s="487" t="str">
        <f t="shared" si="335"/>
        <v>10</v>
      </c>
      <c r="C1485" s="487" t="str">
        <f t="shared" si="336"/>
        <v>08</v>
      </c>
      <c r="D1485" s="487" t="str">
        <f t="shared" si="337"/>
        <v>0082</v>
      </c>
      <c r="E1485" s="487">
        <v>531101810</v>
      </c>
      <c r="F1485" s="488"/>
      <c r="G1485" s="487"/>
      <c r="H1485" s="487"/>
      <c r="I1485" s="488"/>
      <c r="J1485" s="487"/>
      <c r="K1485" s="487"/>
      <c r="L1485" s="488"/>
      <c r="M1485" s="487"/>
      <c r="N1485" s="487"/>
      <c r="O1485" s="488"/>
      <c r="P1485" s="489"/>
      <c r="Q1485" s="489"/>
      <c r="R1485" s="592"/>
      <c r="S1485" s="487"/>
      <c r="T1485" s="487"/>
      <c r="U1485" s="488"/>
      <c r="V1485" s="487"/>
      <c r="W1485" s="489"/>
      <c r="X1485" s="488" t="str">
        <f t="shared" si="351"/>
        <v>631101810103</v>
      </c>
      <c r="Y1485" s="489">
        <v>631101810</v>
      </c>
      <c r="Z1485" s="489">
        <v>103</v>
      </c>
      <c r="AA1485" s="490"/>
      <c r="AB1485" s="489"/>
      <c r="AC1485" s="489"/>
      <c r="AD1485" s="591">
        <v>610082</v>
      </c>
      <c r="AE1485" s="27" t="s">
        <v>306</v>
      </c>
      <c r="AF1485" s="432">
        <f>VLOOKUP(AD1485,[5]Hoja1!$A$10:$K$1393,11,0)</f>
        <v>54697833</v>
      </c>
      <c r="AG1485" s="432"/>
      <c r="AH1485" s="432">
        <f t="shared" si="346"/>
        <v>54698</v>
      </c>
      <c r="AL1485" s="448"/>
      <c r="AM1485" s="467">
        <f>VLOOKUP(AD1485,[6]BV201101!$A$10:$A$1236,1,0)</f>
        <v>610082</v>
      </c>
    </row>
    <row r="1486" spans="1:39" s="467" customFormat="1" ht="12.75" customHeight="1">
      <c r="A1486" s="487" t="str">
        <f t="shared" si="348"/>
        <v>6</v>
      </c>
      <c r="B1486" s="487" t="str">
        <f t="shared" si="335"/>
        <v>10</v>
      </c>
      <c r="C1486" s="487" t="str">
        <f t="shared" si="336"/>
        <v>08</v>
      </c>
      <c r="D1486" s="487" t="str">
        <f t="shared" si="337"/>
        <v>0083</v>
      </c>
      <c r="E1486" s="487">
        <v>531101810</v>
      </c>
      <c r="F1486" s="488"/>
      <c r="G1486" s="487"/>
      <c r="H1486" s="487"/>
      <c r="I1486" s="488"/>
      <c r="J1486" s="487"/>
      <c r="K1486" s="487"/>
      <c r="L1486" s="488"/>
      <c r="M1486" s="487"/>
      <c r="N1486" s="487"/>
      <c r="O1486" s="488"/>
      <c r="P1486" s="489"/>
      <c r="Q1486" s="489"/>
      <c r="R1486" s="592"/>
      <c r="S1486" s="487"/>
      <c r="T1486" s="487"/>
      <c r="U1486" s="488"/>
      <c r="V1486" s="487"/>
      <c r="W1486" s="489"/>
      <c r="X1486" s="488" t="str">
        <f t="shared" si="351"/>
        <v>631101810103</v>
      </c>
      <c r="Y1486" s="489">
        <v>631101810</v>
      </c>
      <c r="Z1486" s="489">
        <v>103</v>
      </c>
      <c r="AA1486" s="490"/>
      <c r="AB1486" s="489"/>
      <c r="AC1486" s="489"/>
      <c r="AD1486" s="591">
        <v>610083</v>
      </c>
      <c r="AE1486" s="27" t="s">
        <v>307</v>
      </c>
      <c r="AF1486" s="432">
        <f>VLOOKUP(AD1486,[5]Hoja1!$A$10:$K$1393,11,0)</f>
        <v>102816882</v>
      </c>
      <c r="AG1486" s="432"/>
      <c r="AH1486" s="432">
        <f t="shared" si="346"/>
        <v>102817</v>
      </c>
      <c r="AL1486" s="448"/>
      <c r="AM1486" s="467">
        <f>VLOOKUP(AD1486,[6]BV201101!$A$10:$A$1236,1,0)</f>
        <v>610083</v>
      </c>
    </row>
    <row r="1487" spans="1:39" s="467" customFormat="1" ht="12.75" customHeight="1">
      <c r="A1487" s="487" t="str">
        <f t="shared" si="348"/>
        <v>6</v>
      </c>
      <c r="B1487" s="487" t="str">
        <f t="shared" si="335"/>
        <v>10</v>
      </c>
      <c r="C1487" s="487" t="str">
        <f t="shared" si="336"/>
        <v>08</v>
      </c>
      <c r="D1487" s="487" t="str">
        <f t="shared" si="337"/>
        <v>0084</v>
      </c>
      <c r="E1487" s="487">
        <v>531101810</v>
      </c>
      <c r="F1487" s="488"/>
      <c r="G1487" s="487"/>
      <c r="H1487" s="487"/>
      <c r="I1487" s="488"/>
      <c r="J1487" s="487"/>
      <c r="K1487" s="487"/>
      <c r="L1487" s="488"/>
      <c r="M1487" s="487"/>
      <c r="N1487" s="487"/>
      <c r="O1487" s="488"/>
      <c r="P1487" s="489"/>
      <c r="Q1487" s="489"/>
      <c r="R1487" s="592"/>
      <c r="S1487" s="487"/>
      <c r="T1487" s="487"/>
      <c r="U1487" s="488"/>
      <c r="V1487" s="487"/>
      <c r="W1487" s="489"/>
      <c r="X1487" s="488" t="str">
        <f>+Y1487&amp;Z1487</f>
        <v>631101810103</v>
      </c>
      <c r="Y1487" s="489">
        <v>631101810</v>
      </c>
      <c r="Z1487" s="489">
        <v>103</v>
      </c>
      <c r="AA1487" s="490"/>
      <c r="AB1487" s="489"/>
      <c r="AC1487" s="489"/>
      <c r="AD1487" s="591">
        <v>610084</v>
      </c>
      <c r="AE1487" s="27" t="s">
        <v>48</v>
      </c>
      <c r="AF1487" s="432">
        <f>VLOOKUP(AD1487,[5]Hoja1!$A$10:$K$1393,11,0)</f>
        <v>0</v>
      </c>
      <c r="AG1487" s="432"/>
      <c r="AH1487" s="432">
        <f t="shared" si="346"/>
        <v>0</v>
      </c>
      <c r="AL1487" s="448"/>
      <c r="AM1487" s="467">
        <f>VLOOKUP(AD1487,[6]BV201101!$A$10:$A$1236,1,0)</f>
        <v>610084</v>
      </c>
    </row>
    <row r="1488" spans="1:39" s="467" customFormat="1" ht="12.75" customHeight="1">
      <c r="A1488" s="487" t="str">
        <f t="shared" si="348"/>
        <v>6</v>
      </c>
      <c r="B1488" s="487" t="str">
        <f t="shared" si="335"/>
        <v>10</v>
      </c>
      <c r="C1488" s="487" t="str">
        <f t="shared" si="336"/>
        <v>08</v>
      </c>
      <c r="D1488" s="487" t="str">
        <f t="shared" si="337"/>
        <v>0085</v>
      </c>
      <c r="E1488" s="487">
        <v>531101810</v>
      </c>
      <c r="F1488" s="488"/>
      <c r="G1488" s="487"/>
      <c r="H1488" s="487"/>
      <c r="I1488" s="488"/>
      <c r="J1488" s="487"/>
      <c r="K1488" s="487"/>
      <c r="L1488" s="488"/>
      <c r="M1488" s="487"/>
      <c r="N1488" s="487"/>
      <c r="O1488" s="488"/>
      <c r="P1488" s="489"/>
      <c r="Q1488" s="489"/>
      <c r="R1488" s="592"/>
      <c r="S1488" s="487"/>
      <c r="T1488" s="487"/>
      <c r="U1488" s="488"/>
      <c r="V1488" s="487"/>
      <c r="W1488" s="489"/>
      <c r="X1488" s="488" t="str">
        <f t="shared" si="351"/>
        <v>631101810103</v>
      </c>
      <c r="Y1488" s="489">
        <v>631101810</v>
      </c>
      <c r="Z1488" s="489">
        <v>103</v>
      </c>
      <c r="AA1488" s="490"/>
      <c r="AB1488" s="489"/>
      <c r="AC1488" s="489"/>
      <c r="AD1488" s="591">
        <v>610085</v>
      </c>
      <c r="AE1488" s="27" t="s">
        <v>2448</v>
      </c>
      <c r="AF1488" s="432">
        <f>VLOOKUP(AD1488,[5]Hoja1!$A$10:$K$1393,11,0)</f>
        <v>75616277</v>
      </c>
      <c r="AG1488" s="432"/>
      <c r="AH1488" s="432">
        <f t="shared" si="346"/>
        <v>75616</v>
      </c>
      <c r="AL1488" s="448"/>
      <c r="AM1488" s="467">
        <f>VLOOKUP(AD1488,[6]BV201101!$A$10:$A$1236,1,0)</f>
        <v>610085</v>
      </c>
    </row>
    <row r="1489" spans="1:39" s="467" customFormat="1" ht="12.75" customHeight="1">
      <c r="A1489" s="487" t="str">
        <f t="shared" si="348"/>
        <v>6</v>
      </c>
      <c r="B1489" s="487" t="str">
        <f t="shared" si="335"/>
        <v>10</v>
      </c>
      <c r="C1489" s="487" t="str">
        <f t="shared" si="336"/>
        <v>08</v>
      </c>
      <c r="D1489" s="487" t="str">
        <f t="shared" si="337"/>
        <v>0086</v>
      </c>
      <c r="E1489" s="487">
        <v>531101810</v>
      </c>
      <c r="F1489" s="488"/>
      <c r="G1489" s="487"/>
      <c r="H1489" s="487"/>
      <c r="I1489" s="488"/>
      <c r="J1489" s="487"/>
      <c r="K1489" s="487"/>
      <c r="L1489" s="488"/>
      <c r="M1489" s="487"/>
      <c r="N1489" s="487"/>
      <c r="O1489" s="488"/>
      <c r="P1489" s="489"/>
      <c r="Q1489" s="489"/>
      <c r="R1489" s="592"/>
      <c r="S1489" s="487"/>
      <c r="T1489" s="487"/>
      <c r="U1489" s="488"/>
      <c r="V1489" s="487"/>
      <c r="W1489" s="489"/>
      <c r="X1489" s="488" t="str">
        <f>+Y1489&amp;Z1489</f>
        <v>631101810103</v>
      </c>
      <c r="Y1489" s="489">
        <v>631101810</v>
      </c>
      <c r="Z1489" s="489">
        <v>103</v>
      </c>
      <c r="AA1489" s="490"/>
      <c r="AB1489" s="489"/>
      <c r="AC1489" s="489"/>
      <c r="AD1489" s="591">
        <v>610086</v>
      </c>
      <c r="AE1489" s="27" t="s">
        <v>2449</v>
      </c>
      <c r="AF1489" s="432">
        <f>VLOOKUP(AD1489,[5]Hoja1!$A$10:$K$1393,11,0)</f>
        <v>827500</v>
      </c>
      <c r="AG1489" s="432"/>
      <c r="AH1489" s="432">
        <f t="shared" si="346"/>
        <v>828</v>
      </c>
      <c r="AL1489" s="448"/>
      <c r="AM1489" s="467">
        <f>VLOOKUP(AD1489,[6]BV201101!$A$10:$A$1236,1,0)</f>
        <v>610086</v>
      </c>
    </row>
    <row r="1490" spans="1:39" s="467" customFormat="1" ht="12.75" customHeight="1">
      <c r="A1490" s="487" t="str">
        <f t="shared" si="348"/>
        <v>6</v>
      </c>
      <c r="B1490" s="487" t="str">
        <f t="shared" si="335"/>
        <v>10</v>
      </c>
      <c r="C1490" s="487" t="str">
        <f t="shared" si="336"/>
        <v>08</v>
      </c>
      <c r="D1490" s="487" t="str">
        <f t="shared" si="337"/>
        <v>0087</v>
      </c>
      <c r="E1490" s="487">
        <v>531101810</v>
      </c>
      <c r="F1490" s="488"/>
      <c r="G1490" s="487"/>
      <c r="H1490" s="487"/>
      <c r="I1490" s="488"/>
      <c r="J1490" s="487"/>
      <c r="K1490" s="487"/>
      <c r="L1490" s="488"/>
      <c r="M1490" s="487"/>
      <c r="N1490" s="487"/>
      <c r="O1490" s="488"/>
      <c r="P1490" s="489"/>
      <c r="Q1490" s="489"/>
      <c r="R1490" s="592"/>
      <c r="S1490" s="487"/>
      <c r="T1490" s="487"/>
      <c r="U1490" s="488"/>
      <c r="V1490" s="487"/>
      <c r="W1490" s="489"/>
      <c r="X1490" s="488" t="str">
        <f t="shared" si="351"/>
        <v>631101810103</v>
      </c>
      <c r="Y1490" s="489">
        <v>631101810</v>
      </c>
      <c r="Z1490" s="489">
        <v>103</v>
      </c>
      <c r="AA1490" s="490"/>
      <c r="AB1490" s="489"/>
      <c r="AC1490" s="489"/>
      <c r="AD1490" s="591">
        <v>610087</v>
      </c>
      <c r="AE1490" s="27" t="s">
        <v>2450</v>
      </c>
      <c r="AF1490" s="432">
        <f>VLOOKUP(AD1490,[5]Hoja1!$A$10:$K$1393,11,0)</f>
        <v>534684158</v>
      </c>
      <c r="AG1490" s="432"/>
      <c r="AH1490" s="432">
        <f t="shared" si="346"/>
        <v>534684</v>
      </c>
      <c r="AL1490" s="448"/>
      <c r="AM1490" s="467">
        <f>VLOOKUP(AD1490,[6]BV201101!$A$10:$A$1236,1,0)</f>
        <v>610087</v>
      </c>
    </row>
    <row r="1491" spans="1:39" s="467" customFormat="1" ht="12.75" customHeight="1">
      <c r="A1491" s="487" t="str">
        <f t="shared" si="348"/>
        <v>6</v>
      </c>
      <c r="B1491" s="487" t="str">
        <f t="shared" si="335"/>
        <v>10</v>
      </c>
      <c r="C1491" s="487" t="str">
        <f t="shared" si="336"/>
        <v>08</v>
      </c>
      <c r="D1491" s="487" t="str">
        <f t="shared" si="337"/>
        <v>0088</v>
      </c>
      <c r="E1491" s="487">
        <v>531101810</v>
      </c>
      <c r="F1491" s="488"/>
      <c r="G1491" s="487"/>
      <c r="H1491" s="487"/>
      <c r="I1491" s="488"/>
      <c r="J1491" s="487"/>
      <c r="K1491" s="487"/>
      <c r="L1491" s="488"/>
      <c r="M1491" s="487"/>
      <c r="N1491" s="487"/>
      <c r="O1491" s="488"/>
      <c r="P1491" s="489"/>
      <c r="Q1491" s="489"/>
      <c r="R1491" s="592"/>
      <c r="S1491" s="487"/>
      <c r="T1491" s="487"/>
      <c r="U1491" s="488"/>
      <c r="V1491" s="487"/>
      <c r="W1491" s="489"/>
      <c r="X1491" s="488" t="str">
        <f>+Y1491&amp;Z1491</f>
        <v>631101810103</v>
      </c>
      <c r="Y1491" s="489">
        <v>631101810</v>
      </c>
      <c r="Z1491" s="489">
        <v>103</v>
      </c>
      <c r="AA1491" s="490"/>
      <c r="AB1491" s="489"/>
      <c r="AC1491" s="489"/>
      <c r="AD1491" s="591">
        <v>610088</v>
      </c>
      <c r="AE1491" s="27" t="s">
        <v>49</v>
      </c>
      <c r="AF1491" s="432">
        <f>VLOOKUP(AD1491,[5]Hoja1!$A$10:$K$1393,11,0)</f>
        <v>110400082</v>
      </c>
      <c r="AG1491" s="432"/>
      <c r="AH1491" s="432">
        <f t="shared" si="346"/>
        <v>110400</v>
      </c>
      <c r="AL1491" s="448"/>
      <c r="AM1491" s="467">
        <f>VLOOKUP(AD1491,[6]BV201101!$A$10:$A$1236,1,0)</f>
        <v>610088</v>
      </c>
    </row>
    <row r="1492" spans="1:39" s="467" customFormat="1" ht="12.75" customHeight="1">
      <c r="A1492" s="487" t="str">
        <f t="shared" si="348"/>
        <v>6</v>
      </c>
      <c r="B1492" s="487" t="str">
        <f t="shared" si="335"/>
        <v>10</v>
      </c>
      <c r="C1492" s="487" t="str">
        <f t="shared" si="336"/>
        <v>08</v>
      </c>
      <c r="D1492" s="487" t="str">
        <f t="shared" si="337"/>
        <v>0089</v>
      </c>
      <c r="E1492" s="487">
        <v>531101810</v>
      </c>
      <c r="F1492" s="488"/>
      <c r="G1492" s="487"/>
      <c r="H1492" s="487"/>
      <c r="I1492" s="488"/>
      <c r="J1492" s="487"/>
      <c r="K1492" s="487"/>
      <c r="L1492" s="488"/>
      <c r="M1492" s="487"/>
      <c r="N1492" s="487"/>
      <c r="O1492" s="488"/>
      <c r="P1492" s="489"/>
      <c r="Q1492" s="489"/>
      <c r="R1492" s="592"/>
      <c r="S1492" s="487"/>
      <c r="T1492" s="487"/>
      <c r="U1492" s="488"/>
      <c r="V1492" s="487"/>
      <c r="W1492" s="489"/>
      <c r="X1492" s="488"/>
      <c r="Y1492" s="489"/>
      <c r="Z1492" s="489"/>
      <c r="AA1492" s="490"/>
      <c r="AB1492" s="489"/>
      <c r="AC1492" s="489"/>
      <c r="AD1492" s="591">
        <v>610089</v>
      </c>
      <c r="AE1492" s="27" t="s">
        <v>2451</v>
      </c>
      <c r="AF1492" s="432">
        <f>VLOOKUP(AD1492,[5]Hoja1!$A$10:$K$1393,11,0)</f>
        <v>33990160</v>
      </c>
      <c r="AG1492" s="432"/>
      <c r="AH1492" s="432">
        <f t="shared" si="346"/>
        <v>33990</v>
      </c>
      <c r="AL1492" s="448"/>
      <c r="AM1492" s="467">
        <f>VLOOKUP(AD1492,[6]BV201101!$A$10:$A$1236,1,0)</f>
        <v>610089</v>
      </c>
    </row>
    <row r="1493" spans="1:39" s="467" customFormat="1" ht="12.75" customHeight="1">
      <c r="A1493" s="487" t="str">
        <f t="shared" si="348"/>
        <v>6</v>
      </c>
      <c r="B1493" s="487" t="str">
        <f t="shared" si="335"/>
        <v>10</v>
      </c>
      <c r="C1493" s="487" t="str">
        <f t="shared" si="336"/>
        <v>09</v>
      </c>
      <c r="D1493" s="487" t="str">
        <f t="shared" si="337"/>
        <v>0090</v>
      </c>
      <c r="E1493" s="487">
        <v>531101810</v>
      </c>
      <c r="F1493" s="488"/>
      <c r="G1493" s="487"/>
      <c r="H1493" s="487"/>
      <c r="I1493" s="488"/>
      <c r="J1493" s="487"/>
      <c r="K1493" s="487"/>
      <c r="L1493" s="488"/>
      <c r="M1493" s="487"/>
      <c r="N1493" s="487"/>
      <c r="O1493" s="488"/>
      <c r="P1493" s="489"/>
      <c r="Q1493" s="489"/>
      <c r="R1493" s="592"/>
      <c r="S1493" s="487"/>
      <c r="T1493" s="487"/>
      <c r="U1493" s="488"/>
      <c r="V1493" s="487"/>
      <c r="W1493" s="489"/>
      <c r="X1493" s="488"/>
      <c r="Y1493" s="489"/>
      <c r="Z1493" s="489">
        <v>114</v>
      </c>
      <c r="AA1493" s="490"/>
      <c r="AB1493" s="489"/>
      <c r="AC1493" s="489"/>
      <c r="AD1493" s="27">
        <v>610090</v>
      </c>
      <c r="AE1493" s="27" t="s">
        <v>509</v>
      </c>
      <c r="AF1493" s="432">
        <f>VLOOKUP(AD1493,[5]Hoja1!$A$10:$K$1393,11,0)</f>
        <v>0</v>
      </c>
      <c r="AG1493" s="432"/>
      <c r="AH1493" s="432">
        <f t="shared" si="346"/>
        <v>0</v>
      </c>
      <c r="AL1493" s="448"/>
      <c r="AM1493" s="467">
        <f>VLOOKUP(AD1493,[6]BV201101!$A$10:$A$1236,1,0)</f>
        <v>610090</v>
      </c>
    </row>
    <row r="1494" spans="1:39" s="467" customFormat="1" ht="12.75" customHeight="1">
      <c r="A1494" s="487" t="str">
        <f t="shared" si="348"/>
        <v>6</v>
      </c>
      <c r="B1494" s="487" t="str">
        <f t="shared" si="335"/>
        <v>10</v>
      </c>
      <c r="C1494" s="487" t="str">
        <f t="shared" si="336"/>
        <v>09</v>
      </c>
      <c r="D1494" s="487" t="str">
        <f t="shared" si="337"/>
        <v>0091</v>
      </c>
      <c r="E1494" s="487">
        <v>531101810</v>
      </c>
      <c r="F1494" s="488"/>
      <c r="G1494" s="487"/>
      <c r="H1494" s="487"/>
      <c r="I1494" s="488"/>
      <c r="J1494" s="487"/>
      <c r="K1494" s="487"/>
      <c r="L1494" s="488"/>
      <c r="M1494" s="487"/>
      <c r="N1494" s="487"/>
      <c r="O1494" s="488"/>
      <c r="P1494" s="489"/>
      <c r="Q1494" s="489"/>
      <c r="R1494" s="592"/>
      <c r="S1494" s="487"/>
      <c r="T1494" s="487"/>
      <c r="U1494" s="488"/>
      <c r="V1494" s="487"/>
      <c r="W1494" s="489"/>
      <c r="X1494" s="488"/>
      <c r="Y1494" s="489"/>
      <c r="Z1494" s="489"/>
      <c r="AA1494" s="490"/>
      <c r="AB1494" s="489"/>
      <c r="AC1494" s="489"/>
      <c r="AD1494" s="27">
        <v>610091</v>
      </c>
      <c r="AE1494" s="27" t="s">
        <v>2452</v>
      </c>
      <c r="AF1494" s="432">
        <f>VLOOKUP(AD1494,[5]Hoja1!$A$10:$K$1393,11,0)</f>
        <v>9599729</v>
      </c>
      <c r="AG1494" s="432"/>
      <c r="AH1494" s="432">
        <f t="shared" si="346"/>
        <v>9600</v>
      </c>
      <c r="AL1494" s="448"/>
      <c r="AM1494" s="467">
        <f>VLOOKUP(AD1494,[6]BV201101!$A$10:$A$1236,1,0)</f>
        <v>610091</v>
      </c>
    </row>
    <row r="1495" spans="1:39" s="467" customFormat="1" ht="12.75" customHeight="1">
      <c r="A1495" s="487" t="str">
        <f t="shared" si="348"/>
        <v>6</v>
      </c>
      <c r="B1495" s="487" t="str">
        <f t="shared" si="335"/>
        <v>10</v>
      </c>
      <c r="C1495" s="487" t="str">
        <f t="shared" si="336"/>
        <v>09</v>
      </c>
      <c r="D1495" s="487" t="str">
        <f t="shared" si="337"/>
        <v>0092</v>
      </c>
      <c r="E1495" s="487">
        <v>531201200</v>
      </c>
      <c r="F1495" s="488"/>
      <c r="G1495" s="487"/>
      <c r="H1495" s="487"/>
      <c r="I1495" s="488"/>
      <c r="J1495" s="487"/>
      <c r="K1495" s="487"/>
      <c r="L1495" s="488"/>
      <c r="M1495" s="487"/>
      <c r="N1495" s="487"/>
      <c r="O1495" s="488"/>
      <c r="P1495" s="489"/>
      <c r="Q1495" s="489"/>
      <c r="R1495" s="592"/>
      <c r="S1495" s="487"/>
      <c r="T1495" s="487"/>
      <c r="U1495" s="488"/>
      <c r="V1495" s="487"/>
      <c r="W1495" s="489"/>
      <c r="X1495" s="488"/>
      <c r="Y1495" s="489"/>
      <c r="Z1495" s="489"/>
      <c r="AA1495" s="490"/>
      <c r="AB1495" s="489"/>
      <c r="AC1495" s="489"/>
      <c r="AD1495" s="27">
        <v>610092</v>
      </c>
      <c r="AE1495" s="27" t="s">
        <v>2453</v>
      </c>
      <c r="AF1495" s="432">
        <f>VLOOKUP(AD1495,[5]Hoja1!$A$10:$K$1393,11,0)</f>
        <v>0</v>
      </c>
      <c r="AG1495" s="432"/>
      <c r="AH1495" s="432">
        <f t="shared" si="346"/>
        <v>0</v>
      </c>
      <c r="AL1495" s="448"/>
      <c r="AM1495" s="467">
        <f>VLOOKUP(AD1495,[6]BV201101!$A$10:$A$1236,1,0)</f>
        <v>610092</v>
      </c>
    </row>
    <row r="1496" spans="1:39" s="467" customFormat="1" ht="12.75" customHeight="1">
      <c r="A1496" s="487" t="str">
        <f t="shared" si="348"/>
        <v>6</v>
      </c>
      <c r="B1496" s="487" t="str">
        <f t="shared" si="335"/>
        <v>10</v>
      </c>
      <c r="C1496" s="487" t="str">
        <f t="shared" si="336"/>
        <v>09</v>
      </c>
      <c r="D1496" s="487" t="str">
        <f t="shared" si="337"/>
        <v>0093</v>
      </c>
      <c r="E1496" s="487">
        <v>531201200</v>
      </c>
      <c r="F1496" s="488"/>
      <c r="G1496" s="487"/>
      <c r="H1496" s="487"/>
      <c r="I1496" s="488"/>
      <c r="J1496" s="487"/>
      <c r="K1496" s="487"/>
      <c r="L1496" s="488"/>
      <c r="M1496" s="487"/>
      <c r="N1496" s="487"/>
      <c r="O1496" s="488"/>
      <c r="P1496" s="489"/>
      <c r="Q1496" s="489"/>
      <c r="R1496" s="592"/>
      <c r="S1496" s="487"/>
      <c r="T1496" s="487"/>
      <c r="U1496" s="488"/>
      <c r="V1496" s="487"/>
      <c r="W1496" s="489"/>
      <c r="X1496" s="488"/>
      <c r="Y1496" s="489"/>
      <c r="Z1496" s="489"/>
      <c r="AA1496" s="490"/>
      <c r="AB1496" s="489"/>
      <c r="AC1496" s="489"/>
      <c r="AD1496" s="27">
        <v>610093</v>
      </c>
      <c r="AE1496" s="27" t="s">
        <v>2557</v>
      </c>
      <c r="AF1496" s="432">
        <f>VLOOKUP(AD1496,[5]Hoja1!$A$10:$K$1393,11,0)</f>
        <v>5686782</v>
      </c>
      <c r="AG1496" s="432"/>
      <c r="AH1496" s="432">
        <f t="shared" si="346"/>
        <v>5687</v>
      </c>
      <c r="AL1496" s="448"/>
      <c r="AM1496" s="467">
        <f>VLOOKUP(AD1496,[6]BV201101!$A$10:$A$1236,1,0)</f>
        <v>610093</v>
      </c>
    </row>
    <row r="1497" spans="1:39" s="467" customFormat="1" ht="12.75" customHeight="1">
      <c r="A1497" s="487" t="str">
        <f t="shared" si="348"/>
        <v>6</v>
      </c>
      <c r="B1497" s="487" t="str">
        <f t="shared" si="335"/>
        <v>10</v>
      </c>
      <c r="C1497" s="487" t="str">
        <f t="shared" si="336"/>
        <v>10</v>
      </c>
      <c r="D1497" s="487" t="str">
        <f t="shared" si="337"/>
        <v>0101</v>
      </c>
      <c r="E1497" s="487">
        <v>531201200</v>
      </c>
      <c r="F1497" s="488" t="str">
        <f t="shared" si="338"/>
        <v/>
      </c>
      <c r="G1497" s="487"/>
      <c r="H1497" s="487"/>
      <c r="I1497" s="488" t="str">
        <f t="shared" si="339"/>
        <v/>
      </c>
      <c r="J1497" s="487"/>
      <c r="K1497" s="487"/>
      <c r="L1497" s="488" t="str">
        <f t="shared" si="340"/>
        <v/>
      </c>
      <c r="M1497" s="487"/>
      <c r="N1497" s="487"/>
      <c r="O1497" s="488" t="str">
        <f t="shared" si="341"/>
        <v/>
      </c>
      <c r="P1497" s="489"/>
      <c r="Q1497" s="489"/>
      <c r="R1497" s="592" t="str">
        <f t="shared" si="342"/>
        <v/>
      </c>
      <c r="S1497" s="487"/>
      <c r="T1497" s="487"/>
      <c r="U1497" s="488" t="str">
        <f t="shared" si="343"/>
        <v/>
      </c>
      <c r="V1497" s="487"/>
      <c r="W1497" s="489"/>
      <c r="X1497" s="488" t="str">
        <f>+Y1497&amp;Z1497</f>
        <v/>
      </c>
      <c r="Y1497" s="489"/>
      <c r="Z1497" s="489"/>
      <c r="AA1497" s="490" t="str">
        <f t="shared" si="349"/>
        <v/>
      </c>
      <c r="AB1497" s="489"/>
      <c r="AC1497" s="489"/>
      <c r="AD1497" s="27">
        <v>610101</v>
      </c>
      <c r="AE1497" s="27" t="s">
        <v>2454</v>
      </c>
      <c r="AF1497" s="432">
        <f>VLOOKUP(AD1497,[5]Hoja1!$A$10:$K$1393,11,0)</f>
        <v>0</v>
      </c>
      <c r="AG1497" s="432"/>
      <c r="AH1497" s="432">
        <f t="shared" si="346"/>
        <v>0</v>
      </c>
      <c r="AL1497" s="448"/>
      <c r="AM1497" s="467">
        <f>VLOOKUP(AD1497,[6]BV201101!$A$10:$A$1236,1,0)</f>
        <v>610101</v>
      </c>
    </row>
    <row r="1498" spans="1:39" s="467" customFormat="1" ht="12.75" customHeight="1">
      <c r="A1498" s="487" t="str">
        <f t="shared" si="348"/>
        <v>6</v>
      </c>
      <c r="B1498" s="487" t="str">
        <f t="shared" si="335"/>
        <v>10</v>
      </c>
      <c r="C1498" s="487" t="str">
        <f t="shared" si="336"/>
        <v>10</v>
      </c>
      <c r="D1498" s="487" t="str">
        <f t="shared" si="337"/>
        <v>0102</v>
      </c>
      <c r="E1498" s="487">
        <v>531201200</v>
      </c>
      <c r="F1498" s="488" t="str">
        <f t="shared" si="338"/>
        <v/>
      </c>
      <c r="G1498" s="487"/>
      <c r="H1498" s="487"/>
      <c r="I1498" s="488" t="str">
        <f t="shared" si="339"/>
        <v/>
      </c>
      <c r="J1498" s="487"/>
      <c r="K1498" s="487"/>
      <c r="L1498" s="488" t="str">
        <f t="shared" si="340"/>
        <v/>
      </c>
      <c r="M1498" s="487"/>
      <c r="N1498" s="487"/>
      <c r="O1498" s="488" t="str">
        <f t="shared" si="341"/>
        <v/>
      </c>
      <c r="P1498" s="489"/>
      <c r="Q1498" s="489"/>
      <c r="R1498" s="592" t="str">
        <f t="shared" si="342"/>
        <v/>
      </c>
      <c r="S1498" s="487"/>
      <c r="T1498" s="487"/>
      <c r="U1498" s="488" t="str">
        <f t="shared" si="343"/>
        <v/>
      </c>
      <c r="V1498" s="487"/>
      <c r="W1498" s="489"/>
      <c r="X1498" s="488" t="str">
        <f>+Y1498&amp;Z1498</f>
        <v/>
      </c>
      <c r="Y1498" s="489"/>
      <c r="Z1498" s="489"/>
      <c r="AA1498" s="490" t="str">
        <f t="shared" si="349"/>
        <v/>
      </c>
      <c r="AB1498" s="489"/>
      <c r="AC1498" s="489"/>
      <c r="AD1498" s="27">
        <v>610102</v>
      </c>
      <c r="AE1498" s="27" t="s">
        <v>2455</v>
      </c>
      <c r="AF1498" s="432">
        <f>VLOOKUP(AD1498,[5]Hoja1!$A$10:$K$1393,11,0)</f>
        <v>219864016</v>
      </c>
      <c r="AG1498" s="432"/>
      <c r="AH1498" s="432">
        <f t="shared" si="346"/>
        <v>219864</v>
      </c>
      <c r="AL1498" s="448"/>
      <c r="AM1498" s="467">
        <f>VLOOKUP(AD1498,[6]BV201101!$A$10:$A$1236,1,0)</f>
        <v>610102</v>
      </c>
    </row>
    <row r="1499" spans="1:39" s="467" customFormat="1" ht="12.75" customHeight="1">
      <c r="A1499" s="487" t="str">
        <f t="shared" si="348"/>
        <v>6</v>
      </c>
      <c r="B1499" s="487" t="str">
        <f t="shared" si="335"/>
        <v>10</v>
      </c>
      <c r="C1499" s="487" t="str">
        <f t="shared" si="336"/>
        <v>10</v>
      </c>
      <c r="D1499" s="487" t="str">
        <f t="shared" si="337"/>
        <v>0103</v>
      </c>
      <c r="E1499" s="487">
        <v>531201200</v>
      </c>
      <c r="F1499" s="488" t="str">
        <f t="shared" si="338"/>
        <v/>
      </c>
      <c r="G1499" s="487"/>
      <c r="H1499" s="487"/>
      <c r="I1499" s="488" t="str">
        <f t="shared" si="339"/>
        <v/>
      </c>
      <c r="J1499" s="487"/>
      <c r="K1499" s="487"/>
      <c r="L1499" s="488" t="str">
        <f t="shared" si="340"/>
        <v/>
      </c>
      <c r="M1499" s="487"/>
      <c r="N1499" s="487"/>
      <c r="O1499" s="488" t="str">
        <f t="shared" si="341"/>
        <v/>
      </c>
      <c r="P1499" s="489"/>
      <c r="Q1499" s="489"/>
      <c r="R1499" s="592" t="str">
        <f t="shared" si="342"/>
        <v/>
      </c>
      <c r="S1499" s="487"/>
      <c r="T1499" s="487"/>
      <c r="U1499" s="488" t="str">
        <f t="shared" si="343"/>
        <v/>
      </c>
      <c r="V1499" s="487"/>
      <c r="W1499" s="489"/>
      <c r="X1499" s="488" t="str">
        <f>+Y1499&amp;Z1499</f>
        <v/>
      </c>
      <c r="Y1499" s="489"/>
      <c r="Z1499" s="489"/>
      <c r="AA1499" s="490" t="str">
        <f t="shared" si="349"/>
        <v/>
      </c>
      <c r="AB1499" s="489"/>
      <c r="AC1499" s="489"/>
      <c r="AD1499" s="27">
        <v>610103</v>
      </c>
      <c r="AE1499" s="27" t="s">
        <v>79</v>
      </c>
      <c r="AF1499" s="432">
        <f>VLOOKUP(AD1499,[5]Hoja1!$A$10:$K$1393,11,0)</f>
        <v>24566389</v>
      </c>
      <c r="AG1499" s="432"/>
      <c r="AH1499" s="432">
        <f t="shared" si="346"/>
        <v>24566</v>
      </c>
      <c r="AL1499" s="448"/>
      <c r="AM1499" s="467">
        <f>VLOOKUP(AD1499,[6]BV201101!$A$10:$A$1236,1,0)</f>
        <v>610103</v>
      </c>
    </row>
    <row r="1500" spans="1:39" s="467" customFormat="1" ht="12.75" customHeight="1">
      <c r="A1500" s="487" t="str">
        <f t="shared" si="348"/>
        <v>6</v>
      </c>
      <c r="B1500" s="487" t="str">
        <f t="shared" si="335"/>
        <v>10</v>
      </c>
      <c r="C1500" s="487" t="str">
        <f t="shared" si="336"/>
        <v>10</v>
      </c>
      <c r="D1500" s="487" t="str">
        <f t="shared" si="337"/>
        <v>0104</v>
      </c>
      <c r="E1500" s="487">
        <v>531201200</v>
      </c>
      <c r="F1500" s="488" t="str">
        <f t="shared" si="338"/>
        <v/>
      </c>
      <c r="G1500" s="487"/>
      <c r="H1500" s="487"/>
      <c r="I1500" s="488" t="str">
        <f t="shared" si="339"/>
        <v/>
      </c>
      <c r="J1500" s="487"/>
      <c r="K1500" s="487"/>
      <c r="L1500" s="488" t="str">
        <f t="shared" si="340"/>
        <v/>
      </c>
      <c r="M1500" s="487"/>
      <c r="N1500" s="487"/>
      <c r="O1500" s="488" t="str">
        <f t="shared" si="341"/>
        <v/>
      </c>
      <c r="P1500" s="489"/>
      <c r="Q1500" s="489"/>
      <c r="R1500" s="592" t="str">
        <f t="shared" si="342"/>
        <v/>
      </c>
      <c r="S1500" s="487"/>
      <c r="T1500" s="487"/>
      <c r="U1500" s="488" t="str">
        <f t="shared" si="343"/>
        <v/>
      </c>
      <c r="V1500" s="487"/>
      <c r="W1500" s="489"/>
      <c r="X1500" s="488" t="str">
        <f>+Y1500&amp;Z1500</f>
        <v/>
      </c>
      <c r="Y1500" s="489"/>
      <c r="Z1500" s="489"/>
      <c r="AA1500" s="490" t="str">
        <f t="shared" si="349"/>
        <v/>
      </c>
      <c r="AB1500" s="489"/>
      <c r="AC1500" s="489"/>
      <c r="AD1500" s="27">
        <v>610104</v>
      </c>
      <c r="AE1500" s="27" t="s">
        <v>80</v>
      </c>
      <c r="AF1500" s="432">
        <f>VLOOKUP(AD1500,[5]Hoja1!$A$10:$K$1393,11,0)</f>
        <v>136418281</v>
      </c>
      <c r="AG1500" s="432"/>
      <c r="AH1500" s="432">
        <f t="shared" si="346"/>
        <v>136418</v>
      </c>
      <c r="AL1500" s="448"/>
      <c r="AM1500" s="467">
        <f>VLOOKUP(AD1500,[6]BV201101!$A$10:$A$1236,1,0)</f>
        <v>610104</v>
      </c>
    </row>
    <row r="1501" spans="1:39" s="467" customFormat="1" ht="12.75" customHeight="1">
      <c r="A1501" s="487" t="str">
        <f t="shared" si="348"/>
        <v>6</v>
      </c>
      <c r="B1501" s="487" t="str">
        <f t="shared" si="335"/>
        <v>10</v>
      </c>
      <c r="C1501" s="487" t="str">
        <f t="shared" si="336"/>
        <v>10</v>
      </c>
      <c r="D1501" s="487" t="str">
        <f t="shared" si="337"/>
        <v>0105</v>
      </c>
      <c r="E1501" s="487">
        <v>531201200</v>
      </c>
      <c r="F1501" s="488" t="str">
        <f t="shared" ref="F1501:F1585" si="352">+G1501&amp;H1501</f>
        <v/>
      </c>
      <c r="G1501" s="487"/>
      <c r="H1501" s="487"/>
      <c r="I1501" s="488" t="str">
        <f t="shared" ref="I1501:I1585" si="353">+J1501&amp;K1501</f>
        <v/>
      </c>
      <c r="J1501" s="487"/>
      <c r="K1501" s="487"/>
      <c r="L1501" s="488" t="str">
        <f t="shared" ref="L1501:L1585" si="354">+M1501&amp;N1501</f>
        <v/>
      </c>
      <c r="M1501" s="487"/>
      <c r="N1501" s="487"/>
      <c r="O1501" s="488" t="str">
        <f t="shared" ref="O1501:O1585" si="355">+P1501&amp;Q1501</f>
        <v/>
      </c>
      <c r="P1501" s="489"/>
      <c r="Q1501" s="489"/>
      <c r="R1501" s="592" t="str">
        <f t="shared" ref="R1501:R1585" si="356">+S1501&amp;T1501</f>
        <v/>
      </c>
      <c r="S1501" s="487"/>
      <c r="T1501" s="487"/>
      <c r="U1501" s="488" t="str">
        <f t="shared" ref="U1501:U1585" si="357">+V1501&amp;W1501</f>
        <v/>
      </c>
      <c r="V1501" s="487"/>
      <c r="W1501" s="489"/>
      <c r="X1501" s="488" t="str">
        <f t="shared" ref="X1501:X1585" si="358">+Y1501&amp;Z1501</f>
        <v/>
      </c>
      <c r="Y1501" s="489"/>
      <c r="Z1501" s="489"/>
      <c r="AA1501" s="490" t="str">
        <f t="shared" si="349"/>
        <v/>
      </c>
      <c r="AB1501" s="489"/>
      <c r="AC1501" s="489"/>
      <c r="AD1501" s="27">
        <v>610105</v>
      </c>
      <c r="AE1501" s="27" t="s">
        <v>1767</v>
      </c>
      <c r="AF1501" s="432">
        <f>VLOOKUP(AD1501,[5]Hoja1!$A$10:$K$1393,11,0)</f>
        <v>21311134</v>
      </c>
      <c r="AG1501" s="432"/>
      <c r="AH1501" s="432">
        <f t="shared" si="346"/>
        <v>21311</v>
      </c>
      <c r="AL1501" s="448"/>
      <c r="AM1501" s="467">
        <f>VLOOKUP(AD1501,[6]BV201101!$A$10:$A$1236,1,0)</f>
        <v>610105</v>
      </c>
    </row>
    <row r="1502" spans="1:39" s="467" customFormat="1" ht="12.75" customHeight="1">
      <c r="A1502" s="487" t="str">
        <f t="shared" si="348"/>
        <v>6</v>
      </c>
      <c r="B1502" s="487" t="str">
        <f t="shared" ref="B1502:B1586" si="359">RIGHT(LEFT($AD1502,3),2)</f>
        <v>10</v>
      </c>
      <c r="C1502" s="487" t="str">
        <f t="shared" ref="C1502:C1586" si="360">RIGHT(LEFT($AD1502,5),2)</f>
        <v>10</v>
      </c>
      <c r="D1502" s="487" t="str">
        <f t="shared" ref="D1502:D1586" si="361">RIGHT(LEFT($AD1502,9),4)</f>
        <v>0106</v>
      </c>
      <c r="E1502" s="487">
        <v>531201200</v>
      </c>
      <c r="F1502" s="488" t="str">
        <f t="shared" si="352"/>
        <v/>
      </c>
      <c r="G1502" s="487"/>
      <c r="H1502" s="487"/>
      <c r="I1502" s="488" t="str">
        <f t="shared" si="353"/>
        <v/>
      </c>
      <c r="J1502" s="487"/>
      <c r="K1502" s="487"/>
      <c r="L1502" s="488" t="str">
        <f t="shared" si="354"/>
        <v/>
      </c>
      <c r="M1502" s="487"/>
      <c r="N1502" s="487"/>
      <c r="O1502" s="488" t="str">
        <f t="shared" si="355"/>
        <v/>
      </c>
      <c r="P1502" s="489"/>
      <c r="Q1502" s="489"/>
      <c r="R1502" s="592" t="str">
        <f t="shared" si="356"/>
        <v/>
      </c>
      <c r="S1502" s="487"/>
      <c r="T1502" s="487"/>
      <c r="U1502" s="488" t="str">
        <f t="shared" si="357"/>
        <v/>
      </c>
      <c r="V1502" s="487"/>
      <c r="W1502" s="489"/>
      <c r="X1502" s="488" t="str">
        <f t="shared" si="358"/>
        <v/>
      </c>
      <c r="Y1502" s="489"/>
      <c r="Z1502" s="489"/>
      <c r="AA1502" s="490" t="str">
        <f t="shared" si="349"/>
        <v/>
      </c>
      <c r="AB1502" s="489"/>
      <c r="AC1502" s="489"/>
      <c r="AD1502" s="27">
        <v>610106</v>
      </c>
      <c r="AE1502" s="27" t="s">
        <v>134</v>
      </c>
      <c r="AF1502" s="432">
        <f>VLOOKUP(AD1502,[5]Hoja1!$A$10:$K$1393,11,0)</f>
        <v>316253618</v>
      </c>
      <c r="AG1502" s="432"/>
      <c r="AH1502" s="432">
        <f t="shared" si="346"/>
        <v>316254</v>
      </c>
      <c r="AL1502" s="448"/>
      <c r="AM1502" s="467">
        <f>VLOOKUP(AD1502,[6]BV201101!$A$10:$A$1236,1,0)</f>
        <v>610106</v>
      </c>
    </row>
    <row r="1503" spans="1:39" s="467" customFormat="1" ht="12.75" customHeight="1">
      <c r="A1503" s="487" t="str">
        <f t="shared" si="348"/>
        <v>6</v>
      </c>
      <c r="B1503" s="487" t="str">
        <f t="shared" si="359"/>
        <v>10</v>
      </c>
      <c r="C1503" s="487" t="str">
        <f t="shared" si="360"/>
        <v>10</v>
      </c>
      <c r="D1503" s="487" t="str">
        <f t="shared" si="361"/>
        <v>0107</v>
      </c>
      <c r="E1503" s="487">
        <v>531201200</v>
      </c>
      <c r="F1503" s="488" t="str">
        <f t="shared" si="352"/>
        <v/>
      </c>
      <c r="G1503" s="487"/>
      <c r="H1503" s="487"/>
      <c r="I1503" s="488" t="str">
        <f t="shared" si="353"/>
        <v/>
      </c>
      <c r="J1503" s="487"/>
      <c r="K1503" s="487"/>
      <c r="L1503" s="488" t="str">
        <f t="shared" si="354"/>
        <v/>
      </c>
      <c r="M1503" s="487"/>
      <c r="N1503" s="487"/>
      <c r="O1503" s="488" t="str">
        <f t="shared" si="355"/>
        <v/>
      </c>
      <c r="P1503" s="489"/>
      <c r="Q1503" s="489"/>
      <c r="R1503" s="592" t="str">
        <f t="shared" si="356"/>
        <v/>
      </c>
      <c r="S1503" s="487"/>
      <c r="T1503" s="487"/>
      <c r="U1503" s="488" t="str">
        <f t="shared" si="357"/>
        <v/>
      </c>
      <c r="V1503" s="487"/>
      <c r="W1503" s="489"/>
      <c r="X1503" s="488" t="str">
        <f t="shared" si="358"/>
        <v/>
      </c>
      <c r="Y1503" s="489"/>
      <c r="Z1503" s="489"/>
      <c r="AA1503" s="490" t="str">
        <f t="shared" si="349"/>
        <v/>
      </c>
      <c r="AB1503" s="489"/>
      <c r="AC1503" s="489"/>
      <c r="AD1503" s="27">
        <v>610107</v>
      </c>
      <c r="AE1503" s="27" t="s">
        <v>135</v>
      </c>
      <c r="AF1503" s="432">
        <f>VLOOKUP(AD1503,[5]Hoja1!$A$10:$K$1393,11,0)</f>
        <v>0</v>
      </c>
      <c r="AG1503" s="432"/>
      <c r="AH1503" s="432">
        <f t="shared" si="346"/>
        <v>0</v>
      </c>
      <c r="AL1503" s="448"/>
      <c r="AM1503" s="467">
        <f>VLOOKUP(AD1503,[6]BV201101!$A$10:$A$1236,1,0)</f>
        <v>610107</v>
      </c>
    </row>
    <row r="1504" spans="1:39" s="467" customFormat="1" ht="12.75" customHeight="1">
      <c r="A1504" s="487" t="str">
        <f t="shared" si="348"/>
        <v>6</v>
      </c>
      <c r="B1504" s="487" t="str">
        <f t="shared" si="359"/>
        <v>10</v>
      </c>
      <c r="C1504" s="487" t="str">
        <f t="shared" si="360"/>
        <v>10</v>
      </c>
      <c r="D1504" s="487" t="str">
        <f t="shared" si="361"/>
        <v>0108</v>
      </c>
      <c r="E1504" s="487">
        <v>531201200</v>
      </c>
      <c r="F1504" s="488" t="str">
        <f t="shared" si="352"/>
        <v/>
      </c>
      <c r="G1504" s="487"/>
      <c r="H1504" s="487"/>
      <c r="I1504" s="488" t="str">
        <f t="shared" si="353"/>
        <v/>
      </c>
      <c r="J1504" s="487"/>
      <c r="K1504" s="487"/>
      <c r="L1504" s="488" t="str">
        <f t="shared" si="354"/>
        <v/>
      </c>
      <c r="M1504" s="487"/>
      <c r="N1504" s="487"/>
      <c r="O1504" s="488" t="str">
        <f t="shared" si="355"/>
        <v/>
      </c>
      <c r="P1504" s="489"/>
      <c r="Q1504" s="489"/>
      <c r="R1504" s="592" t="str">
        <f t="shared" si="356"/>
        <v/>
      </c>
      <c r="S1504" s="487"/>
      <c r="T1504" s="487"/>
      <c r="U1504" s="488" t="str">
        <f t="shared" si="357"/>
        <v/>
      </c>
      <c r="V1504" s="487"/>
      <c r="W1504" s="489"/>
      <c r="X1504" s="488" t="str">
        <f t="shared" si="358"/>
        <v/>
      </c>
      <c r="Y1504" s="489"/>
      <c r="Z1504" s="489"/>
      <c r="AA1504" s="490" t="str">
        <f t="shared" si="349"/>
        <v/>
      </c>
      <c r="AB1504" s="489"/>
      <c r="AC1504" s="489"/>
      <c r="AD1504" s="27">
        <v>610108</v>
      </c>
      <c r="AE1504" s="27" t="s">
        <v>670</v>
      </c>
      <c r="AF1504" s="432">
        <f>VLOOKUP(AD1504,[5]Hoja1!$A$10:$K$1393,11,0)</f>
        <v>12808183</v>
      </c>
      <c r="AG1504" s="432"/>
      <c r="AH1504" s="432">
        <f t="shared" si="346"/>
        <v>12808</v>
      </c>
      <c r="AL1504" s="448"/>
      <c r="AM1504" s="467">
        <f>VLOOKUP(AD1504,[6]BV201101!$A$10:$A$1236,1,0)</f>
        <v>610108</v>
      </c>
    </row>
    <row r="1505" spans="1:39" s="467" customFormat="1" ht="12.75" customHeight="1">
      <c r="A1505" s="487" t="str">
        <f t="shared" si="348"/>
        <v>6</v>
      </c>
      <c r="B1505" s="487" t="str">
        <f t="shared" si="359"/>
        <v>10</v>
      </c>
      <c r="C1505" s="487" t="str">
        <f t="shared" si="360"/>
        <v>10</v>
      </c>
      <c r="D1505" s="487" t="str">
        <f t="shared" si="361"/>
        <v>0109</v>
      </c>
      <c r="E1505" s="487">
        <v>531201200</v>
      </c>
      <c r="F1505" s="488" t="str">
        <f t="shared" si="352"/>
        <v/>
      </c>
      <c r="G1505" s="487"/>
      <c r="H1505" s="487"/>
      <c r="I1505" s="488" t="str">
        <f t="shared" si="353"/>
        <v/>
      </c>
      <c r="J1505" s="487"/>
      <c r="K1505" s="487"/>
      <c r="L1505" s="488" t="str">
        <f t="shared" si="354"/>
        <v/>
      </c>
      <c r="M1505" s="487"/>
      <c r="N1505" s="487"/>
      <c r="O1505" s="488" t="str">
        <f t="shared" si="355"/>
        <v/>
      </c>
      <c r="P1505" s="489"/>
      <c r="Q1505" s="489"/>
      <c r="R1505" s="592" t="str">
        <f t="shared" si="356"/>
        <v/>
      </c>
      <c r="S1505" s="487"/>
      <c r="T1505" s="487"/>
      <c r="U1505" s="488" t="str">
        <f t="shared" si="357"/>
        <v/>
      </c>
      <c r="V1505" s="487"/>
      <c r="W1505" s="489"/>
      <c r="X1505" s="488" t="str">
        <f t="shared" si="358"/>
        <v/>
      </c>
      <c r="Y1505" s="489"/>
      <c r="Z1505" s="489"/>
      <c r="AA1505" s="490" t="str">
        <f t="shared" si="349"/>
        <v/>
      </c>
      <c r="AB1505" s="489"/>
      <c r="AC1505" s="489"/>
      <c r="AD1505" s="27">
        <v>610109</v>
      </c>
      <c r="AE1505" s="27" t="s">
        <v>2456</v>
      </c>
      <c r="AF1505" s="432">
        <v>0</v>
      </c>
      <c r="AG1505" s="432"/>
      <c r="AH1505" s="432">
        <f t="shared" si="346"/>
        <v>0</v>
      </c>
      <c r="AL1505" s="448"/>
      <c r="AM1505" s="467" t="e">
        <f>VLOOKUP(AD1505,[6]BV201101!$A$10:$A$1236,1,0)</f>
        <v>#N/A</v>
      </c>
    </row>
    <row r="1506" spans="1:39" s="467" customFormat="1" ht="12.75" customHeight="1">
      <c r="A1506" s="487" t="str">
        <f t="shared" si="348"/>
        <v>6</v>
      </c>
      <c r="B1506" s="487" t="str">
        <f t="shared" si="359"/>
        <v>10</v>
      </c>
      <c r="C1506" s="487" t="str">
        <f t="shared" si="360"/>
        <v>20</v>
      </c>
      <c r="D1506" s="487" t="str">
        <f t="shared" si="361"/>
        <v>0201</v>
      </c>
      <c r="E1506" s="487">
        <v>531201200</v>
      </c>
      <c r="F1506" s="488" t="str">
        <f t="shared" si="352"/>
        <v/>
      </c>
      <c r="G1506" s="487"/>
      <c r="H1506" s="487"/>
      <c r="I1506" s="488" t="str">
        <f t="shared" si="353"/>
        <v/>
      </c>
      <c r="J1506" s="487"/>
      <c r="K1506" s="487"/>
      <c r="L1506" s="488" t="str">
        <f t="shared" si="354"/>
        <v/>
      </c>
      <c r="M1506" s="487"/>
      <c r="N1506" s="487"/>
      <c r="O1506" s="488" t="str">
        <f t="shared" si="355"/>
        <v/>
      </c>
      <c r="P1506" s="489"/>
      <c r="Q1506" s="489"/>
      <c r="R1506" s="592" t="str">
        <f t="shared" si="356"/>
        <v/>
      </c>
      <c r="S1506" s="487"/>
      <c r="T1506" s="487"/>
      <c r="U1506" s="488" t="str">
        <f t="shared" si="357"/>
        <v/>
      </c>
      <c r="V1506" s="487"/>
      <c r="W1506" s="489"/>
      <c r="X1506" s="488" t="str">
        <f t="shared" si="358"/>
        <v/>
      </c>
      <c r="Y1506" s="489"/>
      <c r="Z1506" s="489"/>
      <c r="AA1506" s="490" t="str">
        <f t="shared" si="349"/>
        <v/>
      </c>
      <c r="AB1506" s="489"/>
      <c r="AC1506" s="489"/>
      <c r="AD1506" s="27">
        <v>610201</v>
      </c>
      <c r="AE1506" s="27" t="s">
        <v>1768</v>
      </c>
      <c r="AF1506" s="432">
        <f>VLOOKUP(AD1506,[5]Hoja1!$A$10:$K$1393,11,0)</f>
        <v>0</v>
      </c>
      <c r="AG1506" s="432"/>
      <c r="AH1506" s="432">
        <f t="shared" si="346"/>
        <v>0</v>
      </c>
      <c r="AL1506" s="448"/>
      <c r="AM1506" s="467">
        <f>VLOOKUP(AD1506,[6]BV201101!$A$10:$A$1236,1,0)</f>
        <v>610201</v>
      </c>
    </row>
    <row r="1507" spans="1:39" s="467" customFormat="1" ht="12.75" customHeight="1">
      <c r="A1507" s="487" t="str">
        <f t="shared" si="348"/>
        <v>6</v>
      </c>
      <c r="B1507" s="487" t="str">
        <f t="shared" si="359"/>
        <v>10</v>
      </c>
      <c r="C1507" s="487" t="str">
        <f t="shared" si="360"/>
        <v>20</v>
      </c>
      <c r="D1507" s="487" t="str">
        <f t="shared" si="361"/>
        <v>0202</v>
      </c>
      <c r="E1507" s="487">
        <v>531201200</v>
      </c>
      <c r="F1507" s="488" t="str">
        <f t="shared" si="352"/>
        <v/>
      </c>
      <c r="G1507" s="487"/>
      <c r="H1507" s="487"/>
      <c r="I1507" s="488" t="str">
        <f t="shared" si="353"/>
        <v/>
      </c>
      <c r="J1507" s="487"/>
      <c r="K1507" s="487"/>
      <c r="L1507" s="488" t="str">
        <f t="shared" si="354"/>
        <v/>
      </c>
      <c r="M1507" s="487"/>
      <c r="N1507" s="487"/>
      <c r="O1507" s="488" t="str">
        <f t="shared" si="355"/>
        <v/>
      </c>
      <c r="P1507" s="489"/>
      <c r="Q1507" s="489"/>
      <c r="R1507" s="592" t="str">
        <f t="shared" si="356"/>
        <v/>
      </c>
      <c r="S1507" s="487"/>
      <c r="T1507" s="487"/>
      <c r="U1507" s="488" t="str">
        <f t="shared" si="357"/>
        <v/>
      </c>
      <c r="V1507" s="487"/>
      <c r="W1507" s="489"/>
      <c r="X1507" s="488" t="str">
        <f t="shared" si="358"/>
        <v/>
      </c>
      <c r="Y1507" s="489"/>
      <c r="Z1507" s="489"/>
      <c r="AA1507" s="490" t="str">
        <f t="shared" si="349"/>
        <v/>
      </c>
      <c r="AB1507" s="489"/>
      <c r="AC1507" s="489"/>
      <c r="AD1507" s="27">
        <v>610202</v>
      </c>
      <c r="AE1507" s="27" t="s">
        <v>1693</v>
      </c>
      <c r="AF1507" s="432">
        <f>VLOOKUP(AD1507,[5]Hoja1!$A$10:$K$1393,11,0)</f>
        <v>0</v>
      </c>
      <c r="AG1507" s="432"/>
      <c r="AH1507" s="432">
        <f t="shared" si="346"/>
        <v>0</v>
      </c>
      <c r="AL1507" s="448"/>
      <c r="AM1507" s="467">
        <f>VLOOKUP(AD1507,[6]BV201101!$A$10:$A$1236,1,0)</f>
        <v>610202</v>
      </c>
    </row>
    <row r="1508" spans="1:39" s="467" customFormat="1" ht="12.75" customHeight="1">
      <c r="A1508" s="487" t="str">
        <f t="shared" si="348"/>
        <v>6</v>
      </c>
      <c r="B1508" s="487" t="str">
        <f t="shared" si="359"/>
        <v>10</v>
      </c>
      <c r="C1508" s="487" t="str">
        <f t="shared" si="360"/>
        <v>20</v>
      </c>
      <c r="D1508" s="487" t="str">
        <f t="shared" si="361"/>
        <v>0203</v>
      </c>
      <c r="E1508" s="487">
        <v>531201200</v>
      </c>
      <c r="F1508" s="488" t="str">
        <f t="shared" si="352"/>
        <v/>
      </c>
      <c r="G1508" s="487"/>
      <c r="H1508" s="487"/>
      <c r="I1508" s="488" t="str">
        <f t="shared" si="353"/>
        <v/>
      </c>
      <c r="J1508" s="487"/>
      <c r="K1508" s="487"/>
      <c r="L1508" s="488" t="str">
        <f t="shared" si="354"/>
        <v/>
      </c>
      <c r="M1508" s="487"/>
      <c r="N1508" s="487"/>
      <c r="O1508" s="488" t="str">
        <f t="shared" si="355"/>
        <v/>
      </c>
      <c r="P1508" s="489"/>
      <c r="Q1508" s="489"/>
      <c r="R1508" s="592" t="str">
        <f t="shared" si="356"/>
        <v/>
      </c>
      <c r="S1508" s="487"/>
      <c r="T1508" s="487"/>
      <c r="U1508" s="488" t="str">
        <f t="shared" si="357"/>
        <v/>
      </c>
      <c r="V1508" s="487"/>
      <c r="W1508" s="489"/>
      <c r="X1508" s="488" t="str">
        <f t="shared" si="358"/>
        <v/>
      </c>
      <c r="Y1508" s="489"/>
      <c r="Z1508" s="489"/>
      <c r="AA1508" s="490" t="str">
        <f t="shared" si="349"/>
        <v/>
      </c>
      <c r="AB1508" s="489"/>
      <c r="AC1508" s="489"/>
      <c r="AD1508" s="27">
        <v>610203</v>
      </c>
      <c r="AE1508" s="27" t="s">
        <v>1006</v>
      </c>
      <c r="AF1508" s="432">
        <f>VLOOKUP(AD1508,[5]Hoja1!$A$10:$K$1393,11,0)</f>
        <v>0</v>
      </c>
      <c r="AG1508" s="432"/>
      <c r="AH1508" s="432">
        <f t="shared" ref="AH1508:AH1571" si="362">ROUND((AF1508+AG1508)/$AH$2,0)</f>
        <v>0</v>
      </c>
      <c r="AL1508" s="448"/>
      <c r="AM1508" s="467">
        <f>VLOOKUP(AD1508,[6]BV201101!$A$10:$A$1236,1,0)</f>
        <v>610203</v>
      </c>
    </row>
    <row r="1509" spans="1:39" s="467" customFormat="1" ht="12.75" customHeight="1">
      <c r="A1509" s="487" t="str">
        <f t="shared" si="348"/>
        <v>6</v>
      </c>
      <c r="B1509" s="487" t="str">
        <f t="shared" si="359"/>
        <v>10</v>
      </c>
      <c r="C1509" s="487" t="str">
        <f t="shared" si="360"/>
        <v>20</v>
      </c>
      <c r="D1509" s="487" t="str">
        <f t="shared" si="361"/>
        <v>0204</v>
      </c>
      <c r="E1509" s="487">
        <v>531201200</v>
      </c>
      <c r="F1509" s="488" t="str">
        <f t="shared" si="352"/>
        <v/>
      </c>
      <c r="G1509" s="487"/>
      <c r="H1509" s="487"/>
      <c r="I1509" s="488" t="str">
        <f t="shared" si="353"/>
        <v/>
      </c>
      <c r="J1509" s="487"/>
      <c r="K1509" s="487"/>
      <c r="L1509" s="488" t="str">
        <f t="shared" si="354"/>
        <v/>
      </c>
      <c r="M1509" s="487"/>
      <c r="N1509" s="487"/>
      <c r="O1509" s="488" t="str">
        <f t="shared" si="355"/>
        <v/>
      </c>
      <c r="P1509" s="489"/>
      <c r="Q1509" s="489"/>
      <c r="R1509" s="592" t="str">
        <f t="shared" si="356"/>
        <v/>
      </c>
      <c r="S1509" s="487"/>
      <c r="T1509" s="487"/>
      <c r="U1509" s="488" t="str">
        <f t="shared" si="357"/>
        <v/>
      </c>
      <c r="V1509" s="487"/>
      <c r="W1509" s="489"/>
      <c r="X1509" s="488" t="str">
        <f t="shared" si="358"/>
        <v/>
      </c>
      <c r="Y1509" s="489"/>
      <c r="Z1509" s="489"/>
      <c r="AA1509" s="490" t="str">
        <f t="shared" si="349"/>
        <v/>
      </c>
      <c r="AB1509" s="489"/>
      <c r="AC1509" s="489"/>
      <c r="AD1509" s="27">
        <v>610204</v>
      </c>
      <c r="AE1509" s="27" t="s">
        <v>1694</v>
      </c>
      <c r="AF1509" s="432">
        <f>VLOOKUP(AD1509,[5]Hoja1!$A$10:$K$1393,11,0)</f>
        <v>0</v>
      </c>
      <c r="AG1509" s="432"/>
      <c r="AH1509" s="432">
        <f t="shared" si="362"/>
        <v>0</v>
      </c>
      <c r="AL1509" s="448"/>
      <c r="AM1509" s="467">
        <f>VLOOKUP(AD1509,[6]BV201101!$A$10:$A$1236,1,0)</f>
        <v>610204</v>
      </c>
    </row>
    <row r="1510" spans="1:39" s="467" customFormat="1" ht="12.75" customHeight="1">
      <c r="A1510" s="487" t="str">
        <f t="shared" si="348"/>
        <v>6</v>
      </c>
      <c r="B1510" s="487" t="str">
        <f t="shared" si="359"/>
        <v>10</v>
      </c>
      <c r="C1510" s="487" t="str">
        <f t="shared" si="360"/>
        <v>20</v>
      </c>
      <c r="D1510" s="487" t="str">
        <f t="shared" si="361"/>
        <v>0205</v>
      </c>
      <c r="E1510" s="487">
        <v>531201200</v>
      </c>
      <c r="F1510" s="488" t="str">
        <f t="shared" si="352"/>
        <v/>
      </c>
      <c r="G1510" s="487"/>
      <c r="H1510" s="487"/>
      <c r="I1510" s="488" t="str">
        <f t="shared" si="353"/>
        <v/>
      </c>
      <c r="J1510" s="487"/>
      <c r="K1510" s="487"/>
      <c r="L1510" s="488" t="str">
        <f t="shared" si="354"/>
        <v/>
      </c>
      <c r="M1510" s="487"/>
      <c r="N1510" s="487"/>
      <c r="O1510" s="488" t="str">
        <f t="shared" si="355"/>
        <v/>
      </c>
      <c r="P1510" s="489"/>
      <c r="Q1510" s="489"/>
      <c r="R1510" s="592" t="str">
        <f t="shared" si="356"/>
        <v/>
      </c>
      <c r="S1510" s="487"/>
      <c r="T1510" s="487"/>
      <c r="U1510" s="488" t="str">
        <f t="shared" si="357"/>
        <v/>
      </c>
      <c r="V1510" s="487"/>
      <c r="W1510" s="489"/>
      <c r="X1510" s="488" t="str">
        <f t="shared" si="358"/>
        <v/>
      </c>
      <c r="Y1510" s="489"/>
      <c r="Z1510" s="489"/>
      <c r="AA1510" s="490" t="str">
        <f t="shared" si="349"/>
        <v/>
      </c>
      <c r="AB1510" s="489"/>
      <c r="AC1510" s="489"/>
      <c r="AD1510" s="27">
        <v>610205</v>
      </c>
      <c r="AE1510" s="27" t="s">
        <v>1695</v>
      </c>
      <c r="AF1510" s="432">
        <f>VLOOKUP(AD1510,[5]Hoja1!$A$10:$K$1393,11,0)</f>
        <v>0</v>
      </c>
      <c r="AG1510" s="432"/>
      <c r="AH1510" s="432">
        <f t="shared" si="362"/>
        <v>0</v>
      </c>
      <c r="AL1510" s="448"/>
      <c r="AM1510" s="467">
        <f>VLOOKUP(AD1510,[6]BV201101!$A$10:$A$1236,1,0)</f>
        <v>610205</v>
      </c>
    </row>
    <row r="1511" spans="1:39" s="467" customFormat="1" ht="12.75" customHeight="1">
      <c r="A1511" s="487" t="str">
        <f t="shared" si="348"/>
        <v>6</v>
      </c>
      <c r="B1511" s="487" t="str">
        <f t="shared" si="359"/>
        <v>10</v>
      </c>
      <c r="C1511" s="487" t="str">
        <f t="shared" si="360"/>
        <v>20</v>
      </c>
      <c r="D1511" s="487" t="str">
        <f t="shared" si="361"/>
        <v>0206</v>
      </c>
      <c r="E1511" s="487">
        <v>531201200</v>
      </c>
      <c r="F1511" s="488" t="str">
        <f t="shared" si="352"/>
        <v/>
      </c>
      <c r="G1511" s="487"/>
      <c r="H1511" s="487"/>
      <c r="I1511" s="488" t="str">
        <f t="shared" si="353"/>
        <v/>
      </c>
      <c r="J1511" s="487"/>
      <c r="K1511" s="487"/>
      <c r="L1511" s="488" t="str">
        <f t="shared" si="354"/>
        <v/>
      </c>
      <c r="M1511" s="487"/>
      <c r="N1511" s="487"/>
      <c r="O1511" s="488" t="str">
        <f t="shared" si="355"/>
        <v/>
      </c>
      <c r="P1511" s="489"/>
      <c r="Q1511" s="489"/>
      <c r="R1511" s="592" t="str">
        <f t="shared" si="356"/>
        <v/>
      </c>
      <c r="S1511" s="487"/>
      <c r="T1511" s="487"/>
      <c r="U1511" s="488" t="str">
        <f t="shared" si="357"/>
        <v/>
      </c>
      <c r="V1511" s="487"/>
      <c r="W1511" s="489"/>
      <c r="X1511" s="488" t="str">
        <f t="shared" si="358"/>
        <v/>
      </c>
      <c r="Y1511" s="489"/>
      <c r="Z1511" s="489"/>
      <c r="AA1511" s="490" t="str">
        <f t="shared" si="349"/>
        <v/>
      </c>
      <c r="AB1511" s="489"/>
      <c r="AC1511" s="489"/>
      <c r="AD1511" s="27">
        <v>610206</v>
      </c>
      <c r="AE1511" s="27" t="s">
        <v>1696</v>
      </c>
      <c r="AF1511" s="432">
        <f>VLOOKUP(AD1511,[5]Hoja1!$A$10:$K$1393,11,0)</f>
        <v>0</v>
      </c>
      <c r="AG1511" s="432"/>
      <c r="AH1511" s="432">
        <f t="shared" si="362"/>
        <v>0</v>
      </c>
      <c r="AL1511" s="448"/>
      <c r="AM1511" s="467">
        <f>VLOOKUP(AD1511,[6]BV201101!$A$10:$A$1236,1,0)</f>
        <v>610206</v>
      </c>
    </row>
    <row r="1512" spans="1:39" s="467" customFormat="1" ht="12.75" customHeight="1">
      <c r="A1512" s="487" t="str">
        <f t="shared" si="348"/>
        <v>6</v>
      </c>
      <c r="B1512" s="487" t="str">
        <f t="shared" si="359"/>
        <v>10</v>
      </c>
      <c r="C1512" s="487" t="str">
        <f t="shared" si="360"/>
        <v>20</v>
      </c>
      <c r="D1512" s="487" t="str">
        <f t="shared" si="361"/>
        <v>0207</v>
      </c>
      <c r="E1512" s="487">
        <v>531201200</v>
      </c>
      <c r="F1512" s="488" t="str">
        <f t="shared" si="352"/>
        <v/>
      </c>
      <c r="G1512" s="487"/>
      <c r="H1512" s="487"/>
      <c r="I1512" s="488" t="str">
        <f t="shared" si="353"/>
        <v/>
      </c>
      <c r="J1512" s="487"/>
      <c r="K1512" s="487"/>
      <c r="L1512" s="488" t="str">
        <f t="shared" si="354"/>
        <v/>
      </c>
      <c r="M1512" s="487"/>
      <c r="N1512" s="487"/>
      <c r="O1512" s="488" t="str">
        <f t="shared" si="355"/>
        <v/>
      </c>
      <c r="P1512" s="489"/>
      <c r="Q1512" s="489"/>
      <c r="R1512" s="592" t="str">
        <f t="shared" si="356"/>
        <v/>
      </c>
      <c r="S1512" s="487"/>
      <c r="T1512" s="487"/>
      <c r="U1512" s="488" t="str">
        <f t="shared" si="357"/>
        <v/>
      </c>
      <c r="V1512" s="487"/>
      <c r="W1512" s="489"/>
      <c r="X1512" s="488" t="str">
        <f t="shared" si="358"/>
        <v/>
      </c>
      <c r="Y1512" s="489"/>
      <c r="Z1512" s="489"/>
      <c r="AA1512" s="490" t="str">
        <f t="shared" si="349"/>
        <v/>
      </c>
      <c r="AB1512" s="489"/>
      <c r="AC1512" s="489"/>
      <c r="AD1512" s="27">
        <v>610207</v>
      </c>
      <c r="AE1512" s="27" t="s">
        <v>2457</v>
      </c>
      <c r="AF1512" s="432">
        <f>VLOOKUP(AD1512,[5]Hoja1!$A$10:$K$1393,11,0)</f>
        <v>0</v>
      </c>
      <c r="AG1512" s="432"/>
      <c r="AH1512" s="432">
        <f t="shared" si="362"/>
        <v>0</v>
      </c>
      <c r="AL1512" s="448"/>
      <c r="AM1512" s="467">
        <f>VLOOKUP(AD1512,[6]BV201101!$A$10:$A$1236,1,0)</f>
        <v>610207</v>
      </c>
    </row>
    <row r="1513" spans="1:39" s="467" customFormat="1" ht="12.75" customHeight="1">
      <c r="A1513" s="487" t="str">
        <f t="shared" si="348"/>
        <v>6</v>
      </c>
      <c r="B1513" s="487" t="str">
        <f t="shared" si="359"/>
        <v>10</v>
      </c>
      <c r="C1513" s="487" t="str">
        <f t="shared" si="360"/>
        <v>20</v>
      </c>
      <c r="D1513" s="487" t="str">
        <f t="shared" si="361"/>
        <v>0208</v>
      </c>
      <c r="E1513" s="487">
        <v>531201200</v>
      </c>
      <c r="F1513" s="488" t="str">
        <f t="shared" si="352"/>
        <v/>
      </c>
      <c r="G1513" s="487"/>
      <c r="H1513" s="487"/>
      <c r="I1513" s="488" t="str">
        <f t="shared" si="353"/>
        <v/>
      </c>
      <c r="J1513" s="487"/>
      <c r="K1513" s="487"/>
      <c r="L1513" s="488" t="str">
        <f t="shared" si="354"/>
        <v/>
      </c>
      <c r="M1513" s="487"/>
      <c r="N1513" s="487"/>
      <c r="O1513" s="488" t="str">
        <f t="shared" si="355"/>
        <v/>
      </c>
      <c r="P1513" s="489"/>
      <c r="Q1513" s="489"/>
      <c r="R1513" s="592" t="str">
        <f t="shared" si="356"/>
        <v/>
      </c>
      <c r="S1513" s="487"/>
      <c r="T1513" s="487"/>
      <c r="U1513" s="488" t="str">
        <f t="shared" si="357"/>
        <v/>
      </c>
      <c r="V1513" s="487"/>
      <c r="W1513" s="489"/>
      <c r="X1513" s="488" t="str">
        <f t="shared" si="358"/>
        <v/>
      </c>
      <c r="Y1513" s="489"/>
      <c r="Z1513" s="489"/>
      <c r="AA1513" s="490" t="str">
        <f t="shared" si="349"/>
        <v/>
      </c>
      <c r="AB1513" s="489"/>
      <c r="AC1513" s="489"/>
      <c r="AD1513" s="27">
        <v>610208</v>
      </c>
      <c r="AE1513" s="27" t="s">
        <v>1697</v>
      </c>
      <c r="AF1513" s="432">
        <f>VLOOKUP(AD1513,[5]Hoja1!$A$10:$K$1393,11,0)</f>
        <v>0</v>
      </c>
      <c r="AG1513" s="432"/>
      <c r="AH1513" s="432">
        <f t="shared" si="362"/>
        <v>0</v>
      </c>
      <c r="AL1513" s="448"/>
      <c r="AM1513" s="467">
        <f>VLOOKUP(AD1513,[6]BV201101!$A$10:$A$1236,1,0)</f>
        <v>610208</v>
      </c>
    </row>
    <row r="1514" spans="1:39" s="467" customFormat="1" ht="12.75" customHeight="1">
      <c r="A1514" s="487" t="str">
        <f t="shared" si="348"/>
        <v>6</v>
      </c>
      <c r="B1514" s="487" t="str">
        <f t="shared" si="359"/>
        <v>10</v>
      </c>
      <c r="C1514" s="487" t="str">
        <f t="shared" si="360"/>
        <v>20</v>
      </c>
      <c r="D1514" s="487" t="str">
        <f t="shared" si="361"/>
        <v>0209</v>
      </c>
      <c r="E1514" s="487">
        <v>531201200</v>
      </c>
      <c r="F1514" s="488" t="str">
        <f t="shared" si="352"/>
        <v/>
      </c>
      <c r="G1514" s="487"/>
      <c r="H1514" s="487"/>
      <c r="I1514" s="488" t="str">
        <f t="shared" si="353"/>
        <v/>
      </c>
      <c r="J1514" s="487"/>
      <c r="K1514" s="487"/>
      <c r="L1514" s="488" t="str">
        <f t="shared" si="354"/>
        <v/>
      </c>
      <c r="M1514" s="487"/>
      <c r="N1514" s="487"/>
      <c r="O1514" s="488" t="str">
        <f t="shared" si="355"/>
        <v/>
      </c>
      <c r="P1514" s="489"/>
      <c r="Q1514" s="489"/>
      <c r="R1514" s="592" t="str">
        <f t="shared" si="356"/>
        <v/>
      </c>
      <c r="S1514" s="487"/>
      <c r="T1514" s="487"/>
      <c r="U1514" s="488" t="str">
        <f t="shared" si="357"/>
        <v/>
      </c>
      <c r="V1514" s="487"/>
      <c r="W1514" s="489"/>
      <c r="X1514" s="488" t="str">
        <f t="shared" si="358"/>
        <v/>
      </c>
      <c r="Y1514" s="489"/>
      <c r="Z1514" s="489"/>
      <c r="AA1514" s="490" t="str">
        <f t="shared" si="349"/>
        <v/>
      </c>
      <c r="AB1514" s="489"/>
      <c r="AC1514" s="489"/>
      <c r="AD1514" s="27">
        <v>610209</v>
      </c>
      <c r="AE1514" s="27" t="s">
        <v>696</v>
      </c>
      <c r="AF1514" s="432">
        <f>VLOOKUP(AD1514,[5]Hoja1!$A$10:$K$1393,11,0)</f>
        <v>0</v>
      </c>
      <c r="AG1514" s="432"/>
      <c r="AH1514" s="432">
        <f t="shared" si="362"/>
        <v>0</v>
      </c>
      <c r="AL1514" s="448"/>
      <c r="AM1514" s="467">
        <f>VLOOKUP(AD1514,[6]BV201101!$A$10:$A$1236,1,0)</f>
        <v>610209</v>
      </c>
    </row>
    <row r="1515" spans="1:39" s="467" customFormat="1" ht="12.75" customHeight="1">
      <c r="A1515" s="487" t="str">
        <f t="shared" si="348"/>
        <v>6</v>
      </c>
      <c r="B1515" s="487" t="str">
        <f t="shared" si="359"/>
        <v>10</v>
      </c>
      <c r="C1515" s="487" t="str">
        <f t="shared" si="360"/>
        <v>21</v>
      </c>
      <c r="D1515" s="487" t="str">
        <f t="shared" si="361"/>
        <v>0210</v>
      </c>
      <c r="E1515" s="487">
        <v>531201200</v>
      </c>
      <c r="F1515" s="488" t="str">
        <f t="shared" si="352"/>
        <v/>
      </c>
      <c r="G1515" s="487"/>
      <c r="H1515" s="487"/>
      <c r="I1515" s="488" t="str">
        <f t="shared" si="353"/>
        <v/>
      </c>
      <c r="J1515" s="487"/>
      <c r="K1515" s="487"/>
      <c r="L1515" s="488" t="str">
        <f t="shared" si="354"/>
        <v/>
      </c>
      <c r="M1515" s="487"/>
      <c r="N1515" s="487"/>
      <c r="O1515" s="488" t="str">
        <f t="shared" si="355"/>
        <v/>
      </c>
      <c r="P1515" s="489"/>
      <c r="Q1515" s="489"/>
      <c r="R1515" s="592" t="str">
        <f t="shared" si="356"/>
        <v/>
      </c>
      <c r="S1515" s="487"/>
      <c r="T1515" s="487"/>
      <c r="U1515" s="488" t="str">
        <f t="shared" si="357"/>
        <v/>
      </c>
      <c r="V1515" s="487"/>
      <c r="W1515" s="489"/>
      <c r="X1515" s="488" t="str">
        <f t="shared" si="358"/>
        <v/>
      </c>
      <c r="Y1515" s="489"/>
      <c r="Z1515" s="489"/>
      <c r="AA1515" s="490" t="str">
        <f t="shared" si="349"/>
        <v/>
      </c>
      <c r="AB1515" s="489"/>
      <c r="AC1515" s="489"/>
      <c r="AD1515" s="27">
        <v>610210</v>
      </c>
      <c r="AE1515" s="27" t="s">
        <v>81</v>
      </c>
      <c r="AF1515" s="432">
        <f>VLOOKUP(AD1515,[5]Hoja1!$A$10:$K$1393,11,0)</f>
        <v>0</v>
      </c>
      <c r="AG1515" s="432"/>
      <c r="AH1515" s="432">
        <f t="shared" si="362"/>
        <v>0</v>
      </c>
      <c r="AL1515" s="448"/>
      <c r="AM1515" s="467">
        <f>VLOOKUP(AD1515,[6]BV201101!$A$10:$A$1236,1,0)</f>
        <v>610210</v>
      </c>
    </row>
    <row r="1516" spans="1:39" s="467" customFormat="1" ht="12.75" customHeight="1">
      <c r="A1516" s="487" t="str">
        <f t="shared" si="348"/>
        <v>6</v>
      </c>
      <c r="B1516" s="487" t="str">
        <f t="shared" si="359"/>
        <v>10</v>
      </c>
      <c r="C1516" s="487" t="str">
        <f t="shared" si="360"/>
        <v>21</v>
      </c>
      <c r="D1516" s="487" t="str">
        <f t="shared" si="361"/>
        <v>0211</v>
      </c>
      <c r="E1516" s="487">
        <v>531201200</v>
      </c>
      <c r="F1516" s="488" t="str">
        <f t="shared" si="352"/>
        <v/>
      </c>
      <c r="G1516" s="487"/>
      <c r="H1516" s="487"/>
      <c r="I1516" s="488" t="str">
        <f t="shared" si="353"/>
        <v/>
      </c>
      <c r="J1516" s="487"/>
      <c r="K1516" s="487"/>
      <c r="L1516" s="488" t="str">
        <f t="shared" si="354"/>
        <v/>
      </c>
      <c r="M1516" s="487"/>
      <c r="N1516" s="487"/>
      <c r="O1516" s="488" t="str">
        <f t="shared" si="355"/>
        <v/>
      </c>
      <c r="P1516" s="489"/>
      <c r="Q1516" s="489"/>
      <c r="R1516" s="592" t="str">
        <f t="shared" si="356"/>
        <v/>
      </c>
      <c r="S1516" s="487"/>
      <c r="T1516" s="487"/>
      <c r="U1516" s="488" t="str">
        <f t="shared" si="357"/>
        <v/>
      </c>
      <c r="V1516" s="487"/>
      <c r="W1516" s="489"/>
      <c r="X1516" s="488" t="str">
        <f t="shared" si="358"/>
        <v/>
      </c>
      <c r="Y1516" s="489"/>
      <c r="Z1516" s="489"/>
      <c r="AA1516" s="490" t="str">
        <f t="shared" si="349"/>
        <v/>
      </c>
      <c r="AB1516" s="489"/>
      <c r="AC1516" s="489"/>
      <c r="AD1516" s="27">
        <v>610211</v>
      </c>
      <c r="AE1516" s="27" t="s">
        <v>1176</v>
      </c>
      <c r="AF1516" s="432">
        <f>VLOOKUP(AD1516,[5]Hoja1!$A$10:$K$1393,11,0)</f>
        <v>0</v>
      </c>
      <c r="AG1516" s="432"/>
      <c r="AH1516" s="432">
        <f t="shared" si="362"/>
        <v>0</v>
      </c>
      <c r="AL1516" s="448"/>
      <c r="AM1516" s="467">
        <f>VLOOKUP(AD1516,[6]BV201101!$A$10:$A$1236,1,0)</f>
        <v>610211</v>
      </c>
    </row>
    <row r="1517" spans="1:39" s="467" customFormat="1" ht="12.75" customHeight="1">
      <c r="A1517" s="487" t="str">
        <f t="shared" si="348"/>
        <v>6</v>
      </c>
      <c r="B1517" s="487" t="str">
        <f t="shared" si="359"/>
        <v>10</v>
      </c>
      <c r="C1517" s="487" t="str">
        <f t="shared" si="360"/>
        <v>21</v>
      </c>
      <c r="D1517" s="487" t="str">
        <f t="shared" si="361"/>
        <v>0212</v>
      </c>
      <c r="E1517" s="487">
        <v>531201200</v>
      </c>
      <c r="F1517" s="488" t="str">
        <f t="shared" si="352"/>
        <v/>
      </c>
      <c r="G1517" s="487"/>
      <c r="H1517" s="487"/>
      <c r="I1517" s="488" t="str">
        <f t="shared" si="353"/>
        <v/>
      </c>
      <c r="J1517" s="487"/>
      <c r="K1517" s="487"/>
      <c r="L1517" s="488" t="str">
        <f t="shared" si="354"/>
        <v/>
      </c>
      <c r="M1517" s="487"/>
      <c r="N1517" s="487"/>
      <c r="O1517" s="488" t="str">
        <f t="shared" si="355"/>
        <v/>
      </c>
      <c r="P1517" s="489"/>
      <c r="Q1517" s="489"/>
      <c r="R1517" s="592" t="str">
        <f t="shared" si="356"/>
        <v/>
      </c>
      <c r="S1517" s="487"/>
      <c r="T1517" s="487"/>
      <c r="U1517" s="488" t="str">
        <f t="shared" si="357"/>
        <v/>
      </c>
      <c r="V1517" s="487"/>
      <c r="W1517" s="489"/>
      <c r="X1517" s="488" t="str">
        <f t="shared" si="358"/>
        <v/>
      </c>
      <c r="Y1517" s="489"/>
      <c r="Z1517" s="489"/>
      <c r="AA1517" s="490" t="str">
        <f t="shared" si="349"/>
        <v/>
      </c>
      <c r="AB1517" s="489"/>
      <c r="AC1517" s="489"/>
      <c r="AD1517" s="27">
        <v>610212</v>
      </c>
      <c r="AE1517" s="27" t="s">
        <v>82</v>
      </c>
      <c r="AF1517" s="432">
        <f>VLOOKUP(AD1517,[5]Hoja1!$A$10:$K$1393,11,0)</f>
        <v>0</v>
      </c>
      <c r="AG1517" s="432"/>
      <c r="AH1517" s="432">
        <f t="shared" si="362"/>
        <v>0</v>
      </c>
      <c r="AL1517" s="448"/>
      <c r="AM1517" s="467">
        <f>VLOOKUP(AD1517,[6]BV201101!$A$10:$A$1236,1,0)</f>
        <v>610212</v>
      </c>
    </row>
    <row r="1518" spans="1:39" s="467" customFormat="1" ht="12.75" customHeight="1">
      <c r="A1518" s="487" t="str">
        <f t="shared" si="348"/>
        <v>6</v>
      </c>
      <c r="B1518" s="487" t="str">
        <f t="shared" si="359"/>
        <v>10</v>
      </c>
      <c r="C1518" s="487" t="str">
        <f t="shared" si="360"/>
        <v>21</v>
      </c>
      <c r="D1518" s="487" t="str">
        <f t="shared" si="361"/>
        <v>0213</v>
      </c>
      <c r="E1518" s="487">
        <v>531201200</v>
      </c>
      <c r="F1518" s="488" t="str">
        <f t="shared" si="352"/>
        <v/>
      </c>
      <c r="G1518" s="487"/>
      <c r="H1518" s="487"/>
      <c r="I1518" s="488" t="str">
        <f t="shared" si="353"/>
        <v/>
      </c>
      <c r="J1518" s="487"/>
      <c r="K1518" s="487"/>
      <c r="L1518" s="488" t="str">
        <f t="shared" si="354"/>
        <v/>
      </c>
      <c r="M1518" s="487"/>
      <c r="N1518" s="487"/>
      <c r="O1518" s="488" t="str">
        <f t="shared" si="355"/>
        <v/>
      </c>
      <c r="P1518" s="489"/>
      <c r="Q1518" s="489"/>
      <c r="R1518" s="592" t="str">
        <f t="shared" si="356"/>
        <v/>
      </c>
      <c r="S1518" s="487"/>
      <c r="T1518" s="487"/>
      <c r="U1518" s="488" t="str">
        <f t="shared" si="357"/>
        <v/>
      </c>
      <c r="V1518" s="487"/>
      <c r="W1518" s="489"/>
      <c r="X1518" s="488" t="str">
        <f t="shared" si="358"/>
        <v/>
      </c>
      <c r="Y1518" s="489"/>
      <c r="Z1518" s="489"/>
      <c r="AA1518" s="490" t="str">
        <f t="shared" si="349"/>
        <v/>
      </c>
      <c r="AB1518" s="489"/>
      <c r="AC1518" s="489"/>
      <c r="AD1518" s="27">
        <v>610213</v>
      </c>
      <c r="AE1518" s="27" t="s">
        <v>83</v>
      </c>
      <c r="AF1518" s="432">
        <f>VLOOKUP(AD1518,[5]Hoja1!$A$10:$K$1393,11,0)</f>
        <v>0</v>
      </c>
      <c r="AG1518" s="432"/>
      <c r="AH1518" s="432">
        <f t="shared" si="362"/>
        <v>0</v>
      </c>
      <c r="AL1518" s="448"/>
      <c r="AM1518" s="467">
        <f>VLOOKUP(AD1518,[6]BV201101!$A$10:$A$1236,1,0)</f>
        <v>610213</v>
      </c>
    </row>
    <row r="1519" spans="1:39" s="467" customFormat="1" ht="12.75" customHeight="1">
      <c r="A1519" s="487" t="str">
        <f t="shared" si="348"/>
        <v>6</v>
      </c>
      <c r="B1519" s="487" t="str">
        <f t="shared" si="359"/>
        <v>10</v>
      </c>
      <c r="C1519" s="487" t="str">
        <f t="shared" si="360"/>
        <v>21</v>
      </c>
      <c r="D1519" s="487" t="str">
        <f t="shared" si="361"/>
        <v>0214</v>
      </c>
      <c r="E1519" s="487">
        <v>531201200</v>
      </c>
      <c r="F1519" s="488" t="str">
        <f t="shared" si="352"/>
        <v/>
      </c>
      <c r="G1519" s="487"/>
      <c r="H1519" s="487"/>
      <c r="I1519" s="488" t="str">
        <f t="shared" si="353"/>
        <v/>
      </c>
      <c r="J1519" s="487"/>
      <c r="K1519" s="487"/>
      <c r="L1519" s="488" t="str">
        <f t="shared" si="354"/>
        <v/>
      </c>
      <c r="M1519" s="487"/>
      <c r="N1519" s="487"/>
      <c r="O1519" s="488" t="str">
        <f t="shared" si="355"/>
        <v/>
      </c>
      <c r="P1519" s="489"/>
      <c r="Q1519" s="489"/>
      <c r="R1519" s="592" t="str">
        <f t="shared" si="356"/>
        <v/>
      </c>
      <c r="S1519" s="487"/>
      <c r="T1519" s="487"/>
      <c r="U1519" s="488" t="str">
        <f t="shared" si="357"/>
        <v/>
      </c>
      <c r="V1519" s="487"/>
      <c r="W1519" s="489"/>
      <c r="X1519" s="488" t="str">
        <f t="shared" si="358"/>
        <v/>
      </c>
      <c r="Y1519" s="489"/>
      <c r="Z1519" s="489"/>
      <c r="AA1519" s="490" t="str">
        <f t="shared" si="349"/>
        <v/>
      </c>
      <c r="AB1519" s="489"/>
      <c r="AC1519" s="489"/>
      <c r="AD1519" s="27">
        <v>610214</v>
      </c>
      <c r="AE1519" s="27" t="s">
        <v>1698</v>
      </c>
      <c r="AF1519" s="432">
        <v>0</v>
      </c>
      <c r="AG1519" s="432"/>
      <c r="AH1519" s="432">
        <f t="shared" si="362"/>
        <v>0</v>
      </c>
      <c r="AL1519" s="448"/>
      <c r="AM1519" s="467" t="e">
        <f>VLOOKUP(AD1519,[6]BV201101!$A$10:$A$1236,1,0)</f>
        <v>#N/A</v>
      </c>
    </row>
    <row r="1520" spans="1:39" s="467" customFormat="1" ht="12.75" customHeight="1">
      <c r="A1520" s="487" t="str">
        <f t="shared" si="348"/>
        <v>6</v>
      </c>
      <c r="B1520" s="487" t="str">
        <f t="shared" si="359"/>
        <v>10</v>
      </c>
      <c r="C1520" s="487" t="str">
        <f t="shared" si="360"/>
        <v>21</v>
      </c>
      <c r="D1520" s="487" t="str">
        <f t="shared" si="361"/>
        <v>0215</v>
      </c>
      <c r="E1520" s="487">
        <v>531201200</v>
      </c>
      <c r="F1520" s="488" t="str">
        <f t="shared" si="352"/>
        <v/>
      </c>
      <c r="G1520" s="487"/>
      <c r="H1520" s="487"/>
      <c r="I1520" s="488" t="str">
        <f t="shared" si="353"/>
        <v/>
      </c>
      <c r="J1520" s="487"/>
      <c r="K1520" s="487"/>
      <c r="L1520" s="488" t="str">
        <f t="shared" si="354"/>
        <v/>
      </c>
      <c r="M1520" s="487"/>
      <c r="N1520" s="487"/>
      <c r="O1520" s="488" t="str">
        <f t="shared" si="355"/>
        <v/>
      </c>
      <c r="P1520" s="489"/>
      <c r="Q1520" s="489"/>
      <c r="R1520" s="592" t="str">
        <f t="shared" si="356"/>
        <v/>
      </c>
      <c r="S1520" s="487"/>
      <c r="T1520" s="487"/>
      <c r="U1520" s="488" t="str">
        <f t="shared" si="357"/>
        <v/>
      </c>
      <c r="V1520" s="487"/>
      <c r="W1520" s="489"/>
      <c r="X1520" s="488" t="str">
        <f t="shared" si="358"/>
        <v/>
      </c>
      <c r="Y1520" s="489"/>
      <c r="Z1520" s="489"/>
      <c r="AA1520" s="490" t="str">
        <f t="shared" si="349"/>
        <v/>
      </c>
      <c r="AB1520" s="489"/>
      <c r="AC1520" s="489"/>
      <c r="AD1520" s="27">
        <v>610215</v>
      </c>
      <c r="AE1520" s="27" t="s">
        <v>1699</v>
      </c>
      <c r="AF1520" s="432">
        <f>VLOOKUP(AD1520,[5]Hoja1!$A$10:$K$1393,11,0)</f>
        <v>0</v>
      </c>
      <c r="AG1520" s="432"/>
      <c r="AH1520" s="432">
        <f t="shared" si="362"/>
        <v>0</v>
      </c>
      <c r="AL1520" s="448"/>
      <c r="AM1520" s="467">
        <f>VLOOKUP(AD1520,[6]BV201101!$A$10:$A$1236,1,0)</f>
        <v>610215</v>
      </c>
    </row>
    <row r="1521" spans="1:39" s="467" customFormat="1" ht="12.75" customHeight="1">
      <c r="A1521" s="487" t="str">
        <f t="shared" si="348"/>
        <v>6</v>
      </c>
      <c r="B1521" s="487" t="str">
        <f t="shared" si="359"/>
        <v>10</v>
      </c>
      <c r="C1521" s="487" t="str">
        <f t="shared" si="360"/>
        <v>21</v>
      </c>
      <c r="D1521" s="487" t="str">
        <f t="shared" si="361"/>
        <v>0216</v>
      </c>
      <c r="E1521" s="487">
        <v>531201200</v>
      </c>
      <c r="F1521" s="488" t="str">
        <f t="shared" si="352"/>
        <v/>
      </c>
      <c r="G1521" s="487"/>
      <c r="H1521" s="487"/>
      <c r="I1521" s="488" t="str">
        <f t="shared" si="353"/>
        <v/>
      </c>
      <c r="J1521" s="487"/>
      <c r="K1521" s="487"/>
      <c r="L1521" s="488" t="str">
        <f t="shared" si="354"/>
        <v/>
      </c>
      <c r="M1521" s="487"/>
      <c r="N1521" s="487"/>
      <c r="O1521" s="488" t="str">
        <f t="shared" si="355"/>
        <v/>
      </c>
      <c r="P1521" s="489"/>
      <c r="Q1521" s="489"/>
      <c r="R1521" s="592" t="str">
        <f t="shared" si="356"/>
        <v/>
      </c>
      <c r="S1521" s="487"/>
      <c r="T1521" s="487"/>
      <c r="U1521" s="488" t="str">
        <f t="shared" si="357"/>
        <v/>
      </c>
      <c r="V1521" s="487"/>
      <c r="W1521" s="489"/>
      <c r="X1521" s="488" t="str">
        <f t="shared" si="358"/>
        <v/>
      </c>
      <c r="Y1521" s="489"/>
      <c r="Z1521" s="489"/>
      <c r="AA1521" s="490" t="str">
        <f t="shared" si="349"/>
        <v/>
      </c>
      <c r="AB1521" s="489"/>
      <c r="AC1521" s="489"/>
      <c r="AD1521" s="27">
        <v>610216</v>
      </c>
      <c r="AE1521" s="27" t="s">
        <v>1700</v>
      </c>
      <c r="AF1521" s="432">
        <f>VLOOKUP(AD1521,[5]Hoja1!$A$10:$K$1393,11,0)</f>
        <v>0</v>
      </c>
      <c r="AG1521" s="432"/>
      <c r="AH1521" s="432">
        <f t="shared" si="362"/>
        <v>0</v>
      </c>
      <c r="AL1521" s="448"/>
      <c r="AM1521" s="467">
        <f>VLOOKUP(AD1521,[6]BV201101!$A$10:$A$1236,1,0)</f>
        <v>610216</v>
      </c>
    </row>
    <row r="1522" spans="1:39" s="467" customFormat="1" ht="12.75" customHeight="1">
      <c r="A1522" s="487" t="str">
        <f t="shared" si="348"/>
        <v>6</v>
      </c>
      <c r="B1522" s="487" t="str">
        <f t="shared" si="359"/>
        <v>10</v>
      </c>
      <c r="C1522" s="487" t="str">
        <f t="shared" si="360"/>
        <v>21</v>
      </c>
      <c r="D1522" s="487" t="str">
        <f t="shared" si="361"/>
        <v>0217</v>
      </c>
      <c r="E1522" s="487">
        <v>531201200</v>
      </c>
      <c r="F1522" s="488" t="str">
        <f t="shared" si="352"/>
        <v/>
      </c>
      <c r="G1522" s="487"/>
      <c r="H1522" s="487"/>
      <c r="I1522" s="488" t="str">
        <f t="shared" si="353"/>
        <v/>
      </c>
      <c r="J1522" s="487"/>
      <c r="K1522" s="487"/>
      <c r="L1522" s="488" t="str">
        <f t="shared" si="354"/>
        <v/>
      </c>
      <c r="M1522" s="487"/>
      <c r="N1522" s="487"/>
      <c r="O1522" s="488" t="str">
        <f t="shared" si="355"/>
        <v/>
      </c>
      <c r="P1522" s="489"/>
      <c r="Q1522" s="489"/>
      <c r="R1522" s="592" t="str">
        <f t="shared" si="356"/>
        <v/>
      </c>
      <c r="S1522" s="487"/>
      <c r="T1522" s="487"/>
      <c r="U1522" s="488" t="str">
        <f t="shared" si="357"/>
        <v/>
      </c>
      <c r="V1522" s="487"/>
      <c r="W1522" s="489"/>
      <c r="X1522" s="488" t="str">
        <f t="shared" si="358"/>
        <v/>
      </c>
      <c r="Y1522" s="489"/>
      <c r="Z1522" s="489"/>
      <c r="AA1522" s="490" t="str">
        <f t="shared" si="349"/>
        <v/>
      </c>
      <c r="AB1522" s="489"/>
      <c r="AC1522" s="489"/>
      <c r="AD1522" s="27">
        <v>610217</v>
      </c>
      <c r="AE1522" s="27" t="s">
        <v>697</v>
      </c>
      <c r="AF1522" s="432">
        <f>VLOOKUP(AD1522,[5]Hoja1!$A$10:$K$1393,11,0)</f>
        <v>4741707</v>
      </c>
      <c r="AG1522" s="432"/>
      <c r="AH1522" s="432">
        <f t="shared" si="362"/>
        <v>4742</v>
      </c>
      <c r="AL1522" s="448"/>
      <c r="AM1522" s="467">
        <f>VLOOKUP(AD1522,[6]BV201101!$A$10:$A$1236,1,0)</f>
        <v>610217</v>
      </c>
    </row>
    <row r="1523" spans="1:39" s="467" customFormat="1" ht="12.75" customHeight="1">
      <c r="A1523" s="487" t="str">
        <f t="shared" si="348"/>
        <v>6</v>
      </c>
      <c r="B1523" s="487" t="str">
        <f t="shared" si="359"/>
        <v>10</v>
      </c>
      <c r="C1523" s="487" t="str">
        <f t="shared" si="360"/>
        <v>21</v>
      </c>
      <c r="D1523" s="487" t="str">
        <f t="shared" si="361"/>
        <v>0218</v>
      </c>
      <c r="E1523" s="487">
        <v>531201200</v>
      </c>
      <c r="F1523" s="488" t="str">
        <f t="shared" si="352"/>
        <v/>
      </c>
      <c r="G1523" s="487"/>
      <c r="H1523" s="487"/>
      <c r="I1523" s="488" t="str">
        <f t="shared" si="353"/>
        <v/>
      </c>
      <c r="J1523" s="487"/>
      <c r="K1523" s="487"/>
      <c r="L1523" s="488" t="str">
        <f t="shared" si="354"/>
        <v/>
      </c>
      <c r="M1523" s="487"/>
      <c r="N1523" s="487"/>
      <c r="O1523" s="488" t="str">
        <f t="shared" si="355"/>
        <v/>
      </c>
      <c r="P1523" s="489"/>
      <c r="Q1523" s="489"/>
      <c r="R1523" s="592" t="str">
        <f t="shared" si="356"/>
        <v/>
      </c>
      <c r="S1523" s="487"/>
      <c r="T1523" s="487"/>
      <c r="U1523" s="488" t="str">
        <f t="shared" si="357"/>
        <v/>
      </c>
      <c r="V1523" s="487"/>
      <c r="W1523" s="489"/>
      <c r="X1523" s="488" t="str">
        <f t="shared" si="358"/>
        <v/>
      </c>
      <c r="Y1523" s="489"/>
      <c r="Z1523" s="489"/>
      <c r="AA1523" s="490" t="str">
        <f t="shared" si="349"/>
        <v/>
      </c>
      <c r="AB1523" s="489"/>
      <c r="AC1523" s="489"/>
      <c r="AD1523" s="27">
        <v>610218</v>
      </c>
      <c r="AE1523" s="27" t="s">
        <v>698</v>
      </c>
      <c r="AF1523" s="432">
        <v>0</v>
      </c>
      <c r="AG1523" s="432"/>
      <c r="AH1523" s="432">
        <f t="shared" si="362"/>
        <v>0</v>
      </c>
      <c r="AL1523" s="448"/>
      <c r="AM1523" s="467" t="e">
        <f>VLOOKUP(AD1523,[6]BV201101!$A$10:$A$1236,1,0)</f>
        <v>#N/A</v>
      </c>
    </row>
    <row r="1524" spans="1:39" s="467" customFormat="1" ht="12.75" customHeight="1">
      <c r="A1524" s="487" t="str">
        <f t="shared" si="348"/>
        <v>6</v>
      </c>
      <c r="B1524" s="487" t="str">
        <f t="shared" si="359"/>
        <v>10</v>
      </c>
      <c r="C1524" s="487" t="str">
        <f t="shared" si="360"/>
        <v>21</v>
      </c>
      <c r="D1524" s="487" t="str">
        <f t="shared" si="361"/>
        <v>0219</v>
      </c>
      <c r="E1524" s="487">
        <v>531201200</v>
      </c>
      <c r="F1524" s="488" t="str">
        <f t="shared" si="352"/>
        <v/>
      </c>
      <c r="G1524" s="487"/>
      <c r="H1524" s="487"/>
      <c r="I1524" s="488" t="str">
        <f t="shared" si="353"/>
        <v/>
      </c>
      <c r="J1524" s="487"/>
      <c r="K1524" s="487"/>
      <c r="L1524" s="488" t="str">
        <f t="shared" si="354"/>
        <v/>
      </c>
      <c r="M1524" s="487"/>
      <c r="N1524" s="487"/>
      <c r="O1524" s="488" t="str">
        <f t="shared" si="355"/>
        <v/>
      </c>
      <c r="P1524" s="489"/>
      <c r="Q1524" s="489"/>
      <c r="R1524" s="592" t="str">
        <f t="shared" si="356"/>
        <v/>
      </c>
      <c r="S1524" s="487"/>
      <c r="T1524" s="487"/>
      <c r="U1524" s="488" t="str">
        <f t="shared" si="357"/>
        <v/>
      </c>
      <c r="V1524" s="487"/>
      <c r="W1524" s="489"/>
      <c r="X1524" s="488" t="str">
        <f t="shared" si="358"/>
        <v/>
      </c>
      <c r="Y1524" s="489"/>
      <c r="Z1524" s="489"/>
      <c r="AA1524" s="490" t="str">
        <f t="shared" si="349"/>
        <v/>
      </c>
      <c r="AB1524" s="489"/>
      <c r="AC1524" s="489"/>
      <c r="AD1524" s="27">
        <v>610219</v>
      </c>
      <c r="AE1524" s="27" t="s">
        <v>2458</v>
      </c>
      <c r="AF1524" s="432">
        <f>VLOOKUP(AD1524,[5]Hoja1!$A$10:$K$1393,11,0)</f>
        <v>0</v>
      </c>
      <c r="AG1524" s="432"/>
      <c r="AH1524" s="432">
        <f t="shared" si="362"/>
        <v>0</v>
      </c>
      <c r="AL1524" s="448"/>
      <c r="AM1524" s="467">
        <f>VLOOKUP(AD1524,[6]BV201101!$A$10:$A$1236,1,0)</f>
        <v>610219</v>
      </c>
    </row>
    <row r="1525" spans="1:39" s="467" customFormat="1" ht="12.75" customHeight="1">
      <c r="A1525" s="487" t="str">
        <f t="shared" si="348"/>
        <v>6</v>
      </c>
      <c r="B1525" s="487" t="str">
        <f t="shared" si="359"/>
        <v>10</v>
      </c>
      <c r="C1525" s="487" t="str">
        <f t="shared" si="360"/>
        <v>22</v>
      </c>
      <c r="D1525" s="487" t="str">
        <f t="shared" si="361"/>
        <v>0220</v>
      </c>
      <c r="E1525" s="487">
        <v>531201200</v>
      </c>
      <c r="F1525" s="488" t="str">
        <f t="shared" si="352"/>
        <v/>
      </c>
      <c r="G1525" s="487"/>
      <c r="H1525" s="487"/>
      <c r="I1525" s="488" t="str">
        <f t="shared" si="353"/>
        <v/>
      </c>
      <c r="J1525" s="487"/>
      <c r="K1525" s="487"/>
      <c r="L1525" s="488" t="str">
        <f t="shared" si="354"/>
        <v/>
      </c>
      <c r="M1525" s="487"/>
      <c r="N1525" s="487"/>
      <c r="O1525" s="488" t="str">
        <f t="shared" si="355"/>
        <v/>
      </c>
      <c r="P1525" s="489"/>
      <c r="Q1525" s="489"/>
      <c r="R1525" s="592" t="str">
        <f t="shared" si="356"/>
        <v/>
      </c>
      <c r="S1525" s="487"/>
      <c r="T1525" s="487"/>
      <c r="U1525" s="488" t="str">
        <f t="shared" si="357"/>
        <v/>
      </c>
      <c r="V1525" s="487"/>
      <c r="W1525" s="489"/>
      <c r="X1525" s="488" t="str">
        <f t="shared" si="358"/>
        <v/>
      </c>
      <c r="Y1525" s="489"/>
      <c r="Z1525" s="489"/>
      <c r="AA1525" s="490" t="str">
        <f t="shared" si="349"/>
        <v/>
      </c>
      <c r="AB1525" s="489"/>
      <c r="AC1525" s="489"/>
      <c r="AD1525" s="27">
        <v>610220</v>
      </c>
      <c r="AE1525" s="27" t="s">
        <v>671</v>
      </c>
      <c r="AF1525" s="432">
        <f>VLOOKUP(AD1525,[5]Hoja1!$A$10:$K$1393,11,0)</f>
        <v>0</v>
      </c>
      <c r="AG1525" s="432"/>
      <c r="AH1525" s="432">
        <f t="shared" si="362"/>
        <v>0</v>
      </c>
      <c r="AL1525" s="448"/>
      <c r="AM1525" s="467">
        <f>VLOOKUP(AD1525,[6]BV201101!$A$10:$A$1236,1,0)</f>
        <v>610220</v>
      </c>
    </row>
    <row r="1526" spans="1:39" s="467" customFormat="1" ht="12.75" customHeight="1">
      <c r="A1526" s="487" t="str">
        <f t="shared" ref="A1526:A1589" si="363">+LEFT($AD1526,1)</f>
        <v>6</v>
      </c>
      <c r="B1526" s="487" t="str">
        <f t="shared" si="359"/>
        <v>10</v>
      </c>
      <c r="C1526" s="487" t="str">
        <f t="shared" si="360"/>
        <v>22</v>
      </c>
      <c r="D1526" s="487" t="str">
        <f t="shared" si="361"/>
        <v>0221</v>
      </c>
      <c r="E1526" s="487">
        <v>531201200</v>
      </c>
      <c r="F1526" s="488"/>
      <c r="G1526" s="487"/>
      <c r="H1526" s="487"/>
      <c r="I1526" s="488"/>
      <c r="J1526" s="487"/>
      <c r="K1526" s="487"/>
      <c r="L1526" s="488"/>
      <c r="M1526" s="487"/>
      <c r="N1526" s="487"/>
      <c r="O1526" s="488"/>
      <c r="P1526" s="489"/>
      <c r="Q1526" s="489"/>
      <c r="R1526" s="592"/>
      <c r="S1526" s="487"/>
      <c r="T1526" s="487"/>
      <c r="U1526" s="488"/>
      <c r="V1526" s="487"/>
      <c r="W1526" s="489"/>
      <c r="X1526" s="488"/>
      <c r="Y1526" s="489"/>
      <c r="Z1526" s="489"/>
      <c r="AA1526" s="490"/>
      <c r="AB1526" s="489"/>
      <c r="AC1526" s="489"/>
      <c r="AD1526" s="27">
        <v>610221</v>
      </c>
      <c r="AE1526" s="27" t="s">
        <v>531</v>
      </c>
      <c r="AF1526" s="432">
        <f>VLOOKUP(AD1526,[5]Hoja1!$A$10:$K$1393,11,0)</f>
        <v>0</v>
      </c>
      <c r="AG1526" s="432"/>
      <c r="AH1526" s="432">
        <f t="shared" si="362"/>
        <v>0</v>
      </c>
      <c r="AL1526" s="448"/>
      <c r="AM1526" s="467">
        <f>VLOOKUP(AD1526,[6]BV201101!$A$10:$A$1236,1,0)</f>
        <v>610221</v>
      </c>
    </row>
    <row r="1527" spans="1:39" s="467" customFormat="1" ht="12.75" customHeight="1">
      <c r="A1527" s="487" t="str">
        <f t="shared" si="363"/>
        <v>6</v>
      </c>
      <c r="B1527" s="487" t="str">
        <f t="shared" si="359"/>
        <v>10</v>
      </c>
      <c r="C1527" s="487" t="str">
        <f t="shared" si="360"/>
        <v>22</v>
      </c>
      <c r="D1527" s="487" t="str">
        <f t="shared" si="361"/>
        <v>0222</v>
      </c>
      <c r="E1527" s="487">
        <v>531201200</v>
      </c>
      <c r="F1527" s="488" t="str">
        <f t="shared" si="352"/>
        <v/>
      </c>
      <c r="G1527" s="487"/>
      <c r="H1527" s="487"/>
      <c r="I1527" s="488" t="str">
        <f t="shared" si="353"/>
        <v/>
      </c>
      <c r="J1527" s="487"/>
      <c r="K1527" s="487"/>
      <c r="L1527" s="488" t="str">
        <f t="shared" si="354"/>
        <v/>
      </c>
      <c r="M1527" s="487"/>
      <c r="N1527" s="487"/>
      <c r="O1527" s="488" t="str">
        <f t="shared" si="355"/>
        <v/>
      </c>
      <c r="P1527" s="489"/>
      <c r="Q1527" s="489"/>
      <c r="R1527" s="592" t="str">
        <f t="shared" si="356"/>
        <v/>
      </c>
      <c r="S1527" s="487"/>
      <c r="T1527" s="487"/>
      <c r="U1527" s="488" t="str">
        <f t="shared" si="357"/>
        <v/>
      </c>
      <c r="V1527" s="487"/>
      <c r="W1527" s="489"/>
      <c r="X1527" s="488" t="str">
        <f t="shared" si="358"/>
        <v/>
      </c>
      <c r="Y1527" s="489"/>
      <c r="Z1527" s="489"/>
      <c r="AA1527" s="490" t="str">
        <f t="shared" si="349"/>
        <v/>
      </c>
      <c r="AB1527" s="489"/>
      <c r="AC1527" s="489"/>
      <c r="AD1527" s="27">
        <v>610222</v>
      </c>
      <c r="AE1527" s="27" t="s">
        <v>672</v>
      </c>
      <c r="AF1527" s="432">
        <f>VLOOKUP(AD1527,[5]Hoja1!$A$10:$K$1393,11,0)</f>
        <v>0</v>
      </c>
      <c r="AG1527" s="432"/>
      <c r="AH1527" s="432">
        <f t="shared" si="362"/>
        <v>0</v>
      </c>
      <c r="AL1527" s="448"/>
      <c r="AM1527" s="467">
        <f>VLOOKUP(AD1527,[6]BV201101!$A$10:$A$1236,1,0)</f>
        <v>610222</v>
      </c>
    </row>
    <row r="1528" spans="1:39" s="467" customFormat="1" ht="12.75" customHeight="1">
      <c r="A1528" s="487" t="str">
        <f t="shared" si="363"/>
        <v>6</v>
      </c>
      <c r="B1528" s="487" t="str">
        <f t="shared" si="359"/>
        <v>10</v>
      </c>
      <c r="C1528" s="487" t="str">
        <f t="shared" si="360"/>
        <v>22</v>
      </c>
      <c r="D1528" s="487" t="str">
        <f t="shared" si="361"/>
        <v>0223</v>
      </c>
      <c r="E1528" s="487">
        <v>531201200</v>
      </c>
      <c r="F1528" s="488" t="str">
        <f t="shared" si="352"/>
        <v/>
      </c>
      <c r="G1528" s="487"/>
      <c r="H1528" s="487"/>
      <c r="I1528" s="488" t="str">
        <f t="shared" si="353"/>
        <v/>
      </c>
      <c r="J1528" s="487"/>
      <c r="K1528" s="487"/>
      <c r="L1528" s="488" t="str">
        <f t="shared" si="354"/>
        <v/>
      </c>
      <c r="M1528" s="487"/>
      <c r="N1528" s="487"/>
      <c r="O1528" s="488" t="str">
        <f t="shared" si="355"/>
        <v/>
      </c>
      <c r="P1528" s="489"/>
      <c r="Q1528" s="489"/>
      <c r="R1528" s="592" t="str">
        <f t="shared" si="356"/>
        <v/>
      </c>
      <c r="S1528" s="487"/>
      <c r="T1528" s="487"/>
      <c r="U1528" s="488" t="str">
        <f t="shared" si="357"/>
        <v/>
      </c>
      <c r="V1528" s="487"/>
      <c r="W1528" s="489"/>
      <c r="X1528" s="488" t="str">
        <f t="shared" si="358"/>
        <v/>
      </c>
      <c r="Y1528" s="489"/>
      <c r="Z1528" s="489"/>
      <c r="AA1528" s="490" t="str">
        <f t="shared" si="349"/>
        <v/>
      </c>
      <c r="AB1528" s="489"/>
      <c r="AC1528" s="489"/>
      <c r="AD1528" s="27">
        <v>610223</v>
      </c>
      <c r="AE1528" s="27" t="s">
        <v>673</v>
      </c>
      <c r="AF1528" s="432">
        <f>VLOOKUP(AD1528,[5]Hoja1!$A$10:$K$1393,11,0)</f>
        <v>0</v>
      </c>
      <c r="AG1528" s="432"/>
      <c r="AH1528" s="432">
        <f t="shared" si="362"/>
        <v>0</v>
      </c>
      <c r="AL1528" s="448"/>
      <c r="AM1528" s="467">
        <f>VLOOKUP(AD1528,[6]BV201101!$A$10:$A$1236,1,0)</f>
        <v>610223</v>
      </c>
    </row>
    <row r="1529" spans="1:39" s="467" customFormat="1" ht="12.75" customHeight="1">
      <c r="A1529" s="487" t="str">
        <f t="shared" si="363"/>
        <v>6</v>
      </c>
      <c r="B1529" s="487" t="str">
        <f t="shared" si="359"/>
        <v>10</v>
      </c>
      <c r="C1529" s="487" t="str">
        <f t="shared" si="360"/>
        <v>22</v>
      </c>
      <c r="D1529" s="487" t="str">
        <f t="shared" si="361"/>
        <v>0224</v>
      </c>
      <c r="E1529" s="487">
        <v>531201200</v>
      </c>
      <c r="F1529" s="488"/>
      <c r="G1529" s="487"/>
      <c r="H1529" s="487"/>
      <c r="I1529" s="488"/>
      <c r="J1529" s="487"/>
      <c r="K1529" s="487"/>
      <c r="L1529" s="488"/>
      <c r="M1529" s="487"/>
      <c r="N1529" s="487"/>
      <c r="O1529" s="488"/>
      <c r="P1529" s="489"/>
      <c r="Q1529" s="489"/>
      <c r="R1529" s="592"/>
      <c r="S1529" s="487"/>
      <c r="T1529" s="487"/>
      <c r="U1529" s="488"/>
      <c r="V1529" s="487"/>
      <c r="W1529" s="489"/>
      <c r="X1529" s="488"/>
      <c r="Y1529" s="489"/>
      <c r="Z1529" s="489"/>
      <c r="AA1529" s="490"/>
      <c r="AB1529" s="489"/>
      <c r="AC1529" s="489"/>
      <c r="AD1529" s="27">
        <v>610224</v>
      </c>
      <c r="AE1529" s="27" t="s">
        <v>532</v>
      </c>
      <c r="AF1529" s="432">
        <f>VLOOKUP(AD1529,[5]Hoja1!$A$10:$K$1393,11,0)</f>
        <v>0</v>
      </c>
      <c r="AG1529" s="432"/>
      <c r="AH1529" s="432">
        <f t="shared" si="362"/>
        <v>0</v>
      </c>
      <c r="AL1529" s="448"/>
      <c r="AM1529" s="467">
        <f>VLOOKUP(AD1529,[6]BV201101!$A$10:$A$1236,1,0)</f>
        <v>610224</v>
      </c>
    </row>
    <row r="1530" spans="1:39" s="467" customFormat="1" ht="12.75" customHeight="1">
      <c r="A1530" s="487" t="str">
        <f t="shared" si="363"/>
        <v>6</v>
      </c>
      <c r="B1530" s="487" t="str">
        <f t="shared" si="359"/>
        <v>10</v>
      </c>
      <c r="C1530" s="487" t="str">
        <f t="shared" si="360"/>
        <v>22</v>
      </c>
      <c r="D1530" s="487" t="str">
        <f t="shared" si="361"/>
        <v>0225</v>
      </c>
      <c r="E1530" s="487">
        <v>531201200</v>
      </c>
      <c r="F1530" s="488"/>
      <c r="G1530" s="487"/>
      <c r="H1530" s="487"/>
      <c r="I1530" s="488"/>
      <c r="J1530" s="487"/>
      <c r="K1530" s="487"/>
      <c r="L1530" s="488"/>
      <c r="M1530" s="487"/>
      <c r="N1530" s="487"/>
      <c r="O1530" s="488"/>
      <c r="P1530" s="489"/>
      <c r="Q1530" s="489"/>
      <c r="R1530" s="592"/>
      <c r="S1530" s="487"/>
      <c r="T1530" s="487"/>
      <c r="U1530" s="488"/>
      <c r="V1530" s="487"/>
      <c r="W1530" s="489"/>
      <c r="X1530" s="488"/>
      <c r="Y1530" s="489"/>
      <c r="Z1530" s="489"/>
      <c r="AA1530" s="490"/>
      <c r="AB1530" s="489"/>
      <c r="AC1530" s="489"/>
      <c r="AD1530" s="27">
        <v>610225</v>
      </c>
      <c r="AE1530" s="27" t="s">
        <v>1528</v>
      </c>
      <c r="AF1530" s="432">
        <f>VLOOKUP(AD1530,[5]Hoja1!$A$10:$K$1393,11,0)</f>
        <v>0</v>
      </c>
      <c r="AG1530" s="432"/>
      <c r="AH1530" s="432">
        <f t="shared" si="362"/>
        <v>0</v>
      </c>
      <c r="AL1530" s="448"/>
      <c r="AM1530" s="467">
        <f>VLOOKUP(AD1530,[6]BV201101!$A$10:$A$1236,1,0)</f>
        <v>610225</v>
      </c>
    </row>
    <row r="1531" spans="1:39" s="467" customFormat="1" ht="12.75" customHeight="1">
      <c r="A1531" s="487" t="str">
        <f t="shared" si="363"/>
        <v>6</v>
      </c>
      <c r="B1531" s="487" t="str">
        <f t="shared" si="359"/>
        <v>10</v>
      </c>
      <c r="C1531" s="487" t="str">
        <f t="shared" si="360"/>
        <v>22</v>
      </c>
      <c r="D1531" s="487" t="str">
        <f t="shared" si="361"/>
        <v>0226</v>
      </c>
      <c r="E1531" s="487">
        <v>531201200</v>
      </c>
      <c r="F1531" s="488"/>
      <c r="G1531" s="487"/>
      <c r="H1531" s="487"/>
      <c r="I1531" s="488"/>
      <c r="J1531" s="487"/>
      <c r="K1531" s="487"/>
      <c r="L1531" s="488"/>
      <c r="M1531" s="487"/>
      <c r="N1531" s="487"/>
      <c r="O1531" s="488"/>
      <c r="P1531" s="489"/>
      <c r="Q1531" s="489"/>
      <c r="R1531" s="592"/>
      <c r="S1531" s="487"/>
      <c r="T1531" s="487"/>
      <c r="U1531" s="488"/>
      <c r="V1531" s="487"/>
      <c r="W1531" s="489"/>
      <c r="X1531" s="488"/>
      <c r="Y1531" s="489"/>
      <c r="Z1531" s="489"/>
      <c r="AA1531" s="490"/>
      <c r="AB1531" s="489"/>
      <c r="AC1531" s="489"/>
      <c r="AD1531" s="27">
        <v>610226</v>
      </c>
      <c r="AE1531" s="27" t="s">
        <v>1669</v>
      </c>
      <c r="AF1531" s="432">
        <f>VLOOKUP(AD1531,[5]Hoja1!$A$10:$K$1393,11,0)</f>
        <v>1246240389</v>
      </c>
      <c r="AG1531" s="432"/>
      <c r="AH1531" s="432">
        <f t="shared" si="362"/>
        <v>1246240</v>
      </c>
      <c r="AL1531" s="448"/>
      <c r="AM1531" s="467">
        <f>VLOOKUP(AD1531,[6]BV201101!$A$10:$A$1236,1,0)</f>
        <v>610226</v>
      </c>
    </row>
    <row r="1532" spans="1:39" s="467" customFormat="1" ht="12.75" customHeight="1">
      <c r="A1532" s="487" t="str">
        <f t="shared" si="363"/>
        <v>6</v>
      </c>
      <c r="B1532" s="487" t="str">
        <f t="shared" si="359"/>
        <v>10</v>
      </c>
      <c r="C1532" s="487" t="str">
        <f t="shared" si="360"/>
        <v>22</v>
      </c>
      <c r="D1532" s="487" t="str">
        <f t="shared" si="361"/>
        <v>0227</v>
      </c>
      <c r="E1532" s="487">
        <v>531201200</v>
      </c>
      <c r="F1532" s="488"/>
      <c r="G1532" s="487"/>
      <c r="H1532" s="487"/>
      <c r="I1532" s="488"/>
      <c r="J1532" s="487"/>
      <c r="K1532" s="487"/>
      <c r="L1532" s="488"/>
      <c r="M1532" s="487"/>
      <c r="N1532" s="487"/>
      <c r="O1532" s="488"/>
      <c r="P1532" s="489"/>
      <c r="Q1532" s="489"/>
      <c r="R1532" s="592"/>
      <c r="S1532" s="487"/>
      <c r="T1532" s="487"/>
      <c r="U1532" s="488"/>
      <c r="V1532" s="487"/>
      <c r="W1532" s="489"/>
      <c r="X1532" s="488"/>
      <c r="Y1532" s="489"/>
      <c r="Z1532" s="489"/>
      <c r="AA1532" s="490"/>
      <c r="AB1532" s="489"/>
      <c r="AC1532" s="489"/>
      <c r="AD1532" s="27">
        <v>610227</v>
      </c>
      <c r="AE1532" s="27" t="s">
        <v>2459</v>
      </c>
      <c r="AF1532" s="432">
        <f>VLOOKUP(AD1532,[5]Hoja1!$A$10:$K$1393,11,0)</f>
        <v>0</v>
      </c>
      <c r="AG1532" s="432"/>
      <c r="AH1532" s="432">
        <f t="shared" si="362"/>
        <v>0</v>
      </c>
      <c r="AL1532" s="448"/>
      <c r="AM1532" s="467">
        <f>VLOOKUP(AD1532,[6]BV201101!$A$10:$A$1236,1,0)</f>
        <v>610227</v>
      </c>
    </row>
    <row r="1533" spans="1:39" s="467" customFormat="1" ht="12.75" customHeight="1">
      <c r="A1533" s="487" t="str">
        <f t="shared" si="363"/>
        <v>6</v>
      </c>
      <c r="B1533" s="487" t="str">
        <f t="shared" si="359"/>
        <v>10</v>
      </c>
      <c r="C1533" s="487" t="str">
        <f t="shared" si="360"/>
        <v>22</v>
      </c>
      <c r="D1533" s="487" t="str">
        <f t="shared" si="361"/>
        <v>0228</v>
      </c>
      <c r="E1533" s="487">
        <v>531201200</v>
      </c>
      <c r="F1533" s="488"/>
      <c r="G1533" s="487"/>
      <c r="H1533" s="487"/>
      <c r="I1533" s="488"/>
      <c r="J1533" s="487"/>
      <c r="K1533" s="487"/>
      <c r="L1533" s="488"/>
      <c r="M1533" s="487"/>
      <c r="N1533" s="487"/>
      <c r="O1533" s="488"/>
      <c r="P1533" s="489"/>
      <c r="Q1533" s="489"/>
      <c r="R1533" s="592"/>
      <c r="S1533" s="487"/>
      <c r="T1533" s="487"/>
      <c r="U1533" s="488"/>
      <c r="V1533" s="487"/>
      <c r="W1533" s="489"/>
      <c r="X1533" s="488"/>
      <c r="Y1533" s="489"/>
      <c r="Z1533" s="489"/>
      <c r="AA1533" s="490"/>
      <c r="AB1533" s="489"/>
      <c r="AC1533" s="489"/>
      <c r="AD1533" s="27">
        <v>610228</v>
      </c>
      <c r="AE1533" s="27" t="s">
        <v>2460</v>
      </c>
      <c r="AF1533" s="432">
        <f>VLOOKUP(AD1533,[5]Hoja1!$A$10:$K$1393,11,0)</f>
        <v>0</v>
      </c>
      <c r="AG1533" s="432"/>
      <c r="AH1533" s="432">
        <f t="shared" si="362"/>
        <v>0</v>
      </c>
      <c r="AL1533" s="448"/>
      <c r="AM1533" s="467">
        <f>VLOOKUP(AD1533,[6]BV201101!$A$10:$A$1236,1,0)</f>
        <v>610228</v>
      </c>
    </row>
    <row r="1534" spans="1:39" s="467" customFormat="1" ht="12.75" customHeight="1">
      <c r="A1534" s="487" t="str">
        <f t="shared" si="363"/>
        <v>6</v>
      </c>
      <c r="B1534" s="487" t="str">
        <f t="shared" si="359"/>
        <v>10</v>
      </c>
      <c r="C1534" s="487" t="str">
        <f t="shared" si="360"/>
        <v>22</v>
      </c>
      <c r="D1534" s="487" t="str">
        <f t="shared" si="361"/>
        <v>0229</v>
      </c>
      <c r="E1534" s="487">
        <v>531201200</v>
      </c>
      <c r="F1534" s="488"/>
      <c r="G1534" s="487"/>
      <c r="H1534" s="487"/>
      <c r="I1534" s="488"/>
      <c r="J1534" s="487"/>
      <c r="K1534" s="487"/>
      <c r="L1534" s="488"/>
      <c r="M1534" s="487"/>
      <c r="N1534" s="487"/>
      <c r="O1534" s="488"/>
      <c r="P1534" s="489"/>
      <c r="Q1534" s="489"/>
      <c r="R1534" s="592"/>
      <c r="S1534" s="487"/>
      <c r="T1534" s="487"/>
      <c r="U1534" s="488"/>
      <c r="V1534" s="487"/>
      <c r="W1534" s="489"/>
      <c r="X1534" s="488"/>
      <c r="Y1534" s="489"/>
      <c r="Z1534" s="489"/>
      <c r="AA1534" s="490"/>
      <c r="AB1534" s="489"/>
      <c r="AC1534" s="489"/>
      <c r="AD1534" s="27">
        <v>610229</v>
      </c>
      <c r="AE1534" s="27" t="s">
        <v>2461</v>
      </c>
      <c r="AF1534" s="432">
        <f>VLOOKUP(AD1534,[5]Hoja1!$A$10:$K$1393,11,0)</f>
        <v>160920192</v>
      </c>
      <c r="AG1534" s="432"/>
      <c r="AH1534" s="432">
        <f t="shared" si="362"/>
        <v>160920</v>
      </c>
      <c r="AL1534" s="448"/>
      <c r="AM1534" s="467">
        <f>VLOOKUP(AD1534,[6]BV201101!$A$10:$A$1236,1,0)</f>
        <v>610229</v>
      </c>
    </row>
    <row r="1535" spans="1:39" s="467" customFormat="1" ht="12.75" customHeight="1">
      <c r="A1535" s="487" t="str">
        <f t="shared" si="363"/>
        <v>6</v>
      </c>
      <c r="B1535" s="487" t="str">
        <f t="shared" si="359"/>
        <v>10</v>
      </c>
      <c r="C1535" s="487" t="str">
        <f t="shared" si="360"/>
        <v>23</v>
      </c>
      <c r="D1535" s="487" t="str">
        <f t="shared" si="361"/>
        <v>0230</v>
      </c>
      <c r="E1535" s="487">
        <v>531201200</v>
      </c>
      <c r="F1535" s="488"/>
      <c r="G1535" s="487"/>
      <c r="H1535" s="487"/>
      <c r="I1535" s="488"/>
      <c r="J1535" s="487"/>
      <c r="K1535" s="487"/>
      <c r="L1535" s="488"/>
      <c r="M1535" s="487"/>
      <c r="N1535" s="487"/>
      <c r="O1535" s="488"/>
      <c r="P1535" s="489"/>
      <c r="Q1535" s="489"/>
      <c r="R1535" s="592"/>
      <c r="S1535" s="487"/>
      <c r="T1535" s="487"/>
      <c r="U1535" s="488"/>
      <c r="V1535" s="487"/>
      <c r="W1535" s="489"/>
      <c r="X1535" s="488"/>
      <c r="Y1535" s="489"/>
      <c r="Z1535" s="489"/>
      <c r="AA1535" s="490"/>
      <c r="AB1535" s="489"/>
      <c r="AC1535" s="489"/>
      <c r="AD1535" s="27">
        <v>610230</v>
      </c>
      <c r="AE1535" s="27" t="s">
        <v>2462</v>
      </c>
      <c r="AF1535" s="432">
        <f>VLOOKUP(AD1535,[5]Hoja1!$A$10:$K$1393,11,0)</f>
        <v>34063531</v>
      </c>
      <c r="AG1535" s="432"/>
      <c r="AH1535" s="432">
        <f t="shared" si="362"/>
        <v>34064</v>
      </c>
      <c r="AL1535" s="448"/>
      <c r="AM1535" s="467">
        <f>VLOOKUP(AD1535,[6]BV201101!$A$10:$A$1236,1,0)</f>
        <v>610230</v>
      </c>
    </row>
    <row r="1536" spans="1:39" s="467" customFormat="1" ht="12.75" customHeight="1">
      <c r="A1536" s="487" t="str">
        <f t="shared" si="363"/>
        <v>6</v>
      </c>
      <c r="B1536" s="487" t="str">
        <f t="shared" si="359"/>
        <v>10</v>
      </c>
      <c r="C1536" s="487" t="str">
        <f t="shared" si="360"/>
        <v>23</v>
      </c>
      <c r="D1536" s="487" t="str">
        <f t="shared" si="361"/>
        <v>0231</v>
      </c>
      <c r="E1536" s="487">
        <v>531201200</v>
      </c>
      <c r="F1536" s="488"/>
      <c r="G1536" s="487"/>
      <c r="H1536" s="487"/>
      <c r="I1536" s="488"/>
      <c r="J1536" s="487"/>
      <c r="K1536" s="487"/>
      <c r="L1536" s="488"/>
      <c r="M1536" s="487"/>
      <c r="N1536" s="487"/>
      <c r="O1536" s="488"/>
      <c r="P1536" s="489"/>
      <c r="Q1536" s="489"/>
      <c r="R1536" s="592"/>
      <c r="S1536" s="487"/>
      <c r="T1536" s="487"/>
      <c r="U1536" s="488"/>
      <c r="V1536" s="487"/>
      <c r="W1536" s="489"/>
      <c r="X1536" s="488"/>
      <c r="Y1536" s="489"/>
      <c r="Z1536" s="489"/>
      <c r="AA1536" s="490"/>
      <c r="AB1536" s="489"/>
      <c r="AC1536" s="489"/>
      <c r="AD1536" s="27">
        <v>610231</v>
      </c>
      <c r="AE1536" s="27" t="s">
        <v>2640</v>
      </c>
      <c r="AF1536" s="432">
        <f>VLOOKUP(AD1536,[5]Hoja1!$A$10:$K$1393,11,0)</f>
        <v>60683744</v>
      </c>
      <c r="AG1536" s="432">
        <v>0</v>
      </c>
      <c r="AH1536" s="432">
        <f t="shared" si="362"/>
        <v>60684</v>
      </c>
      <c r="AL1536" s="448"/>
    </row>
    <row r="1537" spans="1:39" s="467" customFormat="1" ht="12.75" customHeight="1">
      <c r="A1537" s="487" t="str">
        <f t="shared" si="363"/>
        <v>6</v>
      </c>
      <c r="B1537" s="487" t="str">
        <f t="shared" si="359"/>
        <v>10</v>
      </c>
      <c r="C1537" s="487" t="str">
        <f t="shared" si="360"/>
        <v>30</v>
      </c>
      <c r="D1537" s="487" t="str">
        <f t="shared" si="361"/>
        <v>0301</v>
      </c>
      <c r="E1537" s="487">
        <v>531201200</v>
      </c>
      <c r="F1537" s="488" t="str">
        <f t="shared" si="352"/>
        <v/>
      </c>
      <c r="G1537" s="487"/>
      <c r="H1537" s="487"/>
      <c r="I1537" s="488" t="str">
        <f t="shared" si="353"/>
        <v/>
      </c>
      <c r="J1537" s="487"/>
      <c r="K1537" s="487"/>
      <c r="L1537" s="488" t="str">
        <f t="shared" si="354"/>
        <v/>
      </c>
      <c r="M1537" s="487"/>
      <c r="N1537" s="487"/>
      <c r="O1537" s="488" t="str">
        <f t="shared" si="355"/>
        <v/>
      </c>
      <c r="P1537" s="489"/>
      <c r="Q1537" s="489"/>
      <c r="R1537" s="592" t="str">
        <f t="shared" si="356"/>
        <v/>
      </c>
      <c r="S1537" s="487"/>
      <c r="T1537" s="487"/>
      <c r="U1537" s="488" t="str">
        <f t="shared" si="357"/>
        <v/>
      </c>
      <c r="V1537" s="487"/>
      <c r="W1537" s="489"/>
      <c r="X1537" s="488" t="str">
        <f t="shared" si="358"/>
        <v/>
      </c>
      <c r="Y1537" s="489"/>
      <c r="Z1537" s="489"/>
      <c r="AA1537" s="490" t="str">
        <f t="shared" si="349"/>
        <v/>
      </c>
      <c r="AB1537" s="489"/>
      <c r="AC1537" s="489"/>
      <c r="AD1537" s="27">
        <v>610301</v>
      </c>
      <c r="AE1537" s="27" t="s">
        <v>1535</v>
      </c>
      <c r="AF1537" s="432">
        <f>VLOOKUP(AD1537,[5]Hoja1!$A$10:$K$1393,11,0)</f>
        <v>118444308</v>
      </c>
      <c r="AG1537" s="432"/>
      <c r="AH1537" s="432">
        <f t="shared" si="362"/>
        <v>118444</v>
      </c>
      <c r="AL1537" s="448"/>
      <c r="AM1537" s="467">
        <f>VLOOKUP(AD1537,[6]BV201101!$A$10:$A$1236,1,0)</f>
        <v>610301</v>
      </c>
    </row>
    <row r="1538" spans="1:39" s="467" customFormat="1" ht="12.75" customHeight="1">
      <c r="A1538" s="487" t="str">
        <f t="shared" si="363"/>
        <v>6</v>
      </c>
      <c r="B1538" s="487" t="str">
        <f t="shared" si="359"/>
        <v>10</v>
      </c>
      <c r="C1538" s="487" t="str">
        <f t="shared" si="360"/>
        <v>30</v>
      </c>
      <c r="D1538" s="487" t="str">
        <f t="shared" si="361"/>
        <v>0302</v>
      </c>
      <c r="E1538" s="487">
        <v>531201200</v>
      </c>
      <c r="F1538" s="488" t="str">
        <f t="shared" si="352"/>
        <v/>
      </c>
      <c r="G1538" s="487"/>
      <c r="H1538" s="487"/>
      <c r="I1538" s="488" t="str">
        <f t="shared" si="353"/>
        <v/>
      </c>
      <c r="J1538" s="487"/>
      <c r="K1538" s="487"/>
      <c r="L1538" s="488" t="str">
        <f t="shared" si="354"/>
        <v/>
      </c>
      <c r="M1538" s="487"/>
      <c r="N1538" s="487"/>
      <c r="O1538" s="488" t="str">
        <f t="shared" si="355"/>
        <v/>
      </c>
      <c r="P1538" s="489"/>
      <c r="Q1538" s="489"/>
      <c r="R1538" s="592" t="str">
        <f t="shared" si="356"/>
        <v/>
      </c>
      <c r="S1538" s="487"/>
      <c r="T1538" s="487"/>
      <c r="U1538" s="488" t="str">
        <f t="shared" si="357"/>
        <v/>
      </c>
      <c r="V1538" s="487"/>
      <c r="W1538" s="489"/>
      <c r="X1538" s="488" t="str">
        <f t="shared" si="358"/>
        <v/>
      </c>
      <c r="Y1538" s="489"/>
      <c r="Z1538" s="489"/>
      <c r="AA1538" s="490" t="str">
        <f t="shared" si="349"/>
        <v/>
      </c>
      <c r="AB1538" s="489"/>
      <c r="AC1538" s="489"/>
      <c r="AD1538" s="27">
        <v>610302</v>
      </c>
      <c r="AE1538" s="27" t="s">
        <v>918</v>
      </c>
      <c r="AF1538" s="432">
        <f>VLOOKUP(AD1538,[5]Hoja1!$A$10:$K$1393,11,0)</f>
        <v>71781</v>
      </c>
      <c r="AG1538" s="432"/>
      <c r="AH1538" s="432">
        <f t="shared" si="362"/>
        <v>72</v>
      </c>
      <c r="AL1538" s="448"/>
      <c r="AM1538" s="467">
        <f>VLOOKUP(AD1538,[6]BV201101!$A$10:$A$1236,1,0)</f>
        <v>610302</v>
      </c>
    </row>
    <row r="1539" spans="1:39" s="467" customFormat="1" ht="12.75" customHeight="1">
      <c r="A1539" s="487" t="str">
        <f t="shared" si="363"/>
        <v>6</v>
      </c>
      <c r="B1539" s="487" t="str">
        <f t="shared" si="359"/>
        <v>10</v>
      </c>
      <c r="C1539" s="487" t="str">
        <f t="shared" si="360"/>
        <v>30</v>
      </c>
      <c r="D1539" s="487" t="str">
        <f t="shared" si="361"/>
        <v>0303</v>
      </c>
      <c r="E1539" s="487">
        <v>531201200</v>
      </c>
      <c r="F1539" s="488" t="str">
        <f t="shared" si="352"/>
        <v/>
      </c>
      <c r="G1539" s="487"/>
      <c r="H1539" s="487"/>
      <c r="I1539" s="488" t="str">
        <f t="shared" si="353"/>
        <v/>
      </c>
      <c r="J1539" s="487"/>
      <c r="K1539" s="487"/>
      <c r="L1539" s="488" t="str">
        <f t="shared" si="354"/>
        <v/>
      </c>
      <c r="M1539" s="487"/>
      <c r="N1539" s="487"/>
      <c r="O1539" s="488" t="str">
        <f t="shared" si="355"/>
        <v/>
      </c>
      <c r="P1539" s="489"/>
      <c r="Q1539" s="489"/>
      <c r="R1539" s="592" t="str">
        <f t="shared" si="356"/>
        <v/>
      </c>
      <c r="S1539" s="487"/>
      <c r="T1539" s="487"/>
      <c r="U1539" s="488" t="str">
        <f t="shared" si="357"/>
        <v/>
      </c>
      <c r="V1539" s="487"/>
      <c r="W1539" s="489"/>
      <c r="X1539" s="488" t="str">
        <f t="shared" si="358"/>
        <v/>
      </c>
      <c r="Y1539" s="489"/>
      <c r="Z1539" s="489"/>
      <c r="AA1539" s="490" t="str">
        <f t="shared" si="349"/>
        <v/>
      </c>
      <c r="AB1539" s="489"/>
      <c r="AC1539" s="489"/>
      <c r="AD1539" s="27">
        <v>610303</v>
      </c>
      <c r="AE1539" s="27" t="s">
        <v>919</v>
      </c>
      <c r="AF1539" s="432">
        <f>VLOOKUP(AD1539,[5]Hoja1!$A$10:$K$1393,11,0)</f>
        <v>36750956</v>
      </c>
      <c r="AG1539" s="432"/>
      <c r="AH1539" s="432">
        <f t="shared" si="362"/>
        <v>36751</v>
      </c>
      <c r="AL1539" s="448"/>
      <c r="AM1539" s="467">
        <f>VLOOKUP(AD1539,[6]BV201101!$A$10:$A$1236,1,0)</f>
        <v>610303</v>
      </c>
    </row>
    <row r="1540" spans="1:39" s="467" customFormat="1" ht="12.75" customHeight="1">
      <c r="A1540" s="487" t="str">
        <f t="shared" si="363"/>
        <v>6</v>
      </c>
      <c r="B1540" s="487" t="str">
        <f t="shared" si="359"/>
        <v>10</v>
      </c>
      <c r="C1540" s="487" t="str">
        <f t="shared" si="360"/>
        <v>30</v>
      </c>
      <c r="D1540" s="487" t="str">
        <f t="shared" si="361"/>
        <v>0304</v>
      </c>
      <c r="E1540" s="487">
        <v>531201200</v>
      </c>
      <c r="F1540" s="488" t="str">
        <f t="shared" si="352"/>
        <v/>
      </c>
      <c r="G1540" s="487"/>
      <c r="H1540" s="487"/>
      <c r="I1540" s="488" t="str">
        <f t="shared" si="353"/>
        <v/>
      </c>
      <c r="J1540" s="487"/>
      <c r="K1540" s="487"/>
      <c r="L1540" s="488" t="str">
        <f t="shared" si="354"/>
        <v/>
      </c>
      <c r="M1540" s="487"/>
      <c r="N1540" s="487"/>
      <c r="O1540" s="488" t="str">
        <f t="shared" si="355"/>
        <v/>
      </c>
      <c r="P1540" s="489"/>
      <c r="Q1540" s="489"/>
      <c r="R1540" s="592" t="str">
        <f t="shared" si="356"/>
        <v/>
      </c>
      <c r="S1540" s="487"/>
      <c r="T1540" s="487"/>
      <c r="U1540" s="488" t="str">
        <f t="shared" si="357"/>
        <v/>
      </c>
      <c r="V1540" s="487"/>
      <c r="W1540" s="489"/>
      <c r="X1540" s="488" t="str">
        <f t="shared" si="358"/>
        <v/>
      </c>
      <c r="Y1540" s="489"/>
      <c r="Z1540" s="489"/>
      <c r="AA1540" s="490" t="str">
        <f t="shared" si="349"/>
        <v/>
      </c>
      <c r="AB1540" s="489"/>
      <c r="AC1540" s="489"/>
      <c r="AD1540" s="27">
        <v>610304</v>
      </c>
      <c r="AE1540" s="27" t="s">
        <v>921</v>
      </c>
      <c r="AF1540" s="432">
        <f>VLOOKUP(AD1540,[5]Hoja1!$A$10:$K$1393,11,0)</f>
        <v>27557805</v>
      </c>
      <c r="AG1540" s="432"/>
      <c r="AH1540" s="432">
        <f t="shared" si="362"/>
        <v>27558</v>
      </c>
      <c r="AL1540" s="448"/>
      <c r="AM1540" s="467">
        <f>VLOOKUP(AD1540,[6]BV201101!$A$10:$A$1236,1,0)</f>
        <v>610304</v>
      </c>
    </row>
    <row r="1541" spans="1:39" s="467" customFormat="1" ht="12.75" customHeight="1">
      <c r="A1541" s="487" t="str">
        <f t="shared" si="363"/>
        <v>6</v>
      </c>
      <c r="B1541" s="487" t="str">
        <f t="shared" si="359"/>
        <v>10</v>
      </c>
      <c r="C1541" s="487" t="str">
        <f t="shared" si="360"/>
        <v>30</v>
      </c>
      <c r="D1541" s="487" t="str">
        <f t="shared" si="361"/>
        <v>0305</v>
      </c>
      <c r="E1541" s="487">
        <v>531201200</v>
      </c>
      <c r="F1541" s="488" t="str">
        <f t="shared" si="352"/>
        <v/>
      </c>
      <c r="G1541" s="487"/>
      <c r="H1541" s="487"/>
      <c r="I1541" s="488" t="str">
        <f t="shared" si="353"/>
        <v/>
      </c>
      <c r="J1541" s="487"/>
      <c r="K1541" s="487"/>
      <c r="L1541" s="488" t="str">
        <f t="shared" si="354"/>
        <v/>
      </c>
      <c r="M1541" s="487"/>
      <c r="N1541" s="487"/>
      <c r="O1541" s="488" t="str">
        <f t="shared" si="355"/>
        <v/>
      </c>
      <c r="P1541" s="489"/>
      <c r="Q1541" s="489"/>
      <c r="R1541" s="592" t="str">
        <f t="shared" si="356"/>
        <v/>
      </c>
      <c r="S1541" s="487"/>
      <c r="T1541" s="487"/>
      <c r="U1541" s="488" t="str">
        <f t="shared" si="357"/>
        <v/>
      </c>
      <c r="V1541" s="487"/>
      <c r="W1541" s="489"/>
      <c r="X1541" s="488" t="str">
        <f t="shared" si="358"/>
        <v/>
      </c>
      <c r="Y1541" s="489"/>
      <c r="Z1541" s="489"/>
      <c r="AA1541" s="490" t="str">
        <f t="shared" si="349"/>
        <v/>
      </c>
      <c r="AB1541" s="489"/>
      <c r="AC1541" s="489"/>
      <c r="AD1541" s="27">
        <v>610305</v>
      </c>
      <c r="AE1541" s="27" t="s">
        <v>2463</v>
      </c>
      <c r="AF1541" s="432">
        <f>VLOOKUP(AD1541,[5]Hoja1!$A$10:$K$1393,11,0)</f>
        <v>4438008</v>
      </c>
      <c r="AG1541" s="432"/>
      <c r="AH1541" s="432">
        <f t="shared" si="362"/>
        <v>4438</v>
      </c>
      <c r="AL1541" s="448"/>
      <c r="AM1541" s="467">
        <f>VLOOKUP(AD1541,[6]BV201101!$A$10:$A$1236,1,0)</f>
        <v>610305</v>
      </c>
    </row>
    <row r="1542" spans="1:39" s="467" customFormat="1" ht="12.75" customHeight="1">
      <c r="A1542" s="487" t="str">
        <f t="shared" si="363"/>
        <v>6</v>
      </c>
      <c r="B1542" s="487" t="str">
        <f t="shared" si="359"/>
        <v>10</v>
      </c>
      <c r="C1542" s="487" t="str">
        <f t="shared" si="360"/>
        <v>30</v>
      </c>
      <c r="D1542" s="487" t="str">
        <f t="shared" si="361"/>
        <v>0306</v>
      </c>
      <c r="E1542" s="487">
        <v>531201200</v>
      </c>
      <c r="F1542" s="488" t="str">
        <f t="shared" si="352"/>
        <v/>
      </c>
      <c r="G1542" s="487"/>
      <c r="H1542" s="487"/>
      <c r="I1542" s="488" t="str">
        <f t="shared" si="353"/>
        <v/>
      </c>
      <c r="J1542" s="487"/>
      <c r="K1542" s="487"/>
      <c r="L1542" s="488" t="str">
        <f t="shared" si="354"/>
        <v/>
      </c>
      <c r="M1542" s="487"/>
      <c r="N1542" s="487"/>
      <c r="O1542" s="488" t="str">
        <f t="shared" si="355"/>
        <v/>
      </c>
      <c r="P1542" s="489"/>
      <c r="Q1542" s="489"/>
      <c r="R1542" s="592" t="str">
        <f t="shared" si="356"/>
        <v/>
      </c>
      <c r="S1542" s="487"/>
      <c r="T1542" s="487"/>
      <c r="U1542" s="488" t="str">
        <f t="shared" si="357"/>
        <v/>
      </c>
      <c r="V1542" s="487"/>
      <c r="W1542" s="489"/>
      <c r="X1542" s="488" t="str">
        <f t="shared" si="358"/>
        <v/>
      </c>
      <c r="Y1542" s="489"/>
      <c r="Z1542" s="489"/>
      <c r="AA1542" s="490" t="str">
        <f t="shared" si="349"/>
        <v/>
      </c>
      <c r="AB1542" s="489"/>
      <c r="AC1542" s="489"/>
      <c r="AD1542" s="27">
        <v>610306</v>
      </c>
      <c r="AE1542" s="27" t="s">
        <v>2464</v>
      </c>
      <c r="AF1542" s="432">
        <v>0</v>
      </c>
      <c r="AG1542" s="432"/>
      <c r="AH1542" s="432">
        <f t="shared" si="362"/>
        <v>0</v>
      </c>
      <c r="AI1542" s="445"/>
      <c r="AL1542" s="448"/>
      <c r="AM1542" s="467" t="e">
        <f>VLOOKUP(AD1542,[6]BV201101!$A$10:$A$1236,1,0)</f>
        <v>#N/A</v>
      </c>
    </row>
    <row r="1543" spans="1:39" s="467" customFormat="1" ht="12.75" customHeight="1">
      <c r="A1543" s="487" t="str">
        <f t="shared" si="363"/>
        <v>6</v>
      </c>
      <c r="B1543" s="487" t="str">
        <f t="shared" si="359"/>
        <v>10</v>
      </c>
      <c r="C1543" s="487" t="str">
        <f t="shared" si="360"/>
        <v>30</v>
      </c>
      <c r="D1543" s="487" t="str">
        <f t="shared" si="361"/>
        <v>0307</v>
      </c>
      <c r="E1543" s="487">
        <v>531201200</v>
      </c>
      <c r="F1543" s="488" t="str">
        <f t="shared" si="352"/>
        <v/>
      </c>
      <c r="G1543" s="487"/>
      <c r="H1543" s="487"/>
      <c r="I1543" s="488" t="str">
        <f t="shared" si="353"/>
        <v/>
      </c>
      <c r="J1543" s="487"/>
      <c r="K1543" s="487"/>
      <c r="L1543" s="488" t="str">
        <f t="shared" si="354"/>
        <v/>
      </c>
      <c r="M1543" s="487"/>
      <c r="N1543" s="487"/>
      <c r="O1543" s="488" t="str">
        <f t="shared" si="355"/>
        <v/>
      </c>
      <c r="P1543" s="489"/>
      <c r="Q1543" s="489"/>
      <c r="R1543" s="592" t="str">
        <f t="shared" si="356"/>
        <v/>
      </c>
      <c r="S1543" s="487"/>
      <c r="T1543" s="487"/>
      <c r="U1543" s="488" t="str">
        <f t="shared" si="357"/>
        <v/>
      </c>
      <c r="V1543" s="487"/>
      <c r="W1543" s="489"/>
      <c r="X1543" s="488" t="str">
        <f t="shared" si="358"/>
        <v/>
      </c>
      <c r="Y1543" s="489"/>
      <c r="Z1543" s="489"/>
      <c r="AA1543" s="490" t="str">
        <f t="shared" si="349"/>
        <v/>
      </c>
      <c r="AB1543" s="489"/>
      <c r="AC1543" s="489"/>
      <c r="AD1543" s="27">
        <v>610307</v>
      </c>
      <c r="AE1543" s="27" t="s">
        <v>700</v>
      </c>
      <c r="AF1543" s="432">
        <f>VLOOKUP(AD1543,[5]Hoja1!$A$10:$K$1393,11,0)</f>
        <v>0</v>
      </c>
      <c r="AG1543" s="432"/>
      <c r="AH1543" s="432">
        <f t="shared" si="362"/>
        <v>0</v>
      </c>
      <c r="AL1543" s="448"/>
      <c r="AM1543" s="467">
        <f>VLOOKUP(AD1543,[6]BV201101!$A$10:$A$1236,1,0)</f>
        <v>610307</v>
      </c>
    </row>
    <row r="1544" spans="1:39" s="467" customFormat="1" ht="12.75" customHeight="1">
      <c r="A1544" s="487" t="str">
        <f t="shared" si="363"/>
        <v>6</v>
      </c>
      <c r="B1544" s="487" t="str">
        <f t="shared" si="359"/>
        <v>10</v>
      </c>
      <c r="C1544" s="487" t="str">
        <f t="shared" si="360"/>
        <v>30</v>
      </c>
      <c r="D1544" s="487" t="str">
        <f t="shared" si="361"/>
        <v>0308</v>
      </c>
      <c r="E1544" s="487">
        <v>531201200</v>
      </c>
      <c r="F1544" s="488" t="str">
        <f t="shared" si="352"/>
        <v/>
      </c>
      <c r="G1544" s="487"/>
      <c r="H1544" s="487"/>
      <c r="I1544" s="488" t="str">
        <f t="shared" si="353"/>
        <v/>
      </c>
      <c r="J1544" s="487"/>
      <c r="K1544" s="487"/>
      <c r="L1544" s="488" t="str">
        <f t="shared" si="354"/>
        <v/>
      </c>
      <c r="M1544" s="487"/>
      <c r="N1544" s="487"/>
      <c r="O1544" s="488" t="str">
        <f t="shared" si="355"/>
        <v/>
      </c>
      <c r="P1544" s="489"/>
      <c r="Q1544" s="489"/>
      <c r="R1544" s="592" t="str">
        <f t="shared" si="356"/>
        <v/>
      </c>
      <c r="S1544" s="487"/>
      <c r="T1544" s="487"/>
      <c r="U1544" s="488" t="str">
        <f t="shared" si="357"/>
        <v/>
      </c>
      <c r="V1544" s="487"/>
      <c r="W1544" s="489"/>
      <c r="X1544" s="488" t="str">
        <f t="shared" si="358"/>
        <v/>
      </c>
      <c r="Y1544" s="489"/>
      <c r="Z1544" s="489"/>
      <c r="AA1544" s="490" t="str">
        <f t="shared" si="349"/>
        <v/>
      </c>
      <c r="AB1544" s="489"/>
      <c r="AC1544" s="489"/>
      <c r="AD1544" s="27">
        <v>610308</v>
      </c>
      <c r="AE1544" s="27" t="s">
        <v>700</v>
      </c>
      <c r="AF1544" s="432">
        <f>VLOOKUP(AD1544,[5]Hoja1!$A$10:$K$1393,11,0)</f>
        <v>0</v>
      </c>
      <c r="AG1544" s="432"/>
      <c r="AH1544" s="432">
        <f t="shared" si="362"/>
        <v>0</v>
      </c>
      <c r="AL1544" s="448"/>
      <c r="AM1544" s="467">
        <f>VLOOKUP(AD1544,[6]BV201101!$A$10:$A$1236,1,0)</f>
        <v>610308</v>
      </c>
    </row>
    <row r="1545" spans="1:39" s="467" customFormat="1" ht="12.75" customHeight="1">
      <c r="A1545" s="487" t="str">
        <f t="shared" si="363"/>
        <v>6</v>
      </c>
      <c r="B1545" s="487" t="str">
        <f t="shared" si="359"/>
        <v>10</v>
      </c>
      <c r="C1545" s="487" t="str">
        <f t="shared" si="360"/>
        <v>40</v>
      </c>
      <c r="D1545" s="487" t="str">
        <f t="shared" si="361"/>
        <v>0401</v>
      </c>
      <c r="E1545" s="487">
        <v>531201200</v>
      </c>
      <c r="F1545" s="488" t="str">
        <f t="shared" si="352"/>
        <v/>
      </c>
      <c r="G1545" s="487"/>
      <c r="H1545" s="487"/>
      <c r="I1545" s="488" t="str">
        <f t="shared" si="353"/>
        <v/>
      </c>
      <c r="J1545" s="487"/>
      <c r="K1545" s="487"/>
      <c r="L1545" s="488" t="str">
        <f t="shared" si="354"/>
        <v/>
      </c>
      <c r="M1545" s="487"/>
      <c r="N1545" s="487"/>
      <c r="O1545" s="488" t="str">
        <f t="shared" si="355"/>
        <v/>
      </c>
      <c r="P1545" s="489"/>
      <c r="Q1545" s="489"/>
      <c r="R1545" s="592" t="str">
        <f t="shared" si="356"/>
        <v/>
      </c>
      <c r="S1545" s="487"/>
      <c r="T1545" s="487"/>
      <c r="U1545" s="488" t="str">
        <f t="shared" si="357"/>
        <v/>
      </c>
      <c r="V1545" s="487"/>
      <c r="W1545" s="489"/>
      <c r="X1545" s="488" t="str">
        <f t="shared" si="358"/>
        <v/>
      </c>
      <c r="Y1545" s="489"/>
      <c r="Z1545" s="489"/>
      <c r="AA1545" s="490" t="str">
        <f t="shared" si="349"/>
        <v/>
      </c>
      <c r="AB1545" s="489"/>
      <c r="AC1545" s="489"/>
      <c r="AD1545" s="27">
        <v>610401</v>
      </c>
      <c r="AE1545" s="27" t="s">
        <v>1007</v>
      </c>
      <c r="AF1545" s="432">
        <f>VLOOKUP(AD1545,[5]Hoja1!$A$10:$K$1393,11,0)</f>
        <v>0</v>
      </c>
      <c r="AG1545" s="432"/>
      <c r="AH1545" s="432">
        <f t="shared" si="362"/>
        <v>0</v>
      </c>
      <c r="AL1545" s="448"/>
      <c r="AM1545" s="467">
        <f>VLOOKUP(AD1545,[6]BV201101!$A$10:$A$1236,1,0)</f>
        <v>610401</v>
      </c>
    </row>
    <row r="1546" spans="1:39" s="467" customFormat="1" ht="12.75" customHeight="1">
      <c r="A1546" s="487" t="str">
        <f t="shared" si="363"/>
        <v>6</v>
      </c>
      <c r="B1546" s="487" t="str">
        <f t="shared" si="359"/>
        <v>10</v>
      </c>
      <c r="C1546" s="487" t="str">
        <f t="shared" si="360"/>
        <v>40</v>
      </c>
      <c r="D1546" s="487" t="str">
        <f t="shared" si="361"/>
        <v>0402</v>
      </c>
      <c r="E1546" s="487">
        <v>531201200</v>
      </c>
      <c r="F1546" s="488" t="str">
        <f t="shared" si="352"/>
        <v/>
      </c>
      <c r="G1546" s="487"/>
      <c r="H1546" s="487"/>
      <c r="I1546" s="488" t="str">
        <f t="shared" si="353"/>
        <v/>
      </c>
      <c r="J1546" s="487"/>
      <c r="K1546" s="487"/>
      <c r="L1546" s="488" t="str">
        <f t="shared" si="354"/>
        <v/>
      </c>
      <c r="M1546" s="487"/>
      <c r="N1546" s="487"/>
      <c r="O1546" s="488" t="str">
        <f t="shared" si="355"/>
        <v/>
      </c>
      <c r="P1546" s="489"/>
      <c r="Q1546" s="489"/>
      <c r="R1546" s="592" t="str">
        <f t="shared" si="356"/>
        <v/>
      </c>
      <c r="S1546" s="487"/>
      <c r="T1546" s="487"/>
      <c r="U1546" s="488" t="str">
        <f t="shared" si="357"/>
        <v/>
      </c>
      <c r="V1546" s="487"/>
      <c r="W1546" s="489"/>
      <c r="X1546" s="488" t="str">
        <f t="shared" si="358"/>
        <v/>
      </c>
      <c r="Y1546" s="489"/>
      <c r="Z1546" s="489"/>
      <c r="AA1546" s="490" t="str">
        <f t="shared" si="349"/>
        <v/>
      </c>
      <c r="AB1546" s="489"/>
      <c r="AC1546" s="489"/>
      <c r="AD1546" s="27">
        <v>610402</v>
      </c>
      <c r="AE1546" s="27" t="s">
        <v>1008</v>
      </c>
      <c r="AF1546" s="432">
        <f>VLOOKUP(AD1546,[5]Hoja1!$A$10:$K$1393,11,0)</f>
        <v>4625707</v>
      </c>
      <c r="AG1546" s="432"/>
      <c r="AH1546" s="432">
        <f t="shared" si="362"/>
        <v>4626</v>
      </c>
      <c r="AL1546" s="448"/>
      <c r="AM1546" s="467">
        <f>VLOOKUP(AD1546,[6]BV201101!$A$10:$A$1236,1,0)</f>
        <v>610402</v>
      </c>
    </row>
    <row r="1547" spans="1:39" s="467" customFormat="1" ht="12.75" customHeight="1">
      <c r="A1547" s="487" t="str">
        <f t="shared" si="363"/>
        <v>6</v>
      </c>
      <c r="B1547" s="487" t="str">
        <f t="shared" si="359"/>
        <v>10</v>
      </c>
      <c r="C1547" s="487" t="str">
        <f t="shared" si="360"/>
        <v>40</v>
      </c>
      <c r="D1547" s="487" t="str">
        <f t="shared" si="361"/>
        <v>0403</v>
      </c>
      <c r="E1547" s="487">
        <v>531201200</v>
      </c>
      <c r="F1547" s="488" t="str">
        <f t="shared" si="352"/>
        <v/>
      </c>
      <c r="G1547" s="487"/>
      <c r="H1547" s="487"/>
      <c r="I1547" s="488" t="str">
        <f t="shared" si="353"/>
        <v/>
      </c>
      <c r="J1547" s="487"/>
      <c r="K1547" s="487"/>
      <c r="L1547" s="488" t="str">
        <f t="shared" si="354"/>
        <v/>
      </c>
      <c r="M1547" s="487"/>
      <c r="N1547" s="487"/>
      <c r="O1547" s="488" t="str">
        <f t="shared" si="355"/>
        <v/>
      </c>
      <c r="P1547" s="489"/>
      <c r="Q1547" s="489"/>
      <c r="R1547" s="592" t="str">
        <f t="shared" si="356"/>
        <v/>
      </c>
      <c r="S1547" s="487"/>
      <c r="T1547" s="487"/>
      <c r="U1547" s="488" t="str">
        <f t="shared" si="357"/>
        <v/>
      </c>
      <c r="V1547" s="487"/>
      <c r="W1547" s="489"/>
      <c r="X1547" s="488" t="str">
        <f t="shared" si="358"/>
        <v/>
      </c>
      <c r="Y1547" s="489"/>
      <c r="Z1547" s="489"/>
      <c r="AA1547" s="490" t="str">
        <f t="shared" si="349"/>
        <v/>
      </c>
      <c r="AB1547" s="489"/>
      <c r="AC1547" s="489"/>
      <c r="AD1547" s="27">
        <v>610403</v>
      </c>
      <c r="AE1547" s="27" t="s">
        <v>2465</v>
      </c>
      <c r="AF1547" s="432">
        <f>VLOOKUP(AD1547,[5]Hoja1!$A$10:$K$1393,11,0)</f>
        <v>0</v>
      </c>
      <c r="AG1547" s="432"/>
      <c r="AH1547" s="432">
        <f t="shared" si="362"/>
        <v>0</v>
      </c>
      <c r="AL1547" s="448"/>
      <c r="AM1547" s="467">
        <f>VLOOKUP(AD1547,[6]BV201101!$A$10:$A$1236,1,0)</f>
        <v>610403</v>
      </c>
    </row>
    <row r="1548" spans="1:39" s="467" customFormat="1" ht="12.75" customHeight="1">
      <c r="A1548" s="487" t="str">
        <f t="shared" si="363"/>
        <v>6</v>
      </c>
      <c r="B1548" s="487" t="str">
        <f t="shared" si="359"/>
        <v>10</v>
      </c>
      <c r="C1548" s="487" t="str">
        <f t="shared" si="360"/>
        <v>40</v>
      </c>
      <c r="D1548" s="487" t="str">
        <f t="shared" si="361"/>
        <v>0404</v>
      </c>
      <c r="E1548" s="487">
        <v>531201200</v>
      </c>
      <c r="F1548" s="488" t="str">
        <f t="shared" si="352"/>
        <v/>
      </c>
      <c r="G1548" s="487"/>
      <c r="H1548" s="487"/>
      <c r="I1548" s="488" t="str">
        <f t="shared" si="353"/>
        <v/>
      </c>
      <c r="J1548" s="487"/>
      <c r="K1548" s="487"/>
      <c r="L1548" s="488" t="str">
        <f t="shared" si="354"/>
        <v/>
      </c>
      <c r="M1548" s="487"/>
      <c r="N1548" s="487"/>
      <c r="O1548" s="488" t="str">
        <f t="shared" si="355"/>
        <v/>
      </c>
      <c r="P1548" s="489"/>
      <c r="Q1548" s="489"/>
      <c r="R1548" s="592" t="str">
        <f t="shared" si="356"/>
        <v/>
      </c>
      <c r="S1548" s="487"/>
      <c r="T1548" s="487"/>
      <c r="U1548" s="488" t="str">
        <f t="shared" si="357"/>
        <v/>
      </c>
      <c r="V1548" s="487"/>
      <c r="W1548" s="489"/>
      <c r="X1548" s="488" t="str">
        <f t="shared" si="358"/>
        <v/>
      </c>
      <c r="Y1548" s="489"/>
      <c r="Z1548" s="489"/>
      <c r="AA1548" s="490" t="str">
        <f t="shared" si="349"/>
        <v/>
      </c>
      <c r="AB1548" s="489"/>
      <c r="AC1548" s="489"/>
      <c r="AD1548" s="27">
        <v>610404</v>
      </c>
      <c r="AE1548" s="27" t="s">
        <v>2466</v>
      </c>
      <c r="AF1548" s="432">
        <f>VLOOKUP(AD1548,[5]Hoja1!$A$10:$K$1393,11,0)</f>
        <v>0</v>
      </c>
      <c r="AG1548" s="432"/>
      <c r="AH1548" s="432">
        <f t="shared" si="362"/>
        <v>0</v>
      </c>
      <c r="AL1548" s="448"/>
      <c r="AM1548" s="467">
        <f>VLOOKUP(AD1548,[6]BV201101!$A$10:$A$1236,1,0)</f>
        <v>610404</v>
      </c>
    </row>
    <row r="1549" spans="1:39" s="467" customFormat="1" ht="12.75" customHeight="1">
      <c r="A1549" s="487" t="str">
        <f t="shared" si="363"/>
        <v>6</v>
      </c>
      <c r="B1549" s="487" t="str">
        <f t="shared" si="359"/>
        <v>10</v>
      </c>
      <c r="C1549" s="487" t="str">
        <f t="shared" si="360"/>
        <v>40</v>
      </c>
      <c r="D1549" s="487" t="str">
        <f t="shared" si="361"/>
        <v>0405</v>
      </c>
      <c r="E1549" s="487">
        <v>531201200</v>
      </c>
      <c r="F1549" s="488" t="str">
        <f t="shared" si="352"/>
        <v/>
      </c>
      <c r="G1549" s="487"/>
      <c r="H1549" s="487"/>
      <c r="I1549" s="488" t="str">
        <f t="shared" si="353"/>
        <v/>
      </c>
      <c r="J1549" s="487"/>
      <c r="K1549" s="487"/>
      <c r="L1549" s="488" t="str">
        <f t="shared" si="354"/>
        <v/>
      </c>
      <c r="M1549" s="487"/>
      <c r="N1549" s="487"/>
      <c r="O1549" s="488" t="str">
        <f t="shared" si="355"/>
        <v/>
      </c>
      <c r="P1549" s="489"/>
      <c r="Q1549" s="489"/>
      <c r="R1549" s="592" t="str">
        <f t="shared" si="356"/>
        <v/>
      </c>
      <c r="S1549" s="487"/>
      <c r="T1549" s="487"/>
      <c r="U1549" s="488" t="str">
        <f t="shared" si="357"/>
        <v/>
      </c>
      <c r="V1549" s="487"/>
      <c r="W1549" s="489"/>
      <c r="X1549" s="488" t="str">
        <f t="shared" si="358"/>
        <v/>
      </c>
      <c r="Y1549" s="489"/>
      <c r="Z1549" s="489"/>
      <c r="AA1549" s="490" t="str">
        <f t="shared" si="349"/>
        <v/>
      </c>
      <c r="AB1549" s="489"/>
      <c r="AC1549" s="489"/>
      <c r="AD1549" s="27">
        <v>610405</v>
      </c>
      <c r="AE1549" s="27" t="s">
        <v>2467</v>
      </c>
      <c r="AF1549" s="432">
        <f>VLOOKUP(AD1549,[5]Hoja1!$A$10:$K$1393,11,0)</f>
        <v>0</v>
      </c>
      <c r="AG1549" s="432"/>
      <c r="AH1549" s="432">
        <f t="shared" si="362"/>
        <v>0</v>
      </c>
      <c r="AL1549" s="448"/>
      <c r="AM1549" s="467">
        <f>VLOOKUP(AD1549,[6]BV201101!$A$10:$A$1236,1,0)</f>
        <v>610405</v>
      </c>
    </row>
    <row r="1550" spans="1:39" s="467" customFormat="1" ht="12.75" customHeight="1">
      <c r="A1550" s="487" t="str">
        <f t="shared" si="363"/>
        <v>6</v>
      </c>
      <c r="B1550" s="487" t="str">
        <f t="shared" si="359"/>
        <v>10</v>
      </c>
      <c r="C1550" s="487" t="str">
        <f t="shared" si="360"/>
        <v>40</v>
      </c>
      <c r="D1550" s="487" t="str">
        <f t="shared" si="361"/>
        <v>0406</v>
      </c>
      <c r="E1550" s="487">
        <v>531201200</v>
      </c>
      <c r="F1550" s="488" t="str">
        <f t="shared" si="352"/>
        <v/>
      </c>
      <c r="G1550" s="487"/>
      <c r="H1550" s="487"/>
      <c r="I1550" s="488" t="str">
        <f t="shared" si="353"/>
        <v/>
      </c>
      <c r="J1550" s="487"/>
      <c r="K1550" s="487"/>
      <c r="L1550" s="488" t="str">
        <f t="shared" si="354"/>
        <v/>
      </c>
      <c r="M1550" s="487"/>
      <c r="N1550" s="487"/>
      <c r="O1550" s="488" t="str">
        <f t="shared" si="355"/>
        <v/>
      </c>
      <c r="P1550" s="489"/>
      <c r="Q1550" s="489"/>
      <c r="R1550" s="592" t="str">
        <f t="shared" si="356"/>
        <v/>
      </c>
      <c r="S1550" s="487"/>
      <c r="T1550" s="487"/>
      <c r="U1550" s="488" t="str">
        <f t="shared" si="357"/>
        <v/>
      </c>
      <c r="V1550" s="487"/>
      <c r="W1550" s="489"/>
      <c r="X1550" s="488" t="str">
        <f t="shared" si="358"/>
        <v/>
      </c>
      <c r="Y1550" s="489"/>
      <c r="Z1550" s="489"/>
      <c r="AA1550" s="490" t="str">
        <f t="shared" si="349"/>
        <v/>
      </c>
      <c r="AB1550" s="489"/>
      <c r="AC1550" s="489"/>
      <c r="AD1550" s="27">
        <v>610406</v>
      </c>
      <c r="AE1550" s="27" t="s">
        <v>2468</v>
      </c>
      <c r="AF1550" s="432">
        <f>VLOOKUP(AD1550,[5]Hoja1!$A$10:$K$1393,11,0)</f>
        <v>34998965</v>
      </c>
      <c r="AG1550" s="432"/>
      <c r="AH1550" s="432">
        <f t="shared" si="362"/>
        <v>34999</v>
      </c>
      <c r="AL1550" s="448"/>
      <c r="AM1550" s="467">
        <f>VLOOKUP(AD1550,[6]BV201101!$A$10:$A$1236,1,0)</f>
        <v>610406</v>
      </c>
    </row>
    <row r="1551" spans="1:39" s="467" customFormat="1" ht="12.75" customHeight="1">
      <c r="A1551" s="487" t="str">
        <f t="shared" si="363"/>
        <v>6</v>
      </c>
      <c r="B1551" s="487" t="str">
        <f t="shared" si="359"/>
        <v>10</v>
      </c>
      <c r="C1551" s="487" t="str">
        <f t="shared" si="360"/>
        <v>40</v>
      </c>
      <c r="D1551" s="487" t="str">
        <f t="shared" si="361"/>
        <v>0407</v>
      </c>
      <c r="E1551" s="487">
        <v>531201200</v>
      </c>
      <c r="F1551" s="488" t="str">
        <f t="shared" si="352"/>
        <v/>
      </c>
      <c r="G1551" s="487"/>
      <c r="H1551" s="487"/>
      <c r="I1551" s="488" t="str">
        <f t="shared" si="353"/>
        <v/>
      </c>
      <c r="J1551" s="487"/>
      <c r="K1551" s="487"/>
      <c r="L1551" s="488" t="str">
        <f t="shared" si="354"/>
        <v/>
      </c>
      <c r="M1551" s="487"/>
      <c r="N1551" s="487"/>
      <c r="O1551" s="488" t="str">
        <f t="shared" si="355"/>
        <v/>
      </c>
      <c r="P1551" s="489"/>
      <c r="Q1551" s="489"/>
      <c r="R1551" s="592" t="str">
        <f t="shared" si="356"/>
        <v/>
      </c>
      <c r="S1551" s="487"/>
      <c r="T1551" s="487"/>
      <c r="U1551" s="488" t="str">
        <f t="shared" si="357"/>
        <v/>
      </c>
      <c r="V1551" s="487"/>
      <c r="W1551" s="489"/>
      <c r="X1551" s="488" t="str">
        <f t="shared" si="358"/>
        <v/>
      </c>
      <c r="Y1551" s="489"/>
      <c r="Z1551" s="489"/>
      <c r="AA1551" s="490" t="str">
        <f t="shared" si="349"/>
        <v/>
      </c>
      <c r="AB1551" s="489"/>
      <c r="AC1551" s="489"/>
      <c r="AD1551" s="27">
        <v>610407</v>
      </c>
      <c r="AE1551" s="27" t="s">
        <v>916</v>
      </c>
      <c r="AF1551" s="432">
        <f>VLOOKUP(AD1551,[5]Hoja1!$A$10:$K$1393,11,0)</f>
        <v>0</v>
      </c>
      <c r="AG1551" s="432"/>
      <c r="AH1551" s="432">
        <f t="shared" si="362"/>
        <v>0</v>
      </c>
      <c r="AL1551" s="448"/>
      <c r="AM1551" s="467">
        <f>VLOOKUP(AD1551,[6]BV201101!$A$10:$A$1236,1,0)</f>
        <v>610407</v>
      </c>
    </row>
    <row r="1552" spans="1:39" s="467" customFormat="1" ht="12.75" customHeight="1">
      <c r="A1552" s="487" t="str">
        <f t="shared" si="363"/>
        <v>6</v>
      </c>
      <c r="B1552" s="487" t="str">
        <f t="shared" si="359"/>
        <v>10</v>
      </c>
      <c r="C1552" s="487" t="str">
        <f t="shared" si="360"/>
        <v>40</v>
      </c>
      <c r="D1552" s="487" t="str">
        <f t="shared" si="361"/>
        <v>0408</v>
      </c>
      <c r="E1552" s="487">
        <v>531201200</v>
      </c>
      <c r="F1552" s="488" t="str">
        <f t="shared" si="352"/>
        <v/>
      </c>
      <c r="G1552" s="487"/>
      <c r="H1552" s="487"/>
      <c r="I1552" s="488" t="str">
        <f t="shared" si="353"/>
        <v/>
      </c>
      <c r="J1552" s="487"/>
      <c r="K1552" s="487"/>
      <c r="L1552" s="488" t="str">
        <f t="shared" si="354"/>
        <v/>
      </c>
      <c r="M1552" s="487"/>
      <c r="N1552" s="487"/>
      <c r="O1552" s="488" t="str">
        <f t="shared" si="355"/>
        <v/>
      </c>
      <c r="P1552" s="489"/>
      <c r="Q1552" s="489"/>
      <c r="R1552" s="592" t="str">
        <f t="shared" si="356"/>
        <v/>
      </c>
      <c r="S1552" s="487"/>
      <c r="T1552" s="487"/>
      <c r="U1552" s="488" t="str">
        <f t="shared" si="357"/>
        <v/>
      </c>
      <c r="V1552" s="487"/>
      <c r="W1552" s="489"/>
      <c r="X1552" s="488" t="str">
        <f t="shared" si="358"/>
        <v/>
      </c>
      <c r="Y1552" s="489"/>
      <c r="Z1552" s="489"/>
      <c r="AA1552" s="490" t="str">
        <f t="shared" si="349"/>
        <v/>
      </c>
      <c r="AB1552" s="489"/>
      <c r="AC1552" s="489"/>
      <c r="AD1552" s="27">
        <v>610408</v>
      </c>
      <c r="AE1552" s="27" t="s">
        <v>917</v>
      </c>
      <c r="AF1552" s="432">
        <f>VLOOKUP(AD1552,[5]Hoja1!$A$10:$K$1393,11,0)</f>
        <v>4992290</v>
      </c>
      <c r="AG1552" s="432"/>
      <c r="AH1552" s="432">
        <f t="shared" si="362"/>
        <v>4992</v>
      </c>
      <c r="AL1552" s="448"/>
      <c r="AM1552" s="467">
        <f>VLOOKUP(AD1552,[6]BV201101!$A$10:$A$1236,1,0)</f>
        <v>610408</v>
      </c>
    </row>
    <row r="1553" spans="1:39" s="467" customFormat="1" ht="12.75" customHeight="1">
      <c r="A1553" s="487" t="str">
        <f t="shared" si="363"/>
        <v>6</v>
      </c>
      <c r="B1553" s="487" t="str">
        <f t="shared" si="359"/>
        <v>10</v>
      </c>
      <c r="C1553" s="487" t="str">
        <f t="shared" si="360"/>
        <v>40</v>
      </c>
      <c r="D1553" s="487" t="str">
        <f t="shared" si="361"/>
        <v>0409</v>
      </c>
      <c r="E1553" s="487">
        <v>531201200</v>
      </c>
      <c r="F1553" s="488" t="str">
        <f t="shared" si="352"/>
        <v/>
      </c>
      <c r="G1553" s="487"/>
      <c r="H1553" s="487"/>
      <c r="I1553" s="488" t="str">
        <f t="shared" si="353"/>
        <v/>
      </c>
      <c r="J1553" s="487"/>
      <c r="K1553" s="487"/>
      <c r="L1553" s="488" t="str">
        <f t="shared" si="354"/>
        <v/>
      </c>
      <c r="M1553" s="487"/>
      <c r="N1553" s="487"/>
      <c r="O1553" s="488" t="str">
        <f t="shared" si="355"/>
        <v/>
      </c>
      <c r="P1553" s="489"/>
      <c r="Q1553" s="489"/>
      <c r="R1553" s="592" t="str">
        <f t="shared" si="356"/>
        <v/>
      </c>
      <c r="S1553" s="487"/>
      <c r="T1553" s="487"/>
      <c r="U1553" s="488" t="str">
        <f t="shared" si="357"/>
        <v/>
      </c>
      <c r="V1553" s="487"/>
      <c r="W1553" s="489"/>
      <c r="X1553" s="488" t="str">
        <f t="shared" si="358"/>
        <v/>
      </c>
      <c r="Y1553" s="489"/>
      <c r="Z1553" s="489"/>
      <c r="AA1553" s="490" t="str">
        <f t="shared" si="349"/>
        <v/>
      </c>
      <c r="AB1553" s="489"/>
      <c r="AC1553" s="489"/>
      <c r="AD1553" s="27">
        <v>610409</v>
      </c>
      <c r="AE1553" s="27" t="s">
        <v>2469</v>
      </c>
      <c r="AF1553" s="432">
        <f>VLOOKUP(AD1553,[5]Hoja1!$A$10:$K$1393,11,0)</f>
        <v>26602</v>
      </c>
      <c r="AG1553" s="432"/>
      <c r="AH1553" s="432">
        <f t="shared" si="362"/>
        <v>27</v>
      </c>
      <c r="AL1553" s="448"/>
      <c r="AM1553" s="467">
        <f>VLOOKUP(AD1553,[6]BV201101!$A$10:$A$1236,1,0)</f>
        <v>610409</v>
      </c>
    </row>
    <row r="1554" spans="1:39" s="467" customFormat="1" ht="12.75" customHeight="1">
      <c r="A1554" s="487" t="str">
        <f t="shared" si="363"/>
        <v>6</v>
      </c>
      <c r="B1554" s="487" t="str">
        <f t="shared" si="359"/>
        <v>10</v>
      </c>
      <c r="C1554" s="487" t="str">
        <f t="shared" si="360"/>
        <v>41</v>
      </c>
      <c r="D1554" s="487" t="str">
        <f t="shared" si="361"/>
        <v>0410</v>
      </c>
      <c r="E1554" s="487">
        <v>531201200</v>
      </c>
      <c r="F1554" s="488" t="str">
        <f t="shared" si="352"/>
        <v/>
      </c>
      <c r="G1554" s="487"/>
      <c r="H1554" s="487"/>
      <c r="I1554" s="488" t="str">
        <f t="shared" si="353"/>
        <v/>
      </c>
      <c r="J1554" s="487"/>
      <c r="K1554" s="487"/>
      <c r="L1554" s="488" t="str">
        <f t="shared" si="354"/>
        <v/>
      </c>
      <c r="M1554" s="487"/>
      <c r="N1554" s="487"/>
      <c r="O1554" s="488" t="str">
        <f t="shared" si="355"/>
        <v/>
      </c>
      <c r="P1554" s="489"/>
      <c r="Q1554" s="489"/>
      <c r="R1554" s="592" t="str">
        <f t="shared" si="356"/>
        <v/>
      </c>
      <c r="S1554" s="487"/>
      <c r="T1554" s="487"/>
      <c r="U1554" s="488" t="str">
        <f t="shared" si="357"/>
        <v/>
      </c>
      <c r="V1554" s="487"/>
      <c r="W1554" s="489"/>
      <c r="X1554" s="488" t="str">
        <f t="shared" si="358"/>
        <v/>
      </c>
      <c r="Y1554" s="489"/>
      <c r="Z1554" s="489"/>
      <c r="AA1554" s="490" t="str">
        <f t="shared" si="349"/>
        <v/>
      </c>
      <c r="AB1554" s="489"/>
      <c r="AC1554" s="489"/>
      <c r="AD1554" s="27">
        <v>610410</v>
      </c>
      <c r="AE1554" s="27" t="s">
        <v>2470</v>
      </c>
      <c r="AF1554" s="432">
        <f>VLOOKUP(AD1554,[5]Hoja1!$A$10:$K$1393,11,0)</f>
        <v>2878249</v>
      </c>
      <c r="AG1554" s="432"/>
      <c r="AH1554" s="432">
        <f t="shared" si="362"/>
        <v>2878</v>
      </c>
      <c r="AL1554" s="448"/>
      <c r="AM1554" s="467">
        <f>VLOOKUP(AD1554,[6]BV201101!$A$10:$A$1236,1,0)</f>
        <v>610410</v>
      </c>
    </row>
    <row r="1555" spans="1:39" s="467" customFormat="1" ht="12.75" customHeight="1">
      <c r="A1555" s="487" t="str">
        <f t="shared" si="363"/>
        <v>6</v>
      </c>
      <c r="B1555" s="487" t="str">
        <f t="shared" si="359"/>
        <v>10</v>
      </c>
      <c r="C1555" s="487" t="str">
        <f t="shared" si="360"/>
        <v>41</v>
      </c>
      <c r="D1555" s="487" t="str">
        <f t="shared" si="361"/>
        <v>0411</v>
      </c>
      <c r="E1555" s="487">
        <v>531201200</v>
      </c>
      <c r="F1555" s="488" t="str">
        <f t="shared" si="352"/>
        <v/>
      </c>
      <c r="G1555" s="487"/>
      <c r="H1555" s="487"/>
      <c r="I1555" s="488" t="str">
        <f t="shared" si="353"/>
        <v/>
      </c>
      <c r="J1555" s="487"/>
      <c r="K1555" s="487"/>
      <c r="L1555" s="488" t="str">
        <f t="shared" si="354"/>
        <v/>
      </c>
      <c r="M1555" s="487"/>
      <c r="N1555" s="487"/>
      <c r="O1555" s="488" t="str">
        <f t="shared" si="355"/>
        <v/>
      </c>
      <c r="P1555" s="489"/>
      <c r="Q1555" s="489"/>
      <c r="R1555" s="592" t="str">
        <f t="shared" si="356"/>
        <v/>
      </c>
      <c r="S1555" s="487"/>
      <c r="T1555" s="487"/>
      <c r="U1555" s="488" t="str">
        <f t="shared" si="357"/>
        <v/>
      </c>
      <c r="V1555" s="487"/>
      <c r="W1555" s="489"/>
      <c r="X1555" s="488" t="str">
        <f t="shared" si="358"/>
        <v/>
      </c>
      <c r="Y1555" s="489"/>
      <c r="Z1555" s="489"/>
      <c r="AA1555" s="490" t="str">
        <f t="shared" ref="AA1555:AA1644" si="364">+AB1555&amp;AC1555</f>
        <v/>
      </c>
      <c r="AB1555" s="489"/>
      <c r="AC1555" s="489"/>
      <c r="AD1555" s="27">
        <v>610411</v>
      </c>
      <c r="AE1555" s="27" t="s">
        <v>2471</v>
      </c>
      <c r="AF1555" s="432">
        <f>VLOOKUP(AD1555,[5]Hoja1!$A$10:$K$1393,11,0)</f>
        <v>42477880</v>
      </c>
      <c r="AG1555" s="432"/>
      <c r="AH1555" s="432">
        <f t="shared" si="362"/>
        <v>42478</v>
      </c>
      <c r="AL1555" s="448"/>
      <c r="AM1555" s="467">
        <f>VLOOKUP(AD1555,[6]BV201101!$A$10:$A$1236,1,0)</f>
        <v>610411</v>
      </c>
    </row>
    <row r="1556" spans="1:39" s="467" customFormat="1" ht="12.75" customHeight="1">
      <c r="A1556" s="487" t="str">
        <f t="shared" si="363"/>
        <v>6</v>
      </c>
      <c r="B1556" s="487" t="str">
        <f t="shared" si="359"/>
        <v>10</v>
      </c>
      <c r="C1556" s="487" t="str">
        <f t="shared" si="360"/>
        <v>41</v>
      </c>
      <c r="D1556" s="487" t="str">
        <f t="shared" si="361"/>
        <v>0412</v>
      </c>
      <c r="E1556" s="487">
        <v>531201200</v>
      </c>
      <c r="F1556" s="488" t="str">
        <f t="shared" si="352"/>
        <v/>
      </c>
      <c r="G1556" s="487"/>
      <c r="H1556" s="487"/>
      <c r="I1556" s="488" t="str">
        <f t="shared" si="353"/>
        <v/>
      </c>
      <c r="J1556" s="487"/>
      <c r="K1556" s="487"/>
      <c r="L1556" s="488" t="str">
        <f t="shared" si="354"/>
        <v/>
      </c>
      <c r="M1556" s="487"/>
      <c r="N1556" s="487"/>
      <c r="O1556" s="488" t="str">
        <f t="shared" si="355"/>
        <v/>
      </c>
      <c r="P1556" s="489"/>
      <c r="Q1556" s="489"/>
      <c r="R1556" s="592" t="str">
        <f t="shared" si="356"/>
        <v/>
      </c>
      <c r="S1556" s="487"/>
      <c r="T1556" s="487"/>
      <c r="U1556" s="488" t="str">
        <f t="shared" si="357"/>
        <v/>
      </c>
      <c r="V1556" s="487"/>
      <c r="W1556" s="489"/>
      <c r="X1556" s="488" t="str">
        <f t="shared" si="358"/>
        <v/>
      </c>
      <c r="Y1556" s="489"/>
      <c r="Z1556" s="489"/>
      <c r="AA1556" s="490" t="str">
        <f t="shared" si="364"/>
        <v/>
      </c>
      <c r="AB1556" s="489"/>
      <c r="AC1556" s="489"/>
      <c r="AD1556" s="27">
        <v>610412</v>
      </c>
      <c r="AE1556" s="27" t="s">
        <v>2472</v>
      </c>
      <c r="AF1556" s="432">
        <f>VLOOKUP(AD1556,[5]Hoja1!$A$10:$K$1393,11,0)</f>
        <v>0</v>
      </c>
      <c r="AG1556" s="432"/>
      <c r="AH1556" s="432">
        <f t="shared" si="362"/>
        <v>0</v>
      </c>
      <c r="AL1556" s="448"/>
      <c r="AM1556" s="467">
        <f>VLOOKUP(AD1556,[6]BV201101!$A$10:$A$1236,1,0)</f>
        <v>610412</v>
      </c>
    </row>
    <row r="1557" spans="1:39" s="467" customFormat="1" ht="12.75" customHeight="1">
      <c r="A1557" s="487" t="str">
        <f t="shared" si="363"/>
        <v>6</v>
      </c>
      <c r="B1557" s="487" t="str">
        <f t="shared" si="359"/>
        <v>10</v>
      </c>
      <c r="C1557" s="487" t="str">
        <f t="shared" si="360"/>
        <v>41</v>
      </c>
      <c r="D1557" s="487" t="str">
        <f t="shared" si="361"/>
        <v>0413</v>
      </c>
      <c r="E1557" s="487">
        <v>531201200</v>
      </c>
      <c r="F1557" s="488" t="str">
        <f t="shared" si="352"/>
        <v/>
      </c>
      <c r="G1557" s="487"/>
      <c r="H1557" s="487"/>
      <c r="I1557" s="488" t="str">
        <f t="shared" si="353"/>
        <v/>
      </c>
      <c r="J1557" s="487"/>
      <c r="K1557" s="487"/>
      <c r="L1557" s="488" t="str">
        <f t="shared" si="354"/>
        <v/>
      </c>
      <c r="M1557" s="487"/>
      <c r="N1557" s="487"/>
      <c r="O1557" s="488" t="str">
        <f t="shared" si="355"/>
        <v/>
      </c>
      <c r="P1557" s="489"/>
      <c r="Q1557" s="489"/>
      <c r="R1557" s="592" t="str">
        <f t="shared" si="356"/>
        <v/>
      </c>
      <c r="S1557" s="487"/>
      <c r="T1557" s="487"/>
      <c r="U1557" s="488" t="str">
        <f t="shared" si="357"/>
        <v/>
      </c>
      <c r="V1557" s="487"/>
      <c r="W1557" s="489"/>
      <c r="X1557" s="488" t="str">
        <f t="shared" si="358"/>
        <v/>
      </c>
      <c r="Y1557" s="489"/>
      <c r="Z1557" s="489"/>
      <c r="AA1557" s="490" t="str">
        <f t="shared" si="364"/>
        <v/>
      </c>
      <c r="AB1557" s="489"/>
      <c r="AC1557" s="489"/>
      <c r="AD1557" s="27">
        <v>610413</v>
      </c>
      <c r="AE1557" s="27" t="s">
        <v>2473</v>
      </c>
      <c r="AF1557" s="432">
        <f>VLOOKUP(AD1557,[5]Hoja1!$A$10:$K$1393,11,0)</f>
        <v>0</v>
      </c>
      <c r="AG1557" s="432"/>
      <c r="AH1557" s="432">
        <f t="shared" si="362"/>
        <v>0</v>
      </c>
      <c r="AL1557" s="448"/>
      <c r="AM1557" s="467">
        <f>VLOOKUP(AD1557,[6]BV201101!$A$10:$A$1236,1,0)</f>
        <v>610413</v>
      </c>
    </row>
    <row r="1558" spans="1:39" s="467" customFormat="1" ht="12.75" customHeight="1">
      <c r="A1558" s="487" t="str">
        <f t="shared" si="363"/>
        <v>6</v>
      </c>
      <c r="B1558" s="487" t="str">
        <f t="shared" si="359"/>
        <v>10</v>
      </c>
      <c r="C1558" s="487" t="str">
        <f t="shared" si="360"/>
        <v>41</v>
      </c>
      <c r="D1558" s="487" t="str">
        <f t="shared" si="361"/>
        <v>0414</v>
      </c>
      <c r="E1558" s="487">
        <v>531201200</v>
      </c>
      <c r="F1558" s="488" t="str">
        <f t="shared" si="352"/>
        <v/>
      </c>
      <c r="G1558" s="487"/>
      <c r="H1558" s="487"/>
      <c r="I1558" s="488" t="str">
        <f t="shared" si="353"/>
        <v/>
      </c>
      <c r="J1558" s="487"/>
      <c r="K1558" s="487"/>
      <c r="L1558" s="488" t="str">
        <f t="shared" si="354"/>
        <v/>
      </c>
      <c r="M1558" s="487"/>
      <c r="N1558" s="487"/>
      <c r="O1558" s="488" t="str">
        <f t="shared" si="355"/>
        <v/>
      </c>
      <c r="P1558" s="489"/>
      <c r="Q1558" s="489"/>
      <c r="R1558" s="592" t="str">
        <f t="shared" si="356"/>
        <v/>
      </c>
      <c r="S1558" s="487"/>
      <c r="T1558" s="487"/>
      <c r="U1558" s="488" t="str">
        <f t="shared" si="357"/>
        <v/>
      </c>
      <c r="V1558" s="487"/>
      <c r="W1558" s="489"/>
      <c r="X1558" s="488" t="str">
        <f t="shared" si="358"/>
        <v/>
      </c>
      <c r="Y1558" s="489"/>
      <c r="Z1558" s="489"/>
      <c r="AA1558" s="490" t="str">
        <f t="shared" si="364"/>
        <v/>
      </c>
      <c r="AB1558" s="489"/>
      <c r="AC1558" s="489"/>
      <c r="AD1558" s="27">
        <v>610414</v>
      </c>
      <c r="AE1558" s="27" t="s">
        <v>2474</v>
      </c>
      <c r="AF1558" s="432">
        <f>VLOOKUP(AD1558,[5]Hoja1!$A$10:$K$1393,11,0)</f>
        <v>7070561</v>
      </c>
      <c r="AG1558" s="432"/>
      <c r="AH1558" s="432">
        <f t="shared" si="362"/>
        <v>7071</v>
      </c>
      <c r="AL1558" s="448"/>
      <c r="AM1558" s="467">
        <f>VLOOKUP(AD1558,[6]BV201101!$A$10:$A$1236,1,0)</f>
        <v>610414</v>
      </c>
    </row>
    <row r="1559" spans="1:39" s="467" customFormat="1" ht="12.75" customHeight="1">
      <c r="A1559" s="487" t="str">
        <f t="shared" si="363"/>
        <v>6</v>
      </c>
      <c r="B1559" s="487" t="str">
        <f t="shared" si="359"/>
        <v>10</v>
      </c>
      <c r="C1559" s="487" t="str">
        <f t="shared" si="360"/>
        <v>41</v>
      </c>
      <c r="D1559" s="487" t="str">
        <f t="shared" si="361"/>
        <v>0415</v>
      </c>
      <c r="E1559" s="487">
        <v>531201200</v>
      </c>
      <c r="F1559" s="488" t="str">
        <f t="shared" si="352"/>
        <v/>
      </c>
      <c r="G1559" s="487"/>
      <c r="H1559" s="487"/>
      <c r="I1559" s="488" t="str">
        <f t="shared" si="353"/>
        <v/>
      </c>
      <c r="J1559" s="487"/>
      <c r="K1559" s="487"/>
      <c r="L1559" s="488" t="str">
        <f t="shared" si="354"/>
        <v/>
      </c>
      <c r="M1559" s="487"/>
      <c r="N1559" s="487"/>
      <c r="O1559" s="488" t="str">
        <f t="shared" si="355"/>
        <v/>
      </c>
      <c r="P1559" s="489"/>
      <c r="Q1559" s="489"/>
      <c r="R1559" s="592" t="str">
        <f t="shared" si="356"/>
        <v/>
      </c>
      <c r="S1559" s="487"/>
      <c r="T1559" s="487"/>
      <c r="U1559" s="488" t="str">
        <f t="shared" si="357"/>
        <v/>
      </c>
      <c r="V1559" s="487"/>
      <c r="W1559" s="489"/>
      <c r="X1559" s="488" t="str">
        <f t="shared" si="358"/>
        <v/>
      </c>
      <c r="Y1559" s="489"/>
      <c r="Z1559" s="489"/>
      <c r="AA1559" s="490" t="str">
        <f t="shared" si="364"/>
        <v/>
      </c>
      <c r="AB1559" s="489"/>
      <c r="AC1559" s="489"/>
      <c r="AD1559" s="27">
        <v>610415</v>
      </c>
      <c r="AE1559" s="27" t="s">
        <v>922</v>
      </c>
      <c r="AF1559" s="432">
        <f>VLOOKUP(AD1559,[5]Hoja1!$A$10:$K$1393,11,0)</f>
        <v>1253998</v>
      </c>
      <c r="AG1559" s="432"/>
      <c r="AH1559" s="432">
        <f t="shared" si="362"/>
        <v>1254</v>
      </c>
      <c r="AL1559" s="448"/>
      <c r="AM1559" s="467">
        <f>VLOOKUP(AD1559,[6]BV201101!$A$10:$A$1236,1,0)</f>
        <v>610415</v>
      </c>
    </row>
    <row r="1560" spans="1:39" s="467" customFormat="1" ht="12.75" customHeight="1">
      <c r="A1560" s="487" t="str">
        <f t="shared" si="363"/>
        <v>6</v>
      </c>
      <c r="B1560" s="487" t="str">
        <f t="shared" si="359"/>
        <v>10</v>
      </c>
      <c r="C1560" s="487" t="str">
        <f t="shared" si="360"/>
        <v>41</v>
      </c>
      <c r="D1560" s="487" t="str">
        <f t="shared" si="361"/>
        <v>0416</v>
      </c>
      <c r="E1560" s="487">
        <v>531201200</v>
      </c>
      <c r="F1560" s="488" t="str">
        <f t="shared" si="352"/>
        <v/>
      </c>
      <c r="G1560" s="487"/>
      <c r="H1560" s="487"/>
      <c r="I1560" s="488" t="str">
        <f t="shared" si="353"/>
        <v/>
      </c>
      <c r="J1560" s="487"/>
      <c r="K1560" s="487"/>
      <c r="L1560" s="488" t="str">
        <f t="shared" si="354"/>
        <v/>
      </c>
      <c r="M1560" s="487"/>
      <c r="N1560" s="487"/>
      <c r="O1560" s="488" t="str">
        <f t="shared" si="355"/>
        <v/>
      </c>
      <c r="P1560" s="489"/>
      <c r="Q1560" s="489"/>
      <c r="R1560" s="592" t="str">
        <f t="shared" si="356"/>
        <v/>
      </c>
      <c r="S1560" s="487"/>
      <c r="T1560" s="487"/>
      <c r="U1560" s="488" t="str">
        <f t="shared" si="357"/>
        <v/>
      </c>
      <c r="V1560" s="487"/>
      <c r="W1560" s="489"/>
      <c r="X1560" s="488" t="str">
        <f t="shared" si="358"/>
        <v/>
      </c>
      <c r="Y1560" s="489"/>
      <c r="Z1560" s="489"/>
      <c r="AA1560" s="490" t="str">
        <f t="shared" si="364"/>
        <v/>
      </c>
      <c r="AB1560" s="489"/>
      <c r="AC1560" s="489"/>
      <c r="AD1560" s="27">
        <v>610416</v>
      </c>
      <c r="AE1560" s="27" t="s">
        <v>923</v>
      </c>
      <c r="AF1560" s="432">
        <f>VLOOKUP(AD1560,[5]Hoja1!$A$10:$K$1393,11,0)</f>
        <v>3545133</v>
      </c>
      <c r="AG1560" s="432"/>
      <c r="AH1560" s="432">
        <f t="shared" si="362"/>
        <v>3545</v>
      </c>
      <c r="AL1560" s="448"/>
      <c r="AM1560" s="467">
        <f>VLOOKUP(AD1560,[6]BV201101!$A$10:$A$1236,1,0)</f>
        <v>610416</v>
      </c>
    </row>
    <row r="1561" spans="1:39" s="467" customFormat="1" ht="12.75" customHeight="1">
      <c r="A1561" s="487" t="str">
        <f t="shared" si="363"/>
        <v>6</v>
      </c>
      <c r="B1561" s="487" t="str">
        <f t="shared" si="359"/>
        <v>10</v>
      </c>
      <c r="C1561" s="487" t="str">
        <f t="shared" si="360"/>
        <v>41</v>
      </c>
      <c r="D1561" s="487" t="str">
        <f t="shared" si="361"/>
        <v>0417</v>
      </c>
      <c r="E1561" s="487">
        <v>531201200</v>
      </c>
      <c r="F1561" s="488" t="str">
        <f t="shared" si="352"/>
        <v/>
      </c>
      <c r="G1561" s="487"/>
      <c r="H1561" s="487"/>
      <c r="I1561" s="488" t="str">
        <f t="shared" si="353"/>
        <v/>
      </c>
      <c r="J1561" s="487"/>
      <c r="K1561" s="487"/>
      <c r="L1561" s="488" t="str">
        <f t="shared" si="354"/>
        <v/>
      </c>
      <c r="M1561" s="487"/>
      <c r="N1561" s="487"/>
      <c r="O1561" s="488" t="str">
        <f t="shared" si="355"/>
        <v/>
      </c>
      <c r="P1561" s="489"/>
      <c r="Q1561" s="489"/>
      <c r="R1561" s="592" t="str">
        <f t="shared" si="356"/>
        <v/>
      </c>
      <c r="S1561" s="487"/>
      <c r="T1561" s="487"/>
      <c r="U1561" s="488" t="str">
        <f t="shared" si="357"/>
        <v/>
      </c>
      <c r="V1561" s="487"/>
      <c r="W1561" s="489"/>
      <c r="X1561" s="488" t="str">
        <f t="shared" si="358"/>
        <v/>
      </c>
      <c r="Y1561" s="489"/>
      <c r="Z1561" s="489"/>
      <c r="AA1561" s="490" t="str">
        <f t="shared" si="364"/>
        <v/>
      </c>
      <c r="AB1561" s="489"/>
      <c r="AC1561" s="489"/>
      <c r="AD1561" s="27">
        <v>610417</v>
      </c>
      <c r="AE1561" s="27" t="s">
        <v>2475</v>
      </c>
      <c r="AF1561" s="432">
        <v>0</v>
      </c>
      <c r="AG1561" s="432"/>
      <c r="AH1561" s="432">
        <f t="shared" si="362"/>
        <v>0</v>
      </c>
      <c r="AL1561" s="448"/>
      <c r="AM1561" s="467" t="e">
        <f>VLOOKUP(AD1561,[6]BV201101!$A$10:$A$1236,1,0)</f>
        <v>#N/A</v>
      </c>
    </row>
    <row r="1562" spans="1:39" s="467" customFormat="1" ht="12.75" customHeight="1">
      <c r="A1562" s="487" t="str">
        <f t="shared" si="363"/>
        <v>6</v>
      </c>
      <c r="B1562" s="487" t="str">
        <f t="shared" si="359"/>
        <v>10</v>
      </c>
      <c r="C1562" s="487" t="str">
        <f t="shared" si="360"/>
        <v>41</v>
      </c>
      <c r="D1562" s="487" t="str">
        <f t="shared" si="361"/>
        <v>0418</v>
      </c>
      <c r="E1562" s="487">
        <v>531201200</v>
      </c>
      <c r="F1562" s="488" t="str">
        <f t="shared" si="352"/>
        <v/>
      </c>
      <c r="G1562" s="487"/>
      <c r="H1562" s="487"/>
      <c r="I1562" s="488" t="str">
        <f t="shared" si="353"/>
        <v/>
      </c>
      <c r="J1562" s="487"/>
      <c r="K1562" s="487"/>
      <c r="L1562" s="488" t="str">
        <f t="shared" si="354"/>
        <v/>
      </c>
      <c r="M1562" s="487"/>
      <c r="N1562" s="487"/>
      <c r="O1562" s="488" t="str">
        <f t="shared" si="355"/>
        <v/>
      </c>
      <c r="P1562" s="489"/>
      <c r="Q1562" s="489"/>
      <c r="R1562" s="592" t="str">
        <f t="shared" si="356"/>
        <v/>
      </c>
      <c r="S1562" s="487"/>
      <c r="T1562" s="487"/>
      <c r="U1562" s="488" t="str">
        <f t="shared" si="357"/>
        <v/>
      </c>
      <c r="V1562" s="487"/>
      <c r="W1562" s="489"/>
      <c r="X1562" s="488" t="str">
        <f t="shared" si="358"/>
        <v/>
      </c>
      <c r="Y1562" s="489"/>
      <c r="Z1562" s="489"/>
      <c r="AA1562" s="490" t="str">
        <f t="shared" si="364"/>
        <v/>
      </c>
      <c r="AB1562" s="489"/>
      <c r="AC1562" s="489"/>
      <c r="AD1562" s="27">
        <v>610418</v>
      </c>
      <c r="AE1562" s="27" t="s">
        <v>2476</v>
      </c>
      <c r="AF1562" s="432">
        <f>VLOOKUP(AD1562,[5]Hoja1!$A$10:$K$1393,11,0)</f>
        <v>0</v>
      </c>
      <c r="AG1562" s="432"/>
      <c r="AH1562" s="432">
        <f t="shared" si="362"/>
        <v>0</v>
      </c>
      <c r="AL1562" s="448"/>
      <c r="AM1562" s="467">
        <f>VLOOKUP(AD1562,[6]BV201101!$A$10:$A$1236,1,0)</f>
        <v>610418</v>
      </c>
    </row>
    <row r="1563" spans="1:39" s="467" customFormat="1" ht="12.75" customHeight="1">
      <c r="A1563" s="487" t="str">
        <f t="shared" si="363"/>
        <v>6</v>
      </c>
      <c r="B1563" s="487" t="str">
        <f t="shared" si="359"/>
        <v>10</v>
      </c>
      <c r="C1563" s="487" t="str">
        <f t="shared" si="360"/>
        <v>41</v>
      </c>
      <c r="D1563" s="487" t="str">
        <f t="shared" si="361"/>
        <v>0419</v>
      </c>
      <c r="E1563" s="487">
        <v>531201200</v>
      </c>
      <c r="F1563" s="488" t="str">
        <f t="shared" si="352"/>
        <v/>
      </c>
      <c r="G1563" s="487"/>
      <c r="H1563" s="487"/>
      <c r="I1563" s="488" t="str">
        <f t="shared" si="353"/>
        <v/>
      </c>
      <c r="J1563" s="487"/>
      <c r="K1563" s="487"/>
      <c r="L1563" s="488" t="str">
        <f t="shared" si="354"/>
        <v/>
      </c>
      <c r="M1563" s="487"/>
      <c r="N1563" s="487"/>
      <c r="O1563" s="488" t="str">
        <f t="shared" si="355"/>
        <v/>
      </c>
      <c r="P1563" s="489"/>
      <c r="Q1563" s="489"/>
      <c r="R1563" s="592" t="str">
        <f t="shared" si="356"/>
        <v/>
      </c>
      <c r="S1563" s="487"/>
      <c r="T1563" s="487"/>
      <c r="U1563" s="488" t="str">
        <f t="shared" si="357"/>
        <v/>
      </c>
      <c r="V1563" s="487"/>
      <c r="W1563" s="489"/>
      <c r="X1563" s="488" t="str">
        <f t="shared" si="358"/>
        <v/>
      </c>
      <c r="Y1563" s="489"/>
      <c r="Z1563" s="489"/>
      <c r="AA1563" s="490" t="str">
        <f t="shared" si="364"/>
        <v/>
      </c>
      <c r="AB1563" s="489"/>
      <c r="AC1563" s="489"/>
      <c r="AD1563" s="27">
        <v>610419</v>
      </c>
      <c r="AE1563" s="27" t="s">
        <v>2477</v>
      </c>
      <c r="AF1563" s="432">
        <f>VLOOKUP(AD1563,[5]Hoja1!$A$10:$K$1393,11,0)</f>
        <v>0</v>
      </c>
      <c r="AG1563" s="432"/>
      <c r="AH1563" s="432">
        <f t="shared" si="362"/>
        <v>0</v>
      </c>
      <c r="AL1563" s="448"/>
      <c r="AM1563" s="467">
        <f>VLOOKUP(AD1563,[6]BV201101!$A$10:$A$1236,1,0)</f>
        <v>610419</v>
      </c>
    </row>
    <row r="1564" spans="1:39" s="467" customFormat="1" ht="12.75" customHeight="1">
      <c r="A1564" s="487" t="str">
        <f t="shared" si="363"/>
        <v>6</v>
      </c>
      <c r="B1564" s="487" t="str">
        <f t="shared" si="359"/>
        <v>10</v>
      </c>
      <c r="C1564" s="487" t="str">
        <f t="shared" si="360"/>
        <v>42</v>
      </c>
      <c r="D1564" s="487" t="str">
        <f t="shared" si="361"/>
        <v>0420</v>
      </c>
      <c r="E1564" s="487">
        <v>531201200</v>
      </c>
      <c r="F1564" s="488" t="str">
        <f t="shared" si="352"/>
        <v/>
      </c>
      <c r="G1564" s="487"/>
      <c r="H1564" s="487"/>
      <c r="I1564" s="488" t="str">
        <f t="shared" si="353"/>
        <v/>
      </c>
      <c r="J1564" s="487"/>
      <c r="K1564" s="487"/>
      <c r="L1564" s="488" t="str">
        <f t="shared" si="354"/>
        <v/>
      </c>
      <c r="M1564" s="487"/>
      <c r="N1564" s="487"/>
      <c r="O1564" s="488" t="str">
        <f t="shared" si="355"/>
        <v/>
      </c>
      <c r="P1564" s="489"/>
      <c r="Q1564" s="489"/>
      <c r="R1564" s="592" t="str">
        <f t="shared" si="356"/>
        <v/>
      </c>
      <c r="S1564" s="487"/>
      <c r="T1564" s="487"/>
      <c r="U1564" s="488" t="str">
        <f t="shared" si="357"/>
        <v/>
      </c>
      <c r="V1564" s="487"/>
      <c r="W1564" s="489"/>
      <c r="X1564" s="488" t="str">
        <f t="shared" si="358"/>
        <v/>
      </c>
      <c r="Y1564" s="489"/>
      <c r="Z1564" s="489"/>
      <c r="AA1564" s="490" t="str">
        <f t="shared" si="364"/>
        <v/>
      </c>
      <c r="AB1564" s="489"/>
      <c r="AC1564" s="489"/>
      <c r="AD1564" s="27">
        <v>610420</v>
      </c>
      <c r="AE1564" s="27" t="s">
        <v>269</v>
      </c>
      <c r="AF1564" s="432">
        <f>VLOOKUP(AD1564,[5]Hoja1!$A$10:$K$1393,11,0)</f>
        <v>52691</v>
      </c>
      <c r="AG1564" s="432"/>
      <c r="AH1564" s="432">
        <f t="shared" si="362"/>
        <v>53</v>
      </c>
      <c r="AL1564" s="448"/>
      <c r="AM1564" s="467">
        <f>VLOOKUP(AD1564,[6]BV201101!$A$10:$A$1236,1,0)</f>
        <v>610420</v>
      </c>
    </row>
    <row r="1565" spans="1:39" s="467" customFormat="1" ht="12.75" customHeight="1">
      <c r="A1565" s="487" t="str">
        <f t="shared" si="363"/>
        <v>6</v>
      </c>
      <c r="B1565" s="487" t="str">
        <f t="shared" si="359"/>
        <v>10</v>
      </c>
      <c r="C1565" s="487" t="str">
        <f t="shared" si="360"/>
        <v>42</v>
      </c>
      <c r="D1565" s="487" t="str">
        <f t="shared" si="361"/>
        <v>0421</v>
      </c>
      <c r="E1565" s="487">
        <v>531201200</v>
      </c>
      <c r="F1565" s="488" t="str">
        <f t="shared" si="352"/>
        <v/>
      </c>
      <c r="G1565" s="487"/>
      <c r="H1565" s="487"/>
      <c r="I1565" s="488" t="str">
        <f t="shared" si="353"/>
        <v/>
      </c>
      <c r="J1565" s="487"/>
      <c r="K1565" s="487"/>
      <c r="L1565" s="488" t="str">
        <f t="shared" si="354"/>
        <v/>
      </c>
      <c r="M1565" s="487"/>
      <c r="N1565" s="487"/>
      <c r="O1565" s="488" t="str">
        <f t="shared" si="355"/>
        <v/>
      </c>
      <c r="P1565" s="489"/>
      <c r="Q1565" s="489"/>
      <c r="R1565" s="592" t="str">
        <f t="shared" si="356"/>
        <v/>
      </c>
      <c r="S1565" s="487"/>
      <c r="T1565" s="487"/>
      <c r="U1565" s="488" t="str">
        <f t="shared" si="357"/>
        <v/>
      </c>
      <c r="V1565" s="487"/>
      <c r="W1565" s="489"/>
      <c r="X1565" s="488" t="str">
        <f t="shared" si="358"/>
        <v/>
      </c>
      <c r="Y1565" s="489"/>
      <c r="Z1565" s="489"/>
      <c r="AA1565" s="490" t="str">
        <f t="shared" si="364"/>
        <v/>
      </c>
      <c r="AB1565" s="489"/>
      <c r="AC1565" s="489"/>
      <c r="AD1565" s="27">
        <v>610421</v>
      </c>
      <c r="AE1565" s="27" t="s">
        <v>1859</v>
      </c>
      <c r="AF1565" s="432">
        <f>VLOOKUP(AD1565,[5]Hoja1!$A$10:$K$1393,11,0)</f>
        <v>0</v>
      </c>
      <c r="AG1565" s="432"/>
      <c r="AH1565" s="432">
        <f t="shared" si="362"/>
        <v>0</v>
      </c>
      <c r="AL1565" s="448"/>
      <c r="AM1565" s="467">
        <f>VLOOKUP(AD1565,[6]BV201101!$A$10:$A$1236,1,0)</f>
        <v>610421</v>
      </c>
    </row>
    <row r="1566" spans="1:39" s="467" customFormat="1" ht="12.75" customHeight="1">
      <c r="A1566" s="487" t="str">
        <f t="shared" si="363"/>
        <v>6</v>
      </c>
      <c r="B1566" s="487" t="str">
        <f t="shared" si="359"/>
        <v>10</v>
      </c>
      <c r="C1566" s="487" t="str">
        <f t="shared" si="360"/>
        <v>42</v>
      </c>
      <c r="D1566" s="487" t="str">
        <f t="shared" si="361"/>
        <v>0422</v>
      </c>
      <c r="E1566" s="487">
        <v>531201200</v>
      </c>
      <c r="F1566" s="488"/>
      <c r="G1566" s="487"/>
      <c r="H1566" s="487"/>
      <c r="I1566" s="488"/>
      <c r="J1566" s="487"/>
      <c r="K1566" s="487"/>
      <c r="L1566" s="488"/>
      <c r="M1566" s="487"/>
      <c r="N1566" s="487"/>
      <c r="O1566" s="488"/>
      <c r="P1566" s="489"/>
      <c r="Q1566" s="489"/>
      <c r="R1566" s="592"/>
      <c r="S1566" s="487"/>
      <c r="T1566" s="487"/>
      <c r="U1566" s="488"/>
      <c r="V1566" s="487"/>
      <c r="W1566" s="489"/>
      <c r="X1566" s="488"/>
      <c r="Y1566" s="489"/>
      <c r="Z1566" s="489"/>
      <c r="AA1566" s="490"/>
      <c r="AB1566" s="489"/>
      <c r="AC1566" s="489"/>
      <c r="AD1566" s="27">
        <v>610422</v>
      </c>
      <c r="AE1566" s="27" t="s">
        <v>2478</v>
      </c>
      <c r="AF1566" s="432">
        <f>VLOOKUP(AD1566,[5]Hoja1!$A$10:$K$1393,11,0)</f>
        <v>0</v>
      </c>
      <c r="AG1566" s="432"/>
      <c r="AH1566" s="432">
        <f t="shared" si="362"/>
        <v>0</v>
      </c>
      <c r="AL1566" s="448"/>
      <c r="AM1566" s="467">
        <f>VLOOKUP(AD1566,[6]BV201101!$A$10:$A$1236,1,0)</f>
        <v>610422</v>
      </c>
    </row>
    <row r="1567" spans="1:39" s="467" customFormat="1" ht="12.75" customHeight="1">
      <c r="A1567" s="487" t="str">
        <f t="shared" si="363"/>
        <v>6</v>
      </c>
      <c r="B1567" s="487" t="str">
        <f t="shared" si="359"/>
        <v>10</v>
      </c>
      <c r="C1567" s="487" t="str">
        <f t="shared" si="360"/>
        <v>42</v>
      </c>
      <c r="D1567" s="487" t="str">
        <f t="shared" si="361"/>
        <v>0423</v>
      </c>
      <c r="E1567" s="487">
        <v>531201200</v>
      </c>
      <c r="F1567" s="488"/>
      <c r="G1567" s="487"/>
      <c r="H1567" s="487"/>
      <c r="I1567" s="488"/>
      <c r="J1567" s="487"/>
      <c r="K1567" s="487"/>
      <c r="L1567" s="488"/>
      <c r="M1567" s="487"/>
      <c r="N1567" s="487"/>
      <c r="O1567" s="488"/>
      <c r="P1567" s="489"/>
      <c r="Q1567" s="489"/>
      <c r="R1567" s="592"/>
      <c r="S1567" s="487"/>
      <c r="T1567" s="487"/>
      <c r="U1567" s="488"/>
      <c r="V1567" s="487"/>
      <c r="W1567" s="489"/>
      <c r="X1567" s="488"/>
      <c r="Y1567" s="489"/>
      <c r="Z1567" s="489"/>
      <c r="AA1567" s="490"/>
      <c r="AB1567" s="489"/>
      <c r="AC1567" s="489"/>
      <c r="AD1567" s="27">
        <v>610423</v>
      </c>
      <c r="AE1567" s="27" t="s">
        <v>2479</v>
      </c>
      <c r="AF1567" s="432">
        <f>VLOOKUP(AD1567,[5]Hoja1!$A$10:$K$1393,11,0)</f>
        <v>-767925</v>
      </c>
      <c r="AG1567" s="432"/>
      <c r="AH1567" s="432">
        <f t="shared" si="362"/>
        <v>-768</v>
      </c>
      <c r="AL1567" s="448"/>
      <c r="AM1567" s="467">
        <f>VLOOKUP(AD1567,[6]BV201101!$A$10:$A$1236,1,0)</f>
        <v>610423</v>
      </c>
    </row>
    <row r="1568" spans="1:39" s="467" customFormat="1" ht="12.75" customHeight="1">
      <c r="A1568" s="487" t="str">
        <f t="shared" si="363"/>
        <v>6</v>
      </c>
      <c r="B1568" s="487" t="str">
        <f t="shared" si="359"/>
        <v>10</v>
      </c>
      <c r="C1568" s="487" t="str">
        <f t="shared" si="360"/>
        <v>42</v>
      </c>
      <c r="D1568" s="487" t="str">
        <f t="shared" si="361"/>
        <v>0424</v>
      </c>
      <c r="E1568" s="487">
        <v>531201200</v>
      </c>
      <c r="F1568" s="488"/>
      <c r="G1568" s="487"/>
      <c r="H1568" s="487"/>
      <c r="I1568" s="488"/>
      <c r="J1568" s="487"/>
      <c r="K1568" s="487"/>
      <c r="L1568" s="488"/>
      <c r="M1568" s="487"/>
      <c r="N1568" s="487"/>
      <c r="O1568" s="488"/>
      <c r="P1568" s="489"/>
      <c r="Q1568" s="489"/>
      <c r="R1568" s="592"/>
      <c r="S1568" s="487"/>
      <c r="T1568" s="487"/>
      <c r="U1568" s="488"/>
      <c r="V1568" s="487"/>
      <c r="W1568" s="489"/>
      <c r="X1568" s="488"/>
      <c r="Y1568" s="489"/>
      <c r="Z1568" s="489"/>
      <c r="AA1568" s="490"/>
      <c r="AB1568" s="489"/>
      <c r="AC1568" s="489"/>
      <c r="AD1568" s="27">
        <v>610424</v>
      </c>
      <c r="AE1568" s="27" t="s">
        <v>1007</v>
      </c>
      <c r="AF1568" s="432">
        <f>VLOOKUP(AD1568,[5]Hoja1!$A$10:$K$1393,11,0)</f>
        <v>0</v>
      </c>
      <c r="AG1568" s="432"/>
      <c r="AH1568" s="432">
        <f t="shared" si="362"/>
        <v>0</v>
      </c>
      <c r="AL1568" s="448"/>
      <c r="AM1568" s="467">
        <f>VLOOKUP(AD1568,[6]BV201101!$A$10:$A$1236,1,0)</f>
        <v>610424</v>
      </c>
    </row>
    <row r="1569" spans="1:39" s="467" customFormat="1" ht="12.75" customHeight="1">
      <c r="A1569" s="487" t="str">
        <f t="shared" si="363"/>
        <v>6</v>
      </c>
      <c r="B1569" s="487" t="str">
        <f t="shared" si="359"/>
        <v>10</v>
      </c>
      <c r="C1569" s="487" t="str">
        <f t="shared" si="360"/>
        <v>42</v>
      </c>
      <c r="D1569" s="487" t="str">
        <f t="shared" si="361"/>
        <v>0425</v>
      </c>
      <c r="E1569" s="487">
        <v>531201200</v>
      </c>
      <c r="F1569" s="488"/>
      <c r="G1569" s="487"/>
      <c r="H1569" s="487"/>
      <c r="I1569" s="488"/>
      <c r="J1569" s="487"/>
      <c r="K1569" s="487"/>
      <c r="L1569" s="488"/>
      <c r="M1569" s="487"/>
      <c r="N1569" s="487"/>
      <c r="O1569" s="488"/>
      <c r="P1569" s="489"/>
      <c r="Q1569" s="489"/>
      <c r="R1569" s="592"/>
      <c r="S1569" s="487"/>
      <c r="T1569" s="487"/>
      <c r="U1569" s="488"/>
      <c r="V1569" s="487"/>
      <c r="W1569" s="489"/>
      <c r="X1569" s="488"/>
      <c r="Y1569" s="489"/>
      <c r="Z1569" s="489"/>
      <c r="AA1569" s="490"/>
      <c r="AB1569" s="489"/>
      <c r="AC1569" s="489"/>
      <c r="AD1569" s="27">
        <v>610425</v>
      </c>
      <c r="AE1569" s="27" t="s">
        <v>1205</v>
      </c>
      <c r="AF1569" s="432">
        <f>VLOOKUP(AD1569,[5]Hoja1!$A$10:$K$1393,11,0)</f>
        <v>17158102</v>
      </c>
      <c r="AG1569" s="432"/>
      <c r="AH1569" s="432">
        <f t="shared" si="362"/>
        <v>17158</v>
      </c>
      <c r="AL1569" s="448"/>
      <c r="AM1569" s="467">
        <f>VLOOKUP(AD1569,[6]BV201101!$A$10:$A$1236,1,0)</f>
        <v>610425</v>
      </c>
    </row>
    <row r="1570" spans="1:39" s="467" customFormat="1" ht="12.75" customHeight="1">
      <c r="A1570" s="487" t="str">
        <f t="shared" si="363"/>
        <v>6</v>
      </c>
      <c r="B1570" s="487" t="str">
        <f t="shared" si="359"/>
        <v>10</v>
      </c>
      <c r="C1570" s="487" t="str">
        <f t="shared" si="360"/>
        <v>42</v>
      </c>
      <c r="D1570" s="487" t="str">
        <f t="shared" si="361"/>
        <v>0426</v>
      </c>
      <c r="E1570" s="487">
        <v>531201200</v>
      </c>
      <c r="F1570" s="488"/>
      <c r="G1570" s="487"/>
      <c r="H1570" s="487"/>
      <c r="I1570" s="488"/>
      <c r="J1570" s="487"/>
      <c r="K1570" s="487"/>
      <c r="L1570" s="488"/>
      <c r="M1570" s="487"/>
      <c r="N1570" s="487"/>
      <c r="O1570" s="488"/>
      <c r="P1570" s="489"/>
      <c r="Q1570" s="489"/>
      <c r="R1570" s="592"/>
      <c r="S1570" s="487"/>
      <c r="T1570" s="487"/>
      <c r="U1570" s="488"/>
      <c r="V1570" s="487"/>
      <c r="W1570" s="489"/>
      <c r="X1570" s="488"/>
      <c r="Y1570" s="489"/>
      <c r="Z1570" s="489"/>
      <c r="AA1570" s="490"/>
      <c r="AB1570" s="489"/>
      <c r="AC1570" s="489"/>
      <c r="AD1570" s="27">
        <v>610426</v>
      </c>
      <c r="AE1570" s="27" t="s">
        <v>2480</v>
      </c>
      <c r="AF1570" s="432">
        <f>VLOOKUP(AD1570,[5]Hoja1!$A$10:$K$1393,11,0)</f>
        <v>0</v>
      </c>
      <c r="AG1570" s="432"/>
      <c r="AH1570" s="432">
        <f t="shared" si="362"/>
        <v>0</v>
      </c>
      <c r="AL1570" s="448"/>
      <c r="AM1570" s="467">
        <f>VLOOKUP(AD1570,[6]BV201101!$A$10:$A$1236,1,0)</f>
        <v>610426</v>
      </c>
    </row>
    <row r="1571" spans="1:39" s="467" customFormat="1" ht="12.75" customHeight="1">
      <c r="A1571" s="487" t="str">
        <f t="shared" si="363"/>
        <v>6</v>
      </c>
      <c r="B1571" s="487" t="str">
        <f t="shared" si="359"/>
        <v>10</v>
      </c>
      <c r="C1571" s="487" t="str">
        <f t="shared" si="360"/>
        <v>42</v>
      </c>
      <c r="D1571" s="487" t="str">
        <f t="shared" si="361"/>
        <v>0427</v>
      </c>
      <c r="E1571" s="487">
        <v>531201200</v>
      </c>
      <c r="F1571" s="488"/>
      <c r="G1571" s="487"/>
      <c r="H1571" s="487"/>
      <c r="I1571" s="488"/>
      <c r="J1571" s="487"/>
      <c r="K1571" s="487"/>
      <c r="L1571" s="488"/>
      <c r="M1571" s="487"/>
      <c r="N1571" s="487"/>
      <c r="O1571" s="488"/>
      <c r="P1571" s="489"/>
      <c r="Q1571" s="489"/>
      <c r="R1571" s="592"/>
      <c r="S1571" s="487"/>
      <c r="T1571" s="487"/>
      <c r="U1571" s="488"/>
      <c r="V1571" s="487"/>
      <c r="W1571" s="489"/>
      <c r="X1571" s="488"/>
      <c r="Y1571" s="489"/>
      <c r="Z1571" s="489"/>
      <c r="AA1571" s="490"/>
      <c r="AB1571" s="489"/>
      <c r="AC1571" s="489"/>
      <c r="AD1571" s="27">
        <v>610427</v>
      </c>
      <c r="AE1571" s="27" t="s">
        <v>1084</v>
      </c>
      <c r="AF1571" s="432">
        <f>VLOOKUP(AD1571,[5]Hoja1!$A$10:$K$1393,11,0)</f>
        <v>0</v>
      </c>
      <c r="AG1571" s="432"/>
      <c r="AH1571" s="432">
        <f t="shared" si="362"/>
        <v>0</v>
      </c>
      <c r="AL1571" s="448"/>
      <c r="AM1571" s="467">
        <f>VLOOKUP(AD1571,[6]BV201101!$A$10:$A$1236,1,0)</f>
        <v>610427</v>
      </c>
    </row>
    <row r="1572" spans="1:39" s="467" customFormat="1" ht="12.75" customHeight="1">
      <c r="A1572" s="487" t="str">
        <f t="shared" si="363"/>
        <v>6</v>
      </c>
      <c r="B1572" s="487" t="str">
        <f t="shared" si="359"/>
        <v>10</v>
      </c>
      <c r="C1572" s="487" t="str">
        <f t="shared" si="360"/>
        <v>42</v>
      </c>
      <c r="D1572" s="487" t="str">
        <f t="shared" si="361"/>
        <v>0428</v>
      </c>
      <c r="E1572" s="487">
        <v>531201200</v>
      </c>
      <c r="F1572" s="488"/>
      <c r="G1572" s="487"/>
      <c r="H1572" s="487"/>
      <c r="I1572" s="488"/>
      <c r="J1572" s="487"/>
      <c r="K1572" s="487"/>
      <c r="L1572" s="488"/>
      <c r="M1572" s="487"/>
      <c r="N1572" s="487"/>
      <c r="O1572" s="488"/>
      <c r="P1572" s="489"/>
      <c r="Q1572" s="489"/>
      <c r="R1572" s="592"/>
      <c r="S1572" s="487"/>
      <c r="T1572" s="487"/>
      <c r="U1572" s="488"/>
      <c r="V1572" s="487"/>
      <c r="W1572" s="489"/>
      <c r="X1572" s="488"/>
      <c r="Y1572" s="489"/>
      <c r="Z1572" s="489"/>
      <c r="AA1572" s="490"/>
      <c r="AB1572" s="489"/>
      <c r="AC1572" s="489"/>
      <c r="AD1572" s="27">
        <v>610428</v>
      </c>
      <c r="AE1572" s="27" t="s">
        <v>868</v>
      </c>
      <c r="AF1572" s="432">
        <f>VLOOKUP(AD1572,[5]Hoja1!$A$10:$K$1393,11,0)</f>
        <v>20547015</v>
      </c>
      <c r="AG1572" s="432"/>
      <c r="AH1572" s="432">
        <f t="shared" ref="AH1572:AH1636" si="365">ROUND((AF1572+AG1572)/$AH$2,0)</f>
        <v>20547</v>
      </c>
      <c r="AL1572" s="448"/>
      <c r="AM1572" s="467">
        <f>VLOOKUP(AD1572,[6]BV201101!$A$10:$A$1236,1,0)</f>
        <v>610428</v>
      </c>
    </row>
    <row r="1573" spans="1:39" s="467" customFormat="1" ht="12.75" customHeight="1">
      <c r="A1573" s="487" t="str">
        <f t="shared" si="363"/>
        <v>6</v>
      </c>
      <c r="B1573" s="487" t="str">
        <f t="shared" si="359"/>
        <v>10</v>
      </c>
      <c r="C1573" s="487" t="str">
        <f t="shared" si="360"/>
        <v>42</v>
      </c>
      <c r="D1573" s="487" t="str">
        <f t="shared" si="361"/>
        <v>0429</v>
      </c>
      <c r="E1573" s="487">
        <v>531201200</v>
      </c>
      <c r="F1573" s="488"/>
      <c r="G1573" s="487"/>
      <c r="H1573" s="487"/>
      <c r="I1573" s="488"/>
      <c r="J1573" s="487"/>
      <c r="K1573" s="487"/>
      <c r="L1573" s="488"/>
      <c r="M1573" s="487"/>
      <c r="N1573" s="487"/>
      <c r="O1573" s="488"/>
      <c r="P1573" s="489"/>
      <c r="Q1573" s="489"/>
      <c r="R1573" s="592"/>
      <c r="S1573" s="487"/>
      <c r="T1573" s="487"/>
      <c r="U1573" s="488"/>
      <c r="V1573" s="487"/>
      <c r="W1573" s="489"/>
      <c r="X1573" s="488"/>
      <c r="Y1573" s="489"/>
      <c r="Z1573" s="489"/>
      <c r="AA1573" s="490"/>
      <c r="AB1573" s="489"/>
      <c r="AC1573" s="489"/>
      <c r="AD1573" s="27">
        <v>610429</v>
      </c>
      <c r="AE1573" s="27" t="s">
        <v>2481</v>
      </c>
      <c r="AF1573" s="432">
        <f>VLOOKUP(AD1573,[5]Hoja1!$A$10:$K$1393,11,0)</f>
        <v>27251437</v>
      </c>
      <c r="AG1573" s="432"/>
      <c r="AH1573" s="432">
        <f t="shared" si="365"/>
        <v>27251</v>
      </c>
      <c r="AL1573" s="448"/>
      <c r="AM1573" s="467">
        <f>VLOOKUP(AD1573,[6]BV201101!$A$10:$A$1236,1,0)</f>
        <v>610429</v>
      </c>
    </row>
    <row r="1574" spans="1:39" s="467" customFormat="1" ht="12.75" customHeight="1">
      <c r="A1574" s="487" t="str">
        <f t="shared" si="363"/>
        <v>6</v>
      </c>
      <c r="B1574" s="487" t="str">
        <f t="shared" si="359"/>
        <v>10</v>
      </c>
      <c r="C1574" s="487" t="str">
        <f t="shared" si="360"/>
        <v>43</v>
      </c>
      <c r="D1574" s="487" t="str">
        <f t="shared" si="361"/>
        <v>0430</v>
      </c>
      <c r="E1574" s="487">
        <v>531201200</v>
      </c>
      <c r="F1574" s="488"/>
      <c r="G1574" s="487"/>
      <c r="H1574" s="487"/>
      <c r="I1574" s="488"/>
      <c r="J1574" s="487"/>
      <c r="K1574" s="487"/>
      <c r="L1574" s="488"/>
      <c r="M1574" s="487"/>
      <c r="N1574" s="487"/>
      <c r="O1574" s="488"/>
      <c r="P1574" s="489"/>
      <c r="Q1574" s="489"/>
      <c r="R1574" s="592"/>
      <c r="S1574" s="487"/>
      <c r="T1574" s="487"/>
      <c r="U1574" s="488"/>
      <c r="V1574" s="487"/>
      <c r="W1574" s="489"/>
      <c r="X1574" s="488"/>
      <c r="Y1574" s="489"/>
      <c r="Z1574" s="489"/>
      <c r="AA1574" s="490"/>
      <c r="AB1574" s="489"/>
      <c r="AC1574" s="489"/>
      <c r="AD1574" s="27">
        <v>610430</v>
      </c>
      <c r="AE1574" s="27" t="s">
        <v>1025</v>
      </c>
      <c r="AF1574" s="432">
        <f>VLOOKUP(AD1574,[5]Hoja1!$A$10:$K$1393,11,0)</f>
        <v>5996825</v>
      </c>
      <c r="AG1574" s="432"/>
      <c r="AH1574" s="432">
        <f t="shared" si="365"/>
        <v>5997</v>
      </c>
      <c r="AL1574" s="448"/>
      <c r="AM1574" s="467">
        <f>VLOOKUP(AD1574,[6]BV201101!$A$10:$A$1236,1,0)</f>
        <v>610430</v>
      </c>
    </row>
    <row r="1575" spans="1:39" s="467" customFormat="1" ht="12.75" customHeight="1">
      <c r="A1575" s="487" t="str">
        <f t="shared" si="363"/>
        <v>6</v>
      </c>
      <c r="B1575" s="487" t="str">
        <f t="shared" si="359"/>
        <v>10</v>
      </c>
      <c r="C1575" s="487" t="str">
        <f t="shared" si="360"/>
        <v>43</v>
      </c>
      <c r="D1575" s="487" t="str">
        <f t="shared" si="361"/>
        <v>0431</v>
      </c>
      <c r="E1575" s="487">
        <v>531201200</v>
      </c>
      <c r="F1575" s="488"/>
      <c r="G1575" s="487"/>
      <c r="H1575" s="487"/>
      <c r="I1575" s="488"/>
      <c r="J1575" s="487"/>
      <c r="K1575" s="487"/>
      <c r="L1575" s="488"/>
      <c r="M1575" s="487"/>
      <c r="N1575" s="487"/>
      <c r="O1575" s="488"/>
      <c r="P1575" s="489"/>
      <c r="Q1575" s="489"/>
      <c r="R1575" s="592"/>
      <c r="S1575" s="487"/>
      <c r="T1575" s="487"/>
      <c r="U1575" s="488"/>
      <c r="V1575" s="487"/>
      <c r="W1575" s="489"/>
      <c r="X1575" s="488"/>
      <c r="Y1575" s="489"/>
      <c r="Z1575" s="489"/>
      <c r="AA1575" s="490"/>
      <c r="AB1575" s="489"/>
      <c r="AC1575" s="489"/>
      <c r="AD1575" s="27">
        <v>610431</v>
      </c>
      <c r="AE1575" s="27" t="s">
        <v>2482</v>
      </c>
      <c r="AF1575" s="432">
        <f>VLOOKUP(AD1575,[5]Hoja1!$A$10:$K$1393,11,0)</f>
        <v>10013848</v>
      </c>
      <c r="AG1575" s="432"/>
      <c r="AH1575" s="432">
        <f t="shared" si="365"/>
        <v>10014</v>
      </c>
      <c r="AL1575" s="448"/>
      <c r="AM1575" s="467">
        <f>VLOOKUP(AD1575,[6]BV201101!$A$10:$A$1236,1,0)</f>
        <v>610431</v>
      </c>
    </row>
    <row r="1576" spans="1:39" s="467" customFormat="1" ht="12.75" customHeight="1">
      <c r="A1576" s="487" t="str">
        <f t="shared" si="363"/>
        <v>6</v>
      </c>
      <c r="B1576" s="487" t="str">
        <f t="shared" si="359"/>
        <v>10</v>
      </c>
      <c r="C1576" s="487" t="str">
        <f t="shared" si="360"/>
        <v>43</v>
      </c>
      <c r="D1576" s="487" t="str">
        <f t="shared" si="361"/>
        <v>0432</v>
      </c>
      <c r="E1576" s="487">
        <v>531201200</v>
      </c>
      <c r="F1576" s="488"/>
      <c r="G1576" s="487"/>
      <c r="H1576" s="487"/>
      <c r="I1576" s="488"/>
      <c r="J1576" s="487"/>
      <c r="K1576" s="487"/>
      <c r="L1576" s="488"/>
      <c r="M1576" s="487"/>
      <c r="N1576" s="487"/>
      <c r="O1576" s="488"/>
      <c r="P1576" s="489"/>
      <c r="Q1576" s="489"/>
      <c r="R1576" s="592"/>
      <c r="S1576" s="487"/>
      <c r="T1576" s="487"/>
      <c r="U1576" s="488"/>
      <c r="V1576" s="487"/>
      <c r="W1576" s="489"/>
      <c r="X1576" s="488"/>
      <c r="Y1576" s="489"/>
      <c r="Z1576" s="489"/>
      <c r="AA1576" s="490"/>
      <c r="AB1576" s="489"/>
      <c r="AC1576" s="489"/>
      <c r="AD1576" s="27">
        <v>610432</v>
      </c>
      <c r="AE1576" s="27" t="s">
        <v>885</v>
      </c>
      <c r="AF1576" s="432">
        <f>VLOOKUP(AD1576,[5]Hoja1!$A$10:$K$1393,11,0)</f>
        <v>0</v>
      </c>
      <c r="AG1576" s="432"/>
      <c r="AH1576" s="432">
        <f t="shared" si="365"/>
        <v>0</v>
      </c>
      <c r="AL1576" s="448"/>
      <c r="AM1576" s="467">
        <f>VLOOKUP(AD1576,[6]BV201101!$A$10:$A$1236,1,0)</f>
        <v>610432</v>
      </c>
    </row>
    <row r="1577" spans="1:39" s="467" customFormat="1" ht="12.75" customHeight="1">
      <c r="A1577" s="487" t="str">
        <f t="shared" si="363"/>
        <v>6</v>
      </c>
      <c r="B1577" s="487" t="str">
        <f t="shared" si="359"/>
        <v>10</v>
      </c>
      <c r="C1577" s="487" t="str">
        <f t="shared" si="360"/>
        <v>43</v>
      </c>
      <c r="D1577" s="487" t="str">
        <f t="shared" si="361"/>
        <v>0433</v>
      </c>
      <c r="E1577" s="487">
        <v>531201200</v>
      </c>
      <c r="F1577" s="488"/>
      <c r="G1577" s="487"/>
      <c r="H1577" s="487"/>
      <c r="I1577" s="488"/>
      <c r="J1577" s="487"/>
      <c r="K1577" s="487"/>
      <c r="L1577" s="488"/>
      <c r="M1577" s="487"/>
      <c r="N1577" s="487"/>
      <c r="O1577" s="488"/>
      <c r="P1577" s="489"/>
      <c r="Q1577" s="489"/>
      <c r="R1577" s="592"/>
      <c r="S1577" s="487"/>
      <c r="T1577" s="487"/>
      <c r="U1577" s="488"/>
      <c r="V1577" s="487"/>
      <c r="W1577" s="489"/>
      <c r="X1577" s="488"/>
      <c r="Y1577" s="489"/>
      <c r="Z1577" s="489"/>
      <c r="AA1577" s="490"/>
      <c r="AB1577" s="489"/>
      <c r="AC1577" s="489"/>
      <c r="AD1577" s="27">
        <v>610433</v>
      </c>
      <c r="AE1577" s="27" t="s">
        <v>2638</v>
      </c>
      <c r="AF1577" s="432">
        <f>VLOOKUP(AD1577,[5]Hoja1!$A$10:$K$1393,11,0)</f>
        <v>63155567</v>
      </c>
      <c r="AG1577" s="432"/>
      <c r="AH1577" s="432">
        <f t="shared" si="365"/>
        <v>63156</v>
      </c>
      <c r="AL1577" s="448"/>
    </row>
    <row r="1578" spans="1:39" s="467" customFormat="1" ht="12.75" customHeight="1">
      <c r="A1578" s="487" t="str">
        <f t="shared" si="363"/>
        <v>6</v>
      </c>
      <c r="B1578" s="487" t="str">
        <f t="shared" si="359"/>
        <v>10</v>
      </c>
      <c r="C1578" s="487" t="str">
        <f t="shared" si="360"/>
        <v>50</v>
      </c>
      <c r="D1578" s="487" t="str">
        <f t="shared" si="361"/>
        <v>0501</v>
      </c>
      <c r="E1578" s="487">
        <v>531201200</v>
      </c>
      <c r="F1578" s="488" t="str">
        <f t="shared" si="352"/>
        <v/>
      </c>
      <c r="G1578" s="487"/>
      <c r="H1578" s="487"/>
      <c r="I1578" s="488" t="str">
        <f t="shared" si="353"/>
        <v/>
      </c>
      <c r="J1578" s="487"/>
      <c r="K1578" s="487"/>
      <c r="L1578" s="488" t="str">
        <f t="shared" si="354"/>
        <v/>
      </c>
      <c r="M1578" s="487"/>
      <c r="N1578" s="487"/>
      <c r="O1578" s="488" t="str">
        <f t="shared" si="355"/>
        <v/>
      </c>
      <c r="P1578" s="489"/>
      <c r="Q1578" s="489"/>
      <c r="R1578" s="592" t="str">
        <f t="shared" si="356"/>
        <v/>
      </c>
      <c r="S1578" s="487"/>
      <c r="T1578" s="487"/>
      <c r="U1578" s="488" t="str">
        <f t="shared" si="357"/>
        <v/>
      </c>
      <c r="V1578" s="487"/>
      <c r="W1578" s="489"/>
      <c r="X1578" s="488" t="str">
        <f t="shared" si="358"/>
        <v/>
      </c>
      <c r="Y1578" s="489"/>
      <c r="Z1578" s="489"/>
      <c r="AA1578" s="490" t="str">
        <f t="shared" si="364"/>
        <v/>
      </c>
      <c r="AB1578" s="489"/>
      <c r="AC1578" s="489"/>
      <c r="AD1578" s="27">
        <v>610501</v>
      </c>
      <c r="AE1578" s="27" t="s">
        <v>137</v>
      </c>
      <c r="AF1578" s="432">
        <f>VLOOKUP(AD1578,[5]Hoja1!$A$10:$K$1393,11,0)</f>
        <v>58647057</v>
      </c>
      <c r="AG1578" s="432"/>
      <c r="AH1578" s="432">
        <f t="shared" si="365"/>
        <v>58647</v>
      </c>
      <c r="AL1578" s="448"/>
      <c r="AM1578" s="467">
        <f>VLOOKUP(AD1578,[6]BV201101!$A$10:$A$1236,1,0)</f>
        <v>610501</v>
      </c>
    </row>
    <row r="1579" spans="1:39" s="467" customFormat="1" ht="12.75" customHeight="1">
      <c r="A1579" s="487" t="str">
        <f t="shared" si="363"/>
        <v>6</v>
      </c>
      <c r="B1579" s="487" t="str">
        <f t="shared" si="359"/>
        <v>10</v>
      </c>
      <c r="C1579" s="487" t="str">
        <f t="shared" si="360"/>
        <v>50</v>
      </c>
      <c r="D1579" s="487" t="str">
        <f t="shared" si="361"/>
        <v>0502</v>
      </c>
      <c r="E1579" s="487">
        <v>531201200</v>
      </c>
      <c r="F1579" s="488" t="str">
        <f t="shared" si="352"/>
        <v/>
      </c>
      <c r="G1579" s="487"/>
      <c r="H1579" s="487"/>
      <c r="I1579" s="488" t="str">
        <f t="shared" si="353"/>
        <v/>
      </c>
      <c r="J1579" s="487"/>
      <c r="K1579" s="487"/>
      <c r="L1579" s="488" t="str">
        <f t="shared" si="354"/>
        <v/>
      </c>
      <c r="M1579" s="487"/>
      <c r="N1579" s="487"/>
      <c r="O1579" s="488" t="str">
        <f t="shared" si="355"/>
        <v/>
      </c>
      <c r="P1579" s="489"/>
      <c r="Q1579" s="489"/>
      <c r="R1579" s="592" t="str">
        <f t="shared" si="356"/>
        <v/>
      </c>
      <c r="S1579" s="487"/>
      <c r="T1579" s="487"/>
      <c r="U1579" s="488" t="str">
        <f t="shared" si="357"/>
        <v/>
      </c>
      <c r="V1579" s="487"/>
      <c r="W1579" s="489"/>
      <c r="X1579" s="488" t="str">
        <f t="shared" si="358"/>
        <v/>
      </c>
      <c r="Y1579" s="489"/>
      <c r="Z1579" s="489"/>
      <c r="AA1579" s="490" t="str">
        <f t="shared" si="364"/>
        <v/>
      </c>
      <c r="AB1579" s="489"/>
      <c r="AC1579" s="489"/>
      <c r="AD1579" s="27">
        <v>610502</v>
      </c>
      <c r="AE1579" s="27" t="s">
        <v>1067</v>
      </c>
      <c r="AF1579" s="432">
        <f>VLOOKUP(AD1579,[5]Hoja1!$A$10:$K$1393,11,0)</f>
        <v>77255959</v>
      </c>
      <c r="AG1579" s="432"/>
      <c r="AH1579" s="432">
        <f t="shared" si="365"/>
        <v>77256</v>
      </c>
      <c r="AL1579" s="448"/>
      <c r="AM1579" s="467">
        <f>VLOOKUP(AD1579,[6]BV201101!$A$10:$A$1236,1,0)</f>
        <v>610502</v>
      </c>
    </row>
    <row r="1580" spans="1:39" s="467" customFormat="1" ht="12.75" customHeight="1">
      <c r="A1580" s="487" t="str">
        <f t="shared" si="363"/>
        <v>6</v>
      </c>
      <c r="B1580" s="487" t="str">
        <f t="shared" si="359"/>
        <v>10</v>
      </c>
      <c r="C1580" s="487" t="str">
        <f t="shared" si="360"/>
        <v>50</v>
      </c>
      <c r="D1580" s="487" t="str">
        <f t="shared" si="361"/>
        <v>0503</v>
      </c>
      <c r="E1580" s="487">
        <v>531201200</v>
      </c>
      <c r="F1580" s="488" t="str">
        <f t="shared" si="352"/>
        <v/>
      </c>
      <c r="G1580" s="487"/>
      <c r="H1580" s="487"/>
      <c r="I1580" s="488" t="str">
        <f t="shared" si="353"/>
        <v/>
      </c>
      <c r="J1580" s="487"/>
      <c r="K1580" s="487"/>
      <c r="L1580" s="488" t="str">
        <f t="shared" si="354"/>
        <v/>
      </c>
      <c r="M1580" s="487"/>
      <c r="N1580" s="487"/>
      <c r="O1580" s="488" t="str">
        <f t="shared" si="355"/>
        <v/>
      </c>
      <c r="P1580" s="489"/>
      <c r="Q1580" s="489"/>
      <c r="R1580" s="592" t="str">
        <f t="shared" si="356"/>
        <v/>
      </c>
      <c r="S1580" s="487"/>
      <c r="T1580" s="487"/>
      <c r="U1580" s="488" t="str">
        <f t="shared" si="357"/>
        <v/>
      </c>
      <c r="V1580" s="487"/>
      <c r="W1580" s="489"/>
      <c r="X1580" s="488" t="str">
        <f t="shared" si="358"/>
        <v/>
      </c>
      <c r="Y1580" s="489"/>
      <c r="Z1580" s="489"/>
      <c r="AA1580" s="490" t="str">
        <f t="shared" si="364"/>
        <v/>
      </c>
      <c r="AB1580" s="489"/>
      <c r="AC1580" s="489"/>
      <c r="AD1580" s="27">
        <v>610503</v>
      </c>
      <c r="AE1580" s="27" t="s">
        <v>1776</v>
      </c>
      <c r="AF1580" s="432">
        <f>VLOOKUP(AD1580,[5]Hoja1!$A$10:$K$1393,11,0)</f>
        <v>1234382</v>
      </c>
      <c r="AG1580" s="432"/>
      <c r="AH1580" s="432">
        <f t="shared" si="365"/>
        <v>1234</v>
      </c>
      <c r="AL1580" s="448"/>
      <c r="AM1580" s="467">
        <f>VLOOKUP(AD1580,[6]BV201101!$A$10:$A$1236,1,0)</f>
        <v>610503</v>
      </c>
    </row>
    <row r="1581" spans="1:39" s="467" customFormat="1" ht="12.75" customHeight="1">
      <c r="A1581" s="487" t="str">
        <f t="shared" si="363"/>
        <v>6</v>
      </c>
      <c r="B1581" s="487" t="str">
        <f t="shared" si="359"/>
        <v>10</v>
      </c>
      <c r="C1581" s="487" t="str">
        <f t="shared" si="360"/>
        <v>50</v>
      </c>
      <c r="D1581" s="487" t="str">
        <f t="shared" si="361"/>
        <v>0504</v>
      </c>
      <c r="E1581" s="487">
        <v>531201200</v>
      </c>
      <c r="F1581" s="488" t="str">
        <f t="shared" si="352"/>
        <v/>
      </c>
      <c r="G1581" s="487"/>
      <c r="H1581" s="487"/>
      <c r="I1581" s="488" t="str">
        <f t="shared" si="353"/>
        <v/>
      </c>
      <c r="J1581" s="487"/>
      <c r="K1581" s="487"/>
      <c r="L1581" s="488" t="str">
        <f t="shared" si="354"/>
        <v/>
      </c>
      <c r="M1581" s="487"/>
      <c r="N1581" s="487"/>
      <c r="O1581" s="488" t="str">
        <f t="shared" si="355"/>
        <v/>
      </c>
      <c r="P1581" s="489"/>
      <c r="Q1581" s="489"/>
      <c r="R1581" s="592" t="str">
        <f t="shared" si="356"/>
        <v/>
      </c>
      <c r="S1581" s="487"/>
      <c r="T1581" s="487"/>
      <c r="U1581" s="488" t="str">
        <f t="shared" si="357"/>
        <v/>
      </c>
      <c r="V1581" s="487"/>
      <c r="W1581" s="489"/>
      <c r="X1581" s="488" t="str">
        <f t="shared" si="358"/>
        <v/>
      </c>
      <c r="Y1581" s="489"/>
      <c r="Z1581" s="489"/>
      <c r="AA1581" s="490" t="str">
        <f t="shared" si="364"/>
        <v/>
      </c>
      <c r="AB1581" s="489"/>
      <c r="AC1581" s="489"/>
      <c r="AD1581" s="27">
        <v>610504</v>
      </c>
      <c r="AE1581" s="27" t="s">
        <v>2483</v>
      </c>
      <c r="AF1581" s="432">
        <f>VLOOKUP(AD1581,[5]Hoja1!$A$10:$K$1393,11,0)</f>
        <v>60062510</v>
      </c>
      <c r="AG1581" s="432"/>
      <c r="AH1581" s="432">
        <f t="shared" si="365"/>
        <v>60063</v>
      </c>
      <c r="AL1581" s="448"/>
      <c r="AM1581" s="467">
        <f>VLOOKUP(AD1581,[6]BV201101!$A$10:$A$1236,1,0)</f>
        <v>610504</v>
      </c>
    </row>
    <row r="1582" spans="1:39" s="467" customFormat="1" ht="12.75" customHeight="1">
      <c r="A1582" s="487" t="str">
        <f t="shared" si="363"/>
        <v>6</v>
      </c>
      <c r="B1582" s="487" t="str">
        <f t="shared" si="359"/>
        <v>10</v>
      </c>
      <c r="C1582" s="487" t="str">
        <f t="shared" si="360"/>
        <v>60</v>
      </c>
      <c r="D1582" s="487" t="str">
        <f t="shared" si="361"/>
        <v>0601</v>
      </c>
      <c r="E1582" s="487">
        <v>531201200</v>
      </c>
      <c r="F1582" s="488" t="str">
        <f t="shared" si="352"/>
        <v/>
      </c>
      <c r="G1582" s="487"/>
      <c r="H1582" s="487"/>
      <c r="I1582" s="488" t="str">
        <f t="shared" si="353"/>
        <v/>
      </c>
      <c r="J1582" s="487"/>
      <c r="K1582" s="487"/>
      <c r="L1582" s="488" t="str">
        <f t="shared" si="354"/>
        <v/>
      </c>
      <c r="M1582" s="487"/>
      <c r="N1582" s="487"/>
      <c r="O1582" s="488" t="str">
        <f t="shared" si="355"/>
        <v/>
      </c>
      <c r="P1582" s="489"/>
      <c r="Q1582" s="489"/>
      <c r="R1582" s="592" t="str">
        <f t="shared" si="356"/>
        <v/>
      </c>
      <c r="S1582" s="487"/>
      <c r="T1582" s="487"/>
      <c r="U1582" s="488" t="str">
        <f t="shared" si="357"/>
        <v/>
      </c>
      <c r="V1582" s="487"/>
      <c r="W1582" s="489"/>
      <c r="X1582" s="488" t="str">
        <f t="shared" si="358"/>
        <v/>
      </c>
      <c r="Y1582" s="489"/>
      <c r="Z1582" s="489"/>
      <c r="AA1582" s="490" t="str">
        <f t="shared" si="364"/>
        <v/>
      </c>
      <c r="AB1582" s="489"/>
      <c r="AC1582" s="489"/>
      <c r="AD1582" s="27">
        <v>610601</v>
      </c>
      <c r="AE1582" s="27" t="s">
        <v>1544</v>
      </c>
      <c r="AF1582" s="432">
        <f>VLOOKUP(AD1582,[5]Hoja1!$A$10:$K$1393,11,0)</f>
        <v>67547667</v>
      </c>
      <c r="AG1582" s="432"/>
      <c r="AH1582" s="432">
        <f t="shared" si="365"/>
        <v>67548</v>
      </c>
      <c r="AL1582" s="448"/>
      <c r="AM1582" s="467">
        <f>VLOOKUP(AD1582,[6]BV201101!$A$10:$A$1236,1,0)</f>
        <v>610601</v>
      </c>
    </row>
    <row r="1583" spans="1:39" s="467" customFormat="1" ht="12.75" customHeight="1">
      <c r="A1583" s="487" t="str">
        <f t="shared" si="363"/>
        <v>6</v>
      </c>
      <c r="B1583" s="487" t="str">
        <f t="shared" si="359"/>
        <v>10</v>
      </c>
      <c r="C1583" s="487" t="str">
        <f t="shared" si="360"/>
        <v>60</v>
      </c>
      <c r="D1583" s="487" t="str">
        <f t="shared" si="361"/>
        <v>0602</v>
      </c>
      <c r="E1583" s="487">
        <v>531201200</v>
      </c>
      <c r="F1583" s="488" t="str">
        <f t="shared" si="352"/>
        <v/>
      </c>
      <c r="G1583" s="487"/>
      <c r="H1583" s="487"/>
      <c r="I1583" s="488" t="str">
        <f t="shared" si="353"/>
        <v/>
      </c>
      <c r="J1583" s="487"/>
      <c r="K1583" s="487"/>
      <c r="L1583" s="488" t="str">
        <f t="shared" si="354"/>
        <v/>
      </c>
      <c r="M1583" s="487"/>
      <c r="N1583" s="487"/>
      <c r="O1583" s="488" t="str">
        <f t="shared" si="355"/>
        <v/>
      </c>
      <c r="P1583" s="489"/>
      <c r="Q1583" s="489"/>
      <c r="R1583" s="592" t="str">
        <f t="shared" si="356"/>
        <v/>
      </c>
      <c r="S1583" s="487"/>
      <c r="T1583" s="487"/>
      <c r="U1583" s="488" t="str">
        <f t="shared" si="357"/>
        <v/>
      </c>
      <c r="V1583" s="487"/>
      <c r="W1583" s="489"/>
      <c r="X1583" s="488" t="str">
        <f t="shared" si="358"/>
        <v/>
      </c>
      <c r="Y1583" s="489"/>
      <c r="Z1583" s="489"/>
      <c r="AA1583" s="490" t="str">
        <f t="shared" si="364"/>
        <v/>
      </c>
      <c r="AB1583" s="489"/>
      <c r="AC1583" s="489"/>
      <c r="AD1583" s="27">
        <v>610602</v>
      </c>
      <c r="AE1583" s="27" t="s">
        <v>1088</v>
      </c>
      <c r="AF1583" s="432">
        <f>VLOOKUP(AD1583,[5]Hoja1!$A$10:$K$1393,11,0)</f>
        <v>83805820</v>
      </c>
      <c r="AG1583" s="432"/>
      <c r="AH1583" s="432">
        <f t="shared" si="365"/>
        <v>83806</v>
      </c>
      <c r="AL1583" s="448"/>
      <c r="AM1583" s="467">
        <f>VLOOKUP(AD1583,[6]BV201101!$A$10:$A$1236,1,0)</f>
        <v>610602</v>
      </c>
    </row>
    <row r="1584" spans="1:39" s="467" customFormat="1" ht="12.75" customHeight="1">
      <c r="A1584" s="487" t="str">
        <f t="shared" si="363"/>
        <v>6</v>
      </c>
      <c r="B1584" s="487" t="str">
        <f t="shared" si="359"/>
        <v>10</v>
      </c>
      <c r="C1584" s="487" t="str">
        <f t="shared" si="360"/>
        <v>60</v>
      </c>
      <c r="D1584" s="487" t="str">
        <f t="shared" si="361"/>
        <v>0603</v>
      </c>
      <c r="E1584" s="487">
        <v>531201200</v>
      </c>
      <c r="F1584" s="488" t="str">
        <f t="shared" si="352"/>
        <v/>
      </c>
      <c r="G1584" s="487"/>
      <c r="H1584" s="487"/>
      <c r="I1584" s="488" t="str">
        <f t="shared" si="353"/>
        <v/>
      </c>
      <c r="J1584" s="487"/>
      <c r="K1584" s="487"/>
      <c r="L1584" s="488" t="str">
        <f t="shared" si="354"/>
        <v/>
      </c>
      <c r="M1584" s="487"/>
      <c r="N1584" s="487"/>
      <c r="O1584" s="488" t="str">
        <f t="shared" si="355"/>
        <v/>
      </c>
      <c r="P1584" s="489"/>
      <c r="Q1584" s="489"/>
      <c r="R1584" s="592" t="str">
        <f t="shared" si="356"/>
        <v/>
      </c>
      <c r="S1584" s="487"/>
      <c r="T1584" s="487"/>
      <c r="U1584" s="488" t="str">
        <f t="shared" si="357"/>
        <v/>
      </c>
      <c r="V1584" s="487"/>
      <c r="W1584" s="489"/>
      <c r="X1584" s="488" t="str">
        <f t="shared" si="358"/>
        <v/>
      </c>
      <c r="Y1584" s="489"/>
      <c r="Z1584" s="489"/>
      <c r="AA1584" s="490" t="str">
        <f t="shared" si="364"/>
        <v/>
      </c>
      <c r="AB1584" s="489"/>
      <c r="AC1584" s="489"/>
      <c r="AD1584" s="27">
        <v>610603</v>
      </c>
      <c r="AE1584" s="27" t="s">
        <v>1701</v>
      </c>
      <c r="AF1584" s="432">
        <f>VLOOKUP(AD1584,[5]Hoja1!$A$10:$K$1393,11,0)</f>
        <v>11381972</v>
      </c>
      <c r="AG1584" s="432"/>
      <c r="AH1584" s="432">
        <f t="shared" si="365"/>
        <v>11382</v>
      </c>
      <c r="AL1584" s="448"/>
      <c r="AM1584" s="467">
        <f>VLOOKUP(AD1584,[6]BV201101!$A$10:$A$1236,1,0)</f>
        <v>610603</v>
      </c>
    </row>
    <row r="1585" spans="1:39" s="467" customFormat="1" ht="12.75" customHeight="1">
      <c r="A1585" s="487" t="str">
        <f t="shared" si="363"/>
        <v>6</v>
      </c>
      <c r="B1585" s="487" t="str">
        <f t="shared" si="359"/>
        <v>10</v>
      </c>
      <c r="C1585" s="487" t="str">
        <f t="shared" si="360"/>
        <v>60</v>
      </c>
      <c r="D1585" s="487" t="str">
        <f t="shared" si="361"/>
        <v>0604</v>
      </c>
      <c r="E1585" s="487">
        <v>531201200</v>
      </c>
      <c r="F1585" s="488" t="str">
        <f t="shared" si="352"/>
        <v/>
      </c>
      <c r="G1585" s="487"/>
      <c r="H1585" s="487"/>
      <c r="I1585" s="488" t="str">
        <f t="shared" si="353"/>
        <v/>
      </c>
      <c r="J1585" s="487"/>
      <c r="K1585" s="487"/>
      <c r="L1585" s="488" t="str">
        <f t="shared" si="354"/>
        <v/>
      </c>
      <c r="M1585" s="487"/>
      <c r="N1585" s="487"/>
      <c r="O1585" s="488" t="str">
        <f t="shared" si="355"/>
        <v/>
      </c>
      <c r="P1585" s="489"/>
      <c r="Q1585" s="489"/>
      <c r="R1585" s="592" t="str">
        <f t="shared" si="356"/>
        <v/>
      </c>
      <c r="S1585" s="487"/>
      <c r="T1585" s="487"/>
      <c r="U1585" s="488" t="str">
        <f t="shared" si="357"/>
        <v/>
      </c>
      <c r="V1585" s="487"/>
      <c r="W1585" s="489"/>
      <c r="X1585" s="488" t="str">
        <f t="shared" si="358"/>
        <v/>
      </c>
      <c r="Y1585" s="489"/>
      <c r="Z1585" s="489"/>
      <c r="AA1585" s="490" t="str">
        <f t="shared" si="364"/>
        <v/>
      </c>
      <c r="AB1585" s="489"/>
      <c r="AC1585" s="489"/>
      <c r="AD1585" s="27">
        <v>610604</v>
      </c>
      <c r="AE1585" s="27" t="s">
        <v>407</v>
      </c>
      <c r="AF1585" s="432">
        <f>VLOOKUP(AD1585,[5]Hoja1!$A$10:$K$1393,11,0)</f>
        <v>310037588</v>
      </c>
      <c r="AG1585" s="432"/>
      <c r="AH1585" s="432">
        <f t="shared" si="365"/>
        <v>310038</v>
      </c>
      <c r="AL1585" s="448"/>
      <c r="AM1585" s="467">
        <f>VLOOKUP(AD1585,[6]BV201101!$A$10:$A$1236,1,0)</f>
        <v>610604</v>
      </c>
    </row>
    <row r="1586" spans="1:39" s="467" customFormat="1" ht="12.75" customHeight="1">
      <c r="A1586" s="487" t="str">
        <f t="shared" si="363"/>
        <v>6</v>
      </c>
      <c r="B1586" s="487" t="str">
        <f t="shared" si="359"/>
        <v>10</v>
      </c>
      <c r="C1586" s="487" t="str">
        <f t="shared" si="360"/>
        <v>60</v>
      </c>
      <c r="D1586" s="487" t="str">
        <f t="shared" si="361"/>
        <v>0605</v>
      </c>
      <c r="E1586" s="487">
        <v>531201200</v>
      </c>
      <c r="F1586" s="488" t="str">
        <f t="shared" ref="F1586:F1671" si="366">+G1586&amp;H1586</f>
        <v/>
      </c>
      <c r="G1586" s="487"/>
      <c r="H1586" s="487"/>
      <c r="I1586" s="488" t="str">
        <f t="shared" ref="I1586:I1671" si="367">+J1586&amp;K1586</f>
        <v/>
      </c>
      <c r="J1586" s="487"/>
      <c r="K1586" s="487"/>
      <c r="L1586" s="488" t="str">
        <f t="shared" ref="L1586:L1671" si="368">+M1586&amp;N1586</f>
        <v/>
      </c>
      <c r="M1586" s="487"/>
      <c r="N1586" s="487"/>
      <c r="O1586" s="488" t="str">
        <f t="shared" ref="O1586:O1671" si="369">+P1586&amp;Q1586</f>
        <v/>
      </c>
      <c r="P1586" s="489"/>
      <c r="Q1586" s="489"/>
      <c r="R1586" s="592" t="str">
        <f t="shared" ref="R1586:R1671" si="370">+S1586&amp;T1586</f>
        <v/>
      </c>
      <c r="S1586" s="487"/>
      <c r="T1586" s="487"/>
      <c r="U1586" s="488" t="str">
        <f t="shared" ref="U1586:U1671" si="371">+V1586&amp;W1586</f>
        <v/>
      </c>
      <c r="V1586" s="487"/>
      <c r="W1586" s="489"/>
      <c r="X1586" s="488" t="str">
        <f t="shared" ref="X1586:X1671" si="372">+Y1586&amp;Z1586</f>
        <v/>
      </c>
      <c r="Y1586" s="489"/>
      <c r="Z1586" s="489"/>
      <c r="AA1586" s="490" t="str">
        <f t="shared" si="364"/>
        <v/>
      </c>
      <c r="AB1586" s="489"/>
      <c r="AC1586" s="489"/>
      <c r="AD1586" s="27">
        <v>610605</v>
      </c>
      <c r="AE1586" s="27" t="s">
        <v>408</v>
      </c>
      <c r="AF1586" s="432">
        <f>VLOOKUP(AD1586,[5]Hoja1!$A$10:$K$1393,11,0)</f>
        <v>61732722</v>
      </c>
      <c r="AG1586" s="432"/>
      <c r="AH1586" s="432">
        <f t="shared" si="365"/>
        <v>61733</v>
      </c>
      <c r="AL1586" s="448"/>
      <c r="AM1586" s="467">
        <f>VLOOKUP(AD1586,[6]BV201101!$A$10:$A$1236,1,0)</f>
        <v>610605</v>
      </c>
    </row>
    <row r="1587" spans="1:39" s="467" customFormat="1" ht="12.75" customHeight="1">
      <c r="A1587" s="487" t="str">
        <f t="shared" si="363"/>
        <v>6</v>
      </c>
      <c r="B1587" s="487" t="str">
        <f t="shared" ref="B1587:B1672" si="373">RIGHT(LEFT($AD1587,3),2)</f>
        <v>10</v>
      </c>
      <c r="C1587" s="487" t="str">
        <f t="shared" ref="C1587:C1672" si="374">RIGHT(LEFT($AD1587,5),2)</f>
        <v>60</v>
      </c>
      <c r="D1587" s="487" t="str">
        <f t="shared" ref="D1587:D1672" si="375">RIGHT(LEFT($AD1587,9),4)</f>
        <v>0606</v>
      </c>
      <c r="E1587" s="487">
        <v>531201200</v>
      </c>
      <c r="F1587" s="488" t="str">
        <f t="shared" si="366"/>
        <v/>
      </c>
      <c r="G1587" s="487"/>
      <c r="H1587" s="487"/>
      <c r="I1587" s="488" t="str">
        <f t="shared" si="367"/>
        <v/>
      </c>
      <c r="J1587" s="487"/>
      <c r="K1587" s="487"/>
      <c r="L1587" s="488" t="str">
        <f t="shared" si="368"/>
        <v/>
      </c>
      <c r="M1587" s="487"/>
      <c r="N1587" s="487"/>
      <c r="O1587" s="488" t="str">
        <f t="shared" si="369"/>
        <v/>
      </c>
      <c r="P1587" s="489"/>
      <c r="Q1587" s="489"/>
      <c r="R1587" s="592" t="str">
        <f t="shared" si="370"/>
        <v/>
      </c>
      <c r="S1587" s="487"/>
      <c r="T1587" s="487"/>
      <c r="U1587" s="488" t="str">
        <f t="shared" si="371"/>
        <v/>
      </c>
      <c r="V1587" s="487"/>
      <c r="W1587" s="489"/>
      <c r="X1587" s="488" t="str">
        <f t="shared" si="372"/>
        <v/>
      </c>
      <c r="Y1587" s="489"/>
      <c r="Z1587" s="489"/>
      <c r="AA1587" s="490" t="str">
        <f t="shared" si="364"/>
        <v/>
      </c>
      <c r="AB1587" s="489"/>
      <c r="AC1587" s="489"/>
      <c r="AD1587" s="27">
        <v>610606</v>
      </c>
      <c r="AE1587" s="27" t="s">
        <v>409</v>
      </c>
      <c r="AF1587" s="432">
        <f>VLOOKUP(AD1587,[5]Hoja1!$A$10:$K$1393,11,0)</f>
        <v>42844060</v>
      </c>
      <c r="AG1587" s="432"/>
      <c r="AH1587" s="432">
        <f t="shared" si="365"/>
        <v>42844</v>
      </c>
      <c r="AL1587" s="448"/>
      <c r="AM1587" s="467">
        <f>VLOOKUP(AD1587,[6]BV201101!$A$10:$A$1236,1,0)</f>
        <v>610606</v>
      </c>
    </row>
    <row r="1588" spans="1:39" s="467" customFormat="1" ht="12.75" customHeight="1">
      <c r="A1588" s="487" t="str">
        <f t="shared" si="363"/>
        <v>6</v>
      </c>
      <c r="B1588" s="487" t="str">
        <f t="shared" si="373"/>
        <v>10</v>
      </c>
      <c r="C1588" s="487" t="str">
        <f t="shared" si="374"/>
        <v>60</v>
      </c>
      <c r="D1588" s="487" t="str">
        <f t="shared" si="375"/>
        <v>0607</v>
      </c>
      <c r="E1588" s="487">
        <v>534201110</v>
      </c>
      <c r="F1588" s="488" t="str">
        <f t="shared" si="366"/>
        <v/>
      </c>
      <c r="G1588" s="487"/>
      <c r="H1588" s="487"/>
      <c r="I1588" s="488" t="str">
        <f t="shared" si="367"/>
        <v/>
      </c>
      <c r="J1588" s="487"/>
      <c r="K1588" s="487"/>
      <c r="L1588" s="488" t="str">
        <f t="shared" si="368"/>
        <v/>
      </c>
      <c r="M1588" s="487"/>
      <c r="N1588" s="487"/>
      <c r="O1588" s="488" t="str">
        <f t="shared" si="369"/>
        <v/>
      </c>
      <c r="P1588" s="489"/>
      <c r="Q1588" s="489"/>
      <c r="R1588" s="592" t="str">
        <f t="shared" si="370"/>
        <v/>
      </c>
      <c r="S1588" s="487"/>
      <c r="T1588" s="487"/>
      <c r="U1588" s="488" t="str">
        <f t="shared" si="371"/>
        <v/>
      </c>
      <c r="V1588" s="487"/>
      <c r="W1588" s="489"/>
      <c r="X1588" s="488" t="str">
        <f t="shared" si="372"/>
        <v/>
      </c>
      <c r="Y1588" s="489"/>
      <c r="Z1588" s="489"/>
      <c r="AA1588" s="490" t="str">
        <f t="shared" si="364"/>
        <v/>
      </c>
      <c r="AB1588" s="489"/>
      <c r="AC1588" s="489"/>
      <c r="AD1588" s="27">
        <v>610607</v>
      </c>
      <c r="AE1588" s="27" t="s">
        <v>410</v>
      </c>
      <c r="AF1588" s="432">
        <f>VLOOKUP(AD1588,[5]Hoja1!$A$10:$K$1393,11,0)</f>
        <v>147767121</v>
      </c>
      <c r="AG1588" s="432"/>
      <c r="AH1588" s="432">
        <f t="shared" si="365"/>
        <v>147767</v>
      </c>
      <c r="AL1588" s="448"/>
      <c r="AM1588" s="467">
        <f>VLOOKUP(AD1588,[6]BV201101!$A$10:$A$1236,1,0)</f>
        <v>610607</v>
      </c>
    </row>
    <row r="1589" spans="1:39" s="467" customFormat="1" ht="12.75" customHeight="1">
      <c r="A1589" s="487" t="str">
        <f t="shared" si="363"/>
        <v>6</v>
      </c>
      <c r="B1589" s="487" t="str">
        <f t="shared" si="373"/>
        <v>10</v>
      </c>
      <c r="C1589" s="487" t="str">
        <f t="shared" si="374"/>
        <v>60</v>
      </c>
      <c r="D1589" s="487" t="str">
        <f t="shared" si="375"/>
        <v>0608</v>
      </c>
      <c r="E1589" s="487">
        <v>534201120</v>
      </c>
      <c r="F1589" s="488" t="str">
        <f t="shared" si="366"/>
        <v/>
      </c>
      <c r="G1589" s="487"/>
      <c r="H1589" s="487"/>
      <c r="I1589" s="488" t="str">
        <f t="shared" si="367"/>
        <v/>
      </c>
      <c r="J1589" s="487"/>
      <c r="K1589" s="487"/>
      <c r="L1589" s="488" t="str">
        <f t="shared" si="368"/>
        <v/>
      </c>
      <c r="M1589" s="487"/>
      <c r="N1589" s="487"/>
      <c r="O1589" s="488" t="str">
        <f t="shared" si="369"/>
        <v/>
      </c>
      <c r="P1589" s="489"/>
      <c r="Q1589" s="489"/>
      <c r="R1589" s="592" t="str">
        <f t="shared" si="370"/>
        <v/>
      </c>
      <c r="S1589" s="487"/>
      <c r="T1589" s="487"/>
      <c r="U1589" s="488" t="str">
        <f t="shared" si="371"/>
        <v/>
      </c>
      <c r="V1589" s="487"/>
      <c r="W1589" s="489"/>
      <c r="X1589" s="488" t="str">
        <f t="shared" si="372"/>
        <v/>
      </c>
      <c r="Y1589" s="489"/>
      <c r="Z1589" s="489"/>
      <c r="AA1589" s="490" t="str">
        <f t="shared" si="364"/>
        <v/>
      </c>
      <c r="AB1589" s="489"/>
      <c r="AC1589" s="489"/>
      <c r="AD1589" s="27">
        <v>610608</v>
      </c>
      <c r="AE1589" s="27" t="s">
        <v>411</v>
      </c>
      <c r="AF1589" s="432">
        <f>VLOOKUP(AD1589,[5]Hoja1!$A$10:$K$1393,11,0)</f>
        <v>24471258</v>
      </c>
      <c r="AG1589" s="432"/>
      <c r="AH1589" s="432">
        <f t="shared" si="365"/>
        <v>24471</v>
      </c>
      <c r="AL1589" s="448"/>
      <c r="AM1589" s="467">
        <f>VLOOKUP(AD1589,[6]BV201101!$A$10:$A$1236,1,0)</f>
        <v>610608</v>
      </c>
    </row>
    <row r="1590" spans="1:39" s="467" customFormat="1" ht="12.75" customHeight="1">
      <c r="A1590" s="487" t="str">
        <f t="shared" ref="A1590:A1654" si="376">+LEFT($AD1590,1)</f>
        <v>6</v>
      </c>
      <c r="B1590" s="487" t="str">
        <f t="shared" si="373"/>
        <v>10</v>
      </c>
      <c r="C1590" s="487" t="str">
        <f t="shared" si="374"/>
        <v>60</v>
      </c>
      <c r="D1590" s="487" t="str">
        <f t="shared" si="375"/>
        <v>0609</v>
      </c>
      <c r="E1590" s="487">
        <v>531201200</v>
      </c>
      <c r="F1590" s="488" t="str">
        <f t="shared" si="366"/>
        <v/>
      </c>
      <c r="G1590" s="487"/>
      <c r="H1590" s="487"/>
      <c r="I1590" s="488" t="str">
        <f t="shared" si="367"/>
        <v/>
      </c>
      <c r="J1590" s="487"/>
      <c r="K1590" s="487"/>
      <c r="L1590" s="488" t="str">
        <f t="shared" si="368"/>
        <v/>
      </c>
      <c r="M1590" s="487"/>
      <c r="N1590" s="487"/>
      <c r="O1590" s="488" t="str">
        <f t="shared" si="369"/>
        <v/>
      </c>
      <c r="P1590" s="489"/>
      <c r="Q1590" s="489"/>
      <c r="R1590" s="592" t="str">
        <f t="shared" si="370"/>
        <v/>
      </c>
      <c r="S1590" s="487"/>
      <c r="T1590" s="487"/>
      <c r="U1590" s="488" t="str">
        <f t="shared" si="371"/>
        <v/>
      </c>
      <c r="V1590" s="487"/>
      <c r="W1590" s="489"/>
      <c r="X1590" s="488" t="str">
        <f t="shared" si="372"/>
        <v/>
      </c>
      <c r="Y1590" s="489"/>
      <c r="Z1590" s="489"/>
      <c r="AA1590" s="490" t="str">
        <f t="shared" si="364"/>
        <v/>
      </c>
      <c r="AB1590" s="489"/>
      <c r="AC1590" s="489"/>
      <c r="AD1590" s="27">
        <v>610609</v>
      </c>
      <c r="AE1590" s="27" t="s">
        <v>920</v>
      </c>
      <c r="AF1590" s="432">
        <f>VLOOKUP(AD1590,[5]Hoja1!$A$10:$K$1393,11,0)</f>
        <v>0</v>
      </c>
      <c r="AG1590" s="432"/>
      <c r="AH1590" s="432">
        <f t="shared" si="365"/>
        <v>0</v>
      </c>
      <c r="AL1590" s="448"/>
      <c r="AM1590" s="467">
        <f>VLOOKUP(AD1590,[6]BV201101!$A$10:$A$1236,1,0)</f>
        <v>610609</v>
      </c>
    </row>
    <row r="1591" spans="1:39" s="467" customFormat="1" ht="12.75" customHeight="1">
      <c r="A1591" s="487" t="str">
        <f t="shared" si="376"/>
        <v>6</v>
      </c>
      <c r="B1591" s="487" t="str">
        <f t="shared" si="373"/>
        <v>10</v>
      </c>
      <c r="C1591" s="487" t="str">
        <f t="shared" si="374"/>
        <v>61</v>
      </c>
      <c r="D1591" s="487" t="str">
        <f t="shared" si="375"/>
        <v>0610</v>
      </c>
      <c r="E1591" s="487">
        <v>531201200</v>
      </c>
      <c r="F1591" s="488" t="str">
        <f t="shared" si="366"/>
        <v/>
      </c>
      <c r="G1591" s="487"/>
      <c r="H1591" s="487"/>
      <c r="I1591" s="488" t="str">
        <f t="shared" si="367"/>
        <v/>
      </c>
      <c r="J1591" s="487"/>
      <c r="K1591" s="487"/>
      <c r="L1591" s="488" t="str">
        <f t="shared" si="368"/>
        <v/>
      </c>
      <c r="M1591" s="487"/>
      <c r="N1591" s="487"/>
      <c r="O1591" s="488" t="str">
        <f t="shared" si="369"/>
        <v/>
      </c>
      <c r="P1591" s="489"/>
      <c r="Q1591" s="489"/>
      <c r="R1591" s="592" t="str">
        <f t="shared" si="370"/>
        <v/>
      </c>
      <c r="S1591" s="487"/>
      <c r="T1591" s="487"/>
      <c r="U1591" s="488" t="str">
        <f t="shared" si="371"/>
        <v/>
      </c>
      <c r="V1591" s="487"/>
      <c r="W1591" s="489"/>
      <c r="X1591" s="488" t="str">
        <f t="shared" si="372"/>
        <v/>
      </c>
      <c r="Y1591" s="489"/>
      <c r="Z1591" s="489"/>
      <c r="AA1591" s="490" t="str">
        <f t="shared" si="364"/>
        <v/>
      </c>
      <c r="AB1591" s="489"/>
      <c r="AC1591" s="489"/>
      <c r="AD1591" s="27">
        <v>610610</v>
      </c>
      <c r="AE1591" s="27" t="s">
        <v>2484</v>
      </c>
      <c r="AF1591" s="432">
        <f>VLOOKUP(AD1591,[5]Hoja1!$A$10:$K$1393,11,0)</f>
        <v>0</v>
      </c>
      <c r="AG1591" s="432"/>
      <c r="AH1591" s="432">
        <f t="shared" si="365"/>
        <v>0</v>
      </c>
      <c r="AL1591" s="448"/>
      <c r="AM1591" s="467">
        <f>VLOOKUP(AD1591,[6]BV201101!$A$10:$A$1236,1,0)</f>
        <v>610610</v>
      </c>
    </row>
    <row r="1592" spans="1:39" s="467" customFormat="1" ht="12.75" customHeight="1">
      <c r="A1592" s="487" t="str">
        <f t="shared" si="376"/>
        <v>6</v>
      </c>
      <c r="B1592" s="487" t="str">
        <f t="shared" si="373"/>
        <v>10</v>
      </c>
      <c r="C1592" s="487" t="str">
        <f t="shared" si="374"/>
        <v>61</v>
      </c>
      <c r="D1592" s="487" t="str">
        <f t="shared" si="375"/>
        <v>0611</v>
      </c>
      <c r="E1592" s="487">
        <v>531201200</v>
      </c>
      <c r="F1592" s="488" t="str">
        <f t="shared" si="366"/>
        <v/>
      </c>
      <c r="G1592" s="487"/>
      <c r="H1592" s="487"/>
      <c r="I1592" s="488" t="str">
        <f t="shared" si="367"/>
        <v/>
      </c>
      <c r="J1592" s="487"/>
      <c r="K1592" s="487"/>
      <c r="L1592" s="488" t="str">
        <f t="shared" si="368"/>
        <v/>
      </c>
      <c r="M1592" s="487"/>
      <c r="N1592" s="487"/>
      <c r="O1592" s="488" t="str">
        <f t="shared" si="369"/>
        <v/>
      </c>
      <c r="P1592" s="489"/>
      <c r="Q1592" s="489"/>
      <c r="R1592" s="592" t="str">
        <f t="shared" si="370"/>
        <v/>
      </c>
      <c r="S1592" s="487"/>
      <c r="T1592" s="487"/>
      <c r="U1592" s="488" t="str">
        <f t="shared" si="371"/>
        <v/>
      </c>
      <c r="V1592" s="487"/>
      <c r="W1592" s="489"/>
      <c r="X1592" s="488" t="str">
        <f t="shared" si="372"/>
        <v/>
      </c>
      <c r="Y1592" s="489"/>
      <c r="Z1592" s="489"/>
      <c r="AA1592" s="490" t="str">
        <f t="shared" si="364"/>
        <v/>
      </c>
      <c r="AB1592" s="489"/>
      <c r="AC1592" s="489"/>
      <c r="AD1592" s="27">
        <v>610611</v>
      </c>
      <c r="AE1592" s="27" t="s">
        <v>2485</v>
      </c>
      <c r="AF1592" s="432">
        <v>0</v>
      </c>
      <c r="AG1592" s="432"/>
      <c r="AH1592" s="432">
        <f t="shared" si="365"/>
        <v>0</v>
      </c>
      <c r="AL1592" s="448"/>
      <c r="AM1592" s="467" t="e">
        <f>VLOOKUP(AD1592,[6]BV201101!$A$10:$A$1236,1,0)</f>
        <v>#N/A</v>
      </c>
    </row>
    <row r="1593" spans="1:39" s="467" customFormat="1" ht="12.75" customHeight="1">
      <c r="A1593" s="487" t="str">
        <f t="shared" si="376"/>
        <v>6</v>
      </c>
      <c r="B1593" s="487" t="str">
        <f t="shared" si="373"/>
        <v>10</v>
      </c>
      <c r="C1593" s="487" t="str">
        <f t="shared" si="374"/>
        <v>61</v>
      </c>
      <c r="D1593" s="487" t="str">
        <f t="shared" si="375"/>
        <v>0612</v>
      </c>
      <c r="E1593" s="487">
        <v>531201200</v>
      </c>
      <c r="F1593" s="488"/>
      <c r="G1593" s="487"/>
      <c r="H1593" s="487"/>
      <c r="I1593" s="488"/>
      <c r="J1593" s="487"/>
      <c r="K1593" s="487"/>
      <c r="L1593" s="488"/>
      <c r="M1593" s="487"/>
      <c r="N1593" s="487"/>
      <c r="O1593" s="488"/>
      <c r="P1593" s="489"/>
      <c r="Q1593" s="489"/>
      <c r="R1593" s="592"/>
      <c r="S1593" s="487"/>
      <c r="T1593" s="487"/>
      <c r="U1593" s="488"/>
      <c r="V1593" s="487"/>
      <c r="W1593" s="489"/>
      <c r="X1593" s="488"/>
      <c r="Y1593" s="489"/>
      <c r="Z1593" s="489"/>
      <c r="AA1593" s="490"/>
      <c r="AB1593" s="489"/>
      <c r="AC1593" s="489"/>
      <c r="AD1593" s="27">
        <v>610612</v>
      </c>
      <c r="AE1593" s="27" t="s">
        <v>578</v>
      </c>
      <c r="AF1593" s="432">
        <f>VLOOKUP(AD1593,[5]Hoja1!$A$10:$K$1393,11,0)</f>
        <v>0</v>
      </c>
      <c r="AG1593" s="432"/>
      <c r="AH1593" s="432">
        <f t="shared" si="365"/>
        <v>0</v>
      </c>
      <c r="AL1593" s="448"/>
      <c r="AM1593" s="467">
        <f>VLOOKUP(AD1593,[6]BV201101!$A$10:$A$1236,1,0)</f>
        <v>610612</v>
      </c>
    </row>
    <row r="1594" spans="1:39" s="467" customFormat="1" ht="12.75" customHeight="1">
      <c r="A1594" s="487" t="str">
        <f t="shared" si="376"/>
        <v>6</v>
      </c>
      <c r="B1594" s="487" t="str">
        <f t="shared" si="373"/>
        <v>10</v>
      </c>
      <c r="C1594" s="487" t="str">
        <f t="shared" si="374"/>
        <v>61</v>
      </c>
      <c r="D1594" s="487" t="str">
        <f t="shared" si="375"/>
        <v>0613</v>
      </c>
      <c r="E1594" s="487">
        <v>531201200</v>
      </c>
      <c r="F1594" s="488"/>
      <c r="G1594" s="487"/>
      <c r="H1594" s="487"/>
      <c r="I1594" s="488"/>
      <c r="J1594" s="487"/>
      <c r="K1594" s="487"/>
      <c r="L1594" s="488"/>
      <c r="M1594" s="487"/>
      <c r="N1594" s="487"/>
      <c r="O1594" s="488"/>
      <c r="P1594" s="489"/>
      <c r="Q1594" s="489"/>
      <c r="R1594" s="592"/>
      <c r="S1594" s="487"/>
      <c r="T1594" s="487"/>
      <c r="U1594" s="488"/>
      <c r="V1594" s="487"/>
      <c r="W1594" s="489"/>
      <c r="X1594" s="488"/>
      <c r="Y1594" s="489"/>
      <c r="Z1594" s="489"/>
      <c r="AA1594" s="490"/>
      <c r="AB1594" s="489"/>
      <c r="AC1594" s="489"/>
      <c r="AD1594" s="27">
        <v>610613</v>
      </c>
      <c r="AE1594" s="27" t="s">
        <v>1206</v>
      </c>
      <c r="AF1594" s="432">
        <f>VLOOKUP(AD1594,[5]Hoja1!$A$10:$K$1393,11,0)</f>
        <v>0</v>
      </c>
      <c r="AG1594" s="432"/>
      <c r="AH1594" s="432">
        <f t="shared" si="365"/>
        <v>0</v>
      </c>
      <c r="AL1594" s="448"/>
      <c r="AM1594" s="467">
        <f>VLOOKUP(AD1594,[6]BV201101!$A$10:$A$1236,1,0)</f>
        <v>610613</v>
      </c>
    </row>
    <row r="1595" spans="1:39" s="467" customFormat="1" ht="12.75" customHeight="1">
      <c r="A1595" s="487" t="str">
        <f t="shared" si="376"/>
        <v>6</v>
      </c>
      <c r="B1595" s="487" t="str">
        <f t="shared" si="373"/>
        <v>10</v>
      </c>
      <c r="C1595" s="487" t="str">
        <f t="shared" si="374"/>
        <v>61</v>
      </c>
      <c r="D1595" s="487" t="str">
        <f t="shared" si="375"/>
        <v>0614</v>
      </c>
      <c r="E1595" s="487">
        <v>531201200</v>
      </c>
      <c r="F1595" s="488"/>
      <c r="G1595" s="487"/>
      <c r="H1595" s="487"/>
      <c r="I1595" s="488"/>
      <c r="J1595" s="487"/>
      <c r="K1595" s="487"/>
      <c r="L1595" s="488"/>
      <c r="M1595" s="487"/>
      <c r="N1595" s="487"/>
      <c r="O1595" s="488"/>
      <c r="P1595" s="489"/>
      <c r="Q1595" s="489"/>
      <c r="R1595" s="592"/>
      <c r="S1595" s="487"/>
      <c r="T1595" s="487"/>
      <c r="U1595" s="488"/>
      <c r="V1595" s="487"/>
      <c r="W1595" s="489"/>
      <c r="X1595" s="488"/>
      <c r="Y1595" s="489"/>
      <c r="Z1595" s="489"/>
      <c r="AA1595" s="490"/>
      <c r="AB1595" s="489"/>
      <c r="AC1595" s="489"/>
      <c r="AD1595" s="27">
        <v>610614</v>
      </c>
      <c r="AE1595" s="27" t="s">
        <v>2486</v>
      </c>
      <c r="AF1595" s="432">
        <f>VLOOKUP(AD1595,[5]Hoja1!$A$10:$K$1393,11,0)</f>
        <v>0</v>
      </c>
      <c r="AG1595" s="432"/>
      <c r="AH1595" s="432">
        <f t="shared" si="365"/>
        <v>0</v>
      </c>
      <c r="AL1595" s="448"/>
      <c r="AM1595" s="467">
        <f>VLOOKUP(AD1595,[6]BV201101!$A$10:$A$1236,1,0)</f>
        <v>610614</v>
      </c>
    </row>
    <row r="1596" spans="1:39" s="467" customFormat="1" ht="12.75" customHeight="1">
      <c r="A1596" s="487" t="str">
        <f t="shared" si="376"/>
        <v>6</v>
      </c>
      <c r="B1596" s="487" t="str">
        <f t="shared" si="373"/>
        <v>10</v>
      </c>
      <c r="C1596" s="487" t="str">
        <f t="shared" si="374"/>
        <v>61</v>
      </c>
      <c r="D1596" s="487" t="str">
        <f t="shared" si="375"/>
        <v>0615</v>
      </c>
      <c r="E1596" s="487">
        <v>531201200</v>
      </c>
      <c r="F1596" s="488"/>
      <c r="G1596" s="487"/>
      <c r="H1596" s="487"/>
      <c r="I1596" s="488"/>
      <c r="J1596" s="487"/>
      <c r="K1596" s="487"/>
      <c r="L1596" s="488"/>
      <c r="M1596" s="487"/>
      <c r="N1596" s="487"/>
      <c r="O1596" s="488"/>
      <c r="P1596" s="489"/>
      <c r="Q1596" s="489"/>
      <c r="R1596" s="592"/>
      <c r="S1596" s="487"/>
      <c r="T1596" s="487"/>
      <c r="U1596" s="488"/>
      <c r="V1596" s="487"/>
      <c r="W1596" s="489"/>
      <c r="X1596" s="488"/>
      <c r="Y1596" s="489"/>
      <c r="Z1596" s="489"/>
      <c r="AA1596" s="490"/>
      <c r="AB1596" s="489"/>
      <c r="AC1596" s="489"/>
      <c r="AD1596" s="27">
        <v>610615</v>
      </c>
      <c r="AE1596" s="27" t="s">
        <v>2487</v>
      </c>
      <c r="AF1596" s="432">
        <f>VLOOKUP(AD1596,[5]Hoja1!$A$10:$K$1393,11,0)</f>
        <v>189402050</v>
      </c>
      <c r="AG1596" s="432"/>
      <c r="AH1596" s="432">
        <f t="shared" si="365"/>
        <v>189402</v>
      </c>
      <c r="AL1596" s="448"/>
      <c r="AM1596" s="467">
        <f>VLOOKUP(AD1596,[6]BV201101!$A$10:$A$1236,1,0)</f>
        <v>610615</v>
      </c>
    </row>
    <row r="1597" spans="1:39" s="467" customFormat="1" ht="12.75" customHeight="1">
      <c r="A1597" s="487" t="str">
        <f t="shared" si="376"/>
        <v>6</v>
      </c>
      <c r="B1597" s="487" t="str">
        <f t="shared" si="373"/>
        <v>10</v>
      </c>
      <c r="C1597" s="487" t="str">
        <f t="shared" si="374"/>
        <v>70</v>
      </c>
      <c r="D1597" s="487" t="str">
        <f t="shared" si="375"/>
        <v>0701</v>
      </c>
      <c r="E1597" s="487">
        <v>531201200</v>
      </c>
      <c r="F1597" s="488" t="str">
        <f t="shared" si="366"/>
        <v/>
      </c>
      <c r="G1597" s="487"/>
      <c r="H1597" s="487"/>
      <c r="I1597" s="488" t="str">
        <f t="shared" si="367"/>
        <v/>
      </c>
      <c r="J1597" s="487"/>
      <c r="K1597" s="487"/>
      <c r="L1597" s="488" t="str">
        <f t="shared" si="368"/>
        <v/>
      </c>
      <c r="M1597" s="487"/>
      <c r="N1597" s="487"/>
      <c r="O1597" s="488" t="str">
        <f t="shared" si="369"/>
        <v/>
      </c>
      <c r="P1597" s="489"/>
      <c r="Q1597" s="489"/>
      <c r="R1597" s="592" t="str">
        <f t="shared" si="370"/>
        <v/>
      </c>
      <c r="S1597" s="487"/>
      <c r="T1597" s="487"/>
      <c r="U1597" s="488" t="str">
        <f t="shared" si="371"/>
        <v/>
      </c>
      <c r="V1597" s="487"/>
      <c r="W1597" s="489"/>
      <c r="X1597" s="488" t="str">
        <f t="shared" si="372"/>
        <v/>
      </c>
      <c r="Y1597" s="489"/>
      <c r="Z1597" s="489"/>
      <c r="AA1597" s="490" t="str">
        <f t="shared" si="364"/>
        <v/>
      </c>
      <c r="AB1597" s="489"/>
      <c r="AC1597" s="489"/>
      <c r="AD1597" s="27">
        <v>610701</v>
      </c>
      <c r="AE1597" s="27" t="s">
        <v>136</v>
      </c>
      <c r="AF1597" s="432">
        <f>VLOOKUP(AD1597,[5]Hoja1!$A$10:$K$1393,11,0)</f>
        <v>51067930</v>
      </c>
      <c r="AG1597" s="432"/>
      <c r="AH1597" s="432">
        <f t="shared" si="365"/>
        <v>51068</v>
      </c>
      <c r="AL1597" s="448"/>
      <c r="AM1597" s="467">
        <f>VLOOKUP(AD1597,[6]BV201101!$A$10:$A$1236,1,0)</f>
        <v>610701</v>
      </c>
    </row>
    <row r="1598" spans="1:39" s="467" customFormat="1" ht="12.75" customHeight="1">
      <c r="A1598" s="487" t="str">
        <f t="shared" si="376"/>
        <v>6</v>
      </c>
      <c r="B1598" s="487" t="str">
        <f t="shared" si="373"/>
        <v>10</v>
      </c>
      <c r="C1598" s="487" t="str">
        <f t="shared" si="374"/>
        <v>70</v>
      </c>
      <c r="D1598" s="487" t="str">
        <f t="shared" si="375"/>
        <v>0702</v>
      </c>
      <c r="E1598" s="487">
        <v>531201200</v>
      </c>
      <c r="F1598" s="488" t="str">
        <f t="shared" si="366"/>
        <v/>
      </c>
      <c r="G1598" s="487"/>
      <c r="H1598" s="487"/>
      <c r="I1598" s="488" t="str">
        <f t="shared" si="367"/>
        <v/>
      </c>
      <c r="J1598" s="487"/>
      <c r="K1598" s="487"/>
      <c r="L1598" s="488" t="str">
        <f t="shared" si="368"/>
        <v/>
      </c>
      <c r="M1598" s="487"/>
      <c r="N1598" s="487"/>
      <c r="O1598" s="488" t="str">
        <f t="shared" si="369"/>
        <v/>
      </c>
      <c r="P1598" s="489"/>
      <c r="Q1598" s="489"/>
      <c r="R1598" s="592" t="str">
        <f t="shared" si="370"/>
        <v/>
      </c>
      <c r="S1598" s="487"/>
      <c r="T1598" s="487"/>
      <c r="U1598" s="488" t="str">
        <f t="shared" si="371"/>
        <v/>
      </c>
      <c r="V1598" s="487"/>
      <c r="W1598" s="489"/>
      <c r="X1598" s="488" t="str">
        <f t="shared" si="372"/>
        <v/>
      </c>
      <c r="Y1598" s="489"/>
      <c r="Z1598" s="489"/>
      <c r="AA1598" s="490" t="str">
        <f t="shared" si="364"/>
        <v/>
      </c>
      <c r="AB1598" s="489"/>
      <c r="AC1598" s="489"/>
      <c r="AD1598" s="27">
        <v>610702</v>
      </c>
      <c r="AE1598" s="27" t="s">
        <v>138</v>
      </c>
      <c r="AF1598" s="432">
        <f>VLOOKUP(AD1598,[5]Hoja1!$A$10:$K$1393,11,0)</f>
        <v>2175520</v>
      </c>
      <c r="AG1598" s="432"/>
      <c r="AH1598" s="432">
        <f t="shared" si="365"/>
        <v>2176</v>
      </c>
      <c r="AL1598" s="448"/>
      <c r="AM1598" s="467">
        <f>VLOOKUP(AD1598,[6]BV201101!$A$10:$A$1236,1,0)</f>
        <v>610702</v>
      </c>
    </row>
    <row r="1599" spans="1:39" s="467" customFormat="1" ht="12.75" customHeight="1">
      <c r="A1599" s="487" t="str">
        <f t="shared" si="376"/>
        <v>6</v>
      </c>
      <c r="B1599" s="487" t="str">
        <f t="shared" si="373"/>
        <v>10</v>
      </c>
      <c r="C1599" s="487" t="str">
        <f t="shared" si="374"/>
        <v>70</v>
      </c>
      <c r="D1599" s="487" t="str">
        <f t="shared" si="375"/>
        <v>0703</v>
      </c>
      <c r="E1599" s="487">
        <v>531201200</v>
      </c>
      <c r="F1599" s="488" t="str">
        <f t="shared" si="366"/>
        <v/>
      </c>
      <c r="G1599" s="487"/>
      <c r="H1599" s="487"/>
      <c r="I1599" s="488" t="str">
        <f t="shared" si="367"/>
        <v/>
      </c>
      <c r="J1599" s="487"/>
      <c r="K1599" s="487"/>
      <c r="L1599" s="488" t="str">
        <f t="shared" si="368"/>
        <v/>
      </c>
      <c r="M1599" s="487"/>
      <c r="N1599" s="487"/>
      <c r="O1599" s="488" t="str">
        <f t="shared" si="369"/>
        <v/>
      </c>
      <c r="P1599" s="489"/>
      <c r="Q1599" s="489"/>
      <c r="R1599" s="592" t="str">
        <f t="shared" si="370"/>
        <v/>
      </c>
      <c r="S1599" s="487"/>
      <c r="T1599" s="487"/>
      <c r="U1599" s="488" t="str">
        <f t="shared" si="371"/>
        <v/>
      </c>
      <c r="V1599" s="487"/>
      <c r="W1599" s="489"/>
      <c r="X1599" s="488" t="str">
        <f t="shared" si="372"/>
        <v/>
      </c>
      <c r="Y1599" s="489"/>
      <c r="Z1599" s="489"/>
      <c r="AA1599" s="490" t="str">
        <f t="shared" si="364"/>
        <v/>
      </c>
      <c r="AB1599" s="489"/>
      <c r="AC1599" s="489"/>
      <c r="AD1599" s="27">
        <v>610703</v>
      </c>
      <c r="AE1599" s="27" t="s">
        <v>139</v>
      </c>
      <c r="AF1599" s="432">
        <f>VLOOKUP(AD1599,[5]Hoja1!$A$10:$K$1393,11,0)</f>
        <v>138970</v>
      </c>
      <c r="AG1599" s="432"/>
      <c r="AH1599" s="432">
        <f t="shared" si="365"/>
        <v>139</v>
      </c>
      <c r="AL1599" s="448"/>
      <c r="AM1599" s="467">
        <f>VLOOKUP(AD1599,[6]BV201101!$A$10:$A$1236,1,0)</f>
        <v>610703</v>
      </c>
    </row>
    <row r="1600" spans="1:39" s="467" customFormat="1" ht="12.75" customHeight="1">
      <c r="A1600" s="487" t="str">
        <f t="shared" si="376"/>
        <v>6</v>
      </c>
      <c r="B1600" s="487" t="str">
        <f t="shared" si="373"/>
        <v>10</v>
      </c>
      <c r="C1600" s="487" t="str">
        <f t="shared" si="374"/>
        <v>70</v>
      </c>
      <c r="D1600" s="487" t="str">
        <f t="shared" si="375"/>
        <v>0704</v>
      </c>
      <c r="E1600" s="487">
        <v>531201200</v>
      </c>
      <c r="F1600" s="488" t="str">
        <f t="shared" si="366"/>
        <v/>
      </c>
      <c r="G1600" s="487"/>
      <c r="H1600" s="487"/>
      <c r="I1600" s="488" t="str">
        <f t="shared" si="367"/>
        <v/>
      </c>
      <c r="J1600" s="487"/>
      <c r="K1600" s="487"/>
      <c r="L1600" s="488" t="str">
        <f t="shared" si="368"/>
        <v/>
      </c>
      <c r="M1600" s="487"/>
      <c r="N1600" s="487"/>
      <c r="O1600" s="488" t="str">
        <f t="shared" si="369"/>
        <v/>
      </c>
      <c r="P1600" s="489"/>
      <c r="Q1600" s="489"/>
      <c r="R1600" s="592" t="str">
        <f t="shared" si="370"/>
        <v/>
      </c>
      <c r="S1600" s="487"/>
      <c r="T1600" s="487"/>
      <c r="U1600" s="488" t="str">
        <f t="shared" si="371"/>
        <v/>
      </c>
      <c r="V1600" s="487"/>
      <c r="W1600" s="489"/>
      <c r="X1600" s="488" t="str">
        <f t="shared" si="372"/>
        <v/>
      </c>
      <c r="Y1600" s="489"/>
      <c r="Z1600" s="489"/>
      <c r="AA1600" s="490" t="str">
        <f t="shared" si="364"/>
        <v/>
      </c>
      <c r="AB1600" s="489"/>
      <c r="AC1600" s="489"/>
      <c r="AD1600" s="27">
        <v>610704</v>
      </c>
      <c r="AE1600" s="27" t="s">
        <v>140</v>
      </c>
      <c r="AF1600" s="432">
        <f>VLOOKUP(AD1600,[5]Hoja1!$A$10:$K$1393,11,0)</f>
        <v>28092447</v>
      </c>
      <c r="AG1600" s="432"/>
      <c r="AH1600" s="432">
        <f t="shared" si="365"/>
        <v>28092</v>
      </c>
      <c r="AL1600" s="448"/>
      <c r="AM1600" s="467">
        <f>VLOOKUP(AD1600,[6]BV201101!$A$10:$A$1236,1,0)</f>
        <v>610704</v>
      </c>
    </row>
    <row r="1601" spans="1:39" s="467" customFormat="1" ht="12.75" customHeight="1">
      <c r="A1601" s="487" t="str">
        <f t="shared" si="376"/>
        <v>6</v>
      </c>
      <c r="B1601" s="487" t="str">
        <f t="shared" si="373"/>
        <v>10</v>
      </c>
      <c r="C1601" s="487" t="str">
        <f t="shared" si="374"/>
        <v>70</v>
      </c>
      <c r="D1601" s="487" t="str">
        <f t="shared" si="375"/>
        <v>0705</v>
      </c>
      <c r="E1601" s="487">
        <v>531201200</v>
      </c>
      <c r="F1601" s="488" t="str">
        <f t="shared" si="366"/>
        <v/>
      </c>
      <c r="G1601" s="487"/>
      <c r="H1601" s="487"/>
      <c r="I1601" s="488" t="str">
        <f t="shared" si="367"/>
        <v/>
      </c>
      <c r="J1601" s="487"/>
      <c r="K1601" s="487"/>
      <c r="L1601" s="488" t="str">
        <f t="shared" si="368"/>
        <v/>
      </c>
      <c r="M1601" s="487"/>
      <c r="N1601" s="487"/>
      <c r="O1601" s="488" t="str">
        <f t="shared" si="369"/>
        <v/>
      </c>
      <c r="P1601" s="489"/>
      <c r="Q1601" s="489"/>
      <c r="R1601" s="592" t="str">
        <f t="shared" si="370"/>
        <v/>
      </c>
      <c r="S1601" s="487"/>
      <c r="T1601" s="487"/>
      <c r="U1601" s="488" t="str">
        <f t="shared" si="371"/>
        <v/>
      </c>
      <c r="V1601" s="487"/>
      <c r="W1601" s="489"/>
      <c r="X1601" s="488" t="str">
        <f t="shared" si="372"/>
        <v/>
      </c>
      <c r="Y1601" s="489"/>
      <c r="Z1601" s="489"/>
      <c r="AA1601" s="490" t="str">
        <f t="shared" si="364"/>
        <v/>
      </c>
      <c r="AB1601" s="489"/>
      <c r="AC1601" s="489"/>
      <c r="AD1601" s="27">
        <v>610705</v>
      </c>
      <c r="AE1601" s="27" t="s">
        <v>141</v>
      </c>
      <c r="AF1601" s="432">
        <f>VLOOKUP(AD1601,[5]Hoja1!$A$10:$K$1393,11,0)</f>
        <v>25044898</v>
      </c>
      <c r="AG1601" s="432"/>
      <c r="AH1601" s="432">
        <f t="shared" si="365"/>
        <v>25045</v>
      </c>
      <c r="AL1601" s="448"/>
      <c r="AM1601" s="467">
        <f>VLOOKUP(AD1601,[6]BV201101!$A$10:$A$1236,1,0)</f>
        <v>610705</v>
      </c>
    </row>
    <row r="1602" spans="1:39" s="467" customFormat="1" ht="12.75" customHeight="1">
      <c r="A1602" s="487" t="str">
        <f t="shared" si="376"/>
        <v>6</v>
      </c>
      <c r="B1602" s="487" t="str">
        <f t="shared" si="373"/>
        <v>10</v>
      </c>
      <c r="C1602" s="487" t="str">
        <f t="shared" si="374"/>
        <v>70</v>
      </c>
      <c r="D1602" s="487" t="str">
        <f t="shared" si="375"/>
        <v>0706</v>
      </c>
      <c r="E1602" s="487">
        <v>531201200</v>
      </c>
      <c r="F1602" s="488" t="str">
        <f t="shared" si="366"/>
        <v/>
      </c>
      <c r="G1602" s="487"/>
      <c r="H1602" s="487"/>
      <c r="I1602" s="488" t="str">
        <f t="shared" si="367"/>
        <v/>
      </c>
      <c r="J1602" s="487"/>
      <c r="K1602" s="487"/>
      <c r="L1602" s="488" t="str">
        <f t="shared" si="368"/>
        <v/>
      </c>
      <c r="M1602" s="487"/>
      <c r="N1602" s="487"/>
      <c r="O1602" s="488" t="str">
        <f t="shared" si="369"/>
        <v/>
      </c>
      <c r="P1602" s="489"/>
      <c r="Q1602" s="489"/>
      <c r="R1602" s="592" t="str">
        <f t="shared" si="370"/>
        <v/>
      </c>
      <c r="S1602" s="487"/>
      <c r="T1602" s="487"/>
      <c r="U1602" s="488" t="str">
        <f t="shared" si="371"/>
        <v/>
      </c>
      <c r="V1602" s="487"/>
      <c r="W1602" s="489"/>
      <c r="X1602" s="488" t="str">
        <f t="shared" si="372"/>
        <v/>
      </c>
      <c r="Y1602" s="489"/>
      <c r="Z1602" s="489"/>
      <c r="AA1602" s="490" t="str">
        <f t="shared" si="364"/>
        <v/>
      </c>
      <c r="AB1602" s="489"/>
      <c r="AC1602" s="489"/>
      <c r="AD1602" s="27">
        <v>610706</v>
      </c>
      <c r="AE1602" s="27" t="s">
        <v>1065</v>
      </c>
      <c r="AF1602" s="432">
        <f>VLOOKUP(AD1602,[5]Hoja1!$A$10:$K$1393,11,0)</f>
        <v>1980993</v>
      </c>
      <c r="AG1602" s="432"/>
      <c r="AH1602" s="432">
        <f t="shared" si="365"/>
        <v>1981</v>
      </c>
      <c r="AL1602" s="448"/>
      <c r="AM1602" s="467">
        <f>VLOOKUP(AD1602,[6]BV201101!$A$10:$A$1236,1,0)</f>
        <v>610706</v>
      </c>
    </row>
    <row r="1603" spans="1:39" s="467" customFormat="1" ht="12.75" customHeight="1">
      <c r="A1603" s="487" t="str">
        <f t="shared" si="376"/>
        <v>6</v>
      </c>
      <c r="B1603" s="487" t="str">
        <f t="shared" si="373"/>
        <v>10</v>
      </c>
      <c r="C1603" s="487" t="str">
        <f t="shared" si="374"/>
        <v>70</v>
      </c>
      <c r="D1603" s="487" t="str">
        <f t="shared" si="375"/>
        <v>0707</v>
      </c>
      <c r="E1603" s="487">
        <v>531201200</v>
      </c>
      <c r="F1603" s="488" t="str">
        <f t="shared" si="366"/>
        <v/>
      </c>
      <c r="G1603" s="487"/>
      <c r="H1603" s="487"/>
      <c r="I1603" s="488" t="str">
        <f t="shared" si="367"/>
        <v/>
      </c>
      <c r="J1603" s="487"/>
      <c r="K1603" s="487"/>
      <c r="L1603" s="488" t="str">
        <f t="shared" si="368"/>
        <v/>
      </c>
      <c r="M1603" s="487"/>
      <c r="N1603" s="487"/>
      <c r="O1603" s="488" t="str">
        <f t="shared" si="369"/>
        <v/>
      </c>
      <c r="P1603" s="489"/>
      <c r="Q1603" s="489"/>
      <c r="R1603" s="592" t="str">
        <f t="shared" si="370"/>
        <v/>
      </c>
      <c r="S1603" s="487"/>
      <c r="T1603" s="487"/>
      <c r="U1603" s="488" t="str">
        <f t="shared" si="371"/>
        <v/>
      </c>
      <c r="V1603" s="487"/>
      <c r="W1603" s="489"/>
      <c r="X1603" s="488" t="str">
        <f t="shared" si="372"/>
        <v/>
      </c>
      <c r="Y1603" s="489"/>
      <c r="Z1603" s="489"/>
      <c r="AA1603" s="490" t="str">
        <f t="shared" si="364"/>
        <v/>
      </c>
      <c r="AB1603" s="489"/>
      <c r="AC1603" s="489"/>
      <c r="AD1603" s="27">
        <v>610707</v>
      </c>
      <c r="AE1603" s="27" t="s">
        <v>1066</v>
      </c>
      <c r="AF1603" s="432">
        <f>VLOOKUP(AD1603,[5]Hoja1!$A$10:$K$1393,11,0)</f>
        <v>34776463</v>
      </c>
      <c r="AG1603" s="432"/>
      <c r="AH1603" s="432">
        <f t="shared" si="365"/>
        <v>34776</v>
      </c>
      <c r="AL1603" s="448"/>
      <c r="AM1603" s="467">
        <f>VLOOKUP(AD1603,[6]BV201101!$A$10:$A$1236,1,0)</f>
        <v>610707</v>
      </c>
    </row>
    <row r="1604" spans="1:39" s="467" customFormat="1" ht="12.75" customHeight="1">
      <c r="A1604" s="487" t="str">
        <f t="shared" si="376"/>
        <v>6</v>
      </c>
      <c r="B1604" s="487" t="str">
        <f t="shared" si="373"/>
        <v>10</v>
      </c>
      <c r="C1604" s="487" t="str">
        <f t="shared" si="374"/>
        <v>70</v>
      </c>
      <c r="D1604" s="487" t="str">
        <f t="shared" si="375"/>
        <v>0708</v>
      </c>
      <c r="E1604" s="487">
        <v>531201200</v>
      </c>
      <c r="F1604" s="488" t="str">
        <f t="shared" si="366"/>
        <v/>
      </c>
      <c r="G1604" s="487"/>
      <c r="H1604" s="487"/>
      <c r="I1604" s="488" t="str">
        <f t="shared" si="367"/>
        <v/>
      </c>
      <c r="J1604" s="487"/>
      <c r="K1604" s="487"/>
      <c r="L1604" s="488" t="str">
        <f t="shared" si="368"/>
        <v/>
      </c>
      <c r="M1604" s="487"/>
      <c r="N1604" s="487"/>
      <c r="O1604" s="488" t="str">
        <f t="shared" si="369"/>
        <v/>
      </c>
      <c r="P1604" s="489"/>
      <c r="Q1604" s="489"/>
      <c r="R1604" s="592" t="str">
        <f t="shared" si="370"/>
        <v/>
      </c>
      <c r="S1604" s="487"/>
      <c r="T1604" s="487"/>
      <c r="U1604" s="488" t="str">
        <f t="shared" si="371"/>
        <v/>
      </c>
      <c r="V1604" s="487"/>
      <c r="W1604" s="489"/>
      <c r="X1604" s="488" t="str">
        <f t="shared" si="372"/>
        <v/>
      </c>
      <c r="Y1604" s="489"/>
      <c r="Z1604" s="489"/>
      <c r="AA1604" s="490" t="str">
        <f t="shared" si="364"/>
        <v/>
      </c>
      <c r="AB1604" s="489"/>
      <c r="AC1604" s="489"/>
      <c r="AD1604" s="27">
        <v>610708</v>
      </c>
      <c r="AE1604" s="27" t="s">
        <v>1068</v>
      </c>
      <c r="AF1604" s="432">
        <f>VLOOKUP(AD1604,[5]Hoja1!$A$10:$K$1393,11,0)</f>
        <v>1391623</v>
      </c>
      <c r="AG1604" s="432"/>
      <c r="AH1604" s="432">
        <f t="shared" si="365"/>
        <v>1392</v>
      </c>
      <c r="AL1604" s="448"/>
      <c r="AM1604" s="467">
        <f>VLOOKUP(AD1604,[6]BV201101!$A$10:$A$1236,1,0)</f>
        <v>610708</v>
      </c>
    </row>
    <row r="1605" spans="1:39" s="467" customFormat="1" ht="12.75" customHeight="1">
      <c r="A1605" s="487" t="str">
        <f t="shared" si="376"/>
        <v>6</v>
      </c>
      <c r="B1605" s="487" t="str">
        <f t="shared" si="373"/>
        <v>10</v>
      </c>
      <c r="C1605" s="487" t="str">
        <f t="shared" si="374"/>
        <v>70</v>
      </c>
      <c r="D1605" s="487" t="str">
        <f t="shared" si="375"/>
        <v>0709</v>
      </c>
      <c r="E1605" s="487">
        <v>531201200</v>
      </c>
      <c r="F1605" s="488" t="str">
        <f t="shared" si="366"/>
        <v/>
      </c>
      <c r="G1605" s="487"/>
      <c r="H1605" s="487"/>
      <c r="I1605" s="488" t="str">
        <f t="shared" si="367"/>
        <v/>
      </c>
      <c r="J1605" s="487"/>
      <c r="K1605" s="487"/>
      <c r="L1605" s="488" t="str">
        <f t="shared" si="368"/>
        <v/>
      </c>
      <c r="M1605" s="487"/>
      <c r="N1605" s="487"/>
      <c r="O1605" s="488" t="str">
        <f t="shared" si="369"/>
        <v/>
      </c>
      <c r="P1605" s="489"/>
      <c r="Q1605" s="489"/>
      <c r="R1605" s="592" t="str">
        <f t="shared" si="370"/>
        <v/>
      </c>
      <c r="S1605" s="487"/>
      <c r="T1605" s="487"/>
      <c r="U1605" s="488" t="str">
        <f t="shared" si="371"/>
        <v/>
      </c>
      <c r="V1605" s="487"/>
      <c r="W1605" s="489"/>
      <c r="X1605" s="488" t="str">
        <f t="shared" si="372"/>
        <v/>
      </c>
      <c r="Y1605" s="489"/>
      <c r="Z1605" s="489"/>
      <c r="AA1605" s="490" t="str">
        <f t="shared" si="364"/>
        <v/>
      </c>
      <c r="AB1605" s="489"/>
      <c r="AC1605" s="489"/>
      <c r="AD1605" s="27">
        <v>610709</v>
      </c>
      <c r="AE1605" s="27" t="s">
        <v>1069</v>
      </c>
      <c r="AF1605" s="432">
        <f>VLOOKUP(AD1605,[5]Hoja1!$A$10:$K$1393,11,0)</f>
        <v>15050</v>
      </c>
      <c r="AG1605" s="432"/>
      <c r="AH1605" s="432">
        <f t="shared" si="365"/>
        <v>15</v>
      </c>
      <c r="AL1605" s="448"/>
      <c r="AM1605" s="467">
        <f>VLOOKUP(AD1605,[6]BV201101!$A$10:$A$1236,1,0)</f>
        <v>610709</v>
      </c>
    </row>
    <row r="1606" spans="1:39" s="467" customFormat="1" ht="12.75" customHeight="1">
      <c r="A1606" s="487" t="str">
        <f t="shared" si="376"/>
        <v>6</v>
      </c>
      <c r="B1606" s="487" t="str">
        <f t="shared" si="373"/>
        <v>10</v>
      </c>
      <c r="C1606" s="487" t="str">
        <f t="shared" si="374"/>
        <v>71</v>
      </c>
      <c r="D1606" s="487" t="str">
        <f t="shared" si="375"/>
        <v>0710</v>
      </c>
      <c r="E1606" s="487">
        <v>531201200</v>
      </c>
      <c r="F1606" s="488" t="str">
        <f t="shared" si="366"/>
        <v/>
      </c>
      <c r="G1606" s="487"/>
      <c r="H1606" s="487"/>
      <c r="I1606" s="488" t="str">
        <f t="shared" si="367"/>
        <v/>
      </c>
      <c r="J1606" s="487"/>
      <c r="K1606" s="487"/>
      <c r="L1606" s="488" t="str">
        <f t="shared" si="368"/>
        <v/>
      </c>
      <c r="M1606" s="487"/>
      <c r="N1606" s="487"/>
      <c r="O1606" s="488" t="str">
        <f t="shared" si="369"/>
        <v/>
      </c>
      <c r="P1606" s="489"/>
      <c r="Q1606" s="489"/>
      <c r="R1606" s="592" t="str">
        <f t="shared" si="370"/>
        <v/>
      </c>
      <c r="S1606" s="487"/>
      <c r="T1606" s="487"/>
      <c r="U1606" s="488" t="str">
        <f t="shared" si="371"/>
        <v/>
      </c>
      <c r="V1606" s="487"/>
      <c r="W1606" s="489"/>
      <c r="X1606" s="488" t="str">
        <f t="shared" si="372"/>
        <v/>
      </c>
      <c r="Y1606" s="489"/>
      <c r="Z1606" s="489"/>
      <c r="AA1606" s="490" t="str">
        <f t="shared" si="364"/>
        <v/>
      </c>
      <c r="AB1606" s="489"/>
      <c r="AC1606" s="489"/>
      <c r="AD1606" s="27">
        <v>610710</v>
      </c>
      <c r="AE1606" s="27" t="s">
        <v>1070</v>
      </c>
      <c r="AF1606" s="432">
        <f>VLOOKUP(AD1606,[5]Hoja1!$A$10:$K$1393,11,0)</f>
        <v>70116151</v>
      </c>
      <c r="AG1606" s="432"/>
      <c r="AH1606" s="432">
        <f t="shared" si="365"/>
        <v>70116</v>
      </c>
      <c r="AL1606" s="448"/>
      <c r="AM1606" s="467">
        <f>VLOOKUP(AD1606,[6]BV201101!$A$10:$A$1236,1,0)</f>
        <v>610710</v>
      </c>
    </row>
    <row r="1607" spans="1:39" s="467" customFormat="1" ht="12.75" customHeight="1">
      <c r="A1607" s="487" t="str">
        <f t="shared" si="376"/>
        <v>6</v>
      </c>
      <c r="B1607" s="487" t="str">
        <f t="shared" si="373"/>
        <v>10</v>
      </c>
      <c r="C1607" s="487" t="str">
        <f t="shared" si="374"/>
        <v>71</v>
      </c>
      <c r="D1607" s="487" t="str">
        <f t="shared" si="375"/>
        <v>0711</v>
      </c>
      <c r="E1607" s="487">
        <v>531201200</v>
      </c>
      <c r="F1607" s="488" t="str">
        <f t="shared" si="366"/>
        <v/>
      </c>
      <c r="G1607" s="487"/>
      <c r="H1607" s="487"/>
      <c r="I1607" s="488" t="str">
        <f t="shared" si="367"/>
        <v/>
      </c>
      <c r="J1607" s="487"/>
      <c r="K1607" s="487"/>
      <c r="L1607" s="488" t="str">
        <f t="shared" si="368"/>
        <v/>
      </c>
      <c r="M1607" s="487"/>
      <c r="N1607" s="487"/>
      <c r="O1607" s="488" t="str">
        <f t="shared" si="369"/>
        <v/>
      </c>
      <c r="P1607" s="489"/>
      <c r="Q1607" s="489"/>
      <c r="R1607" s="592" t="str">
        <f t="shared" si="370"/>
        <v/>
      </c>
      <c r="S1607" s="487"/>
      <c r="T1607" s="487"/>
      <c r="U1607" s="488" t="str">
        <f t="shared" si="371"/>
        <v/>
      </c>
      <c r="V1607" s="487"/>
      <c r="W1607" s="489"/>
      <c r="X1607" s="488" t="str">
        <f t="shared" si="372"/>
        <v/>
      </c>
      <c r="Y1607" s="489"/>
      <c r="Z1607" s="489"/>
      <c r="AA1607" s="490" t="str">
        <f t="shared" si="364"/>
        <v/>
      </c>
      <c r="AB1607" s="489"/>
      <c r="AC1607" s="489"/>
      <c r="AD1607" s="27">
        <v>610711</v>
      </c>
      <c r="AE1607" s="27" t="s">
        <v>1702</v>
      </c>
      <c r="AF1607" s="432">
        <f>VLOOKUP(AD1607,[5]Hoja1!$A$10:$K$1393,11,0)</f>
        <v>9107185</v>
      </c>
      <c r="AG1607" s="432"/>
      <c r="AH1607" s="432">
        <f t="shared" si="365"/>
        <v>9107</v>
      </c>
      <c r="AL1607" s="448"/>
      <c r="AM1607" s="467">
        <f>VLOOKUP(AD1607,[6]BV201101!$A$10:$A$1236,1,0)</f>
        <v>610711</v>
      </c>
    </row>
    <row r="1608" spans="1:39" s="467" customFormat="1" ht="12.75" customHeight="1">
      <c r="A1608" s="487" t="str">
        <f t="shared" si="376"/>
        <v>6</v>
      </c>
      <c r="B1608" s="487" t="str">
        <f t="shared" si="373"/>
        <v>10</v>
      </c>
      <c r="C1608" s="487" t="str">
        <f t="shared" si="374"/>
        <v>71</v>
      </c>
      <c r="D1608" s="487" t="str">
        <f t="shared" si="375"/>
        <v>0712</v>
      </c>
      <c r="E1608" s="487">
        <v>531201200</v>
      </c>
      <c r="F1608" s="488" t="str">
        <f t="shared" si="366"/>
        <v/>
      </c>
      <c r="G1608" s="487"/>
      <c r="H1608" s="487"/>
      <c r="I1608" s="488" t="str">
        <f t="shared" si="367"/>
        <v/>
      </c>
      <c r="J1608" s="487"/>
      <c r="K1608" s="487"/>
      <c r="L1608" s="488" t="str">
        <f t="shared" si="368"/>
        <v/>
      </c>
      <c r="M1608" s="487"/>
      <c r="N1608" s="487"/>
      <c r="O1608" s="488" t="str">
        <f t="shared" si="369"/>
        <v/>
      </c>
      <c r="P1608" s="489"/>
      <c r="Q1608" s="489"/>
      <c r="R1608" s="592" t="str">
        <f t="shared" si="370"/>
        <v/>
      </c>
      <c r="S1608" s="487"/>
      <c r="T1608" s="487"/>
      <c r="U1608" s="488" t="str">
        <f t="shared" si="371"/>
        <v/>
      </c>
      <c r="V1608" s="487"/>
      <c r="W1608" s="489"/>
      <c r="X1608" s="488" t="str">
        <f t="shared" si="372"/>
        <v/>
      </c>
      <c r="Y1608" s="489"/>
      <c r="Z1608" s="489"/>
      <c r="AA1608" s="490" t="str">
        <f t="shared" si="364"/>
        <v/>
      </c>
      <c r="AB1608" s="489"/>
      <c r="AC1608" s="489"/>
      <c r="AD1608" s="27">
        <v>610712</v>
      </c>
      <c r="AE1608" s="27" t="s">
        <v>1071</v>
      </c>
      <c r="AF1608" s="432">
        <f>VLOOKUP(AD1608,[5]Hoja1!$A$10:$K$1393,11,0)</f>
        <v>0</v>
      </c>
      <c r="AG1608" s="432"/>
      <c r="AH1608" s="432">
        <f t="shared" si="365"/>
        <v>0</v>
      </c>
      <c r="AL1608" s="448"/>
      <c r="AM1608" s="467">
        <f>VLOOKUP(AD1608,[6]BV201101!$A$10:$A$1236,1,0)</f>
        <v>610712</v>
      </c>
    </row>
    <row r="1609" spans="1:39" s="467" customFormat="1" ht="12.75" customHeight="1">
      <c r="A1609" s="487" t="str">
        <f t="shared" si="376"/>
        <v>6</v>
      </c>
      <c r="B1609" s="487" t="str">
        <f t="shared" si="373"/>
        <v>10</v>
      </c>
      <c r="C1609" s="487" t="str">
        <f t="shared" si="374"/>
        <v>71</v>
      </c>
      <c r="D1609" s="487" t="str">
        <f t="shared" si="375"/>
        <v>0713</v>
      </c>
      <c r="E1609" s="487">
        <v>531201200</v>
      </c>
      <c r="F1609" s="488" t="str">
        <f t="shared" si="366"/>
        <v/>
      </c>
      <c r="G1609" s="487"/>
      <c r="H1609" s="487"/>
      <c r="I1609" s="488" t="str">
        <f t="shared" si="367"/>
        <v/>
      </c>
      <c r="J1609" s="487"/>
      <c r="K1609" s="487"/>
      <c r="L1609" s="488" t="str">
        <f t="shared" si="368"/>
        <v/>
      </c>
      <c r="M1609" s="487"/>
      <c r="N1609" s="487"/>
      <c r="O1609" s="488" t="str">
        <f t="shared" si="369"/>
        <v/>
      </c>
      <c r="P1609" s="489"/>
      <c r="Q1609" s="489"/>
      <c r="R1609" s="592" t="str">
        <f t="shared" si="370"/>
        <v/>
      </c>
      <c r="S1609" s="487"/>
      <c r="T1609" s="487"/>
      <c r="U1609" s="488" t="str">
        <f t="shared" si="371"/>
        <v/>
      </c>
      <c r="V1609" s="487"/>
      <c r="W1609" s="489"/>
      <c r="X1609" s="488" t="str">
        <f t="shared" si="372"/>
        <v/>
      </c>
      <c r="Y1609" s="489"/>
      <c r="Z1609" s="489"/>
      <c r="AA1609" s="490" t="str">
        <f t="shared" si="364"/>
        <v/>
      </c>
      <c r="AB1609" s="489"/>
      <c r="AC1609" s="489"/>
      <c r="AD1609" s="27">
        <v>610713</v>
      </c>
      <c r="AE1609" s="27" t="s">
        <v>1646</v>
      </c>
      <c r="AF1609" s="432">
        <f>VLOOKUP(AD1609,[5]Hoja1!$A$10:$K$1393,11,0)</f>
        <v>73227341</v>
      </c>
      <c r="AG1609" s="432"/>
      <c r="AH1609" s="432">
        <f t="shared" si="365"/>
        <v>73227</v>
      </c>
      <c r="AL1609" s="448"/>
      <c r="AM1609" s="467">
        <f>VLOOKUP(AD1609,[6]BV201101!$A$10:$A$1236,1,0)</f>
        <v>610713</v>
      </c>
    </row>
    <row r="1610" spans="1:39" s="467" customFormat="1" ht="12.75" customHeight="1">
      <c r="A1610" s="487" t="str">
        <f t="shared" si="376"/>
        <v>6</v>
      </c>
      <c r="B1610" s="487" t="str">
        <f t="shared" si="373"/>
        <v>10</v>
      </c>
      <c r="C1610" s="487" t="str">
        <f t="shared" si="374"/>
        <v>71</v>
      </c>
      <c r="D1610" s="487" t="str">
        <f t="shared" si="375"/>
        <v>0714</v>
      </c>
      <c r="E1610" s="487">
        <v>531201200</v>
      </c>
      <c r="F1610" s="488" t="str">
        <f t="shared" si="366"/>
        <v/>
      </c>
      <c r="G1610" s="487"/>
      <c r="H1610" s="487"/>
      <c r="I1610" s="488" t="str">
        <f t="shared" si="367"/>
        <v/>
      </c>
      <c r="J1610" s="487"/>
      <c r="K1610" s="487"/>
      <c r="L1610" s="488" t="str">
        <f t="shared" si="368"/>
        <v/>
      </c>
      <c r="M1610" s="487"/>
      <c r="N1610" s="487"/>
      <c r="O1610" s="488" t="str">
        <f t="shared" si="369"/>
        <v/>
      </c>
      <c r="P1610" s="489"/>
      <c r="Q1610" s="489"/>
      <c r="R1610" s="592" t="str">
        <f t="shared" si="370"/>
        <v/>
      </c>
      <c r="S1610" s="487"/>
      <c r="T1610" s="487"/>
      <c r="U1610" s="488" t="str">
        <f t="shared" si="371"/>
        <v/>
      </c>
      <c r="V1610" s="487"/>
      <c r="W1610" s="489"/>
      <c r="X1610" s="488" t="str">
        <f t="shared" si="372"/>
        <v/>
      </c>
      <c r="Y1610" s="489"/>
      <c r="Z1610" s="489"/>
      <c r="AA1610" s="490" t="str">
        <f t="shared" si="364"/>
        <v/>
      </c>
      <c r="AB1610" s="489"/>
      <c r="AC1610" s="489"/>
      <c r="AD1610" s="27">
        <v>610714</v>
      </c>
      <c r="AE1610" s="27" t="s">
        <v>620</v>
      </c>
      <c r="AF1610" s="432">
        <f>VLOOKUP(AD1610,[5]Hoja1!$A$10:$K$1393,11,0)</f>
        <v>19499510</v>
      </c>
      <c r="AG1610" s="432"/>
      <c r="AH1610" s="432">
        <f t="shared" si="365"/>
        <v>19500</v>
      </c>
      <c r="AL1610" s="448"/>
      <c r="AM1610" s="467">
        <f>VLOOKUP(AD1610,[6]BV201101!$A$10:$A$1236,1,0)</f>
        <v>610714</v>
      </c>
    </row>
    <row r="1611" spans="1:39" s="467" customFormat="1" ht="12.75" customHeight="1">
      <c r="A1611" s="487" t="str">
        <f t="shared" si="376"/>
        <v>6</v>
      </c>
      <c r="B1611" s="487" t="str">
        <f t="shared" si="373"/>
        <v>10</v>
      </c>
      <c r="C1611" s="487" t="str">
        <f t="shared" si="374"/>
        <v>71</v>
      </c>
      <c r="D1611" s="487" t="str">
        <f t="shared" si="375"/>
        <v>0715</v>
      </c>
      <c r="E1611" s="487">
        <v>531201200</v>
      </c>
      <c r="F1611" s="488" t="str">
        <f t="shared" si="366"/>
        <v/>
      </c>
      <c r="G1611" s="487"/>
      <c r="H1611" s="487"/>
      <c r="I1611" s="488" t="str">
        <f t="shared" si="367"/>
        <v/>
      </c>
      <c r="J1611" s="487"/>
      <c r="K1611" s="487"/>
      <c r="L1611" s="488" t="str">
        <f t="shared" si="368"/>
        <v/>
      </c>
      <c r="M1611" s="487"/>
      <c r="N1611" s="487"/>
      <c r="O1611" s="488" t="str">
        <f t="shared" si="369"/>
        <v/>
      </c>
      <c r="P1611" s="489"/>
      <c r="Q1611" s="489"/>
      <c r="R1611" s="592" t="str">
        <f t="shared" si="370"/>
        <v/>
      </c>
      <c r="S1611" s="487"/>
      <c r="T1611" s="487"/>
      <c r="U1611" s="488" t="str">
        <f t="shared" si="371"/>
        <v/>
      </c>
      <c r="V1611" s="487"/>
      <c r="W1611" s="489"/>
      <c r="X1611" s="488" t="str">
        <f t="shared" si="372"/>
        <v/>
      </c>
      <c r="Y1611" s="489"/>
      <c r="Z1611" s="489"/>
      <c r="AA1611" s="490" t="str">
        <f t="shared" si="364"/>
        <v/>
      </c>
      <c r="AB1611" s="489"/>
      <c r="AC1611" s="489"/>
      <c r="AD1611" s="27">
        <v>610715</v>
      </c>
      <c r="AE1611" s="27" t="s">
        <v>2488</v>
      </c>
      <c r="AF1611" s="432">
        <f>VLOOKUP(AD1611,[5]Hoja1!$A$10:$K$1393,11,0)</f>
        <v>18849</v>
      </c>
      <c r="AG1611" s="432"/>
      <c r="AH1611" s="432">
        <f t="shared" si="365"/>
        <v>19</v>
      </c>
      <c r="AL1611" s="448"/>
      <c r="AM1611" s="467">
        <f>VLOOKUP(AD1611,[6]BV201101!$A$10:$A$1236,1,0)</f>
        <v>610715</v>
      </c>
    </row>
    <row r="1612" spans="1:39" s="467" customFormat="1" ht="12.75" customHeight="1">
      <c r="A1612" s="487" t="str">
        <f t="shared" si="376"/>
        <v>6</v>
      </c>
      <c r="B1612" s="487" t="str">
        <f t="shared" si="373"/>
        <v>10</v>
      </c>
      <c r="C1612" s="487" t="str">
        <f t="shared" si="374"/>
        <v>71</v>
      </c>
      <c r="D1612" s="487" t="str">
        <f t="shared" si="375"/>
        <v>0716</v>
      </c>
      <c r="E1612" s="487">
        <v>531201200</v>
      </c>
      <c r="F1612" s="488" t="str">
        <f t="shared" si="366"/>
        <v/>
      </c>
      <c r="G1612" s="487"/>
      <c r="H1612" s="487"/>
      <c r="I1612" s="488" t="str">
        <f t="shared" si="367"/>
        <v/>
      </c>
      <c r="J1612" s="487"/>
      <c r="K1612" s="487"/>
      <c r="L1612" s="488" t="str">
        <f t="shared" si="368"/>
        <v/>
      </c>
      <c r="M1612" s="487"/>
      <c r="N1612" s="487"/>
      <c r="O1612" s="488" t="str">
        <f t="shared" si="369"/>
        <v/>
      </c>
      <c r="P1612" s="489"/>
      <c r="Q1612" s="489"/>
      <c r="R1612" s="592" t="str">
        <f t="shared" si="370"/>
        <v/>
      </c>
      <c r="S1612" s="487"/>
      <c r="T1612" s="487"/>
      <c r="U1612" s="488" t="str">
        <f t="shared" si="371"/>
        <v/>
      </c>
      <c r="V1612" s="487"/>
      <c r="W1612" s="489"/>
      <c r="X1612" s="488" t="str">
        <f t="shared" si="372"/>
        <v/>
      </c>
      <c r="Y1612" s="489"/>
      <c r="Z1612" s="489"/>
      <c r="AA1612" s="490" t="str">
        <f t="shared" si="364"/>
        <v/>
      </c>
      <c r="AB1612" s="489"/>
      <c r="AC1612" s="489"/>
      <c r="AD1612" s="27">
        <v>610716</v>
      </c>
      <c r="AE1612" s="27" t="s">
        <v>621</v>
      </c>
      <c r="AF1612" s="432">
        <f>VLOOKUP(AD1612,[5]Hoja1!$A$10:$K$1393,11,0)</f>
        <v>21292840</v>
      </c>
      <c r="AG1612" s="432"/>
      <c r="AH1612" s="432">
        <f t="shared" si="365"/>
        <v>21293</v>
      </c>
      <c r="AL1612" s="448"/>
      <c r="AM1612" s="467">
        <f>VLOOKUP(AD1612,[6]BV201101!$A$10:$A$1236,1,0)</f>
        <v>610716</v>
      </c>
    </row>
    <row r="1613" spans="1:39" s="467" customFormat="1" ht="12.75" customHeight="1">
      <c r="A1613" s="487" t="str">
        <f t="shared" si="376"/>
        <v>6</v>
      </c>
      <c r="B1613" s="487" t="str">
        <f t="shared" si="373"/>
        <v>10</v>
      </c>
      <c r="C1613" s="487" t="str">
        <f t="shared" si="374"/>
        <v>71</v>
      </c>
      <c r="D1613" s="487" t="str">
        <f t="shared" si="375"/>
        <v>0717</v>
      </c>
      <c r="E1613" s="487">
        <v>531201200</v>
      </c>
      <c r="F1613" s="488" t="str">
        <f t="shared" si="366"/>
        <v/>
      </c>
      <c r="G1613" s="487"/>
      <c r="H1613" s="487"/>
      <c r="I1613" s="488" t="str">
        <f t="shared" si="367"/>
        <v/>
      </c>
      <c r="J1613" s="487"/>
      <c r="K1613" s="487"/>
      <c r="L1613" s="488" t="str">
        <f t="shared" si="368"/>
        <v/>
      </c>
      <c r="M1613" s="487"/>
      <c r="N1613" s="487"/>
      <c r="O1613" s="488" t="str">
        <f t="shared" si="369"/>
        <v/>
      </c>
      <c r="P1613" s="489"/>
      <c r="Q1613" s="489"/>
      <c r="R1613" s="592" t="str">
        <f t="shared" si="370"/>
        <v/>
      </c>
      <c r="S1613" s="487"/>
      <c r="T1613" s="487"/>
      <c r="U1613" s="488" t="str">
        <f t="shared" si="371"/>
        <v/>
      </c>
      <c r="V1613" s="487"/>
      <c r="W1613" s="489"/>
      <c r="X1613" s="488" t="str">
        <f t="shared" si="372"/>
        <v/>
      </c>
      <c r="Y1613" s="489"/>
      <c r="Z1613" s="489"/>
      <c r="AA1613" s="490" t="str">
        <f t="shared" si="364"/>
        <v/>
      </c>
      <c r="AB1613" s="489"/>
      <c r="AC1613" s="489"/>
      <c r="AD1613" s="27">
        <v>610717</v>
      </c>
      <c r="AE1613" s="27" t="s">
        <v>622</v>
      </c>
      <c r="AF1613" s="432">
        <f>VLOOKUP(AD1613,[5]Hoja1!$A$10:$K$1393,11,0)</f>
        <v>1325000</v>
      </c>
      <c r="AG1613" s="432"/>
      <c r="AH1613" s="432">
        <f t="shared" si="365"/>
        <v>1325</v>
      </c>
      <c r="AL1613" s="448"/>
      <c r="AM1613" s="467">
        <f>VLOOKUP(AD1613,[6]BV201101!$A$10:$A$1236,1,0)</f>
        <v>610717</v>
      </c>
    </row>
    <row r="1614" spans="1:39" s="467" customFormat="1" ht="12.75" customHeight="1">
      <c r="A1614" s="487" t="str">
        <f t="shared" si="376"/>
        <v>6</v>
      </c>
      <c r="B1614" s="487" t="str">
        <f t="shared" si="373"/>
        <v>10</v>
      </c>
      <c r="C1614" s="487" t="str">
        <f t="shared" si="374"/>
        <v>71</v>
      </c>
      <c r="D1614" s="487" t="str">
        <f t="shared" si="375"/>
        <v>0718</v>
      </c>
      <c r="E1614" s="487">
        <v>531201200</v>
      </c>
      <c r="F1614" s="488"/>
      <c r="G1614" s="487"/>
      <c r="H1614" s="487"/>
      <c r="I1614" s="488"/>
      <c r="J1614" s="487"/>
      <c r="K1614" s="487"/>
      <c r="L1614" s="488"/>
      <c r="M1614" s="487"/>
      <c r="N1614" s="487"/>
      <c r="O1614" s="488"/>
      <c r="P1614" s="489"/>
      <c r="Q1614" s="489"/>
      <c r="R1614" s="592"/>
      <c r="S1614" s="487"/>
      <c r="T1614" s="487"/>
      <c r="U1614" s="488"/>
      <c r="V1614" s="487"/>
      <c r="W1614" s="489"/>
      <c r="X1614" s="488"/>
      <c r="Y1614" s="489"/>
      <c r="Z1614" s="489"/>
      <c r="AA1614" s="490"/>
      <c r="AB1614" s="489"/>
      <c r="AC1614" s="489"/>
      <c r="AD1614" s="27">
        <v>610718</v>
      </c>
      <c r="AE1614" s="27" t="s">
        <v>533</v>
      </c>
      <c r="AF1614" s="432">
        <f>VLOOKUP(AD1614,[5]Hoja1!$A$10:$K$1393,11,0)</f>
        <v>0</v>
      </c>
      <c r="AG1614" s="432"/>
      <c r="AH1614" s="432">
        <f t="shared" si="365"/>
        <v>0</v>
      </c>
      <c r="AL1614" s="448"/>
      <c r="AM1614" s="467">
        <f>VLOOKUP(AD1614,[6]BV201101!$A$10:$A$1236,1,0)</f>
        <v>610718</v>
      </c>
    </row>
    <row r="1615" spans="1:39" s="467" customFormat="1" ht="12.75" customHeight="1">
      <c r="A1615" s="487" t="str">
        <f t="shared" si="376"/>
        <v>6</v>
      </c>
      <c r="B1615" s="487" t="str">
        <f t="shared" si="373"/>
        <v>10</v>
      </c>
      <c r="C1615" s="487" t="str">
        <f t="shared" si="374"/>
        <v>71</v>
      </c>
      <c r="D1615" s="487" t="str">
        <f t="shared" si="375"/>
        <v>0719</v>
      </c>
      <c r="E1615" s="487">
        <v>531201200</v>
      </c>
      <c r="F1615" s="488"/>
      <c r="G1615" s="487"/>
      <c r="H1615" s="487"/>
      <c r="I1615" s="488"/>
      <c r="J1615" s="487"/>
      <c r="K1615" s="487"/>
      <c r="L1615" s="488"/>
      <c r="M1615" s="487"/>
      <c r="N1615" s="487"/>
      <c r="O1615" s="488"/>
      <c r="P1615" s="489"/>
      <c r="Q1615" s="489"/>
      <c r="R1615" s="592"/>
      <c r="S1615" s="487"/>
      <c r="T1615" s="487"/>
      <c r="U1615" s="488"/>
      <c r="V1615" s="487"/>
      <c r="W1615" s="489"/>
      <c r="X1615" s="488"/>
      <c r="Y1615" s="489"/>
      <c r="Z1615" s="489"/>
      <c r="AA1615" s="490"/>
      <c r="AB1615" s="489"/>
      <c r="AC1615" s="489"/>
      <c r="AD1615" s="27">
        <v>610719</v>
      </c>
      <c r="AE1615" s="27" t="s">
        <v>534</v>
      </c>
      <c r="AF1615" s="432">
        <f>VLOOKUP(AD1615,[5]Hoja1!$A$10:$K$1393,11,0)</f>
        <v>-538664</v>
      </c>
      <c r="AG1615" s="432"/>
      <c r="AH1615" s="432">
        <f t="shared" si="365"/>
        <v>-539</v>
      </c>
      <c r="AL1615" s="448"/>
      <c r="AM1615" s="467">
        <f>VLOOKUP(AD1615,[6]BV201101!$A$10:$A$1236,1,0)</f>
        <v>610719</v>
      </c>
    </row>
    <row r="1616" spans="1:39" s="467" customFormat="1" ht="12.75" customHeight="1">
      <c r="A1616" s="487" t="str">
        <f t="shared" si="376"/>
        <v>6</v>
      </c>
      <c r="B1616" s="487" t="str">
        <f t="shared" si="373"/>
        <v>10</v>
      </c>
      <c r="C1616" s="487" t="str">
        <f t="shared" si="374"/>
        <v>72</v>
      </c>
      <c r="D1616" s="487" t="str">
        <f t="shared" si="375"/>
        <v>0720</v>
      </c>
      <c r="E1616" s="487">
        <v>531201200</v>
      </c>
      <c r="F1616" s="488"/>
      <c r="G1616" s="487"/>
      <c r="H1616" s="487"/>
      <c r="I1616" s="488"/>
      <c r="J1616" s="487"/>
      <c r="K1616" s="487"/>
      <c r="L1616" s="488"/>
      <c r="M1616" s="487"/>
      <c r="N1616" s="487"/>
      <c r="O1616" s="488"/>
      <c r="P1616" s="489"/>
      <c r="Q1616" s="489"/>
      <c r="R1616" s="592"/>
      <c r="S1616" s="487"/>
      <c r="T1616" s="487"/>
      <c r="U1616" s="488"/>
      <c r="V1616" s="487"/>
      <c r="W1616" s="489"/>
      <c r="X1616" s="488"/>
      <c r="Y1616" s="489"/>
      <c r="Z1616" s="489"/>
      <c r="AA1616" s="490"/>
      <c r="AB1616" s="489"/>
      <c r="AC1616" s="489"/>
      <c r="AD1616" s="27">
        <v>610720</v>
      </c>
      <c r="AE1616" s="27" t="s">
        <v>2489</v>
      </c>
      <c r="AF1616" s="432">
        <f>VLOOKUP(AD1616,[5]Hoja1!$A$10:$K$1393,11,0)</f>
        <v>0</v>
      </c>
      <c r="AG1616" s="432"/>
      <c r="AH1616" s="432">
        <f t="shared" si="365"/>
        <v>0</v>
      </c>
      <c r="AL1616" s="448"/>
      <c r="AM1616" s="467">
        <f>VLOOKUP(AD1616,[6]BV201101!$A$10:$A$1236,1,0)</f>
        <v>610720</v>
      </c>
    </row>
    <row r="1617" spans="1:39" s="467" customFormat="1" ht="12.75" customHeight="1">
      <c r="A1617" s="487" t="str">
        <f t="shared" si="376"/>
        <v>6</v>
      </c>
      <c r="B1617" s="487" t="str">
        <f t="shared" si="373"/>
        <v>10</v>
      </c>
      <c r="C1617" s="487" t="str">
        <f t="shared" si="374"/>
        <v>72</v>
      </c>
      <c r="D1617" s="487" t="str">
        <f t="shared" si="375"/>
        <v>0721</v>
      </c>
      <c r="E1617" s="487">
        <v>531201200</v>
      </c>
      <c r="F1617" s="488"/>
      <c r="G1617" s="487"/>
      <c r="H1617" s="487"/>
      <c r="I1617" s="488"/>
      <c r="J1617" s="487"/>
      <c r="K1617" s="487"/>
      <c r="L1617" s="488"/>
      <c r="M1617" s="487"/>
      <c r="N1617" s="487"/>
      <c r="O1617" s="488"/>
      <c r="P1617" s="489"/>
      <c r="Q1617" s="489"/>
      <c r="R1617" s="592"/>
      <c r="S1617" s="487"/>
      <c r="T1617" s="487"/>
      <c r="U1617" s="488"/>
      <c r="V1617" s="487"/>
      <c r="W1617" s="489"/>
      <c r="X1617" s="488"/>
      <c r="Y1617" s="489"/>
      <c r="Z1617" s="489"/>
      <c r="AA1617" s="490"/>
      <c r="AB1617" s="489"/>
      <c r="AC1617" s="489"/>
      <c r="AD1617" s="27">
        <v>610721</v>
      </c>
      <c r="AE1617" s="27" t="s">
        <v>2490</v>
      </c>
      <c r="AF1617" s="432">
        <f>VLOOKUP(AD1617,[5]Hoja1!$A$10:$K$1393,11,0)</f>
        <v>2738</v>
      </c>
      <c r="AG1617" s="432"/>
      <c r="AH1617" s="432">
        <f t="shared" si="365"/>
        <v>3</v>
      </c>
      <c r="AL1617" s="448"/>
      <c r="AM1617" s="467">
        <f>VLOOKUP(AD1617,[6]BV201101!$A$10:$A$1236,1,0)</f>
        <v>610721</v>
      </c>
    </row>
    <row r="1618" spans="1:39" s="467" customFormat="1" ht="12.75" customHeight="1">
      <c r="A1618" s="487" t="str">
        <f t="shared" si="376"/>
        <v>6</v>
      </c>
      <c r="B1618" s="487" t="str">
        <f t="shared" si="373"/>
        <v>10</v>
      </c>
      <c r="C1618" s="487" t="str">
        <f t="shared" si="374"/>
        <v>72</v>
      </c>
      <c r="D1618" s="487" t="str">
        <f t="shared" si="375"/>
        <v>0722</v>
      </c>
      <c r="E1618" s="487">
        <v>531201200</v>
      </c>
      <c r="F1618" s="488"/>
      <c r="G1618" s="487"/>
      <c r="H1618" s="487"/>
      <c r="I1618" s="488"/>
      <c r="J1618" s="487"/>
      <c r="K1618" s="487"/>
      <c r="L1618" s="488"/>
      <c r="M1618" s="487"/>
      <c r="N1618" s="487"/>
      <c r="O1618" s="488"/>
      <c r="P1618" s="489"/>
      <c r="Q1618" s="489"/>
      <c r="R1618" s="592"/>
      <c r="S1618" s="487"/>
      <c r="T1618" s="487"/>
      <c r="U1618" s="488"/>
      <c r="V1618" s="487"/>
      <c r="W1618" s="489"/>
      <c r="X1618" s="488"/>
      <c r="Y1618" s="489"/>
      <c r="Z1618" s="489"/>
      <c r="AA1618" s="490"/>
      <c r="AB1618" s="489"/>
      <c r="AC1618" s="489"/>
      <c r="AD1618" s="27">
        <v>610722</v>
      </c>
      <c r="AE1618" s="27" t="s">
        <v>535</v>
      </c>
      <c r="AF1618" s="432">
        <v>0</v>
      </c>
      <c r="AG1618" s="432"/>
      <c r="AH1618" s="432">
        <f t="shared" si="365"/>
        <v>0</v>
      </c>
      <c r="AL1618" s="448"/>
      <c r="AM1618" s="467" t="e">
        <f>VLOOKUP(AD1618,[6]BV201101!$A$10:$A$1236,1,0)</f>
        <v>#N/A</v>
      </c>
    </row>
    <row r="1619" spans="1:39" s="467" customFormat="1" ht="12.75" customHeight="1">
      <c r="A1619" s="487" t="str">
        <f t="shared" si="376"/>
        <v>6</v>
      </c>
      <c r="B1619" s="487" t="str">
        <f t="shared" si="373"/>
        <v>10</v>
      </c>
      <c r="C1619" s="487" t="str">
        <f t="shared" si="374"/>
        <v>72</v>
      </c>
      <c r="D1619" s="487" t="str">
        <f t="shared" si="375"/>
        <v>0723</v>
      </c>
      <c r="E1619" s="487">
        <v>531201200</v>
      </c>
      <c r="F1619" s="488"/>
      <c r="G1619" s="487"/>
      <c r="H1619" s="487"/>
      <c r="I1619" s="488"/>
      <c r="J1619" s="487"/>
      <c r="K1619" s="487"/>
      <c r="L1619" s="488"/>
      <c r="M1619" s="487"/>
      <c r="N1619" s="487"/>
      <c r="O1619" s="488"/>
      <c r="P1619" s="489"/>
      <c r="Q1619" s="489"/>
      <c r="R1619" s="592"/>
      <c r="S1619" s="487"/>
      <c r="T1619" s="487"/>
      <c r="U1619" s="488"/>
      <c r="V1619" s="487"/>
      <c r="W1619" s="489"/>
      <c r="X1619" s="488"/>
      <c r="Y1619" s="489"/>
      <c r="Z1619" s="489"/>
      <c r="AA1619" s="490"/>
      <c r="AB1619" s="489"/>
      <c r="AC1619" s="489"/>
      <c r="AD1619" s="27">
        <v>610723</v>
      </c>
      <c r="AE1619" s="27" t="s">
        <v>514</v>
      </c>
      <c r="AF1619" s="432">
        <f>VLOOKUP(AD1619,[5]Hoja1!$A$10:$K$1393,11,0)</f>
        <v>0</v>
      </c>
      <c r="AG1619" s="432"/>
      <c r="AH1619" s="432">
        <f t="shared" si="365"/>
        <v>0</v>
      </c>
      <c r="AL1619" s="448"/>
      <c r="AM1619" s="467">
        <f>VLOOKUP(AD1619,[6]BV201101!$A$10:$A$1236,1,0)</f>
        <v>610723</v>
      </c>
    </row>
    <row r="1620" spans="1:39" s="467" customFormat="1" ht="12.75" customHeight="1">
      <c r="A1620" s="487" t="str">
        <f t="shared" si="376"/>
        <v>6</v>
      </c>
      <c r="B1620" s="487" t="str">
        <f t="shared" si="373"/>
        <v>10</v>
      </c>
      <c r="C1620" s="487" t="str">
        <f t="shared" si="374"/>
        <v>72</v>
      </c>
      <c r="D1620" s="487" t="str">
        <f t="shared" si="375"/>
        <v>0724</v>
      </c>
      <c r="E1620" s="487">
        <v>531201200</v>
      </c>
      <c r="F1620" s="488"/>
      <c r="G1620" s="487"/>
      <c r="H1620" s="487"/>
      <c r="I1620" s="488"/>
      <c r="J1620" s="487"/>
      <c r="K1620" s="487"/>
      <c r="L1620" s="488"/>
      <c r="M1620" s="487"/>
      <c r="N1620" s="487"/>
      <c r="O1620" s="488"/>
      <c r="P1620" s="489"/>
      <c r="Q1620" s="489"/>
      <c r="R1620" s="592"/>
      <c r="S1620" s="487"/>
      <c r="T1620" s="487"/>
      <c r="U1620" s="488"/>
      <c r="V1620" s="487"/>
      <c r="W1620" s="489"/>
      <c r="X1620" s="488"/>
      <c r="Y1620" s="489"/>
      <c r="Z1620" s="489"/>
      <c r="AA1620" s="490"/>
      <c r="AB1620" s="489"/>
      <c r="AC1620" s="489"/>
      <c r="AD1620" s="27">
        <v>610724</v>
      </c>
      <c r="AE1620" s="27" t="s">
        <v>833</v>
      </c>
      <c r="AF1620" s="432">
        <f>VLOOKUP(AD1620,[5]Hoja1!$A$10:$K$1393,11,0)</f>
        <v>0</v>
      </c>
      <c r="AG1620" s="432"/>
      <c r="AH1620" s="432">
        <f t="shared" si="365"/>
        <v>0</v>
      </c>
      <c r="AL1620" s="448"/>
      <c r="AM1620" s="467">
        <f>VLOOKUP(AD1620,[6]BV201101!$A$10:$A$1236,1,0)</f>
        <v>610724</v>
      </c>
    </row>
    <row r="1621" spans="1:39" s="467" customFormat="1" ht="12.75" customHeight="1">
      <c r="A1621" s="487" t="str">
        <f t="shared" si="376"/>
        <v>6</v>
      </c>
      <c r="B1621" s="487" t="str">
        <f t="shared" si="373"/>
        <v>10</v>
      </c>
      <c r="C1621" s="487" t="str">
        <f t="shared" si="374"/>
        <v>80</v>
      </c>
      <c r="D1621" s="487" t="str">
        <f t="shared" si="375"/>
        <v>0801</v>
      </c>
      <c r="E1621" s="487">
        <v>531201200</v>
      </c>
      <c r="F1621" s="488" t="str">
        <f t="shared" si="366"/>
        <v/>
      </c>
      <c r="G1621" s="487"/>
      <c r="H1621" s="487"/>
      <c r="I1621" s="488" t="str">
        <f t="shared" si="367"/>
        <v/>
      </c>
      <c r="J1621" s="487"/>
      <c r="K1621" s="487"/>
      <c r="L1621" s="488" t="str">
        <f t="shared" si="368"/>
        <v/>
      </c>
      <c r="M1621" s="487"/>
      <c r="N1621" s="487"/>
      <c r="O1621" s="488" t="str">
        <f t="shared" si="369"/>
        <v/>
      </c>
      <c r="P1621" s="489"/>
      <c r="Q1621" s="489"/>
      <c r="R1621" s="592" t="str">
        <f t="shared" si="370"/>
        <v/>
      </c>
      <c r="S1621" s="487"/>
      <c r="T1621" s="487"/>
      <c r="U1621" s="488" t="str">
        <f t="shared" si="371"/>
        <v/>
      </c>
      <c r="V1621" s="487"/>
      <c r="W1621" s="489"/>
      <c r="X1621" s="488" t="str">
        <f t="shared" si="372"/>
        <v/>
      </c>
      <c r="Y1621" s="489"/>
      <c r="Z1621" s="489"/>
      <c r="AA1621" s="490" t="str">
        <f t="shared" si="364"/>
        <v/>
      </c>
      <c r="AB1621" s="489"/>
      <c r="AC1621" s="489"/>
      <c r="AD1621" s="27">
        <v>610801</v>
      </c>
      <c r="AE1621" s="27" t="s">
        <v>1332</v>
      </c>
      <c r="AF1621" s="432">
        <f>VLOOKUP(AD1621,[5]Hoja1!$A$10:$K$1393,11,0)</f>
        <v>0</v>
      </c>
      <c r="AG1621" s="432"/>
      <c r="AH1621" s="432">
        <f t="shared" si="365"/>
        <v>0</v>
      </c>
      <c r="AL1621" s="448"/>
      <c r="AM1621" s="467">
        <f>VLOOKUP(AD1621,[6]BV201101!$A$10:$A$1236,1,0)</f>
        <v>610801</v>
      </c>
    </row>
    <row r="1622" spans="1:39" s="467" customFormat="1" ht="12.75" customHeight="1">
      <c r="A1622" s="487" t="str">
        <f t="shared" si="376"/>
        <v>6</v>
      </c>
      <c r="B1622" s="487" t="str">
        <f t="shared" si="373"/>
        <v>10</v>
      </c>
      <c r="C1622" s="487" t="str">
        <f t="shared" si="374"/>
        <v>80</v>
      </c>
      <c r="D1622" s="487" t="str">
        <f t="shared" si="375"/>
        <v>0802</v>
      </c>
      <c r="E1622" s="487">
        <v>531201200</v>
      </c>
      <c r="F1622" s="488" t="str">
        <f t="shared" si="366"/>
        <v/>
      </c>
      <c r="G1622" s="487"/>
      <c r="H1622" s="487"/>
      <c r="I1622" s="488" t="str">
        <f t="shared" si="367"/>
        <v/>
      </c>
      <c r="J1622" s="487"/>
      <c r="K1622" s="487"/>
      <c r="L1622" s="488" t="str">
        <f t="shared" si="368"/>
        <v/>
      </c>
      <c r="M1622" s="487"/>
      <c r="N1622" s="487"/>
      <c r="O1622" s="488" t="str">
        <f t="shared" si="369"/>
        <v/>
      </c>
      <c r="P1622" s="489"/>
      <c r="Q1622" s="489"/>
      <c r="R1622" s="592" t="str">
        <f t="shared" si="370"/>
        <v/>
      </c>
      <c r="S1622" s="487"/>
      <c r="T1622" s="487"/>
      <c r="U1622" s="488" t="str">
        <f t="shared" si="371"/>
        <v/>
      </c>
      <c r="V1622" s="487"/>
      <c r="W1622" s="489"/>
      <c r="X1622" s="488" t="str">
        <f t="shared" si="372"/>
        <v/>
      </c>
      <c r="Y1622" s="489"/>
      <c r="Z1622" s="489"/>
      <c r="AA1622" s="490" t="str">
        <f t="shared" si="364"/>
        <v/>
      </c>
      <c r="AB1622" s="489"/>
      <c r="AC1622" s="489"/>
      <c r="AD1622" s="27">
        <v>610802</v>
      </c>
      <c r="AE1622" s="27" t="s">
        <v>2491</v>
      </c>
      <c r="AF1622" s="432">
        <v>0</v>
      </c>
      <c r="AG1622" s="432"/>
      <c r="AH1622" s="432">
        <f t="shared" si="365"/>
        <v>0</v>
      </c>
      <c r="AL1622" s="448"/>
      <c r="AM1622" s="467" t="e">
        <f>VLOOKUP(AD1622,[6]BV201101!$A$10:$A$1236,1,0)</f>
        <v>#N/A</v>
      </c>
    </row>
    <row r="1623" spans="1:39" s="467" customFormat="1" ht="12.75" customHeight="1">
      <c r="A1623" s="487" t="str">
        <f t="shared" si="376"/>
        <v>6</v>
      </c>
      <c r="B1623" s="487" t="str">
        <f t="shared" si="373"/>
        <v>10</v>
      </c>
      <c r="C1623" s="487" t="str">
        <f t="shared" si="374"/>
        <v>80</v>
      </c>
      <c r="D1623" s="487" t="str">
        <f t="shared" si="375"/>
        <v>0803</v>
      </c>
      <c r="E1623" s="487">
        <v>531201200</v>
      </c>
      <c r="F1623" s="488" t="str">
        <f t="shared" si="366"/>
        <v/>
      </c>
      <c r="G1623" s="487"/>
      <c r="H1623" s="487"/>
      <c r="I1623" s="488" t="str">
        <f t="shared" si="367"/>
        <v/>
      </c>
      <c r="J1623" s="487"/>
      <c r="K1623" s="487"/>
      <c r="L1623" s="488" t="str">
        <f t="shared" si="368"/>
        <v/>
      </c>
      <c r="M1623" s="487"/>
      <c r="N1623" s="487"/>
      <c r="O1623" s="488" t="str">
        <f t="shared" si="369"/>
        <v/>
      </c>
      <c r="P1623" s="489"/>
      <c r="Q1623" s="489"/>
      <c r="R1623" s="592" t="str">
        <f t="shared" si="370"/>
        <v/>
      </c>
      <c r="S1623" s="487"/>
      <c r="T1623" s="487"/>
      <c r="U1623" s="488" t="str">
        <f t="shared" si="371"/>
        <v/>
      </c>
      <c r="V1623" s="487"/>
      <c r="W1623" s="489"/>
      <c r="X1623" s="488" t="str">
        <f t="shared" si="372"/>
        <v/>
      </c>
      <c r="Y1623" s="489"/>
      <c r="Z1623" s="489"/>
      <c r="AA1623" s="490" t="str">
        <f t="shared" si="364"/>
        <v/>
      </c>
      <c r="AB1623" s="489"/>
      <c r="AC1623" s="489"/>
      <c r="AD1623" s="27">
        <v>610803</v>
      </c>
      <c r="AE1623" s="27" t="s">
        <v>1647</v>
      </c>
      <c r="AF1623" s="432">
        <f>VLOOKUP(AD1623,[5]Hoja1!$A$10:$K$1393,11,0)</f>
        <v>693786521</v>
      </c>
      <c r="AG1623" s="1028">
        <f>2000-1000</f>
        <v>1000</v>
      </c>
      <c r="AH1623" s="432">
        <f>ROUND((AF1623+AG1623)/$AH$2,0)+1-4</f>
        <v>693785</v>
      </c>
      <c r="AL1623" s="448"/>
      <c r="AM1623" s="467">
        <f>VLOOKUP(AD1623,[6]BV201101!$A$10:$A$1236,1,0)</f>
        <v>610803</v>
      </c>
    </row>
    <row r="1624" spans="1:39" s="467" customFormat="1" ht="12.75" customHeight="1">
      <c r="A1624" s="487" t="str">
        <f t="shared" si="376"/>
        <v>6</v>
      </c>
      <c r="B1624" s="487" t="str">
        <f t="shared" si="373"/>
        <v>10</v>
      </c>
      <c r="C1624" s="487" t="str">
        <f t="shared" si="374"/>
        <v>80</v>
      </c>
      <c r="D1624" s="487" t="str">
        <f t="shared" si="375"/>
        <v>0804</v>
      </c>
      <c r="E1624" s="487">
        <v>531201200</v>
      </c>
      <c r="F1624" s="488" t="str">
        <f t="shared" si="366"/>
        <v/>
      </c>
      <c r="G1624" s="487"/>
      <c r="H1624" s="487"/>
      <c r="I1624" s="488" t="str">
        <f t="shared" si="367"/>
        <v/>
      </c>
      <c r="J1624" s="487"/>
      <c r="K1624" s="487"/>
      <c r="L1624" s="488" t="str">
        <f t="shared" si="368"/>
        <v/>
      </c>
      <c r="M1624" s="487"/>
      <c r="N1624" s="487"/>
      <c r="O1624" s="488" t="str">
        <f t="shared" si="369"/>
        <v/>
      </c>
      <c r="P1624" s="489"/>
      <c r="Q1624" s="489"/>
      <c r="R1624" s="592" t="str">
        <f t="shared" si="370"/>
        <v/>
      </c>
      <c r="S1624" s="487"/>
      <c r="T1624" s="487"/>
      <c r="U1624" s="488" t="str">
        <f t="shared" si="371"/>
        <v/>
      </c>
      <c r="V1624" s="487"/>
      <c r="W1624" s="489"/>
      <c r="X1624" s="488" t="str">
        <f t="shared" si="372"/>
        <v/>
      </c>
      <c r="Y1624" s="489"/>
      <c r="Z1624" s="489"/>
      <c r="AA1624" s="490" t="str">
        <f t="shared" si="364"/>
        <v/>
      </c>
      <c r="AB1624" s="489"/>
      <c r="AC1624" s="489"/>
      <c r="AD1624" s="27">
        <v>610804</v>
      </c>
      <c r="AE1624" s="27" t="s">
        <v>1009</v>
      </c>
      <c r="AF1624" s="432">
        <f>VLOOKUP(AD1624,[5]Hoja1!$A$10:$K$1393,11,0)</f>
        <v>2118196</v>
      </c>
      <c r="AG1624" s="432"/>
      <c r="AH1624" s="432">
        <f t="shared" si="365"/>
        <v>2118</v>
      </c>
      <c r="AL1624" s="448"/>
      <c r="AM1624" s="467">
        <f>VLOOKUP(AD1624,[6]BV201101!$A$10:$A$1236,1,0)</f>
        <v>610804</v>
      </c>
    </row>
    <row r="1625" spans="1:39" s="467" customFormat="1" ht="12.75" customHeight="1">
      <c r="A1625" s="487" t="str">
        <f t="shared" si="376"/>
        <v>6</v>
      </c>
      <c r="B1625" s="487" t="str">
        <f t="shared" si="373"/>
        <v>10</v>
      </c>
      <c r="C1625" s="487" t="str">
        <f t="shared" si="374"/>
        <v>80</v>
      </c>
      <c r="D1625" s="487" t="str">
        <f t="shared" si="375"/>
        <v>0806</v>
      </c>
      <c r="E1625" s="487">
        <v>531201200</v>
      </c>
      <c r="F1625" s="488"/>
      <c r="G1625" s="487"/>
      <c r="H1625" s="487"/>
      <c r="I1625" s="488"/>
      <c r="J1625" s="487"/>
      <c r="K1625" s="487"/>
      <c r="L1625" s="488"/>
      <c r="M1625" s="487"/>
      <c r="N1625" s="487"/>
      <c r="O1625" s="488"/>
      <c r="P1625" s="489"/>
      <c r="Q1625" s="489"/>
      <c r="R1625" s="592"/>
      <c r="S1625" s="487"/>
      <c r="T1625" s="487"/>
      <c r="U1625" s="488"/>
      <c r="V1625" s="487"/>
      <c r="W1625" s="489"/>
      <c r="X1625" s="488"/>
      <c r="Y1625" s="489"/>
      <c r="Z1625" s="489"/>
      <c r="AA1625" s="490"/>
      <c r="AB1625" s="489"/>
      <c r="AC1625" s="489"/>
      <c r="AD1625" s="27">
        <v>610806</v>
      </c>
      <c r="AE1625" s="27" t="s">
        <v>3468</v>
      </c>
      <c r="AF1625" s="432">
        <f>VLOOKUP(AD1625,[5]Hoja1!$A$10:$K$1393,11,0)</f>
        <v>0</v>
      </c>
      <c r="AG1625" s="432"/>
      <c r="AH1625" s="432">
        <f t="shared" si="365"/>
        <v>0</v>
      </c>
      <c r="AL1625" s="448"/>
    </row>
    <row r="1626" spans="1:39" s="467" customFormat="1" ht="12.75" customHeight="1">
      <c r="A1626" s="487" t="str">
        <f t="shared" si="376"/>
        <v>6</v>
      </c>
      <c r="B1626" s="487" t="str">
        <f t="shared" si="373"/>
        <v>10</v>
      </c>
      <c r="C1626" s="487" t="str">
        <f t="shared" si="374"/>
        <v>90</v>
      </c>
      <c r="D1626" s="487" t="str">
        <f t="shared" si="375"/>
        <v>0901</v>
      </c>
      <c r="E1626" s="487">
        <v>531201200</v>
      </c>
      <c r="F1626" s="488" t="str">
        <f t="shared" si="366"/>
        <v/>
      </c>
      <c r="G1626" s="487"/>
      <c r="H1626" s="487"/>
      <c r="I1626" s="488" t="str">
        <f t="shared" si="367"/>
        <v/>
      </c>
      <c r="J1626" s="487"/>
      <c r="K1626" s="487"/>
      <c r="L1626" s="488" t="str">
        <f t="shared" si="368"/>
        <v/>
      </c>
      <c r="M1626" s="487"/>
      <c r="N1626" s="487"/>
      <c r="O1626" s="488" t="str">
        <f t="shared" si="369"/>
        <v/>
      </c>
      <c r="P1626" s="489"/>
      <c r="Q1626" s="489"/>
      <c r="R1626" s="592" t="str">
        <f t="shared" si="370"/>
        <v/>
      </c>
      <c r="S1626" s="487"/>
      <c r="T1626" s="487"/>
      <c r="U1626" s="488" t="str">
        <f t="shared" si="371"/>
        <v/>
      </c>
      <c r="V1626" s="487"/>
      <c r="W1626" s="489"/>
      <c r="X1626" s="488" t="str">
        <f t="shared" si="372"/>
        <v/>
      </c>
      <c r="Y1626" s="489"/>
      <c r="Z1626" s="489"/>
      <c r="AA1626" s="490" t="str">
        <f t="shared" si="364"/>
        <v/>
      </c>
      <c r="AB1626" s="489"/>
      <c r="AC1626" s="489"/>
      <c r="AD1626" s="27">
        <v>610901</v>
      </c>
      <c r="AE1626" s="27" t="s">
        <v>2492</v>
      </c>
      <c r="AF1626" s="432">
        <f>VLOOKUP(AD1626,[5]Hoja1!$A$10:$K$1393,11,0)</f>
        <v>17562801</v>
      </c>
      <c r="AG1626" s="432"/>
      <c r="AH1626" s="432">
        <f t="shared" si="365"/>
        <v>17563</v>
      </c>
      <c r="AL1626" s="448"/>
      <c r="AM1626" s="467">
        <f>VLOOKUP(AD1626,[6]BV201101!$A$10:$A$1236,1,0)</f>
        <v>610901</v>
      </c>
    </row>
    <row r="1627" spans="1:39" s="467" customFormat="1" ht="12.75" customHeight="1">
      <c r="A1627" s="487" t="str">
        <f t="shared" si="376"/>
        <v>6</v>
      </c>
      <c r="B1627" s="487" t="str">
        <f t="shared" si="373"/>
        <v>10</v>
      </c>
      <c r="C1627" s="487" t="str">
        <f t="shared" si="374"/>
        <v>90</v>
      </c>
      <c r="D1627" s="487" t="str">
        <f t="shared" si="375"/>
        <v>0902</v>
      </c>
      <c r="E1627" s="487">
        <v>531201200</v>
      </c>
      <c r="F1627" s="488" t="str">
        <f t="shared" si="366"/>
        <v/>
      </c>
      <c r="G1627" s="487"/>
      <c r="H1627" s="487"/>
      <c r="I1627" s="488" t="str">
        <f t="shared" si="367"/>
        <v/>
      </c>
      <c r="J1627" s="487"/>
      <c r="K1627" s="487"/>
      <c r="L1627" s="488" t="str">
        <f t="shared" si="368"/>
        <v/>
      </c>
      <c r="M1627" s="487"/>
      <c r="N1627" s="487"/>
      <c r="O1627" s="488" t="str">
        <f t="shared" si="369"/>
        <v/>
      </c>
      <c r="P1627" s="489"/>
      <c r="Q1627" s="489"/>
      <c r="R1627" s="592" t="str">
        <f t="shared" si="370"/>
        <v/>
      </c>
      <c r="S1627" s="487"/>
      <c r="T1627" s="487"/>
      <c r="U1627" s="488" t="str">
        <f t="shared" si="371"/>
        <v/>
      </c>
      <c r="V1627" s="487"/>
      <c r="W1627" s="489"/>
      <c r="X1627" s="488" t="str">
        <f t="shared" si="372"/>
        <v/>
      </c>
      <c r="Y1627" s="489"/>
      <c r="Z1627" s="489"/>
      <c r="AA1627" s="490" t="str">
        <f t="shared" si="364"/>
        <v/>
      </c>
      <c r="AB1627" s="489"/>
      <c r="AC1627" s="489"/>
      <c r="AD1627" s="27">
        <v>610902</v>
      </c>
      <c r="AE1627" s="27" t="s">
        <v>1180</v>
      </c>
      <c r="AF1627" s="432">
        <f>VLOOKUP(AD1627,[5]Hoja1!$A$10:$K$1393,11,0)</f>
        <v>384822690</v>
      </c>
      <c r="AG1627" s="432"/>
      <c r="AH1627" s="432">
        <f t="shared" si="365"/>
        <v>384823</v>
      </c>
      <c r="AL1627" s="448"/>
      <c r="AM1627" s="467">
        <f>VLOOKUP(AD1627,[6]BV201101!$A$10:$A$1236,1,0)</f>
        <v>610902</v>
      </c>
    </row>
    <row r="1628" spans="1:39" s="467" customFormat="1" ht="12.75" customHeight="1">
      <c r="A1628" s="487" t="str">
        <f t="shared" si="376"/>
        <v>6</v>
      </c>
      <c r="B1628" s="487" t="str">
        <f t="shared" si="373"/>
        <v>10</v>
      </c>
      <c r="C1628" s="487" t="str">
        <f t="shared" si="374"/>
        <v>90</v>
      </c>
      <c r="D1628" s="487" t="str">
        <f t="shared" si="375"/>
        <v>0903</v>
      </c>
      <c r="E1628" s="487">
        <v>531102000</v>
      </c>
      <c r="F1628" s="488" t="str">
        <f t="shared" si="366"/>
        <v/>
      </c>
      <c r="G1628" s="487"/>
      <c r="H1628" s="487"/>
      <c r="I1628" s="488" t="str">
        <f t="shared" si="367"/>
        <v/>
      </c>
      <c r="J1628" s="487"/>
      <c r="K1628" s="487"/>
      <c r="L1628" s="488" t="str">
        <f t="shared" si="368"/>
        <v/>
      </c>
      <c r="M1628" s="487"/>
      <c r="N1628" s="487"/>
      <c r="O1628" s="488" t="str">
        <f t="shared" si="369"/>
        <v/>
      </c>
      <c r="P1628" s="489"/>
      <c r="Q1628" s="489"/>
      <c r="R1628" s="592" t="str">
        <f t="shared" si="370"/>
        <v/>
      </c>
      <c r="S1628" s="487"/>
      <c r="T1628" s="487"/>
      <c r="U1628" s="488" t="str">
        <f t="shared" si="371"/>
        <v/>
      </c>
      <c r="V1628" s="487"/>
      <c r="W1628" s="489"/>
      <c r="X1628" s="488" t="str">
        <f t="shared" si="372"/>
        <v>631102000212</v>
      </c>
      <c r="Y1628" s="489">
        <v>631102000</v>
      </c>
      <c r="Z1628" s="489">
        <v>212</v>
      </c>
      <c r="AA1628" s="490" t="str">
        <f t="shared" si="364"/>
        <v/>
      </c>
      <c r="AB1628" s="489"/>
      <c r="AC1628" s="489"/>
      <c r="AD1628" s="27">
        <v>610903</v>
      </c>
      <c r="AE1628" s="27" t="s">
        <v>1878</v>
      </c>
      <c r="AF1628" s="432">
        <f>VLOOKUP(AD1628,[5]Hoja1!$A$10:$K$1393,11,0)</f>
        <v>6574144</v>
      </c>
      <c r="AG1628" s="432"/>
      <c r="AH1628" s="432">
        <f t="shared" si="365"/>
        <v>6574</v>
      </c>
      <c r="AL1628" s="448"/>
      <c r="AM1628" s="467">
        <f>VLOOKUP(AD1628,[6]BV201101!$A$10:$A$1236,1,0)</f>
        <v>610903</v>
      </c>
    </row>
    <row r="1629" spans="1:39" s="467" customFormat="1" ht="12.75" customHeight="1">
      <c r="A1629" s="487" t="str">
        <f t="shared" si="376"/>
        <v>6</v>
      </c>
      <c r="B1629" s="487" t="str">
        <f t="shared" si="373"/>
        <v>10</v>
      </c>
      <c r="C1629" s="487" t="str">
        <f t="shared" si="374"/>
        <v>90</v>
      </c>
      <c r="D1629" s="487" t="str">
        <f t="shared" si="375"/>
        <v>0903</v>
      </c>
      <c r="E1629" s="487">
        <v>531102000</v>
      </c>
      <c r="F1629" s="488" t="str">
        <f t="shared" si="366"/>
        <v/>
      </c>
      <c r="G1629" s="487"/>
      <c r="H1629" s="487"/>
      <c r="I1629" s="488" t="str">
        <f t="shared" si="367"/>
        <v/>
      </c>
      <c r="J1629" s="487"/>
      <c r="K1629" s="487"/>
      <c r="L1629" s="488" t="str">
        <f t="shared" si="368"/>
        <v/>
      </c>
      <c r="M1629" s="487"/>
      <c r="N1629" s="487"/>
      <c r="O1629" s="488" t="str">
        <f t="shared" si="369"/>
        <v/>
      </c>
      <c r="P1629" s="489"/>
      <c r="Q1629" s="489"/>
      <c r="R1629" s="592" t="str">
        <f t="shared" si="370"/>
        <v/>
      </c>
      <c r="S1629" s="487"/>
      <c r="T1629" s="487"/>
      <c r="U1629" s="488" t="str">
        <f t="shared" si="371"/>
        <v/>
      </c>
      <c r="V1629" s="487"/>
      <c r="W1629" s="489"/>
      <c r="X1629" s="488" t="str">
        <f t="shared" si="372"/>
        <v>631102000101</v>
      </c>
      <c r="Y1629" s="489">
        <v>631102000</v>
      </c>
      <c r="Z1629" s="489">
        <v>101</v>
      </c>
      <c r="AA1629" s="490" t="str">
        <f t="shared" si="364"/>
        <v/>
      </c>
      <c r="AB1629" s="489"/>
      <c r="AC1629" s="489"/>
      <c r="AD1629" s="27">
        <v>610903</v>
      </c>
      <c r="AE1629" s="599" t="s">
        <v>1878</v>
      </c>
      <c r="AF1629" s="432">
        <v>0</v>
      </c>
      <c r="AG1629" s="432"/>
      <c r="AH1629" s="432">
        <f t="shared" si="365"/>
        <v>0</v>
      </c>
      <c r="AL1629" s="448"/>
      <c r="AM1629" s="467">
        <f>VLOOKUP(AD1629,[6]BV201101!$A$10:$A$1236,1,0)</f>
        <v>610903</v>
      </c>
    </row>
    <row r="1630" spans="1:39" s="467" customFormat="1" ht="12.75" customHeight="1">
      <c r="A1630" s="487" t="str">
        <f t="shared" si="376"/>
        <v>6</v>
      </c>
      <c r="B1630" s="487" t="str">
        <f t="shared" si="373"/>
        <v>10</v>
      </c>
      <c r="C1630" s="487" t="str">
        <f t="shared" si="374"/>
        <v>90</v>
      </c>
      <c r="D1630" s="487" t="str">
        <f t="shared" si="375"/>
        <v>0903</v>
      </c>
      <c r="E1630" s="487">
        <v>531102000</v>
      </c>
      <c r="F1630" s="488" t="str">
        <f t="shared" si="366"/>
        <v/>
      </c>
      <c r="G1630" s="487"/>
      <c r="H1630" s="487"/>
      <c r="I1630" s="488" t="str">
        <f t="shared" si="367"/>
        <v/>
      </c>
      <c r="J1630" s="487"/>
      <c r="K1630" s="487"/>
      <c r="L1630" s="488" t="str">
        <f t="shared" si="368"/>
        <v/>
      </c>
      <c r="M1630" s="487"/>
      <c r="N1630" s="487"/>
      <c r="O1630" s="488" t="str">
        <f t="shared" si="369"/>
        <v/>
      </c>
      <c r="P1630" s="489"/>
      <c r="Q1630" s="489"/>
      <c r="R1630" s="592" t="str">
        <f t="shared" si="370"/>
        <v/>
      </c>
      <c r="S1630" s="487"/>
      <c r="T1630" s="487"/>
      <c r="U1630" s="488" t="str">
        <f t="shared" si="371"/>
        <v/>
      </c>
      <c r="V1630" s="487"/>
      <c r="W1630" s="489"/>
      <c r="X1630" s="488" t="str">
        <f t="shared" si="372"/>
        <v>631102000103</v>
      </c>
      <c r="Y1630" s="489">
        <v>631102000</v>
      </c>
      <c r="Z1630" s="489">
        <v>103</v>
      </c>
      <c r="AA1630" s="490" t="str">
        <f t="shared" si="364"/>
        <v/>
      </c>
      <c r="AB1630" s="489"/>
      <c r="AC1630" s="489"/>
      <c r="AD1630" s="27">
        <v>610903</v>
      </c>
      <c r="AE1630" s="599" t="s">
        <v>1878</v>
      </c>
      <c r="AF1630" s="432">
        <v>0</v>
      </c>
      <c r="AG1630" s="432"/>
      <c r="AH1630" s="432">
        <f t="shared" si="365"/>
        <v>0</v>
      </c>
      <c r="AL1630" s="448"/>
      <c r="AM1630" s="467">
        <f>VLOOKUP(AD1630,[6]BV201101!$A$10:$A$1236,1,0)</f>
        <v>610903</v>
      </c>
    </row>
    <row r="1631" spans="1:39" s="467" customFormat="1" ht="12.75" customHeight="1">
      <c r="A1631" s="487" t="str">
        <f t="shared" si="376"/>
        <v>6</v>
      </c>
      <c r="B1631" s="487" t="str">
        <f t="shared" si="373"/>
        <v>10</v>
      </c>
      <c r="C1631" s="487" t="str">
        <f t="shared" si="374"/>
        <v>90</v>
      </c>
      <c r="D1631" s="487" t="str">
        <f t="shared" si="375"/>
        <v>0903</v>
      </c>
      <c r="E1631" s="487">
        <v>531102000</v>
      </c>
      <c r="F1631" s="488" t="str">
        <f t="shared" si="366"/>
        <v/>
      </c>
      <c r="G1631" s="487"/>
      <c r="H1631" s="487"/>
      <c r="I1631" s="488" t="str">
        <f t="shared" si="367"/>
        <v/>
      </c>
      <c r="J1631" s="487"/>
      <c r="K1631" s="487"/>
      <c r="L1631" s="488" t="str">
        <f t="shared" si="368"/>
        <v/>
      </c>
      <c r="M1631" s="487"/>
      <c r="N1631" s="487"/>
      <c r="O1631" s="488" t="str">
        <f t="shared" si="369"/>
        <v/>
      </c>
      <c r="P1631" s="489"/>
      <c r="Q1631" s="489"/>
      <c r="R1631" s="592" t="str">
        <f t="shared" si="370"/>
        <v/>
      </c>
      <c r="S1631" s="487"/>
      <c r="T1631" s="487"/>
      <c r="U1631" s="488" t="str">
        <f t="shared" si="371"/>
        <v/>
      </c>
      <c r="V1631" s="487"/>
      <c r="W1631" s="489"/>
      <c r="X1631" s="488" t="str">
        <f t="shared" si="372"/>
        <v>631102000102</v>
      </c>
      <c r="Y1631" s="489">
        <v>631102000</v>
      </c>
      <c r="Z1631" s="489">
        <v>102</v>
      </c>
      <c r="AA1631" s="490" t="str">
        <f t="shared" si="364"/>
        <v/>
      </c>
      <c r="AB1631" s="489"/>
      <c r="AC1631" s="489"/>
      <c r="AD1631" s="27">
        <v>610903</v>
      </c>
      <c r="AE1631" s="599" t="s">
        <v>1878</v>
      </c>
      <c r="AF1631" s="432">
        <v>0</v>
      </c>
      <c r="AG1631" s="432"/>
      <c r="AH1631" s="432">
        <f t="shared" si="365"/>
        <v>0</v>
      </c>
      <c r="AL1631" s="448"/>
      <c r="AM1631" s="467">
        <f>VLOOKUP(AD1631,[6]BV201101!$A$10:$A$1236,1,0)</f>
        <v>610903</v>
      </c>
    </row>
    <row r="1632" spans="1:39" s="467" customFormat="1" ht="12.75" customHeight="1">
      <c r="A1632" s="487" t="str">
        <f t="shared" si="376"/>
        <v>6</v>
      </c>
      <c r="B1632" s="487" t="str">
        <f t="shared" si="373"/>
        <v>10</v>
      </c>
      <c r="C1632" s="487" t="str">
        <f t="shared" si="374"/>
        <v>90</v>
      </c>
      <c r="D1632" s="487" t="str">
        <f t="shared" si="375"/>
        <v>0903</v>
      </c>
      <c r="E1632" s="487">
        <v>531102000</v>
      </c>
      <c r="F1632" s="488" t="str">
        <f t="shared" si="366"/>
        <v/>
      </c>
      <c r="G1632" s="487"/>
      <c r="H1632" s="487"/>
      <c r="I1632" s="488" t="str">
        <f t="shared" si="367"/>
        <v/>
      </c>
      <c r="J1632" s="487"/>
      <c r="K1632" s="487"/>
      <c r="L1632" s="488" t="str">
        <f t="shared" si="368"/>
        <v/>
      </c>
      <c r="M1632" s="487"/>
      <c r="N1632" s="487"/>
      <c r="O1632" s="488" t="str">
        <f t="shared" si="369"/>
        <v/>
      </c>
      <c r="P1632" s="489"/>
      <c r="Q1632" s="489"/>
      <c r="R1632" s="592" t="str">
        <f t="shared" si="370"/>
        <v/>
      </c>
      <c r="S1632" s="487"/>
      <c r="T1632" s="487"/>
      <c r="U1632" s="488" t="str">
        <f t="shared" si="371"/>
        <v/>
      </c>
      <c r="V1632" s="487"/>
      <c r="W1632" s="489"/>
      <c r="X1632" s="488" t="str">
        <f t="shared" si="372"/>
        <v>631102000209</v>
      </c>
      <c r="Y1632" s="489">
        <v>631102000</v>
      </c>
      <c r="Z1632" s="489">
        <v>209</v>
      </c>
      <c r="AA1632" s="490" t="str">
        <f t="shared" si="364"/>
        <v/>
      </c>
      <c r="AB1632" s="489"/>
      <c r="AC1632" s="489"/>
      <c r="AD1632" s="27">
        <v>610903</v>
      </c>
      <c r="AE1632" s="599" t="s">
        <v>1878</v>
      </c>
      <c r="AF1632" s="432">
        <v>0</v>
      </c>
      <c r="AG1632" s="432"/>
      <c r="AH1632" s="432">
        <f t="shared" si="365"/>
        <v>0</v>
      </c>
      <c r="AL1632" s="448"/>
      <c r="AM1632" s="467">
        <f>VLOOKUP(AD1632,[6]BV201101!$A$10:$A$1236,1,0)</f>
        <v>610903</v>
      </c>
    </row>
    <row r="1633" spans="1:39" s="467" customFormat="1" ht="12.75" customHeight="1">
      <c r="A1633" s="487" t="str">
        <f t="shared" si="376"/>
        <v>6</v>
      </c>
      <c r="B1633" s="487" t="str">
        <f t="shared" si="373"/>
        <v>10</v>
      </c>
      <c r="C1633" s="487" t="str">
        <f t="shared" si="374"/>
        <v>90</v>
      </c>
      <c r="D1633" s="487" t="str">
        <f t="shared" si="375"/>
        <v>0903</v>
      </c>
      <c r="E1633" s="487">
        <v>531102000</v>
      </c>
      <c r="F1633" s="488" t="str">
        <f t="shared" si="366"/>
        <v/>
      </c>
      <c r="G1633" s="487"/>
      <c r="H1633" s="487"/>
      <c r="I1633" s="488" t="str">
        <f t="shared" si="367"/>
        <v/>
      </c>
      <c r="J1633" s="487"/>
      <c r="K1633" s="487"/>
      <c r="L1633" s="488" t="str">
        <f t="shared" si="368"/>
        <v/>
      </c>
      <c r="M1633" s="487"/>
      <c r="N1633" s="487"/>
      <c r="O1633" s="488" t="str">
        <f t="shared" si="369"/>
        <v/>
      </c>
      <c r="P1633" s="489"/>
      <c r="Q1633" s="489"/>
      <c r="R1633" s="592" t="str">
        <f t="shared" si="370"/>
        <v/>
      </c>
      <c r="S1633" s="487"/>
      <c r="T1633" s="487"/>
      <c r="U1633" s="488" t="str">
        <f t="shared" si="371"/>
        <v/>
      </c>
      <c r="V1633" s="487"/>
      <c r="W1633" s="489"/>
      <c r="X1633" s="488" t="str">
        <f t="shared" si="372"/>
        <v>631102000202</v>
      </c>
      <c r="Y1633" s="489">
        <v>631102000</v>
      </c>
      <c r="Z1633" s="489">
        <v>202</v>
      </c>
      <c r="AA1633" s="490" t="str">
        <f t="shared" si="364"/>
        <v/>
      </c>
      <c r="AB1633" s="489"/>
      <c r="AC1633" s="489"/>
      <c r="AD1633" s="27">
        <v>610903</v>
      </c>
      <c r="AE1633" s="599" t="s">
        <v>1878</v>
      </c>
      <c r="AF1633" s="432">
        <v>0</v>
      </c>
      <c r="AG1633" s="432"/>
      <c r="AH1633" s="432">
        <f t="shared" si="365"/>
        <v>0</v>
      </c>
      <c r="AL1633" s="448"/>
      <c r="AM1633" s="467">
        <f>VLOOKUP(AD1633,[6]BV201101!$A$10:$A$1236,1,0)</f>
        <v>610903</v>
      </c>
    </row>
    <row r="1634" spans="1:39" s="467" customFormat="1" ht="12.75" customHeight="1">
      <c r="A1634" s="487" t="str">
        <f t="shared" si="376"/>
        <v>6</v>
      </c>
      <c r="B1634" s="487" t="str">
        <f t="shared" si="373"/>
        <v>10</v>
      </c>
      <c r="C1634" s="487" t="str">
        <f t="shared" si="374"/>
        <v>90</v>
      </c>
      <c r="D1634" s="487" t="str">
        <f t="shared" si="375"/>
        <v>0903</v>
      </c>
      <c r="E1634" s="487">
        <v>531102000</v>
      </c>
      <c r="F1634" s="488" t="str">
        <f t="shared" si="366"/>
        <v/>
      </c>
      <c r="G1634" s="487"/>
      <c r="H1634" s="487"/>
      <c r="I1634" s="488" t="str">
        <f t="shared" si="367"/>
        <v/>
      </c>
      <c r="J1634" s="487"/>
      <c r="K1634" s="487"/>
      <c r="L1634" s="488" t="str">
        <f t="shared" si="368"/>
        <v/>
      </c>
      <c r="M1634" s="487"/>
      <c r="N1634" s="487"/>
      <c r="O1634" s="488" t="str">
        <f t="shared" si="369"/>
        <v/>
      </c>
      <c r="P1634" s="489"/>
      <c r="Q1634" s="489"/>
      <c r="R1634" s="592" t="str">
        <f t="shared" si="370"/>
        <v/>
      </c>
      <c r="S1634" s="487"/>
      <c r="T1634" s="487"/>
      <c r="U1634" s="488" t="str">
        <f t="shared" si="371"/>
        <v/>
      </c>
      <c r="V1634" s="487"/>
      <c r="W1634" s="489"/>
      <c r="X1634" s="488" t="str">
        <f t="shared" si="372"/>
        <v>631102000109</v>
      </c>
      <c r="Y1634" s="489">
        <v>631102000</v>
      </c>
      <c r="Z1634" s="489">
        <v>109</v>
      </c>
      <c r="AA1634" s="490" t="str">
        <f t="shared" si="364"/>
        <v/>
      </c>
      <c r="AB1634" s="489"/>
      <c r="AC1634" s="489"/>
      <c r="AD1634" s="27">
        <v>610903</v>
      </c>
      <c r="AE1634" s="599" t="s">
        <v>1878</v>
      </c>
      <c r="AF1634" s="432">
        <v>0</v>
      </c>
      <c r="AG1634" s="432"/>
      <c r="AH1634" s="432">
        <f t="shared" si="365"/>
        <v>0</v>
      </c>
      <c r="AL1634" s="448"/>
      <c r="AM1634" s="467">
        <f>VLOOKUP(AD1634,[6]BV201101!$A$10:$A$1236,1,0)</f>
        <v>610903</v>
      </c>
    </row>
    <row r="1635" spans="1:39" s="467" customFormat="1" ht="12.75" customHeight="1">
      <c r="A1635" s="487" t="str">
        <f t="shared" si="376"/>
        <v>6</v>
      </c>
      <c r="B1635" s="487" t="str">
        <f t="shared" si="373"/>
        <v>10</v>
      </c>
      <c r="C1635" s="487" t="str">
        <f t="shared" si="374"/>
        <v>90</v>
      </c>
      <c r="D1635" s="487" t="str">
        <f t="shared" si="375"/>
        <v>0903</v>
      </c>
      <c r="E1635" s="487">
        <v>531102000</v>
      </c>
      <c r="F1635" s="488" t="str">
        <f t="shared" si="366"/>
        <v/>
      </c>
      <c r="G1635" s="487"/>
      <c r="H1635" s="487"/>
      <c r="I1635" s="488" t="str">
        <f t="shared" si="367"/>
        <v/>
      </c>
      <c r="J1635" s="487"/>
      <c r="K1635" s="487"/>
      <c r="L1635" s="488" t="str">
        <f t="shared" si="368"/>
        <v/>
      </c>
      <c r="M1635" s="487"/>
      <c r="N1635" s="487"/>
      <c r="O1635" s="488" t="str">
        <f t="shared" si="369"/>
        <v/>
      </c>
      <c r="P1635" s="489"/>
      <c r="Q1635" s="489"/>
      <c r="R1635" s="592" t="str">
        <f t="shared" si="370"/>
        <v/>
      </c>
      <c r="S1635" s="487"/>
      <c r="T1635" s="487"/>
      <c r="U1635" s="488" t="str">
        <f t="shared" si="371"/>
        <v/>
      </c>
      <c r="V1635" s="487"/>
      <c r="W1635" s="489"/>
      <c r="X1635" s="488" t="str">
        <f t="shared" si="372"/>
        <v>631102000420</v>
      </c>
      <c r="Y1635" s="489">
        <v>631102000</v>
      </c>
      <c r="Z1635" s="489">
        <v>420</v>
      </c>
      <c r="AA1635" s="490" t="str">
        <f t="shared" si="364"/>
        <v/>
      </c>
      <c r="AB1635" s="489"/>
      <c r="AC1635" s="489"/>
      <c r="AD1635" s="27">
        <v>610903</v>
      </c>
      <c r="AE1635" s="599" t="s">
        <v>1878</v>
      </c>
      <c r="AF1635" s="432">
        <v>0</v>
      </c>
      <c r="AG1635" s="432"/>
      <c r="AH1635" s="432">
        <f t="shared" si="365"/>
        <v>0</v>
      </c>
      <c r="AL1635" s="448"/>
      <c r="AM1635" s="467">
        <f>VLOOKUP(AD1635,[6]BV201101!$A$10:$A$1236,1,0)</f>
        <v>610903</v>
      </c>
    </row>
    <row r="1636" spans="1:39" s="467" customFormat="1" ht="12.75" customHeight="1">
      <c r="A1636" s="487" t="str">
        <f t="shared" si="376"/>
        <v>6</v>
      </c>
      <c r="B1636" s="487" t="str">
        <f t="shared" si="373"/>
        <v>10</v>
      </c>
      <c r="C1636" s="487" t="str">
        <f t="shared" si="374"/>
        <v>90</v>
      </c>
      <c r="D1636" s="487" t="str">
        <f t="shared" si="375"/>
        <v>0904</v>
      </c>
      <c r="E1636" s="487">
        <v>531201200</v>
      </c>
      <c r="F1636" s="488" t="str">
        <f t="shared" si="366"/>
        <v/>
      </c>
      <c r="G1636" s="487"/>
      <c r="H1636" s="487"/>
      <c r="I1636" s="488" t="str">
        <f t="shared" si="367"/>
        <v/>
      </c>
      <c r="J1636" s="487"/>
      <c r="K1636" s="487"/>
      <c r="L1636" s="488" t="str">
        <f t="shared" si="368"/>
        <v/>
      </c>
      <c r="M1636" s="487"/>
      <c r="N1636" s="487"/>
      <c r="O1636" s="488" t="str">
        <f t="shared" si="369"/>
        <v/>
      </c>
      <c r="P1636" s="489"/>
      <c r="Q1636" s="489"/>
      <c r="R1636" s="592" t="str">
        <f t="shared" si="370"/>
        <v/>
      </c>
      <c r="S1636" s="487"/>
      <c r="T1636" s="487"/>
      <c r="U1636" s="488" t="str">
        <f t="shared" si="371"/>
        <v/>
      </c>
      <c r="V1636" s="487"/>
      <c r="W1636" s="489"/>
      <c r="X1636" s="488" t="str">
        <f t="shared" si="372"/>
        <v/>
      </c>
      <c r="Y1636" s="489"/>
      <c r="Z1636" s="489"/>
      <c r="AA1636" s="490" t="str">
        <f t="shared" si="364"/>
        <v/>
      </c>
      <c r="AB1636" s="489"/>
      <c r="AC1636" s="489"/>
      <c r="AD1636" s="27">
        <v>610904</v>
      </c>
      <c r="AE1636" s="27" t="s">
        <v>1879</v>
      </c>
      <c r="AF1636" s="432">
        <v>0</v>
      </c>
      <c r="AG1636" s="432"/>
      <c r="AH1636" s="432">
        <f t="shared" si="365"/>
        <v>0</v>
      </c>
      <c r="AL1636" s="448"/>
      <c r="AM1636" s="467" t="e">
        <f>VLOOKUP(AD1636,[6]BV201101!$A$10:$A$1236,1,0)</f>
        <v>#N/A</v>
      </c>
    </row>
    <row r="1637" spans="1:39" s="467" customFormat="1" ht="12.75" customHeight="1">
      <c r="A1637" s="487" t="str">
        <f t="shared" si="376"/>
        <v>6</v>
      </c>
      <c r="B1637" s="487" t="str">
        <f t="shared" si="373"/>
        <v>10</v>
      </c>
      <c r="C1637" s="487" t="str">
        <f t="shared" si="374"/>
        <v>90</v>
      </c>
      <c r="D1637" s="487" t="str">
        <f t="shared" si="375"/>
        <v>0905</v>
      </c>
      <c r="E1637" s="487">
        <v>531201200</v>
      </c>
      <c r="F1637" s="488" t="str">
        <f t="shared" si="366"/>
        <v/>
      </c>
      <c r="G1637" s="487"/>
      <c r="H1637" s="487"/>
      <c r="I1637" s="488" t="str">
        <f t="shared" si="367"/>
        <v/>
      </c>
      <c r="J1637" s="487"/>
      <c r="K1637" s="487"/>
      <c r="L1637" s="488" t="str">
        <f t="shared" si="368"/>
        <v/>
      </c>
      <c r="M1637" s="487"/>
      <c r="N1637" s="487"/>
      <c r="O1637" s="488" t="str">
        <f t="shared" si="369"/>
        <v/>
      </c>
      <c r="P1637" s="489"/>
      <c r="Q1637" s="489"/>
      <c r="R1637" s="592" t="str">
        <f t="shared" si="370"/>
        <v/>
      </c>
      <c r="S1637" s="487"/>
      <c r="T1637" s="487"/>
      <c r="U1637" s="488" t="str">
        <f t="shared" si="371"/>
        <v/>
      </c>
      <c r="V1637" s="487"/>
      <c r="W1637" s="489"/>
      <c r="X1637" s="488" t="str">
        <f t="shared" si="372"/>
        <v/>
      </c>
      <c r="Y1637" s="489"/>
      <c r="Z1637" s="489"/>
      <c r="AA1637" s="490" t="str">
        <f t="shared" si="364"/>
        <v/>
      </c>
      <c r="AB1637" s="489"/>
      <c r="AC1637" s="489"/>
      <c r="AD1637" s="27">
        <v>610905</v>
      </c>
      <c r="AE1637" s="27" t="s">
        <v>84</v>
      </c>
      <c r="AF1637" s="432">
        <f>VLOOKUP(AD1637,[5]Hoja1!$A$10:$K$1393,11,0)</f>
        <v>114251176</v>
      </c>
      <c r="AG1637" s="432"/>
      <c r="AH1637" s="432">
        <f t="shared" ref="AH1637:AH1702" si="377">ROUND((AF1637+AG1637)/$AH$2,0)</f>
        <v>114251</v>
      </c>
      <c r="AL1637" s="448"/>
      <c r="AM1637" s="467">
        <f>VLOOKUP(AD1637,[6]BV201101!$A$10:$A$1236,1,0)</f>
        <v>610905</v>
      </c>
    </row>
    <row r="1638" spans="1:39" s="467" customFormat="1" ht="12.75" customHeight="1">
      <c r="A1638" s="487" t="str">
        <f t="shared" si="376"/>
        <v>6</v>
      </c>
      <c r="B1638" s="487" t="str">
        <f t="shared" si="373"/>
        <v>10</v>
      </c>
      <c r="C1638" s="487" t="str">
        <f t="shared" si="374"/>
        <v>90</v>
      </c>
      <c r="D1638" s="487" t="str">
        <f t="shared" si="375"/>
        <v>0906</v>
      </c>
      <c r="E1638" s="487">
        <v>531201200</v>
      </c>
      <c r="F1638" s="488" t="str">
        <f t="shared" si="366"/>
        <v/>
      </c>
      <c r="G1638" s="487"/>
      <c r="H1638" s="487"/>
      <c r="I1638" s="488" t="str">
        <f t="shared" si="367"/>
        <v/>
      </c>
      <c r="J1638" s="487"/>
      <c r="K1638" s="487"/>
      <c r="L1638" s="488" t="str">
        <f t="shared" si="368"/>
        <v/>
      </c>
      <c r="M1638" s="487"/>
      <c r="N1638" s="487"/>
      <c r="O1638" s="488" t="str">
        <f t="shared" si="369"/>
        <v/>
      </c>
      <c r="P1638" s="489"/>
      <c r="Q1638" s="489"/>
      <c r="R1638" s="592" t="str">
        <f t="shared" si="370"/>
        <v/>
      </c>
      <c r="S1638" s="487"/>
      <c r="T1638" s="487"/>
      <c r="U1638" s="488" t="str">
        <f t="shared" si="371"/>
        <v/>
      </c>
      <c r="V1638" s="487"/>
      <c r="W1638" s="489"/>
      <c r="X1638" s="488" t="str">
        <f t="shared" si="372"/>
        <v/>
      </c>
      <c r="Y1638" s="489"/>
      <c r="Z1638" s="489"/>
      <c r="AA1638" s="490" t="str">
        <f t="shared" si="364"/>
        <v/>
      </c>
      <c r="AB1638" s="489"/>
      <c r="AC1638" s="489"/>
      <c r="AD1638" s="27">
        <v>610906</v>
      </c>
      <c r="AE1638" s="27" t="s">
        <v>2493</v>
      </c>
      <c r="AF1638" s="432">
        <f>VLOOKUP(AD1638,[5]Hoja1!$A$10:$K$1393,11,0)</f>
        <v>50727010</v>
      </c>
      <c r="AG1638" s="432"/>
      <c r="AH1638" s="432">
        <f t="shared" si="377"/>
        <v>50727</v>
      </c>
      <c r="AL1638" s="448"/>
      <c r="AM1638" s="467">
        <f>VLOOKUP(AD1638,[6]BV201101!$A$10:$A$1236,1,0)</f>
        <v>610906</v>
      </c>
    </row>
    <row r="1639" spans="1:39" s="467" customFormat="1" ht="12.75" customHeight="1">
      <c r="A1639" s="487" t="str">
        <f t="shared" si="376"/>
        <v>6</v>
      </c>
      <c r="B1639" s="487" t="str">
        <f t="shared" si="373"/>
        <v>10</v>
      </c>
      <c r="C1639" s="487" t="str">
        <f t="shared" si="374"/>
        <v>91</v>
      </c>
      <c r="D1639" s="487" t="str">
        <f t="shared" si="375"/>
        <v>0910</v>
      </c>
      <c r="E1639" s="487">
        <v>531201200</v>
      </c>
      <c r="F1639" s="488" t="str">
        <f t="shared" si="366"/>
        <v/>
      </c>
      <c r="G1639" s="487"/>
      <c r="H1639" s="487"/>
      <c r="I1639" s="488" t="str">
        <f t="shared" si="367"/>
        <v/>
      </c>
      <c r="J1639" s="487"/>
      <c r="K1639" s="487"/>
      <c r="L1639" s="488" t="str">
        <f t="shared" si="368"/>
        <v/>
      </c>
      <c r="M1639" s="487"/>
      <c r="N1639" s="487"/>
      <c r="O1639" s="488" t="str">
        <f t="shared" si="369"/>
        <v/>
      </c>
      <c r="P1639" s="489"/>
      <c r="Q1639" s="489"/>
      <c r="R1639" s="592" t="str">
        <f t="shared" si="370"/>
        <v/>
      </c>
      <c r="S1639" s="487"/>
      <c r="T1639" s="487"/>
      <c r="U1639" s="488" t="str">
        <f t="shared" si="371"/>
        <v/>
      </c>
      <c r="V1639" s="487"/>
      <c r="W1639" s="489"/>
      <c r="X1639" s="488" t="str">
        <f t="shared" si="372"/>
        <v/>
      </c>
      <c r="Y1639" s="489"/>
      <c r="Z1639" s="489"/>
      <c r="AA1639" s="490" t="str">
        <f t="shared" si="364"/>
        <v/>
      </c>
      <c r="AB1639" s="489"/>
      <c r="AC1639" s="489"/>
      <c r="AD1639" s="27">
        <v>610910</v>
      </c>
      <c r="AE1639" s="27" t="s">
        <v>1858</v>
      </c>
      <c r="AF1639" s="432">
        <v>0</v>
      </c>
      <c r="AG1639" s="432"/>
      <c r="AH1639" s="432">
        <f t="shared" si="377"/>
        <v>0</v>
      </c>
      <c r="AL1639" s="448"/>
      <c r="AM1639" s="467" t="e">
        <f>VLOOKUP(AD1639,[6]BV201101!$A$10:$A$1236,1,0)</f>
        <v>#N/A</v>
      </c>
    </row>
    <row r="1640" spans="1:39" s="467" customFormat="1" ht="12.75" customHeight="1">
      <c r="A1640" s="487" t="str">
        <f t="shared" si="376"/>
        <v>6</v>
      </c>
      <c r="B1640" s="487" t="str">
        <f t="shared" si="373"/>
        <v>10</v>
      </c>
      <c r="C1640" s="487" t="str">
        <f t="shared" si="374"/>
        <v>91</v>
      </c>
      <c r="D1640" s="487" t="str">
        <f t="shared" si="375"/>
        <v>0911</v>
      </c>
      <c r="E1640" s="487">
        <v>531201200</v>
      </c>
      <c r="F1640" s="488" t="str">
        <f t="shared" si="366"/>
        <v/>
      </c>
      <c r="G1640" s="487"/>
      <c r="H1640" s="487"/>
      <c r="I1640" s="488" t="str">
        <f t="shared" si="367"/>
        <v/>
      </c>
      <c r="J1640" s="487"/>
      <c r="K1640" s="487"/>
      <c r="L1640" s="488" t="str">
        <f t="shared" si="368"/>
        <v/>
      </c>
      <c r="M1640" s="487"/>
      <c r="N1640" s="487"/>
      <c r="O1640" s="488" t="str">
        <f t="shared" si="369"/>
        <v/>
      </c>
      <c r="P1640" s="489"/>
      <c r="Q1640" s="489"/>
      <c r="R1640" s="592" t="str">
        <f t="shared" si="370"/>
        <v/>
      </c>
      <c r="S1640" s="487"/>
      <c r="T1640" s="487"/>
      <c r="U1640" s="488" t="str">
        <f t="shared" si="371"/>
        <v/>
      </c>
      <c r="V1640" s="487"/>
      <c r="W1640" s="489"/>
      <c r="X1640" s="488" t="str">
        <f t="shared" si="372"/>
        <v/>
      </c>
      <c r="Y1640" s="489"/>
      <c r="Z1640" s="489"/>
      <c r="AA1640" s="490" t="str">
        <f t="shared" si="364"/>
        <v/>
      </c>
      <c r="AB1640" s="489"/>
      <c r="AC1640" s="489"/>
      <c r="AD1640" s="27">
        <v>610911</v>
      </c>
      <c r="AE1640" s="27" t="s">
        <v>1769</v>
      </c>
      <c r="AF1640" s="432">
        <f>VLOOKUP(AD1640,[5]Hoja1!$A$10:$K$1393,11,0)</f>
        <v>33802004</v>
      </c>
      <c r="AG1640" s="432"/>
      <c r="AH1640" s="432">
        <f t="shared" si="377"/>
        <v>33802</v>
      </c>
      <c r="AL1640" s="448"/>
      <c r="AM1640" s="467">
        <f>VLOOKUP(AD1640,[6]BV201101!$A$10:$A$1236,1,0)</f>
        <v>610911</v>
      </c>
    </row>
    <row r="1641" spans="1:39" s="467" customFormat="1" ht="12.75" customHeight="1">
      <c r="A1641" s="487" t="str">
        <f t="shared" si="376"/>
        <v>6</v>
      </c>
      <c r="B1641" s="487" t="str">
        <f t="shared" si="373"/>
        <v>10</v>
      </c>
      <c r="C1641" s="487" t="str">
        <f t="shared" si="374"/>
        <v>91</v>
      </c>
      <c r="D1641" s="487" t="str">
        <f t="shared" si="375"/>
        <v>0912</v>
      </c>
      <c r="E1641" s="487">
        <v>531201200</v>
      </c>
      <c r="F1641" s="488"/>
      <c r="G1641" s="487"/>
      <c r="H1641" s="487"/>
      <c r="I1641" s="488"/>
      <c r="J1641" s="487"/>
      <c r="K1641" s="487"/>
      <c r="L1641" s="488"/>
      <c r="M1641" s="487"/>
      <c r="N1641" s="487"/>
      <c r="O1641" s="488"/>
      <c r="P1641" s="489"/>
      <c r="Q1641" s="489"/>
      <c r="R1641" s="592"/>
      <c r="S1641" s="487"/>
      <c r="T1641" s="487"/>
      <c r="U1641" s="488"/>
      <c r="V1641" s="487"/>
      <c r="W1641" s="489"/>
      <c r="X1641" s="488"/>
      <c r="Y1641" s="489"/>
      <c r="Z1641" s="489"/>
      <c r="AA1641" s="490"/>
      <c r="AB1641" s="489"/>
      <c r="AC1641" s="489"/>
      <c r="AD1641" s="27">
        <v>610912</v>
      </c>
      <c r="AE1641" s="27" t="s">
        <v>1331</v>
      </c>
      <c r="AF1641" s="432">
        <f>VLOOKUP(AD1641,[5]Hoja1!$A$10:$K$1393,11,0)</f>
        <v>3056503457</v>
      </c>
      <c r="AG1641" s="432"/>
      <c r="AH1641" s="432">
        <f t="shared" si="377"/>
        <v>3056503</v>
      </c>
      <c r="AI1641" s="445"/>
      <c r="AL1641" s="448"/>
      <c r="AM1641" s="467">
        <f>VLOOKUP(AD1641,[6]BV201101!$A$10:$A$1236,1,0)</f>
        <v>610912</v>
      </c>
    </row>
    <row r="1642" spans="1:39" s="467" customFormat="1" ht="12.75" customHeight="1">
      <c r="A1642" s="487" t="str">
        <f t="shared" si="376"/>
        <v>6</v>
      </c>
      <c r="B1642" s="487" t="str">
        <f t="shared" si="373"/>
        <v>10</v>
      </c>
      <c r="C1642" s="487" t="str">
        <f t="shared" si="374"/>
        <v>91</v>
      </c>
      <c r="D1642" s="487" t="str">
        <f t="shared" si="375"/>
        <v>0913</v>
      </c>
      <c r="E1642" s="487">
        <v>531201200</v>
      </c>
      <c r="F1642" s="488"/>
      <c r="G1642" s="487"/>
      <c r="H1642" s="487"/>
      <c r="I1642" s="488"/>
      <c r="J1642" s="487"/>
      <c r="K1642" s="487"/>
      <c r="L1642" s="488"/>
      <c r="M1642" s="487"/>
      <c r="N1642" s="487"/>
      <c r="O1642" s="488"/>
      <c r="P1642" s="489"/>
      <c r="Q1642" s="489"/>
      <c r="R1642" s="592"/>
      <c r="S1642" s="487"/>
      <c r="T1642" s="487"/>
      <c r="U1642" s="488"/>
      <c r="V1642" s="487"/>
      <c r="W1642" s="489"/>
      <c r="X1642" s="488"/>
      <c r="Y1642" s="489"/>
      <c r="Z1642" s="489"/>
      <c r="AA1642" s="490"/>
      <c r="AB1642" s="489"/>
      <c r="AC1642" s="489"/>
      <c r="AD1642" s="27">
        <v>610913</v>
      </c>
      <c r="AE1642" s="27" t="s">
        <v>2494</v>
      </c>
      <c r="AF1642" s="432">
        <f>VLOOKUP(AD1642,[5]Hoja1!$A$10:$K$1393,11,0)</f>
        <v>0</v>
      </c>
      <c r="AG1642" s="432"/>
      <c r="AH1642" s="432">
        <f t="shared" si="377"/>
        <v>0</v>
      </c>
      <c r="AL1642" s="448"/>
      <c r="AM1642" s="467">
        <f>VLOOKUP(AD1642,[6]BV201101!$A$10:$A$1236,1,0)</f>
        <v>610913</v>
      </c>
    </row>
    <row r="1643" spans="1:39" s="467" customFormat="1" ht="12.75" customHeight="1">
      <c r="A1643" s="487" t="str">
        <f t="shared" si="376"/>
        <v>6</v>
      </c>
      <c r="B1643" s="487" t="str">
        <f t="shared" si="373"/>
        <v>11</v>
      </c>
      <c r="C1643" s="487" t="str">
        <f t="shared" si="374"/>
        <v>00</v>
      </c>
      <c r="D1643" s="487" t="str">
        <f t="shared" si="375"/>
        <v>1001</v>
      </c>
      <c r="E1643" s="487">
        <v>531201200</v>
      </c>
      <c r="F1643" s="488" t="str">
        <f t="shared" si="366"/>
        <v/>
      </c>
      <c r="G1643" s="487"/>
      <c r="H1643" s="487"/>
      <c r="I1643" s="488" t="str">
        <f t="shared" si="367"/>
        <v/>
      </c>
      <c r="J1643" s="487"/>
      <c r="K1643" s="487"/>
      <c r="L1643" s="488" t="str">
        <f t="shared" si="368"/>
        <v/>
      </c>
      <c r="M1643" s="487"/>
      <c r="N1643" s="487"/>
      <c r="O1643" s="488" t="str">
        <f t="shared" si="369"/>
        <v/>
      </c>
      <c r="P1643" s="489"/>
      <c r="Q1643" s="489"/>
      <c r="R1643" s="592" t="str">
        <f t="shared" si="370"/>
        <v/>
      </c>
      <c r="S1643" s="487"/>
      <c r="T1643" s="487"/>
      <c r="U1643" s="488" t="str">
        <f t="shared" si="371"/>
        <v/>
      </c>
      <c r="V1643" s="487"/>
      <c r="W1643" s="489"/>
      <c r="X1643" s="488" t="str">
        <f t="shared" si="372"/>
        <v/>
      </c>
      <c r="Y1643" s="489"/>
      <c r="Z1643" s="489"/>
      <c r="AA1643" s="490" t="str">
        <f t="shared" si="364"/>
        <v/>
      </c>
      <c r="AB1643" s="489"/>
      <c r="AC1643" s="489"/>
      <c r="AD1643" s="27">
        <v>611001</v>
      </c>
      <c r="AE1643" s="27" t="s">
        <v>2495</v>
      </c>
      <c r="AF1643" s="432">
        <f>VLOOKUP(AD1643,[5]Hoja1!$A$10:$K$1393,11,0)</f>
        <v>0</v>
      </c>
      <c r="AG1643" s="432"/>
      <c r="AH1643" s="432">
        <f t="shared" si="377"/>
        <v>0</v>
      </c>
      <c r="AL1643" s="448"/>
      <c r="AM1643" s="467">
        <f>VLOOKUP(AD1643,[6]BV201101!$A$10:$A$1236,1,0)</f>
        <v>611001</v>
      </c>
    </row>
    <row r="1644" spans="1:39" s="467" customFormat="1" ht="12.75" customHeight="1">
      <c r="A1644" s="487" t="str">
        <f t="shared" si="376"/>
        <v>6</v>
      </c>
      <c r="B1644" s="487" t="str">
        <f t="shared" si="373"/>
        <v>11</v>
      </c>
      <c r="C1644" s="487" t="str">
        <f t="shared" si="374"/>
        <v>00</v>
      </c>
      <c r="D1644" s="487" t="str">
        <f t="shared" si="375"/>
        <v>1002</v>
      </c>
      <c r="E1644" s="487">
        <v>531201200</v>
      </c>
      <c r="F1644" s="488" t="str">
        <f t="shared" si="366"/>
        <v/>
      </c>
      <c r="G1644" s="487"/>
      <c r="H1644" s="487"/>
      <c r="I1644" s="488" t="str">
        <f t="shared" si="367"/>
        <v/>
      </c>
      <c r="J1644" s="487"/>
      <c r="K1644" s="487"/>
      <c r="L1644" s="488" t="str">
        <f t="shared" si="368"/>
        <v/>
      </c>
      <c r="M1644" s="487"/>
      <c r="N1644" s="487"/>
      <c r="O1644" s="488" t="str">
        <f t="shared" si="369"/>
        <v/>
      </c>
      <c r="P1644" s="489"/>
      <c r="Q1644" s="489"/>
      <c r="R1644" s="592" t="str">
        <f t="shared" si="370"/>
        <v/>
      </c>
      <c r="S1644" s="487"/>
      <c r="T1644" s="487"/>
      <c r="U1644" s="488" t="str">
        <f t="shared" si="371"/>
        <v/>
      </c>
      <c r="V1644" s="487"/>
      <c r="W1644" s="489"/>
      <c r="X1644" s="488" t="str">
        <f t="shared" si="372"/>
        <v/>
      </c>
      <c r="Y1644" s="489"/>
      <c r="Z1644" s="489"/>
      <c r="AA1644" s="490" t="str">
        <f t="shared" si="364"/>
        <v/>
      </c>
      <c r="AB1644" s="489"/>
      <c r="AC1644" s="489"/>
      <c r="AD1644" s="27">
        <v>611002</v>
      </c>
      <c r="AE1644" s="27" t="s">
        <v>1181</v>
      </c>
      <c r="AF1644" s="432">
        <v>0</v>
      </c>
      <c r="AG1644" s="432"/>
      <c r="AH1644" s="432">
        <f t="shared" si="377"/>
        <v>0</v>
      </c>
      <c r="AL1644" s="448"/>
      <c r="AM1644" s="467" t="e">
        <f>VLOOKUP(AD1644,[6]BV201101!$A$10:$A$1236,1,0)</f>
        <v>#N/A</v>
      </c>
    </row>
    <row r="1645" spans="1:39" s="467" customFormat="1" ht="12.75" customHeight="1">
      <c r="A1645" s="487" t="str">
        <f t="shared" si="376"/>
        <v>6</v>
      </c>
      <c r="B1645" s="487" t="str">
        <f t="shared" si="373"/>
        <v>11</v>
      </c>
      <c r="C1645" s="487" t="str">
        <f t="shared" si="374"/>
        <v>00</v>
      </c>
      <c r="D1645" s="487" t="str">
        <f t="shared" si="375"/>
        <v>1003</v>
      </c>
      <c r="E1645" s="487">
        <v>532300000</v>
      </c>
      <c r="F1645" s="488" t="str">
        <f t="shared" si="366"/>
        <v/>
      </c>
      <c r="G1645" s="487"/>
      <c r="H1645" s="487"/>
      <c r="I1645" s="488" t="str">
        <f t="shared" si="367"/>
        <v/>
      </c>
      <c r="J1645" s="487"/>
      <c r="K1645" s="487"/>
      <c r="L1645" s="488" t="str">
        <f t="shared" si="368"/>
        <v/>
      </c>
      <c r="M1645" s="487"/>
      <c r="N1645" s="487"/>
      <c r="O1645" s="488" t="str">
        <f t="shared" si="369"/>
        <v/>
      </c>
      <c r="P1645" s="489"/>
      <c r="Q1645" s="489"/>
      <c r="R1645" s="592" t="str">
        <f t="shared" si="370"/>
        <v/>
      </c>
      <c r="S1645" s="487"/>
      <c r="T1645" s="487"/>
      <c r="U1645" s="488" t="str">
        <f t="shared" si="371"/>
        <v/>
      </c>
      <c r="V1645" s="487"/>
      <c r="W1645" s="489"/>
      <c r="X1645" s="488" t="str">
        <f t="shared" si="372"/>
        <v/>
      </c>
      <c r="Y1645" s="489"/>
      <c r="Z1645" s="489"/>
      <c r="AA1645" s="490" t="str">
        <f t="shared" ref="AA1645:AA1660" si="378">+AB1645&amp;AC1645</f>
        <v/>
      </c>
      <c r="AB1645" s="489"/>
      <c r="AC1645" s="489"/>
      <c r="AD1645" s="27">
        <v>611003</v>
      </c>
      <c r="AE1645" s="27" t="s">
        <v>2496</v>
      </c>
      <c r="AF1645" s="432">
        <f>VLOOKUP(AD1645,[5]Hoja1!$A$10:$K$1393,11,0)</f>
        <v>706848</v>
      </c>
      <c r="AG1645" s="432"/>
      <c r="AH1645" s="432">
        <f t="shared" si="377"/>
        <v>707</v>
      </c>
      <c r="AI1645" s="445">
        <f>+AH1643+AH1650+AH1663+AH1664</f>
        <v>83581</v>
      </c>
      <c r="AJ1645" s="467" t="s">
        <v>2644</v>
      </c>
      <c r="AL1645" s="448"/>
      <c r="AM1645" s="467">
        <f>VLOOKUP(AD1645,[6]BV201101!$A$10:$A$1236,1,0)</f>
        <v>611003</v>
      </c>
    </row>
    <row r="1646" spans="1:39" s="467" customFormat="1" ht="12.75" customHeight="1">
      <c r="A1646" s="487" t="str">
        <f t="shared" si="376"/>
        <v>6</v>
      </c>
      <c r="B1646" s="487" t="str">
        <f t="shared" si="373"/>
        <v>11</v>
      </c>
      <c r="C1646" s="487" t="str">
        <f t="shared" si="374"/>
        <v>00</v>
      </c>
      <c r="D1646" s="487" t="str">
        <f t="shared" si="375"/>
        <v>1004</v>
      </c>
      <c r="E1646" s="487">
        <v>531201200</v>
      </c>
      <c r="F1646" s="488" t="str">
        <f t="shared" si="366"/>
        <v/>
      </c>
      <c r="G1646" s="487"/>
      <c r="H1646" s="487"/>
      <c r="I1646" s="488" t="str">
        <f t="shared" si="367"/>
        <v/>
      </c>
      <c r="J1646" s="487"/>
      <c r="K1646" s="487"/>
      <c r="L1646" s="488" t="str">
        <f t="shared" si="368"/>
        <v/>
      </c>
      <c r="M1646" s="487"/>
      <c r="N1646" s="487"/>
      <c r="O1646" s="488" t="str">
        <f t="shared" si="369"/>
        <v/>
      </c>
      <c r="P1646" s="489"/>
      <c r="Q1646" s="489"/>
      <c r="R1646" s="592" t="str">
        <f t="shared" si="370"/>
        <v/>
      </c>
      <c r="S1646" s="487"/>
      <c r="T1646" s="487"/>
      <c r="U1646" s="488" t="str">
        <f t="shared" si="371"/>
        <v/>
      </c>
      <c r="V1646" s="487"/>
      <c r="W1646" s="489"/>
      <c r="X1646" s="488" t="str">
        <f t="shared" si="372"/>
        <v/>
      </c>
      <c r="Y1646" s="489"/>
      <c r="Z1646" s="489"/>
      <c r="AA1646" s="490" t="str">
        <f t="shared" si="378"/>
        <v>261</v>
      </c>
      <c r="AB1646" s="489">
        <v>2</v>
      </c>
      <c r="AC1646" s="489">
        <v>61</v>
      </c>
      <c r="AD1646" s="27">
        <v>611004</v>
      </c>
      <c r="AE1646" s="27" t="s">
        <v>1010</v>
      </c>
      <c r="AF1646" s="432">
        <f>VLOOKUP(AD1646,[5]Hoja1!$A$10:$K$1393,11,0)</f>
        <v>508792196</v>
      </c>
      <c r="AG1646" s="432"/>
      <c r="AH1646" s="432">
        <f t="shared" si="377"/>
        <v>508792</v>
      </c>
      <c r="AI1646" s="445">
        <f>+AH1646+AH1647+AH1648+AH1649+AH1661+AH1666</f>
        <v>734589</v>
      </c>
      <c r="AJ1646" s="467" t="s">
        <v>2643</v>
      </c>
      <c r="AL1646" s="448"/>
      <c r="AM1646" s="467">
        <f>VLOOKUP(AD1646,[6]BV201101!$A$10:$A$1236,1,0)</f>
        <v>611004</v>
      </c>
    </row>
    <row r="1647" spans="1:39" s="467" customFormat="1" ht="12.75" customHeight="1">
      <c r="A1647" s="487" t="str">
        <f t="shared" si="376"/>
        <v>6</v>
      </c>
      <c r="B1647" s="487" t="str">
        <f t="shared" si="373"/>
        <v>11</v>
      </c>
      <c r="C1647" s="487" t="str">
        <f t="shared" si="374"/>
        <v>00</v>
      </c>
      <c r="D1647" s="487" t="str">
        <f t="shared" si="375"/>
        <v>1005</v>
      </c>
      <c r="E1647" s="487">
        <v>531201200</v>
      </c>
      <c r="F1647" s="488" t="str">
        <f t="shared" si="366"/>
        <v/>
      </c>
      <c r="G1647" s="487"/>
      <c r="H1647" s="487"/>
      <c r="I1647" s="488" t="str">
        <f t="shared" si="367"/>
        <v/>
      </c>
      <c r="J1647" s="487"/>
      <c r="K1647" s="487"/>
      <c r="L1647" s="488" t="str">
        <f t="shared" si="368"/>
        <v/>
      </c>
      <c r="M1647" s="487"/>
      <c r="N1647" s="487"/>
      <c r="O1647" s="488" t="str">
        <f t="shared" si="369"/>
        <v/>
      </c>
      <c r="P1647" s="489"/>
      <c r="Q1647" s="489"/>
      <c r="R1647" s="592" t="str">
        <f t="shared" si="370"/>
        <v/>
      </c>
      <c r="S1647" s="487"/>
      <c r="T1647" s="487"/>
      <c r="U1647" s="488" t="str">
        <f t="shared" si="371"/>
        <v/>
      </c>
      <c r="V1647" s="487"/>
      <c r="W1647" s="489"/>
      <c r="X1647" s="488" t="str">
        <f t="shared" si="372"/>
        <v/>
      </c>
      <c r="Y1647" s="489"/>
      <c r="Z1647" s="489"/>
      <c r="AA1647" s="490" t="str">
        <f t="shared" si="378"/>
        <v>262</v>
      </c>
      <c r="AB1647" s="489">
        <v>2</v>
      </c>
      <c r="AC1647" s="489">
        <v>62</v>
      </c>
      <c r="AD1647" s="27">
        <v>611005</v>
      </c>
      <c r="AE1647" s="27" t="s">
        <v>1011</v>
      </c>
      <c r="AF1647" s="432">
        <f>VLOOKUP(AD1647,[5]Hoja1!$A$10:$K$1393,11,0)</f>
        <v>22910411</v>
      </c>
      <c r="AG1647" s="432"/>
      <c r="AH1647" s="432">
        <f t="shared" si="377"/>
        <v>22910</v>
      </c>
      <c r="AI1647" s="445"/>
      <c r="AL1647" s="448"/>
      <c r="AM1647" s="467">
        <f>VLOOKUP(AD1647,[6]BV201101!$A$10:$A$1236,1,0)</f>
        <v>611005</v>
      </c>
    </row>
    <row r="1648" spans="1:39" s="467" customFormat="1" ht="12.75" customHeight="1">
      <c r="A1648" s="487" t="str">
        <f t="shared" si="376"/>
        <v>6</v>
      </c>
      <c r="B1648" s="487" t="str">
        <f t="shared" si="373"/>
        <v>11</v>
      </c>
      <c r="C1648" s="487" t="str">
        <f t="shared" si="374"/>
        <v>00</v>
      </c>
      <c r="D1648" s="487" t="str">
        <f t="shared" si="375"/>
        <v>1006</v>
      </c>
      <c r="E1648" s="487">
        <v>531201200</v>
      </c>
      <c r="F1648" s="488" t="str">
        <f t="shared" si="366"/>
        <v/>
      </c>
      <c r="G1648" s="487"/>
      <c r="H1648" s="487"/>
      <c r="I1648" s="488" t="str">
        <f t="shared" si="367"/>
        <v/>
      </c>
      <c r="J1648" s="487"/>
      <c r="K1648" s="487"/>
      <c r="L1648" s="488" t="str">
        <f t="shared" si="368"/>
        <v/>
      </c>
      <c r="M1648" s="487"/>
      <c r="N1648" s="487"/>
      <c r="O1648" s="488" t="str">
        <f t="shared" si="369"/>
        <v/>
      </c>
      <c r="P1648" s="489"/>
      <c r="Q1648" s="489"/>
      <c r="R1648" s="592" t="str">
        <f t="shared" si="370"/>
        <v/>
      </c>
      <c r="S1648" s="487"/>
      <c r="T1648" s="487"/>
      <c r="U1648" s="488" t="str">
        <f t="shared" si="371"/>
        <v/>
      </c>
      <c r="V1648" s="487"/>
      <c r="W1648" s="489"/>
      <c r="X1648" s="488" t="str">
        <f t="shared" si="372"/>
        <v/>
      </c>
      <c r="Y1648" s="489"/>
      <c r="Z1648" s="489"/>
      <c r="AA1648" s="490" t="str">
        <f t="shared" si="378"/>
        <v>262</v>
      </c>
      <c r="AB1648" s="489">
        <v>2</v>
      </c>
      <c r="AC1648" s="489">
        <v>62</v>
      </c>
      <c r="AD1648" s="27">
        <v>611006</v>
      </c>
      <c r="AE1648" s="27" t="s">
        <v>2497</v>
      </c>
      <c r="AF1648" s="432">
        <f>VLOOKUP(AD1648,[5]Hoja1!$A$10:$K$1393,11,0)</f>
        <v>156578552</v>
      </c>
      <c r="AG1648" s="432"/>
      <c r="AH1648" s="432">
        <f t="shared" si="377"/>
        <v>156579</v>
      </c>
      <c r="AI1648" s="445"/>
      <c r="AL1648" s="448"/>
      <c r="AM1648" s="467">
        <f>VLOOKUP(AD1648,[6]BV201101!$A$10:$A$1236,1,0)</f>
        <v>611006</v>
      </c>
    </row>
    <row r="1649" spans="1:39" s="467" customFormat="1" ht="12.75" customHeight="1">
      <c r="A1649" s="487" t="str">
        <f t="shared" si="376"/>
        <v>6</v>
      </c>
      <c r="B1649" s="487" t="str">
        <f t="shared" si="373"/>
        <v>11</v>
      </c>
      <c r="C1649" s="487" t="str">
        <f t="shared" si="374"/>
        <v>00</v>
      </c>
      <c r="D1649" s="487" t="str">
        <f t="shared" si="375"/>
        <v>1007</v>
      </c>
      <c r="E1649" s="487">
        <v>531201200</v>
      </c>
      <c r="F1649" s="488" t="str">
        <f t="shared" si="366"/>
        <v/>
      </c>
      <c r="G1649" s="487"/>
      <c r="H1649" s="487"/>
      <c r="I1649" s="488" t="str">
        <f t="shared" si="367"/>
        <v/>
      </c>
      <c r="J1649" s="487"/>
      <c r="K1649" s="487"/>
      <c r="L1649" s="488" t="str">
        <f t="shared" si="368"/>
        <v/>
      </c>
      <c r="M1649" s="487"/>
      <c r="N1649" s="487"/>
      <c r="O1649" s="488" t="str">
        <f t="shared" si="369"/>
        <v/>
      </c>
      <c r="P1649" s="489"/>
      <c r="Q1649" s="489"/>
      <c r="R1649" s="592" t="str">
        <f t="shared" si="370"/>
        <v/>
      </c>
      <c r="S1649" s="487"/>
      <c r="T1649" s="487"/>
      <c r="U1649" s="488" t="str">
        <f t="shared" si="371"/>
        <v/>
      </c>
      <c r="V1649" s="487"/>
      <c r="W1649" s="489"/>
      <c r="X1649" s="488" t="str">
        <f t="shared" si="372"/>
        <v/>
      </c>
      <c r="Y1649" s="489"/>
      <c r="Z1649" s="489"/>
      <c r="AA1649" s="490" t="str">
        <f t="shared" si="378"/>
        <v>262</v>
      </c>
      <c r="AB1649" s="489">
        <v>2</v>
      </c>
      <c r="AC1649" s="489">
        <v>62</v>
      </c>
      <c r="AD1649" s="27">
        <v>611007</v>
      </c>
      <c r="AE1649" s="27" t="s">
        <v>1012</v>
      </c>
      <c r="AF1649" s="432">
        <f>VLOOKUP(AD1649,[5]Hoja1!$A$10:$K$1393,11,0)</f>
        <v>1818467</v>
      </c>
      <c r="AG1649" s="432"/>
      <c r="AH1649" s="432">
        <f t="shared" si="377"/>
        <v>1818</v>
      </c>
      <c r="AL1649" s="448"/>
      <c r="AM1649" s="467">
        <f>VLOOKUP(AD1649,[6]BV201101!$A$10:$A$1236,1,0)</f>
        <v>611007</v>
      </c>
    </row>
    <row r="1650" spans="1:39" s="467" customFormat="1" ht="12.75" customHeight="1">
      <c r="A1650" s="487" t="str">
        <f t="shared" si="376"/>
        <v>6</v>
      </c>
      <c r="B1650" s="487" t="str">
        <f t="shared" si="373"/>
        <v>11</v>
      </c>
      <c r="C1650" s="487" t="str">
        <f t="shared" si="374"/>
        <v>00</v>
      </c>
      <c r="D1650" s="487" t="str">
        <f t="shared" si="375"/>
        <v>1008</v>
      </c>
      <c r="E1650" s="487">
        <v>531201200</v>
      </c>
      <c r="F1650" s="488" t="str">
        <f t="shared" si="366"/>
        <v/>
      </c>
      <c r="G1650" s="487"/>
      <c r="H1650" s="487"/>
      <c r="I1650" s="488" t="str">
        <f t="shared" si="367"/>
        <v/>
      </c>
      <c r="J1650" s="487"/>
      <c r="K1650" s="487"/>
      <c r="L1650" s="488" t="str">
        <f t="shared" si="368"/>
        <v/>
      </c>
      <c r="M1650" s="487"/>
      <c r="N1650" s="487"/>
      <c r="O1650" s="488" t="str">
        <f t="shared" si="369"/>
        <v/>
      </c>
      <c r="P1650" s="489"/>
      <c r="Q1650" s="489"/>
      <c r="R1650" s="592" t="str">
        <f t="shared" si="370"/>
        <v/>
      </c>
      <c r="S1650" s="487"/>
      <c r="T1650" s="487"/>
      <c r="U1650" s="488" t="str">
        <f t="shared" si="371"/>
        <v/>
      </c>
      <c r="V1650" s="487"/>
      <c r="W1650" s="489"/>
      <c r="X1650" s="488" t="str">
        <f t="shared" si="372"/>
        <v/>
      </c>
      <c r="Y1650" s="489"/>
      <c r="Z1650" s="489"/>
      <c r="AA1650" s="490" t="str">
        <f t="shared" si="378"/>
        <v/>
      </c>
      <c r="AB1650" s="489"/>
      <c r="AC1650" s="489"/>
      <c r="AD1650" s="27">
        <v>611008</v>
      </c>
      <c r="AE1650" s="27" t="s">
        <v>1013</v>
      </c>
      <c r="AF1650" s="432">
        <f>VLOOKUP(AD1650,[5]Hoja1!$A$10:$K$1393,11,0)</f>
        <v>83581246</v>
      </c>
      <c r="AG1650" s="432"/>
      <c r="AH1650" s="432">
        <f t="shared" si="377"/>
        <v>83581</v>
      </c>
      <c r="AL1650" s="448"/>
      <c r="AM1650" s="467">
        <f>VLOOKUP(AD1650,[6]BV201101!$A$10:$A$1236,1,0)</f>
        <v>611008</v>
      </c>
    </row>
    <row r="1651" spans="1:39" s="467" customFormat="1" ht="12.75" customHeight="1">
      <c r="A1651" s="487" t="str">
        <f t="shared" si="376"/>
        <v>6</v>
      </c>
      <c r="B1651" s="487" t="str">
        <f t="shared" si="373"/>
        <v>11</v>
      </c>
      <c r="C1651" s="487" t="str">
        <f t="shared" si="374"/>
        <v>00</v>
      </c>
      <c r="D1651" s="487" t="str">
        <f t="shared" si="375"/>
        <v>1009</v>
      </c>
      <c r="E1651" s="487">
        <v>531201200</v>
      </c>
      <c r="F1651" s="488" t="str">
        <f t="shared" si="366"/>
        <v/>
      </c>
      <c r="G1651" s="487"/>
      <c r="H1651" s="487"/>
      <c r="I1651" s="488" t="str">
        <f t="shared" si="367"/>
        <v/>
      </c>
      <c r="J1651" s="487"/>
      <c r="K1651" s="487"/>
      <c r="L1651" s="488" t="str">
        <f t="shared" si="368"/>
        <v/>
      </c>
      <c r="M1651" s="487"/>
      <c r="N1651" s="487"/>
      <c r="O1651" s="488" t="str">
        <f t="shared" si="369"/>
        <v/>
      </c>
      <c r="P1651" s="489"/>
      <c r="Q1651" s="489"/>
      <c r="R1651" s="592" t="str">
        <f t="shared" si="370"/>
        <v/>
      </c>
      <c r="S1651" s="487"/>
      <c r="T1651" s="487"/>
      <c r="U1651" s="488" t="str">
        <f t="shared" si="371"/>
        <v/>
      </c>
      <c r="V1651" s="487"/>
      <c r="W1651" s="489"/>
      <c r="X1651" s="488" t="str">
        <f t="shared" si="372"/>
        <v/>
      </c>
      <c r="Y1651" s="489"/>
      <c r="Z1651" s="489"/>
      <c r="AA1651" s="490" t="str">
        <f t="shared" si="378"/>
        <v/>
      </c>
      <c r="AB1651" s="489"/>
      <c r="AC1651" s="489"/>
      <c r="AD1651" s="27">
        <v>611009</v>
      </c>
      <c r="AE1651" s="27" t="s">
        <v>2498</v>
      </c>
      <c r="AF1651" s="432">
        <v>0</v>
      </c>
      <c r="AG1651" s="432"/>
      <c r="AH1651" s="432">
        <f t="shared" si="377"/>
        <v>0</v>
      </c>
      <c r="AL1651" s="448"/>
      <c r="AM1651" s="467" t="e">
        <f>VLOOKUP(AD1651,[6]BV201101!$A$10:$A$1236,1,0)</f>
        <v>#N/A</v>
      </c>
    </row>
    <row r="1652" spans="1:39" s="467" customFormat="1" ht="12.75" customHeight="1">
      <c r="A1652" s="487" t="str">
        <f t="shared" si="376"/>
        <v>6</v>
      </c>
      <c r="B1652" s="487" t="str">
        <f t="shared" si="373"/>
        <v>11</v>
      </c>
      <c r="C1652" s="487" t="str">
        <f t="shared" si="374"/>
        <v>01</v>
      </c>
      <c r="D1652" s="487" t="str">
        <f t="shared" si="375"/>
        <v>1010</v>
      </c>
      <c r="E1652" s="487">
        <v>531201200</v>
      </c>
      <c r="F1652" s="488" t="str">
        <f t="shared" si="366"/>
        <v/>
      </c>
      <c r="G1652" s="487"/>
      <c r="H1652" s="487"/>
      <c r="I1652" s="488" t="str">
        <f t="shared" si="367"/>
        <v/>
      </c>
      <c r="J1652" s="487"/>
      <c r="K1652" s="487"/>
      <c r="L1652" s="488" t="str">
        <f t="shared" si="368"/>
        <v/>
      </c>
      <c r="M1652" s="487"/>
      <c r="N1652" s="487"/>
      <c r="O1652" s="488" t="str">
        <f t="shared" si="369"/>
        <v/>
      </c>
      <c r="P1652" s="489"/>
      <c r="Q1652" s="489"/>
      <c r="R1652" s="592" t="str">
        <f t="shared" si="370"/>
        <v/>
      </c>
      <c r="S1652" s="487"/>
      <c r="T1652" s="487"/>
      <c r="U1652" s="488" t="str">
        <f t="shared" si="371"/>
        <v/>
      </c>
      <c r="V1652" s="487"/>
      <c r="W1652" s="489"/>
      <c r="X1652" s="488" t="str">
        <f t="shared" si="372"/>
        <v/>
      </c>
      <c r="Y1652" s="489"/>
      <c r="Z1652" s="489"/>
      <c r="AA1652" s="490" t="str">
        <f t="shared" si="378"/>
        <v/>
      </c>
      <c r="AB1652" s="489"/>
      <c r="AC1652" s="489"/>
      <c r="AD1652" s="27">
        <v>611010</v>
      </c>
      <c r="AE1652" s="27" t="s">
        <v>290</v>
      </c>
      <c r="AF1652" s="432">
        <v>0</v>
      </c>
      <c r="AG1652" s="432"/>
      <c r="AH1652" s="432">
        <f t="shared" si="377"/>
        <v>0</v>
      </c>
      <c r="AL1652" s="448"/>
      <c r="AM1652" s="467" t="e">
        <f>VLOOKUP(AD1652,[6]BV201101!$A$10:$A$1236,1,0)</f>
        <v>#N/A</v>
      </c>
    </row>
    <row r="1653" spans="1:39" s="467" customFormat="1" ht="12.75" customHeight="1">
      <c r="A1653" s="487" t="str">
        <f t="shared" si="376"/>
        <v>6</v>
      </c>
      <c r="B1653" s="487" t="str">
        <f t="shared" si="373"/>
        <v>11</v>
      </c>
      <c r="C1653" s="487" t="str">
        <f t="shared" si="374"/>
        <v>01</v>
      </c>
      <c r="D1653" s="487" t="str">
        <f t="shared" si="375"/>
        <v>1011</v>
      </c>
      <c r="E1653" s="487">
        <v>532300000</v>
      </c>
      <c r="F1653" s="488" t="str">
        <f t="shared" si="366"/>
        <v/>
      </c>
      <c r="G1653" s="487"/>
      <c r="H1653" s="487"/>
      <c r="I1653" s="488" t="str">
        <f t="shared" si="367"/>
        <v/>
      </c>
      <c r="J1653" s="487"/>
      <c r="K1653" s="487"/>
      <c r="L1653" s="488" t="str">
        <f t="shared" si="368"/>
        <v/>
      </c>
      <c r="M1653" s="487"/>
      <c r="N1653" s="487"/>
      <c r="O1653" s="488" t="str">
        <f t="shared" si="369"/>
        <v/>
      </c>
      <c r="P1653" s="489"/>
      <c r="Q1653" s="489"/>
      <c r="R1653" s="592" t="str">
        <f t="shared" si="370"/>
        <v/>
      </c>
      <c r="S1653" s="487"/>
      <c r="T1653" s="487"/>
      <c r="U1653" s="488" t="str">
        <f t="shared" si="371"/>
        <v/>
      </c>
      <c r="V1653" s="487"/>
      <c r="W1653" s="489"/>
      <c r="X1653" s="488" t="str">
        <f t="shared" si="372"/>
        <v/>
      </c>
      <c r="Y1653" s="489"/>
      <c r="Z1653" s="489"/>
      <c r="AA1653" s="490" t="str">
        <f t="shared" si="378"/>
        <v/>
      </c>
      <c r="AB1653" s="489"/>
      <c r="AC1653" s="489"/>
      <c r="AD1653" s="27">
        <v>611011</v>
      </c>
      <c r="AE1653" s="27" t="s">
        <v>291</v>
      </c>
      <c r="AF1653" s="432">
        <f>VLOOKUP(AD1653,[5]Hoja1!$A$10:$K$1393,11,0)</f>
        <v>0</v>
      </c>
      <c r="AG1653" s="432"/>
      <c r="AH1653" s="432">
        <f t="shared" si="377"/>
        <v>0</v>
      </c>
      <c r="AL1653" s="448"/>
      <c r="AM1653" s="467">
        <f>VLOOKUP(AD1653,[6]BV201101!$A$10:$A$1236,1,0)</f>
        <v>611011</v>
      </c>
    </row>
    <row r="1654" spans="1:39" s="467" customFormat="1" ht="12.75" customHeight="1">
      <c r="A1654" s="487" t="str">
        <f t="shared" si="376"/>
        <v>6</v>
      </c>
      <c r="B1654" s="487" t="str">
        <f t="shared" si="373"/>
        <v>11</v>
      </c>
      <c r="C1654" s="487" t="str">
        <f t="shared" si="374"/>
        <v>01</v>
      </c>
      <c r="D1654" s="487" t="str">
        <f t="shared" si="375"/>
        <v>1012</v>
      </c>
      <c r="E1654" s="487">
        <v>532300000</v>
      </c>
      <c r="F1654" s="488" t="str">
        <f t="shared" si="366"/>
        <v/>
      </c>
      <c r="G1654" s="487"/>
      <c r="H1654" s="487"/>
      <c r="I1654" s="488" t="str">
        <f t="shared" si="367"/>
        <v/>
      </c>
      <c r="J1654" s="487"/>
      <c r="K1654" s="487"/>
      <c r="L1654" s="488" t="str">
        <f t="shared" si="368"/>
        <v/>
      </c>
      <c r="M1654" s="487"/>
      <c r="N1654" s="487"/>
      <c r="O1654" s="488" t="str">
        <f t="shared" si="369"/>
        <v/>
      </c>
      <c r="P1654" s="489"/>
      <c r="Q1654" s="489"/>
      <c r="R1654" s="592" t="str">
        <f t="shared" si="370"/>
        <v/>
      </c>
      <c r="S1654" s="487"/>
      <c r="T1654" s="487"/>
      <c r="U1654" s="488" t="str">
        <f t="shared" si="371"/>
        <v/>
      </c>
      <c r="V1654" s="487"/>
      <c r="W1654" s="489"/>
      <c r="X1654" s="488" t="str">
        <f t="shared" si="372"/>
        <v/>
      </c>
      <c r="Y1654" s="489"/>
      <c r="Z1654" s="489"/>
      <c r="AA1654" s="490" t="str">
        <f t="shared" si="378"/>
        <v/>
      </c>
      <c r="AB1654" s="489"/>
      <c r="AC1654" s="489"/>
      <c r="AD1654" s="27">
        <v>611012</v>
      </c>
      <c r="AE1654" s="27" t="s">
        <v>1747</v>
      </c>
      <c r="AF1654" s="432">
        <f>VLOOKUP(AD1654,[5]Hoja1!$A$10:$K$1393,11,0)</f>
        <v>-1114975</v>
      </c>
      <c r="AG1654" s="432"/>
      <c r="AH1654" s="432">
        <f t="shared" si="377"/>
        <v>-1115</v>
      </c>
      <c r="AL1654" s="448"/>
      <c r="AM1654" s="467">
        <f>VLOOKUP(AD1654,[6]BV201101!$A$10:$A$1236,1,0)</f>
        <v>611012</v>
      </c>
    </row>
    <row r="1655" spans="1:39" s="467" customFormat="1" ht="12.75" customHeight="1">
      <c r="A1655" s="487" t="str">
        <f t="shared" ref="A1655:A1720" si="379">+LEFT($AD1655,1)</f>
        <v>6</v>
      </c>
      <c r="B1655" s="487" t="str">
        <f t="shared" si="373"/>
        <v>11</v>
      </c>
      <c r="C1655" s="487" t="str">
        <f t="shared" si="374"/>
        <v>01</v>
      </c>
      <c r="D1655" s="487" t="str">
        <f t="shared" si="375"/>
        <v>1013</v>
      </c>
      <c r="E1655" s="487">
        <v>532300000</v>
      </c>
      <c r="F1655" s="488" t="str">
        <f t="shared" si="366"/>
        <v/>
      </c>
      <c r="G1655" s="487"/>
      <c r="H1655" s="487"/>
      <c r="I1655" s="488" t="str">
        <f t="shared" si="367"/>
        <v/>
      </c>
      <c r="J1655" s="487"/>
      <c r="K1655" s="487"/>
      <c r="L1655" s="488" t="str">
        <f t="shared" si="368"/>
        <v/>
      </c>
      <c r="M1655" s="487"/>
      <c r="N1655" s="487"/>
      <c r="O1655" s="488" t="str">
        <f t="shared" si="369"/>
        <v/>
      </c>
      <c r="P1655" s="489"/>
      <c r="Q1655" s="489"/>
      <c r="R1655" s="592" t="str">
        <f t="shared" si="370"/>
        <v/>
      </c>
      <c r="S1655" s="487"/>
      <c r="T1655" s="487"/>
      <c r="U1655" s="488" t="str">
        <f t="shared" si="371"/>
        <v/>
      </c>
      <c r="V1655" s="487"/>
      <c r="W1655" s="489"/>
      <c r="X1655" s="488" t="str">
        <f t="shared" si="372"/>
        <v/>
      </c>
      <c r="Y1655" s="489"/>
      <c r="Z1655" s="489"/>
      <c r="AA1655" s="490" t="str">
        <f t="shared" si="378"/>
        <v/>
      </c>
      <c r="AB1655" s="489"/>
      <c r="AC1655" s="489"/>
      <c r="AD1655" s="27">
        <v>611013</v>
      </c>
      <c r="AE1655" s="27" t="s">
        <v>2499</v>
      </c>
      <c r="AF1655" s="432">
        <f>VLOOKUP(AD1655,[5]Hoja1!$A$10:$K$1393,11,0)</f>
        <v>-149896581</v>
      </c>
      <c r="AG1655" s="432"/>
      <c r="AH1655" s="432">
        <f t="shared" si="377"/>
        <v>-149897</v>
      </c>
      <c r="AL1655" s="448"/>
      <c r="AM1655" s="467">
        <f>VLOOKUP(AD1655,[6]BV201101!$A$10:$A$1236,1,0)</f>
        <v>611013</v>
      </c>
    </row>
    <row r="1656" spans="1:39" s="467" customFormat="1" ht="12.75" customHeight="1">
      <c r="A1656" s="487" t="str">
        <f t="shared" si="379"/>
        <v>6</v>
      </c>
      <c r="B1656" s="487" t="str">
        <f t="shared" si="373"/>
        <v>11</v>
      </c>
      <c r="C1656" s="487" t="str">
        <f t="shared" si="374"/>
        <v>01</v>
      </c>
      <c r="D1656" s="487" t="str">
        <f t="shared" si="375"/>
        <v>1014</v>
      </c>
      <c r="E1656" s="487">
        <v>532300000</v>
      </c>
      <c r="F1656" s="488" t="str">
        <f t="shared" si="366"/>
        <v/>
      </c>
      <c r="G1656" s="487"/>
      <c r="H1656" s="487"/>
      <c r="I1656" s="488" t="str">
        <f t="shared" si="367"/>
        <v/>
      </c>
      <c r="J1656" s="487"/>
      <c r="K1656" s="487"/>
      <c r="L1656" s="488" t="str">
        <f t="shared" si="368"/>
        <v/>
      </c>
      <c r="M1656" s="487"/>
      <c r="N1656" s="487"/>
      <c r="O1656" s="488" t="str">
        <f t="shared" si="369"/>
        <v/>
      </c>
      <c r="P1656" s="489"/>
      <c r="Q1656" s="489"/>
      <c r="R1656" s="592" t="str">
        <f t="shared" si="370"/>
        <v/>
      </c>
      <c r="S1656" s="487"/>
      <c r="T1656" s="487"/>
      <c r="U1656" s="488" t="str">
        <f t="shared" si="371"/>
        <v/>
      </c>
      <c r="V1656" s="487"/>
      <c r="W1656" s="489"/>
      <c r="X1656" s="488" t="str">
        <f t="shared" si="372"/>
        <v/>
      </c>
      <c r="Y1656" s="489"/>
      <c r="Z1656" s="489"/>
      <c r="AA1656" s="490" t="str">
        <f t="shared" si="378"/>
        <v/>
      </c>
      <c r="AB1656" s="489"/>
      <c r="AC1656" s="489"/>
      <c r="AD1656" s="27">
        <v>611014</v>
      </c>
      <c r="AE1656" s="27" t="s">
        <v>292</v>
      </c>
      <c r="AF1656" s="432">
        <f>VLOOKUP(AD1656,[5]Hoja1!$A$10:$K$1393,11,0)</f>
        <v>-39815032</v>
      </c>
      <c r="AG1656" s="432"/>
      <c r="AH1656" s="432">
        <f t="shared" si="377"/>
        <v>-39815</v>
      </c>
      <c r="AL1656" s="448"/>
      <c r="AM1656" s="467">
        <f>VLOOKUP(AD1656,[6]BV201101!$A$10:$A$1236,1,0)</f>
        <v>611014</v>
      </c>
    </row>
    <row r="1657" spans="1:39" s="467" customFormat="1" ht="12.75" customHeight="1">
      <c r="A1657" s="487" t="str">
        <f t="shared" si="379"/>
        <v>6</v>
      </c>
      <c r="B1657" s="487" t="str">
        <f t="shared" si="373"/>
        <v>11</v>
      </c>
      <c r="C1657" s="487" t="str">
        <f t="shared" si="374"/>
        <v>01</v>
      </c>
      <c r="D1657" s="487" t="str">
        <f t="shared" si="375"/>
        <v>1015</v>
      </c>
      <c r="E1657" s="487">
        <v>532300000</v>
      </c>
      <c r="F1657" s="488" t="str">
        <f t="shared" si="366"/>
        <v/>
      </c>
      <c r="G1657" s="487"/>
      <c r="H1657" s="487"/>
      <c r="I1657" s="488" t="str">
        <f t="shared" si="367"/>
        <v/>
      </c>
      <c r="J1657" s="487"/>
      <c r="K1657" s="487"/>
      <c r="L1657" s="488" t="str">
        <f t="shared" si="368"/>
        <v/>
      </c>
      <c r="M1657" s="487"/>
      <c r="N1657" s="487"/>
      <c r="O1657" s="488" t="str">
        <f t="shared" si="369"/>
        <v/>
      </c>
      <c r="P1657" s="489"/>
      <c r="Q1657" s="489"/>
      <c r="R1657" s="592" t="str">
        <f t="shared" si="370"/>
        <v/>
      </c>
      <c r="S1657" s="487"/>
      <c r="T1657" s="487"/>
      <c r="U1657" s="488" t="str">
        <f t="shared" si="371"/>
        <v/>
      </c>
      <c r="V1657" s="487"/>
      <c r="W1657" s="489"/>
      <c r="X1657" s="488" t="str">
        <f t="shared" si="372"/>
        <v/>
      </c>
      <c r="Y1657" s="489"/>
      <c r="Z1657" s="489"/>
      <c r="AA1657" s="490" t="str">
        <f t="shared" si="378"/>
        <v/>
      </c>
      <c r="AB1657" s="489"/>
      <c r="AC1657" s="489"/>
      <c r="AD1657" s="27">
        <v>611015</v>
      </c>
      <c r="AE1657" s="27" t="s">
        <v>293</v>
      </c>
      <c r="AF1657" s="432">
        <f>VLOOKUP(AD1657,[5]Hoja1!$A$10:$K$1393,11,0)</f>
        <v>0</v>
      </c>
      <c r="AG1657" s="432"/>
      <c r="AH1657" s="432">
        <f t="shared" si="377"/>
        <v>0</v>
      </c>
      <c r="AL1657" s="448"/>
      <c r="AM1657" s="467">
        <f>VLOOKUP(AD1657,[6]BV201101!$A$10:$A$1236,1,0)</f>
        <v>611015</v>
      </c>
    </row>
    <row r="1658" spans="1:39" s="467" customFormat="1" ht="12.75" customHeight="1">
      <c r="A1658" s="487" t="str">
        <f t="shared" si="379"/>
        <v>6</v>
      </c>
      <c r="B1658" s="487" t="str">
        <f t="shared" si="373"/>
        <v>11</v>
      </c>
      <c r="C1658" s="487" t="str">
        <f t="shared" si="374"/>
        <v>01</v>
      </c>
      <c r="D1658" s="487" t="str">
        <f t="shared" si="375"/>
        <v>1016</v>
      </c>
      <c r="E1658" s="487">
        <v>531201200</v>
      </c>
      <c r="F1658" s="488" t="str">
        <f t="shared" si="366"/>
        <v/>
      </c>
      <c r="G1658" s="487"/>
      <c r="H1658" s="487"/>
      <c r="I1658" s="488" t="str">
        <f t="shared" si="367"/>
        <v/>
      </c>
      <c r="J1658" s="487"/>
      <c r="K1658" s="487"/>
      <c r="L1658" s="488" t="str">
        <f t="shared" si="368"/>
        <v/>
      </c>
      <c r="M1658" s="487"/>
      <c r="N1658" s="487"/>
      <c r="O1658" s="488" t="str">
        <f t="shared" si="369"/>
        <v/>
      </c>
      <c r="P1658" s="489"/>
      <c r="Q1658" s="489"/>
      <c r="R1658" s="592" t="str">
        <f t="shared" si="370"/>
        <v/>
      </c>
      <c r="S1658" s="487"/>
      <c r="T1658" s="487"/>
      <c r="U1658" s="488" t="str">
        <f t="shared" si="371"/>
        <v/>
      </c>
      <c r="V1658" s="487"/>
      <c r="W1658" s="489"/>
      <c r="X1658" s="488" t="str">
        <f t="shared" si="372"/>
        <v/>
      </c>
      <c r="Y1658" s="489"/>
      <c r="Z1658" s="489"/>
      <c r="AA1658" s="490" t="str">
        <f t="shared" si="378"/>
        <v/>
      </c>
      <c r="AB1658" s="489"/>
      <c r="AC1658" s="489"/>
      <c r="AD1658" s="27">
        <v>611016</v>
      </c>
      <c r="AE1658" s="27" t="s">
        <v>294</v>
      </c>
      <c r="AF1658" s="432">
        <f>VLOOKUP(AD1658,[5]Hoja1!$A$10:$K$1393,11,0)</f>
        <v>1220779</v>
      </c>
      <c r="AG1658" s="432"/>
      <c r="AH1658" s="432">
        <f t="shared" si="377"/>
        <v>1221</v>
      </c>
      <c r="AL1658" s="448"/>
      <c r="AM1658" s="467">
        <f>VLOOKUP(AD1658,[6]BV201101!$A$10:$A$1236,1,0)</f>
        <v>611016</v>
      </c>
    </row>
    <row r="1659" spans="1:39" s="467" customFormat="1" ht="12.75" customHeight="1">
      <c r="A1659" s="487" t="str">
        <f t="shared" si="379"/>
        <v>6</v>
      </c>
      <c r="B1659" s="487" t="str">
        <f t="shared" si="373"/>
        <v>11</v>
      </c>
      <c r="C1659" s="487" t="str">
        <f t="shared" si="374"/>
        <v>01</v>
      </c>
      <c r="D1659" s="487" t="str">
        <f t="shared" si="375"/>
        <v>1017</v>
      </c>
      <c r="E1659" s="487">
        <v>531201200</v>
      </c>
      <c r="F1659" s="488" t="str">
        <f t="shared" si="366"/>
        <v/>
      </c>
      <c r="G1659" s="487"/>
      <c r="H1659" s="487"/>
      <c r="I1659" s="488" t="str">
        <f t="shared" si="367"/>
        <v/>
      </c>
      <c r="J1659" s="487"/>
      <c r="K1659" s="487"/>
      <c r="L1659" s="488" t="str">
        <f t="shared" si="368"/>
        <v/>
      </c>
      <c r="M1659" s="487"/>
      <c r="N1659" s="487"/>
      <c r="O1659" s="488" t="str">
        <f t="shared" si="369"/>
        <v/>
      </c>
      <c r="P1659" s="489"/>
      <c r="Q1659" s="489"/>
      <c r="R1659" s="592" t="str">
        <f t="shared" si="370"/>
        <v/>
      </c>
      <c r="S1659" s="487"/>
      <c r="T1659" s="487"/>
      <c r="U1659" s="488" t="str">
        <f t="shared" si="371"/>
        <v/>
      </c>
      <c r="V1659" s="487"/>
      <c r="W1659" s="489"/>
      <c r="X1659" s="488" t="str">
        <f t="shared" si="372"/>
        <v/>
      </c>
      <c r="Y1659" s="489"/>
      <c r="Z1659" s="489"/>
      <c r="AA1659" s="490" t="str">
        <f t="shared" si="378"/>
        <v/>
      </c>
      <c r="AB1659" s="489"/>
      <c r="AC1659" s="489"/>
      <c r="AD1659" s="27">
        <v>611017</v>
      </c>
      <c r="AE1659" s="27" t="s">
        <v>1324</v>
      </c>
      <c r="AF1659" s="432">
        <f>VLOOKUP(AD1659,[5]Hoja1!$A$10:$K$1393,11,0)</f>
        <v>32846860</v>
      </c>
      <c r="AG1659" s="432"/>
      <c r="AH1659" s="432">
        <f t="shared" si="377"/>
        <v>32847</v>
      </c>
      <c r="AL1659" s="448"/>
      <c r="AM1659" s="467">
        <f>VLOOKUP(AD1659,[6]BV201101!$A$10:$A$1236,1,0)</f>
        <v>611017</v>
      </c>
    </row>
    <row r="1660" spans="1:39" s="467" customFormat="1" ht="12.75" customHeight="1">
      <c r="A1660" s="487" t="str">
        <f t="shared" si="379"/>
        <v>6</v>
      </c>
      <c r="B1660" s="487" t="str">
        <f t="shared" si="373"/>
        <v>11</v>
      </c>
      <c r="C1660" s="487" t="str">
        <f t="shared" si="374"/>
        <v>01</v>
      </c>
      <c r="D1660" s="487" t="str">
        <f t="shared" si="375"/>
        <v>1018</v>
      </c>
      <c r="E1660" s="487">
        <v>531201200</v>
      </c>
      <c r="F1660" s="488" t="str">
        <f t="shared" si="366"/>
        <v/>
      </c>
      <c r="G1660" s="487"/>
      <c r="H1660" s="487"/>
      <c r="I1660" s="488" t="str">
        <f t="shared" si="367"/>
        <v/>
      </c>
      <c r="J1660" s="487"/>
      <c r="K1660" s="487"/>
      <c r="L1660" s="488" t="str">
        <f t="shared" si="368"/>
        <v/>
      </c>
      <c r="M1660" s="487"/>
      <c r="N1660" s="487"/>
      <c r="O1660" s="488" t="str">
        <f t="shared" si="369"/>
        <v/>
      </c>
      <c r="P1660" s="489"/>
      <c r="Q1660" s="489"/>
      <c r="R1660" s="592" t="str">
        <f t="shared" si="370"/>
        <v/>
      </c>
      <c r="S1660" s="487"/>
      <c r="T1660" s="487"/>
      <c r="U1660" s="488" t="str">
        <f t="shared" si="371"/>
        <v/>
      </c>
      <c r="V1660" s="487"/>
      <c r="W1660" s="489"/>
      <c r="X1660" s="488" t="str">
        <f t="shared" si="372"/>
        <v/>
      </c>
      <c r="Y1660" s="489"/>
      <c r="Z1660" s="489"/>
      <c r="AA1660" s="490" t="str">
        <f t="shared" si="378"/>
        <v/>
      </c>
      <c r="AB1660" s="489"/>
      <c r="AC1660" s="489"/>
      <c r="AD1660" s="27">
        <v>611018</v>
      </c>
      <c r="AE1660" s="27" t="s">
        <v>1325</v>
      </c>
      <c r="AF1660" s="432">
        <v>0</v>
      </c>
      <c r="AG1660" s="432"/>
      <c r="AH1660" s="432">
        <f t="shared" si="377"/>
        <v>0</v>
      </c>
      <c r="AL1660" s="448"/>
      <c r="AM1660" s="467" t="e">
        <f>VLOOKUP(AD1660,[6]BV201101!$A$10:$A$1236,1,0)</f>
        <v>#N/A</v>
      </c>
    </row>
    <row r="1661" spans="1:39" s="467" customFormat="1" ht="12.75" customHeight="1">
      <c r="A1661" s="487" t="str">
        <f t="shared" si="379"/>
        <v>6</v>
      </c>
      <c r="B1661" s="487" t="str">
        <f t="shared" si="373"/>
        <v>11</v>
      </c>
      <c r="C1661" s="487" t="str">
        <f t="shared" si="374"/>
        <v>01</v>
      </c>
      <c r="D1661" s="487" t="str">
        <f t="shared" si="375"/>
        <v>1019</v>
      </c>
      <c r="E1661" s="487">
        <v>531201200</v>
      </c>
      <c r="F1661" s="488"/>
      <c r="G1661" s="487"/>
      <c r="H1661" s="487"/>
      <c r="I1661" s="488"/>
      <c r="J1661" s="487"/>
      <c r="K1661" s="487"/>
      <c r="L1661" s="488"/>
      <c r="M1661" s="487"/>
      <c r="N1661" s="487"/>
      <c r="O1661" s="488"/>
      <c r="P1661" s="489"/>
      <c r="Q1661" s="489"/>
      <c r="R1661" s="592"/>
      <c r="S1661" s="487"/>
      <c r="T1661" s="487"/>
      <c r="U1661" s="488"/>
      <c r="V1661" s="487"/>
      <c r="W1661" s="489"/>
      <c r="X1661" s="488"/>
      <c r="Y1661" s="489"/>
      <c r="Z1661" s="489"/>
      <c r="AA1661" s="490"/>
      <c r="AB1661" s="489"/>
      <c r="AC1661" s="489"/>
      <c r="AD1661" s="27">
        <v>611019</v>
      </c>
      <c r="AE1661" s="27" t="s">
        <v>1633</v>
      </c>
      <c r="AF1661" s="432">
        <v>0</v>
      </c>
      <c r="AG1661" s="432"/>
      <c r="AH1661" s="432">
        <f t="shared" si="377"/>
        <v>0</v>
      </c>
      <c r="AL1661" s="448"/>
      <c r="AM1661" s="467" t="e">
        <f>VLOOKUP(AD1661,[6]BV201101!$A$10:$A$1236,1,0)</f>
        <v>#N/A</v>
      </c>
    </row>
    <row r="1662" spans="1:39" s="467" customFormat="1" ht="12.75" customHeight="1">
      <c r="A1662" s="487" t="str">
        <f t="shared" si="379"/>
        <v>6</v>
      </c>
      <c r="B1662" s="487" t="str">
        <f t="shared" si="373"/>
        <v>11</v>
      </c>
      <c r="C1662" s="487" t="str">
        <f t="shared" si="374"/>
        <v>02</v>
      </c>
      <c r="D1662" s="487" t="str">
        <f t="shared" si="375"/>
        <v>1020</v>
      </c>
      <c r="E1662" s="487">
        <v>532300000</v>
      </c>
      <c r="F1662" s="488"/>
      <c r="G1662" s="487"/>
      <c r="H1662" s="487"/>
      <c r="I1662" s="488"/>
      <c r="J1662" s="487"/>
      <c r="K1662" s="487"/>
      <c r="L1662" s="488"/>
      <c r="M1662" s="487"/>
      <c r="N1662" s="487"/>
      <c r="O1662" s="488"/>
      <c r="P1662" s="489"/>
      <c r="Q1662" s="489"/>
      <c r="R1662" s="592"/>
      <c r="S1662" s="487"/>
      <c r="T1662" s="487"/>
      <c r="U1662" s="488"/>
      <c r="V1662" s="487"/>
      <c r="W1662" s="489"/>
      <c r="X1662" s="488"/>
      <c r="Y1662" s="489"/>
      <c r="Z1662" s="489"/>
      <c r="AA1662" s="490"/>
      <c r="AB1662" s="489"/>
      <c r="AC1662" s="489"/>
      <c r="AD1662" s="27">
        <v>611020</v>
      </c>
      <c r="AE1662" s="27" t="s">
        <v>647</v>
      </c>
      <c r="AF1662" s="432">
        <f>VLOOKUP(AD1662,[5]Hoja1!$A$10:$K$1393,11,0)</f>
        <v>0</v>
      </c>
      <c r="AG1662" s="432"/>
      <c r="AH1662" s="432">
        <f t="shared" si="377"/>
        <v>0</v>
      </c>
      <c r="AL1662" s="448"/>
      <c r="AM1662" s="467">
        <f>VLOOKUP(AD1662,[6]BV201101!$A$10:$A$1236,1,0)</f>
        <v>611020</v>
      </c>
    </row>
    <row r="1663" spans="1:39" s="467" customFormat="1" ht="12.75" customHeight="1">
      <c r="A1663" s="487" t="str">
        <f t="shared" si="379"/>
        <v>6</v>
      </c>
      <c r="B1663" s="487" t="str">
        <f t="shared" si="373"/>
        <v>11</v>
      </c>
      <c r="C1663" s="487" t="str">
        <f t="shared" si="374"/>
        <v>02</v>
      </c>
      <c r="D1663" s="487" t="str">
        <f t="shared" si="375"/>
        <v>1021</v>
      </c>
      <c r="E1663" s="487">
        <v>531201200</v>
      </c>
      <c r="F1663" s="488"/>
      <c r="G1663" s="487"/>
      <c r="H1663" s="487"/>
      <c r="I1663" s="488"/>
      <c r="J1663" s="487"/>
      <c r="K1663" s="487"/>
      <c r="L1663" s="488"/>
      <c r="M1663" s="487"/>
      <c r="N1663" s="487"/>
      <c r="O1663" s="488"/>
      <c r="P1663" s="489"/>
      <c r="Q1663" s="489"/>
      <c r="R1663" s="592"/>
      <c r="S1663" s="487"/>
      <c r="T1663" s="487"/>
      <c r="U1663" s="488"/>
      <c r="V1663" s="487"/>
      <c r="W1663" s="489"/>
      <c r="X1663" s="488"/>
      <c r="Y1663" s="489"/>
      <c r="Z1663" s="489"/>
      <c r="AA1663" s="490"/>
      <c r="AB1663" s="489"/>
      <c r="AC1663" s="489"/>
      <c r="AD1663" s="27">
        <v>611021</v>
      </c>
      <c r="AE1663" s="27" t="s">
        <v>541</v>
      </c>
      <c r="AF1663" s="432">
        <f>VLOOKUP(AD1663,[5]Hoja1!$A$10:$K$1393,11,0)</f>
        <v>0</v>
      </c>
      <c r="AG1663" s="432"/>
      <c r="AH1663" s="432">
        <f t="shared" si="377"/>
        <v>0</v>
      </c>
      <c r="AL1663" s="448"/>
      <c r="AM1663" s="467">
        <f>VLOOKUP(AD1663,[6]BV201101!$A$10:$A$1236,1,0)</f>
        <v>611021</v>
      </c>
    </row>
    <row r="1664" spans="1:39" s="467" customFormat="1" ht="12.75" customHeight="1">
      <c r="A1664" s="487" t="str">
        <f t="shared" si="379"/>
        <v>6</v>
      </c>
      <c r="B1664" s="487" t="str">
        <f t="shared" si="373"/>
        <v>11</v>
      </c>
      <c r="C1664" s="487" t="str">
        <f t="shared" si="374"/>
        <v>02</v>
      </c>
      <c r="D1664" s="487" t="str">
        <f t="shared" si="375"/>
        <v>1022</v>
      </c>
      <c r="E1664" s="487">
        <v>531201200</v>
      </c>
      <c r="F1664" s="488"/>
      <c r="G1664" s="487"/>
      <c r="H1664" s="487"/>
      <c r="I1664" s="488"/>
      <c r="J1664" s="487"/>
      <c r="K1664" s="487"/>
      <c r="L1664" s="488"/>
      <c r="M1664" s="487"/>
      <c r="N1664" s="487"/>
      <c r="O1664" s="488"/>
      <c r="P1664" s="489"/>
      <c r="Q1664" s="489"/>
      <c r="R1664" s="592"/>
      <c r="S1664" s="487"/>
      <c r="T1664" s="487"/>
      <c r="U1664" s="488"/>
      <c r="V1664" s="487"/>
      <c r="W1664" s="489"/>
      <c r="X1664" s="488"/>
      <c r="Y1664" s="489"/>
      <c r="Z1664" s="489"/>
      <c r="AA1664" s="490"/>
      <c r="AB1664" s="489"/>
      <c r="AC1664" s="489"/>
      <c r="AD1664" s="27">
        <v>611022</v>
      </c>
      <c r="AE1664" s="27" t="s">
        <v>2500</v>
      </c>
      <c r="AF1664" s="432">
        <f>VLOOKUP(AD1664,[5]Hoja1!$A$10:$K$1393,11,0)</f>
        <v>0</v>
      </c>
      <c r="AG1664" s="432"/>
      <c r="AH1664" s="432">
        <f t="shared" si="377"/>
        <v>0</v>
      </c>
      <c r="AL1664" s="448"/>
      <c r="AM1664" s="467">
        <f>VLOOKUP(AD1664,[6]BV201101!$A$10:$A$1236,1,0)</f>
        <v>611022</v>
      </c>
    </row>
    <row r="1665" spans="1:39" s="467" customFormat="1" ht="12.75" customHeight="1">
      <c r="A1665" s="487" t="str">
        <f t="shared" si="379"/>
        <v>6</v>
      </c>
      <c r="B1665" s="487" t="str">
        <f t="shared" si="373"/>
        <v>11</v>
      </c>
      <c r="C1665" s="487" t="str">
        <f t="shared" si="374"/>
        <v>02</v>
      </c>
      <c r="D1665" s="487" t="str">
        <f t="shared" si="375"/>
        <v>1023</v>
      </c>
      <c r="E1665" s="487">
        <v>531201200</v>
      </c>
      <c r="F1665" s="488"/>
      <c r="G1665" s="487"/>
      <c r="H1665" s="487"/>
      <c r="I1665" s="488"/>
      <c r="J1665" s="487"/>
      <c r="K1665" s="487"/>
      <c r="L1665" s="488"/>
      <c r="M1665" s="487"/>
      <c r="N1665" s="487"/>
      <c r="O1665" s="488"/>
      <c r="P1665" s="489"/>
      <c r="Q1665" s="489"/>
      <c r="R1665" s="592"/>
      <c r="S1665" s="487"/>
      <c r="T1665" s="487"/>
      <c r="U1665" s="488"/>
      <c r="V1665" s="487"/>
      <c r="W1665" s="489"/>
      <c r="X1665" s="488"/>
      <c r="Y1665" s="489"/>
      <c r="Z1665" s="489"/>
      <c r="AA1665" s="490"/>
      <c r="AB1665" s="489"/>
      <c r="AC1665" s="489"/>
      <c r="AD1665" s="27">
        <v>611023</v>
      </c>
      <c r="AE1665" s="27" t="s">
        <v>928</v>
      </c>
      <c r="AF1665" s="432">
        <f>VLOOKUP(AD1665,[5]Hoja1!$A$10:$K$1393,11,0)</f>
        <v>0</v>
      </c>
      <c r="AG1665" s="432"/>
      <c r="AH1665" s="432">
        <f t="shared" si="377"/>
        <v>0</v>
      </c>
      <c r="AL1665" s="448"/>
      <c r="AM1665" s="467">
        <f>VLOOKUP(AD1665,[6]BV201101!$A$10:$A$1236,1,0)</f>
        <v>611023</v>
      </c>
    </row>
    <row r="1666" spans="1:39" s="467" customFormat="1" ht="12.75" customHeight="1">
      <c r="A1666" s="487" t="str">
        <f t="shared" si="379"/>
        <v>6</v>
      </c>
      <c r="B1666" s="487" t="str">
        <f t="shared" si="373"/>
        <v>11</v>
      </c>
      <c r="C1666" s="487" t="str">
        <f t="shared" si="374"/>
        <v>02</v>
      </c>
      <c r="D1666" s="487" t="str">
        <f t="shared" si="375"/>
        <v>1024</v>
      </c>
      <c r="E1666" s="487">
        <v>531201200</v>
      </c>
      <c r="F1666" s="488"/>
      <c r="G1666" s="487"/>
      <c r="H1666" s="487"/>
      <c r="I1666" s="488"/>
      <c r="J1666" s="487"/>
      <c r="K1666" s="487"/>
      <c r="L1666" s="488"/>
      <c r="M1666" s="487"/>
      <c r="N1666" s="487"/>
      <c r="O1666" s="488"/>
      <c r="P1666" s="489"/>
      <c r="Q1666" s="489"/>
      <c r="R1666" s="592"/>
      <c r="S1666" s="487"/>
      <c r="T1666" s="487"/>
      <c r="U1666" s="488"/>
      <c r="V1666" s="487"/>
      <c r="W1666" s="489"/>
      <c r="X1666" s="488"/>
      <c r="Y1666" s="489"/>
      <c r="Z1666" s="489"/>
      <c r="AA1666" s="490" t="str">
        <f>+AB1666&amp;AC1666</f>
        <v>261</v>
      </c>
      <c r="AB1666" s="489">
        <v>2</v>
      </c>
      <c r="AC1666" s="489">
        <v>61</v>
      </c>
      <c r="AD1666" s="27">
        <v>611024</v>
      </c>
      <c r="AE1666" s="27" t="s">
        <v>2501</v>
      </c>
      <c r="AF1666" s="432">
        <f>VLOOKUP(AD1666,[5]Hoja1!$A$10:$K$1393,11,0)</f>
        <v>44489654</v>
      </c>
      <c r="AG1666" s="432"/>
      <c r="AH1666" s="432">
        <f t="shared" si="377"/>
        <v>44490</v>
      </c>
      <c r="AL1666" s="448"/>
      <c r="AM1666" s="467">
        <f>VLOOKUP(AD1666,[6]BV201101!$A$10:$A$1236,1,0)</f>
        <v>611024</v>
      </c>
    </row>
    <row r="1667" spans="1:39" s="467" customFormat="1" ht="12.75" customHeight="1">
      <c r="A1667" s="487" t="str">
        <f t="shared" si="379"/>
        <v>6</v>
      </c>
      <c r="B1667" s="487" t="str">
        <f t="shared" si="373"/>
        <v>11</v>
      </c>
      <c r="C1667" s="487" t="str">
        <f t="shared" si="374"/>
        <v>02</v>
      </c>
      <c r="D1667" s="487" t="str">
        <f t="shared" si="375"/>
        <v>1026</v>
      </c>
      <c r="E1667" s="487">
        <v>532300000</v>
      </c>
      <c r="F1667" s="488"/>
      <c r="G1667" s="487"/>
      <c r="H1667" s="487"/>
      <c r="I1667" s="488"/>
      <c r="J1667" s="487"/>
      <c r="K1667" s="487"/>
      <c r="L1667" s="488"/>
      <c r="M1667" s="487"/>
      <c r="N1667" s="487"/>
      <c r="O1667" s="488"/>
      <c r="P1667" s="489"/>
      <c r="Q1667" s="489"/>
      <c r="R1667" s="592"/>
      <c r="S1667" s="487"/>
      <c r="T1667" s="487"/>
      <c r="U1667" s="488"/>
      <c r="V1667" s="487"/>
      <c r="W1667" s="489"/>
      <c r="X1667" s="488"/>
      <c r="Y1667" s="489"/>
      <c r="Z1667" s="489"/>
      <c r="AA1667" s="490"/>
      <c r="AB1667" s="489"/>
      <c r="AC1667" s="489"/>
      <c r="AD1667" s="27">
        <v>611026</v>
      </c>
      <c r="AE1667" s="27" t="s">
        <v>2946</v>
      </c>
      <c r="AF1667" s="432">
        <f>VLOOKUP(AD1667,[5]Hoja1!$A$10:$K$1393,11,0)</f>
        <v>0</v>
      </c>
      <c r="AG1667" s="432"/>
      <c r="AH1667" s="432">
        <f t="shared" si="377"/>
        <v>0</v>
      </c>
      <c r="AL1667" s="448"/>
    </row>
    <row r="1668" spans="1:39" s="467" customFormat="1" ht="12.75" customHeight="1">
      <c r="A1668" s="487" t="str">
        <f t="shared" si="379"/>
        <v>6</v>
      </c>
      <c r="B1668" s="487" t="str">
        <f t="shared" si="373"/>
        <v>11</v>
      </c>
      <c r="C1668" s="487" t="str">
        <f t="shared" si="374"/>
        <v>02</v>
      </c>
      <c r="D1668" s="487" t="str">
        <f t="shared" si="375"/>
        <v>1027</v>
      </c>
      <c r="E1668" s="487">
        <v>532300000</v>
      </c>
      <c r="F1668" s="488"/>
      <c r="G1668" s="487"/>
      <c r="H1668" s="487"/>
      <c r="I1668" s="488"/>
      <c r="J1668" s="487"/>
      <c r="K1668" s="487"/>
      <c r="L1668" s="488"/>
      <c r="M1668" s="487"/>
      <c r="N1668" s="487"/>
      <c r="O1668" s="488"/>
      <c r="P1668" s="489"/>
      <c r="Q1668" s="489"/>
      <c r="R1668" s="592"/>
      <c r="S1668" s="487"/>
      <c r="T1668" s="487"/>
      <c r="U1668" s="488"/>
      <c r="V1668" s="487"/>
      <c r="W1668" s="489"/>
      <c r="X1668" s="488"/>
      <c r="Y1668" s="489"/>
      <c r="Z1668" s="489"/>
      <c r="AA1668" s="490"/>
      <c r="AB1668" s="489"/>
      <c r="AC1668" s="489"/>
      <c r="AD1668" s="27">
        <v>611027</v>
      </c>
      <c r="AE1668" s="27" t="s">
        <v>3088</v>
      </c>
      <c r="AF1668" s="432">
        <f>VLOOKUP(AD1668,[5]Hoja1!$A$10:$K$1393,11,0)</f>
        <v>125068732</v>
      </c>
      <c r="AG1668" s="432"/>
      <c r="AH1668" s="432">
        <f t="shared" si="377"/>
        <v>125069</v>
      </c>
      <c r="AL1668" s="448"/>
    </row>
    <row r="1669" spans="1:39" s="467" customFormat="1" ht="12.75" customHeight="1">
      <c r="A1669" s="487" t="str">
        <f t="shared" si="379"/>
        <v>6</v>
      </c>
      <c r="B1669" s="487" t="str">
        <f t="shared" si="373"/>
        <v>11</v>
      </c>
      <c r="C1669" s="487" t="str">
        <f t="shared" si="374"/>
        <v>05</v>
      </c>
      <c r="D1669" s="487" t="str">
        <f t="shared" si="375"/>
        <v>1050</v>
      </c>
      <c r="E1669" s="487">
        <v>532300000</v>
      </c>
      <c r="F1669" s="488"/>
      <c r="G1669" s="487"/>
      <c r="H1669" s="487"/>
      <c r="I1669" s="488"/>
      <c r="J1669" s="487"/>
      <c r="K1669" s="487"/>
      <c r="L1669" s="488"/>
      <c r="M1669" s="487"/>
      <c r="N1669" s="487"/>
      <c r="O1669" s="488"/>
      <c r="P1669" s="489"/>
      <c r="Q1669" s="489"/>
      <c r="R1669" s="592"/>
      <c r="S1669" s="487"/>
      <c r="T1669" s="487"/>
      <c r="U1669" s="488"/>
      <c r="V1669" s="487"/>
      <c r="W1669" s="489"/>
      <c r="X1669" s="488"/>
      <c r="Y1669" s="489"/>
      <c r="Z1669" s="489"/>
      <c r="AA1669" s="490"/>
      <c r="AB1669" s="489"/>
      <c r="AC1669" s="489"/>
      <c r="AD1669" s="27">
        <v>611050</v>
      </c>
      <c r="AE1669" s="27" t="s">
        <v>1307</v>
      </c>
      <c r="AF1669" s="432">
        <f>VLOOKUP(AD1669,[5]Hoja1!$A$10:$K$1393,11,0)</f>
        <v>0</v>
      </c>
      <c r="AG1669" s="432"/>
      <c r="AH1669" s="432">
        <f t="shared" si="377"/>
        <v>0</v>
      </c>
      <c r="AL1669" s="448"/>
      <c r="AM1669" s="467">
        <f>VLOOKUP(AD1669,[6]BV201101!$A$10:$A$1236,1,0)</f>
        <v>611050</v>
      </c>
    </row>
    <row r="1670" spans="1:39" s="467" customFormat="1" ht="12.75" customHeight="1">
      <c r="A1670" s="487" t="str">
        <f t="shared" si="379"/>
        <v>6</v>
      </c>
      <c r="B1670" s="487" t="str">
        <f t="shared" si="373"/>
        <v>11</v>
      </c>
      <c r="C1670" s="487" t="str">
        <f t="shared" si="374"/>
        <v>05</v>
      </c>
      <c r="D1670" s="487" t="str">
        <f t="shared" si="375"/>
        <v>1051</v>
      </c>
      <c r="E1670" s="487">
        <v>532300000</v>
      </c>
      <c r="F1670" s="488" t="str">
        <f t="shared" si="366"/>
        <v/>
      </c>
      <c r="G1670" s="487"/>
      <c r="H1670" s="487"/>
      <c r="I1670" s="488" t="str">
        <f t="shared" si="367"/>
        <v/>
      </c>
      <c r="J1670" s="487"/>
      <c r="K1670" s="487"/>
      <c r="L1670" s="488" t="str">
        <f t="shared" si="368"/>
        <v/>
      </c>
      <c r="M1670" s="487"/>
      <c r="N1670" s="487"/>
      <c r="O1670" s="488" t="str">
        <f t="shared" si="369"/>
        <v/>
      </c>
      <c r="P1670" s="489"/>
      <c r="Q1670" s="489"/>
      <c r="R1670" s="592" t="str">
        <f t="shared" si="370"/>
        <v/>
      </c>
      <c r="S1670" s="487"/>
      <c r="T1670" s="487"/>
      <c r="U1670" s="488" t="str">
        <f t="shared" si="371"/>
        <v/>
      </c>
      <c r="V1670" s="487"/>
      <c r="W1670" s="489"/>
      <c r="X1670" s="488" t="str">
        <f t="shared" si="372"/>
        <v/>
      </c>
      <c r="Y1670" s="489"/>
      <c r="Z1670" s="489"/>
      <c r="AA1670" s="490" t="str">
        <f t="shared" ref="AA1670:AA1677" si="380">+AB1670&amp;AC1670</f>
        <v/>
      </c>
      <c r="AB1670" s="489"/>
      <c r="AC1670" s="489"/>
      <c r="AD1670" s="27">
        <v>611051</v>
      </c>
      <c r="AE1670" s="27" t="s">
        <v>1553</v>
      </c>
      <c r="AF1670" s="432">
        <v>0</v>
      </c>
      <c r="AG1670" s="432"/>
      <c r="AH1670" s="432">
        <f t="shared" si="377"/>
        <v>0</v>
      </c>
      <c r="AL1670" s="448"/>
      <c r="AM1670" s="467" t="e">
        <f>VLOOKUP(AD1670,[6]BV201101!$A$10:$A$1236,1,0)</f>
        <v>#N/A</v>
      </c>
    </row>
    <row r="1671" spans="1:39" s="467" customFormat="1" ht="12.75" customHeight="1">
      <c r="A1671" s="487" t="str">
        <f t="shared" si="379"/>
        <v>6</v>
      </c>
      <c r="B1671" s="487" t="str">
        <f t="shared" si="373"/>
        <v>11</v>
      </c>
      <c r="C1671" s="487" t="str">
        <f t="shared" si="374"/>
        <v>05</v>
      </c>
      <c r="D1671" s="487" t="str">
        <f t="shared" si="375"/>
        <v>1052</v>
      </c>
      <c r="E1671" s="487">
        <v>532300000</v>
      </c>
      <c r="F1671" s="488" t="str">
        <f t="shared" si="366"/>
        <v/>
      </c>
      <c r="G1671" s="487"/>
      <c r="H1671" s="487"/>
      <c r="I1671" s="488" t="str">
        <f t="shared" si="367"/>
        <v/>
      </c>
      <c r="J1671" s="487"/>
      <c r="K1671" s="487"/>
      <c r="L1671" s="488" t="str">
        <f t="shared" si="368"/>
        <v/>
      </c>
      <c r="M1671" s="487"/>
      <c r="N1671" s="487"/>
      <c r="O1671" s="488" t="str">
        <f t="shared" si="369"/>
        <v/>
      </c>
      <c r="P1671" s="489"/>
      <c r="Q1671" s="489"/>
      <c r="R1671" s="592" t="str">
        <f t="shared" si="370"/>
        <v/>
      </c>
      <c r="S1671" s="487"/>
      <c r="T1671" s="487"/>
      <c r="U1671" s="488" t="str">
        <f t="shared" si="371"/>
        <v/>
      </c>
      <c r="V1671" s="487"/>
      <c r="W1671" s="489"/>
      <c r="X1671" s="488" t="str">
        <f t="shared" si="372"/>
        <v/>
      </c>
      <c r="Y1671" s="489"/>
      <c r="Z1671" s="489"/>
      <c r="AA1671" s="490" t="str">
        <f t="shared" si="380"/>
        <v/>
      </c>
      <c r="AB1671" s="489"/>
      <c r="AC1671" s="489"/>
      <c r="AD1671" s="27">
        <v>611052</v>
      </c>
      <c r="AE1671" s="27" t="s">
        <v>2502</v>
      </c>
      <c r="AF1671" s="432">
        <f>VLOOKUP(AD1671,[5]Hoja1!$A$10:$K$1393,11,0)</f>
        <v>30786825</v>
      </c>
      <c r="AG1671" s="432"/>
      <c r="AH1671" s="432">
        <f t="shared" si="377"/>
        <v>30787</v>
      </c>
      <c r="AL1671" s="448"/>
      <c r="AM1671" s="467">
        <f>VLOOKUP(AD1671,[6]BV201101!$A$10:$A$1236,1,0)</f>
        <v>611052</v>
      </c>
    </row>
    <row r="1672" spans="1:39" s="467" customFormat="1" ht="12.75" customHeight="1">
      <c r="A1672" s="487" t="str">
        <f t="shared" si="379"/>
        <v>6</v>
      </c>
      <c r="B1672" s="487" t="str">
        <f t="shared" si="373"/>
        <v>11</v>
      </c>
      <c r="C1672" s="487" t="str">
        <f t="shared" si="374"/>
        <v>05</v>
      </c>
      <c r="D1672" s="487" t="str">
        <f t="shared" si="375"/>
        <v>1053</v>
      </c>
      <c r="E1672" s="487">
        <v>532300000</v>
      </c>
      <c r="F1672" s="488" t="str">
        <f t="shared" ref="F1672:F1677" si="381">+G1672&amp;H1672</f>
        <v/>
      </c>
      <c r="G1672" s="487"/>
      <c r="H1672" s="487"/>
      <c r="I1672" s="488" t="str">
        <f t="shared" ref="I1672:I1677" si="382">+J1672&amp;K1672</f>
        <v/>
      </c>
      <c r="J1672" s="487"/>
      <c r="K1672" s="487"/>
      <c r="L1672" s="488" t="str">
        <f t="shared" ref="L1672:L1677" si="383">+M1672&amp;N1672</f>
        <v/>
      </c>
      <c r="M1672" s="487"/>
      <c r="N1672" s="487"/>
      <c r="O1672" s="488" t="str">
        <f t="shared" ref="O1672:O1677" si="384">+P1672&amp;Q1672</f>
        <v/>
      </c>
      <c r="P1672" s="489"/>
      <c r="Q1672" s="489"/>
      <c r="R1672" s="592" t="str">
        <f t="shared" ref="R1672:R1677" si="385">+S1672&amp;T1672</f>
        <v/>
      </c>
      <c r="S1672" s="487"/>
      <c r="T1672" s="487"/>
      <c r="U1672" s="488" t="str">
        <f t="shared" ref="U1672:U1677" si="386">+V1672&amp;W1672</f>
        <v/>
      </c>
      <c r="V1672" s="487"/>
      <c r="W1672" s="489"/>
      <c r="X1672" s="488" t="str">
        <f t="shared" ref="X1672:X1677" si="387">+Y1672&amp;Z1672</f>
        <v/>
      </c>
      <c r="Y1672" s="489"/>
      <c r="Z1672" s="489"/>
      <c r="AA1672" s="490" t="str">
        <f t="shared" si="380"/>
        <v/>
      </c>
      <c r="AB1672" s="489"/>
      <c r="AC1672" s="489"/>
      <c r="AD1672" s="27">
        <v>611053</v>
      </c>
      <c r="AE1672" s="27" t="s">
        <v>2503</v>
      </c>
      <c r="AF1672" s="432">
        <f>VLOOKUP(AD1672,[5]Hoja1!$A$10:$K$1393,11,0)</f>
        <v>427060083</v>
      </c>
      <c r="AG1672" s="432"/>
      <c r="AH1672" s="432">
        <f t="shared" si="377"/>
        <v>427060</v>
      </c>
      <c r="AL1672" s="448"/>
      <c r="AM1672" s="467">
        <f>VLOOKUP(AD1672,[6]BV201101!$A$10:$A$1236,1,0)</f>
        <v>611053</v>
      </c>
    </row>
    <row r="1673" spans="1:39" s="467" customFormat="1" ht="12.75" customHeight="1">
      <c r="A1673" s="487" t="str">
        <f t="shared" si="379"/>
        <v>6</v>
      </c>
      <c r="B1673" s="487" t="str">
        <f t="shared" ref="B1673:B1764" si="388">RIGHT(LEFT($AD1673,3),2)</f>
        <v>11</v>
      </c>
      <c r="C1673" s="487" t="str">
        <f t="shared" ref="C1673:C1764" si="389">RIGHT(LEFT($AD1673,5),2)</f>
        <v>05</v>
      </c>
      <c r="D1673" s="487" t="str">
        <f t="shared" ref="D1673:D1764" si="390">RIGHT(LEFT($AD1673,9),4)</f>
        <v>1054</v>
      </c>
      <c r="E1673" s="487">
        <v>532300000</v>
      </c>
      <c r="F1673" s="488" t="str">
        <f t="shared" si="381"/>
        <v/>
      </c>
      <c r="G1673" s="487"/>
      <c r="H1673" s="487"/>
      <c r="I1673" s="488" t="str">
        <f t="shared" si="382"/>
        <v/>
      </c>
      <c r="J1673" s="487"/>
      <c r="K1673" s="487"/>
      <c r="L1673" s="488" t="str">
        <f t="shared" si="383"/>
        <v/>
      </c>
      <c r="M1673" s="487"/>
      <c r="N1673" s="487"/>
      <c r="O1673" s="488" t="str">
        <f t="shared" si="384"/>
        <v/>
      </c>
      <c r="P1673" s="489"/>
      <c r="Q1673" s="489"/>
      <c r="R1673" s="592" t="str">
        <f t="shared" si="385"/>
        <v/>
      </c>
      <c r="S1673" s="487"/>
      <c r="T1673" s="487"/>
      <c r="U1673" s="488" t="str">
        <f t="shared" si="386"/>
        <v/>
      </c>
      <c r="V1673" s="487"/>
      <c r="W1673" s="489"/>
      <c r="X1673" s="488" t="str">
        <f t="shared" si="387"/>
        <v/>
      </c>
      <c r="Y1673" s="489"/>
      <c r="Z1673" s="489"/>
      <c r="AA1673" s="490" t="str">
        <f t="shared" si="380"/>
        <v/>
      </c>
      <c r="AB1673" s="489"/>
      <c r="AC1673" s="489"/>
      <c r="AD1673" s="27">
        <v>611054</v>
      </c>
      <c r="AE1673" s="27" t="s">
        <v>1554</v>
      </c>
      <c r="AF1673" s="432">
        <f>VLOOKUP(AD1673,[5]Hoja1!$A$10:$K$1393,11,0)</f>
        <v>0</v>
      </c>
      <c r="AG1673" s="432"/>
      <c r="AH1673" s="432">
        <f t="shared" si="377"/>
        <v>0</v>
      </c>
      <c r="AL1673" s="448"/>
      <c r="AM1673" s="467">
        <f>VLOOKUP(AD1673,[6]BV201101!$A$10:$A$1236,1,0)</f>
        <v>611054</v>
      </c>
    </row>
    <row r="1674" spans="1:39" s="467" customFormat="1" ht="12.75" customHeight="1">
      <c r="A1674" s="487" t="str">
        <f t="shared" si="379"/>
        <v>6</v>
      </c>
      <c r="B1674" s="487" t="str">
        <f t="shared" si="388"/>
        <v>11</v>
      </c>
      <c r="C1674" s="487" t="str">
        <f t="shared" si="389"/>
        <v>05</v>
      </c>
      <c r="D1674" s="487" t="str">
        <f t="shared" si="390"/>
        <v>1055</v>
      </c>
      <c r="E1674" s="487">
        <v>532300000</v>
      </c>
      <c r="F1674" s="488" t="str">
        <f t="shared" si="381"/>
        <v/>
      </c>
      <c r="G1674" s="487"/>
      <c r="H1674" s="487"/>
      <c r="I1674" s="488" t="str">
        <f t="shared" si="382"/>
        <v/>
      </c>
      <c r="J1674" s="487"/>
      <c r="K1674" s="487"/>
      <c r="L1674" s="488" t="str">
        <f t="shared" si="383"/>
        <v/>
      </c>
      <c r="M1674" s="487"/>
      <c r="N1674" s="487"/>
      <c r="O1674" s="488" t="str">
        <f t="shared" si="384"/>
        <v/>
      </c>
      <c r="P1674" s="489"/>
      <c r="Q1674" s="489"/>
      <c r="R1674" s="592" t="str">
        <f t="shared" si="385"/>
        <v/>
      </c>
      <c r="S1674" s="487"/>
      <c r="T1674" s="487"/>
      <c r="U1674" s="488" t="str">
        <f t="shared" si="386"/>
        <v/>
      </c>
      <c r="V1674" s="487"/>
      <c r="W1674" s="489"/>
      <c r="X1674" s="488" t="str">
        <f t="shared" si="387"/>
        <v/>
      </c>
      <c r="Y1674" s="489"/>
      <c r="Z1674" s="489"/>
      <c r="AA1674" s="490" t="str">
        <f t="shared" si="380"/>
        <v/>
      </c>
      <c r="AB1674" s="489"/>
      <c r="AC1674" s="489"/>
      <c r="AD1674" s="27">
        <v>611055</v>
      </c>
      <c r="AE1674" s="27" t="s">
        <v>177</v>
      </c>
      <c r="AF1674" s="432">
        <f>VLOOKUP(AD1674,[5]Hoja1!$A$10:$K$1393,11,0)</f>
        <v>65706884</v>
      </c>
      <c r="AG1674" s="432"/>
      <c r="AH1674" s="432">
        <f t="shared" si="377"/>
        <v>65707</v>
      </c>
      <c r="AL1674" s="448"/>
      <c r="AM1674" s="467">
        <f>VLOOKUP(AD1674,[6]BV201101!$A$10:$A$1236,1,0)</f>
        <v>611055</v>
      </c>
    </row>
    <row r="1675" spans="1:39" s="467" customFormat="1" ht="12.75" customHeight="1">
      <c r="A1675" s="487" t="str">
        <f t="shared" si="379"/>
        <v>6</v>
      </c>
      <c r="B1675" s="487" t="str">
        <f t="shared" si="388"/>
        <v>11</v>
      </c>
      <c r="C1675" s="487" t="str">
        <f t="shared" si="389"/>
        <v>05</v>
      </c>
      <c r="D1675" s="487" t="str">
        <f t="shared" si="390"/>
        <v>1056</v>
      </c>
      <c r="E1675" s="487">
        <v>532300000</v>
      </c>
      <c r="F1675" s="488" t="str">
        <f t="shared" si="381"/>
        <v/>
      </c>
      <c r="G1675" s="487"/>
      <c r="H1675" s="487"/>
      <c r="I1675" s="488" t="str">
        <f t="shared" si="382"/>
        <v/>
      </c>
      <c r="J1675" s="487"/>
      <c r="K1675" s="487"/>
      <c r="L1675" s="488" t="str">
        <f t="shared" si="383"/>
        <v/>
      </c>
      <c r="M1675" s="487"/>
      <c r="N1675" s="487"/>
      <c r="O1675" s="488" t="str">
        <f t="shared" si="384"/>
        <v/>
      </c>
      <c r="P1675" s="489"/>
      <c r="Q1675" s="489"/>
      <c r="R1675" s="592" t="str">
        <f t="shared" si="385"/>
        <v/>
      </c>
      <c r="S1675" s="487"/>
      <c r="T1675" s="487"/>
      <c r="U1675" s="488" t="str">
        <f t="shared" si="386"/>
        <v/>
      </c>
      <c r="V1675" s="487"/>
      <c r="W1675" s="489"/>
      <c r="X1675" s="488" t="str">
        <f t="shared" si="387"/>
        <v/>
      </c>
      <c r="Y1675" s="489"/>
      <c r="Z1675" s="489"/>
      <c r="AA1675" s="490" t="str">
        <f t="shared" si="380"/>
        <v/>
      </c>
      <c r="AB1675" s="489"/>
      <c r="AC1675" s="489"/>
      <c r="AD1675" s="27">
        <v>611056</v>
      </c>
      <c r="AE1675" s="27" t="s">
        <v>178</v>
      </c>
      <c r="AF1675" s="432">
        <v>0</v>
      </c>
      <c r="AG1675" s="432"/>
      <c r="AH1675" s="432">
        <f t="shared" si="377"/>
        <v>0</v>
      </c>
      <c r="AL1675" s="448"/>
      <c r="AM1675" s="467" t="e">
        <f>VLOOKUP(AD1675,[6]BV201101!$A$10:$A$1236,1,0)</f>
        <v>#N/A</v>
      </c>
    </row>
    <row r="1676" spans="1:39" s="467" customFormat="1" ht="12.75" customHeight="1">
      <c r="A1676" s="487" t="str">
        <f t="shared" si="379"/>
        <v>6</v>
      </c>
      <c r="B1676" s="487" t="str">
        <f t="shared" si="388"/>
        <v>11</v>
      </c>
      <c r="C1676" s="487" t="str">
        <f t="shared" si="389"/>
        <v>05</v>
      </c>
      <c r="D1676" s="487" t="str">
        <f t="shared" si="390"/>
        <v>1057</v>
      </c>
      <c r="E1676" s="487">
        <v>532300000</v>
      </c>
      <c r="F1676" s="488" t="str">
        <f t="shared" si="381"/>
        <v/>
      </c>
      <c r="G1676" s="487"/>
      <c r="H1676" s="487"/>
      <c r="I1676" s="488" t="str">
        <f t="shared" si="382"/>
        <v/>
      </c>
      <c r="J1676" s="487"/>
      <c r="K1676" s="487"/>
      <c r="L1676" s="488" t="str">
        <f t="shared" si="383"/>
        <v/>
      </c>
      <c r="M1676" s="487"/>
      <c r="N1676" s="487"/>
      <c r="O1676" s="488" t="str">
        <f t="shared" si="384"/>
        <v/>
      </c>
      <c r="P1676" s="489"/>
      <c r="Q1676" s="489"/>
      <c r="R1676" s="592" t="str">
        <f t="shared" si="385"/>
        <v/>
      </c>
      <c r="S1676" s="487"/>
      <c r="T1676" s="487"/>
      <c r="U1676" s="488" t="str">
        <f t="shared" si="386"/>
        <v/>
      </c>
      <c r="V1676" s="487"/>
      <c r="W1676" s="489"/>
      <c r="X1676" s="488" t="str">
        <f t="shared" si="387"/>
        <v/>
      </c>
      <c r="Y1676" s="489"/>
      <c r="Z1676" s="489"/>
      <c r="AA1676" s="490" t="str">
        <f t="shared" si="380"/>
        <v/>
      </c>
      <c r="AB1676" s="489"/>
      <c r="AC1676" s="489"/>
      <c r="AD1676" s="27">
        <v>611057</v>
      </c>
      <c r="AE1676" s="27" t="s">
        <v>2504</v>
      </c>
      <c r="AF1676" s="432">
        <f>VLOOKUP(AD1676,[5]Hoja1!$A$10:$K$1393,11,0)</f>
        <v>14298386</v>
      </c>
      <c r="AG1676" s="432"/>
      <c r="AH1676" s="432">
        <f t="shared" si="377"/>
        <v>14298</v>
      </c>
      <c r="AL1676" s="448"/>
      <c r="AM1676" s="467">
        <f>VLOOKUP(AD1676,[6]BV201101!$A$10:$A$1236,1,0)</f>
        <v>611057</v>
      </c>
    </row>
    <row r="1677" spans="1:39" s="467" customFormat="1" ht="12.75" customHeight="1">
      <c r="A1677" s="487" t="str">
        <f t="shared" si="379"/>
        <v>6</v>
      </c>
      <c r="B1677" s="487" t="str">
        <f t="shared" si="388"/>
        <v>11</v>
      </c>
      <c r="C1677" s="487" t="str">
        <f t="shared" si="389"/>
        <v>05</v>
      </c>
      <c r="D1677" s="487" t="str">
        <f t="shared" si="390"/>
        <v>1058</v>
      </c>
      <c r="E1677" s="487">
        <v>532300000</v>
      </c>
      <c r="F1677" s="488" t="str">
        <f t="shared" si="381"/>
        <v/>
      </c>
      <c r="G1677" s="487"/>
      <c r="H1677" s="487"/>
      <c r="I1677" s="488" t="str">
        <f t="shared" si="382"/>
        <v/>
      </c>
      <c r="J1677" s="487"/>
      <c r="K1677" s="487"/>
      <c r="L1677" s="488" t="str">
        <f t="shared" si="383"/>
        <v/>
      </c>
      <c r="M1677" s="487"/>
      <c r="N1677" s="487"/>
      <c r="O1677" s="488" t="str">
        <f t="shared" si="384"/>
        <v/>
      </c>
      <c r="P1677" s="489"/>
      <c r="Q1677" s="489"/>
      <c r="R1677" s="592" t="str">
        <f t="shared" si="385"/>
        <v/>
      </c>
      <c r="S1677" s="487"/>
      <c r="T1677" s="487"/>
      <c r="U1677" s="488" t="str">
        <f t="shared" si="386"/>
        <v/>
      </c>
      <c r="V1677" s="487"/>
      <c r="W1677" s="489"/>
      <c r="X1677" s="488" t="str">
        <f t="shared" si="387"/>
        <v/>
      </c>
      <c r="Y1677" s="489"/>
      <c r="Z1677" s="489"/>
      <c r="AA1677" s="490" t="str">
        <f t="shared" si="380"/>
        <v/>
      </c>
      <c r="AB1677" s="489"/>
      <c r="AC1677" s="489"/>
      <c r="AD1677" s="27">
        <v>611058</v>
      </c>
      <c r="AE1677" s="27" t="s">
        <v>179</v>
      </c>
      <c r="AF1677" s="432">
        <f>VLOOKUP(AD1677,[5]Hoja1!$A$10:$K$1393,11,0)</f>
        <v>14752282</v>
      </c>
      <c r="AG1677" s="432"/>
      <c r="AH1677" s="432">
        <f t="shared" si="377"/>
        <v>14752</v>
      </c>
      <c r="AL1677" s="448"/>
      <c r="AM1677" s="467">
        <f>VLOOKUP(AD1677,[6]BV201101!$A$10:$A$1236,1,0)</f>
        <v>611058</v>
      </c>
    </row>
    <row r="1678" spans="1:39" s="467" customFormat="1" ht="12.75" customHeight="1">
      <c r="A1678" s="487" t="str">
        <f t="shared" si="379"/>
        <v>6</v>
      </c>
      <c r="B1678" s="487" t="str">
        <f t="shared" si="388"/>
        <v>11</v>
      </c>
      <c r="C1678" s="487" t="str">
        <f t="shared" si="389"/>
        <v>05</v>
      </c>
      <c r="D1678" s="487" t="str">
        <f t="shared" si="390"/>
        <v>1059</v>
      </c>
      <c r="E1678" s="487">
        <v>532300000</v>
      </c>
      <c r="F1678" s="488"/>
      <c r="G1678" s="487"/>
      <c r="H1678" s="487"/>
      <c r="I1678" s="488"/>
      <c r="J1678" s="487"/>
      <c r="K1678" s="487"/>
      <c r="L1678" s="488"/>
      <c r="M1678" s="487"/>
      <c r="N1678" s="487"/>
      <c r="O1678" s="488"/>
      <c r="P1678" s="489"/>
      <c r="Q1678" s="489"/>
      <c r="R1678" s="592"/>
      <c r="S1678" s="487"/>
      <c r="T1678" s="487"/>
      <c r="U1678" s="488"/>
      <c r="V1678" s="487"/>
      <c r="W1678" s="489"/>
      <c r="X1678" s="488"/>
      <c r="Y1678" s="489"/>
      <c r="Z1678" s="489"/>
      <c r="AA1678" s="490"/>
      <c r="AB1678" s="489"/>
      <c r="AC1678" s="489"/>
      <c r="AD1678" s="27">
        <v>611059</v>
      </c>
      <c r="AE1678" s="27" t="s">
        <v>2505</v>
      </c>
      <c r="AF1678" s="432">
        <f>VLOOKUP(AD1678,[5]Hoja1!$A$10:$K$1393,11,0)</f>
        <v>0</v>
      </c>
      <c r="AG1678" s="432"/>
      <c r="AH1678" s="432">
        <f t="shared" si="377"/>
        <v>0</v>
      </c>
      <c r="AL1678" s="448"/>
      <c r="AM1678" s="467">
        <f>VLOOKUP(AD1678,[6]BV201101!$A$10:$A$1236,1,0)</f>
        <v>611059</v>
      </c>
    </row>
    <row r="1679" spans="1:39" s="467" customFormat="1" ht="12.75" customHeight="1">
      <c r="A1679" s="487" t="str">
        <f t="shared" si="379"/>
        <v>6</v>
      </c>
      <c r="B1679" s="487" t="str">
        <f t="shared" si="388"/>
        <v>11</v>
      </c>
      <c r="C1679" s="487" t="str">
        <f t="shared" si="389"/>
        <v>06</v>
      </c>
      <c r="D1679" s="487" t="str">
        <f t="shared" si="390"/>
        <v>1060</v>
      </c>
      <c r="E1679" s="487">
        <v>532300000</v>
      </c>
      <c r="F1679" s="488"/>
      <c r="G1679" s="487"/>
      <c r="H1679" s="487"/>
      <c r="I1679" s="488"/>
      <c r="J1679" s="487"/>
      <c r="K1679" s="487"/>
      <c r="L1679" s="488"/>
      <c r="M1679" s="487"/>
      <c r="N1679" s="487"/>
      <c r="O1679" s="488"/>
      <c r="P1679" s="489"/>
      <c r="Q1679" s="489"/>
      <c r="R1679" s="592"/>
      <c r="S1679" s="487"/>
      <c r="T1679" s="487"/>
      <c r="U1679" s="488"/>
      <c r="V1679" s="487"/>
      <c r="W1679" s="489"/>
      <c r="X1679" s="488"/>
      <c r="Y1679" s="489"/>
      <c r="Z1679" s="489"/>
      <c r="AA1679" s="490"/>
      <c r="AB1679" s="489"/>
      <c r="AC1679" s="489"/>
      <c r="AD1679" s="27">
        <v>611060</v>
      </c>
      <c r="AE1679" s="27" t="s">
        <v>2506</v>
      </c>
      <c r="AF1679" s="432">
        <f>VLOOKUP(AD1679,[5]Hoja1!$A$10:$K$1393,11,0)</f>
        <v>2887853</v>
      </c>
      <c r="AG1679" s="432"/>
      <c r="AH1679" s="432">
        <f t="shared" si="377"/>
        <v>2888</v>
      </c>
      <c r="AL1679" s="448"/>
      <c r="AM1679" s="467">
        <f>VLOOKUP(AD1679,[6]BV201101!$A$10:$A$1236,1,0)</f>
        <v>611060</v>
      </c>
    </row>
    <row r="1680" spans="1:39" s="467" customFormat="1" ht="12.75" customHeight="1">
      <c r="A1680" s="487" t="str">
        <f t="shared" si="379"/>
        <v>6</v>
      </c>
      <c r="B1680" s="487" t="str">
        <f t="shared" si="388"/>
        <v>11</v>
      </c>
      <c r="C1680" s="487" t="str">
        <f t="shared" si="389"/>
        <v>06</v>
      </c>
      <c r="D1680" s="487" t="str">
        <f t="shared" si="390"/>
        <v>1061</v>
      </c>
      <c r="E1680" s="487">
        <v>532300000</v>
      </c>
      <c r="F1680" s="488"/>
      <c r="G1680" s="487"/>
      <c r="H1680" s="487"/>
      <c r="I1680" s="488"/>
      <c r="J1680" s="487"/>
      <c r="K1680" s="487"/>
      <c r="L1680" s="488"/>
      <c r="M1680" s="487"/>
      <c r="N1680" s="487"/>
      <c r="O1680" s="488"/>
      <c r="P1680" s="489"/>
      <c r="Q1680" s="489"/>
      <c r="R1680" s="592"/>
      <c r="S1680" s="487"/>
      <c r="T1680" s="487"/>
      <c r="U1680" s="488"/>
      <c r="V1680" s="487"/>
      <c r="W1680" s="489"/>
      <c r="X1680" s="488"/>
      <c r="Y1680" s="489"/>
      <c r="Z1680" s="489"/>
      <c r="AA1680" s="490"/>
      <c r="AB1680" s="489"/>
      <c r="AC1680" s="489"/>
      <c r="AD1680" s="27">
        <v>611061</v>
      </c>
      <c r="AE1680" s="27" t="s">
        <v>1530</v>
      </c>
      <c r="AF1680" s="432">
        <f>VLOOKUP(AD1680,[5]Hoja1!$A$10:$K$1393,11,0)</f>
        <v>33990599</v>
      </c>
      <c r="AG1680" s="432"/>
      <c r="AH1680" s="432">
        <f t="shared" si="377"/>
        <v>33991</v>
      </c>
      <c r="AL1680" s="448"/>
      <c r="AM1680" s="467">
        <f>VLOOKUP(AD1680,[6]BV201101!$A$10:$A$1236,1,0)</f>
        <v>611061</v>
      </c>
    </row>
    <row r="1681" spans="1:39" s="467" customFormat="1" ht="12.75" customHeight="1">
      <c r="A1681" s="487" t="str">
        <f t="shared" si="379"/>
        <v>6</v>
      </c>
      <c r="B1681" s="487" t="str">
        <f t="shared" si="388"/>
        <v>11</v>
      </c>
      <c r="C1681" s="487" t="str">
        <f t="shared" si="389"/>
        <v>06</v>
      </c>
      <c r="D1681" s="487" t="str">
        <f t="shared" si="390"/>
        <v>1062</v>
      </c>
      <c r="E1681" s="487">
        <v>532300000</v>
      </c>
      <c r="F1681" s="488" t="str">
        <f>+G1681&amp;H1681</f>
        <v/>
      </c>
      <c r="G1681" s="487"/>
      <c r="H1681" s="487"/>
      <c r="I1681" s="488" t="str">
        <f>+J1681&amp;K1681</f>
        <v/>
      </c>
      <c r="J1681" s="487"/>
      <c r="K1681" s="487"/>
      <c r="L1681" s="488" t="str">
        <f>+M1681&amp;N1681</f>
        <v/>
      </c>
      <c r="M1681" s="487"/>
      <c r="N1681" s="487"/>
      <c r="O1681" s="488" t="str">
        <f>+P1681&amp;Q1681</f>
        <v/>
      </c>
      <c r="P1681" s="489"/>
      <c r="Q1681" s="489"/>
      <c r="R1681" s="592" t="str">
        <f>+S1681&amp;T1681</f>
        <v/>
      </c>
      <c r="S1681" s="487"/>
      <c r="T1681" s="487"/>
      <c r="U1681" s="488" t="str">
        <f>+V1681&amp;W1681</f>
        <v/>
      </c>
      <c r="V1681" s="487"/>
      <c r="W1681" s="489"/>
      <c r="X1681" s="488" t="str">
        <f>+Y1681&amp;Z1681</f>
        <v/>
      </c>
      <c r="Y1681" s="489"/>
      <c r="Z1681" s="489"/>
      <c r="AA1681" s="490" t="str">
        <f>+AB1681&amp;AC1681</f>
        <v/>
      </c>
      <c r="AB1681" s="489"/>
      <c r="AC1681" s="489"/>
      <c r="AD1681" s="27">
        <v>611062</v>
      </c>
      <c r="AE1681" s="27" t="s">
        <v>2507</v>
      </c>
      <c r="AF1681" s="432">
        <f>VLOOKUP(AD1681,[5]Hoja1!$A$10:$K$1393,11,0)</f>
        <v>5030483</v>
      </c>
      <c r="AG1681" s="432"/>
      <c r="AH1681" s="432">
        <f t="shared" si="377"/>
        <v>5030</v>
      </c>
      <c r="AL1681" s="448"/>
      <c r="AM1681" s="467">
        <f>VLOOKUP(AD1681,[6]BV201101!$A$10:$A$1236,1,0)</f>
        <v>611062</v>
      </c>
    </row>
    <row r="1682" spans="1:39" s="467" customFormat="1" ht="12.75" customHeight="1">
      <c r="A1682" s="487" t="str">
        <f t="shared" si="379"/>
        <v>6</v>
      </c>
      <c r="B1682" s="487" t="str">
        <f t="shared" si="388"/>
        <v>11</v>
      </c>
      <c r="C1682" s="487" t="str">
        <f t="shared" si="389"/>
        <v>06</v>
      </c>
      <c r="D1682" s="487" t="str">
        <f t="shared" si="390"/>
        <v>1063</v>
      </c>
      <c r="E1682" s="487">
        <v>532300000</v>
      </c>
      <c r="F1682" s="488" t="str">
        <f>+G1682&amp;H1682</f>
        <v/>
      </c>
      <c r="G1682" s="487"/>
      <c r="H1682" s="487"/>
      <c r="I1682" s="488" t="str">
        <f>+J1682&amp;K1682</f>
        <v/>
      </c>
      <c r="J1682" s="487"/>
      <c r="K1682" s="487"/>
      <c r="L1682" s="488" t="str">
        <f>+M1682&amp;N1682</f>
        <v/>
      </c>
      <c r="M1682" s="487"/>
      <c r="N1682" s="487"/>
      <c r="O1682" s="488" t="str">
        <f>+P1682&amp;Q1682</f>
        <v/>
      </c>
      <c r="P1682" s="489"/>
      <c r="Q1682" s="489"/>
      <c r="R1682" s="592" t="str">
        <f>+S1682&amp;T1682</f>
        <v/>
      </c>
      <c r="S1682" s="487"/>
      <c r="T1682" s="487"/>
      <c r="U1682" s="488" t="str">
        <f>+V1682&amp;W1682</f>
        <v/>
      </c>
      <c r="V1682" s="487"/>
      <c r="W1682" s="489"/>
      <c r="X1682" s="488" t="str">
        <f>+Y1682&amp;Z1682</f>
        <v/>
      </c>
      <c r="Y1682" s="489"/>
      <c r="Z1682" s="489"/>
      <c r="AA1682" s="490" t="str">
        <f>+AB1682&amp;AC1682</f>
        <v/>
      </c>
      <c r="AB1682" s="489"/>
      <c r="AC1682" s="489"/>
      <c r="AD1682" s="27">
        <v>611063</v>
      </c>
      <c r="AE1682" s="27" t="s">
        <v>2508</v>
      </c>
      <c r="AF1682" s="432">
        <f>VLOOKUP(AD1682,[5]Hoja1!$A$10:$K$1393,11,0)</f>
        <v>321582913</v>
      </c>
      <c r="AG1682" s="432"/>
      <c r="AH1682" s="432">
        <f t="shared" si="377"/>
        <v>321583</v>
      </c>
      <c r="AL1682" s="448"/>
      <c r="AM1682" s="467">
        <f>VLOOKUP(AD1682,[6]BV201101!$A$10:$A$1236,1,0)</f>
        <v>611063</v>
      </c>
    </row>
    <row r="1683" spans="1:39" s="467" customFormat="1" ht="12.75" customHeight="1">
      <c r="A1683" s="487" t="str">
        <f t="shared" si="379"/>
        <v>6</v>
      </c>
      <c r="B1683" s="487" t="str">
        <f t="shared" si="388"/>
        <v>11</v>
      </c>
      <c r="C1683" s="487" t="str">
        <f t="shared" si="389"/>
        <v>06</v>
      </c>
      <c r="D1683" s="487" t="str">
        <f t="shared" si="390"/>
        <v>1064</v>
      </c>
      <c r="E1683" s="487">
        <v>532300000</v>
      </c>
      <c r="F1683" s="488" t="str">
        <f>+G1683&amp;H1683</f>
        <v/>
      </c>
      <c r="G1683" s="487"/>
      <c r="H1683" s="487"/>
      <c r="I1683" s="488" t="str">
        <f>+J1683&amp;K1683</f>
        <v/>
      </c>
      <c r="J1683" s="487"/>
      <c r="K1683" s="487"/>
      <c r="L1683" s="488" t="str">
        <f>+M1683&amp;N1683</f>
        <v/>
      </c>
      <c r="M1683" s="487"/>
      <c r="N1683" s="487"/>
      <c r="O1683" s="488" t="str">
        <f>+P1683&amp;Q1683</f>
        <v/>
      </c>
      <c r="P1683" s="489"/>
      <c r="Q1683" s="489"/>
      <c r="R1683" s="592" t="str">
        <f>+S1683&amp;T1683</f>
        <v/>
      </c>
      <c r="S1683" s="487"/>
      <c r="T1683" s="487"/>
      <c r="U1683" s="488" t="str">
        <f>+V1683&amp;W1683</f>
        <v/>
      </c>
      <c r="V1683" s="487"/>
      <c r="W1683" s="489"/>
      <c r="X1683" s="488" t="str">
        <f>+Y1683&amp;Z1683</f>
        <v/>
      </c>
      <c r="Y1683" s="489"/>
      <c r="Z1683" s="489"/>
      <c r="AA1683" s="490" t="str">
        <f>+AB1683&amp;AC1683</f>
        <v/>
      </c>
      <c r="AB1683" s="489"/>
      <c r="AC1683" s="489"/>
      <c r="AD1683" s="27">
        <v>611064</v>
      </c>
      <c r="AE1683" s="27" t="s">
        <v>2509</v>
      </c>
      <c r="AF1683" s="432">
        <f>VLOOKUP(AD1683,[5]Hoja1!$A$10:$K$1393,11,0)</f>
        <v>0</v>
      </c>
      <c r="AG1683" s="432"/>
      <c r="AH1683" s="432">
        <f t="shared" si="377"/>
        <v>0</v>
      </c>
      <c r="AL1683" s="448"/>
      <c r="AM1683" s="467">
        <f>VLOOKUP(AD1683,[6]BV201101!$A$10:$A$1236,1,0)</f>
        <v>611064</v>
      </c>
    </row>
    <row r="1684" spans="1:39" s="467" customFormat="1" ht="12.75" customHeight="1">
      <c r="A1684" s="487" t="str">
        <f t="shared" si="379"/>
        <v>6</v>
      </c>
      <c r="B1684" s="487" t="str">
        <f t="shared" si="388"/>
        <v>11</v>
      </c>
      <c r="C1684" s="487" t="str">
        <f t="shared" si="389"/>
        <v>06</v>
      </c>
      <c r="D1684" s="487" t="str">
        <f t="shared" si="390"/>
        <v>1065</v>
      </c>
      <c r="E1684" s="487">
        <v>532300000</v>
      </c>
      <c r="F1684" s="488" t="str">
        <f>+G1684&amp;H1684</f>
        <v/>
      </c>
      <c r="G1684" s="487"/>
      <c r="H1684" s="487"/>
      <c r="I1684" s="488" t="str">
        <f>+J1684&amp;K1684</f>
        <v/>
      </c>
      <c r="J1684" s="487"/>
      <c r="K1684" s="487"/>
      <c r="L1684" s="488" t="str">
        <f>+M1684&amp;N1684</f>
        <v/>
      </c>
      <c r="M1684" s="487"/>
      <c r="N1684" s="487"/>
      <c r="O1684" s="488" t="str">
        <f>+P1684&amp;Q1684</f>
        <v/>
      </c>
      <c r="P1684" s="489"/>
      <c r="Q1684" s="489"/>
      <c r="R1684" s="592" t="str">
        <f>+S1684&amp;T1684</f>
        <v/>
      </c>
      <c r="S1684" s="487"/>
      <c r="T1684" s="487"/>
      <c r="U1684" s="488" t="str">
        <f>+V1684&amp;W1684</f>
        <v/>
      </c>
      <c r="V1684" s="487"/>
      <c r="W1684" s="489"/>
      <c r="X1684" s="488" t="str">
        <f>+Y1684&amp;Z1684</f>
        <v/>
      </c>
      <c r="Y1684" s="489"/>
      <c r="Z1684" s="489"/>
      <c r="AA1684" s="490" t="str">
        <f>+AB1684&amp;AC1684</f>
        <v/>
      </c>
      <c r="AB1684" s="489"/>
      <c r="AC1684" s="489"/>
      <c r="AD1684" s="27">
        <v>611065</v>
      </c>
      <c r="AE1684" s="27" t="s">
        <v>2510</v>
      </c>
      <c r="AF1684" s="432">
        <f>VLOOKUP(AD1684,[5]Hoja1!$A$10:$K$1393,11,0)</f>
        <v>0</v>
      </c>
      <c r="AG1684" s="432"/>
      <c r="AH1684" s="432">
        <f t="shared" si="377"/>
        <v>0</v>
      </c>
      <c r="AL1684" s="448"/>
      <c r="AM1684" s="467">
        <f>VLOOKUP(AD1684,[6]BV201101!$A$10:$A$1236,1,0)</f>
        <v>611065</v>
      </c>
    </row>
    <row r="1685" spans="1:39" s="467" customFormat="1" ht="12.75" customHeight="1">
      <c r="A1685" s="487" t="str">
        <f t="shared" si="379"/>
        <v>6</v>
      </c>
      <c r="B1685" s="487" t="str">
        <f t="shared" si="388"/>
        <v>11</v>
      </c>
      <c r="C1685" s="487" t="str">
        <f t="shared" si="389"/>
        <v>06</v>
      </c>
      <c r="D1685" s="487" t="str">
        <f t="shared" si="390"/>
        <v>1066</v>
      </c>
      <c r="E1685" s="487">
        <v>532300000</v>
      </c>
      <c r="F1685" s="488"/>
      <c r="G1685" s="487"/>
      <c r="H1685" s="487"/>
      <c r="I1685" s="488"/>
      <c r="J1685" s="487"/>
      <c r="K1685" s="487"/>
      <c r="L1685" s="488"/>
      <c r="M1685" s="487"/>
      <c r="N1685" s="487"/>
      <c r="O1685" s="488"/>
      <c r="P1685" s="489"/>
      <c r="Q1685" s="489"/>
      <c r="R1685" s="592"/>
      <c r="S1685" s="487"/>
      <c r="T1685" s="487"/>
      <c r="U1685" s="488"/>
      <c r="V1685" s="487"/>
      <c r="W1685" s="489"/>
      <c r="X1685" s="488"/>
      <c r="Y1685" s="489"/>
      <c r="Z1685" s="489"/>
      <c r="AA1685" s="490"/>
      <c r="AB1685" s="489"/>
      <c r="AC1685" s="489"/>
      <c r="AD1685" s="27">
        <v>611066</v>
      </c>
      <c r="AE1685" s="27" t="s">
        <v>1326</v>
      </c>
      <c r="AF1685" s="432">
        <f>VLOOKUP(AD1685,[5]Hoja1!$A$10:$K$1393,11,0)</f>
        <v>1750750</v>
      </c>
      <c r="AG1685" s="432"/>
      <c r="AH1685" s="432">
        <f t="shared" si="377"/>
        <v>1751</v>
      </c>
      <c r="AL1685" s="448"/>
      <c r="AM1685" s="467">
        <f>VLOOKUP(AD1685,[6]BV201101!$A$10:$A$1236,1,0)</f>
        <v>611066</v>
      </c>
    </row>
    <row r="1686" spans="1:39" s="467" customFormat="1" ht="12.75" customHeight="1">
      <c r="A1686" s="487" t="str">
        <f t="shared" si="379"/>
        <v>6</v>
      </c>
      <c r="B1686" s="487" t="str">
        <f t="shared" si="388"/>
        <v>11</v>
      </c>
      <c r="C1686" s="487" t="str">
        <f t="shared" si="389"/>
        <v>06</v>
      </c>
      <c r="D1686" s="487" t="str">
        <f t="shared" si="390"/>
        <v>1068</v>
      </c>
      <c r="E1686" s="487">
        <v>532300000</v>
      </c>
      <c r="F1686" s="488"/>
      <c r="G1686" s="487"/>
      <c r="H1686" s="487"/>
      <c r="I1686" s="488"/>
      <c r="J1686" s="487"/>
      <c r="K1686" s="487"/>
      <c r="L1686" s="488"/>
      <c r="M1686" s="487"/>
      <c r="N1686" s="487"/>
      <c r="O1686" s="488"/>
      <c r="P1686" s="489"/>
      <c r="Q1686" s="489"/>
      <c r="R1686" s="592"/>
      <c r="S1686" s="487"/>
      <c r="T1686" s="487"/>
      <c r="U1686" s="488"/>
      <c r="V1686" s="487"/>
      <c r="W1686" s="489"/>
      <c r="X1686" s="488"/>
      <c r="Y1686" s="489"/>
      <c r="Z1686" s="489"/>
      <c r="AA1686" s="490"/>
      <c r="AB1686" s="489"/>
      <c r="AC1686" s="489"/>
      <c r="AD1686" s="27">
        <v>611068</v>
      </c>
      <c r="AE1686" s="27" t="s">
        <v>2564</v>
      </c>
      <c r="AF1686" s="432">
        <f>VLOOKUP(AD1686,[5]Hoja1!$A$10:$K$1393,11,0)</f>
        <v>0</v>
      </c>
      <c r="AG1686" s="432"/>
      <c r="AH1686" s="432">
        <f t="shared" si="377"/>
        <v>0</v>
      </c>
      <c r="AL1686" s="448"/>
    </row>
    <row r="1687" spans="1:39" s="467" customFormat="1" ht="12.75" customHeight="1">
      <c r="A1687" s="487" t="str">
        <f t="shared" si="379"/>
        <v>6</v>
      </c>
      <c r="B1687" s="487" t="str">
        <f t="shared" si="388"/>
        <v>11</v>
      </c>
      <c r="C1687" s="487" t="str">
        <f t="shared" si="389"/>
        <v>06</v>
      </c>
      <c r="D1687" s="487" t="str">
        <f t="shared" si="390"/>
        <v>1069</v>
      </c>
      <c r="E1687" s="487">
        <v>532300000</v>
      </c>
      <c r="F1687" s="488"/>
      <c r="G1687" s="487"/>
      <c r="H1687" s="487"/>
      <c r="I1687" s="488"/>
      <c r="J1687" s="487"/>
      <c r="K1687" s="487"/>
      <c r="L1687" s="488"/>
      <c r="M1687" s="487"/>
      <c r="N1687" s="487"/>
      <c r="O1687" s="488"/>
      <c r="P1687" s="489"/>
      <c r="Q1687" s="489"/>
      <c r="R1687" s="592"/>
      <c r="S1687" s="487"/>
      <c r="T1687" s="487"/>
      <c r="U1687" s="488"/>
      <c r="V1687" s="487"/>
      <c r="W1687" s="489"/>
      <c r="X1687" s="488"/>
      <c r="Y1687" s="489"/>
      <c r="Z1687" s="489"/>
      <c r="AA1687" s="490"/>
      <c r="AB1687" s="489"/>
      <c r="AC1687" s="489"/>
      <c r="AD1687" s="27">
        <v>611069</v>
      </c>
      <c r="AE1687" s="27" t="s">
        <v>1410</v>
      </c>
      <c r="AF1687" s="432">
        <f>VLOOKUP(AD1687,[5]Hoja1!$A$10:$K$1393,11,0)</f>
        <v>0</v>
      </c>
      <c r="AG1687" s="432"/>
      <c r="AH1687" s="432">
        <f t="shared" si="377"/>
        <v>0</v>
      </c>
      <c r="AL1687" s="448"/>
      <c r="AM1687" s="467">
        <f>VLOOKUP(AD1687,[6]BV201101!$A$10:$A$1236,1,0)</f>
        <v>611069</v>
      </c>
    </row>
    <row r="1688" spans="1:39" s="467" customFormat="1" ht="12.75" customHeight="1">
      <c r="A1688" s="487" t="str">
        <f t="shared" si="379"/>
        <v>6</v>
      </c>
      <c r="B1688" s="487" t="str">
        <f t="shared" si="388"/>
        <v>11</v>
      </c>
      <c r="C1688" s="487" t="str">
        <f t="shared" si="389"/>
        <v>07</v>
      </c>
      <c r="D1688" s="487" t="str">
        <f t="shared" si="390"/>
        <v>1070</v>
      </c>
      <c r="E1688" s="487">
        <v>532300000</v>
      </c>
      <c r="F1688" s="488"/>
      <c r="G1688" s="487"/>
      <c r="H1688" s="487"/>
      <c r="I1688" s="488"/>
      <c r="J1688" s="487"/>
      <c r="K1688" s="487"/>
      <c r="L1688" s="488"/>
      <c r="M1688" s="487"/>
      <c r="N1688" s="487"/>
      <c r="O1688" s="488"/>
      <c r="P1688" s="489"/>
      <c r="Q1688" s="489"/>
      <c r="R1688" s="592"/>
      <c r="S1688" s="487"/>
      <c r="T1688" s="487"/>
      <c r="U1688" s="488"/>
      <c r="V1688" s="487"/>
      <c r="W1688" s="489"/>
      <c r="X1688" s="488"/>
      <c r="Y1688" s="489"/>
      <c r="Z1688" s="489"/>
      <c r="AA1688" s="490"/>
      <c r="AB1688" s="489"/>
      <c r="AC1688" s="489"/>
      <c r="AD1688" s="27">
        <v>611070</v>
      </c>
      <c r="AE1688" s="27" t="s">
        <v>919</v>
      </c>
      <c r="AF1688" s="432">
        <f>VLOOKUP(AD1688,[5]Hoja1!$A$10:$K$1393,11,0)</f>
        <v>0</v>
      </c>
      <c r="AG1688" s="432"/>
      <c r="AH1688" s="432">
        <f t="shared" si="377"/>
        <v>0</v>
      </c>
      <c r="AL1688" s="448"/>
    </row>
    <row r="1689" spans="1:39" s="467" customFormat="1" ht="12.75" customHeight="1">
      <c r="A1689" s="487" t="str">
        <f t="shared" si="379"/>
        <v>6</v>
      </c>
      <c r="B1689" s="487" t="str">
        <f t="shared" si="388"/>
        <v>11</v>
      </c>
      <c r="C1689" s="487" t="str">
        <f t="shared" si="389"/>
        <v>07</v>
      </c>
      <c r="D1689" s="487" t="str">
        <f t="shared" si="390"/>
        <v>1071</v>
      </c>
      <c r="E1689" s="487">
        <v>532300000</v>
      </c>
      <c r="F1689" s="488"/>
      <c r="G1689" s="487"/>
      <c r="H1689" s="487"/>
      <c r="I1689" s="488"/>
      <c r="J1689" s="487"/>
      <c r="K1689" s="487"/>
      <c r="L1689" s="488"/>
      <c r="M1689" s="487"/>
      <c r="N1689" s="487"/>
      <c r="O1689" s="488"/>
      <c r="P1689" s="489"/>
      <c r="Q1689" s="489"/>
      <c r="R1689" s="592"/>
      <c r="S1689" s="487"/>
      <c r="T1689" s="487"/>
      <c r="U1689" s="488"/>
      <c r="V1689" s="487"/>
      <c r="W1689" s="489"/>
      <c r="X1689" s="488"/>
      <c r="Y1689" s="489"/>
      <c r="Z1689" s="489"/>
      <c r="AA1689" s="490"/>
      <c r="AB1689" s="489"/>
      <c r="AC1689" s="489"/>
      <c r="AD1689" s="27">
        <v>611071</v>
      </c>
      <c r="AE1689" s="27" t="s">
        <v>2561</v>
      </c>
      <c r="AF1689" s="432">
        <f>VLOOKUP(AD1689,[5]Hoja1!$A$10:$K$1393,11,0)</f>
        <v>0</v>
      </c>
      <c r="AG1689" s="432"/>
      <c r="AH1689" s="432">
        <f t="shared" si="377"/>
        <v>0</v>
      </c>
      <c r="AL1689" s="448"/>
    </row>
    <row r="1690" spans="1:39" s="467" customFormat="1" ht="12.75" customHeight="1">
      <c r="A1690" s="487" t="str">
        <f t="shared" si="379"/>
        <v>6</v>
      </c>
      <c r="B1690" s="487" t="str">
        <f t="shared" si="388"/>
        <v>11</v>
      </c>
      <c r="C1690" s="487" t="str">
        <f t="shared" si="389"/>
        <v>07</v>
      </c>
      <c r="D1690" s="487" t="str">
        <f t="shared" si="390"/>
        <v>1075</v>
      </c>
      <c r="E1690" s="487">
        <v>532300000</v>
      </c>
      <c r="F1690" s="488"/>
      <c r="G1690" s="487"/>
      <c r="H1690" s="487"/>
      <c r="I1690" s="488"/>
      <c r="J1690" s="487"/>
      <c r="K1690" s="487"/>
      <c r="L1690" s="488"/>
      <c r="M1690" s="487"/>
      <c r="N1690" s="487"/>
      <c r="O1690" s="488"/>
      <c r="P1690" s="489"/>
      <c r="Q1690" s="489"/>
      <c r="R1690" s="592"/>
      <c r="S1690" s="487"/>
      <c r="T1690" s="487"/>
      <c r="U1690" s="488"/>
      <c r="V1690" s="487"/>
      <c r="W1690" s="489"/>
      <c r="X1690" s="488"/>
      <c r="Y1690" s="489"/>
      <c r="Z1690" s="489"/>
      <c r="AA1690" s="490"/>
      <c r="AB1690" s="489"/>
      <c r="AC1690" s="489"/>
      <c r="AD1690" s="27">
        <v>611075</v>
      </c>
      <c r="AE1690" s="27" t="s">
        <v>3089</v>
      </c>
      <c r="AF1690" s="432">
        <f>VLOOKUP(AD1690,[5]Hoja1!$A$10:$K$1393,11,0)</f>
        <v>446817006</v>
      </c>
      <c r="AG1690" s="432"/>
      <c r="AH1690" s="432">
        <f t="shared" si="377"/>
        <v>446817</v>
      </c>
      <c r="AL1690" s="448"/>
    </row>
    <row r="1691" spans="1:39" s="467" customFormat="1" ht="12.75" customHeight="1">
      <c r="A1691" s="487" t="str">
        <f t="shared" si="379"/>
        <v>6</v>
      </c>
      <c r="B1691" s="487" t="str">
        <f t="shared" si="388"/>
        <v>11</v>
      </c>
      <c r="C1691" s="487" t="str">
        <f t="shared" si="389"/>
        <v>10</v>
      </c>
      <c r="D1691" s="487" t="str">
        <f t="shared" si="390"/>
        <v>1101</v>
      </c>
      <c r="E1691" s="487">
        <v>531201200</v>
      </c>
      <c r="F1691" s="488" t="str">
        <f>+G1691&amp;H1691</f>
        <v/>
      </c>
      <c r="G1691" s="487"/>
      <c r="H1691" s="487"/>
      <c r="I1691" s="488" t="str">
        <f>+J1691&amp;K1691</f>
        <v/>
      </c>
      <c r="J1691" s="487"/>
      <c r="K1691" s="487"/>
      <c r="L1691" s="488" t="str">
        <f>+M1691&amp;N1691</f>
        <v/>
      </c>
      <c r="M1691" s="487"/>
      <c r="N1691" s="487"/>
      <c r="O1691" s="488" t="str">
        <f>+P1691&amp;Q1691</f>
        <v/>
      </c>
      <c r="P1691" s="489"/>
      <c r="Q1691" s="489"/>
      <c r="R1691" s="592" t="str">
        <f>+S1691&amp;T1691</f>
        <v/>
      </c>
      <c r="S1691" s="487"/>
      <c r="T1691" s="487"/>
      <c r="U1691" s="488" t="str">
        <f>+V1691&amp;W1691</f>
        <v/>
      </c>
      <c r="V1691" s="487"/>
      <c r="W1691" s="489"/>
      <c r="X1691" s="488" t="str">
        <f>+Y1691&amp;Z1691</f>
        <v/>
      </c>
      <c r="Y1691" s="489"/>
      <c r="Z1691" s="489"/>
      <c r="AA1691" s="490" t="str">
        <f>+AB1691&amp;AC1691</f>
        <v/>
      </c>
      <c r="AB1691" s="489"/>
      <c r="AC1691" s="489"/>
      <c r="AD1691" s="27">
        <v>611101</v>
      </c>
      <c r="AE1691" s="27" t="s">
        <v>1187</v>
      </c>
      <c r="AF1691" s="432">
        <f>VLOOKUP(AD1691,[5]Hoja1!$A$10:$K$1393,11,0)</f>
        <v>335000</v>
      </c>
      <c r="AG1691" s="432"/>
      <c r="AH1691" s="432">
        <f t="shared" si="377"/>
        <v>335</v>
      </c>
      <c r="AL1691" s="448"/>
      <c r="AM1691" s="467">
        <f>VLOOKUP(AD1691,[6]BV201101!$A$10:$A$1236,1,0)</f>
        <v>611101</v>
      </c>
    </row>
    <row r="1692" spans="1:39" s="467" customFormat="1" ht="12.75" customHeight="1">
      <c r="A1692" s="487" t="str">
        <f t="shared" si="379"/>
        <v>6</v>
      </c>
      <c r="B1692" s="487" t="str">
        <f t="shared" si="388"/>
        <v>11</v>
      </c>
      <c r="C1692" s="487" t="str">
        <f t="shared" si="389"/>
        <v>10</v>
      </c>
      <c r="D1692" s="487" t="str">
        <f t="shared" si="390"/>
        <v>1102</v>
      </c>
      <c r="E1692" s="487">
        <v>531201200</v>
      </c>
      <c r="F1692" s="488" t="str">
        <f>+G1692&amp;H1692</f>
        <v/>
      </c>
      <c r="G1692" s="487"/>
      <c r="H1692" s="487"/>
      <c r="I1692" s="488" t="str">
        <f>+J1692&amp;K1692</f>
        <v/>
      </c>
      <c r="J1692" s="487"/>
      <c r="K1692" s="487"/>
      <c r="L1692" s="488" t="str">
        <f>+M1692&amp;N1692</f>
        <v/>
      </c>
      <c r="M1692" s="487"/>
      <c r="N1692" s="487"/>
      <c r="O1692" s="488" t="str">
        <f>+P1692&amp;Q1692</f>
        <v/>
      </c>
      <c r="P1692" s="489"/>
      <c r="Q1692" s="489"/>
      <c r="R1692" s="592" t="str">
        <f>+S1692&amp;T1692</f>
        <v/>
      </c>
      <c r="S1692" s="487"/>
      <c r="T1692" s="487"/>
      <c r="U1692" s="488" t="str">
        <f>+V1692&amp;W1692</f>
        <v/>
      </c>
      <c r="V1692" s="487"/>
      <c r="W1692" s="489"/>
      <c r="X1692" s="488" t="str">
        <f>+Y1692&amp;Z1692</f>
        <v/>
      </c>
      <c r="Y1692" s="489"/>
      <c r="Z1692" s="489"/>
      <c r="AA1692" s="490" t="str">
        <f>+AB1692&amp;AC1692</f>
        <v/>
      </c>
      <c r="AB1692" s="489"/>
      <c r="AC1692" s="489"/>
      <c r="AD1692" s="27">
        <v>611102</v>
      </c>
      <c r="AE1692" s="27" t="s">
        <v>1188</v>
      </c>
      <c r="AF1692" s="432">
        <f>VLOOKUP(AD1692,[5]Hoja1!$A$10:$K$1393,11,0)</f>
        <v>2030430</v>
      </c>
      <c r="AG1692" s="432"/>
      <c r="AH1692" s="432">
        <f t="shared" si="377"/>
        <v>2030</v>
      </c>
      <c r="AL1692" s="448"/>
      <c r="AM1692" s="467">
        <f>VLOOKUP(AD1692,[6]BV201101!$A$10:$A$1236,1,0)</f>
        <v>611102</v>
      </c>
    </row>
    <row r="1693" spans="1:39" s="467" customFormat="1" ht="12.75" customHeight="1">
      <c r="A1693" s="487" t="str">
        <f t="shared" si="379"/>
        <v>6</v>
      </c>
      <c r="B1693" s="487" t="str">
        <f t="shared" si="388"/>
        <v>11</v>
      </c>
      <c r="C1693" s="487" t="str">
        <f t="shared" si="389"/>
        <v>10</v>
      </c>
      <c r="D1693" s="487" t="str">
        <f t="shared" si="390"/>
        <v>1103</v>
      </c>
      <c r="E1693" s="487">
        <v>531201200</v>
      </c>
      <c r="F1693" s="488" t="str">
        <f>+G1693&amp;H1693</f>
        <v/>
      </c>
      <c r="G1693" s="487"/>
      <c r="H1693" s="487"/>
      <c r="I1693" s="488" t="str">
        <f>+J1693&amp;K1693</f>
        <v/>
      </c>
      <c r="J1693" s="487"/>
      <c r="K1693" s="487"/>
      <c r="L1693" s="488" t="str">
        <f>+M1693&amp;N1693</f>
        <v/>
      </c>
      <c r="M1693" s="487"/>
      <c r="N1693" s="487"/>
      <c r="O1693" s="488" t="str">
        <f>+P1693&amp;Q1693</f>
        <v/>
      </c>
      <c r="P1693" s="489"/>
      <c r="Q1693" s="489"/>
      <c r="R1693" s="592" t="str">
        <f>+S1693&amp;T1693</f>
        <v/>
      </c>
      <c r="S1693" s="487"/>
      <c r="T1693" s="487"/>
      <c r="U1693" s="488" t="str">
        <f>+V1693&amp;W1693</f>
        <v/>
      </c>
      <c r="V1693" s="487"/>
      <c r="W1693" s="489"/>
      <c r="X1693" s="488" t="str">
        <f>+Y1693&amp;Z1693</f>
        <v/>
      </c>
      <c r="Y1693" s="489"/>
      <c r="Z1693" s="489"/>
      <c r="AA1693" s="490" t="str">
        <f>+AB1693&amp;AC1693</f>
        <v/>
      </c>
      <c r="AB1693" s="489"/>
      <c r="AC1693" s="489"/>
      <c r="AD1693" s="27">
        <v>611103</v>
      </c>
      <c r="AE1693" s="27" t="s">
        <v>2511</v>
      </c>
      <c r="AF1693" s="432">
        <f>VLOOKUP(AD1693,[5]Hoja1!$A$10:$K$1393,11,0)</f>
        <v>1375171</v>
      </c>
      <c r="AG1693" s="432"/>
      <c r="AH1693" s="432">
        <f t="shared" si="377"/>
        <v>1375</v>
      </c>
      <c r="AL1693" s="448"/>
      <c r="AM1693" s="467">
        <f>VLOOKUP(AD1693,[6]BV201101!$A$10:$A$1236,1,0)</f>
        <v>611103</v>
      </c>
    </row>
    <row r="1694" spans="1:39" s="467" customFormat="1" ht="12.75" customHeight="1">
      <c r="A1694" s="487" t="str">
        <f t="shared" si="379"/>
        <v>6</v>
      </c>
      <c r="B1694" s="487" t="str">
        <f t="shared" si="388"/>
        <v>11</v>
      </c>
      <c r="C1694" s="487" t="str">
        <f t="shared" si="389"/>
        <v>10</v>
      </c>
      <c r="D1694" s="487" t="str">
        <f t="shared" si="390"/>
        <v>1104</v>
      </c>
      <c r="E1694" s="487">
        <v>531201200</v>
      </c>
      <c r="F1694" s="488" t="str">
        <f>+G1694&amp;H1694</f>
        <v/>
      </c>
      <c r="G1694" s="487"/>
      <c r="H1694" s="487"/>
      <c r="I1694" s="488" t="str">
        <f>+J1694&amp;K1694</f>
        <v/>
      </c>
      <c r="J1694" s="487"/>
      <c r="K1694" s="487"/>
      <c r="L1694" s="488" t="str">
        <f>+M1694&amp;N1694</f>
        <v/>
      </c>
      <c r="M1694" s="487"/>
      <c r="N1694" s="487"/>
      <c r="O1694" s="488" t="str">
        <f>+P1694&amp;Q1694</f>
        <v/>
      </c>
      <c r="P1694" s="489"/>
      <c r="Q1694" s="489"/>
      <c r="R1694" s="592" t="str">
        <f>+S1694&amp;T1694</f>
        <v/>
      </c>
      <c r="S1694" s="487"/>
      <c r="T1694" s="487"/>
      <c r="U1694" s="488" t="str">
        <f>+V1694&amp;W1694</f>
        <v/>
      </c>
      <c r="V1694" s="487"/>
      <c r="W1694" s="489"/>
      <c r="X1694" s="488" t="str">
        <f>+Y1694&amp;Z1694</f>
        <v/>
      </c>
      <c r="Y1694" s="489"/>
      <c r="Z1694" s="489"/>
      <c r="AA1694" s="490" t="str">
        <f>+AB1694&amp;AC1694</f>
        <v/>
      </c>
      <c r="AB1694" s="489"/>
      <c r="AC1694" s="489"/>
      <c r="AD1694" s="27">
        <v>611104</v>
      </c>
      <c r="AE1694" s="27" t="s">
        <v>2512</v>
      </c>
      <c r="AF1694" s="432">
        <f>VLOOKUP(AD1694,[5]Hoja1!$A$10:$K$1393,11,0)</f>
        <v>0</v>
      </c>
      <c r="AG1694" s="432"/>
      <c r="AH1694" s="432">
        <f t="shared" si="377"/>
        <v>0</v>
      </c>
      <c r="AL1694" s="448"/>
      <c r="AM1694" s="467">
        <f>VLOOKUP(AD1694,[6]BV201101!$A$10:$A$1236,1,0)</f>
        <v>611104</v>
      </c>
    </row>
    <row r="1695" spans="1:39" s="467" customFormat="1" ht="12.75" customHeight="1">
      <c r="A1695" s="487" t="str">
        <f t="shared" si="379"/>
        <v>6</v>
      </c>
      <c r="B1695" s="487" t="str">
        <f t="shared" si="388"/>
        <v>12</v>
      </c>
      <c r="C1695" s="487" t="str">
        <f t="shared" si="389"/>
        <v>00</v>
      </c>
      <c r="D1695" s="487" t="str">
        <f t="shared" si="390"/>
        <v>2001</v>
      </c>
      <c r="E1695" s="487">
        <v>534101200</v>
      </c>
      <c r="F1695" s="488"/>
      <c r="G1695" s="487"/>
      <c r="H1695" s="487"/>
      <c r="I1695" s="488"/>
      <c r="J1695" s="487"/>
      <c r="K1695" s="487"/>
      <c r="L1695" s="488"/>
      <c r="M1695" s="487"/>
      <c r="N1695" s="487"/>
      <c r="O1695" s="488"/>
      <c r="P1695" s="489"/>
      <c r="Q1695" s="489"/>
      <c r="R1695" s="592"/>
      <c r="S1695" s="487"/>
      <c r="T1695" s="487"/>
      <c r="U1695" s="488"/>
      <c r="V1695" s="487"/>
      <c r="W1695" s="489"/>
      <c r="X1695" s="488"/>
      <c r="Y1695" s="489"/>
      <c r="Z1695" s="489"/>
      <c r="AA1695" s="490"/>
      <c r="AB1695" s="489"/>
      <c r="AC1695" s="489"/>
      <c r="AD1695" s="27">
        <v>612001</v>
      </c>
      <c r="AE1695" s="27" t="s">
        <v>2513</v>
      </c>
      <c r="AF1695" s="432">
        <v>0</v>
      </c>
      <c r="AG1695" s="432"/>
      <c r="AH1695" s="432">
        <f t="shared" si="377"/>
        <v>0</v>
      </c>
      <c r="AL1695" s="448"/>
      <c r="AM1695" s="467" t="e">
        <f>VLOOKUP(AD1695,[6]BV201101!$A$10:$A$1236,1,0)</f>
        <v>#N/A</v>
      </c>
    </row>
    <row r="1696" spans="1:39" s="467" customFormat="1" ht="12.75" customHeight="1">
      <c r="A1696" s="487" t="str">
        <f t="shared" si="379"/>
        <v>6</v>
      </c>
      <c r="B1696" s="487" t="str">
        <f t="shared" si="388"/>
        <v>12</v>
      </c>
      <c r="C1696" s="487" t="str">
        <f t="shared" si="389"/>
        <v>00</v>
      </c>
      <c r="D1696" s="487" t="str">
        <f t="shared" si="390"/>
        <v>2002</v>
      </c>
      <c r="E1696" s="487">
        <v>534101200</v>
      </c>
      <c r="F1696" s="488"/>
      <c r="G1696" s="487"/>
      <c r="H1696" s="487"/>
      <c r="I1696" s="488"/>
      <c r="J1696" s="487"/>
      <c r="K1696" s="487"/>
      <c r="L1696" s="488"/>
      <c r="M1696" s="487"/>
      <c r="N1696" s="487"/>
      <c r="O1696" s="488"/>
      <c r="P1696" s="489"/>
      <c r="Q1696" s="489"/>
      <c r="R1696" s="592"/>
      <c r="S1696" s="487"/>
      <c r="T1696" s="487"/>
      <c r="U1696" s="488"/>
      <c r="V1696" s="487"/>
      <c r="W1696" s="489"/>
      <c r="X1696" s="488"/>
      <c r="Y1696" s="489"/>
      <c r="Z1696" s="489"/>
      <c r="AA1696" s="490"/>
      <c r="AB1696" s="489"/>
      <c r="AC1696" s="489"/>
      <c r="AD1696" s="27">
        <v>612002</v>
      </c>
      <c r="AE1696" s="27" t="s">
        <v>1531</v>
      </c>
      <c r="AF1696" s="432">
        <f>VLOOKUP(AD1696,[5]Hoja1!$A$10:$K$1393,11,0)</f>
        <v>0</v>
      </c>
      <c r="AG1696" s="432"/>
      <c r="AH1696" s="432">
        <f t="shared" si="377"/>
        <v>0</v>
      </c>
      <c r="AL1696" s="448"/>
      <c r="AM1696" s="467">
        <f>VLOOKUP(AD1696,[6]BV201101!$A$10:$A$1236,1,0)</f>
        <v>612002</v>
      </c>
    </row>
    <row r="1697" spans="1:39" s="467" customFormat="1" ht="12.75" customHeight="1">
      <c r="A1697" s="487" t="str">
        <f t="shared" si="379"/>
        <v>6</v>
      </c>
      <c r="B1697" s="487" t="str">
        <f t="shared" si="388"/>
        <v>12</v>
      </c>
      <c r="C1697" s="487" t="str">
        <f t="shared" si="389"/>
        <v>00</v>
      </c>
      <c r="D1697" s="487" t="str">
        <f t="shared" si="390"/>
        <v>2003</v>
      </c>
      <c r="E1697" s="487">
        <v>534101200</v>
      </c>
      <c r="F1697" s="488" t="str">
        <f>+G1697&amp;H1697</f>
        <v/>
      </c>
      <c r="G1697" s="487"/>
      <c r="H1697" s="487"/>
      <c r="I1697" s="488" t="str">
        <f>+J1697&amp;K1697</f>
        <v/>
      </c>
      <c r="J1697" s="487"/>
      <c r="K1697" s="487"/>
      <c r="L1697" s="488" t="str">
        <f>+M1697&amp;N1697</f>
        <v/>
      </c>
      <c r="M1697" s="487"/>
      <c r="N1697" s="487"/>
      <c r="O1697" s="488" t="str">
        <f>+P1697&amp;Q1697</f>
        <v/>
      </c>
      <c r="P1697" s="489"/>
      <c r="Q1697" s="489"/>
      <c r="R1697" s="592" t="str">
        <f>+S1697&amp;T1697</f>
        <v/>
      </c>
      <c r="S1697" s="487"/>
      <c r="T1697" s="487"/>
      <c r="U1697" s="488" t="str">
        <f>+V1697&amp;W1697</f>
        <v/>
      </c>
      <c r="V1697" s="487"/>
      <c r="W1697" s="489"/>
      <c r="X1697" s="488" t="str">
        <f>+Y1697&amp;Z1697</f>
        <v/>
      </c>
      <c r="Y1697" s="489"/>
      <c r="Z1697" s="489"/>
      <c r="AA1697" s="490" t="str">
        <f>+AB1697&amp;AC1697</f>
        <v/>
      </c>
      <c r="AB1697" s="489"/>
      <c r="AC1697" s="489"/>
      <c r="AD1697" s="27">
        <v>612003</v>
      </c>
      <c r="AE1697" s="27" t="s">
        <v>2514</v>
      </c>
      <c r="AF1697" s="432">
        <v>0</v>
      </c>
      <c r="AG1697" s="432"/>
      <c r="AH1697" s="432">
        <f t="shared" si="377"/>
        <v>0</v>
      </c>
      <c r="AL1697" s="448"/>
      <c r="AM1697" s="467" t="e">
        <f>VLOOKUP(AD1697,[6]BV201101!$A$10:$A$1236,1,0)</f>
        <v>#N/A</v>
      </c>
    </row>
    <row r="1698" spans="1:39" s="467" customFormat="1" ht="12.75" customHeight="1">
      <c r="A1698" s="487" t="str">
        <f t="shared" si="379"/>
        <v>6</v>
      </c>
      <c r="B1698" s="487" t="str">
        <f t="shared" si="388"/>
        <v>12</v>
      </c>
      <c r="C1698" s="487" t="str">
        <f t="shared" si="389"/>
        <v>00</v>
      </c>
      <c r="D1698" s="487" t="str">
        <f t="shared" si="390"/>
        <v>2004</v>
      </c>
      <c r="E1698" s="487">
        <v>534101200</v>
      </c>
      <c r="F1698" s="488"/>
      <c r="G1698" s="487"/>
      <c r="H1698" s="487"/>
      <c r="I1698" s="488"/>
      <c r="J1698" s="487"/>
      <c r="K1698" s="487"/>
      <c r="L1698" s="488"/>
      <c r="M1698" s="487"/>
      <c r="N1698" s="487"/>
      <c r="O1698" s="488"/>
      <c r="P1698" s="489"/>
      <c r="Q1698" s="489"/>
      <c r="R1698" s="592"/>
      <c r="S1698" s="487"/>
      <c r="T1698" s="487"/>
      <c r="U1698" s="488"/>
      <c r="V1698" s="487"/>
      <c r="W1698" s="489"/>
      <c r="X1698" s="488"/>
      <c r="Y1698" s="489"/>
      <c r="Z1698" s="489"/>
      <c r="AA1698" s="490"/>
      <c r="AB1698" s="489"/>
      <c r="AC1698" s="489"/>
      <c r="AD1698" s="27">
        <v>612004</v>
      </c>
      <c r="AE1698" s="27" t="s">
        <v>1532</v>
      </c>
      <c r="AF1698" s="432">
        <f>VLOOKUP(AD1698,[5]Hoja1!$A$10:$K$1393,11,0)</f>
        <v>0</v>
      </c>
      <c r="AG1698" s="432"/>
      <c r="AH1698" s="432">
        <f t="shared" si="377"/>
        <v>0</v>
      </c>
      <c r="AL1698" s="448"/>
      <c r="AM1698" s="467">
        <f>VLOOKUP(AD1698,[6]BV201101!$A$10:$A$1236,1,0)</f>
        <v>612004</v>
      </c>
    </row>
    <row r="1699" spans="1:39" s="467" customFormat="1" ht="12.75" customHeight="1">
      <c r="A1699" s="487" t="str">
        <f t="shared" si="379"/>
        <v>6</v>
      </c>
      <c r="B1699" s="487" t="str">
        <f t="shared" si="388"/>
        <v>12</v>
      </c>
      <c r="C1699" s="487" t="str">
        <f t="shared" si="389"/>
        <v>00</v>
      </c>
      <c r="D1699" s="487" t="str">
        <f t="shared" si="390"/>
        <v>2005</v>
      </c>
      <c r="E1699" s="487">
        <v>534101200</v>
      </c>
      <c r="F1699" s="488"/>
      <c r="G1699" s="487"/>
      <c r="H1699" s="487"/>
      <c r="I1699" s="488"/>
      <c r="J1699" s="487"/>
      <c r="K1699" s="487"/>
      <c r="L1699" s="488"/>
      <c r="M1699" s="487"/>
      <c r="N1699" s="487"/>
      <c r="O1699" s="488"/>
      <c r="P1699" s="489"/>
      <c r="Q1699" s="489"/>
      <c r="R1699" s="592"/>
      <c r="S1699" s="487"/>
      <c r="T1699" s="487"/>
      <c r="U1699" s="488"/>
      <c r="V1699" s="487"/>
      <c r="W1699" s="489"/>
      <c r="X1699" s="488"/>
      <c r="Y1699" s="489"/>
      <c r="Z1699" s="489"/>
      <c r="AA1699" s="490"/>
      <c r="AB1699" s="489"/>
      <c r="AC1699" s="489"/>
      <c r="AD1699" s="27">
        <v>612005</v>
      </c>
      <c r="AE1699" s="27" t="s">
        <v>1533</v>
      </c>
      <c r="AF1699" s="432">
        <f>VLOOKUP(AD1699,[5]Hoja1!$A$10:$K$1393,11,0)</f>
        <v>0</v>
      </c>
      <c r="AG1699" s="432"/>
      <c r="AH1699" s="432">
        <f t="shared" si="377"/>
        <v>0</v>
      </c>
      <c r="AL1699" s="448"/>
      <c r="AM1699" s="467">
        <f>VLOOKUP(AD1699,[6]BV201101!$A$10:$A$1236,1,0)</f>
        <v>612005</v>
      </c>
    </row>
    <row r="1700" spans="1:39" s="467" customFormat="1" ht="12.75" customHeight="1">
      <c r="A1700" s="487" t="str">
        <f t="shared" si="379"/>
        <v>6</v>
      </c>
      <c r="B1700" s="487" t="str">
        <f t="shared" si="388"/>
        <v>12</v>
      </c>
      <c r="C1700" s="487" t="str">
        <f t="shared" si="389"/>
        <v>00</v>
      </c>
      <c r="D1700" s="487" t="str">
        <f t="shared" si="390"/>
        <v>2006</v>
      </c>
      <c r="E1700" s="487">
        <v>534101200</v>
      </c>
      <c r="F1700" s="488"/>
      <c r="G1700" s="487"/>
      <c r="H1700" s="487"/>
      <c r="I1700" s="488"/>
      <c r="J1700" s="487"/>
      <c r="K1700" s="487"/>
      <c r="L1700" s="488"/>
      <c r="M1700" s="487"/>
      <c r="N1700" s="487"/>
      <c r="O1700" s="488"/>
      <c r="P1700" s="489"/>
      <c r="Q1700" s="489"/>
      <c r="R1700" s="592"/>
      <c r="S1700" s="487"/>
      <c r="T1700" s="487"/>
      <c r="U1700" s="488"/>
      <c r="V1700" s="487"/>
      <c r="W1700" s="489"/>
      <c r="X1700" s="488"/>
      <c r="Y1700" s="489"/>
      <c r="Z1700" s="489"/>
      <c r="AA1700" s="490"/>
      <c r="AB1700" s="489"/>
      <c r="AC1700" s="489"/>
      <c r="AD1700" s="27">
        <v>612006</v>
      </c>
      <c r="AE1700" s="27" t="s">
        <v>1534</v>
      </c>
      <c r="AF1700" s="432">
        <v>0</v>
      </c>
      <c r="AG1700" s="432"/>
      <c r="AH1700" s="432">
        <f t="shared" si="377"/>
        <v>0</v>
      </c>
      <c r="AL1700" s="448"/>
      <c r="AM1700" s="467" t="e">
        <f>VLOOKUP(AD1700,[6]BV201101!$A$10:$A$1236,1,0)</f>
        <v>#N/A</v>
      </c>
    </row>
    <row r="1701" spans="1:39" s="467" customFormat="1" ht="12.75" customHeight="1">
      <c r="A1701" s="487" t="str">
        <f t="shared" si="379"/>
        <v>6</v>
      </c>
      <c r="B1701" s="487" t="str">
        <f t="shared" si="388"/>
        <v>12</v>
      </c>
      <c r="C1701" s="487" t="str">
        <f t="shared" si="389"/>
        <v>00</v>
      </c>
      <c r="D1701" s="487" t="str">
        <f t="shared" si="390"/>
        <v>2007</v>
      </c>
      <c r="E1701" s="487">
        <v>531201200</v>
      </c>
      <c r="F1701" s="488" t="str">
        <f>+G1701&amp;H1701</f>
        <v/>
      </c>
      <c r="G1701" s="487"/>
      <c r="H1701" s="487"/>
      <c r="I1701" s="488" t="str">
        <f>+J1701&amp;K1701</f>
        <v/>
      </c>
      <c r="J1701" s="487"/>
      <c r="K1701" s="487"/>
      <c r="L1701" s="488" t="str">
        <f>+M1701&amp;N1701</f>
        <v/>
      </c>
      <c r="M1701" s="487"/>
      <c r="N1701" s="487"/>
      <c r="O1701" s="488" t="str">
        <f>+P1701&amp;Q1701</f>
        <v/>
      </c>
      <c r="P1701" s="489"/>
      <c r="Q1701" s="489"/>
      <c r="R1701" s="592" t="str">
        <f>+S1701&amp;T1701</f>
        <v/>
      </c>
      <c r="S1701" s="487"/>
      <c r="T1701" s="487"/>
      <c r="U1701" s="488" t="str">
        <f>+V1701&amp;W1701</f>
        <v/>
      </c>
      <c r="V1701" s="487"/>
      <c r="W1701" s="489"/>
      <c r="X1701" s="488" t="str">
        <f>+Y1701&amp;Z1701</f>
        <v/>
      </c>
      <c r="Y1701" s="489"/>
      <c r="Z1701" s="489"/>
      <c r="AA1701" s="490" t="str">
        <f>+AB1701&amp;AC1701</f>
        <v/>
      </c>
      <c r="AB1701" s="489"/>
      <c r="AC1701" s="489"/>
      <c r="AD1701" s="27">
        <v>612007</v>
      </c>
      <c r="AE1701" s="27" t="s">
        <v>1770</v>
      </c>
      <c r="AF1701" s="432">
        <f>VLOOKUP(AD1701,[5]Hoja1!$A$10:$K$1393,11,0)</f>
        <v>0</v>
      </c>
      <c r="AG1701" s="432"/>
      <c r="AH1701" s="432">
        <f t="shared" si="377"/>
        <v>0</v>
      </c>
      <c r="AL1701" s="448"/>
      <c r="AM1701" s="467">
        <f>VLOOKUP(AD1701,[6]BV201101!$A$10:$A$1236,1,0)</f>
        <v>612007</v>
      </c>
    </row>
    <row r="1702" spans="1:39" s="467" customFormat="1" ht="12.75" customHeight="1">
      <c r="A1702" s="487" t="str">
        <f t="shared" si="379"/>
        <v>6</v>
      </c>
      <c r="B1702" s="487" t="str">
        <f t="shared" si="388"/>
        <v>12</v>
      </c>
      <c r="C1702" s="487" t="str">
        <f t="shared" si="389"/>
        <v>00</v>
      </c>
      <c r="D1702" s="487" t="str">
        <f t="shared" si="390"/>
        <v>2008</v>
      </c>
      <c r="E1702" s="487">
        <v>531201200</v>
      </c>
      <c r="F1702" s="488"/>
      <c r="G1702" s="487"/>
      <c r="H1702" s="487"/>
      <c r="I1702" s="488"/>
      <c r="J1702" s="487"/>
      <c r="K1702" s="487"/>
      <c r="L1702" s="488"/>
      <c r="M1702" s="487"/>
      <c r="N1702" s="487"/>
      <c r="O1702" s="488"/>
      <c r="P1702" s="489"/>
      <c r="Q1702" s="489"/>
      <c r="R1702" s="592"/>
      <c r="S1702" s="487"/>
      <c r="T1702" s="487"/>
      <c r="U1702" s="488"/>
      <c r="V1702" s="487"/>
      <c r="W1702" s="489"/>
      <c r="X1702" s="488"/>
      <c r="Y1702" s="489"/>
      <c r="Z1702" s="489"/>
      <c r="AA1702" s="490"/>
      <c r="AB1702" s="489"/>
      <c r="AC1702" s="489"/>
      <c r="AD1702" s="27">
        <v>612008</v>
      </c>
      <c r="AE1702" s="27" t="s">
        <v>699</v>
      </c>
      <c r="AF1702" s="432">
        <f>VLOOKUP(AD1702,[5]Hoja1!$A$10:$K$1393,11,0)</f>
        <v>0</v>
      </c>
      <c r="AG1702" s="432">
        <v>0</v>
      </c>
      <c r="AH1702" s="432">
        <f t="shared" si="377"/>
        <v>0</v>
      </c>
      <c r="AL1702" s="448"/>
      <c r="AM1702" s="467">
        <f>VLOOKUP(AD1702,[6]BV201101!$A$10:$A$1236,1,0)</f>
        <v>612008</v>
      </c>
    </row>
    <row r="1703" spans="1:39" s="467" customFormat="1" ht="12.75" customHeight="1">
      <c r="A1703" s="487" t="str">
        <f t="shared" si="379"/>
        <v>6</v>
      </c>
      <c r="B1703" s="487" t="str">
        <f t="shared" si="388"/>
        <v>13</v>
      </c>
      <c r="C1703" s="487" t="str">
        <f t="shared" si="389"/>
        <v>00</v>
      </c>
      <c r="D1703" s="487" t="str">
        <f t="shared" si="390"/>
        <v>3001</v>
      </c>
      <c r="E1703" s="487">
        <v>534101200</v>
      </c>
      <c r="F1703" s="488"/>
      <c r="G1703" s="487"/>
      <c r="H1703" s="487"/>
      <c r="I1703" s="488"/>
      <c r="J1703" s="487"/>
      <c r="K1703" s="487"/>
      <c r="L1703" s="488"/>
      <c r="M1703" s="487"/>
      <c r="N1703" s="487"/>
      <c r="O1703" s="488"/>
      <c r="P1703" s="489"/>
      <c r="Q1703" s="489"/>
      <c r="R1703" s="592"/>
      <c r="S1703" s="487"/>
      <c r="T1703" s="487"/>
      <c r="U1703" s="488"/>
      <c r="V1703" s="487"/>
      <c r="W1703" s="489"/>
      <c r="X1703" s="488"/>
      <c r="Y1703" s="489"/>
      <c r="Z1703" s="489"/>
      <c r="AA1703" s="490"/>
      <c r="AB1703" s="489"/>
      <c r="AC1703" s="489"/>
      <c r="AD1703" s="27">
        <v>613001</v>
      </c>
      <c r="AE1703" s="27" t="s">
        <v>1536</v>
      </c>
      <c r="AF1703" s="432">
        <v>0</v>
      </c>
      <c r="AG1703" s="432"/>
      <c r="AH1703" s="432">
        <f t="shared" ref="AH1703:AH1764" si="391">ROUND((AF1703+AG1703)/$AH$2,0)</f>
        <v>0</v>
      </c>
      <c r="AL1703" s="448"/>
      <c r="AM1703" s="467" t="e">
        <f>VLOOKUP(AD1703,[6]BV201101!$A$10:$A$1236,1,0)</f>
        <v>#N/A</v>
      </c>
    </row>
    <row r="1704" spans="1:39" s="467" customFormat="1" ht="12.75" customHeight="1">
      <c r="A1704" s="487" t="str">
        <f t="shared" si="379"/>
        <v>6</v>
      </c>
      <c r="B1704" s="487" t="str">
        <f t="shared" si="388"/>
        <v>13</v>
      </c>
      <c r="C1704" s="487" t="str">
        <f t="shared" si="389"/>
        <v>00</v>
      </c>
      <c r="D1704" s="487" t="str">
        <f t="shared" si="390"/>
        <v>3002</v>
      </c>
      <c r="E1704" s="487">
        <v>534101200</v>
      </c>
      <c r="F1704" s="488"/>
      <c r="G1704" s="487"/>
      <c r="H1704" s="487"/>
      <c r="I1704" s="488"/>
      <c r="J1704" s="487"/>
      <c r="K1704" s="487"/>
      <c r="L1704" s="488"/>
      <c r="M1704" s="487"/>
      <c r="N1704" s="487"/>
      <c r="O1704" s="488"/>
      <c r="P1704" s="489"/>
      <c r="Q1704" s="489"/>
      <c r="R1704" s="592"/>
      <c r="S1704" s="487"/>
      <c r="T1704" s="487"/>
      <c r="U1704" s="488"/>
      <c r="V1704" s="487"/>
      <c r="W1704" s="489"/>
      <c r="X1704" s="488"/>
      <c r="Y1704" s="489"/>
      <c r="Z1704" s="489"/>
      <c r="AA1704" s="490"/>
      <c r="AB1704" s="489"/>
      <c r="AC1704" s="489"/>
      <c r="AD1704" s="27">
        <v>613002</v>
      </c>
      <c r="AE1704" s="27" t="s">
        <v>1537</v>
      </c>
      <c r="AF1704" s="432">
        <v>0</v>
      </c>
      <c r="AG1704" s="432"/>
      <c r="AH1704" s="432">
        <f t="shared" si="391"/>
        <v>0</v>
      </c>
      <c r="AL1704" s="448"/>
      <c r="AM1704" s="467" t="e">
        <f>VLOOKUP(AD1704,[6]BV201101!$A$10:$A$1236,1,0)</f>
        <v>#N/A</v>
      </c>
    </row>
    <row r="1705" spans="1:39" s="467" customFormat="1" ht="12.75" customHeight="1">
      <c r="A1705" s="487" t="str">
        <f t="shared" si="379"/>
        <v>6</v>
      </c>
      <c r="B1705" s="487" t="str">
        <f t="shared" si="388"/>
        <v>13</v>
      </c>
      <c r="C1705" s="487" t="str">
        <f t="shared" si="389"/>
        <v>00</v>
      </c>
      <c r="D1705" s="487" t="str">
        <f t="shared" si="390"/>
        <v>3003</v>
      </c>
      <c r="E1705" s="487">
        <v>534101200</v>
      </c>
      <c r="F1705" s="488"/>
      <c r="G1705" s="487"/>
      <c r="H1705" s="487"/>
      <c r="I1705" s="488"/>
      <c r="J1705" s="487"/>
      <c r="K1705" s="487"/>
      <c r="L1705" s="488"/>
      <c r="M1705" s="487"/>
      <c r="N1705" s="487"/>
      <c r="O1705" s="488"/>
      <c r="P1705" s="489"/>
      <c r="Q1705" s="489"/>
      <c r="R1705" s="592"/>
      <c r="S1705" s="487"/>
      <c r="T1705" s="487"/>
      <c r="U1705" s="488"/>
      <c r="V1705" s="487"/>
      <c r="W1705" s="489"/>
      <c r="X1705" s="488"/>
      <c r="Y1705" s="489"/>
      <c r="Z1705" s="489"/>
      <c r="AA1705" s="490"/>
      <c r="AB1705" s="489"/>
      <c r="AC1705" s="489"/>
      <c r="AD1705" s="27">
        <v>613003</v>
      </c>
      <c r="AE1705" s="27" t="s">
        <v>1538</v>
      </c>
      <c r="AF1705" s="432">
        <v>0</v>
      </c>
      <c r="AG1705" s="432"/>
      <c r="AH1705" s="432">
        <f t="shared" si="391"/>
        <v>0</v>
      </c>
      <c r="AL1705" s="448"/>
      <c r="AM1705" s="467" t="e">
        <f>VLOOKUP(AD1705,[6]BV201101!$A$10:$A$1236,1,0)</f>
        <v>#N/A</v>
      </c>
    </row>
    <row r="1706" spans="1:39" s="467" customFormat="1" ht="12.75" customHeight="1">
      <c r="A1706" s="487" t="str">
        <f t="shared" si="379"/>
        <v>6</v>
      </c>
      <c r="B1706" s="487" t="str">
        <f t="shared" si="388"/>
        <v>13</v>
      </c>
      <c r="C1706" s="487" t="str">
        <f t="shared" si="389"/>
        <v>00</v>
      </c>
      <c r="D1706" s="487" t="str">
        <f t="shared" si="390"/>
        <v>3004</v>
      </c>
      <c r="E1706" s="487">
        <v>534101200</v>
      </c>
      <c r="F1706" s="488"/>
      <c r="G1706" s="487"/>
      <c r="H1706" s="487"/>
      <c r="I1706" s="488"/>
      <c r="J1706" s="487"/>
      <c r="K1706" s="487"/>
      <c r="L1706" s="488"/>
      <c r="M1706" s="487"/>
      <c r="N1706" s="487"/>
      <c r="O1706" s="488"/>
      <c r="P1706" s="489"/>
      <c r="Q1706" s="489"/>
      <c r="R1706" s="592"/>
      <c r="S1706" s="487"/>
      <c r="T1706" s="487"/>
      <c r="U1706" s="488"/>
      <c r="V1706" s="487"/>
      <c r="W1706" s="489"/>
      <c r="X1706" s="488"/>
      <c r="Y1706" s="489"/>
      <c r="Z1706" s="489"/>
      <c r="AA1706" s="490"/>
      <c r="AB1706" s="489"/>
      <c r="AC1706" s="489"/>
      <c r="AD1706" s="27">
        <v>613004</v>
      </c>
      <c r="AE1706" s="27" t="s">
        <v>1539</v>
      </c>
      <c r="AF1706" s="432">
        <v>0</v>
      </c>
      <c r="AG1706" s="432"/>
      <c r="AH1706" s="432">
        <f t="shared" si="391"/>
        <v>0</v>
      </c>
      <c r="AL1706" s="448"/>
      <c r="AM1706" s="467" t="e">
        <f>VLOOKUP(AD1706,[6]BV201101!$A$10:$A$1236,1,0)</f>
        <v>#N/A</v>
      </c>
    </row>
    <row r="1707" spans="1:39" s="467" customFormat="1" ht="12.75" customHeight="1">
      <c r="A1707" s="487" t="str">
        <f t="shared" si="379"/>
        <v>6</v>
      </c>
      <c r="B1707" s="487" t="str">
        <f t="shared" si="388"/>
        <v>13</v>
      </c>
      <c r="C1707" s="487" t="str">
        <f t="shared" si="389"/>
        <v>00</v>
      </c>
      <c r="D1707" s="487" t="str">
        <f t="shared" si="390"/>
        <v>3005</v>
      </c>
      <c r="E1707" s="487">
        <v>534101200</v>
      </c>
      <c r="F1707" s="488"/>
      <c r="G1707" s="487"/>
      <c r="H1707" s="487"/>
      <c r="I1707" s="488"/>
      <c r="J1707" s="487"/>
      <c r="K1707" s="487"/>
      <c r="L1707" s="488"/>
      <c r="M1707" s="487"/>
      <c r="N1707" s="487"/>
      <c r="O1707" s="488"/>
      <c r="P1707" s="489"/>
      <c r="Q1707" s="489"/>
      <c r="R1707" s="592"/>
      <c r="S1707" s="487"/>
      <c r="T1707" s="487"/>
      <c r="U1707" s="488"/>
      <c r="V1707" s="487"/>
      <c r="W1707" s="489"/>
      <c r="X1707" s="488"/>
      <c r="Y1707" s="489"/>
      <c r="Z1707" s="489"/>
      <c r="AA1707" s="490"/>
      <c r="AB1707" s="489"/>
      <c r="AC1707" s="489"/>
      <c r="AD1707" s="27">
        <v>613005</v>
      </c>
      <c r="AE1707" s="27" t="s">
        <v>1540</v>
      </c>
      <c r="AF1707" s="432">
        <v>0</v>
      </c>
      <c r="AG1707" s="432"/>
      <c r="AH1707" s="432">
        <f t="shared" si="391"/>
        <v>0</v>
      </c>
      <c r="AL1707" s="448"/>
      <c r="AM1707" s="467" t="e">
        <f>VLOOKUP(AD1707,[6]BV201101!$A$10:$A$1236,1,0)</f>
        <v>#N/A</v>
      </c>
    </row>
    <row r="1708" spans="1:39" s="467" customFormat="1" ht="12.75" customHeight="1">
      <c r="A1708" s="487" t="str">
        <f t="shared" si="379"/>
        <v>6</v>
      </c>
      <c r="B1708" s="487" t="str">
        <f t="shared" si="388"/>
        <v>13</v>
      </c>
      <c r="C1708" s="487" t="str">
        <f t="shared" si="389"/>
        <v>00</v>
      </c>
      <c r="D1708" s="487" t="str">
        <f t="shared" si="390"/>
        <v>3006</v>
      </c>
      <c r="E1708" s="487">
        <v>534101200</v>
      </c>
      <c r="F1708" s="488"/>
      <c r="G1708" s="487"/>
      <c r="H1708" s="487"/>
      <c r="I1708" s="488"/>
      <c r="J1708" s="487"/>
      <c r="K1708" s="487"/>
      <c r="L1708" s="488"/>
      <c r="M1708" s="487"/>
      <c r="N1708" s="487"/>
      <c r="O1708" s="488"/>
      <c r="P1708" s="489"/>
      <c r="Q1708" s="489"/>
      <c r="R1708" s="592"/>
      <c r="S1708" s="487"/>
      <c r="T1708" s="487"/>
      <c r="U1708" s="488"/>
      <c r="V1708" s="487"/>
      <c r="W1708" s="489"/>
      <c r="X1708" s="488"/>
      <c r="Y1708" s="489"/>
      <c r="Z1708" s="489"/>
      <c r="AA1708" s="490"/>
      <c r="AB1708" s="489"/>
      <c r="AC1708" s="489"/>
      <c r="AD1708" s="27">
        <v>613006</v>
      </c>
      <c r="AE1708" s="27" t="s">
        <v>650</v>
      </c>
      <c r="AF1708" s="432">
        <v>0</v>
      </c>
      <c r="AG1708" s="432"/>
      <c r="AH1708" s="432">
        <f t="shared" si="391"/>
        <v>0</v>
      </c>
      <c r="AL1708" s="448"/>
      <c r="AM1708" s="467" t="e">
        <f>VLOOKUP(AD1708,[6]BV201101!$A$10:$A$1236,1,0)</f>
        <v>#N/A</v>
      </c>
    </row>
    <row r="1709" spans="1:39" s="467" customFormat="1" ht="12.75" customHeight="1">
      <c r="A1709" s="487" t="str">
        <f t="shared" si="379"/>
        <v>6</v>
      </c>
      <c r="B1709" s="487" t="str">
        <f t="shared" si="388"/>
        <v>13</v>
      </c>
      <c r="C1709" s="487" t="str">
        <f t="shared" si="389"/>
        <v>00</v>
      </c>
      <c r="D1709" s="487" t="str">
        <f t="shared" si="390"/>
        <v>3007</v>
      </c>
      <c r="E1709" s="487">
        <v>534101200</v>
      </c>
      <c r="F1709" s="488"/>
      <c r="G1709" s="487"/>
      <c r="H1709" s="487"/>
      <c r="I1709" s="488"/>
      <c r="J1709" s="487"/>
      <c r="K1709" s="487"/>
      <c r="L1709" s="488"/>
      <c r="M1709" s="487"/>
      <c r="N1709" s="487"/>
      <c r="O1709" s="488"/>
      <c r="P1709" s="489"/>
      <c r="Q1709" s="489"/>
      <c r="R1709" s="592"/>
      <c r="S1709" s="487"/>
      <c r="T1709" s="487"/>
      <c r="U1709" s="488"/>
      <c r="V1709" s="487"/>
      <c r="W1709" s="489"/>
      <c r="X1709" s="488"/>
      <c r="Y1709" s="489"/>
      <c r="Z1709" s="489"/>
      <c r="AA1709" s="490"/>
      <c r="AB1709" s="489"/>
      <c r="AC1709" s="489"/>
      <c r="AD1709" s="27">
        <v>613007</v>
      </c>
      <c r="AE1709" s="27" t="s">
        <v>651</v>
      </c>
      <c r="AF1709" s="432">
        <v>0</v>
      </c>
      <c r="AG1709" s="432"/>
      <c r="AH1709" s="432">
        <f t="shared" si="391"/>
        <v>0</v>
      </c>
      <c r="AL1709" s="448"/>
      <c r="AM1709" s="467" t="e">
        <f>VLOOKUP(AD1709,[6]BV201101!$A$10:$A$1236,1,0)</f>
        <v>#N/A</v>
      </c>
    </row>
    <row r="1710" spans="1:39" s="467" customFormat="1" ht="12.75" customHeight="1">
      <c r="A1710" s="487" t="str">
        <f t="shared" si="379"/>
        <v>6</v>
      </c>
      <c r="B1710" s="487" t="str">
        <f t="shared" si="388"/>
        <v>13</v>
      </c>
      <c r="C1710" s="487" t="str">
        <f t="shared" si="389"/>
        <v>00</v>
      </c>
      <c r="D1710" s="487" t="str">
        <f t="shared" si="390"/>
        <v>3008</v>
      </c>
      <c r="E1710" s="487">
        <v>534101200</v>
      </c>
      <c r="F1710" s="488"/>
      <c r="G1710" s="487"/>
      <c r="H1710" s="487"/>
      <c r="I1710" s="488"/>
      <c r="J1710" s="487"/>
      <c r="K1710" s="487"/>
      <c r="L1710" s="488"/>
      <c r="M1710" s="487"/>
      <c r="N1710" s="487"/>
      <c r="O1710" s="488"/>
      <c r="P1710" s="489"/>
      <c r="Q1710" s="489"/>
      <c r="R1710" s="592"/>
      <c r="S1710" s="487"/>
      <c r="T1710" s="487"/>
      <c r="U1710" s="488"/>
      <c r="V1710" s="487"/>
      <c r="W1710" s="489"/>
      <c r="X1710" s="488"/>
      <c r="Y1710" s="489"/>
      <c r="Z1710" s="489"/>
      <c r="AA1710" s="490"/>
      <c r="AB1710" s="489"/>
      <c r="AC1710" s="489"/>
      <c r="AD1710" s="27">
        <v>613008</v>
      </c>
      <c r="AE1710" s="27" t="s">
        <v>652</v>
      </c>
      <c r="AF1710" s="432">
        <f>VLOOKUP(AD1710,[5]Hoja1!$A$10:$K$1393,11,0)</f>
        <v>0</v>
      </c>
      <c r="AG1710" s="432"/>
      <c r="AH1710" s="432">
        <f t="shared" si="391"/>
        <v>0</v>
      </c>
      <c r="AL1710" s="448"/>
      <c r="AM1710" s="467">
        <f>VLOOKUP(AD1710,[6]BV201101!$A$10:$A$1236,1,0)</f>
        <v>613008</v>
      </c>
    </row>
    <row r="1711" spans="1:39" s="467" customFormat="1" ht="12.75" customHeight="1">
      <c r="A1711" s="487" t="str">
        <f t="shared" si="379"/>
        <v>6</v>
      </c>
      <c r="B1711" s="487" t="str">
        <f t="shared" si="388"/>
        <v>13</v>
      </c>
      <c r="C1711" s="487" t="str">
        <f t="shared" si="389"/>
        <v>00</v>
      </c>
      <c r="D1711" s="487" t="str">
        <f t="shared" si="390"/>
        <v>3009</v>
      </c>
      <c r="E1711" s="487">
        <v>534101200</v>
      </c>
      <c r="F1711" s="488"/>
      <c r="G1711" s="487"/>
      <c r="H1711" s="487"/>
      <c r="I1711" s="488"/>
      <c r="J1711" s="487"/>
      <c r="K1711" s="487"/>
      <c r="L1711" s="488"/>
      <c r="M1711" s="487"/>
      <c r="N1711" s="487"/>
      <c r="O1711" s="488"/>
      <c r="P1711" s="489"/>
      <c r="Q1711" s="489"/>
      <c r="R1711" s="592"/>
      <c r="S1711" s="487"/>
      <c r="T1711" s="487"/>
      <c r="U1711" s="488"/>
      <c r="V1711" s="487"/>
      <c r="W1711" s="489"/>
      <c r="X1711" s="488"/>
      <c r="Y1711" s="489"/>
      <c r="Z1711" s="489"/>
      <c r="AA1711" s="490"/>
      <c r="AB1711" s="489"/>
      <c r="AC1711" s="489"/>
      <c r="AD1711" s="27">
        <v>613009</v>
      </c>
      <c r="AE1711" s="27" t="s">
        <v>653</v>
      </c>
      <c r="AF1711" s="432">
        <v>0</v>
      </c>
      <c r="AG1711" s="432"/>
      <c r="AH1711" s="432">
        <f t="shared" si="391"/>
        <v>0</v>
      </c>
      <c r="AL1711" s="448"/>
      <c r="AM1711" s="467" t="e">
        <f>VLOOKUP(AD1711,[6]BV201101!$A$10:$A$1236,1,0)</f>
        <v>#N/A</v>
      </c>
    </row>
    <row r="1712" spans="1:39" s="467" customFormat="1" ht="12.75" customHeight="1">
      <c r="A1712" s="487" t="str">
        <f t="shared" si="379"/>
        <v>6</v>
      </c>
      <c r="B1712" s="487" t="str">
        <f t="shared" si="388"/>
        <v>13</v>
      </c>
      <c r="C1712" s="487" t="str">
        <f t="shared" si="389"/>
        <v>01</v>
      </c>
      <c r="D1712" s="487" t="str">
        <f t="shared" si="390"/>
        <v>3010</v>
      </c>
      <c r="E1712" s="487">
        <v>534101200</v>
      </c>
      <c r="F1712" s="488"/>
      <c r="G1712" s="487"/>
      <c r="H1712" s="487"/>
      <c r="I1712" s="488"/>
      <c r="J1712" s="487"/>
      <c r="K1712" s="487"/>
      <c r="L1712" s="488"/>
      <c r="M1712" s="487"/>
      <c r="N1712" s="487"/>
      <c r="O1712" s="488"/>
      <c r="P1712" s="489"/>
      <c r="Q1712" s="489"/>
      <c r="R1712" s="592"/>
      <c r="S1712" s="487"/>
      <c r="T1712" s="487"/>
      <c r="U1712" s="488"/>
      <c r="V1712" s="487"/>
      <c r="W1712" s="489"/>
      <c r="X1712" s="488"/>
      <c r="Y1712" s="489"/>
      <c r="Z1712" s="489"/>
      <c r="AA1712" s="490"/>
      <c r="AB1712" s="489"/>
      <c r="AC1712" s="489"/>
      <c r="AD1712" s="27">
        <v>613010</v>
      </c>
      <c r="AE1712" s="27" t="s">
        <v>820</v>
      </c>
      <c r="AF1712" s="432">
        <f>VLOOKUP(AD1712,[5]Hoja1!$A$10:$K$1393,11,0)</f>
        <v>0</v>
      </c>
      <c r="AG1712" s="432"/>
      <c r="AH1712" s="432">
        <f t="shared" si="391"/>
        <v>0</v>
      </c>
      <c r="AL1712" s="448"/>
      <c r="AM1712" s="467">
        <f>VLOOKUP(AD1712,[6]BV201101!$A$10:$A$1236,1,0)</f>
        <v>613010</v>
      </c>
    </row>
    <row r="1713" spans="1:39" s="467" customFormat="1" ht="12.75" customHeight="1">
      <c r="A1713" s="487" t="str">
        <f t="shared" si="379"/>
        <v>6</v>
      </c>
      <c r="B1713" s="487" t="str">
        <f t="shared" si="388"/>
        <v>13</v>
      </c>
      <c r="C1713" s="487" t="str">
        <f t="shared" si="389"/>
        <v>01</v>
      </c>
      <c r="D1713" s="487" t="str">
        <f t="shared" si="390"/>
        <v>3011</v>
      </c>
      <c r="E1713" s="487">
        <v>534101200</v>
      </c>
      <c r="F1713" s="488"/>
      <c r="G1713" s="487"/>
      <c r="H1713" s="487"/>
      <c r="I1713" s="488"/>
      <c r="J1713" s="487"/>
      <c r="K1713" s="487"/>
      <c r="L1713" s="488"/>
      <c r="M1713" s="487"/>
      <c r="N1713" s="487"/>
      <c r="O1713" s="488"/>
      <c r="P1713" s="489"/>
      <c r="Q1713" s="489"/>
      <c r="R1713" s="592"/>
      <c r="S1713" s="487"/>
      <c r="T1713" s="487"/>
      <c r="U1713" s="488"/>
      <c r="V1713" s="487"/>
      <c r="W1713" s="489"/>
      <c r="X1713" s="488"/>
      <c r="Y1713" s="489"/>
      <c r="Z1713" s="489"/>
      <c r="AA1713" s="490"/>
      <c r="AB1713" s="489"/>
      <c r="AC1713" s="489"/>
      <c r="AD1713" s="27">
        <v>613011</v>
      </c>
      <c r="AE1713" s="27" t="s">
        <v>821</v>
      </c>
      <c r="AF1713" s="432">
        <v>0</v>
      </c>
      <c r="AG1713" s="432"/>
      <c r="AH1713" s="432">
        <f t="shared" si="391"/>
        <v>0</v>
      </c>
      <c r="AL1713" s="448"/>
      <c r="AM1713" s="467" t="e">
        <f>VLOOKUP(AD1713,[6]BV201101!$A$10:$A$1236,1,0)</f>
        <v>#N/A</v>
      </c>
    </row>
    <row r="1714" spans="1:39" s="467" customFormat="1" ht="12.75" customHeight="1">
      <c r="A1714" s="487" t="str">
        <f t="shared" si="379"/>
        <v>6</v>
      </c>
      <c r="B1714" s="487" t="str">
        <f t="shared" si="388"/>
        <v>14</v>
      </c>
      <c r="C1714" s="487" t="str">
        <f t="shared" si="389"/>
        <v>00</v>
      </c>
      <c r="D1714" s="487" t="str">
        <f t="shared" si="390"/>
        <v>4001</v>
      </c>
      <c r="E1714" s="487">
        <v>534101200</v>
      </c>
      <c r="F1714" s="488"/>
      <c r="G1714" s="487"/>
      <c r="H1714" s="487"/>
      <c r="I1714" s="488"/>
      <c r="J1714" s="487"/>
      <c r="K1714" s="487"/>
      <c r="L1714" s="488"/>
      <c r="M1714" s="487"/>
      <c r="N1714" s="487"/>
      <c r="O1714" s="488"/>
      <c r="P1714" s="489"/>
      <c r="Q1714" s="489"/>
      <c r="R1714" s="592"/>
      <c r="S1714" s="487"/>
      <c r="T1714" s="487"/>
      <c r="U1714" s="488"/>
      <c r="V1714" s="487"/>
      <c r="W1714" s="489"/>
      <c r="X1714" s="488"/>
      <c r="Y1714" s="489"/>
      <c r="Z1714" s="489"/>
      <c r="AA1714" s="490"/>
      <c r="AB1714" s="489"/>
      <c r="AC1714" s="489"/>
      <c r="AD1714" s="27">
        <v>614001</v>
      </c>
      <c r="AE1714" s="27" t="s">
        <v>822</v>
      </c>
      <c r="AF1714" s="432">
        <v>0</v>
      </c>
      <c r="AG1714" s="432"/>
      <c r="AH1714" s="432">
        <f t="shared" si="391"/>
        <v>0</v>
      </c>
      <c r="AL1714" s="448"/>
      <c r="AM1714" s="467" t="e">
        <f>VLOOKUP(AD1714,[6]BV201101!$A$10:$A$1236,1,0)</f>
        <v>#N/A</v>
      </c>
    </row>
    <row r="1715" spans="1:39" s="467" customFormat="1" ht="12.75" customHeight="1">
      <c r="A1715" s="487" t="str">
        <f t="shared" si="379"/>
        <v>6</v>
      </c>
      <c r="B1715" s="487" t="str">
        <f t="shared" si="388"/>
        <v>14</v>
      </c>
      <c r="C1715" s="487" t="str">
        <f t="shared" si="389"/>
        <v>00</v>
      </c>
      <c r="D1715" s="487" t="str">
        <f t="shared" si="390"/>
        <v>4002</v>
      </c>
      <c r="E1715" s="487">
        <v>534101200</v>
      </c>
      <c r="F1715" s="488"/>
      <c r="G1715" s="487"/>
      <c r="H1715" s="487"/>
      <c r="I1715" s="488"/>
      <c r="J1715" s="487"/>
      <c r="K1715" s="487"/>
      <c r="L1715" s="488"/>
      <c r="M1715" s="487"/>
      <c r="N1715" s="487"/>
      <c r="O1715" s="488"/>
      <c r="P1715" s="489"/>
      <c r="Q1715" s="489"/>
      <c r="R1715" s="592"/>
      <c r="S1715" s="487"/>
      <c r="T1715" s="487"/>
      <c r="U1715" s="488"/>
      <c r="V1715" s="487"/>
      <c r="W1715" s="489"/>
      <c r="X1715" s="488"/>
      <c r="Y1715" s="489"/>
      <c r="Z1715" s="489"/>
      <c r="AA1715" s="490"/>
      <c r="AB1715" s="489"/>
      <c r="AC1715" s="489"/>
      <c r="AD1715" s="27">
        <v>614002</v>
      </c>
      <c r="AE1715" s="27" t="s">
        <v>823</v>
      </c>
      <c r="AF1715" s="432">
        <v>0</v>
      </c>
      <c r="AG1715" s="432"/>
      <c r="AH1715" s="432">
        <f t="shared" si="391"/>
        <v>0</v>
      </c>
      <c r="AL1715" s="448"/>
      <c r="AM1715" s="467" t="e">
        <f>VLOOKUP(AD1715,[6]BV201101!$A$10:$A$1236,1,0)</f>
        <v>#N/A</v>
      </c>
    </row>
    <row r="1716" spans="1:39" s="467" customFormat="1" ht="12.75" customHeight="1">
      <c r="A1716" s="487" t="str">
        <f t="shared" si="379"/>
        <v>6</v>
      </c>
      <c r="B1716" s="487" t="str">
        <f t="shared" si="388"/>
        <v>14</v>
      </c>
      <c r="C1716" s="487" t="str">
        <f t="shared" si="389"/>
        <v>00</v>
      </c>
      <c r="D1716" s="487" t="str">
        <f t="shared" si="390"/>
        <v>4003</v>
      </c>
      <c r="E1716" s="487">
        <v>534101200</v>
      </c>
      <c r="F1716" s="488"/>
      <c r="G1716" s="487"/>
      <c r="H1716" s="487"/>
      <c r="I1716" s="488"/>
      <c r="J1716" s="487"/>
      <c r="K1716" s="487"/>
      <c r="L1716" s="488"/>
      <c r="M1716" s="487"/>
      <c r="N1716" s="487"/>
      <c r="O1716" s="488"/>
      <c r="P1716" s="489"/>
      <c r="Q1716" s="489"/>
      <c r="R1716" s="592"/>
      <c r="S1716" s="487"/>
      <c r="T1716" s="487"/>
      <c r="U1716" s="488"/>
      <c r="V1716" s="487"/>
      <c r="W1716" s="489"/>
      <c r="X1716" s="488"/>
      <c r="Y1716" s="489"/>
      <c r="Z1716" s="489"/>
      <c r="AA1716" s="490"/>
      <c r="AB1716" s="489"/>
      <c r="AC1716" s="489"/>
      <c r="AD1716" s="27">
        <v>614003</v>
      </c>
      <c r="AE1716" s="27" t="s">
        <v>824</v>
      </c>
      <c r="AF1716" s="432">
        <v>0</v>
      </c>
      <c r="AG1716" s="432"/>
      <c r="AH1716" s="432">
        <f t="shared" si="391"/>
        <v>0</v>
      </c>
      <c r="AL1716" s="448"/>
      <c r="AM1716" s="467" t="e">
        <f>VLOOKUP(AD1716,[6]BV201101!$A$10:$A$1236,1,0)</f>
        <v>#N/A</v>
      </c>
    </row>
    <row r="1717" spans="1:39" s="467" customFormat="1" ht="12.75" customHeight="1">
      <c r="A1717" s="487" t="str">
        <f t="shared" si="379"/>
        <v>6</v>
      </c>
      <c r="B1717" s="487" t="str">
        <f t="shared" si="388"/>
        <v>14</v>
      </c>
      <c r="C1717" s="487" t="str">
        <f t="shared" si="389"/>
        <v>00</v>
      </c>
      <c r="D1717" s="487" t="str">
        <f t="shared" si="390"/>
        <v>4004</v>
      </c>
      <c r="E1717" s="487">
        <v>534101200</v>
      </c>
      <c r="F1717" s="488"/>
      <c r="G1717" s="487"/>
      <c r="H1717" s="487"/>
      <c r="I1717" s="488"/>
      <c r="J1717" s="487"/>
      <c r="K1717" s="487"/>
      <c r="L1717" s="488"/>
      <c r="M1717" s="487"/>
      <c r="N1717" s="487"/>
      <c r="O1717" s="488"/>
      <c r="P1717" s="489"/>
      <c r="Q1717" s="489"/>
      <c r="R1717" s="592"/>
      <c r="S1717" s="487"/>
      <c r="T1717" s="487"/>
      <c r="U1717" s="488"/>
      <c r="V1717" s="487"/>
      <c r="W1717" s="489"/>
      <c r="X1717" s="488"/>
      <c r="Y1717" s="489"/>
      <c r="Z1717" s="489"/>
      <c r="AA1717" s="490"/>
      <c r="AB1717" s="489"/>
      <c r="AC1717" s="489"/>
      <c r="AD1717" s="27">
        <v>614004</v>
      </c>
      <c r="AE1717" s="27" t="s">
        <v>825</v>
      </c>
      <c r="AF1717" s="432">
        <v>0</v>
      </c>
      <c r="AG1717" s="432"/>
      <c r="AH1717" s="432">
        <f t="shared" si="391"/>
        <v>0</v>
      </c>
      <c r="AL1717" s="448"/>
      <c r="AM1717" s="467" t="e">
        <f>VLOOKUP(AD1717,[6]BV201101!$A$10:$A$1236,1,0)</f>
        <v>#N/A</v>
      </c>
    </row>
    <row r="1718" spans="1:39" s="467" customFormat="1" ht="12.75" customHeight="1">
      <c r="A1718" s="487" t="str">
        <f t="shared" si="379"/>
        <v>6</v>
      </c>
      <c r="B1718" s="487" t="str">
        <f t="shared" si="388"/>
        <v>14</v>
      </c>
      <c r="C1718" s="487" t="str">
        <f t="shared" si="389"/>
        <v>00</v>
      </c>
      <c r="D1718" s="487" t="str">
        <f t="shared" si="390"/>
        <v>4005</v>
      </c>
      <c r="E1718" s="487">
        <v>534101200</v>
      </c>
      <c r="F1718" s="488"/>
      <c r="G1718" s="487"/>
      <c r="H1718" s="487"/>
      <c r="I1718" s="488"/>
      <c r="J1718" s="487"/>
      <c r="K1718" s="487"/>
      <c r="L1718" s="488"/>
      <c r="M1718" s="487"/>
      <c r="N1718" s="487"/>
      <c r="O1718" s="488"/>
      <c r="P1718" s="489"/>
      <c r="Q1718" s="489"/>
      <c r="R1718" s="592"/>
      <c r="S1718" s="487"/>
      <c r="T1718" s="487"/>
      <c r="U1718" s="488"/>
      <c r="V1718" s="487"/>
      <c r="W1718" s="489"/>
      <c r="X1718" s="488"/>
      <c r="Y1718" s="489"/>
      <c r="Z1718" s="489"/>
      <c r="AA1718" s="490"/>
      <c r="AB1718" s="489"/>
      <c r="AC1718" s="489"/>
      <c r="AD1718" s="27">
        <v>614005</v>
      </c>
      <c r="AE1718" s="27" t="s">
        <v>826</v>
      </c>
      <c r="AF1718" s="432">
        <v>0</v>
      </c>
      <c r="AG1718" s="432"/>
      <c r="AH1718" s="432">
        <f t="shared" si="391"/>
        <v>0</v>
      </c>
      <c r="AL1718" s="448"/>
      <c r="AM1718" s="467" t="e">
        <f>VLOOKUP(AD1718,[6]BV201101!$A$10:$A$1236,1,0)</f>
        <v>#N/A</v>
      </c>
    </row>
    <row r="1719" spans="1:39" s="467" customFormat="1" ht="12.75" customHeight="1">
      <c r="A1719" s="487" t="str">
        <f t="shared" si="379"/>
        <v>6</v>
      </c>
      <c r="B1719" s="487" t="str">
        <f t="shared" si="388"/>
        <v>14</v>
      </c>
      <c r="C1719" s="487" t="str">
        <f t="shared" si="389"/>
        <v>00</v>
      </c>
      <c r="D1719" s="487" t="str">
        <f t="shared" si="390"/>
        <v>4006</v>
      </c>
      <c r="E1719" s="487">
        <v>534101200</v>
      </c>
      <c r="F1719" s="488"/>
      <c r="G1719" s="487"/>
      <c r="H1719" s="487"/>
      <c r="I1719" s="488"/>
      <c r="J1719" s="487"/>
      <c r="K1719" s="487"/>
      <c r="L1719" s="488"/>
      <c r="M1719" s="487"/>
      <c r="N1719" s="487"/>
      <c r="O1719" s="488"/>
      <c r="P1719" s="489"/>
      <c r="Q1719" s="489"/>
      <c r="R1719" s="592"/>
      <c r="S1719" s="487"/>
      <c r="T1719" s="487"/>
      <c r="U1719" s="488"/>
      <c r="V1719" s="487"/>
      <c r="W1719" s="489"/>
      <c r="X1719" s="488"/>
      <c r="Y1719" s="489"/>
      <c r="Z1719" s="489"/>
      <c r="AA1719" s="490"/>
      <c r="AB1719" s="489"/>
      <c r="AC1719" s="489"/>
      <c r="AD1719" s="27">
        <v>614006</v>
      </c>
      <c r="AE1719" s="27" t="s">
        <v>650</v>
      </c>
      <c r="AF1719" s="432">
        <v>0</v>
      </c>
      <c r="AG1719" s="432"/>
      <c r="AH1719" s="432">
        <f t="shared" si="391"/>
        <v>0</v>
      </c>
      <c r="AL1719" s="448"/>
      <c r="AM1719" s="467" t="e">
        <f>VLOOKUP(AD1719,[6]BV201101!$A$10:$A$1236,1,0)</f>
        <v>#N/A</v>
      </c>
    </row>
    <row r="1720" spans="1:39" s="467" customFormat="1" ht="12.75" customHeight="1">
      <c r="A1720" s="487" t="str">
        <f t="shared" si="379"/>
        <v>6</v>
      </c>
      <c r="B1720" s="487" t="str">
        <f t="shared" si="388"/>
        <v>14</v>
      </c>
      <c r="C1720" s="487" t="str">
        <f t="shared" si="389"/>
        <v>00</v>
      </c>
      <c r="D1720" s="487" t="str">
        <f t="shared" si="390"/>
        <v>4007</v>
      </c>
      <c r="E1720" s="487">
        <v>534101200</v>
      </c>
      <c r="F1720" s="488"/>
      <c r="G1720" s="487"/>
      <c r="H1720" s="487"/>
      <c r="I1720" s="488"/>
      <c r="J1720" s="487"/>
      <c r="K1720" s="487"/>
      <c r="L1720" s="488"/>
      <c r="M1720" s="487"/>
      <c r="N1720" s="487"/>
      <c r="O1720" s="488"/>
      <c r="P1720" s="489"/>
      <c r="Q1720" s="489"/>
      <c r="R1720" s="592"/>
      <c r="S1720" s="487"/>
      <c r="T1720" s="487"/>
      <c r="U1720" s="488"/>
      <c r="V1720" s="487"/>
      <c r="W1720" s="489"/>
      <c r="X1720" s="488"/>
      <c r="Y1720" s="489"/>
      <c r="Z1720" s="489"/>
      <c r="AA1720" s="490"/>
      <c r="AB1720" s="489"/>
      <c r="AC1720" s="489"/>
      <c r="AD1720" s="27">
        <v>614007</v>
      </c>
      <c r="AE1720" s="27" t="s">
        <v>1295</v>
      </c>
      <c r="AF1720" s="432">
        <f>VLOOKUP(AD1720,[5]Hoja1!$A$10:$K$1393,11,0)</f>
        <v>0</v>
      </c>
      <c r="AG1720" s="432"/>
      <c r="AH1720" s="432">
        <f t="shared" si="391"/>
        <v>0</v>
      </c>
      <c r="AL1720" s="448"/>
      <c r="AM1720" s="467">
        <f>VLOOKUP(AD1720,[6]BV201101!$A$10:$A$1236,1,0)</f>
        <v>614007</v>
      </c>
    </row>
    <row r="1721" spans="1:39" s="467" customFormat="1" ht="12.75" customHeight="1">
      <c r="A1721" s="487" t="str">
        <f t="shared" ref="A1721:A1764" si="392">+LEFT($AD1721,1)</f>
        <v>6</v>
      </c>
      <c r="B1721" s="487" t="str">
        <f t="shared" si="388"/>
        <v>14</v>
      </c>
      <c r="C1721" s="487" t="str">
        <f t="shared" si="389"/>
        <v>00</v>
      </c>
      <c r="D1721" s="487" t="str">
        <f t="shared" si="390"/>
        <v>4008</v>
      </c>
      <c r="E1721" s="487">
        <v>534101200</v>
      </c>
      <c r="F1721" s="488"/>
      <c r="G1721" s="487"/>
      <c r="H1721" s="487"/>
      <c r="I1721" s="488"/>
      <c r="J1721" s="487"/>
      <c r="K1721" s="487"/>
      <c r="L1721" s="488"/>
      <c r="M1721" s="487"/>
      <c r="N1721" s="487"/>
      <c r="O1721" s="488"/>
      <c r="P1721" s="489"/>
      <c r="Q1721" s="489"/>
      <c r="R1721" s="592"/>
      <c r="S1721" s="487"/>
      <c r="T1721" s="487"/>
      <c r="U1721" s="488"/>
      <c r="V1721" s="487"/>
      <c r="W1721" s="489"/>
      <c r="X1721" s="488"/>
      <c r="Y1721" s="489"/>
      <c r="Z1721" s="489"/>
      <c r="AA1721" s="490"/>
      <c r="AB1721" s="489"/>
      <c r="AC1721" s="489"/>
      <c r="AD1721" s="27">
        <v>614008</v>
      </c>
      <c r="AE1721" s="27" t="s">
        <v>1296</v>
      </c>
      <c r="AF1721" s="432">
        <v>0</v>
      </c>
      <c r="AG1721" s="432"/>
      <c r="AH1721" s="432">
        <f t="shared" si="391"/>
        <v>0</v>
      </c>
      <c r="AL1721" s="448"/>
      <c r="AM1721" s="467" t="e">
        <f>VLOOKUP(AD1721,[6]BV201101!$A$10:$A$1236,1,0)</f>
        <v>#N/A</v>
      </c>
    </row>
    <row r="1722" spans="1:39" s="467" customFormat="1" ht="12.75" customHeight="1">
      <c r="A1722" s="487" t="str">
        <f t="shared" si="392"/>
        <v>6</v>
      </c>
      <c r="B1722" s="487" t="str">
        <f t="shared" si="388"/>
        <v>14</v>
      </c>
      <c r="C1722" s="487" t="str">
        <f t="shared" si="389"/>
        <v>00</v>
      </c>
      <c r="D1722" s="487" t="str">
        <f t="shared" si="390"/>
        <v>4009</v>
      </c>
      <c r="E1722" s="487">
        <v>534101200</v>
      </c>
      <c r="F1722" s="488"/>
      <c r="G1722" s="487"/>
      <c r="H1722" s="487"/>
      <c r="I1722" s="488"/>
      <c r="J1722" s="487"/>
      <c r="K1722" s="487"/>
      <c r="L1722" s="488"/>
      <c r="M1722" s="487"/>
      <c r="N1722" s="487"/>
      <c r="O1722" s="488"/>
      <c r="P1722" s="489"/>
      <c r="Q1722" s="489"/>
      <c r="R1722" s="592"/>
      <c r="S1722" s="487"/>
      <c r="T1722" s="487"/>
      <c r="U1722" s="488"/>
      <c r="V1722" s="487"/>
      <c r="W1722" s="489"/>
      <c r="X1722" s="488"/>
      <c r="Y1722" s="489"/>
      <c r="Z1722" s="489"/>
      <c r="AA1722" s="490"/>
      <c r="AB1722" s="489"/>
      <c r="AC1722" s="489"/>
      <c r="AD1722" s="27">
        <v>614009</v>
      </c>
      <c r="AE1722" s="27" t="s">
        <v>1297</v>
      </c>
      <c r="AF1722" s="432">
        <v>0</v>
      </c>
      <c r="AG1722" s="432"/>
      <c r="AH1722" s="432">
        <f t="shared" si="391"/>
        <v>0</v>
      </c>
      <c r="AL1722" s="448"/>
      <c r="AM1722" s="467" t="e">
        <f>VLOOKUP(AD1722,[6]BV201101!$A$10:$A$1236,1,0)</f>
        <v>#N/A</v>
      </c>
    </row>
    <row r="1723" spans="1:39" s="467" customFormat="1" ht="12.75" customHeight="1">
      <c r="A1723" s="487" t="str">
        <f t="shared" si="392"/>
        <v>6</v>
      </c>
      <c r="B1723" s="487" t="str">
        <f t="shared" si="388"/>
        <v>14</v>
      </c>
      <c r="C1723" s="487" t="str">
        <f t="shared" si="389"/>
        <v>01</v>
      </c>
      <c r="D1723" s="487" t="str">
        <f t="shared" si="390"/>
        <v>4010</v>
      </c>
      <c r="E1723" s="487">
        <v>534101200</v>
      </c>
      <c r="F1723" s="488"/>
      <c r="G1723" s="487"/>
      <c r="H1723" s="487"/>
      <c r="I1723" s="488"/>
      <c r="J1723" s="487"/>
      <c r="K1723" s="487"/>
      <c r="L1723" s="488"/>
      <c r="M1723" s="487"/>
      <c r="N1723" s="487"/>
      <c r="O1723" s="488"/>
      <c r="P1723" s="489"/>
      <c r="Q1723" s="489"/>
      <c r="R1723" s="592"/>
      <c r="S1723" s="487"/>
      <c r="T1723" s="487"/>
      <c r="U1723" s="488"/>
      <c r="V1723" s="487"/>
      <c r="W1723" s="489"/>
      <c r="X1723" s="488"/>
      <c r="Y1723" s="489"/>
      <c r="Z1723" s="489"/>
      <c r="AA1723" s="490"/>
      <c r="AB1723" s="489"/>
      <c r="AC1723" s="489"/>
      <c r="AD1723" s="27">
        <v>614010</v>
      </c>
      <c r="AE1723" s="27" t="s">
        <v>132</v>
      </c>
      <c r="AF1723" s="432">
        <f>VLOOKUP(AD1723,[5]Hoja1!$A$10:$K$1393,11,0)</f>
        <v>0</v>
      </c>
      <c r="AG1723" s="432"/>
      <c r="AH1723" s="432">
        <f t="shared" si="391"/>
        <v>0</v>
      </c>
      <c r="AL1723" s="448"/>
      <c r="AM1723" s="467">
        <f>VLOOKUP(AD1723,[6]BV201101!$A$10:$A$1236,1,0)</f>
        <v>614010</v>
      </c>
    </row>
    <row r="1724" spans="1:39" s="467" customFormat="1" ht="12.75" customHeight="1">
      <c r="A1724" s="487" t="str">
        <f t="shared" si="392"/>
        <v>6</v>
      </c>
      <c r="B1724" s="487" t="str">
        <f t="shared" si="388"/>
        <v>14</v>
      </c>
      <c r="C1724" s="487" t="str">
        <f t="shared" si="389"/>
        <v>01</v>
      </c>
      <c r="D1724" s="487" t="str">
        <f t="shared" si="390"/>
        <v>4011</v>
      </c>
      <c r="E1724" s="487">
        <v>534101200</v>
      </c>
      <c r="F1724" s="488"/>
      <c r="G1724" s="487"/>
      <c r="H1724" s="487"/>
      <c r="I1724" s="488"/>
      <c r="J1724" s="487"/>
      <c r="K1724" s="487"/>
      <c r="L1724" s="488"/>
      <c r="M1724" s="487"/>
      <c r="N1724" s="487"/>
      <c r="O1724" s="488"/>
      <c r="P1724" s="489"/>
      <c r="Q1724" s="489"/>
      <c r="R1724" s="592"/>
      <c r="S1724" s="487"/>
      <c r="T1724" s="487"/>
      <c r="U1724" s="488"/>
      <c r="V1724" s="487"/>
      <c r="W1724" s="489"/>
      <c r="X1724" s="488"/>
      <c r="Y1724" s="489"/>
      <c r="Z1724" s="489"/>
      <c r="AA1724" s="490"/>
      <c r="AB1724" s="489"/>
      <c r="AC1724" s="489"/>
      <c r="AD1724" s="27">
        <v>614011</v>
      </c>
      <c r="AE1724" s="27" t="s">
        <v>1221</v>
      </c>
      <c r="AF1724" s="432">
        <v>0</v>
      </c>
      <c r="AG1724" s="432"/>
      <c r="AH1724" s="432">
        <f t="shared" si="391"/>
        <v>0</v>
      </c>
      <c r="AL1724" s="448"/>
      <c r="AM1724" s="467" t="e">
        <f>VLOOKUP(AD1724,[6]BV201101!$A$10:$A$1236,1,0)</f>
        <v>#N/A</v>
      </c>
    </row>
    <row r="1725" spans="1:39" s="467" customFormat="1" ht="12.75" customHeight="1">
      <c r="A1725" s="487" t="str">
        <f t="shared" si="392"/>
        <v>6</v>
      </c>
      <c r="B1725" s="487" t="str">
        <f t="shared" si="388"/>
        <v>14</v>
      </c>
      <c r="C1725" s="487" t="str">
        <f t="shared" si="389"/>
        <v>01</v>
      </c>
      <c r="D1725" s="487" t="str">
        <f t="shared" si="390"/>
        <v>4012</v>
      </c>
      <c r="E1725" s="487">
        <v>534101200</v>
      </c>
      <c r="F1725" s="488"/>
      <c r="G1725" s="487"/>
      <c r="H1725" s="487"/>
      <c r="I1725" s="488"/>
      <c r="J1725" s="487"/>
      <c r="K1725" s="487"/>
      <c r="L1725" s="488"/>
      <c r="M1725" s="487"/>
      <c r="N1725" s="487"/>
      <c r="O1725" s="488"/>
      <c r="P1725" s="489"/>
      <c r="Q1725" s="489"/>
      <c r="R1725" s="592"/>
      <c r="S1725" s="487"/>
      <c r="T1725" s="487"/>
      <c r="U1725" s="488"/>
      <c r="V1725" s="487"/>
      <c r="W1725" s="489"/>
      <c r="X1725" s="488"/>
      <c r="Y1725" s="489"/>
      <c r="Z1725" s="489"/>
      <c r="AA1725" s="490"/>
      <c r="AB1725" s="489"/>
      <c r="AC1725" s="489"/>
      <c r="AD1725" s="27">
        <v>614012</v>
      </c>
      <c r="AE1725" s="27" t="s">
        <v>2515</v>
      </c>
      <c r="AF1725" s="432">
        <v>0</v>
      </c>
      <c r="AG1725" s="432"/>
      <c r="AH1725" s="432">
        <f t="shared" si="391"/>
        <v>0</v>
      </c>
      <c r="AL1725" s="448"/>
      <c r="AM1725" s="467" t="e">
        <f>VLOOKUP(AD1725,[6]BV201101!$A$10:$A$1236,1,0)</f>
        <v>#N/A</v>
      </c>
    </row>
    <row r="1726" spans="1:39" s="467" customFormat="1" ht="12.75" customHeight="1">
      <c r="A1726" s="487" t="str">
        <f t="shared" si="392"/>
        <v>6</v>
      </c>
      <c r="B1726" s="487" t="str">
        <f t="shared" si="388"/>
        <v>14</v>
      </c>
      <c r="C1726" s="487" t="str">
        <f t="shared" si="389"/>
        <v>01</v>
      </c>
      <c r="D1726" s="487" t="str">
        <f t="shared" si="390"/>
        <v>4013</v>
      </c>
      <c r="E1726" s="487">
        <v>534101200</v>
      </c>
      <c r="F1726" s="488"/>
      <c r="G1726" s="487"/>
      <c r="H1726" s="487"/>
      <c r="I1726" s="488"/>
      <c r="J1726" s="487"/>
      <c r="K1726" s="487"/>
      <c r="L1726" s="488"/>
      <c r="M1726" s="487"/>
      <c r="N1726" s="487"/>
      <c r="O1726" s="488"/>
      <c r="P1726" s="489"/>
      <c r="Q1726" s="489"/>
      <c r="R1726" s="592"/>
      <c r="S1726" s="487"/>
      <c r="T1726" s="487"/>
      <c r="U1726" s="488"/>
      <c r="V1726" s="487"/>
      <c r="W1726" s="489"/>
      <c r="X1726" s="488"/>
      <c r="Y1726" s="489"/>
      <c r="Z1726" s="489"/>
      <c r="AA1726" s="490"/>
      <c r="AB1726" s="489"/>
      <c r="AC1726" s="489"/>
      <c r="AD1726" s="27">
        <v>614013</v>
      </c>
      <c r="AE1726" s="27" t="s">
        <v>2516</v>
      </c>
      <c r="AF1726" s="432">
        <v>0</v>
      </c>
      <c r="AG1726" s="432"/>
      <c r="AH1726" s="432">
        <f t="shared" si="391"/>
        <v>0</v>
      </c>
      <c r="AL1726" s="448"/>
      <c r="AM1726" s="467" t="e">
        <f>VLOOKUP(AD1726,[6]BV201101!$A$10:$A$1236,1,0)</f>
        <v>#N/A</v>
      </c>
    </row>
    <row r="1727" spans="1:39" s="467" customFormat="1" ht="12.75" customHeight="1">
      <c r="A1727" s="487" t="str">
        <f t="shared" si="392"/>
        <v>6</v>
      </c>
      <c r="B1727" s="487" t="str">
        <f t="shared" si="388"/>
        <v>15</v>
      </c>
      <c r="C1727" s="487" t="str">
        <f t="shared" si="389"/>
        <v>00</v>
      </c>
      <c r="D1727" s="487" t="str">
        <f t="shared" si="390"/>
        <v>5001</v>
      </c>
      <c r="E1727" s="487">
        <v>534101200</v>
      </c>
      <c r="F1727" s="488"/>
      <c r="G1727" s="487"/>
      <c r="H1727" s="487"/>
      <c r="I1727" s="488"/>
      <c r="J1727" s="487"/>
      <c r="K1727" s="487"/>
      <c r="L1727" s="488"/>
      <c r="M1727" s="487"/>
      <c r="N1727" s="487"/>
      <c r="O1727" s="488"/>
      <c r="P1727" s="489"/>
      <c r="Q1727" s="489"/>
      <c r="R1727" s="592"/>
      <c r="S1727" s="487"/>
      <c r="T1727" s="487"/>
      <c r="U1727" s="488"/>
      <c r="V1727" s="487"/>
      <c r="W1727" s="489"/>
      <c r="X1727" s="488"/>
      <c r="Y1727" s="489"/>
      <c r="Z1727" s="489"/>
      <c r="AA1727" s="490"/>
      <c r="AB1727" s="489"/>
      <c r="AC1727" s="489"/>
      <c r="AD1727" s="27">
        <v>615001</v>
      </c>
      <c r="AE1727" s="27" t="s">
        <v>2517</v>
      </c>
      <c r="AF1727" s="432">
        <f>VLOOKUP(AD1727,[5]Hoja1!$A$10:$K$1393,11,0)</f>
        <v>0</v>
      </c>
      <c r="AG1727" s="432"/>
      <c r="AH1727" s="432">
        <f t="shared" si="391"/>
        <v>0</v>
      </c>
      <c r="AL1727" s="448"/>
      <c r="AM1727" s="467">
        <f>VLOOKUP(AD1727,[6]BV201101!$A$10:$A$1236,1,0)</f>
        <v>615001</v>
      </c>
    </row>
    <row r="1728" spans="1:39" s="467" customFormat="1" ht="12.75" customHeight="1">
      <c r="A1728" s="487" t="str">
        <f t="shared" si="392"/>
        <v>6</v>
      </c>
      <c r="B1728" s="487" t="str">
        <f t="shared" si="388"/>
        <v>15</v>
      </c>
      <c r="C1728" s="487" t="str">
        <f t="shared" si="389"/>
        <v>00</v>
      </c>
      <c r="D1728" s="487" t="str">
        <f t="shared" si="390"/>
        <v>5002</v>
      </c>
      <c r="E1728" s="487">
        <v>534101200</v>
      </c>
      <c r="F1728" s="488"/>
      <c r="G1728" s="487"/>
      <c r="H1728" s="487"/>
      <c r="I1728" s="488"/>
      <c r="J1728" s="487"/>
      <c r="K1728" s="487"/>
      <c r="L1728" s="488"/>
      <c r="M1728" s="487"/>
      <c r="N1728" s="487"/>
      <c r="O1728" s="488"/>
      <c r="P1728" s="489"/>
      <c r="Q1728" s="489"/>
      <c r="R1728" s="592"/>
      <c r="S1728" s="487"/>
      <c r="T1728" s="487"/>
      <c r="U1728" s="488"/>
      <c r="V1728" s="487"/>
      <c r="W1728" s="489"/>
      <c r="X1728" s="488"/>
      <c r="Y1728" s="489"/>
      <c r="Z1728" s="489"/>
      <c r="AA1728" s="490"/>
      <c r="AB1728" s="489"/>
      <c r="AC1728" s="489"/>
      <c r="AD1728" s="27">
        <v>615002</v>
      </c>
      <c r="AE1728" s="27" t="s">
        <v>1732</v>
      </c>
      <c r="AF1728" s="432">
        <v>0</v>
      </c>
      <c r="AG1728" s="432"/>
      <c r="AH1728" s="432">
        <f t="shared" si="391"/>
        <v>0</v>
      </c>
      <c r="AL1728" s="448"/>
      <c r="AM1728" s="467" t="e">
        <f>VLOOKUP(AD1728,[6]BV201101!$A$10:$A$1236,1,0)</f>
        <v>#N/A</v>
      </c>
    </row>
    <row r="1729" spans="1:39" s="467" customFormat="1" ht="12.75" customHeight="1">
      <c r="A1729" s="487" t="str">
        <f t="shared" si="392"/>
        <v>6</v>
      </c>
      <c r="B1729" s="487" t="str">
        <f t="shared" si="388"/>
        <v>15</v>
      </c>
      <c r="C1729" s="487" t="str">
        <f t="shared" si="389"/>
        <v>00</v>
      </c>
      <c r="D1729" s="487" t="str">
        <f t="shared" si="390"/>
        <v>5003</v>
      </c>
      <c r="E1729" s="487">
        <v>534101200</v>
      </c>
      <c r="F1729" s="488"/>
      <c r="G1729" s="487"/>
      <c r="H1729" s="487"/>
      <c r="I1729" s="488"/>
      <c r="J1729" s="487"/>
      <c r="K1729" s="487"/>
      <c r="L1729" s="488"/>
      <c r="M1729" s="487"/>
      <c r="N1729" s="487"/>
      <c r="O1729" s="488"/>
      <c r="P1729" s="489"/>
      <c r="Q1729" s="489"/>
      <c r="R1729" s="592"/>
      <c r="S1729" s="487"/>
      <c r="T1729" s="487"/>
      <c r="U1729" s="488"/>
      <c r="V1729" s="487"/>
      <c r="W1729" s="489"/>
      <c r="X1729" s="488"/>
      <c r="Y1729" s="489"/>
      <c r="Z1729" s="489"/>
      <c r="AA1729" s="490"/>
      <c r="AB1729" s="489"/>
      <c r="AC1729" s="489"/>
      <c r="AD1729" s="27">
        <v>615003</v>
      </c>
      <c r="AE1729" s="27" t="s">
        <v>1733</v>
      </c>
      <c r="AF1729" s="432">
        <v>0</v>
      </c>
      <c r="AG1729" s="432"/>
      <c r="AH1729" s="432">
        <f t="shared" si="391"/>
        <v>0</v>
      </c>
      <c r="AL1729" s="448"/>
      <c r="AM1729" s="467" t="e">
        <f>VLOOKUP(AD1729,[6]BV201101!$A$10:$A$1236,1,0)</f>
        <v>#N/A</v>
      </c>
    </row>
    <row r="1730" spans="1:39" s="467" customFormat="1" ht="12.75" customHeight="1">
      <c r="A1730" s="487" t="str">
        <f t="shared" si="392"/>
        <v>6</v>
      </c>
      <c r="B1730" s="487" t="str">
        <f t="shared" si="388"/>
        <v>15</v>
      </c>
      <c r="C1730" s="487" t="str">
        <f t="shared" si="389"/>
        <v>00</v>
      </c>
      <c r="D1730" s="487" t="str">
        <f t="shared" si="390"/>
        <v>5004</v>
      </c>
      <c r="E1730" s="487">
        <v>531201200</v>
      </c>
      <c r="F1730" s="488"/>
      <c r="G1730" s="487"/>
      <c r="H1730" s="487"/>
      <c r="I1730" s="488"/>
      <c r="J1730" s="487"/>
      <c r="K1730" s="487"/>
      <c r="L1730" s="488"/>
      <c r="M1730" s="487"/>
      <c r="N1730" s="487"/>
      <c r="O1730" s="488"/>
      <c r="P1730" s="489"/>
      <c r="Q1730" s="489"/>
      <c r="R1730" s="592"/>
      <c r="S1730" s="487"/>
      <c r="T1730" s="487"/>
      <c r="U1730" s="488"/>
      <c r="V1730" s="487"/>
      <c r="W1730" s="489"/>
      <c r="X1730" s="488"/>
      <c r="Y1730" s="489"/>
      <c r="Z1730" s="489"/>
      <c r="AA1730" s="490"/>
      <c r="AB1730" s="489"/>
      <c r="AC1730" s="489"/>
      <c r="AD1730" s="27">
        <v>615004</v>
      </c>
      <c r="AE1730" s="27" t="s">
        <v>2518</v>
      </c>
      <c r="AF1730" s="432">
        <f>VLOOKUP(AD1730,[5]Hoja1!$A$10:$K$1393,11,0)</f>
        <v>1436540</v>
      </c>
      <c r="AG1730" s="432"/>
      <c r="AH1730" s="432">
        <f t="shared" si="391"/>
        <v>1437</v>
      </c>
      <c r="AL1730" s="448"/>
      <c r="AM1730" s="467">
        <f>VLOOKUP(AD1730,[6]BV201101!$A$10:$A$1236,1,0)</f>
        <v>615004</v>
      </c>
    </row>
    <row r="1731" spans="1:39" s="467" customFormat="1" ht="12.75" customHeight="1">
      <c r="A1731" s="487" t="str">
        <f t="shared" si="392"/>
        <v>6</v>
      </c>
      <c r="B1731" s="487" t="str">
        <f t="shared" si="388"/>
        <v>15</v>
      </c>
      <c r="C1731" s="487" t="str">
        <f t="shared" si="389"/>
        <v>00</v>
      </c>
      <c r="D1731" s="487" t="str">
        <f t="shared" si="390"/>
        <v>5005</v>
      </c>
      <c r="E1731" s="487">
        <v>534101200</v>
      </c>
      <c r="F1731" s="488"/>
      <c r="G1731" s="487"/>
      <c r="H1731" s="487"/>
      <c r="I1731" s="488"/>
      <c r="J1731" s="487"/>
      <c r="K1731" s="487"/>
      <c r="L1731" s="488"/>
      <c r="M1731" s="487"/>
      <c r="N1731" s="487"/>
      <c r="O1731" s="488"/>
      <c r="P1731" s="489"/>
      <c r="Q1731" s="489"/>
      <c r="R1731" s="592"/>
      <c r="S1731" s="487"/>
      <c r="T1731" s="487"/>
      <c r="U1731" s="488"/>
      <c r="V1731" s="487"/>
      <c r="W1731" s="489"/>
      <c r="X1731" s="488"/>
      <c r="Y1731" s="489"/>
      <c r="Z1731" s="489"/>
      <c r="AA1731" s="490"/>
      <c r="AB1731" s="489"/>
      <c r="AC1731" s="489"/>
      <c r="AD1731" s="27">
        <v>615005</v>
      </c>
      <c r="AE1731" s="27" t="s">
        <v>2519</v>
      </c>
      <c r="AF1731" s="432">
        <v>0</v>
      </c>
      <c r="AG1731" s="432"/>
      <c r="AH1731" s="432">
        <f t="shared" si="391"/>
        <v>0</v>
      </c>
      <c r="AL1731" s="448"/>
      <c r="AM1731" s="467" t="e">
        <f>VLOOKUP(AD1731,[6]BV201101!$A$10:$A$1236,1,0)</f>
        <v>#N/A</v>
      </c>
    </row>
    <row r="1732" spans="1:39" s="467" customFormat="1" ht="12.75" customHeight="1">
      <c r="A1732" s="487" t="str">
        <f t="shared" si="392"/>
        <v>7</v>
      </c>
      <c r="B1732" s="487" t="str">
        <f t="shared" si="388"/>
        <v>10</v>
      </c>
      <c r="C1732" s="487" t="str">
        <f t="shared" si="389"/>
        <v>00</v>
      </c>
      <c r="D1732" s="487" t="str">
        <f t="shared" si="390"/>
        <v>0001</v>
      </c>
      <c r="E1732" s="487">
        <v>534101200</v>
      </c>
      <c r="F1732" s="488" t="str">
        <f t="shared" ref="F1732:F1738" si="393">+G1732&amp;H1732</f>
        <v/>
      </c>
      <c r="G1732" s="487"/>
      <c r="H1732" s="487"/>
      <c r="I1732" s="488" t="str">
        <f t="shared" ref="I1732:I1738" si="394">+J1732&amp;K1732</f>
        <v/>
      </c>
      <c r="J1732" s="487"/>
      <c r="K1732" s="487"/>
      <c r="L1732" s="488" t="str">
        <f t="shared" ref="L1732:L1738" si="395">+M1732&amp;N1732</f>
        <v/>
      </c>
      <c r="M1732" s="487"/>
      <c r="N1732" s="487"/>
      <c r="O1732" s="488" t="str">
        <f t="shared" ref="O1732:O1738" si="396">+P1732&amp;Q1732</f>
        <v/>
      </c>
      <c r="P1732" s="489"/>
      <c r="Q1732" s="489"/>
      <c r="R1732" s="592" t="str">
        <f t="shared" ref="R1732:R1738" si="397">+S1732&amp;T1732</f>
        <v/>
      </c>
      <c r="S1732" s="487"/>
      <c r="T1732" s="487"/>
      <c r="U1732" s="488" t="str">
        <f t="shared" ref="U1732:U1738" si="398">+V1732&amp;W1732</f>
        <v/>
      </c>
      <c r="V1732" s="487"/>
      <c r="W1732" s="489"/>
      <c r="X1732" s="488" t="str">
        <f t="shared" ref="X1732:X1738" si="399">+Y1732&amp;Z1732</f>
        <v/>
      </c>
      <c r="Y1732" s="489"/>
      <c r="Z1732" s="489"/>
      <c r="AA1732" s="490" t="str">
        <f t="shared" ref="AA1732:AA1738" si="400">+AB1732&amp;AC1732</f>
        <v/>
      </c>
      <c r="AB1732" s="489"/>
      <c r="AC1732" s="489"/>
      <c r="AD1732" s="27">
        <v>710001</v>
      </c>
      <c r="AE1732" s="27" t="s">
        <v>2520</v>
      </c>
      <c r="AF1732" s="432">
        <f>VLOOKUP(AD1732,[5]Hoja1!$A$10:$K$1393,11,0)</f>
        <v>0</v>
      </c>
      <c r="AG1732" s="432"/>
      <c r="AH1732" s="432">
        <f t="shared" si="391"/>
        <v>0</v>
      </c>
      <c r="AL1732" s="448"/>
      <c r="AM1732" s="467">
        <f>VLOOKUP(AD1732,[6]BV201101!$A$10:$A$1236,1,0)</f>
        <v>710001</v>
      </c>
    </row>
    <row r="1733" spans="1:39" s="467" customFormat="1" ht="12.75" customHeight="1">
      <c r="A1733" s="487" t="str">
        <f t="shared" si="392"/>
        <v>7</v>
      </c>
      <c r="B1733" s="487" t="str">
        <f t="shared" si="388"/>
        <v>10</v>
      </c>
      <c r="C1733" s="487" t="str">
        <f t="shared" si="389"/>
        <v>00</v>
      </c>
      <c r="D1733" s="487" t="str">
        <f t="shared" si="390"/>
        <v>0002</v>
      </c>
      <c r="E1733" s="487">
        <v>534101200</v>
      </c>
      <c r="F1733" s="488" t="str">
        <f t="shared" si="393"/>
        <v/>
      </c>
      <c r="G1733" s="487"/>
      <c r="H1733" s="487"/>
      <c r="I1733" s="488" t="str">
        <f t="shared" si="394"/>
        <v/>
      </c>
      <c r="J1733" s="487"/>
      <c r="K1733" s="487"/>
      <c r="L1733" s="488" t="str">
        <f t="shared" si="395"/>
        <v/>
      </c>
      <c r="M1733" s="487"/>
      <c r="N1733" s="487"/>
      <c r="O1733" s="488" t="str">
        <f t="shared" si="396"/>
        <v/>
      </c>
      <c r="P1733" s="489"/>
      <c r="Q1733" s="489"/>
      <c r="R1733" s="592" t="str">
        <f t="shared" si="397"/>
        <v/>
      </c>
      <c r="S1733" s="487"/>
      <c r="T1733" s="487"/>
      <c r="U1733" s="488" t="str">
        <f t="shared" si="398"/>
        <v/>
      </c>
      <c r="V1733" s="487"/>
      <c r="W1733" s="489"/>
      <c r="X1733" s="488" t="str">
        <f t="shared" si="399"/>
        <v/>
      </c>
      <c r="Y1733" s="489"/>
      <c r="Z1733" s="489"/>
      <c r="AA1733" s="490" t="str">
        <f t="shared" si="400"/>
        <v/>
      </c>
      <c r="AB1733" s="489"/>
      <c r="AC1733" s="489"/>
      <c r="AD1733" s="27">
        <v>710002</v>
      </c>
      <c r="AE1733" s="27" t="s">
        <v>1177</v>
      </c>
      <c r="AF1733" s="432">
        <f>VLOOKUP(AD1733,[5]Hoja1!$A$10:$K$1393,11,0)</f>
        <v>430244430</v>
      </c>
      <c r="AG1733" s="432"/>
      <c r="AH1733" s="432">
        <f t="shared" si="391"/>
        <v>430244</v>
      </c>
      <c r="AL1733" s="448"/>
      <c r="AM1733" s="467" t="e">
        <f>VLOOKUP(AD1733,[6]BV201101!$A$10:$A$1236,1,0)</f>
        <v>#N/A</v>
      </c>
    </row>
    <row r="1734" spans="1:39" s="467" customFormat="1" ht="12.75" customHeight="1">
      <c r="A1734" s="487" t="str">
        <f t="shared" si="392"/>
        <v>7</v>
      </c>
      <c r="B1734" s="487" t="str">
        <f t="shared" si="388"/>
        <v>10</v>
      </c>
      <c r="C1734" s="487" t="str">
        <f t="shared" si="389"/>
        <v>00</v>
      </c>
      <c r="D1734" s="487" t="str">
        <f t="shared" si="390"/>
        <v>0003</v>
      </c>
      <c r="E1734" s="487">
        <v>535100000</v>
      </c>
      <c r="F1734" s="488" t="str">
        <f t="shared" si="393"/>
        <v/>
      </c>
      <c r="G1734" s="487"/>
      <c r="H1734" s="487"/>
      <c r="I1734" s="488" t="str">
        <f t="shared" si="394"/>
        <v/>
      </c>
      <c r="J1734" s="487"/>
      <c r="K1734" s="487"/>
      <c r="L1734" s="488" t="str">
        <f t="shared" si="395"/>
        <v/>
      </c>
      <c r="M1734" s="487"/>
      <c r="N1734" s="487"/>
      <c r="O1734" s="488" t="str">
        <f t="shared" si="396"/>
        <v/>
      </c>
      <c r="P1734" s="489"/>
      <c r="Q1734" s="489"/>
      <c r="R1734" s="592" t="str">
        <f t="shared" si="397"/>
        <v/>
      </c>
      <c r="S1734" s="487"/>
      <c r="T1734" s="487"/>
      <c r="U1734" s="488" t="str">
        <f t="shared" si="398"/>
        <v/>
      </c>
      <c r="V1734" s="487"/>
      <c r="W1734" s="489"/>
      <c r="X1734" s="488" t="str">
        <f t="shared" si="399"/>
        <v/>
      </c>
      <c r="Y1734" s="489"/>
      <c r="Z1734" s="489"/>
      <c r="AA1734" s="490" t="str">
        <f t="shared" si="400"/>
        <v/>
      </c>
      <c r="AB1734" s="489"/>
      <c r="AC1734" s="489"/>
      <c r="AD1734" s="27">
        <v>710003</v>
      </c>
      <c r="AE1734" s="27" t="s">
        <v>1785</v>
      </c>
      <c r="AF1734" s="432">
        <f>VLOOKUP(AD1734,[5]Hoja1!$A$10:$K$1393,11,0)</f>
        <v>-22506</v>
      </c>
      <c r="AG1734" s="432"/>
      <c r="AH1734" s="432">
        <f t="shared" si="391"/>
        <v>-23</v>
      </c>
      <c r="AL1734" s="448"/>
      <c r="AM1734" s="467">
        <f>VLOOKUP(AD1734,[6]BV201101!$A$10:$A$1236,1,0)</f>
        <v>710003</v>
      </c>
    </row>
    <row r="1735" spans="1:39" s="467" customFormat="1" ht="12.75" customHeight="1">
      <c r="A1735" s="487" t="str">
        <f t="shared" si="392"/>
        <v>7</v>
      </c>
      <c r="B1735" s="487" t="str">
        <f t="shared" si="388"/>
        <v>10</v>
      </c>
      <c r="C1735" s="487" t="str">
        <f t="shared" si="389"/>
        <v>00</v>
      </c>
      <c r="D1735" s="487" t="str">
        <f t="shared" si="390"/>
        <v>0004</v>
      </c>
      <c r="E1735" s="487">
        <v>534101200</v>
      </c>
      <c r="F1735" s="488" t="str">
        <f t="shared" si="393"/>
        <v/>
      </c>
      <c r="G1735" s="487"/>
      <c r="H1735" s="487"/>
      <c r="I1735" s="488" t="str">
        <f t="shared" si="394"/>
        <v/>
      </c>
      <c r="J1735" s="487"/>
      <c r="K1735" s="487"/>
      <c r="L1735" s="488" t="str">
        <f t="shared" si="395"/>
        <v/>
      </c>
      <c r="M1735" s="487"/>
      <c r="N1735" s="487"/>
      <c r="O1735" s="488" t="str">
        <f t="shared" si="396"/>
        <v/>
      </c>
      <c r="P1735" s="489"/>
      <c r="Q1735" s="489"/>
      <c r="R1735" s="592" t="str">
        <f t="shared" si="397"/>
        <v/>
      </c>
      <c r="S1735" s="487"/>
      <c r="T1735" s="487"/>
      <c r="U1735" s="488" t="str">
        <f t="shared" si="398"/>
        <v/>
      </c>
      <c r="V1735" s="487"/>
      <c r="W1735" s="489"/>
      <c r="X1735" s="488" t="str">
        <f t="shared" si="399"/>
        <v/>
      </c>
      <c r="Y1735" s="489"/>
      <c r="Z1735" s="489"/>
      <c r="AA1735" s="490" t="str">
        <f t="shared" si="400"/>
        <v/>
      </c>
      <c r="AB1735" s="489"/>
      <c r="AC1735" s="489"/>
      <c r="AD1735" s="27">
        <v>710004</v>
      </c>
      <c r="AE1735" s="27" t="s">
        <v>1014</v>
      </c>
      <c r="AF1735" s="432">
        <f>VLOOKUP(AD1735,[5]Hoja1!$A$10:$K$1393,11,0)</f>
        <v>0</v>
      </c>
      <c r="AG1735" s="432"/>
      <c r="AH1735" s="432">
        <f t="shared" si="391"/>
        <v>0</v>
      </c>
      <c r="AL1735" s="448"/>
      <c r="AM1735" s="467">
        <f>VLOOKUP(AD1735,[6]BV201101!$A$10:$A$1236,1,0)</f>
        <v>710004</v>
      </c>
    </row>
    <row r="1736" spans="1:39" s="467" customFormat="1" ht="12.75" customHeight="1">
      <c r="A1736" s="487" t="str">
        <f t="shared" si="392"/>
        <v>7</v>
      </c>
      <c r="B1736" s="487" t="str">
        <f t="shared" si="388"/>
        <v>10</v>
      </c>
      <c r="C1736" s="487" t="str">
        <f t="shared" si="389"/>
        <v>00</v>
      </c>
      <c r="D1736" s="487" t="str">
        <f t="shared" si="390"/>
        <v>0005</v>
      </c>
      <c r="E1736" s="487">
        <v>534101200</v>
      </c>
      <c r="F1736" s="488" t="str">
        <f t="shared" si="393"/>
        <v/>
      </c>
      <c r="G1736" s="487"/>
      <c r="H1736" s="487"/>
      <c r="I1736" s="488" t="str">
        <f t="shared" si="394"/>
        <v/>
      </c>
      <c r="J1736" s="487"/>
      <c r="K1736" s="487"/>
      <c r="L1736" s="488" t="str">
        <f t="shared" si="395"/>
        <v/>
      </c>
      <c r="M1736" s="487"/>
      <c r="N1736" s="487"/>
      <c r="O1736" s="488" t="str">
        <f t="shared" si="396"/>
        <v/>
      </c>
      <c r="P1736" s="489"/>
      <c r="Q1736" s="489"/>
      <c r="R1736" s="592" t="str">
        <f t="shared" si="397"/>
        <v/>
      </c>
      <c r="S1736" s="487"/>
      <c r="T1736" s="487"/>
      <c r="U1736" s="488" t="str">
        <f t="shared" si="398"/>
        <v/>
      </c>
      <c r="V1736" s="487"/>
      <c r="W1736" s="489"/>
      <c r="X1736" s="488" t="str">
        <f t="shared" si="399"/>
        <v/>
      </c>
      <c r="Y1736" s="489"/>
      <c r="Z1736" s="489"/>
      <c r="AA1736" s="490" t="str">
        <f t="shared" si="400"/>
        <v/>
      </c>
      <c r="AB1736" s="489"/>
      <c r="AC1736" s="489"/>
      <c r="AD1736" s="27">
        <v>710005</v>
      </c>
      <c r="AE1736" s="27" t="s">
        <v>316</v>
      </c>
      <c r="AF1736" s="432">
        <f>VLOOKUP(AD1736,[5]Hoja1!$A$10:$K$1393,11,0)</f>
        <v>-923765379</v>
      </c>
      <c r="AG1736" s="432"/>
      <c r="AH1736" s="432">
        <f t="shared" si="391"/>
        <v>-923765</v>
      </c>
      <c r="AL1736" s="448"/>
      <c r="AM1736" s="467">
        <f>VLOOKUP(AD1736,[6]BV201101!$A$10:$A$1236,1,0)</f>
        <v>710005</v>
      </c>
    </row>
    <row r="1737" spans="1:39" s="467" customFormat="1" ht="12.75" customHeight="1">
      <c r="A1737" s="487" t="str">
        <f t="shared" si="392"/>
        <v>7</v>
      </c>
      <c r="B1737" s="487" t="str">
        <f t="shared" si="388"/>
        <v>10</v>
      </c>
      <c r="C1737" s="487" t="str">
        <f t="shared" si="389"/>
        <v>00</v>
      </c>
      <c r="D1737" s="487" t="str">
        <f t="shared" si="390"/>
        <v>0006</v>
      </c>
      <c r="E1737" s="487">
        <v>534101200</v>
      </c>
      <c r="F1737" s="488" t="str">
        <f t="shared" si="393"/>
        <v/>
      </c>
      <c r="G1737" s="487"/>
      <c r="H1737" s="487"/>
      <c r="I1737" s="488" t="str">
        <f t="shared" si="394"/>
        <v/>
      </c>
      <c r="J1737" s="487"/>
      <c r="K1737" s="487"/>
      <c r="L1737" s="488" t="str">
        <f t="shared" si="395"/>
        <v/>
      </c>
      <c r="M1737" s="487"/>
      <c r="N1737" s="487"/>
      <c r="O1737" s="488" t="str">
        <f t="shared" si="396"/>
        <v/>
      </c>
      <c r="P1737" s="489"/>
      <c r="Q1737" s="489"/>
      <c r="R1737" s="592" t="str">
        <f t="shared" si="397"/>
        <v/>
      </c>
      <c r="S1737" s="487"/>
      <c r="T1737" s="487"/>
      <c r="U1737" s="488" t="str">
        <f t="shared" si="398"/>
        <v/>
      </c>
      <c r="V1737" s="487"/>
      <c r="W1737" s="489"/>
      <c r="X1737" s="488" t="str">
        <f t="shared" si="399"/>
        <v/>
      </c>
      <c r="Y1737" s="489"/>
      <c r="Z1737" s="489"/>
      <c r="AA1737" s="490" t="str">
        <f t="shared" si="400"/>
        <v/>
      </c>
      <c r="AB1737" s="489"/>
      <c r="AC1737" s="489"/>
      <c r="AD1737" s="27">
        <v>710006</v>
      </c>
      <c r="AE1737" s="27" t="s">
        <v>2521</v>
      </c>
      <c r="AF1737" s="432">
        <v>0</v>
      </c>
      <c r="AG1737" s="432"/>
      <c r="AH1737" s="432">
        <f t="shared" si="391"/>
        <v>0</v>
      </c>
      <c r="AL1737" s="448"/>
      <c r="AM1737" s="467" t="e">
        <f>VLOOKUP(AD1737,[6]BV201101!$A$10:$A$1236,1,0)</f>
        <v>#N/A</v>
      </c>
    </row>
    <row r="1738" spans="1:39" s="467" customFormat="1" ht="12.75" customHeight="1">
      <c r="A1738" s="487" t="str">
        <f t="shared" si="392"/>
        <v>7</v>
      </c>
      <c r="B1738" s="487" t="str">
        <f t="shared" si="388"/>
        <v>10</v>
      </c>
      <c r="C1738" s="487" t="str">
        <f t="shared" si="389"/>
        <v>00</v>
      </c>
      <c r="D1738" s="487" t="str">
        <f t="shared" si="390"/>
        <v>0007</v>
      </c>
      <c r="E1738" s="487">
        <v>535100000</v>
      </c>
      <c r="F1738" s="488" t="str">
        <f t="shared" si="393"/>
        <v/>
      </c>
      <c r="G1738" s="487"/>
      <c r="H1738" s="487"/>
      <c r="I1738" s="488" t="str">
        <f t="shared" si="394"/>
        <v/>
      </c>
      <c r="J1738" s="487"/>
      <c r="K1738" s="487"/>
      <c r="L1738" s="488" t="str">
        <f t="shared" si="395"/>
        <v/>
      </c>
      <c r="M1738" s="487"/>
      <c r="N1738" s="487"/>
      <c r="O1738" s="488" t="str">
        <f t="shared" si="396"/>
        <v/>
      </c>
      <c r="P1738" s="489"/>
      <c r="Q1738" s="489"/>
      <c r="R1738" s="592" t="str">
        <f t="shared" si="397"/>
        <v/>
      </c>
      <c r="S1738" s="487"/>
      <c r="T1738" s="487"/>
      <c r="U1738" s="488" t="str">
        <f t="shared" si="398"/>
        <v/>
      </c>
      <c r="V1738" s="487"/>
      <c r="W1738" s="489"/>
      <c r="X1738" s="488" t="str">
        <f t="shared" si="399"/>
        <v/>
      </c>
      <c r="Y1738" s="489"/>
      <c r="Z1738" s="489"/>
      <c r="AA1738" s="490" t="str">
        <f t="shared" si="400"/>
        <v/>
      </c>
      <c r="AB1738" s="489"/>
      <c r="AC1738" s="489"/>
      <c r="AD1738" s="27">
        <v>710007</v>
      </c>
      <c r="AE1738" s="27" t="s">
        <v>2522</v>
      </c>
      <c r="AF1738" s="432">
        <f>VLOOKUP(AD1738,[5]Hoja1!$A$10:$K$1393,11,0)</f>
        <v>-20590029889</v>
      </c>
      <c r="AG1738" s="432"/>
      <c r="AH1738" s="432">
        <f t="shared" si="391"/>
        <v>-20590030</v>
      </c>
      <c r="AL1738" s="448"/>
      <c r="AM1738" s="467">
        <f>VLOOKUP(AD1738,[6]BV201101!$A$10:$A$1236,1,0)</f>
        <v>710007</v>
      </c>
    </row>
    <row r="1739" spans="1:39" s="467" customFormat="1" ht="12.75" customHeight="1">
      <c r="A1739" s="487" t="str">
        <f t="shared" si="392"/>
        <v>7</v>
      </c>
      <c r="B1739" s="487" t="str">
        <f t="shared" si="388"/>
        <v>10</v>
      </c>
      <c r="C1739" s="487" t="str">
        <f t="shared" si="389"/>
        <v>00</v>
      </c>
      <c r="D1739" s="487" t="str">
        <f t="shared" si="390"/>
        <v>0008</v>
      </c>
      <c r="E1739" s="487">
        <v>534101200</v>
      </c>
      <c r="F1739" s="488"/>
      <c r="G1739" s="487"/>
      <c r="H1739" s="487"/>
      <c r="I1739" s="488"/>
      <c r="J1739" s="487"/>
      <c r="K1739" s="487"/>
      <c r="L1739" s="488"/>
      <c r="M1739" s="487"/>
      <c r="N1739" s="487"/>
      <c r="O1739" s="488"/>
      <c r="P1739" s="489"/>
      <c r="Q1739" s="489"/>
      <c r="R1739" s="592"/>
      <c r="S1739" s="487"/>
      <c r="T1739" s="487"/>
      <c r="U1739" s="488"/>
      <c r="V1739" s="487"/>
      <c r="W1739" s="489"/>
      <c r="X1739" s="488"/>
      <c r="Y1739" s="489"/>
      <c r="Z1739" s="489"/>
      <c r="AA1739" s="490"/>
      <c r="AB1739" s="489"/>
      <c r="AC1739" s="489"/>
      <c r="AD1739" s="27">
        <v>710008</v>
      </c>
      <c r="AE1739" s="27" t="s">
        <v>2523</v>
      </c>
      <c r="AF1739" s="432">
        <f>VLOOKUP(AD1739,[5]Hoja1!$A$10:$K$1393,11,0)</f>
        <v>-514779592</v>
      </c>
      <c r="AG1739" s="432"/>
      <c r="AH1739" s="432">
        <f t="shared" si="391"/>
        <v>-514780</v>
      </c>
      <c r="AL1739" s="448"/>
      <c r="AM1739" s="467">
        <f>VLOOKUP(AD1739,[6]BV201101!$A$10:$A$1236,1,0)</f>
        <v>710008</v>
      </c>
    </row>
    <row r="1740" spans="1:39" s="467" customFormat="1" ht="12.75" customHeight="1">
      <c r="A1740" s="487" t="str">
        <f t="shared" si="392"/>
        <v>7</v>
      </c>
      <c r="B1740" s="487" t="str">
        <f t="shared" si="388"/>
        <v>10</v>
      </c>
      <c r="C1740" s="487" t="str">
        <f t="shared" si="389"/>
        <v>00</v>
      </c>
      <c r="D1740" s="487" t="str">
        <f t="shared" si="390"/>
        <v>0009</v>
      </c>
      <c r="E1740" s="487">
        <v>535100000</v>
      </c>
      <c r="F1740" s="488"/>
      <c r="G1740" s="487"/>
      <c r="H1740" s="487"/>
      <c r="I1740" s="488"/>
      <c r="J1740" s="487"/>
      <c r="K1740" s="487"/>
      <c r="L1740" s="488"/>
      <c r="M1740" s="487"/>
      <c r="N1740" s="487"/>
      <c r="O1740" s="488"/>
      <c r="P1740" s="489"/>
      <c r="Q1740" s="489"/>
      <c r="R1740" s="592"/>
      <c r="S1740" s="487"/>
      <c r="T1740" s="487"/>
      <c r="U1740" s="488"/>
      <c r="V1740" s="487"/>
      <c r="W1740" s="489"/>
      <c r="X1740" s="488"/>
      <c r="Y1740" s="489"/>
      <c r="Z1740" s="489"/>
      <c r="AA1740" s="490"/>
      <c r="AB1740" s="489"/>
      <c r="AC1740" s="489"/>
      <c r="AD1740" s="27">
        <v>710009</v>
      </c>
      <c r="AE1740" s="27" t="s">
        <v>2524</v>
      </c>
      <c r="AF1740" s="432">
        <f>VLOOKUP(AD1740,[5]Hoja1!$A$10:$K$1393,11,0)</f>
        <v>0</v>
      </c>
      <c r="AG1740" s="432"/>
      <c r="AH1740" s="432">
        <f t="shared" si="391"/>
        <v>0</v>
      </c>
      <c r="AL1740" s="448"/>
      <c r="AM1740" s="467">
        <f>VLOOKUP(AD1740,[6]BV201101!$A$10:$A$1236,1,0)</f>
        <v>710009</v>
      </c>
    </row>
    <row r="1741" spans="1:39" s="467" customFormat="1" ht="12.75" customHeight="1">
      <c r="A1741" s="487" t="str">
        <f t="shared" si="392"/>
        <v>7</v>
      </c>
      <c r="B1741" s="487" t="str">
        <f t="shared" si="388"/>
        <v>10</v>
      </c>
      <c r="C1741" s="487" t="str">
        <f t="shared" si="389"/>
        <v>01</v>
      </c>
      <c r="D1741" s="487" t="str">
        <f t="shared" si="390"/>
        <v>0010</v>
      </c>
      <c r="E1741" s="487">
        <v>535100000</v>
      </c>
      <c r="F1741" s="488"/>
      <c r="G1741" s="487"/>
      <c r="H1741" s="487"/>
      <c r="I1741" s="488"/>
      <c r="J1741" s="487"/>
      <c r="K1741" s="487"/>
      <c r="L1741" s="488"/>
      <c r="M1741" s="487"/>
      <c r="N1741" s="487"/>
      <c r="O1741" s="488"/>
      <c r="P1741" s="489"/>
      <c r="Q1741" s="489"/>
      <c r="R1741" s="592"/>
      <c r="S1741" s="487"/>
      <c r="T1741" s="487"/>
      <c r="U1741" s="488"/>
      <c r="V1741" s="487"/>
      <c r="W1741" s="489"/>
      <c r="X1741" s="488"/>
      <c r="Y1741" s="489"/>
      <c r="Z1741" s="489"/>
      <c r="AA1741" s="490"/>
      <c r="AB1741" s="489"/>
      <c r="AC1741" s="489"/>
      <c r="AD1741" s="27">
        <v>710010</v>
      </c>
      <c r="AE1741" s="27" t="s">
        <v>2525</v>
      </c>
      <c r="AF1741" s="432">
        <f>VLOOKUP(AD1741,[5]Hoja1!$A$10:$K$1393,11,0)</f>
        <v>1466457527</v>
      </c>
      <c r="AG1741" s="432"/>
      <c r="AH1741" s="432">
        <f t="shared" si="391"/>
        <v>1466458</v>
      </c>
      <c r="AL1741" s="448"/>
      <c r="AM1741" s="467">
        <f>VLOOKUP(AD1741,[6]BV201101!$A$10:$A$1236,1,0)</f>
        <v>710010</v>
      </c>
    </row>
    <row r="1742" spans="1:39" s="467" customFormat="1" ht="12.75" customHeight="1">
      <c r="A1742" s="487" t="str">
        <f t="shared" si="392"/>
        <v>7</v>
      </c>
      <c r="B1742" s="487" t="str">
        <f t="shared" si="388"/>
        <v>10</v>
      </c>
      <c r="C1742" s="487" t="str">
        <f t="shared" si="389"/>
        <v>01</v>
      </c>
      <c r="D1742" s="487" t="str">
        <f t="shared" si="390"/>
        <v>0011</v>
      </c>
      <c r="E1742" s="487">
        <v>535100000</v>
      </c>
      <c r="F1742" s="488"/>
      <c r="G1742" s="487"/>
      <c r="H1742" s="487"/>
      <c r="I1742" s="488"/>
      <c r="J1742" s="487"/>
      <c r="K1742" s="487"/>
      <c r="L1742" s="488"/>
      <c r="M1742" s="487"/>
      <c r="N1742" s="487"/>
      <c r="O1742" s="488"/>
      <c r="P1742" s="489"/>
      <c r="Q1742" s="489"/>
      <c r="R1742" s="592"/>
      <c r="S1742" s="487"/>
      <c r="T1742" s="487"/>
      <c r="U1742" s="488"/>
      <c r="V1742" s="487"/>
      <c r="W1742" s="489"/>
      <c r="X1742" s="488"/>
      <c r="Y1742" s="489"/>
      <c r="Z1742" s="489"/>
      <c r="AA1742" s="490"/>
      <c r="AB1742" s="489"/>
      <c r="AC1742" s="489"/>
      <c r="AD1742" s="27">
        <v>710011</v>
      </c>
      <c r="AE1742" s="27" t="s">
        <v>701</v>
      </c>
      <c r="AF1742" s="432">
        <f>VLOOKUP(AD1742,[5]Hoja1!$A$10:$K$1393,11,0)</f>
        <v>4133458689</v>
      </c>
      <c r="AG1742" s="432"/>
      <c r="AH1742" s="432">
        <f t="shared" si="391"/>
        <v>4133459</v>
      </c>
      <c r="AL1742" s="448"/>
      <c r="AM1742" s="467">
        <f>VLOOKUP(AD1742,[6]BV201101!$A$10:$A$1236,1,0)</f>
        <v>710011</v>
      </c>
    </row>
    <row r="1743" spans="1:39" s="467" customFormat="1" ht="12.75" customHeight="1">
      <c r="A1743" s="487" t="str">
        <f t="shared" si="392"/>
        <v>7</v>
      </c>
      <c r="B1743" s="487" t="str">
        <f t="shared" si="388"/>
        <v>10</v>
      </c>
      <c r="C1743" s="487" t="str">
        <f t="shared" si="389"/>
        <v>01</v>
      </c>
      <c r="D1743" s="487" t="str">
        <f t="shared" si="390"/>
        <v>0012</v>
      </c>
      <c r="E1743" s="487">
        <v>534101200</v>
      </c>
      <c r="F1743" s="488"/>
      <c r="G1743" s="487"/>
      <c r="H1743" s="487"/>
      <c r="I1743" s="488"/>
      <c r="J1743" s="487"/>
      <c r="K1743" s="487"/>
      <c r="L1743" s="488"/>
      <c r="M1743" s="487"/>
      <c r="N1743" s="487"/>
      <c r="O1743" s="488"/>
      <c r="P1743" s="489"/>
      <c r="Q1743" s="489"/>
      <c r="R1743" s="592"/>
      <c r="S1743" s="487"/>
      <c r="T1743" s="487"/>
      <c r="U1743" s="488"/>
      <c r="V1743" s="487"/>
      <c r="W1743" s="489"/>
      <c r="X1743" s="488"/>
      <c r="Y1743" s="489"/>
      <c r="Z1743" s="489"/>
      <c r="AA1743" s="490"/>
      <c r="AB1743" s="489"/>
      <c r="AC1743" s="489"/>
      <c r="AD1743" s="27">
        <v>710012</v>
      </c>
      <c r="AE1743" s="27" t="s">
        <v>2526</v>
      </c>
      <c r="AF1743" s="432">
        <f>VLOOKUP(AD1743,[5]Hoja1!$A$10:$K$1393,11,0)</f>
        <v>0</v>
      </c>
      <c r="AG1743" s="432"/>
      <c r="AH1743" s="432">
        <f t="shared" si="391"/>
        <v>0</v>
      </c>
      <c r="AL1743" s="448"/>
      <c r="AM1743" s="467">
        <f>VLOOKUP(AD1743,[6]BV201101!$A$10:$A$1236,1,0)</f>
        <v>710012</v>
      </c>
    </row>
    <row r="1744" spans="1:39" s="467" customFormat="1" ht="12.75" customHeight="1">
      <c r="A1744" s="487" t="str">
        <f t="shared" si="392"/>
        <v>7</v>
      </c>
      <c r="B1744" s="487" t="str">
        <f t="shared" si="388"/>
        <v>10</v>
      </c>
      <c r="C1744" s="487" t="str">
        <f t="shared" si="389"/>
        <v>01</v>
      </c>
      <c r="D1744" s="487" t="str">
        <f t="shared" si="390"/>
        <v>0013</v>
      </c>
      <c r="E1744" s="487">
        <v>535100000</v>
      </c>
      <c r="F1744" s="488"/>
      <c r="G1744" s="487"/>
      <c r="H1744" s="487"/>
      <c r="I1744" s="488"/>
      <c r="J1744" s="487"/>
      <c r="K1744" s="487"/>
      <c r="L1744" s="488"/>
      <c r="M1744" s="487"/>
      <c r="N1744" s="487"/>
      <c r="O1744" s="488"/>
      <c r="P1744" s="489"/>
      <c r="Q1744" s="489"/>
      <c r="R1744" s="592"/>
      <c r="S1744" s="487"/>
      <c r="T1744" s="487"/>
      <c r="U1744" s="488"/>
      <c r="V1744" s="487"/>
      <c r="W1744" s="489"/>
      <c r="X1744" s="488"/>
      <c r="Y1744" s="489"/>
      <c r="Z1744" s="489"/>
      <c r="AA1744" s="490"/>
      <c r="AB1744" s="489"/>
      <c r="AC1744" s="489"/>
      <c r="AD1744" s="27">
        <v>710013</v>
      </c>
      <c r="AE1744" s="27" t="s">
        <v>1595</v>
      </c>
      <c r="AF1744" s="432">
        <f>VLOOKUP(AD1744,[5]Hoja1!$A$10:$K$1393,11,0)</f>
        <v>0</v>
      </c>
      <c r="AG1744" s="432"/>
      <c r="AH1744" s="432">
        <f t="shared" si="391"/>
        <v>0</v>
      </c>
      <c r="AL1744" s="448"/>
      <c r="AM1744" s="467">
        <f>VLOOKUP(AD1744,[6]BV201101!$A$10:$A$1236,1,0)</f>
        <v>710013</v>
      </c>
    </row>
    <row r="1745" spans="1:39" s="467" customFormat="1" ht="12.75" customHeight="1">
      <c r="A1745" s="487" t="str">
        <f t="shared" si="392"/>
        <v>7</v>
      </c>
      <c r="B1745" s="487" t="str">
        <f t="shared" si="388"/>
        <v>10</v>
      </c>
      <c r="C1745" s="487" t="str">
        <f t="shared" si="389"/>
        <v>01</v>
      </c>
      <c r="D1745" s="487" t="str">
        <f t="shared" si="390"/>
        <v>0014</v>
      </c>
      <c r="E1745" s="487">
        <v>535100000</v>
      </c>
      <c r="F1745" s="488"/>
      <c r="G1745" s="487"/>
      <c r="H1745" s="487"/>
      <c r="I1745" s="488"/>
      <c r="J1745" s="487"/>
      <c r="K1745" s="487"/>
      <c r="L1745" s="488"/>
      <c r="M1745" s="487"/>
      <c r="N1745" s="487"/>
      <c r="O1745" s="488"/>
      <c r="P1745" s="489"/>
      <c r="Q1745" s="489"/>
      <c r="R1745" s="592"/>
      <c r="S1745" s="487"/>
      <c r="T1745" s="487"/>
      <c r="U1745" s="488"/>
      <c r="V1745" s="487"/>
      <c r="W1745" s="489"/>
      <c r="X1745" s="488"/>
      <c r="Y1745" s="489"/>
      <c r="Z1745" s="489"/>
      <c r="AA1745" s="490"/>
      <c r="AB1745" s="489"/>
      <c r="AC1745" s="489"/>
      <c r="AD1745" s="27">
        <v>710014</v>
      </c>
      <c r="AE1745" s="27" t="s">
        <v>2527</v>
      </c>
      <c r="AF1745" s="432">
        <f>VLOOKUP(AD1745,[5]Hoja1!$A$10:$K$1393,11,0)</f>
        <v>0</v>
      </c>
      <c r="AG1745" s="432"/>
      <c r="AH1745" s="432">
        <f t="shared" si="391"/>
        <v>0</v>
      </c>
      <c r="AL1745" s="448"/>
      <c r="AM1745" s="467">
        <f>VLOOKUP(AD1745,[6]BV201101!$A$10:$A$1236,1,0)</f>
        <v>710014</v>
      </c>
    </row>
    <row r="1746" spans="1:39" s="467" customFormat="1" ht="12.75" customHeight="1">
      <c r="A1746" s="487" t="str">
        <f t="shared" si="392"/>
        <v>7</v>
      </c>
      <c r="B1746" s="487" t="str">
        <f t="shared" si="388"/>
        <v>10</v>
      </c>
      <c r="C1746" s="487" t="str">
        <f t="shared" si="389"/>
        <v>01</v>
      </c>
      <c r="D1746" s="487" t="str">
        <f t="shared" si="390"/>
        <v>0015</v>
      </c>
      <c r="E1746" s="487">
        <v>535100000</v>
      </c>
      <c r="F1746" s="488"/>
      <c r="G1746" s="487"/>
      <c r="H1746" s="487"/>
      <c r="I1746" s="488"/>
      <c r="J1746" s="487"/>
      <c r="K1746" s="487"/>
      <c r="L1746" s="488"/>
      <c r="M1746" s="487"/>
      <c r="N1746" s="487"/>
      <c r="O1746" s="488"/>
      <c r="P1746" s="489"/>
      <c r="Q1746" s="489"/>
      <c r="R1746" s="592"/>
      <c r="S1746" s="487"/>
      <c r="T1746" s="487"/>
      <c r="U1746" s="488"/>
      <c r="V1746" s="487"/>
      <c r="W1746" s="489"/>
      <c r="X1746" s="488"/>
      <c r="Y1746" s="489"/>
      <c r="Z1746" s="489"/>
      <c r="AA1746" s="490"/>
      <c r="AB1746" s="489"/>
      <c r="AC1746" s="489"/>
      <c r="AD1746" s="27">
        <v>710015</v>
      </c>
      <c r="AE1746" s="27" t="s">
        <v>1596</v>
      </c>
      <c r="AF1746" s="432">
        <f>VLOOKUP(AD1746,[5]Hoja1!$A$10:$K$1393,11,0)</f>
        <v>370283</v>
      </c>
      <c r="AG1746" s="432"/>
      <c r="AH1746" s="432">
        <f t="shared" si="391"/>
        <v>370</v>
      </c>
      <c r="AL1746" s="448"/>
      <c r="AM1746" s="467">
        <f>VLOOKUP(AD1746,[6]BV201101!$A$10:$A$1236,1,0)</f>
        <v>710015</v>
      </c>
    </row>
    <row r="1747" spans="1:39" s="467" customFormat="1" ht="12.75" customHeight="1">
      <c r="A1747" s="487" t="str">
        <f t="shared" si="392"/>
        <v>7</v>
      </c>
      <c r="B1747" s="487" t="str">
        <f t="shared" si="388"/>
        <v>10</v>
      </c>
      <c r="C1747" s="487" t="str">
        <f t="shared" si="389"/>
        <v>01</v>
      </c>
      <c r="D1747" s="487" t="str">
        <f t="shared" si="390"/>
        <v>0017</v>
      </c>
      <c r="E1747" s="487">
        <v>535200000</v>
      </c>
      <c r="F1747" s="488"/>
      <c r="G1747" s="487"/>
      <c r="H1747" s="487"/>
      <c r="I1747" s="488"/>
      <c r="J1747" s="487"/>
      <c r="K1747" s="487"/>
      <c r="L1747" s="488"/>
      <c r="M1747" s="487"/>
      <c r="N1747" s="487"/>
      <c r="O1747" s="488"/>
      <c r="P1747" s="489"/>
      <c r="Q1747" s="489"/>
      <c r="R1747" s="592"/>
      <c r="S1747" s="487"/>
      <c r="T1747" s="487"/>
      <c r="U1747" s="488"/>
      <c r="V1747" s="487"/>
      <c r="W1747" s="489"/>
      <c r="X1747" s="488"/>
      <c r="Y1747" s="489"/>
      <c r="Z1747" s="489"/>
      <c r="AA1747" s="490" t="str">
        <f>+AB1747&amp;AC1747</f>
        <v>43</v>
      </c>
      <c r="AB1747" s="489">
        <v>4</v>
      </c>
      <c r="AC1747" s="489">
        <v>3</v>
      </c>
      <c r="AD1747" s="927">
        <v>710017</v>
      </c>
      <c r="AE1747" s="27" t="s">
        <v>2303</v>
      </c>
      <c r="AF1747" s="432">
        <f>VLOOKUP(AD1747,[5]Hoja1!$A$10:$K$1393,11,0)</f>
        <v>17447075</v>
      </c>
      <c r="AG1747" s="432"/>
      <c r="AH1747" s="432">
        <f t="shared" si="391"/>
        <v>17447</v>
      </c>
      <c r="AL1747" s="448"/>
    </row>
    <row r="1748" spans="1:39" s="467" customFormat="1" ht="12.75" customHeight="1">
      <c r="A1748" s="487" t="str">
        <f t="shared" si="392"/>
        <v>7</v>
      </c>
      <c r="B1748" s="487" t="str">
        <f t="shared" si="388"/>
        <v>10</v>
      </c>
      <c r="C1748" s="487" t="str">
        <f t="shared" si="389"/>
        <v>01</v>
      </c>
      <c r="D1748" s="487" t="str">
        <f t="shared" si="390"/>
        <v>0018</v>
      </c>
      <c r="E1748" s="487">
        <v>532300000</v>
      </c>
      <c r="F1748" s="488"/>
      <c r="G1748" s="487"/>
      <c r="H1748" s="487"/>
      <c r="I1748" s="488"/>
      <c r="J1748" s="487"/>
      <c r="K1748" s="487"/>
      <c r="L1748" s="488"/>
      <c r="M1748" s="487"/>
      <c r="N1748" s="487"/>
      <c r="O1748" s="488"/>
      <c r="P1748" s="489"/>
      <c r="Q1748" s="489"/>
      <c r="R1748" s="592"/>
      <c r="S1748" s="487"/>
      <c r="T1748" s="487"/>
      <c r="U1748" s="488"/>
      <c r="V1748" s="487"/>
      <c r="W1748" s="489"/>
      <c r="X1748" s="488"/>
      <c r="Y1748" s="489"/>
      <c r="Z1748" s="489"/>
      <c r="AA1748" s="490"/>
      <c r="AB1748" s="489"/>
      <c r="AC1748" s="489"/>
      <c r="AD1748" s="27">
        <v>710018</v>
      </c>
      <c r="AE1748" s="27" t="s">
        <v>2580</v>
      </c>
      <c r="AF1748" s="432">
        <f>VLOOKUP(AD1748,[5]Hoja1!$A$10:$K$1393,11,0)</f>
        <v>-9554576</v>
      </c>
      <c r="AG1748" s="432"/>
      <c r="AH1748" s="432">
        <f t="shared" si="391"/>
        <v>-9555</v>
      </c>
      <c r="AL1748" s="448"/>
    </row>
    <row r="1749" spans="1:39" s="467" customFormat="1" ht="12.75" customHeight="1">
      <c r="A1749" s="487" t="str">
        <f t="shared" si="392"/>
        <v>7</v>
      </c>
      <c r="B1749" s="487"/>
      <c r="C1749" s="487"/>
      <c r="D1749" s="487"/>
      <c r="E1749" s="487">
        <v>535200000</v>
      </c>
      <c r="F1749" s="488"/>
      <c r="G1749" s="487"/>
      <c r="H1749" s="487"/>
      <c r="I1749" s="488"/>
      <c r="J1749" s="487"/>
      <c r="K1749" s="487"/>
      <c r="L1749" s="488"/>
      <c r="M1749" s="487"/>
      <c r="N1749" s="487"/>
      <c r="O1749" s="488"/>
      <c r="P1749" s="489"/>
      <c r="Q1749" s="489"/>
      <c r="R1749" s="592"/>
      <c r="S1749" s="487"/>
      <c r="T1749" s="487"/>
      <c r="U1749" s="488"/>
      <c r="V1749" s="487"/>
      <c r="W1749" s="489"/>
      <c r="X1749" s="488"/>
      <c r="Y1749" s="489"/>
      <c r="Z1749" s="489"/>
      <c r="AA1749" s="490" t="str">
        <f>+AB1749&amp;AC1749</f>
        <v>45</v>
      </c>
      <c r="AB1749" s="489">
        <v>4</v>
      </c>
      <c r="AC1749" s="489">
        <v>5</v>
      </c>
      <c r="AD1749" s="927">
        <v>710019</v>
      </c>
      <c r="AE1749" s="27" t="s">
        <v>2712</v>
      </c>
      <c r="AF1749" s="432">
        <f>VLOOKUP(AD1749,[5]Hoja1!$A$10:$K$1393,11,0)</f>
        <v>21366224346</v>
      </c>
      <c r="AG1749" s="1022">
        <f>72792000-135009000-62675000+336318000-3488429000</f>
        <v>-3277003000</v>
      </c>
      <c r="AH1749" s="432">
        <f t="shared" si="391"/>
        <v>18089221</v>
      </c>
      <c r="AL1749" s="448"/>
    </row>
    <row r="1750" spans="1:39" s="467" customFormat="1" ht="12.75" customHeight="1">
      <c r="A1750" s="487" t="str">
        <f t="shared" si="392"/>
        <v>7</v>
      </c>
      <c r="B1750" s="487"/>
      <c r="C1750" s="487"/>
      <c r="D1750" s="487"/>
      <c r="E1750" s="487">
        <v>535200000</v>
      </c>
      <c r="F1750" s="488"/>
      <c r="G1750" s="487"/>
      <c r="H1750" s="487"/>
      <c r="I1750" s="488"/>
      <c r="J1750" s="487"/>
      <c r="K1750" s="487"/>
      <c r="L1750" s="488"/>
      <c r="M1750" s="487"/>
      <c r="N1750" s="487"/>
      <c r="O1750" s="488"/>
      <c r="P1750" s="489"/>
      <c r="Q1750" s="489"/>
      <c r="R1750" s="592"/>
      <c r="S1750" s="487"/>
      <c r="T1750" s="487"/>
      <c r="U1750" s="488"/>
      <c r="V1750" s="487"/>
      <c r="W1750" s="489"/>
      <c r="X1750" s="488"/>
      <c r="Y1750" s="489"/>
      <c r="Z1750" s="489"/>
      <c r="AA1750" s="490" t="str">
        <f>+AB1750&amp;AC1750</f>
        <v>43</v>
      </c>
      <c r="AB1750" s="489">
        <v>4</v>
      </c>
      <c r="AC1750" s="489">
        <v>3</v>
      </c>
      <c r="AD1750" s="927">
        <v>710020</v>
      </c>
      <c r="AE1750" s="27" t="s">
        <v>2713</v>
      </c>
      <c r="AF1750" s="432">
        <f>VLOOKUP(AD1750,[5]Hoja1!$A$10:$K$1393,11,0)</f>
        <v>-1587778</v>
      </c>
      <c r="AG1750" s="432"/>
      <c r="AH1750" s="432">
        <f t="shared" si="391"/>
        <v>-1588</v>
      </c>
      <c r="AL1750" s="448"/>
    </row>
    <row r="1751" spans="1:39" s="467" customFormat="1" ht="12.75" customHeight="1">
      <c r="A1751" s="487" t="str">
        <f t="shared" si="392"/>
        <v>7</v>
      </c>
      <c r="B1751" s="487"/>
      <c r="C1751" s="487"/>
      <c r="D1751" s="487"/>
      <c r="E1751" s="487">
        <v>535200000</v>
      </c>
      <c r="F1751" s="488"/>
      <c r="G1751" s="487"/>
      <c r="H1751" s="487"/>
      <c r="I1751" s="488"/>
      <c r="J1751" s="487"/>
      <c r="K1751" s="487"/>
      <c r="L1751" s="488"/>
      <c r="M1751" s="487"/>
      <c r="N1751" s="487"/>
      <c r="O1751" s="488"/>
      <c r="P1751" s="489"/>
      <c r="Q1751" s="489"/>
      <c r="R1751" s="592"/>
      <c r="S1751" s="487"/>
      <c r="T1751" s="487"/>
      <c r="U1751" s="488"/>
      <c r="V1751" s="487"/>
      <c r="W1751" s="489"/>
      <c r="X1751" s="488"/>
      <c r="Y1751" s="489"/>
      <c r="Z1751" s="489"/>
      <c r="AA1751" s="490" t="str">
        <f>+AB1751&amp;AC1751</f>
        <v>45</v>
      </c>
      <c r="AB1751" s="489">
        <v>4</v>
      </c>
      <c r="AC1751" s="489">
        <v>5</v>
      </c>
      <c r="AD1751" s="927">
        <v>710021</v>
      </c>
      <c r="AE1751" s="27" t="s">
        <v>2714</v>
      </c>
      <c r="AF1751" s="432">
        <f>VLOOKUP(AD1751,[5]Hoja1!$A$10:$K$1393,11,0)</f>
        <v>22437298</v>
      </c>
      <c r="AG1751" s="432"/>
      <c r="AH1751" s="432">
        <f t="shared" si="391"/>
        <v>22437</v>
      </c>
      <c r="AL1751" s="448"/>
    </row>
    <row r="1752" spans="1:39" s="467" customFormat="1" ht="12.75" customHeight="1">
      <c r="A1752" s="487" t="str">
        <f t="shared" si="392"/>
        <v>7</v>
      </c>
      <c r="B1752" s="487"/>
      <c r="C1752" s="487"/>
      <c r="D1752" s="487"/>
      <c r="E1752" s="487">
        <v>535100000</v>
      </c>
      <c r="F1752" s="488"/>
      <c r="G1752" s="487"/>
      <c r="H1752" s="487"/>
      <c r="I1752" s="488"/>
      <c r="J1752" s="487"/>
      <c r="K1752" s="487"/>
      <c r="L1752" s="488"/>
      <c r="M1752" s="487"/>
      <c r="N1752" s="487"/>
      <c r="O1752" s="488"/>
      <c r="P1752" s="489"/>
      <c r="Q1752" s="489"/>
      <c r="R1752" s="592"/>
      <c r="S1752" s="487"/>
      <c r="T1752" s="487"/>
      <c r="U1752" s="488"/>
      <c r="V1752" s="487"/>
      <c r="W1752" s="489"/>
      <c r="X1752" s="488"/>
      <c r="Y1752" s="489"/>
      <c r="Z1752" s="489"/>
      <c r="AA1752" s="490"/>
      <c r="AB1752" s="489"/>
      <c r="AC1752" s="489"/>
      <c r="AD1752" s="927">
        <v>710022</v>
      </c>
      <c r="AE1752" s="27" t="s">
        <v>2947</v>
      </c>
      <c r="AF1752" s="432">
        <f>VLOOKUP(AD1752,[5]Hoja1!$A$10:$K$1393,11,0)</f>
        <v>952108576</v>
      </c>
      <c r="AG1752" s="432"/>
      <c r="AH1752" s="432">
        <f t="shared" si="391"/>
        <v>952109</v>
      </c>
      <c r="AL1752" s="448"/>
    </row>
    <row r="1753" spans="1:39" s="467" customFormat="1" ht="12.75" customHeight="1">
      <c r="A1753" s="487" t="str">
        <f t="shared" si="392"/>
        <v>7</v>
      </c>
      <c r="B1753" s="487"/>
      <c r="C1753" s="487"/>
      <c r="D1753" s="487"/>
      <c r="E1753" s="487">
        <v>535100000</v>
      </c>
      <c r="F1753" s="488"/>
      <c r="G1753" s="487"/>
      <c r="H1753" s="487"/>
      <c r="I1753" s="488"/>
      <c r="J1753" s="487"/>
      <c r="K1753" s="487"/>
      <c r="L1753" s="488"/>
      <c r="M1753" s="487"/>
      <c r="N1753" s="487"/>
      <c r="O1753" s="488"/>
      <c r="P1753" s="489"/>
      <c r="Q1753" s="489"/>
      <c r="R1753" s="592"/>
      <c r="S1753" s="487"/>
      <c r="T1753" s="487"/>
      <c r="U1753" s="488"/>
      <c r="V1753" s="487"/>
      <c r="W1753" s="489"/>
      <c r="X1753" s="488"/>
      <c r="Y1753" s="489"/>
      <c r="Z1753" s="489"/>
      <c r="AA1753" s="490"/>
      <c r="AB1753" s="489"/>
      <c r="AC1753" s="489"/>
      <c r="AD1753" s="927">
        <v>710023</v>
      </c>
      <c r="AE1753" s="27" t="s">
        <v>2948</v>
      </c>
      <c r="AF1753" s="432">
        <f>VLOOKUP(AD1753,[5]Hoja1!$A$10:$K$1393,11,0)</f>
        <v>18394714139</v>
      </c>
      <c r="AG1753" s="432"/>
      <c r="AH1753" s="432">
        <f t="shared" si="391"/>
        <v>18394714</v>
      </c>
      <c r="AL1753" s="448"/>
    </row>
    <row r="1754" spans="1:39" s="467" customFormat="1" ht="12.75" customHeight="1">
      <c r="A1754" s="487" t="str">
        <f t="shared" si="392"/>
        <v>7</v>
      </c>
      <c r="B1754" s="487"/>
      <c r="C1754" s="487"/>
      <c r="D1754" s="487"/>
      <c r="E1754" s="487">
        <v>535100000</v>
      </c>
      <c r="F1754" s="488"/>
      <c r="G1754" s="487"/>
      <c r="H1754" s="487"/>
      <c r="I1754" s="488"/>
      <c r="J1754" s="487"/>
      <c r="K1754" s="487"/>
      <c r="L1754" s="488"/>
      <c r="M1754" s="487"/>
      <c r="N1754" s="487"/>
      <c r="O1754" s="488"/>
      <c r="P1754" s="489"/>
      <c r="Q1754" s="489"/>
      <c r="R1754" s="592"/>
      <c r="S1754" s="487"/>
      <c r="T1754" s="487"/>
      <c r="U1754" s="488"/>
      <c r="V1754" s="487"/>
      <c r="W1754" s="489"/>
      <c r="X1754" s="488"/>
      <c r="Y1754" s="489"/>
      <c r="Z1754" s="489"/>
      <c r="AA1754" s="490"/>
      <c r="AB1754" s="489"/>
      <c r="AC1754" s="489"/>
      <c r="AD1754" s="927">
        <v>710024</v>
      </c>
      <c r="AE1754" s="27" t="s">
        <v>2949</v>
      </c>
      <c r="AF1754" s="432">
        <f>VLOOKUP(AD1754,[5]Hoja1!$A$10:$K$1393,11,0)</f>
        <v>29351632</v>
      </c>
      <c r="AG1754" s="432"/>
      <c r="AH1754" s="432">
        <f t="shared" si="391"/>
        <v>29352</v>
      </c>
      <c r="AL1754" s="448"/>
    </row>
    <row r="1755" spans="1:39" s="467" customFormat="1" ht="12.75" customHeight="1">
      <c r="A1755" s="487" t="str">
        <f t="shared" si="392"/>
        <v>7</v>
      </c>
      <c r="B1755" s="487"/>
      <c r="C1755" s="487"/>
      <c r="D1755" s="487"/>
      <c r="E1755" s="487">
        <v>535100000</v>
      </c>
      <c r="F1755" s="488"/>
      <c r="G1755" s="487"/>
      <c r="H1755" s="487"/>
      <c r="I1755" s="488"/>
      <c r="J1755" s="487"/>
      <c r="K1755" s="487"/>
      <c r="L1755" s="488"/>
      <c r="M1755" s="487"/>
      <c r="N1755" s="487"/>
      <c r="O1755" s="488"/>
      <c r="P1755" s="489"/>
      <c r="Q1755" s="489"/>
      <c r="R1755" s="592"/>
      <c r="S1755" s="487"/>
      <c r="T1755" s="487"/>
      <c r="U1755" s="488"/>
      <c r="V1755" s="487"/>
      <c r="W1755" s="489"/>
      <c r="X1755" s="488"/>
      <c r="Y1755" s="489"/>
      <c r="Z1755" s="489"/>
      <c r="AA1755" s="490"/>
      <c r="AB1755" s="489"/>
      <c r="AC1755" s="489"/>
      <c r="AD1755" s="927">
        <v>710025</v>
      </c>
      <c r="AE1755" s="27" t="s">
        <v>2950</v>
      </c>
      <c r="AF1755" s="432">
        <f>VLOOKUP(AD1755,[5]Hoja1!$A$10:$K$1393,11,0)</f>
        <v>-176155678</v>
      </c>
      <c r="AG1755" s="432"/>
      <c r="AH1755" s="432">
        <f t="shared" si="391"/>
        <v>-176156</v>
      </c>
      <c r="AL1755" s="448"/>
    </row>
    <row r="1756" spans="1:39" s="467" customFormat="1" ht="12.75" customHeight="1">
      <c r="A1756" s="487" t="str">
        <f t="shared" si="392"/>
        <v>7</v>
      </c>
      <c r="B1756" s="487"/>
      <c r="C1756" s="487"/>
      <c r="D1756" s="487"/>
      <c r="E1756" s="487">
        <v>535100000</v>
      </c>
      <c r="F1756" s="488"/>
      <c r="G1756" s="487"/>
      <c r="H1756" s="487"/>
      <c r="I1756" s="488"/>
      <c r="J1756" s="487"/>
      <c r="K1756" s="487"/>
      <c r="L1756" s="488"/>
      <c r="M1756" s="487"/>
      <c r="N1756" s="487"/>
      <c r="O1756" s="488"/>
      <c r="P1756" s="489"/>
      <c r="Q1756" s="489"/>
      <c r="R1756" s="592"/>
      <c r="S1756" s="487"/>
      <c r="T1756" s="487"/>
      <c r="U1756" s="488"/>
      <c r="V1756" s="487"/>
      <c r="W1756" s="489"/>
      <c r="X1756" s="488"/>
      <c r="Y1756" s="489"/>
      <c r="Z1756" s="489"/>
      <c r="AA1756" s="490"/>
      <c r="AB1756" s="489"/>
      <c r="AC1756" s="489"/>
      <c r="AD1756" s="927">
        <v>710026</v>
      </c>
      <c r="AE1756" s="27" t="s">
        <v>2951</v>
      </c>
      <c r="AF1756" s="432">
        <f>VLOOKUP(AD1756,[5]Hoja1!$A$10:$K$1393,11,0)</f>
        <v>-30636916</v>
      </c>
      <c r="AG1756" s="432"/>
      <c r="AH1756" s="432">
        <f t="shared" si="391"/>
        <v>-30637</v>
      </c>
      <c r="AL1756" s="448"/>
    </row>
    <row r="1757" spans="1:39" s="467" customFormat="1" ht="12.75" customHeight="1">
      <c r="A1757" s="487" t="str">
        <f t="shared" si="392"/>
        <v>7</v>
      </c>
      <c r="B1757" s="487"/>
      <c r="C1757" s="487"/>
      <c r="D1757" s="487"/>
      <c r="E1757" s="487">
        <v>535100000</v>
      </c>
      <c r="F1757" s="488"/>
      <c r="G1757" s="487"/>
      <c r="H1757" s="487"/>
      <c r="I1757" s="488"/>
      <c r="J1757" s="487"/>
      <c r="K1757" s="487"/>
      <c r="L1757" s="488"/>
      <c r="M1757" s="487"/>
      <c r="N1757" s="487"/>
      <c r="O1757" s="488"/>
      <c r="P1757" s="489"/>
      <c r="Q1757" s="489"/>
      <c r="R1757" s="592"/>
      <c r="S1757" s="487"/>
      <c r="T1757" s="487"/>
      <c r="U1757" s="488"/>
      <c r="V1757" s="487"/>
      <c r="W1757" s="489"/>
      <c r="X1757" s="488"/>
      <c r="Y1757" s="489"/>
      <c r="Z1757" s="489"/>
      <c r="AA1757" s="490"/>
      <c r="AB1757" s="489"/>
      <c r="AC1757" s="489"/>
      <c r="AD1757" s="927">
        <v>710027</v>
      </c>
      <c r="AE1757" s="27" t="s">
        <v>2952</v>
      </c>
      <c r="AF1757" s="432">
        <f>VLOOKUP(AD1757,[5]Hoja1!$A$10:$K$1393,11,0)</f>
        <v>-134590100</v>
      </c>
      <c r="AG1757" s="432"/>
      <c r="AH1757" s="432">
        <f t="shared" si="391"/>
        <v>-134590</v>
      </c>
      <c r="AL1757" s="448"/>
    </row>
    <row r="1758" spans="1:39" s="467" customFormat="1" ht="12.75" customHeight="1">
      <c r="A1758" s="487" t="str">
        <f t="shared" si="392"/>
        <v>7</v>
      </c>
      <c r="B1758" s="487"/>
      <c r="C1758" s="487"/>
      <c r="D1758" s="487"/>
      <c r="E1758" s="487">
        <v>535100000</v>
      </c>
      <c r="F1758" s="488"/>
      <c r="G1758" s="487"/>
      <c r="H1758" s="487"/>
      <c r="I1758" s="488"/>
      <c r="J1758" s="487"/>
      <c r="K1758" s="487"/>
      <c r="L1758" s="488"/>
      <c r="M1758" s="487"/>
      <c r="N1758" s="487"/>
      <c r="O1758" s="488"/>
      <c r="P1758" s="489"/>
      <c r="Q1758" s="489"/>
      <c r="R1758" s="592"/>
      <c r="S1758" s="487"/>
      <c r="T1758" s="487"/>
      <c r="U1758" s="488"/>
      <c r="V1758" s="487"/>
      <c r="W1758" s="489"/>
      <c r="X1758" s="488"/>
      <c r="Y1758" s="489"/>
      <c r="Z1758" s="489"/>
      <c r="AA1758" s="490"/>
      <c r="AB1758" s="489"/>
      <c r="AC1758" s="489"/>
      <c r="AD1758" s="927">
        <v>710029</v>
      </c>
      <c r="AE1758" s="27" t="s">
        <v>3090</v>
      </c>
      <c r="AF1758" s="432">
        <f>VLOOKUP(AD1758,[5]Hoja1!$A$10:$K$1393,11,0)</f>
        <v>1216769</v>
      </c>
      <c r="AG1758" s="432"/>
      <c r="AH1758" s="432">
        <f t="shared" si="391"/>
        <v>1217</v>
      </c>
      <c r="AL1758" s="448"/>
    </row>
    <row r="1759" spans="1:39" s="467" customFormat="1" ht="12.75" customHeight="1">
      <c r="A1759" s="487" t="str">
        <f t="shared" si="392"/>
        <v>8</v>
      </c>
      <c r="B1759" s="487" t="str">
        <f t="shared" si="388"/>
        <v>10</v>
      </c>
      <c r="C1759" s="487" t="str">
        <f t="shared" si="389"/>
        <v>00</v>
      </c>
      <c r="D1759" s="487" t="str">
        <f t="shared" si="390"/>
        <v>0001</v>
      </c>
      <c r="E1759" s="487">
        <v>534201300</v>
      </c>
      <c r="F1759" s="488" t="str">
        <f t="shared" ref="F1759:F1764" si="401">+G1759&amp;H1759</f>
        <v/>
      </c>
      <c r="G1759" s="487"/>
      <c r="H1759" s="487"/>
      <c r="I1759" s="488" t="str">
        <f t="shared" ref="I1759:I1764" si="402">+J1759&amp;K1759</f>
        <v/>
      </c>
      <c r="J1759" s="487"/>
      <c r="K1759" s="487"/>
      <c r="L1759" s="488" t="str">
        <f t="shared" ref="L1759:L1764" si="403">+M1759&amp;N1759</f>
        <v/>
      </c>
      <c r="M1759" s="487"/>
      <c r="N1759" s="487"/>
      <c r="O1759" s="488" t="str">
        <f t="shared" ref="O1759:O1764" si="404">+P1759&amp;Q1759</f>
        <v/>
      </c>
      <c r="P1759" s="489"/>
      <c r="Q1759" s="489"/>
      <c r="R1759" s="592" t="str">
        <f t="shared" ref="R1759:R1764" si="405">+S1759&amp;T1759</f>
        <v/>
      </c>
      <c r="S1759" s="487"/>
      <c r="T1759" s="487"/>
      <c r="U1759" s="488" t="str">
        <f t="shared" ref="U1759:U1764" si="406">+V1759&amp;W1759</f>
        <v/>
      </c>
      <c r="V1759" s="487"/>
      <c r="W1759" s="489"/>
      <c r="X1759" s="488" t="str">
        <f t="shared" ref="X1759:X1764" si="407">+Y1759&amp;Z1759</f>
        <v/>
      </c>
      <c r="Y1759" s="489"/>
      <c r="Z1759" s="489"/>
      <c r="AA1759" s="490" t="str">
        <f t="shared" ref="AA1759:AA1764" si="408">+AB1759&amp;AC1759</f>
        <v/>
      </c>
      <c r="AB1759" s="489"/>
      <c r="AC1759" s="489"/>
      <c r="AD1759" s="27">
        <v>810001</v>
      </c>
      <c r="AE1759" s="27" t="s">
        <v>275</v>
      </c>
      <c r="AF1759" s="432">
        <f>VLOOKUP(AD1759,[5]Hoja1!$A$10:$K$1393,11,0)</f>
        <v>47813053</v>
      </c>
      <c r="AG1759" s="432"/>
      <c r="AH1759" s="432">
        <f t="shared" si="391"/>
        <v>47813</v>
      </c>
      <c r="AL1759" s="448"/>
      <c r="AM1759" s="467">
        <f>VLOOKUP(AD1759,[6]BV201101!$A$10:$A$1236,1,0)</f>
        <v>810001</v>
      </c>
    </row>
    <row r="1760" spans="1:39" s="467" customFormat="1" ht="12.75" customHeight="1">
      <c r="A1760" s="487" t="str">
        <f t="shared" si="392"/>
        <v>8</v>
      </c>
      <c r="B1760" s="487" t="str">
        <f t="shared" si="388"/>
        <v>10</v>
      </c>
      <c r="C1760" s="487" t="str">
        <f t="shared" si="389"/>
        <v>00</v>
      </c>
      <c r="D1760" s="487" t="str">
        <f t="shared" si="390"/>
        <v>0002</v>
      </c>
      <c r="E1760" s="487">
        <v>539000000</v>
      </c>
      <c r="F1760" s="488" t="str">
        <f t="shared" si="401"/>
        <v/>
      </c>
      <c r="G1760" s="487"/>
      <c r="H1760" s="487"/>
      <c r="I1760" s="488" t="str">
        <f t="shared" si="402"/>
        <v/>
      </c>
      <c r="J1760" s="487"/>
      <c r="K1760" s="487"/>
      <c r="L1760" s="488" t="str">
        <f t="shared" si="403"/>
        <v/>
      </c>
      <c r="M1760" s="487"/>
      <c r="N1760" s="487"/>
      <c r="O1760" s="488" t="str">
        <f t="shared" si="404"/>
        <v/>
      </c>
      <c r="P1760" s="489"/>
      <c r="Q1760" s="489"/>
      <c r="R1760" s="592" t="str">
        <f t="shared" si="405"/>
        <v/>
      </c>
      <c r="S1760" s="487"/>
      <c r="T1760" s="487"/>
      <c r="U1760" s="488" t="str">
        <f t="shared" si="406"/>
        <v/>
      </c>
      <c r="V1760" s="487"/>
      <c r="W1760" s="489"/>
      <c r="X1760" s="488" t="str">
        <f t="shared" si="407"/>
        <v/>
      </c>
      <c r="Y1760" s="489"/>
      <c r="Z1760" s="489"/>
      <c r="AA1760" s="490" t="str">
        <f t="shared" si="408"/>
        <v/>
      </c>
      <c r="AB1760" s="489"/>
      <c r="AC1760" s="489"/>
      <c r="AD1760" s="27">
        <v>810002</v>
      </c>
      <c r="AE1760" s="27" t="s">
        <v>1786</v>
      </c>
      <c r="AF1760" s="432">
        <f>VLOOKUP(AD1760,[5]Hoja1!$A$10:$K$1393,11,0)</f>
        <v>1376735420</v>
      </c>
      <c r="AG1760" s="432"/>
      <c r="AH1760" s="432">
        <f t="shared" si="391"/>
        <v>1376735</v>
      </c>
      <c r="AL1760" s="448"/>
      <c r="AM1760" s="467">
        <f>VLOOKUP(AD1760,[6]BV201101!$A$10:$A$1236,1,0)</f>
        <v>810002</v>
      </c>
    </row>
    <row r="1761" spans="1:39" s="467" customFormat="1" ht="12.75" customHeight="1">
      <c r="A1761" s="487" t="str">
        <f t="shared" si="392"/>
        <v>8</v>
      </c>
      <c r="B1761" s="487" t="str">
        <f t="shared" si="388"/>
        <v>10</v>
      </c>
      <c r="C1761" s="487" t="str">
        <f t="shared" si="389"/>
        <v>00</v>
      </c>
      <c r="D1761" s="487" t="str">
        <f t="shared" si="390"/>
        <v>0003</v>
      </c>
      <c r="E1761" s="487">
        <v>539000000</v>
      </c>
      <c r="F1761" s="488" t="str">
        <f t="shared" si="401"/>
        <v/>
      </c>
      <c r="G1761" s="487"/>
      <c r="H1761" s="487"/>
      <c r="I1761" s="488" t="str">
        <f t="shared" si="402"/>
        <v/>
      </c>
      <c r="J1761" s="487"/>
      <c r="K1761" s="487"/>
      <c r="L1761" s="488" t="str">
        <f t="shared" si="403"/>
        <v/>
      </c>
      <c r="M1761" s="487"/>
      <c r="N1761" s="487"/>
      <c r="O1761" s="488" t="str">
        <f t="shared" si="404"/>
        <v/>
      </c>
      <c r="P1761" s="489"/>
      <c r="Q1761" s="489"/>
      <c r="R1761" s="592" t="str">
        <f t="shared" si="405"/>
        <v/>
      </c>
      <c r="S1761" s="487"/>
      <c r="T1761" s="487"/>
      <c r="U1761" s="488" t="str">
        <f t="shared" si="406"/>
        <v/>
      </c>
      <c r="V1761" s="487"/>
      <c r="W1761" s="489"/>
      <c r="X1761" s="488" t="str">
        <f t="shared" si="407"/>
        <v/>
      </c>
      <c r="Y1761" s="489"/>
      <c r="Z1761" s="489"/>
      <c r="AA1761" s="490" t="str">
        <f t="shared" si="408"/>
        <v/>
      </c>
      <c r="AB1761" s="489"/>
      <c r="AC1761" s="489"/>
      <c r="AD1761" s="27">
        <v>810003</v>
      </c>
      <c r="AE1761" s="27" t="s">
        <v>2528</v>
      </c>
      <c r="AF1761" s="432">
        <f>VLOOKUP(AD1761,[5]Hoja1!$A$10:$K$1393,11,0)</f>
        <v>157696138</v>
      </c>
      <c r="AG1761" s="432">
        <v>0</v>
      </c>
      <c r="AH1761" s="432">
        <f t="shared" si="391"/>
        <v>157696</v>
      </c>
      <c r="AL1761" s="448"/>
      <c r="AM1761" s="467">
        <f>VLOOKUP(AD1761,[6]BV201101!$A$10:$A$1236,1,0)</f>
        <v>810003</v>
      </c>
    </row>
    <row r="1762" spans="1:39" s="467" customFormat="1" ht="12.75" customHeight="1">
      <c r="A1762" s="487" t="str">
        <f t="shared" si="392"/>
        <v>8</v>
      </c>
      <c r="B1762" s="487" t="str">
        <f t="shared" si="388"/>
        <v>10</v>
      </c>
      <c r="C1762" s="487" t="str">
        <f t="shared" si="389"/>
        <v>00</v>
      </c>
      <c r="D1762" s="487" t="str">
        <f t="shared" si="390"/>
        <v>0004</v>
      </c>
      <c r="E1762" s="487">
        <v>539000000</v>
      </c>
      <c r="F1762" s="488" t="str">
        <f t="shared" si="401"/>
        <v/>
      </c>
      <c r="G1762" s="487"/>
      <c r="H1762" s="487"/>
      <c r="I1762" s="488" t="str">
        <f t="shared" si="402"/>
        <v/>
      </c>
      <c r="J1762" s="487"/>
      <c r="K1762" s="487"/>
      <c r="L1762" s="488" t="str">
        <f t="shared" si="403"/>
        <v/>
      </c>
      <c r="M1762" s="487"/>
      <c r="N1762" s="487"/>
      <c r="O1762" s="488" t="str">
        <f t="shared" si="404"/>
        <v/>
      </c>
      <c r="P1762" s="489"/>
      <c r="Q1762" s="489"/>
      <c r="R1762" s="592" t="str">
        <f t="shared" si="405"/>
        <v/>
      </c>
      <c r="S1762" s="487"/>
      <c r="T1762" s="487"/>
      <c r="U1762" s="488" t="str">
        <f t="shared" si="406"/>
        <v/>
      </c>
      <c r="V1762" s="487"/>
      <c r="W1762" s="489"/>
      <c r="X1762" s="488" t="str">
        <f t="shared" si="407"/>
        <v/>
      </c>
      <c r="Y1762" s="489"/>
      <c r="Z1762" s="489"/>
      <c r="AA1762" s="490" t="str">
        <f t="shared" si="408"/>
        <v/>
      </c>
      <c r="AB1762" s="489"/>
      <c r="AC1762" s="489"/>
      <c r="AD1762" s="27">
        <v>810004</v>
      </c>
      <c r="AE1762" s="27" t="s">
        <v>2529</v>
      </c>
      <c r="AF1762" s="432">
        <f>VLOOKUP(AD1762,[5]Hoja1!$A$10:$K$1393,11,0)</f>
        <v>-247578707</v>
      </c>
      <c r="AG1762" s="432">
        <v>0</v>
      </c>
      <c r="AH1762" s="432">
        <f t="shared" si="391"/>
        <v>-247579</v>
      </c>
      <c r="AL1762" s="448"/>
      <c r="AM1762" s="467">
        <f>VLOOKUP(AD1762,[6]BV201101!$A$10:$A$1236,1,0)</f>
        <v>810004</v>
      </c>
    </row>
    <row r="1763" spans="1:39" s="467" customFormat="1" ht="12.75" customHeight="1">
      <c r="A1763" s="487" t="str">
        <f t="shared" si="392"/>
        <v>8</v>
      </c>
      <c r="B1763" s="487" t="str">
        <f t="shared" si="388"/>
        <v>10</v>
      </c>
      <c r="C1763" s="487" t="str">
        <f t="shared" si="389"/>
        <v>00</v>
      </c>
      <c r="D1763" s="487" t="str">
        <f t="shared" si="390"/>
        <v>0005</v>
      </c>
      <c r="E1763" s="487">
        <v>534101200</v>
      </c>
      <c r="F1763" s="488" t="str">
        <f t="shared" si="401"/>
        <v/>
      </c>
      <c r="G1763" s="448"/>
      <c r="H1763" s="448"/>
      <c r="I1763" s="488" t="str">
        <f t="shared" si="402"/>
        <v/>
      </c>
      <c r="L1763" s="488" t="str">
        <f t="shared" si="403"/>
        <v/>
      </c>
      <c r="O1763" s="488" t="str">
        <f t="shared" si="404"/>
        <v/>
      </c>
      <c r="P1763" s="448"/>
      <c r="Q1763" s="448"/>
      <c r="R1763" s="592" t="str">
        <f t="shared" si="405"/>
        <v/>
      </c>
      <c r="S1763" s="448"/>
      <c r="T1763" s="448"/>
      <c r="U1763" s="488" t="str">
        <f t="shared" si="406"/>
        <v/>
      </c>
      <c r="V1763" s="448"/>
      <c r="W1763" s="493"/>
      <c r="X1763" s="488" t="str">
        <f t="shared" si="407"/>
        <v/>
      </c>
      <c r="Y1763" s="493"/>
      <c r="Z1763" s="493"/>
      <c r="AA1763" s="490" t="str">
        <f t="shared" si="408"/>
        <v/>
      </c>
      <c r="AB1763" s="493"/>
      <c r="AC1763" s="489"/>
      <c r="AD1763" s="27">
        <v>810005</v>
      </c>
      <c r="AE1763" s="27" t="s">
        <v>1058</v>
      </c>
      <c r="AF1763" s="432">
        <f>VLOOKUP(AD1763,[5]Hoja1!$A$10:$K$1393,11,0)</f>
        <v>22385216</v>
      </c>
      <c r="AG1763" s="432"/>
      <c r="AH1763" s="432">
        <f t="shared" si="391"/>
        <v>22385</v>
      </c>
      <c r="AL1763" s="448"/>
      <c r="AM1763" s="467">
        <f>VLOOKUP(AD1763,[6]BV201101!$A$10:$A$1236,1,0)</f>
        <v>810005</v>
      </c>
    </row>
    <row r="1764" spans="1:39" s="467" customFormat="1" ht="12.75" customHeight="1">
      <c r="A1764" s="487" t="str">
        <f t="shared" si="392"/>
        <v>8</v>
      </c>
      <c r="B1764" s="487" t="str">
        <f t="shared" si="388"/>
        <v>10</v>
      </c>
      <c r="C1764" s="487" t="str">
        <f t="shared" si="389"/>
        <v>00</v>
      </c>
      <c r="D1764" s="487" t="str">
        <f t="shared" si="390"/>
        <v>0006</v>
      </c>
      <c r="E1764" s="487">
        <v>534201300</v>
      </c>
      <c r="F1764" s="488" t="str">
        <f t="shared" si="401"/>
        <v/>
      </c>
      <c r="G1764" s="448"/>
      <c r="H1764" s="448"/>
      <c r="I1764" s="488" t="str">
        <f t="shared" si="402"/>
        <v/>
      </c>
      <c r="L1764" s="488" t="str">
        <f t="shared" si="403"/>
        <v/>
      </c>
      <c r="O1764" s="488" t="str">
        <f t="shared" si="404"/>
        <v/>
      </c>
      <c r="P1764" s="448"/>
      <c r="Q1764" s="448"/>
      <c r="R1764" s="592" t="str">
        <f t="shared" si="405"/>
        <v/>
      </c>
      <c r="S1764" s="448"/>
      <c r="T1764" s="448"/>
      <c r="U1764" s="488" t="str">
        <f t="shared" si="406"/>
        <v/>
      </c>
      <c r="V1764" s="448"/>
      <c r="W1764" s="493"/>
      <c r="X1764" s="488" t="str">
        <f t="shared" si="407"/>
        <v/>
      </c>
      <c r="Y1764" s="493"/>
      <c r="Z1764" s="493"/>
      <c r="AA1764" s="490" t="str">
        <f t="shared" si="408"/>
        <v/>
      </c>
      <c r="AB1764" s="493"/>
      <c r="AC1764" s="489"/>
      <c r="AD1764" s="27">
        <v>810006</v>
      </c>
      <c r="AE1764" s="27" t="s">
        <v>2530</v>
      </c>
      <c r="AF1764" s="432">
        <f>VLOOKUP(AD1764,[5]Hoja1!$A$10:$K$1393,11,0)</f>
        <v>0</v>
      </c>
      <c r="AG1764" s="432"/>
      <c r="AH1764" s="432">
        <f t="shared" si="391"/>
        <v>0</v>
      </c>
      <c r="AI1764" s="501"/>
      <c r="AJ1764" s="501"/>
      <c r="AK1764" s="491"/>
      <c r="AM1764" s="467">
        <f>VLOOKUP(AD1764,[6]BV201101!$A$10:$A$1236,1,0)</f>
        <v>810006</v>
      </c>
    </row>
    <row r="1765" spans="1:39">
      <c r="A1765" s="372"/>
      <c r="B1765" s="372"/>
      <c r="C1765" s="372"/>
      <c r="D1765" s="372"/>
      <c r="E1765" s="25"/>
      <c r="F1765" s="10"/>
      <c r="I1765" s="10"/>
      <c r="J1765" s="10"/>
      <c r="K1765" s="10"/>
      <c r="L1765" s="10"/>
      <c r="M1765" s="10"/>
      <c r="N1765" s="10"/>
      <c r="O1765" s="10"/>
      <c r="AD1765" s="32"/>
      <c r="AE1765" s="27"/>
      <c r="AF1765" s="28"/>
      <c r="AG1765" s="432"/>
      <c r="AI1765" s="34"/>
      <c r="AJ1765" s="34"/>
      <c r="AK1765" s="29"/>
    </row>
    <row r="1766" spans="1:39">
      <c r="AE1766" s="12" t="s">
        <v>1787</v>
      </c>
      <c r="AF1766" s="670">
        <f>SUM(AF7:AF1765)</f>
        <v>0</v>
      </c>
      <c r="AG1766" s="670">
        <f>SUM(AG7:AG1765)</f>
        <v>0</v>
      </c>
      <c r="AH1766" s="670">
        <f>SUM(AH7:AH1765)</f>
        <v>0</v>
      </c>
      <c r="AI1766" s="29">
        <f>+AH1766-AH990-AH870-AH862-AH834-AH121</f>
        <v>599401</v>
      </c>
      <c r="AJ1766" s="33">
        <v>1101948958051</v>
      </c>
      <c r="AK1766" s="29"/>
    </row>
    <row r="1767" spans="1:39">
      <c r="AC1767" s="7" t="str">
        <f>+LEFT(AD1767,1)</f>
        <v>1</v>
      </c>
      <c r="AD1767" s="10">
        <v>100000</v>
      </c>
      <c r="AE1767" s="10" t="s">
        <v>1382</v>
      </c>
      <c r="AF1767" s="31"/>
      <c r="AG1767" s="473"/>
      <c r="AH1767" s="29">
        <f>SUMIF($A$7:$A$1764,AC1767,$AH$7:$AH$1764)</f>
        <v>2011930731</v>
      </c>
      <c r="AI1767" s="29"/>
      <c r="AJ1767" s="10">
        <v>17496485424</v>
      </c>
    </row>
    <row r="1768" spans="1:39">
      <c r="AC1768" s="7" t="str">
        <f>+LEFT(AD1768,1)</f>
        <v>2</v>
      </c>
      <c r="AD1768" s="10">
        <v>200000</v>
      </c>
      <c r="AE1768" s="10" t="s">
        <v>1383</v>
      </c>
      <c r="AH1768" s="29">
        <f>SUMIF($A$7:$A$1764,AC1768,$AH$7:$AH$1764)</f>
        <v>-1793874539</v>
      </c>
      <c r="AJ1768" s="29">
        <f>+AJ1766+AJ1767</f>
        <v>1119445443475</v>
      </c>
    </row>
    <row r="1769" spans="1:39">
      <c r="AC1769" s="7" t="str">
        <f>+LEFT(AD1769,1)</f>
        <v>3</v>
      </c>
      <c r="AD1769" s="10">
        <v>300000</v>
      </c>
      <c r="AE1769" s="10" t="s">
        <v>1788</v>
      </c>
      <c r="AF1769" s="31">
        <f>+AF348+AF351+AF353+AF357</f>
        <v>35243157477</v>
      </c>
      <c r="AH1769" s="29">
        <f>SUMIF($A$7:$A$1764,AC1769,$AH$7:$AH$1764)</f>
        <v>-203164950</v>
      </c>
      <c r="AJ1769" s="10">
        <v>36916998292</v>
      </c>
    </row>
    <row r="1770" spans="1:39">
      <c r="AE1770" s="32" t="s">
        <v>1789</v>
      </c>
      <c r="AF1770" s="486">
        <f>-AF354-AF359</f>
        <v>2518478780</v>
      </c>
      <c r="AG1770" s="418"/>
      <c r="AH1770" s="669">
        <f>SUM(AH1767:AH1769)</f>
        <v>14891242</v>
      </c>
      <c r="AI1770" s="29">
        <v>-43842953404</v>
      </c>
      <c r="AJ1770" s="10">
        <v>239368431</v>
      </c>
    </row>
    <row r="1771" spans="1:39">
      <c r="AE1771" s="32"/>
      <c r="AF1771" s="560">
        <f>+AF1769+AF1770</f>
        <v>37761636257</v>
      </c>
      <c r="AG1771" s="472"/>
      <c r="AH1771" s="30"/>
      <c r="AI1771" s="29">
        <f>+AI1770/1000</f>
        <v>-43842953.403999999</v>
      </c>
      <c r="AJ1771" s="29">
        <f>+AJ1768-AJ1769-AJ1770</f>
        <v>1082289076752</v>
      </c>
    </row>
    <row r="1772" spans="1:39">
      <c r="AC1772" s="7" t="str">
        <f>+LEFT(AD1772,1)</f>
        <v>4</v>
      </c>
      <c r="AD1772" s="10">
        <v>400000</v>
      </c>
      <c r="AE1772" s="10" t="s">
        <v>1790</v>
      </c>
      <c r="AH1772" s="29">
        <f>SUMIF($A$7:$A$1764,AC1772,$AH$7:$AH$1764)</f>
        <v>-214702718</v>
      </c>
      <c r="AI1772" s="29">
        <f>+AH1770+AI1771</f>
        <v>-28951711.403999999</v>
      </c>
      <c r="AJ1772" s="29">
        <f>+AF1766+AJ1771</f>
        <v>1082289076752</v>
      </c>
    </row>
    <row r="1773" spans="1:39">
      <c r="AC1773" s="7" t="str">
        <f>+LEFT(AD1773,1)</f>
        <v>5</v>
      </c>
      <c r="AD1773" s="10">
        <v>500000</v>
      </c>
      <c r="AE1773" s="10" t="s">
        <v>1517</v>
      </c>
      <c r="AF1773" s="31">
        <f>+AF1769-AF1770</f>
        <v>32724678697</v>
      </c>
      <c r="AH1773" s="29">
        <f>SUMIF($A$7:$A$1764,AC1773,$AH$7:$AH$1764)</f>
        <v>157657096</v>
      </c>
      <c r="AI1773" s="10">
        <f>+AI1772*1000</f>
        <v>-28951711404</v>
      </c>
      <c r="AJ1773" s="10">
        <v>8632535266</v>
      </c>
    </row>
    <row r="1774" spans="1:39">
      <c r="AC1774" s="7" t="str">
        <f>+LEFT(AD1774,1)</f>
        <v>6</v>
      </c>
      <c r="AD1774" s="10">
        <v>600000</v>
      </c>
      <c r="AE1774" s="10" t="s">
        <v>1198</v>
      </c>
      <c r="AH1774" s="29">
        <f>SUMIF($A$7:$A$1764,AC1774,$AH$7:$AH$1764)</f>
        <v>19641426</v>
      </c>
      <c r="AJ1774" s="10">
        <f>+AJ1769+AJ1770-AJ1773</f>
        <v>28523831457</v>
      </c>
    </row>
    <row r="1775" spans="1:39">
      <c r="A1775" s="10"/>
      <c r="B1775" s="10"/>
      <c r="C1775" s="10"/>
      <c r="D1775" s="10"/>
      <c r="E1775" s="10"/>
      <c r="F1775" s="10"/>
      <c r="G1775" s="10"/>
      <c r="H1775" s="10"/>
      <c r="I1775" s="10"/>
      <c r="J1775" s="10"/>
      <c r="K1775" s="10"/>
      <c r="L1775" s="10"/>
      <c r="M1775" s="10"/>
      <c r="N1775" s="10"/>
      <c r="O1775" s="10"/>
      <c r="P1775" s="10"/>
      <c r="Q1775" s="10"/>
      <c r="R1775" s="10"/>
      <c r="S1775" s="10"/>
      <c r="T1775" s="10"/>
      <c r="U1775" s="10"/>
      <c r="V1775" s="10"/>
      <c r="W1775" s="10"/>
      <c r="X1775" s="10"/>
      <c r="Y1775" s="10"/>
      <c r="Z1775" s="10"/>
      <c r="AC1775" s="7" t="str">
        <f>+LEFT(AD1775,1)</f>
        <v>7</v>
      </c>
      <c r="AD1775" s="10">
        <v>700000</v>
      </c>
      <c r="AE1775" s="10" t="s">
        <v>1172</v>
      </c>
      <c r="AH1775" s="29">
        <f>SUMIF($A$7:$A$1764,AC1775,$AH$7:$AH$1764)</f>
        <v>21155904</v>
      </c>
    </row>
    <row r="1776" spans="1:39">
      <c r="A1776" s="10"/>
      <c r="B1776" s="10"/>
      <c r="C1776" s="10"/>
      <c r="D1776" s="10"/>
      <c r="E1776" s="10"/>
      <c r="F1776" s="10"/>
      <c r="G1776" s="10"/>
      <c r="H1776" s="10"/>
      <c r="I1776" s="10"/>
      <c r="J1776" s="10"/>
      <c r="K1776" s="10"/>
      <c r="L1776" s="10"/>
      <c r="M1776" s="10"/>
      <c r="N1776" s="10"/>
      <c r="O1776" s="10"/>
      <c r="P1776" s="10"/>
      <c r="Q1776" s="10"/>
      <c r="R1776" s="10"/>
      <c r="S1776" s="10"/>
      <c r="T1776" s="10"/>
      <c r="U1776" s="10"/>
      <c r="V1776" s="10"/>
      <c r="W1776" s="10"/>
      <c r="X1776" s="10"/>
      <c r="Y1776" s="10"/>
      <c r="Z1776" s="10"/>
      <c r="AC1776" s="7" t="str">
        <f>+LEFT(AD1776,1)</f>
        <v>8</v>
      </c>
      <c r="AD1776" s="10">
        <v>800000</v>
      </c>
      <c r="AE1776" s="10" t="s">
        <v>1173</v>
      </c>
      <c r="AH1776" s="29">
        <f>SUMIF($A$7:$A$1764,AC1776,$AH$7:$AH$1764)</f>
        <v>1357050</v>
      </c>
    </row>
    <row r="1777" spans="1:36">
      <c r="A1777" s="10"/>
      <c r="B1777" s="10"/>
      <c r="C1777" s="10"/>
      <c r="D1777" s="10"/>
      <c r="E1777" s="10"/>
      <c r="F1777" s="10"/>
      <c r="G1777" s="10"/>
      <c r="H1777" s="10"/>
      <c r="I1777" s="10"/>
      <c r="J1777" s="10"/>
      <c r="K1777" s="10"/>
      <c r="L1777" s="10"/>
      <c r="M1777" s="10"/>
      <c r="N1777" s="10"/>
      <c r="O1777" s="10"/>
      <c r="P1777" s="10"/>
      <c r="Q1777" s="10"/>
      <c r="R1777" s="10"/>
      <c r="S1777" s="10"/>
      <c r="T1777" s="10"/>
      <c r="U1777" s="10"/>
      <c r="V1777" s="10"/>
      <c r="W1777" s="10"/>
      <c r="X1777" s="10"/>
      <c r="Y1777" s="10"/>
      <c r="Z1777" s="10"/>
      <c r="AA1777" s="26" t="str">
        <f>+AB1777&amp;AC1777</f>
        <v>124</v>
      </c>
      <c r="AB1777" s="7">
        <v>1</v>
      </c>
      <c r="AC1777" s="7">
        <v>24</v>
      </c>
      <c r="AE1777" s="32" t="s">
        <v>628</v>
      </c>
      <c r="AF1777" s="32"/>
      <c r="AG1777" s="418"/>
      <c r="AH1777" s="669">
        <f>SUM(AH1772:AH1776)</f>
        <v>-14891242</v>
      </c>
      <c r="AI1777" s="29">
        <v>-19873284.342999998</v>
      </c>
      <c r="AJ1777" s="10">
        <v>2319302516</v>
      </c>
    </row>
    <row r="1778" spans="1:36">
      <c r="A1778" s="10"/>
      <c r="B1778" s="10"/>
      <c r="C1778" s="10"/>
      <c r="D1778" s="10"/>
      <c r="E1778" s="10"/>
      <c r="F1778" s="10"/>
      <c r="G1778" s="10"/>
      <c r="H1778" s="10"/>
      <c r="I1778" s="10"/>
      <c r="J1778" s="10"/>
      <c r="K1778" s="10"/>
      <c r="L1778" s="10"/>
      <c r="M1778" s="10"/>
      <c r="N1778" s="10"/>
      <c r="O1778" s="10"/>
      <c r="P1778" s="10"/>
      <c r="Q1778" s="10"/>
      <c r="R1778" s="10"/>
      <c r="S1778" s="10"/>
      <c r="T1778" s="10"/>
      <c r="U1778" s="10"/>
      <c r="V1778" s="10"/>
      <c r="W1778" s="10"/>
      <c r="X1778" s="10"/>
      <c r="Y1778" s="10"/>
      <c r="Z1778" s="10"/>
      <c r="AE1778" s="32" t="s">
        <v>629</v>
      </c>
      <c r="AH1778" s="670">
        <f>+AH1777+AH1770</f>
        <v>0</v>
      </c>
      <c r="AI1778" s="29">
        <f>+AH1777-AI1777</f>
        <v>4982042.3429999985</v>
      </c>
      <c r="AJ1778" s="10">
        <f>+AJ1777/1000</f>
        <v>2319302.5159999998</v>
      </c>
    </row>
    <row r="1779" spans="1:36">
      <c r="AJ1779" s="29">
        <f>+AH1777+AJ1778</f>
        <v>-12571939.484000001</v>
      </c>
    </row>
    <row r="1780" spans="1:36">
      <c r="A1780" s="10"/>
      <c r="B1780" s="10"/>
      <c r="C1780" s="10"/>
      <c r="D1780" s="10"/>
      <c r="E1780" s="10"/>
      <c r="F1780" s="10"/>
      <c r="G1780" s="10"/>
      <c r="H1780" s="10"/>
      <c r="I1780" s="10"/>
      <c r="J1780" s="10"/>
      <c r="K1780" s="10"/>
      <c r="L1780" s="10"/>
      <c r="M1780" s="10"/>
      <c r="N1780" s="10"/>
      <c r="O1780" s="10"/>
      <c r="P1780" s="10"/>
      <c r="Q1780" s="10"/>
      <c r="R1780" s="10"/>
      <c r="S1780" s="10"/>
      <c r="T1780" s="10"/>
      <c r="U1780" s="10"/>
      <c r="V1780" s="10"/>
      <c r="W1780" s="10"/>
      <c r="X1780" s="10"/>
      <c r="Y1780" s="10"/>
      <c r="Z1780" s="10"/>
      <c r="AH1780" s="29">
        <v>13413020</v>
      </c>
    </row>
    <row r="1781" spans="1:36">
      <c r="A1781" s="10"/>
      <c r="B1781" s="10"/>
      <c r="C1781" s="10"/>
      <c r="D1781" s="10"/>
      <c r="E1781" s="10"/>
      <c r="F1781" s="10"/>
      <c r="G1781" s="10"/>
      <c r="H1781" s="10"/>
      <c r="I1781" s="10"/>
      <c r="J1781" s="10"/>
      <c r="K1781" s="10"/>
      <c r="L1781" s="10"/>
      <c r="M1781" s="10"/>
      <c r="N1781" s="10"/>
      <c r="O1781" s="10"/>
      <c r="P1781" s="10"/>
      <c r="Q1781" s="10"/>
      <c r="R1781" s="10"/>
      <c r="S1781" s="10"/>
      <c r="T1781" s="10"/>
      <c r="U1781" s="10"/>
      <c r="V1781" s="10"/>
      <c r="W1781" s="10"/>
      <c r="X1781" s="10"/>
      <c r="Y1781" s="10"/>
      <c r="Z1781" s="10"/>
      <c r="AH1781" s="29">
        <f>+AH1777+AH1780</f>
        <v>-1478222</v>
      </c>
      <c r="AI1781" s="29"/>
      <c r="AJ1781" s="29"/>
    </row>
    <row r="1782" spans="1:36">
      <c r="A1782" s="10"/>
      <c r="B1782" s="10"/>
      <c r="C1782" s="10"/>
      <c r="D1782" s="10"/>
      <c r="E1782" s="10"/>
      <c r="F1782" s="10"/>
      <c r="G1782" s="10"/>
      <c r="H1782" s="10"/>
      <c r="I1782" s="10"/>
      <c r="J1782" s="10"/>
      <c r="K1782" s="10"/>
      <c r="L1782" s="10"/>
      <c r="M1782" s="10"/>
      <c r="N1782" s="10"/>
      <c r="O1782" s="10"/>
      <c r="P1782" s="10"/>
      <c r="Q1782" s="10"/>
      <c r="R1782" s="10"/>
      <c r="S1782" s="10"/>
      <c r="T1782" s="10"/>
      <c r="U1782" s="10"/>
      <c r="V1782" s="10"/>
      <c r="W1782" s="10"/>
      <c r="X1782" s="10"/>
      <c r="Y1782" s="10"/>
      <c r="Z1782" s="10"/>
      <c r="AH1782" s="29"/>
      <c r="AJ1782" s="29"/>
    </row>
    <row r="1783" spans="1:36">
      <c r="A1783" s="10"/>
      <c r="B1783" s="10"/>
      <c r="C1783" s="10"/>
      <c r="D1783" s="10"/>
      <c r="E1783" s="10"/>
      <c r="F1783" s="10"/>
      <c r="G1783" s="10"/>
      <c r="H1783" s="10"/>
      <c r="I1783" s="10"/>
      <c r="J1783" s="10"/>
      <c r="K1783" s="10"/>
      <c r="L1783" s="10"/>
      <c r="M1783" s="10"/>
      <c r="N1783" s="10"/>
      <c r="O1783" s="10"/>
      <c r="P1783" s="10"/>
      <c r="Q1783" s="10"/>
      <c r="R1783" s="10"/>
      <c r="S1783" s="10"/>
      <c r="T1783" s="10"/>
      <c r="U1783" s="10"/>
      <c r="V1783" s="10"/>
      <c r="W1783" s="10"/>
      <c r="X1783" s="10"/>
      <c r="Y1783" s="10"/>
      <c r="Z1783" s="10"/>
      <c r="AH1783" s="29"/>
    </row>
    <row r="1785" spans="1:36">
      <c r="A1785" s="10"/>
      <c r="B1785" s="10"/>
      <c r="C1785" s="10"/>
      <c r="D1785" s="10"/>
      <c r="E1785" s="10"/>
      <c r="F1785" s="10"/>
      <c r="G1785" s="10"/>
      <c r="H1785" s="10"/>
      <c r="I1785" s="10"/>
      <c r="J1785" s="10"/>
      <c r="K1785" s="10"/>
      <c r="L1785" s="10"/>
      <c r="M1785" s="10"/>
      <c r="N1785" s="10"/>
      <c r="O1785" s="10"/>
      <c r="P1785" s="10"/>
      <c r="Q1785" s="10"/>
      <c r="R1785" s="10"/>
      <c r="S1785" s="10"/>
      <c r="T1785" s="10"/>
      <c r="U1785" s="10"/>
      <c r="V1785" s="10"/>
      <c r="W1785" s="10"/>
      <c r="X1785" s="10"/>
      <c r="Y1785" s="10"/>
      <c r="Z1785" s="10"/>
      <c r="AH1785" s="29"/>
    </row>
    <row r="1826" spans="1:34">
      <c r="A1826" s="10"/>
      <c r="B1826" s="10"/>
      <c r="C1826" s="10"/>
      <c r="D1826" s="10"/>
      <c r="E1826" s="10"/>
      <c r="F1826" s="10"/>
      <c r="G1826" s="10"/>
      <c r="H1826" s="10"/>
      <c r="I1826" s="10"/>
      <c r="J1826" s="10"/>
      <c r="K1826" s="10"/>
      <c r="L1826" s="10"/>
      <c r="M1826" s="10"/>
      <c r="N1826" s="10"/>
      <c r="O1826" s="10"/>
      <c r="P1826" s="10"/>
      <c r="Q1826" s="10"/>
      <c r="R1826" s="10"/>
      <c r="S1826" s="10"/>
      <c r="T1826" s="10"/>
      <c r="U1826" s="10"/>
      <c r="V1826" s="10"/>
      <c r="W1826" s="10"/>
      <c r="X1826" s="10"/>
      <c r="Y1826" s="10"/>
      <c r="Z1826" s="10"/>
      <c r="AA1826" s="10"/>
      <c r="AB1826" s="10"/>
      <c r="AC1826" s="10"/>
      <c r="AG1826" s="467"/>
      <c r="AH1826" s="6"/>
    </row>
    <row r="1827" spans="1:34">
      <c r="A1827" s="10"/>
      <c r="B1827" s="10"/>
      <c r="C1827" s="10"/>
      <c r="D1827" s="10"/>
      <c r="E1827" s="10"/>
      <c r="F1827" s="10"/>
      <c r="G1827" s="10"/>
      <c r="H1827" s="10"/>
      <c r="I1827" s="10"/>
      <c r="J1827" s="10"/>
      <c r="K1827" s="10"/>
      <c r="L1827" s="10"/>
      <c r="M1827" s="10"/>
      <c r="N1827" s="10"/>
      <c r="O1827" s="10"/>
      <c r="P1827" s="10"/>
      <c r="Q1827" s="10"/>
      <c r="R1827" s="10"/>
      <c r="S1827" s="10"/>
      <c r="T1827" s="10"/>
      <c r="U1827" s="10"/>
      <c r="V1827" s="10"/>
      <c r="W1827" s="10"/>
      <c r="X1827" s="10"/>
      <c r="Y1827" s="10"/>
      <c r="Z1827" s="10"/>
      <c r="AA1827" s="10"/>
      <c r="AB1827" s="10"/>
      <c r="AC1827" s="10"/>
      <c r="AG1827" s="467"/>
      <c r="AH1827" s="6"/>
    </row>
    <row r="1828" spans="1:34">
      <c r="A1828" s="10"/>
      <c r="B1828" s="10"/>
      <c r="C1828" s="10"/>
      <c r="D1828" s="10"/>
      <c r="E1828" s="10"/>
      <c r="F1828" s="10"/>
      <c r="G1828" s="10"/>
      <c r="H1828" s="10"/>
      <c r="I1828" s="10"/>
      <c r="J1828" s="10"/>
      <c r="K1828" s="10"/>
      <c r="L1828" s="10"/>
      <c r="M1828" s="10"/>
      <c r="N1828" s="10"/>
      <c r="O1828" s="10"/>
      <c r="P1828" s="10"/>
      <c r="Q1828" s="10"/>
      <c r="R1828" s="10"/>
      <c r="S1828" s="10"/>
      <c r="T1828" s="10"/>
      <c r="U1828" s="10"/>
      <c r="V1828" s="10"/>
      <c r="W1828" s="10"/>
      <c r="X1828" s="10"/>
      <c r="Y1828" s="10"/>
      <c r="Z1828" s="10"/>
      <c r="AA1828" s="10"/>
      <c r="AB1828" s="10"/>
      <c r="AC1828" s="10"/>
      <c r="AG1828" s="467"/>
      <c r="AH1828" s="6"/>
    </row>
    <row r="1829" spans="1:34">
      <c r="A1829" s="10"/>
      <c r="B1829" s="10"/>
      <c r="C1829" s="10"/>
      <c r="D1829" s="10"/>
      <c r="E1829" s="10"/>
      <c r="F1829" s="10"/>
      <c r="G1829" s="10"/>
      <c r="H1829" s="10"/>
      <c r="I1829" s="10"/>
      <c r="J1829" s="10"/>
      <c r="K1829" s="10"/>
      <c r="L1829" s="10"/>
      <c r="M1829" s="10"/>
      <c r="N1829" s="10"/>
      <c r="O1829" s="10"/>
      <c r="P1829" s="10"/>
      <c r="Q1829" s="10"/>
      <c r="R1829" s="10"/>
      <c r="S1829" s="10"/>
      <c r="T1829" s="10"/>
      <c r="U1829" s="10"/>
      <c r="V1829" s="10"/>
      <c r="W1829" s="10"/>
      <c r="X1829" s="10"/>
      <c r="Y1829" s="10"/>
      <c r="Z1829" s="10"/>
      <c r="AA1829" s="10"/>
      <c r="AB1829" s="10"/>
      <c r="AC1829" s="10"/>
      <c r="AG1829" s="467"/>
      <c r="AH1829" s="6"/>
    </row>
    <row r="1830" spans="1:34">
      <c r="A1830" s="10"/>
      <c r="B1830" s="10"/>
      <c r="C1830" s="10"/>
      <c r="D1830" s="10"/>
      <c r="E1830" s="10"/>
      <c r="F1830" s="10"/>
      <c r="G1830" s="10"/>
      <c r="H1830" s="10"/>
      <c r="I1830" s="10"/>
      <c r="J1830" s="10"/>
      <c r="K1830" s="10"/>
      <c r="L1830" s="10"/>
      <c r="M1830" s="10"/>
      <c r="N1830" s="10"/>
      <c r="O1830" s="10"/>
      <c r="P1830" s="10"/>
      <c r="Q1830" s="10"/>
      <c r="R1830" s="10"/>
      <c r="S1830" s="10"/>
      <c r="T1830" s="10"/>
      <c r="U1830" s="10"/>
      <c r="V1830" s="10"/>
      <c r="W1830" s="10"/>
      <c r="X1830" s="10"/>
      <c r="Y1830" s="10"/>
      <c r="Z1830" s="10"/>
      <c r="AA1830" s="10"/>
      <c r="AB1830" s="10"/>
      <c r="AC1830" s="10"/>
      <c r="AG1830" s="467"/>
      <c r="AH1830" s="6"/>
    </row>
    <row r="1831" spans="1:34">
      <c r="A1831" s="10"/>
      <c r="B1831" s="10"/>
      <c r="C1831" s="10"/>
      <c r="D1831" s="10"/>
      <c r="E1831" s="10"/>
      <c r="F1831" s="10"/>
      <c r="G1831" s="10"/>
      <c r="H1831" s="10"/>
      <c r="I1831" s="10"/>
      <c r="J1831" s="10"/>
      <c r="K1831" s="10"/>
      <c r="L1831" s="10"/>
      <c r="M1831" s="10"/>
      <c r="N1831" s="10"/>
      <c r="O1831" s="10"/>
      <c r="P1831" s="10"/>
      <c r="Q1831" s="10"/>
      <c r="R1831" s="10"/>
      <c r="S1831" s="10"/>
      <c r="T1831" s="10"/>
      <c r="U1831" s="10"/>
      <c r="V1831" s="10"/>
      <c r="W1831" s="10"/>
      <c r="X1831" s="10"/>
      <c r="Y1831" s="10"/>
      <c r="Z1831" s="10"/>
      <c r="AA1831" s="10"/>
      <c r="AB1831" s="10"/>
      <c r="AC1831" s="10"/>
      <c r="AG1831" s="467"/>
      <c r="AH1831" s="6"/>
    </row>
    <row r="1832" spans="1:34">
      <c r="A1832" s="10"/>
      <c r="B1832" s="10"/>
      <c r="C1832" s="10"/>
      <c r="D1832" s="10"/>
      <c r="E1832" s="10"/>
      <c r="F1832" s="10"/>
      <c r="G1832" s="10"/>
      <c r="H1832" s="10"/>
      <c r="I1832" s="10"/>
      <c r="J1832" s="10"/>
      <c r="K1832" s="10"/>
      <c r="L1832" s="10"/>
      <c r="M1832" s="10"/>
      <c r="N1832" s="10"/>
      <c r="O1832" s="10"/>
      <c r="P1832" s="10"/>
      <c r="Q1832" s="10"/>
      <c r="R1832" s="10"/>
      <c r="S1832" s="10"/>
      <c r="T1832" s="10"/>
      <c r="U1832" s="10"/>
      <c r="V1832" s="10"/>
      <c r="W1832" s="10"/>
      <c r="X1832" s="10"/>
      <c r="Y1832" s="10"/>
      <c r="Z1832" s="10"/>
      <c r="AA1832" s="10"/>
      <c r="AB1832" s="10"/>
      <c r="AC1832" s="10"/>
      <c r="AG1832" s="467"/>
      <c r="AH1832" s="6"/>
    </row>
    <row r="1833" spans="1:34">
      <c r="A1833" s="10"/>
      <c r="B1833" s="10"/>
      <c r="C1833" s="10"/>
      <c r="D1833" s="10"/>
      <c r="E1833" s="10"/>
      <c r="F1833" s="10"/>
      <c r="G1833" s="10"/>
      <c r="H1833" s="10"/>
      <c r="I1833" s="10"/>
      <c r="J1833" s="10"/>
      <c r="K1833" s="10"/>
      <c r="L1833" s="10"/>
      <c r="M1833" s="10"/>
      <c r="N1833" s="10"/>
      <c r="O1833" s="10"/>
      <c r="P1833" s="10"/>
      <c r="Q1833" s="10"/>
      <c r="R1833" s="10"/>
      <c r="S1833" s="10"/>
      <c r="T1833" s="10"/>
      <c r="U1833" s="10"/>
      <c r="V1833" s="10"/>
      <c r="W1833" s="10"/>
      <c r="X1833" s="10"/>
      <c r="Y1833" s="10"/>
      <c r="Z1833" s="10"/>
      <c r="AA1833" s="10"/>
      <c r="AB1833" s="10"/>
      <c r="AC1833" s="10"/>
      <c r="AG1833" s="467"/>
      <c r="AH1833" s="6"/>
    </row>
    <row r="1834" spans="1:34">
      <c r="A1834" s="10"/>
      <c r="B1834" s="10"/>
      <c r="C1834" s="10"/>
      <c r="D1834" s="10"/>
      <c r="E1834" s="10"/>
      <c r="F1834" s="10"/>
      <c r="G1834" s="10"/>
      <c r="H1834" s="10"/>
      <c r="I1834" s="10"/>
      <c r="J1834" s="10"/>
      <c r="K1834" s="10"/>
      <c r="L1834" s="10"/>
      <c r="M1834" s="10"/>
      <c r="N1834" s="10"/>
      <c r="O1834" s="10"/>
      <c r="P1834" s="10"/>
      <c r="Q1834" s="10"/>
      <c r="R1834" s="10"/>
      <c r="S1834" s="10"/>
      <c r="T1834" s="10"/>
      <c r="U1834" s="10"/>
      <c r="V1834" s="10"/>
      <c r="W1834" s="10"/>
      <c r="X1834" s="10"/>
      <c r="Y1834" s="10"/>
      <c r="Z1834" s="10"/>
      <c r="AA1834" s="10"/>
      <c r="AB1834" s="10"/>
      <c r="AC1834" s="10"/>
      <c r="AG1834" s="467"/>
      <c r="AH1834" s="6"/>
    </row>
    <row r="1835" spans="1:34">
      <c r="A1835" s="10"/>
      <c r="B1835" s="10"/>
      <c r="C1835" s="10"/>
      <c r="D1835" s="10"/>
      <c r="E1835" s="10"/>
      <c r="F1835" s="10"/>
      <c r="G1835" s="10"/>
      <c r="H1835" s="10"/>
      <c r="I1835" s="10"/>
      <c r="J1835" s="10"/>
      <c r="K1835" s="10"/>
      <c r="L1835" s="10"/>
      <c r="M1835" s="10"/>
      <c r="N1835" s="10"/>
      <c r="O1835" s="10"/>
      <c r="P1835" s="10"/>
      <c r="Q1835" s="10"/>
      <c r="R1835" s="10"/>
      <c r="S1835" s="10"/>
      <c r="T1835" s="10"/>
      <c r="U1835" s="10"/>
      <c r="V1835" s="10"/>
      <c r="W1835" s="10"/>
      <c r="X1835" s="10"/>
      <c r="Y1835" s="10"/>
      <c r="Z1835" s="10"/>
      <c r="AA1835" s="10"/>
      <c r="AB1835" s="10"/>
      <c r="AC1835" s="10"/>
      <c r="AG1835" s="467"/>
      <c r="AH1835" s="6"/>
    </row>
    <row r="1836" spans="1:34">
      <c r="A1836" s="10"/>
      <c r="B1836" s="10"/>
      <c r="C1836" s="10"/>
      <c r="D1836" s="10"/>
      <c r="E1836" s="10"/>
      <c r="F1836" s="10"/>
      <c r="G1836" s="10"/>
      <c r="H1836" s="10"/>
      <c r="I1836" s="10"/>
      <c r="J1836" s="10"/>
      <c r="K1836" s="10"/>
      <c r="L1836" s="10"/>
      <c r="M1836" s="10"/>
      <c r="N1836" s="10"/>
      <c r="O1836" s="10"/>
      <c r="P1836" s="10"/>
      <c r="Q1836" s="10"/>
      <c r="R1836" s="10"/>
      <c r="S1836" s="10"/>
      <c r="T1836" s="10"/>
      <c r="U1836" s="10"/>
      <c r="V1836" s="10"/>
      <c r="W1836" s="10"/>
      <c r="X1836" s="10"/>
      <c r="Y1836" s="10"/>
      <c r="Z1836" s="10"/>
      <c r="AA1836" s="10"/>
      <c r="AB1836" s="10"/>
      <c r="AC1836" s="10"/>
      <c r="AG1836" s="467"/>
      <c r="AH1836" s="6"/>
    </row>
    <row r="1837" spans="1:34">
      <c r="A1837" s="10"/>
      <c r="B1837" s="10"/>
      <c r="C1837" s="10"/>
      <c r="D1837" s="10"/>
      <c r="E1837" s="10"/>
      <c r="F1837" s="10"/>
      <c r="G1837" s="10"/>
      <c r="H1837" s="10"/>
      <c r="I1837" s="10"/>
      <c r="J1837" s="10"/>
      <c r="K1837" s="10"/>
      <c r="L1837" s="10"/>
      <c r="M1837" s="10"/>
      <c r="N1837" s="10"/>
      <c r="O1837" s="10"/>
      <c r="P1837" s="10"/>
      <c r="Q1837" s="10"/>
      <c r="R1837" s="10"/>
      <c r="S1837" s="10"/>
      <c r="T1837" s="10"/>
      <c r="U1837" s="10"/>
      <c r="V1837" s="10"/>
      <c r="W1837" s="10"/>
      <c r="X1837" s="10"/>
      <c r="Y1837" s="10"/>
      <c r="Z1837" s="10"/>
      <c r="AA1837" s="10"/>
      <c r="AB1837" s="10"/>
      <c r="AC1837" s="10"/>
      <c r="AG1837" s="467"/>
      <c r="AH1837" s="6"/>
    </row>
    <row r="1838" spans="1:34">
      <c r="A1838" s="10"/>
      <c r="B1838" s="10"/>
      <c r="C1838" s="10"/>
      <c r="D1838" s="10"/>
      <c r="E1838" s="10"/>
      <c r="F1838" s="10"/>
      <c r="G1838" s="10"/>
      <c r="H1838" s="10"/>
      <c r="I1838" s="10"/>
      <c r="J1838" s="10"/>
      <c r="K1838" s="10"/>
      <c r="L1838" s="10"/>
      <c r="M1838" s="10"/>
      <c r="N1838" s="10"/>
      <c r="O1838" s="10"/>
      <c r="P1838" s="10"/>
      <c r="Q1838" s="10"/>
      <c r="R1838" s="10"/>
      <c r="S1838" s="10"/>
      <c r="T1838" s="10"/>
      <c r="U1838" s="10"/>
      <c r="V1838" s="10"/>
      <c r="W1838" s="10"/>
      <c r="X1838" s="10"/>
      <c r="Y1838" s="10"/>
      <c r="Z1838" s="10"/>
      <c r="AA1838" s="10"/>
      <c r="AB1838" s="10"/>
      <c r="AC1838" s="10"/>
      <c r="AG1838" s="467"/>
      <c r="AH1838" s="6"/>
    </row>
    <row r="1839" spans="1:34">
      <c r="A1839" s="10"/>
      <c r="B1839" s="10"/>
      <c r="C1839" s="10"/>
      <c r="D1839" s="10"/>
      <c r="E1839" s="10"/>
      <c r="F1839" s="10"/>
      <c r="G1839" s="10"/>
      <c r="H1839" s="10"/>
      <c r="I1839" s="10"/>
      <c r="J1839" s="10"/>
      <c r="K1839" s="10"/>
      <c r="L1839" s="10"/>
      <c r="M1839" s="10"/>
      <c r="N1839" s="10"/>
      <c r="O1839" s="10"/>
      <c r="P1839" s="10"/>
      <c r="Q1839" s="10"/>
      <c r="R1839" s="10"/>
      <c r="S1839" s="10"/>
      <c r="T1839" s="10"/>
      <c r="U1839" s="10"/>
      <c r="V1839" s="10"/>
      <c r="W1839" s="10"/>
      <c r="X1839" s="10"/>
      <c r="Y1839" s="10"/>
      <c r="Z1839" s="10"/>
      <c r="AA1839" s="10"/>
      <c r="AB1839" s="10"/>
      <c r="AC1839" s="10"/>
      <c r="AG1839" s="467"/>
      <c r="AH1839" s="6"/>
    </row>
    <row r="1840" spans="1:34">
      <c r="A1840" s="10"/>
      <c r="B1840" s="10"/>
      <c r="C1840" s="10"/>
      <c r="D1840" s="10"/>
      <c r="E1840" s="10"/>
      <c r="F1840" s="10"/>
      <c r="G1840" s="10"/>
      <c r="H1840" s="10"/>
      <c r="I1840" s="10"/>
      <c r="J1840" s="10"/>
      <c r="K1840" s="10"/>
      <c r="L1840" s="10"/>
      <c r="M1840" s="10"/>
      <c r="N1840" s="10"/>
      <c r="O1840" s="10"/>
      <c r="P1840" s="10"/>
      <c r="Q1840" s="10"/>
      <c r="R1840" s="10"/>
      <c r="S1840" s="10"/>
      <c r="T1840" s="10"/>
      <c r="U1840" s="10"/>
      <c r="V1840" s="10"/>
      <c r="W1840" s="10"/>
      <c r="X1840" s="10"/>
      <c r="Y1840" s="10"/>
      <c r="Z1840" s="10"/>
      <c r="AA1840" s="10"/>
      <c r="AB1840" s="10"/>
      <c r="AC1840" s="10"/>
      <c r="AG1840" s="467"/>
      <c r="AH1840" s="6"/>
    </row>
    <row r="1841" spans="1:34">
      <c r="A1841" s="10"/>
      <c r="B1841" s="10"/>
      <c r="C1841" s="10"/>
      <c r="D1841" s="10"/>
      <c r="E1841" s="10"/>
      <c r="F1841" s="10"/>
      <c r="G1841" s="10"/>
      <c r="H1841" s="10"/>
      <c r="I1841" s="10"/>
      <c r="J1841" s="10"/>
      <c r="K1841" s="10"/>
      <c r="L1841" s="10"/>
      <c r="M1841" s="10"/>
      <c r="N1841" s="10"/>
      <c r="O1841" s="10"/>
      <c r="P1841" s="10"/>
      <c r="Q1841" s="10"/>
      <c r="R1841" s="10"/>
      <c r="S1841" s="10"/>
      <c r="T1841" s="10"/>
      <c r="U1841" s="10"/>
      <c r="V1841" s="10"/>
      <c r="W1841" s="10"/>
      <c r="X1841" s="10"/>
      <c r="Y1841" s="10"/>
      <c r="Z1841" s="10"/>
      <c r="AA1841" s="10"/>
      <c r="AB1841" s="10"/>
      <c r="AC1841" s="10"/>
      <c r="AG1841" s="467"/>
      <c r="AH1841" s="6"/>
    </row>
    <row r="1842" spans="1:34">
      <c r="A1842" s="10"/>
      <c r="B1842" s="10"/>
      <c r="C1842" s="10"/>
      <c r="D1842" s="10"/>
      <c r="E1842" s="10"/>
      <c r="F1842" s="10"/>
      <c r="G1842" s="10"/>
      <c r="H1842" s="10"/>
      <c r="I1842" s="10"/>
      <c r="J1842" s="10"/>
      <c r="K1842" s="10"/>
      <c r="L1842" s="10"/>
      <c r="M1842" s="10"/>
      <c r="N1842" s="10"/>
      <c r="O1842" s="10"/>
      <c r="P1842" s="10"/>
      <c r="Q1842" s="10"/>
      <c r="R1842" s="10"/>
      <c r="S1842" s="10"/>
      <c r="T1842" s="10"/>
      <c r="U1842" s="10"/>
      <c r="V1842" s="10"/>
      <c r="W1842" s="10"/>
      <c r="X1842" s="10"/>
      <c r="Y1842" s="10"/>
      <c r="Z1842" s="10"/>
      <c r="AA1842" s="10"/>
      <c r="AB1842" s="10"/>
      <c r="AC1842" s="10"/>
      <c r="AG1842" s="467"/>
      <c r="AH1842" s="6"/>
    </row>
    <row r="1843" spans="1:34">
      <c r="A1843" s="10"/>
      <c r="B1843" s="10"/>
      <c r="C1843" s="10"/>
      <c r="D1843" s="10"/>
      <c r="E1843" s="10"/>
      <c r="F1843" s="10"/>
      <c r="G1843" s="10"/>
      <c r="H1843" s="10"/>
      <c r="I1843" s="10"/>
      <c r="J1843" s="10"/>
      <c r="K1843" s="10"/>
      <c r="L1843" s="10"/>
      <c r="M1843" s="10"/>
      <c r="N1843" s="10"/>
      <c r="O1843" s="10"/>
      <c r="P1843" s="10"/>
      <c r="Q1843" s="10"/>
      <c r="R1843" s="10"/>
      <c r="S1843" s="10"/>
      <c r="T1843" s="10"/>
      <c r="U1843" s="10"/>
      <c r="V1843" s="10"/>
      <c r="W1843" s="10"/>
      <c r="X1843" s="10"/>
      <c r="Y1843" s="10"/>
      <c r="Z1843" s="10"/>
      <c r="AA1843" s="10"/>
      <c r="AB1843" s="10"/>
      <c r="AC1843" s="10"/>
      <c r="AG1843" s="467"/>
      <c r="AH1843" s="6"/>
    </row>
    <row r="1844" spans="1:34">
      <c r="A1844" s="10"/>
      <c r="B1844" s="10"/>
      <c r="C1844" s="10"/>
      <c r="D1844" s="10"/>
      <c r="E1844" s="10"/>
      <c r="F1844" s="10"/>
      <c r="G1844" s="10"/>
      <c r="H1844" s="10"/>
      <c r="I1844" s="10"/>
      <c r="J1844" s="10"/>
      <c r="K1844" s="10"/>
      <c r="L1844" s="10"/>
      <c r="M1844" s="10"/>
      <c r="N1844" s="10"/>
      <c r="O1844" s="10"/>
      <c r="P1844" s="10"/>
      <c r="Q1844" s="10"/>
      <c r="R1844" s="10"/>
      <c r="S1844" s="10"/>
      <c r="T1844" s="10"/>
      <c r="U1844" s="10"/>
      <c r="V1844" s="10"/>
      <c r="W1844" s="10"/>
      <c r="X1844" s="10"/>
      <c r="Y1844" s="10"/>
      <c r="Z1844" s="10"/>
      <c r="AA1844" s="10"/>
      <c r="AB1844" s="10"/>
      <c r="AC1844" s="10"/>
      <c r="AG1844" s="467"/>
      <c r="AH1844" s="6"/>
    </row>
    <row r="1845" spans="1:34">
      <c r="A1845" s="10"/>
      <c r="B1845" s="10"/>
      <c r="C1845" s="10"/>
      <c r="D1845" s="10"/>
      <c r="E1845" s="10"/>
      <c r="F1845" s="10"/>
      <c r="G1845" s="10"/>
      <c r="H1845" s="10"/>
      <c r="I1845" s="10"/>
      <c r="J1845" s="10"/>
      <c r="K1845" s="10"/>
      <c r="L1845" s="10"/>
      <c r="M1845" s="10"/>
      <c r="N1845" s="10"/>
      <c r="O1845" s="10"/>
      <c r="P1845" s="10"/>
      <c r="Q1845" s="10"/>
      <c r="R1845" s="10"/>
      <c r="S1845" s="10"/>
      <c r="T1845" s="10"/>
      <c r="U1845" s="10"/>
      <c r="V1845" s="10"/>
      <c r="W1845" s="10"/>
      <c r="X1845" s="10"/>
      <c r="Y1845" s="10"/>
      <c r="Z1845" s="10"/>
      <c r="AA1845" s="10"/>
      <c r="AB1845" s="10"/>
      <c r="AC1845" s="10"/>
      <c r="AG1845" s="467"/>
      <c r="AH1845" s="6"/>
    </row>
    <row r="1846" spans="1:34">
      <c r="A1846" s="10"/>
      <c r="B1846" s="10"/>
      <c r="C1846" s="10"/>
      <c r="D1846" s="10"/>
      <c r="E1846" s="10"/>
      <c r="F1846" s="10"/>
      <c r="G1846" s="10"/>
      <c r="H1846" s="10"/>
      <c r="I1846" s="10"/>
      <c r="J1846" s="10"/>
      <c r="K1846" s="10"/>
      <c r="L1846" s="10"/>
      <c r="M1846" s="10"/>
      <c r="N1846" s="10"/>
      <c r="O1846" s="10"/>
      <c r="P1846" s="10"/>
      <c r="Q1846" s="10"/>
      <c r="R1846" s="10"/>
      <c r="S1846" s="10"/>
      <c r="T1846" s="10"/>
      <c r="U1846" s="10"/>
      <c r="V1846" s="10"/>
      <c r="W1846" s="10"/>
      <c r="X1846" s="10"/>
      <c r="Y1846" s="10"/>
      <c r="Z1846" s="10"/>
      <c r="AA1846" s="10"/>
      <c r="AB1846" s="10"/>
      <c r="AC1846" s="10"/>
      <c r="AG1846" s="467"/>
      <c r="AH1846" s="6"/>
    </row>
    <row r="1847" spans="1:34">
      <c r="A1847" s="10"/>
      <c r="B1847" s="10"/>
      <c r="C1847" s="10"/>
      <c r="D1847" s="10"/>
      <c r="E1847" s="10"/>
      <c r="F1847" s="10"/>
      <c r="G1847" s="10"/>
      <c r="H1847" s="10"/>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G1847" s="467"/>
      <c r="AH1847" s="6"/>
    </row>
    <row r="1848" spans="1:34">
      <c r="A1848" s="10"/>
      <c r="B1848" s="10"/>
      <c r="C1848" s="10"/>
      <c r="D1848" s="10"/>
      <c r="E1848" s="10"/>
      <c r="F1848" s="10"/>
      <c r="G1848" s="10"/>
      <c r="H1848" s="10"/>
      <c r="I1848" s="10"/>
      <c r="J1848" s="10"/>
      <c r="K1848" s="10"/>
      <c r="L1848" s="10"/>
      <c r="M1848" s="10"/>
      <c r="N1848" s="10"/>
      <c r="O1848" s="10"/>
      <c r="P1848" s="10"/>
      <c r="Q1848" s="10"/>
      <c r="R1848" s="10"/>
      <c r="S1848" s="10"/>
      <c r="T1848" s="10"/>
      <c r="U1848" s="10"/>
      <c r="V1848" s="10"/>
      <c r="W1848" s="10"/>
      <c r="X1848" s="10"/>
      <c r="Y1848" s="10"/>
      <c r="Z1848" s="10"/>
      <c r="AA1848" s="10"/>
      <c r="AB1848" s="10"/>
      <c r="AC1848" s="10"/>
      <c r="AG1848" s="467"/>
      <c r="AH1848" s="6"/>
    </row>
    <row r="1849" spans="1:34">
      <c r="A1849" s="10"/>
      <c r="B1849" s="10"/>
      <c r="C1849" s="10"/>
      <c r="D1849" s="10"/>
      <c r="E1849" s="10"/>
      <c r="F1849" s="10"/>
      <c r="G1849" s="10"/>
      <c r="H1849" s="10"/>
      <c r="I1849" s="10"/>
      <c r="J1849" s="10"/>
      <c r="K1849" s="10"/>
      <c r="L1849" s="10"/>
      <c r="M1849" s="10"/>
      <c r="N1849" s="10"/>
      <c r="O1849" s="10"/>
      <c r="P1849" s="10"/>
      <c r="Q1849" s="10"/>
      <c r="R1849" s="10"/>
      <c r="S1849" s="10"/>
      <c r="T1849" s="10"/>
      <c r="U1849" s="10"/>
      <c r="V1849" s="10"/>
      <c r="W1849" s="10"/>
      <c r="X1849" s="10"/>
      <c r="Y1849" s="10"/>
      <c r="Z1849" s="10"/>
      <c r="AA1849" s="10"/>
      <c r="AB1849" s="10"/>
      <c r="AC1849" s="10"/>
      <c r="AG1849" s="467"/>
      <c r="AH1849" s="6"/>
    </row>
    <row r="1850" spans="1:34">
      <c r="A1850" s="10"/>
      <c r="B1850" s="10"/>
      <c r="C1850" s="10"/>
      <c r="D1850" s="10"/>
      <c r="E1850" s="10"/>
      <c r="F1850" s="10"/>
      <c r="G1850" s="10"/>
      <c r="H1850" s="10"/>
      <c r="I1850" s="10"/>
      <c r="J1850" s="10"/>
      <c r="K1850" s="10"/>
      <c r="L1850" s="10"/>
      <c r="M1850" s="10"/>
      <c r="N1850" s="10"/>
      <c r="O1850" s="10"/>
      <c r="P1850" s="10"/>
      <c r="Q1850" s="10"/>
      <c r="R1850" s="10"/>
      <c r="S1850" s="10"/>
      <c r="T1850" s="10"/>
      <c r="U1850" s="10"/>
      <c r="V1850" s="10"/>
      <c r="W1850" s="10"/>
      <c r="X1850" s="10"/>
      <c r="Y1850" s="10"/>
      <c r="Z1850" s="10"/>
      <c r="AA1850" s="10"/>
      <c r="AB1850" s="10"/>
      <c r="AC1850" s="10"/>
      <c r="AG1850" s="467"/>
      <c r="AH1850" s="6"/>
    </row>
    <row r="1851" spans="1:34">
      <c r="A1851" s="10"/>
      <c r="B1851" s="10"/>
      <c r="C1851" s="10"/>
      <c r="D1851" s="10"/>
      <c r="E1851" s="10"/>
      <c r="F1851" s="10"/>
      <c r="G1851" s="10"/>
      <c r="H1851" s="10"/>
      <c r="I1851" s="10"/>
      <c r="J1851" s="10"/>
      <c r="K1851" s="10"/>
      <c r="L1851" s="10"/>
      <c r="M1851" s="10"/>
      <c r="N1851" s="10"/>
      <c r="O1851" s="10"/>
      <c r="P1851" s="10"/>
      <c r="Q1851" s="10"/>
      <c r="R1851" s="10"/>
      <c r="S1851" s="10"/>
      <c r="T1851" s="10"/>
      <c r="U1851" s="10"/>
      <c r="V1851" s="10"/>
      <c r="W1851" s="10"/>
      <c r="X1851" s="10"/>
      <c r="Y1851" s="10"/>
      <c r="Z1851" s="10"/>
      <c r="AA1851" s="10"/>
      <c r="AB1851" s="10"/>
      <c r="AC1851" s="10"/>
      <c r="AG1851" s="467"/>
      <c r="AH1851" s="6"/>
    </row>
    <row r="1852" spans="1:34">
      <c r="A1852" s="10"/>
      <c r="B1852" s="10"/>
      <c r="C1852" s="10"/>
      <c r="D1852" s="10"/>
      <c r="E1852" s="10"/>
      <c r="F1852" s="10"/>
      <c r="G1852" s="10"/>
      <c r="H1852" s="10"/>
      <c r="I1852" s="10"/>
      <c r="J1852" s="10"/>
      <c r="K1852" s="10"/>
      <c r="L1852" s="10"/>
      <c r="M1852" s="10"/>
      <c r="N1852" s="10"/>
      <c r="O1852" s="10"/>
      <c r="P1852" s="10"/>
      <c r="Q1852" s="10"/>
      <c r="R1852" s="10"/>
      <c r="S1852" s="10"/>
      <c r="T1852" s="10"/>
      <c r="U1852" s="10"/>
      <c r="V1852" s="10"/>
      <c r="W1852" s="10"/>
      <c r="X1852" s="10"/>
      <c r="Y1852" s="10"/>
      <c r="Z1852" s="10"/>
      <c r="AA1852" s="10"/>
      <c r="AB1852" s="10"/>
      <c r="AC1852" s="10"/>
      <c r="AG1852" s="467"/>
      <c r="AH1852" s="6"/>
    </row>
    <row r="1853" spans="1:34">
      <c r="A1853" s="10"/>
      <c r="B1853" s="10"/>
      <c r="C1853" s="10"/>
      <c r="D1853" s="10"/>
      <c r="E1853" s="10"/>
      <c r="F1853" s="10"/>
      <c r="G1853" s="10"/>
      <c r="H1853" s="10"/>
      <c r="I1853" s="10"/>
      <c r="J1853" s="10"/>
      <c r="K1853" s="10"/>
      <c r="L1853" s="10"/>
      <c r="M1853" s="10"/>
      <c r="N1853" s="10"/>
      <c r="O1853" s="10"/>
      <c r="P1853" s="10"/>
      <c r="Q1853" s="10"/>
      <c r="R1853" s="10"/>
      <c r="S1853" s="10"/>
      <c r="T1853" s="10"/>
      <c r="U1853" s="10"/>
      <c r="V1853" s="10"/>
      <c r="W1853" s="10"/>
      <c r="X1853" s="10"/>
      <c r="Y1853" s="10"/>
      <c r="Z1853" s="10"/>
      <c r="AA1853" s="10"/>
      <c r="AB1853" s="10"/>
      <c r="AC1853" s="10"/>
      <c r="AG1853" s="467"/>
      <c r="AH1853" s="6"/>
    </row>
    <row r="1854" spans="1:34">
      <c r="A1854" s="10"/>
      <c r="B1854" s="10"/>
      <c r="C1854" s="10"/>
      <c r="D1854" s="10"/>
      <c r="E1854" s="10"/>
      <c r="F1854" s="10"/>
      <c r="G1854" s="10"/>
      <c r="H1854" s="10"/>
      <c r="I1854" s="10"/>
      <c r="J1854" s="10"/>
      <c r="K1854" s="10"/>
      <c r="L1854" s="10"/>
      <c r="M1854" s="10"/>
      <c r="N1854" s="10"/>
      <c r="O1854" s="10"/>
      <c r="P1854" s="10"/>
      <c r="Q1854" s="10"/>
      <c r="R1854" s="10"/>
      <c r="S1854" s="10"/>
      <c r="T1854" s="10"/>
      <c r="U1854" s="10"/>
      <c r="V1854" s="10"/>
      <c r="W1854" s="10"/>
      <c r="X1854" s="10"/>
      <c r="Y1854" s="10"/>
      <c r="Z1854" s="10"/>
      <c r="AA1854" s="10"/>
      <c r="AB1854" s="10"/>
      <c r="AC1854" s="10"/>
      <c r="AG1854" s="467"/>
      <c r="AH1854" s="6"/>
    </row>
    <row r="1855" spans="1:34">
      <c r="A1855" s="10"/>
      <c r="B1855" s="10"/>
      <c r="C1855" s="10"/>
      <c r="D1855" s="10"/>
      <c r="E1855" s="10"/>
      <c r="F1855" s="10"/>
      <c r="G1855" s="10"/>
      <c r="H1855" s="10"/>
      <c r="I1855" s="10"/>
      <c r="J1855" s="10"/>
      <c r="K1855" s="10"/>
      <c r="L1855" s="10"/>
      <c r="M1855" s="10"/>
      <c r="N1855" s="10"/>
      <c r="O1855" s="10"/>
      <c r="P1855" s="10"/>
      <c r="Q1855" s="10"/>
      <c r="R1855" s="10"/>
      <c r="S1855" s="10"/>
      <c r="T1855" s="10"/>
      <c r="U1855" s="10"/>
      <c r="V1855" s="10"/>
      <c r="W1855" s="10"/>
      <c r="X1855" s="10"/>
      <c r="Y1855" s="10"/>
      <c r="Z1855" s="10"/>
      <c r="AA1855" s="10"/>
      <c r="AB1855" s="10"/>
      <c r="AC1855" s="10"/>
      <c r="AG1855" s="467"/>
      <c r="AH1855" s="6"/>
    </row>
    <row r="1856" spans="1:34">
      <c r="A1856" s="10"/>
      <c r="B1856" s="10"/>
      <c r="C1856" s="10"/>
      <c r="D1856" s="10"/>
      <c r="E1856" s="10"/>
      <c r="F1856" s="10"/>
      <c r="G1856" s="10"/>
      <c r="H1856" s="10"/>
      <c r="I1856" s="10"/>
      <c r="J1856" s="10"/>
      <c r="K1856" s="10"/>
      <c r="L1856" s="10"/>
      <c r="M1856" s="10"/>
      <c r="N1856" s="10"/>
      <c r="O1856" s="10"/>
      <c r="P1856" s="10"/>
      <c r="Q1856" s="10"/>
      <c r="R1856" s="10"/>
      <c r="S1856" s="10"/>
      <c r="T1856" s="10"/>
      <c r="U1856" s="10"/>
      <c r="V1856" s="10"/>
      <c r="W1856" s="10"/>
      <c r="X1856" s="10"/>
      <c r="Y1856" s="10"/>
      <c r="Z1856" s="10"/>
      <c r="AA1856" s="10"/>
      <c r="AB1856" s="10"/>
      <c r="AC1856" s="10"/>
      <c r="AG1856" s="467"/>
      <c r="AH1856" s="6"/>
    </row>
    <row r="1857" spans="1:34">
      <c r="A1857" s="10"/>
      <c r="B1857" s="10"/>
      <c r="C1857" s="10"/>
      <c r="D1857" s="10"/>
      <c r="E1857" s="10"/>
      <c r="F1857" s="10"/>
      <c r="G1857" s="10"/>
      <c r="H1857" s="10"/>
      <c r="I1857" s="10"/>
      <c r="J1857" s="10"/>
      <c r="K1857" s="10"/>
      <c r="L1857" s="10"/>
      <c r="M1857" s="10"/>
      <c r="N1857" s="10"/>
      <c r="O1857" s="10"/>
      <c r="P1857" s="10"/>
      <c r="Q1857" s="10"/>
      <c r="R1857" s="10"/>
      <c r="S1857" s="10"/>
      <c r="T1857" s="10"/>
      <c r="U1857" s="10"/>
      <c r="V1857" s="10"/>
      <c r="W1857" s="10"/>
      <c r="X1857" s="10"/>
      <c r="Y1857" s="10"/>
      <c r="Z1857" s="10"/>
      <c r="AA1857" s="10"/>
      <c r="AB1857" s="10"/>
      <c r="AC1857" s="10"/>
      <c r="AG1857" s="467"/>
      <c r="AH1857" s="6"/>
    </row>
    <row r="1858" spans="1:34">
      <c r="A1858" s="10"/>
      <c r="B1858" s="10"/>
      <c r="C1858" s="10"/>
      <c r="D1858" s="10"/>
      <c r="E1858" s="10"/>
      <c r="F1858" s="10"/>
      <c r="G1858" s="10"/>
      <c r="H1858" s="10"/>
      <c r="I1858" s="10"/>
      <c r="J1858" s="10"/>
      <c r="K1858" s="10"/>
      <c r="L1858" s="10"/>
      <c r="M1858" s="10"/>
      <c r="N1858" s="10"/>
      <c r="O1858" s="10"/>
      <c r="P1858" s="10"/>
      <c r="Q1858" s="10"/>
      <c r="R1858" s="10"/>
      <c r="S1858" s="10"/>
      <c r="T1858" s="10"/>
      <c r="U1858" s="10"/>
      <c r="V1858" s="10"/>
      <c r="W1858" s="10"/>
      <c r="X1858" s="10"/>
      <c r="Y1858" s="10"/>
      <c r="Z1858" s="10"/>
      <c r="AA1858" s="10"/>
      <c r="AB1858" s="10"/>
      <c r="AC1858" s="10"/>
      <c r="AG1858" s="467"/>
      <c r="AH1858" s="6"/>
    </row>
    <row r="1859" spans="1:34">
      <c r="A1859" s="10"/>
      <c r="B1859" s="10"/>
      <c r="C1859" s="10"/>
      <c r="D1859" s="10"/>
      <c r="E1859" s="10"/>
      <c r="F1859" s="10"/>
      <c r="G1859" s="10"/>
      <c r="H1859" s="10"/>
      <c r="I1859" s="10"/>
      <c r="J1859" s="10"/>
      <c r="K1859" s="10"/>
      <c r="L1859" s="10"/>
      <c r="M1859" s="10"/>
      <c r="N1859" s="10"/>
      <c r="O1859" s="10"/>
      <c r="P1859" s="10"/>
      <c r="Q1859" s="10"/>
      <c r="R1859" s="10"/>
      <c r="S1859" s="10"/>
      <c r="T1859" s="10"/>
      <c r="U1859" s="10"/>
      <c r="V1859" s="10"/>
      <c r="W1859" s="10"/>
      <c r="X1859" s="10"/>
      <c r="Y1859" s="10"/>
      <c r="Z1859" s="10"/>
      <c r="AA1859" s="10"/>
      <c r="AB1859" s="10"/>
      <c r="AC1859" s="10"/>
      <c r="AG1859" s="467"/>
      <c r="AH1859" s="6"/>
    </row>
    <row r="1860" spans="1:34">
      <c r="A1860" s="10"/>
      <c r="B1860" s="10"/>
      <c r="C1860" s="10"/>
      <c r="D1860" s="10"/>
      <c r="E1860" s="10"/>
      <c r="F1860" s="10"/>
      <c r="G1860" s="10"/>
      <c r="H1860" s="10"/>
      <c r="I1860" s="10"/>
      <c r="J1860" s="10"/>
      <c r="K1860" s="10"/>
      <c r="L1860" s="10"/>
      <c r="M1860" s="10"/>
      <c r="N1860" s="10"/>
      <c r="O1860" s="10"/>
      <c r="P1860" s="10"/>
      <c r="Q1860" s="10"/>
      <c r="R1860" s="10"/>
      <c r="S1860" s="10"/>
      <c r="T1860" s="10"/>
      <c r="U1860" s="10"/>
      <c r="V1860" s="10"/>
      <c r="W1860" s="10"/>
      <c r="X1860" s="10"/>
      <c r="Y1860" s="10"/>
      <c r="Z1860" s="10"/>
      <c r="AA1860" s="10"/>
      <c r="AB1860" s="10"/>
      <c r="AC1860" s="10"/>
      <c r="AG1860" s="467"/>
      <c r="AH1860" s="6"/>
    </row>
    <row r="1861" spans="1:34">
      <c r="A1861" s="10"/>
      <c r="B1861" s="10"/>
      <c r="C1861" s="10"/>
      <c r="D1861" s="10"/>
      <c r="E1861" s="10"/>
      <c r="F1861" s="10"/>
      <c r="G1861" s="10"/>
      <c r="H1861" s="10"/>
      <c r="I1861" s="10"/>
      <c r="J1861" s="10"/>
      <c r="K1861" s="10"/>
      <c r="L1861" s="10"/>
      <c r="M1861" s="10"/>
      <c r="N1861" s="10"/>
      <c r="O1861" s="10"/>
      <c r="P1861" s="10"/>
      <c r="Q1861" s="10"/>
      <c r="R1861" s="10"/>
      <c r="S1861" s="10"/>
      <c r="T1861" s="10"/>
      <c r="U1861" s="10"/>
      <c r="V1861" s="10"/>
      <c r="W1861" s="10"/>
      <c r="X1861" s="10"/>
      <c r="Y1861" s="10"/>
      <c r="Z1861" s="10"/>
      <c r="AA1861" s="10"/>
      <c r="AB1861" s="10"/>
      <c r="AC1861" s="10"/>
      <c r="AG1861" s="467"/>
      <c r="AH1861" s="6"/>
    </row>
    <row r="1862" spans="1:34">
      <c r="A1862" s="10"/>
      <c r="B1862" s="10"/>
      <c r="C1862" s="10"/>
      <c r="D1862" s="10"/>
      <c r="E1862" s="10"/>
      <c r="F1862" s="10"/>
      <c r="G1862" s="10"/>
      <c r="H1862" s="10"/>
      <c r="I1862" s="10"/>
      <c r="J1862" s="10"/>
      <c r="K1862" s="10"/>
      <c r="L1862" s="10"/>
      <c r="M1862" s="10"/>
      <c r="N1862" s="10"/>
      <c r="O1862" s="10"/>
      <c r="P1862" s="10"/>
      <c r="Q1862" s="10"/>
      <c r="R1862" s="10"/>
      <c r="S1862" s="10"/>
      <c r="T1862" s="10"/>
      <c r="U1862" s="10"/>
      <c r="V1862" s="10"/>
      <c r="W1862" s="10"/>
      <c r="X1862" s="10"/>
      <c r="Y1862" s="10"/>
      <c r="Z1862" s="10"/>
      <c r="AA1862" s="10"/>
      <c r="AB1862" s="10"/>
      <c r="AC1862" s="10"/>
      <c r="AG1862" s="467"/>
      <c r="AH1862" s="6"/>
    </row>
    <row r="1863" spans="1:34">
      <c r="A1863" s="10"/>
      <c r="B1863" s="10"/>
      <c r="C1863" s="10"/>
      <c r="D1863" s="10"/>
      <c r="E1863" s="10"/>
      <c r="F1863" s="10"/>
      <c r="G1863" s="10"/>
      <c r="H1863" s="10"/>
      <c r="I1863" s="10"/>
      <c r="J1863" s="10"/>
      <c r="K1863" s="10"/>
      <c r="L1863" s="10"/>
      <c r="M1863" s="10"/>
      <c r="N1863" s="10"/>
      <c r="O1863" s="10"/>
      <c r="P1863" s="10"/>
      <c r="Q1863" s="10"/>
      <c r="R1863" s="10"/>
      <c r="S1863" s="10"/>
      <c r="T1863" s="10"/>
      <c r="U1863" s="10"/>
      <c r="V1863" s="10"/>
      <c r="W1863" s="10"/>
      <c r="X1863" s="10"/>
      <c r="Y1863" s="10"/>
      <c r="Z1863" s="10"/>
      <c r="AA1863" s="10"/>
      <c r="AB1863" s="10"/>
      <c r="AC1863" s="10"/>
      <c r="AG1863" s="467"/>
      <c r="AH1863" s="6"/>
    </row>
    <row r="1864" spans="1:34">
      <c r="A1864" s="10"/>
      <c r="B1864" s="10"/>
      <c r="C1864" s="10"/>
      <c r="D1864" s="10"/>
      <c r="E1864" s="10"/>
      <c r="F1864" s="10"/>
      <c r="G1864" s="10"/>
      <c r="H1864" s="10"/>
      <c r="I1864" s="10"/>
      <c r="J1864" s="10"/>
      <c r="K1864" s="10"/>
      <c r="L1864" s="10"/>
      <c r="M1864" s="10"/>
      <c r="N1864" s="10"/>
      <c r="O1864" s="10"/>
      <c r="P1864" s="10"/>
      <c r="Q1864" s="10"/>
      <c r="R1864" s="10"/>
      <c r="S1864" s="10"/>
      <c r="T1864" s="10"/>
      <c r="U1864" s="10"/>
      <c r="V1864" s="10"/>
      <c r="W1864" s="10"/>
      <c r="X1864" s="10"/>
      <c r="Y1864" s="10"/>
      <c r="Z1864" s="10"/>
      <c r="AA1864" s="10"/>
      <c r="AB1864" s="10"/>
      <c r="AC1864" s="10"/>
      <c r="AG1864" s="467"/>
      <c r="AH1864" s="6"/>
    </row>
    <row r="1865" spans="1:34">
      <c r="A1865" s="10"/>
      <c r="B1865" s="10"/>
      <c r="C1865" s="10"/>
      <c r="D1865" s="10"/>
      <c r="E1865" s="10"/>
      <c r="F1865" s="10"/>
      <c r="G1865" s="10"/>
      <c r="H1865" s="10"/>
      <c r="I1865" s="10"/>
      <c r="J1865" s="10"/>
      <c r="K1865" s="10"/>
      <c r="L1865" s="10"/>
      <c r="M1865" s="10"/>
      <c r="N1865" s="10"/>
      <c r="O1865" s="10"/>
      <c r="P1865" s="10"/>
      <c r="Q1865" s="10"/>
      <c r="R1865" s="10"/>
      <c r="S1865" s="10"/>
      <c r="T1865" s="10"/>
      <c r="U1865" s="10"/>
      <c r="V1865" s="10"/>
      <c r="W1865" s="10"/>
      <c r="X1865" s="10"/>
      <c r="Y1865" s="10"/>
      <c r="Z1865" s="10"/>
      <c r="AA1865" s="10"/>
      <c r="AB1865" s="10"/>
      <c r="AC1865" s="10"/>
      <c r="AG1865" s="467"/>
      <c r="AH1865" s="6"/>
    </row>
    <row r="1866" spans="1:34">
      <c r="A1866" s="10"/>
      <c r="B1866" s="10"/>
      <c r="C1866" s="10"/>
      <c r="D1866" s="10"/>
      <c r="E1866" s="10"/>
      <c r="F1866" s="10"/>
      <c r="G1866" s="10"/>
      <c r="H1866" s="10"/>
      <c r="I1866" s="10"/>
      <c r="J1866" s="10"/>
      <c r="K1866" s="10"/>
      <c r="L1866" s="10"/>
      <c r="M1866" s="10"/>
      <c r="N1866" s="10"/>
      <c r="O1866" s="10"/>
      <c r="P1866" s="10"/>
      <c r="Q1866" s="10"/>
      <c r="R1866" s="10"/>
      <c r="S1866" s="10"/>
      <c r="T1866" s="10"/>
      <c r="U1866" s="10"/>
      <c r="V1866" s="10"/>
      <c r="W1866" s="10"/>
      <c r="X1866" s="10"/>
      <c r="Y1866" s="10"/>
      <c r="Z1866" s="10"/>
      <c r="AA1866" s="10"/>
      <c r="AB1866" s="10"/>
      <c r="AC1866" s="10"/>
      <c r="AG1866" s="467"/>
      <c r="AH1866" s="6"/>
    </row>
    <row r="1867" spans="1:34">
      <c r="A1867" s="10"/>
      <c r="B1867" s="10"/>
      <c r="C1867" s="10"/>
      <c r="D1867" s="10"/>
      <c r="E1867" s="10"/>
      <c r="F1867" s="10"/>
      <c r="G1867" s="10"/>
      <c r="H1867" s="10"/>
      <c r="I1867" s="10"/>
      <c r="J1867" s="10"/>
      <c r="K1867" s="10"/>
      <c r="L1867" s="10"/>
      <c r="M1867" s="10"/>
      <c r="N1867" s="10"/>
      <c r="O1867" s="10"/>
      <c r="P1867" s="10"/>
      <c r="Q1867" s="10"/>
      <c r="R1867" s="10"/>
      <c r="S1867" s="10"/>
      <c r="T1867" s="10"/>
      <c r="U1867" s="10"/>
      <c r="V1867" s="10"/>
      <c r="W1867" s="10"/>
      <c r="X1867" s="10"/>
      <c r="Y1867" s="10"/>
      <c r="Z1867" s="10"/>
      <c r="AA1867" s="10"/>
      <c r="AB1867" s="10"/>
      <c r="AC1867" s="10"/>
      <c r="AG1867" s="467"/>
      <c r="AH1867" s="6"/>
    </row>
    <row r="1868" spans="1:34">
      <c r="A1868" s="10"/>
      <c r="B1868" s="10"/>
      <c r="C1868" s="10"/>
      <c r="D1868" s="10"/>
      <c r="E1868" s="10"/>
      <c r="F1868" s="10"/>
      <c r="G1868" s="10"/>
      <c r="H1868" s="10"/>
      <c r="I1868" s="10"/>
      <c r="J1868" s="10"/>
      <c r="K1868" s="10"/>
      <c r="L1868" s="10"/>
      <c r="M1868" s="10"/>
      <c r="N1868" s="10"/>
      <c r="O1868" s="10"/>
      <c r="P1868" s="10"/>
      <c r="Q1868" s="10"/>
      <c r="R1868" s="10"/>
      <c r="S1868" s="10"/>
      <c r="T1868" s="10"/>
      <c r="U1868" s="10"/>
      <c r="V1868" s="10"/>
      <c r="W1868" s="10"/>
      <c r="X1868" s="10"/>
      <c r="Y1868" s="10"/>
      <c r="Z1868" s="10"/>
      <c r="AA1868" s="10"/>
      <c r="AB1868" s="10"/>
      <c r="AC1868" s="10"/>
      <c r="AG1868" s="467"/>
      <c r="AH1868" s="6"/>
    </row>
    <row r="1869" spans="1:34">
      <c r="A1869" s="10"/>
      <c r="B1869" s="10"/>
      <c r="C1869" s="10"/>
      <c r="D1869" s="10"/>
      <c r="E1869" s="10"/>
      <c r="F1869" s="10"/>
      <c r="G1869" s="10"/>
      <c r="H1869" s="10"/>
      <c r="I1869" s="10"/>
      <c r="J1869" s="10"/>
      <c r="K1869" s="10"/>
      <c r="L1869" s="10"/>
      <c r="M1869" s="10"/>
      <c r="N1869" s="10"/>
      <c r="O1869" s="10"/>
      <c r="P1869" s="10"/>
      <c r="Q1869" s="10"/>
      <c r="R1869" s="10"/>
      <c r="S1869" s="10"/>
      <c r="T1869" s="10"/>
      <c r="U1869" s="10"/>
      <c r="V1869" s="10"/>
      <c r="W1869" s="10"/>
      <c r="X1869" s="10"/>
      <c r="Y1869" s="10"/>
      <c r="Z1869" s="10"/>
      <c r="AA1869" s="10"/>
      <c r="AB1869" s="10"/>
      <c r="AC1869" s="10"/>
      <c r="AG1869" s="467"/>
      <c r="AH1869" s="6"/>
    </row>
    <row r="1870" spans="1:34">
      <c r="A1870" s="10"/>
      <c r="B1870" s="10"/>
      <c r="C1870" s="10"/>
      <c r="D1870" s="10"/>
      <c r="E1870" s="10"/>
      <c r="F1870" s="10"/>
      <c r="G1870" s="10"/>
      <c r="H1870" s="10"/>
      <c r="I1870" s="10"/>
      <c r="J1870" s="10"/>
      <c r="K1870" s="10"/>
      <c r="L1870" s="10"/>
      <c r="M1870" s="10"/>
      <c r="N1870" s="10"/>
      <c r="O1870" s="10"/>
      <c r="P1870" s="10"/>
      <c r="Q1870" s="10"/>
      <c r="R1870" s="10"/>
      <c r="S1870" s="10"/>
      <c r="T1870" s="10"/>
      <c r="U1870" s="10"/>
      <c r="V1870" s="10"/>
      <c r="W1870" s="10"/>
      <c r="X1870" s="10"/>
      <c r="Y1870" s="10"/>
      <c r="Z1870" s="10"/>
      <c r="AA1870" s="10"/>
      <c r="AB1870" s="10"/>
      <c r="AC1870" s="10"/>
      <c r="AG1870" s="467"/>
      <c r="AH1870" s="6"/>
    </row>
    <row r="1871" spans="1:34">
      <c r="A1871" s="10"/>
      <c r="B1871" s="10"/>
      <c r="C1871" s="10"/>
      <c r="D1871" s="10"/>
      <c r="E1871" s="10"/>
      <c r="F1871" s="10"/>
      <c r="G1871" s="10"/>
      <c r="H1871" s="10"/>
      <c r="I1871" s="10"/>
      <c r="J1871" s="10"/>
      <c r="K1871" s="10"/>
      <c r="L1871" s="10"/>
      <c r="M1871" s="10"/>
      <c r="N1871" s="10"/>
      <c r="O1871" s="10"/>
      <c r="P1871" s="10"/>
      <c r="Q1871" s="10"/>
      <c r="R1871" s="10"/>
      <c r="S1871" s="10"/>
      <c r="T1871" s="10"/>
      <c r="U1871" s="10"/>
      <c r="V1871" s="10"/>
      <c r="W1871" s="10"/>
      <c r="X1871" s="10"/>
      <c r="Y1871" s="10"/>
      <c r="Z1871" s="10"/>
      <c r="AA1871" s="10"/>
      <c r="AB1871" s="10"/>
      <c r="AC1871" s="10"/>
      <c r="AG1871" s="467"/>
      <c r="AH1871" s="6"/>
    </row>
    <row r="1872" spans="1:34">
      <c r="A1872" s="10"/>
      <c r="B1872" s="10"/>
      <c r="C1872" s="10"/>
      <c r="D1872" s="10"/>
      <c r="E1872" s="10"/>
      <c r="F1872" s="10"/>
      <c r="G1872" s="10"/>
      <c r="H1872" s="10"/>
      <c r="I1872" s="10"/>
      <c r="J1872" s="10"/>
      <c r="K1872" s="10"/>
      <c r="L1872" s="10"/>
      <c r="M1872" s="10"/>
      <c r="N1872" s="10"/>
      <c r="O1872" s="10"/>
      <c r="P1872" s="10"/>
      <c r="Q1872" s="10"/>
      <c r="R1872" s="10"/>
      <c r="S1872" s="10"/>
      <c r="T1872" s="10"/>
      <c r="U1872" s="10"/>
      <c r="V1872" s="10"/>
      <c r="W1872" s="10"/>
      <c r="X1872" s="10"/>
      <c r="Y1872" s="10"/>
      <c r="Z1872" s="10"/>
      <c r="AA1872" s="10"/>
      <c r="AB1872" s="10"/>
      <c r="AC1872" s="10"/>
      <c r="AG1872" s="467"/>
      <c r="AH1872" s="6"/>
    </row>
    <row r="1873" spans="1:34">
      <c r="A1873" s="10"/>
      <c r="B1873" s="10"/>
      <c r="C1873" s="10"/>
      <c r="D1873" s="10"/>
      <c r="E1873" s="10"/>
      <c r="F1873" s="10"/>
      <c r="G1873" s="10"/>
      <c r="H1873" s="10"/>
      <c r="I1873" s="10"/>
      <c r="J1873" s="10"/>
      <c r="K1873" s="10"/>
      <c r="L1873" s="10"/>
      <c r="M1873" s="10"/>
      <c r="N1873" s="10"/>
      <c r="O1873" s="10"/>
      <c r="P1873" s="10"/>
      <c r="Q1873" s="10"/>
      <c r="R1873" s="10"/>
      <c r="S1873" s="10"/>
      <c r="T1873" s="10"/>
      <c r="U1873" s="10"/>
      <c r="V1873" s="10"/>
      <c r="W1873" s="10"/>
      <c r="X1873" s="10"/>
      <c r="Y1873" s="10"/>
      <c r="Z1873" s="10"/>
      <c r="AA1873" s="10"/>
      <c r="AB1873" s="10"/>
      <c r="AC1873" s="10"/>
      <c r="AG1873" s="467"/>
      <c r="AH1873" s="6"/>
    </row>
    <row r="1874" spans="1:34">
      <c r="A1874" s="10"/>
      <c r="B1874" s="10"/>
      <c r="C1874" s="10"/>
      <c r="D1874" s="10"/>
      <c r="E1874" s="10"/>
      <c r="F1874" s="10"/>
      <c r="G1874" s="10"/>
      <c r="H1874" s="10"/>
      <c r="I1874" s="10"/>
      <c r="J1874" s="10"/>
      <c r="K1874" s="10"/>
      <c r="L1874" s="10"/>
      <c r="M1874" s="10"/>
      <c r="N1874" s="10"/>
      <c r="O1874" s="10"/>
      <c r="P1874" s="10"/>
      <c r="Q1874" s="10"/>
      <c r="R1874" s="10"/>
      <c r="S1874" s="10"/>
      <c r="T1874" s="10"/>
      <c r="U1874" s="10"/>
      <c r="V1874" s="10"/>
      <c r="W1874" s="10"/>
      <c r="X1874" s="10"/>
      <c r="Y1874" s="10"/>
      <c r="Z1874" s="10"/>
      <c r="AA1874" s="10"/>
      <c r="AB1874" s="10"/>
      <c r="AC1874" s="10"/>
      <c r="AG1874" s="467"/>
      <c r="AH1874" s="6"/>
    </row>
    <row r="1875" spans="1:34">
      <c r="A1875" s="10"/>
      <c r="B1875" s="10"/>
      <c r="C1875" s="10"/>
      <c r="D1875" s="10"/>
      <c r="E1875" s="10"/>
      <c r="F1875" s="10"/>
      <c r="G1875" s="10"/>
      <c r="H1875" s="10"/>
      <c r="I1875" s="10"/>
      <c r="J1875" s="10"/>
      <c r="K1875" s="10"/>
      <c r="L1875" s="10"/>
      <c r="M1875" s="10"/>
      <c r="N1875" s="10"/>
      <c r="O1875" s="10"/>
      <c r="P1875" s="10"/>
      <c r="Q1875" s="10"/>
      <c r="R1875" s="10"/>
      <c r="S1875" s="10"/>
      <c r="T1875" s="10"/>
      <c r="U1875" s="10"/>
      <c r="V1875" s="10"/>
      <c r="W1875" s="10"/>
      <c r="X1875" s="10"/>
      <c r="Y1875" s="10"/>
      <c r="Z1875" s="10"/>
      <c r="AA1875" s="10"/>
      <c r="AB1875" s="10"/>
      <c r="AC1875" s="10"/>
      <c r="AG1875" s="467"/>
      <c r="AH1875" s="6"/>
    </row>
    <row r="1876" spans="1:34">
      <c r="A1876" s="10"/>
      <c r="B1876" s="10"/>
      <c r="C1876" s="10"/>
      <c r="D1876" s="10"/>
      <c r="E1876" s="10"/>
      <c r="F1876" s="10"/>
      <c r="G1876" s="10"/>
      <c r="H1876" s="10"/>
      <c r="I1876" s="10"/>
      <c r="J1876" s="10"/>
      <c r="K1876" s="10"/>
      <c r="L1876" s="10"/>
      <c r="M1876" s="10"/>
      <c r="N1876" s="10"/>
      <c r="O1876" s="10"/>
      <c r="P1876" s="10"/>
      <c r="Q1876" s="10"/>
      <c r="R1876" s="10"/>
      <c r="S1876" s="10"/>
      <c r="T1876" s="10"/>
      <c r="U1876" s="10"/>
      <c r="V1876" s="10"/>
      <c r="W1876" s="10"/>
      <c r="X1876" s="10"/>
      <c r="Y1876" s="10"/>
      <c r="Z1876" s="10"/>
      <c r="AA1876" s="10"/>
      <c r="AB1876" s="10"/>
      <c r="AC1876" s="10"/>
      <c r="AG1876" s="467"/>
      <c r="AH1876" s="6"/>
    </row>
    <row r="1877" spans="1:34">
      <c r="A1877" s="10"/>
      <c r="B1877" s="10"/>
      <c r="C1877" s="10"/>
      <c r="D1877" s="10"/>
      <c r="E1877" s="10"/>
      <c r="F1877" s="10"/>
      <c r="G1877" s="10"/>
      <c r="H1877" s="10"/>
      <c r="I1877" s="10"/>
      <c r="J1877" s="10"/>
      <c r="K1877" s="10"/>
      <c r="L1877" s="10"/>
      <c r="M1877" s="10"/>
      <c r="N1877" s="10"/>
      <c r="O1877" s="10"/>
      <c r="P1877" s="10"/>
      <c r="Q1877" s="10"/>
      <c r="R1877" s="10"/>
      <c r="S1877" s="10"/>
      <c r="T1877" s="10"/>
      <c r="U1877" s="10"/>
      <c r="V1877" s="10"/>
      <c r="W1877" s="10"/>
      <c r="X1877" s="10"/>
      <c r="Y1877" s="10"/>
      <c r="Z1877" s="10"/>
      <c r="AA1877" s="10"/>
      <c r="AB1877" s="10"/>
      <c r="AC1877" s="10"/>
      <c r="AG1877" s="467"/>
      <c r="AH1877" s="6"/>
    </row>
    <row r="1878" spans="1:34">
      <c r="A1878" s="10"/>
      <c r="B1878" s="10"/>
      <c r="C1878" s="10"/>
      <c r="D1878" s="10"/>
      <c r="E1878" s="10"/>
      <c r="F1878" s="10"/>
      <c r="G1878" s="10"/>
      <c r="H1878" s="10"/>
      <c r="I1878" s="10"/>
      <c r="J1878" s="10"/>
      <c r="K1878" s="10"/>
      <c r="L1878" s="10"/>
      <c r="M1878" s="10"/>
      <c r="N1878" s="10"/>
      <c r="O1878" s="10"/>
      <c r="P1878" s="10"/>
      <c r="Q1878" s="10"/>
      <c r="R1878" s="10"/>
      <c r="S1878" s="10"/>
      <c r="T1878" s="10"/>
      <c r="U1878" s="10"/>
      <c r="V1878" s="10"/>
      <c r="W1878" s="10"/>
      <c r="X1878" s="10"/>
      <c r="Y1878" s="10"/>
      <c r="Z1878" s="10"/>
      <c r="AA1878" s="10"/>
      <c r="AB1878" s="10"/>
      <c r="AC1878" s="10"/>
      <c r="AG1878" s="467"/>
      <c r="AH1878" s="6"/>
    </row>
    <row r="1879" spans="1:34">
      <c r="A1879" s="10"/>
      <c r="B1879" s="10"/>
      <c r="C1879" s="10"/>
      <c r="D1879" s="10"/>
      <c r="E1879" s="10"/>
      <c r="F1879" s="10"/>
      <c r="G1879" s="10"/>
      <c r="H1879" s="10"/>
      <c r="I1879" s="10"/>
      <c r="J1879" s="10"/>
      <c r="K1879" s="10"/>
      <c r="L1879" s="10"/>
      <c r="M1879" s="10"/>
      <c r="N1879" s="10"/>
      <c r="O1879" s="10"/>
      <c r="P1879" s="10"/>
      <c r="Q1879" s="10"/>
      <c r="R1879" s="10"/>
      <c r="S1879" s="10"/>
      <c r="T1879" s="10"/>
      <c r="U1879" s="10"/>
      <c r="V1879" s="10"/>
      <c r="W1879" s="10"/>
      <c r="X1879" s="10"/>
      <c r="Y1879" s="10"/>
      <c r="Z1879" s="10"/>
      <c r="AA1879" s="10"/>
      <c r="AB1879" s="10"/>
      <c r="AC1879" s="10"/>
      <c r="AG1879" s="467"/>
      <c r="AH1879" s="6"/>
    </row>
    <row r="1880" spans="1:34">
      <c r="A1880" s="10"/>
      <c r="B1880" s="10"/>
      <c r="C1880" s="10"/>
      <c r="D1880" s="10"/>
      <c r="E1880" s="10"/>
      <c r="F1880" s="10"/>
      <c r="G1880" s="10"/>
      <c r="H1880" s="10"/>
      <c r="I1880" s="10"/>
      <c r="J1880" s="10"/>
      <c r="K1880" s="10"/>
      <c r="L1880" s="10"/>
      <c r="M1880" s="10"/>
      <c r="N1880" s="10"/>
      <c r="O1880" s="10"/>
      <c r="P1880" s="10"/>
      <c r="Q1880" s="10"/>
      <c r="R1880" s="10"/>
      <c r="S1880" s="10"/>
      <c r="T1880" s="10"/>
      <c r="U1880" s="10"/>
      <c r="V1880" s="10"/>
      <c r="W1880" s="10"/>
      <c r="X1880" s="10"/>
      <c r="Y1880" s="10"/>
      <c r="Z1880" s="10"/>
      <c r="AA1880" s="10"/>
      <c r="AB1880" s="10"/>
      <c r="AC1880" s="10"/>
      <c r="AG1880" s="467"/>
      <c r="AH1880" s="6"/>
    </row>
    <row r="1881" spans="1:34">
      <c r="A1881" s="10"/>
      <c r="B1881" s="10"/>
      <c r="C1881" s="10"/>
      <c r="D1881" s="10"/>
      <c r="E1881" s="10"/>
      <c r="F1881" s="10"/>
      <c r="G1881" s="10"/>
      <c r="H1881" s="10"/>
      <c r="I1881" s="10"/>
      <c r="J1881" s="10"/>
      <c r="K1881" s="10"/>
      <c r="L1881" s="10"/>
      <c r="M1881" s="10"/>
      <c r="N1881" s="10"/>
      <c r="O1881" s="10"/>
      <c r="P1881" s="10"/>
      <c r="Q1881" s="10"/>
      <c r="R1881" s="10"/>
      <c r="S1881" s="10"/>
      <c r="T1881" s="10"/>
      <c r="U1881" s="10"/>
      <c r="V1881" s="10"/>
      <c r="W1881" s="10"/>
      <c r="X1881" s="10"/>
      <c r="Y1881" s="10"/>
      <c r="Z1881" s="10"/>
      <c r="AA1881" s="10"/>
      <c r="AB1881" s="10"/>
      <c r="AC1881" s="10"/>
      <c r="AG1881" s="467"/>
      <c r="AH1881" s="6"/>
    </row>
    <row r="1882" spans="1:34">
      <c r="A1882" s="10"/>
      <c r="B1882" s="10"/>
      <c r="C1882" s="10"/>
      <c r="D1882" s="10"/>
      <c r="E1882" s="10"/>
      <c r="F1882" s="10"/>
      <c r="G1882" s="10"/>
      <c r="H1882" s="10"/>
      <c r="I1882" s="10"/>
      <c r="J1882" s="10"/>
      <c r="K1882" s="10"/>
      <c r="L1882" s="10"/>
      <c r="M1882" s="10"/>
      <c r="N1882" s="10"/>
      <c r="O1882" s="10"/>
      <c r="P1882" s="10"/>
      <c r="Q1882" s="10"/>
      <c r="R1882" s="10"/>
      <c r="S1882" s="10"/>
      <c r="T1882" s="10"/>
      <c r="U1882" s="10"/>
      <c r="V1882" s="10"/>
      <c r="W1882" s="10"/>
      <c r="X1882" s="10"/>
      <c r="Y1882" s="10"/>
      <c r="Z1882" s="10"/>
      <c r="AA1882" s="10"/>
      <c r="AB1882" s="10"/>
      <c r="AC1882" s="10"/>
      <c r="AG1882" s="467"/>
      <c r="AH1882" s="6"/>
    </row>
    <row r="1883" spans="1:34">
      <c r="A1883" s="10"/>
      <c r="B1883" s="10"/>
      <c r="C1883" s="10"/>
      <c r="D1883" s="10"/>
      <c r="E1883" s="10"/>
      <c r="F1883" s="10"/>
      <c r="G1883" s="10"/>
      <c r="H1883" s="10"/>
      <c r="I1883" s="10"/>
      <c r="J1883" s="10"/>
      <c r="K1883" s="10"/>
      <c r="L1883" s="10"/>
      <c r="M1883" s="10"/>
      <c r="N1883" s="10"/>
      <c r="O1883" s="10"/>
      <c r="P1883" s="10"/>
      <c r="Q1883" s="10"/>
      <c r="R1883" s="10"/>
      <c r="S1883" s="10"/>
      <c r="T1883" s="10"/>
      <c r="U1883" s="10"/>
      <c r="V1883" s="10"/>
      <c r="W1883" s="10"/>
      <c r="X1883" s="10"/>
      <c r="Y1883" s="10"/>
      <c r="Z1883" s="10"/>
      <c r="AA1883" s="10"/>
      <c r="AB1883" s="10"/>
      <c r="AC1883" s="10"/>
      <c r="AG1883" s="467"/>
      <c r="AH1883" s="6"/>
    </row>
    <row r="1884" spans="1:34">
      <c r="A1884" s="10"/>
      <c r="B1884" s="10"/>
      <c r="C1884" s="10"/>
      <c r="D1884" s="10"/>
      <c r="E1884" s="10"/>
      <c r="F1884" s="10"/>
      <c r="G1884" s="10"/>
      <c r="H1884" s="10"/>
      <c r="I1884" s="10"/>
      <c r="J1884" s="10"/>
      <c r="K1884" s="10"/>
      <c r="L1884" s="10"/>
      <c r="M1884" s="10"/>
      <c r="N1884" s="10"/>
      <c r="O1884" s="10"/>
      <c r="P1884" s="10"/>
      <c r="Q1884" s="10"/>
      <c r="R1884" s="10"/>
      <c r="S1884" s="10"/>
      <c r="T1884" s="10"/>
      <c r="U1884" s="10"/>
      <c r="V1884" s="10"/>
      <c r="W1884" s="10"/>
      <c r="X1884" s="10"/>
      <c r="Y1884" s="10"/>
      <c r="Z1884" s="10"/>
      <c r="AA1884" s="10"/>
      <c r="AB1884" s="10"/>
      <c r="AC1884" s="10"/>
      <c r="AG1884" s="467"/>
      <c r="AH1884" s="6"/>
    </row>
    <row r="1885" spans="1:34">
      <c r="A1885" s="10"/>
      <c r="B1885" s="10"/>
      <c r="C1885" s="10"/>
      <c r="D1885" s="10"/>
      <c r="E1885" s="10"/>
      <c r="F1885" s="10"/>
      <c r="G1885" s="10"/>
      <c r="H1885" s="10"/>
      <c r="I1885" s="10"/>
      <c r="J1885" s="10"/>
      <c r="K1885" s="10"/>
      <c r="L1885" s="10"/>
      <c r="M1885" s="10"/>
      <c r="N1885" s="10"/>
      <c r="O1885" s="10"/>
      <c r="P1885" s="10"/>
      <c r="Q1885" s="10"/>
      <c r="R1885" s="10"/>
      <c r="S1885" s="10"/>
      <c r="T1885" s="10"/>
      <c r="U1885" s="10"/>
      <c r="V1885" s="10"/>
      <c r="W1885" s="10"/>
      <c r="X1885" s="10"/>
      <c r="Y1885" s="10"/>
      <c r="Z1885" s="10"/>
      <c r="AA1885" s="10"/>
      <c r="AB1885" s="10"/>
      <c r="AC1885" s="10"/>
      <c r="AG1885" s="467"/>
      <c r="AH1885" s="6"/>
    </row>
    <row r="1886" spans="1:34">
      <c r="A1886" s="10"/>
      <c r="B1886" s="10"/>
      <c r="C1886" s="10"/>
      <c r="D1886" s="10"/>
      <c r="E1886" s="10"/>
      <c r="F1886" s="10"/>
      <c r="G1886" s="10"/>
      <c r="H1886" s="10"/>
      <c r="I1886" s="10"/>
      <c r="J1886" s="10"/>
      <c r="K1886" s="10"/>
      <c r="L1886" s="10"/>
      <c r="M1886" s="10"/>
      <c r="N1886" s="10"/>
      <c r="O1886" s="10"/>
      <c r="P1886" s="10"/>
      <c r="Q1886" s="10"/>
      <c r="R1886" s="10"/>
      <c r="S1886" s="10"/>
      <c r="T1886" s="10"/>
      <c r="U1886" s="10"/>
      <c r="V1886" s="10"/>
      <c r="W1886" s="10"/>
      <c r="X1886" s="10"/>
      <c r="Y1886" s="10"/>
      <c r="Z1886" s="10"/>
      <c r="AA1886" s="10"/>
      <c r="AB1886" s="10"/>
      <c r="AC1886" s="10"/>
      <c r="AG1886" s="467"/>
      <c r="AH1886" s="6"/>
    </row>
    <row r="1887" spans="1:34">
      <c r="A1887" s="10"/>
      <c r="B1887" s="10"/>
      <c r="C1887" s="10"/>
      <c r="D1887" s="10"/>
      <c r="E1887" s="10"/>
      <c r="F1887" s="10"/>
      <c r="G1887" s="10"/>
      <c r="H1887" s="10"/>
      <c r="I1887" s="10"/>
      <c r="J1887" s="10"/>
      <c r="K1887" s="10"/>
      <c r="L1887" s="10"/>
      <c r="M1887" s="10"/>
      <c r="N1887" s="10"/>
      <c r="O1887" s="10"/>
      <c r="P1887" s="10"/>
      <c r="Q1887" s="10"/>
      <c r="R1887" s="10"/>
      <c r="S1887" s="10"/>
      <c r="T1887" s="10"/>
      <c r="U1887" s="10"/>
      <c r="V1887" s="10"/>
      <c r="W1887" s="10"/>
      <c r="X1887" s="10"/>
      <c r="Y1887" s="10"/>
      <c r="Z1887" s="10"/>
      <c r="AA1887" s="10"/>
      <c r="AB1887" s="10"/>
      <c r="AC1887" s="10"/>
      <c r="AG1887" s="467"/>
      <c r="AH1887" s="6"/>
    </row>
    <row r="1888" spans="1:34">
      <c r="A1888" s="10"/>
      <c r="B1888" s="10"/>
      <c r="C1888" s="10"/>
      <c r="D1888" s="10"/>
      <c r="E1888" s="10"/>
      <c r="F1888" s="10"/>
      <c r="G1888" s="10"/>
      <c r="H1888" s="10"/>
      <c r="I1888" s="10"/>
      <c r="J1888" s="10"/>
      <c r="K1888" s="10"/>
      <c r="L1888" s="10"/>
      <c r="M1888" s="10"/>
      <c r="N1888" s="10"/>
      <c r="O1888" s="10"/>
      <c r="P1888" s="10"/>
      <c r="Q1888" s="10"/>
      <c r="R1888" s="10"/>
      <c r="S1888" s="10"/>
      <c r="T1888" s="10"/>
      <c r="U1888" s="10"/>
      <c r="V1888" s="10"/>
      <c r="W1888" s="10"/>
      <c r="X1888" s="10"/>
      <c r="Y1888" s="10"/>
      <c r="Z1888" s="10"/>
      <c r="AA1888" s="10"/>
      <c r="AB1888" s="10"/>
      <c r="AC1888" s="10"/>
      <c r="AG1888" s="467"/>
      <c r="AH1888" s="6"/>
    </row>
    <row r="1889" spans="1:34">
      <c r="A1889" s="10"/>
      <c r="B1889" s="10"/>
      <c r="C1889" s="10"/>
      <c r="D1889" s="10"/>
      <c r="E1889" s="10"/>
      <c r="F1889" s="10"/>
      <c r="G1889" s="10"/>
      <c r="H1889" s="10"/>
      <c r="I1889" s="10"/>
      <c r="J1889" s="10"/>
      <c r="K1889" s="10"/>
      <c r="L1889" s="10"/>
      <c r="M1889" s="10"/>
      <c r="N1889" s="10"/>
      <c r="O1889" s="10"/>
      <c r="P1889" s="10"/>
      <c r="Q1889" s="10"/>
      <c r="R1889" s="10"/>
      <c r="S1889" s="10"/>
      <c r="T1889" s="10"/>
      <c r="U1889" s="10"/>
      <c r="V1889" s="10"/>
      <c r="W1889" s="10"/>
      <c r="X1889" s="10"/>
      <c r="Y1889" s="10"/>
      <c r="Z1889" s="10"/>
      <c r="AA1889" s="10"/>
      <c r="AB1889" s="10"/>
      <c r="AC1889" s="10"/>
      <c r="AG1889" s="467"/>
      <c r="AH1889" s="6"/>
    </row>
    <row r="1890" spans="1:34">
      <c r="A1890" s="10"/>
      <c r="B1890" s="10"/>
      <c r="C1890" s="10"/>
      <c r="D1890" s="10"/>
      <c r="E1890" s="10"/>
      <c r="F1890" s="10"/>
      <c r="G1890" s="10"/>
      <c r="H1890" s="10"/>
      <c r="I1890" s="10"/>
      <c r="J1890" s="10"/>
      <c r="K1890" s="10"/>
      <c r="L1890" s="10"/>
      <c r="M1890" s="10"/>
      <c r="N1890" s="10"/>
      <c r="O1890" s="10"/>
      <c r="P1890" s="10"/>
      <c r="Q1890" s="10"/>
      <c r="R1890" s="10"/>
      <c r="S1890" s="10"/>
      <c r="T1890" s="10"/>
      <c r="U1890" s="10"/>
      <c r="V1890" s="10"/>
      <c r="W1890" s="10"/>
      <c r="X1890" s="10"/>
      <c r="Y1890" s="10"/>
      <c r="Z1890" s="10"/>
      <c r="AA1890" s="10"/>
      <c r="AB1890" s="10"/>
      <c r="AC1890" s="10"/>
      <c r="AG1890" s="467"/>
      <c r="AH1890" s="6"/>
    </row>
    <row r="1891" spans="1:34">
      <c r="A1891" s="10"/>
      <c r="B1891" s="10"/>
      <c r="C1891" s="10"/>
      <c r="D1891" s="10"/>
      <c r="E1891" s="10"/>
      <c r="F1891" s="10"/>
      <c r="G1891" s="10"/>
      <c r="H1891" s="10"/>
      <c r="I1891" s="10"/>
      <c r="J1891" s="10"/>
      <c r="K1891" s="10"/>
      <c r="L1891" s="10"/>
      <c r="M1891" s="10"/>
      <c r="N1891" s="10"/>
      <c r="O1891" s="10"/>
      <c r="P1891" s="10"/>
      <c r="Q1891" s="10"/>
      <c r="R1891" s="10"/>
      <c r="S1891" s="10"/>
      <c r="T1891" s="10"/>
      <c r="U1891" s="10"/>
      <c r="V1891" s="10"/>
      <c r="W1891" s="10"/>
      <c r="X1891" s="10"/>
      <c r="Y1891" s="10"/>
      <c r="Z1891" s="10"/>
      <c r="AA1891" s="10"/>
      <c r="AB1891" s="10"/>
      <c r="AC1891" s="10"/>
      <c r="AG1891" s="467"/>
      <c r="AH1891" s="6"/>
    </row>
    <row r="1892" spans="1:34">
      <c r="A1892" s="10"/>
      <c r="B1892" s="10"/>
      <c r="C1892" s="10"/>
      <c r="D1892" s="10"/>
      <c r="E1892" s="10"/>
      <c r="F1892" s="10"/>
      <c r="G1892" s="10"/>
      <c r="H1892" s="10"/>
      <c r="I1892" s="10"/>
      <c r="J1892" s="10"/>
      <c r="K1892" s="10"/>
      <c r="L1892" s="10"/>
      <c r="M1892" s="10"/>
      <c r="N1892" s="10"/>
      <c r="O1892" s="10"/>
      <c r="P1892" s="10"/>
      <c r="Q1892" s="10"/>
      <c r="R1892" s="10"/>
      <c r="S1892" s="10"/>
      <c r="T1892" s="10"/>
      <c r="U1892" s="10"/>
      <c r="V1892" s="10"/>
      <c r="W1892" s="10"/>
      <c r="X1892" s="10"/>
      <c r="Y1892" s="10"/>
      <c r="Z1892" s="10"/>
      <c r="AA1892" s="10"/>
      <c r="AB1892" s="10"/>
      <c r="AC1892" s="10"/>
      <c r="AG1892" s="467"/>
      <c r="AH1892" s="6"/>
    </row>
    <row r="1893" spans="1:34">
      <c r="A1893" s="10"/>
      <c r="B1893" s="10"/>
      <c r="C1893" s="10"/>
      <c r="D1893" s="10"/>
      <c r="E1893" s="10"/>
      <c r="F1893" s="10"/>
      <c r="G1893" s="10"/>
      <c r="H1893" s="10"/>
      <c r="I1893" s="10"/>
      <c r="J1893" s="10"/>
      <c r="K1893" s="10"/>
      <c r="L1893" s="10"/>
      <c r="M1893" s="10"/>
      <c r="N1893" s="10"/>
      <c r="O1893" s="10"/>
      <c r="P1893" s="10"/>
      <c r="Q1893" s="10"/>
      <c r="R1893" s="10"/>
      <c r="S1893" s="10"/>
      <c r="T1893" s="10"/>
      <c r="U1893" s="10"/>
      <c r="V1893" s="10"/>
      <c r="W1893" s="10"/>
      <c r="X1893" s="10"/>
      <c r="Y1893" s="10"/>
      <c r="Z1893" s="10"/>
      <c r="AA1893" s="10"/>
      <c r="AB1893" s="10"/>
      <c r="AC1893" s="10"/>
      <c r="AG1893" s="467"/>
      <c r="AH1893" s="6"/>
    </row>
    <row r="1894" spans="1:34">
      <c r="A1894" s="10"/>
      <c r="B1894" s="10"/>
      <c r="C1894" s="10"/>
      <c r="D1894" s="10"/>
      <c r="E1894" s="10"/>
      <c r="F1894" s="10"/>
      <c r="G1894" s="10"/>
      <c r="H1894" s="10"/>
      <c r="I1894" s="10"/>
      <c r="J1894" s="10"/>
      <c r="K1894" s="10"/>
      <c r="L1894" s="10"/>
      <c r="M1894" s="10"/>
      <c r="N1894" s="10"/>
      <c r="O1894" s="10"/>
      <c r="P1894" s="10"/>
      <c r="Q1894" s="10"/>
      <c r="R1894" s="10"/>
      <c r="S1894" s="10"/>
      <c r="T1894" s="10"/>
      <c r="U1894" s="10"/>
      <c r="V1894" s="10"/>
      <c r="W1894" s="10"/>
      <c r="X1894" s="10"/>
      <c r="Y1894" s="10"/>
      <c r="Z1894" s="10"/>
      <c r="AA1894" s="10"/>
      <c r="AB1894" s="10"/>
      <c r="AC1894" s="10"/>
      <c r="AG1894" s="467"/>
      <c r="AH1894" s="6"/>
    </row>
    <row r="1895" spans="1:34">
      <c r="A1895" s="10"/>
      <c r="B1895" s="10"/>
      <c r="C1895" s="10"/>
      <c r="D1895" s="10"/>
      <c r="E1895" s="10"/>
      <c r="F1895" s="10"/>
      <c r="G1895" s="10"/>
      <c r="H1895" s="10"/>
      <c r="I1895" s="10"/>
      <c r="J1895" s="10"/>
      <c r="K1895" s="10"/>
      <c r="L1895" s="10"/>
      <c r="M1895" s="10"/>
      <c r="N1895" s="10"/>
      <c r="O1895" s="10"/>
      <c r="P1895" s="10"/>
      <c r="Q1895" s="10"/>
      <c r="R1895" s="10"/>
      <c r="S1895" s="10"/>
      <c r="T1895" s="10"/>
      <c r="U1895" s="10"/>
      <c r="V1895" s="10"/>
      <c r="W1895" s="10"/>
      <c r="X1895" s="10"/>
      <c r="Y1895" s="10"/>
      <c r="Z1895" s="10"/>
      <c r="AA1895" s="10"/>
      <c r="AB1895" s="10"/>
      <c r="AC1895" s="10"/>
      <c r="AG1895" s="467"/>
      <c r="AH1895" s="6"/>
    </row>
    <row r="1896" spans="1:34">
      <c r="A1896" s="10"/>
      <c r="B1896" s="10"/>
      <c r="C1896" s="10"/>
      <c r="D1896" s="10"/>
      <c r="E1896" s="10"/>
      <c r="F1896" s="10"/>
      <c r="G1896" s="10"/>
      <c r="H1896" s="10"/>
      <c r="I1896" s="10"/>
      <c r="J1896" s="10"/>
      <c r="K1896" s="10"/>
      <c r="L1896" s="10"/>
      <c r="M1896" s="10"/>
      <c r="N1896" s="10"/>
      <c r="O1896" s="10"/>
      <c r="P1896" s="10"/>
      <c r="Q1896" s="10"/>
      <c r="R1896" s="10"/>
      <c r="S1896" s="10"/>
      <c r="T1896" s="10"/>
      <c r="U1896" s="10"/>
      <c r="V1896" s="10"/>
      <c r="W1896" s="10"/>
      <c r="X1896" s="10"/>
      <c r="Y1896" s="10"/>
      <c r="Z1896" s="10"/>
      <c r="AA1896" s="10"/>
      <c r="AB1896" s="10"/>
      <c r="AC1896" s="10"/>
      <c r="AG1896" s="467"/>
      <c r="AH1896" s="6"/>
    </row>
    <row r="1897" spans="1:34">
      <c r="A1897" s="10"/>
      <c r="B1897" s="10"/>
      <c r="C1897" s="10"/>
      <c r="D1897" s="10"/>
      <c r="E1897" s="10"/>
      <c r="F1897" s="10"/>
      <c r="G1897" s="10"/>
      <c r="H1897" s="10"/>
      <c r="I1897" s="10"/>
      <c r="J1897" s="10"/>
      <c r="K1897" s="10"/>
      <c r="L1897" s="10"/>
      <c r="M1897" s="10"/>
      <c r="N1897" s="10"/>
      <c r="O1897" s="10"/>
      <c r="P1897" s="10"/>
      <c r="Q1897" s="10"/>
      <c r="R1897" s="10"/>
      <c r="S1897" s="10"/>
      <c r="T1897" s="10"/>
      <c r="U1897" s="10"/>
      <c r="V1897" s="10"/>
      <c r="W1897" s="10"/>
      <c r="X1897" s="10"/>
      <c r="Y1897" s="10"/>
      <c r="Z1897" s="10"/>
      <c r="AA1897" s="10"/>
      <c r="AB1897" s="10"/>
      <c r="AC1897" s="10"/>
      <c r="AG1897" s="467"/>
      <c r="AH1897" s="6"/>
    </row>
    <row r="1898" spans="1:34">
      <c r="A1898" s="10"/>
      <c r="B1898" s="10"/>
      <c r="C1898" s="10"/>
      <c r="D1898" s="10"/>
      <c r="E1898" s="10"/>
      <c r="F1898" s="10"/>
      <c r="G1898" s="10"/>
      <c r="H1898" s="10"/>
      <c r="I1898" s="10"/>
      <c r="J1898" s="10"/>
      <c r="K1898" s="10"/>
      <c r="L1898" s="10"/>
      <c r="M1898" s="10"/>
      <c r="N1898" s="10"/>
      <c r="O1898" s="10"/>
      <c r="P1898" s="10"/>
      <c r="Q1898" s="10"/>
      <c r="R1898" s="10"/>
      <c r="S1898" s="10"/>
      <c r="T1898" s="10"/>
      <c r="U1898" s="10"/>
      <c r="V1898" s="10"/>
      <c r="W1898" s="10"/>
      <c r="X1898" s="10"/>
      <c r="Y1898" s="10"/>
      <c r="Z1898" s="10"/>
      <c r="AA1898" s="10"/>
      <c r="AB1898" s="10"/>
      <c r="AC1898" s="10"/>
      <c r="AG1898" s="467"/>
      <c r="AH1898" s="6"/>
    </row>
    <row r="1899" spans="1:34">
      <c r="A1899" s="10"/>
      <c r="B1899" s="10"/>
      <c r="C1899" s="10"/>
      <c r="D1899" s="10"/>
      <c r="E1899" s="10"/>
      <c r="F1899" s="10"/>
      <c r="G1899" s="10"/>
      <c r="H1899" s="10"/>
      <c r="I1899" s="10"/>
      <c r="J1899" s="10"/>
      <c r="K1899" s="10"/>
      <c r="L1899" s="10"/>
      <c r="M1899" s="10"/>
      <c r="N1899" s="10"/>
      <c r="O1899" s="10"/>
      <c r="P1899" s="10"/>
      <c r="Q1899" s="10"/>
      <c r="R1899" s="10"/>
      <c r="S1899" s="10"/>
      <c r="T1899" s="10"/>
      <c r="U1899" s="10"/>
      <c r="V1899" s="10"/>
      <c r="W1899" s="10"/>
      <c r="X1899" s="10"/>
      <c r="Y1899" s="10"/>
      <c r="Z1899" s="10"/>
      <c r="AA1899" s="10"/>
      <c r="AB1899" s="10"/>
      <c r="AC1899" s="10"/>
      <c r="AG1899" s="467"/>
      <c r="AH1899" s="6"/>
    </row>
    <row r="1900" spans="1:34">
      <c r="A1900" s="10"/>
      <c r="B1900" s="10"/>
      <c r="C1900" s="10"/>
      <c r="D1900" s="10"/>
      <c r="E1900" s="10"/>
      <c r="F1900" s="10"/>
      <c r="G1900" s="10"/>
      <c r="H1900" s="10"/>
      <c r="I1900" s="10"/>
      <c r="J1900" s="10"/>
      <c r="K1900" s="10"/>
      <c r="L1900" s="10"/>
      <c r="M1900" s="10"/>
      <c r="N1900" s="10"/>
      <c r="O1900" s="10"/>
      <c r="P1900" s="10"/>
      <c r="Q1900" s="10"/>
      <c r="R1900" s="10"/>
      <c r="S1900" s="10"/>
      <c r="T1900" s="10"/>
      <c r="U1900" s="10"/>
      <c r="V1900" s="10"/>
      <c r="W1900" s="10"/>
      <c r="X1900" s="10"/>
      <c r="Y1900" s="10"/>
      <c r="Z1900" s="10"/>
      <c r="AA1900" s="10"/>
      <c r="AB1900" s="10"/>
      <c r="AC1900" s="10"/>
      <c r="AG1900" s="467"/>
      <c r="AH1900" s="6"/>
    </row>
    <row r="1901" spans="1:34">
      <c r="A1901" s="10"/>
      <c r="B1901" s="10"/>
      <c r="C1901" s="10"/>
      <c r="D1901" s="10"/>
      <c r="E1901" s="10"/>
      <c r="F1901" s="10"/>
      <c r="G1901" s="10"/>
      <c r="H1901" s="10"/>
      <c r="I1901" s="10"/>
      <c r="J1901" s="10"/>
      <c r="K1901" s="10"/>
      <c r="L1901" s="10"/>
      <c r="M1901" s="10"/>
      <c r="N1901" s="10"/>
      <c r="O1901" s="10"/>
      <c r="P1901" s="10"/>
      <c r="Q1901" s="10"/>
      <c r="R1901" s="10"/>
      <c r="S1901" s="10"/>
      <c r="T1901" s="10"/>
      <c r="U1901" s="10"/>
      <c r="V1901" s="10"/>
      <c r="W1901" s="10"/>
      <c r="X1901" s="10"/>
      <c r="Y1901" s="10"/>
      <c r="Z1901" s="10"/>
      <c r="AA1901" s="10"/>
      <c r="AB1901" s="10"/>
      <c r="AC1901" s="10"/>
      <c r="AG1901" s="467"/>
      <c r="AH1901" s="6"/>
    </row>
    <row r="1902" spans="1:34">
      <c r="A1902" s="10"/>
      <c r="B1902" s="10"/>
      <c r="C1902" s="10"/>
      <c r="D1902" s="10"/>
      <c r="E1902" s="10"/>
      <c r="F1902" s="10"/>
      <c r="G1902" s="10"/>
      <c r="H1902" s="10"/>
      <c r="I1902" s="10"/>
      <c r="J1902" s="10"/>
      <c r="K1902" s="10"/>
      <c r="L1902" s="10"/>
      <c r="M1902" s="10"/>
      <c r="N1902" s="10"/>
      <c r="O1902" s="10"/>
      <c r="P1902" s="10"/>
      <c r="Q1902" s="10"/>
      <c r="R1902" s="10"/>
      <c r="S1902" s="10"/>
      <c r="T1902" s="10"/>
      <c r="U1902" s="10"/>
      <c r="V1902" s="10"/>
      <c r="W1902" s="10"/>
      <c r="X1902" s="10"/>
      <c r="Y1902" s="10"/>
      <c r="Z1902" s="10"/>
      <c r="AA1902" s="10"/>
      <c r="AB1902" s="10"/>
      <c r="AC1902" s="10"/>
      <c r="AG1902" s="467"/>
      <c r="AH1902" s="6"/>
    </row>
    <row r="1903" spans="1:34">
      <c r="A1903" s="10"/>
      <c r="B1903" s="10"/>
      <c r="C1903" s="10"/>
      <c r="D1903" s="10"/>
      <c r="E1903" s="10"/>
      <c r="F1903" s="10"/>
      <c r="G1903" s="10"/>
      <c r="H1903" s="10"/>
      <c r="I1903" s="10"/>
      <c r="J1903" s="10"/>
      <c r="K1903" s="10"/>
      <c r="L1903" s="10"/>
      <c r="M1903" s="10"/>
      <c r="N1903" s="10"/>
      <c r="O1903" s="10"/>
      <c r="P1903" s="10"/>
      <c r="Q1903" s="10"/>
      <c r="R1903" s="10"/>
      <c r="S1903" s="10"/>
      <c r="T1903" s="10"/>
      <c r="U1903" s="10"/>
      <c r="V1903" s="10"/>
      <c r="W1903" s="10"/>
      <c r="X1903" s="10"/>
      <c r="Y1903" s="10"/>
      <c r="Z1903" s="10"/>
      <c r="AA1903" s="10"/>
      <c r="AB1903" s="10"/>
      <c r="AC1903" s="10"/>
      <c r="AG1903" s="467"/>
      <c r="AH1903" s="6"/>
    </row>
    <row r="1904" spans="1:34">
      <c r="A1904" s="10"/>
      <c r="B1904" s="10"/>
      <c r="C1904" s="10"/>
      <c r="D1904" s="10"/>
      <c r="E1904" s="10"/>
      <c r="F1904" s="10"/>
      <c r="G1904" s="10"/>
      <c r="H1904" s="10"/>
      <c r="I1904" s="10"/>
      <c r="J1904" s="10"/>
      <c r="K1904" s="10"/>
      <c r="L1904" s="10"/>
      <c r="M1904" s="10"/>
      <c r="N1904" s="10"/>
      <c r="O1904" s="10"/>
      <c r="P1904" s="10"/>
      <c r="Q1904" s="10"/>
      <c r="R1904" s="10"/>
      <c r="S1904" s="10"/>
      <c r="T1904" s="10"/>
      <c r="U1904" s="10"/>
      <c r="V1904" s="10"/>
      <c r="W1904" s="10"/>
      <c r="X1904" s="10"/>
      <c r="Y1904" s="10"/>
      <c r="Z1904" s="10"/>
      <c r="AA1904" s="10"/>
      <c r="AB1904" s="10"/>
      <c r="AC1904" s="10"/>
      <c r="AG1904" s="467"/>
      <c r="AH1904" s="6"/>
    </row>
    <row r="1905" spans="1:34">
      <c r="A1905" s="10"/>
      <c r="B1905" s="10"/>
      <c r="C1905" s="10"/>
      <c r="D1905" s="10"/>
      <c r="E1905" s="10"/>
      <c r="F1905" s="10"/>
      <c r="G1905" s="10"/>
      <c r="H1905" s="10"/>
      <c r="I1905" s="10"/>
      <c r="J1905" s="10"/>
      <c r="K1905" s="10"/>
      <c r="L1905" s="10"/>
      <c r="M1905" s="10"/>
      <c r="N1905" s="10"/>
      <c r="O1905" s="10"/>
      <c r="P1905" s="10"/>
      <c r="Q1905" s="10"/>
      <c r="R1905" s="10"/>
      <c r="S1905" s="10"/>
      <c r="T1905" s="10"/>
      <c r="U1905" s="10"/>
      <c r="V1905" s="10"/>
      <c r="W1905" s="10"/>
      <c r="X1905" s="10"/>
      <c r="Y1905" s="10"/>
      <c r="Z1905" s="10"/>
      <c r="AA1905" s="10"/>
      <c r="AB1905" s="10"/>
      <c r="AC1905" s="10"/>
      <c r="AG1905" s="467"/>
      <c r="AH1905" s="6"/>
    </row>
    <row r="1906" spans="1:34">
      <c r="A1906" s="10"/>
      <c r="B1906" s="10"/>
      <c r="C1906" s="10"/>
      <c r="D1906" s="10"/>
      <c r="E1906" s="10"/>
      <c r="F1906" s="10"/>
      <c r="G1906" s="10"/>
      <c r="H1906" s="10"/>
      <c r="I1906" s="10"/>
      <c r="J1906" s="10"/>
      <c r="K1906" s="10"/>
      <c r="L1906" s="10"/>
      <c r="M1906" s="10"/>
      <c r="N1906" s="10"/>
      <c r="O1906" s="10"/>
      <c r="P1906" s="10"/>
      <c r="Q1906" s="10"/>
      <c r="R1906" s="10"/>
      <c r="S1906" s="10"/>
      <c r="T1906" s="10"/>
      <c r="U1906" s="10"/>
      <c r="V1906" s="10"/>
      <c r="W1906" s="10"/>
      <c r="X1906" s="10"/>
      <c r="Y1906" s="10"/>
      <c r="Z1906" s="10"/>
      <c r="AA1906" s="10"/>
      <c r="AB1906" s="10"/>
      <c r="AC1906" s="10"/>
      <c r="AG1906" s="467"/>
      <c r="AH1906" s="6"/>
    </row>
    <row r="1907" spans="1:34">
      <c r="A1907" s="10"/>
      <c r="B1907" s="10"/>
      <c r="C1907" s="10"/>
      <c r="D1907" s="10"/>
      <c r="E1907" s="10"/>
      <c r="F1907" s="10"/>
      <c r="G1907" s="10"/>
      <c r="H1907" s="10"/>
      <c r="I1907" s="10"/>
      <c r="J1907" s="10"/>
      <c r="K1907" s="10"/>
      <c r="L1907" s="10"/>
      <c r="M1907" s="10"/>
      <c r="N1907" s="10"/>
      <c r="O1907" s="10"/>
      <c r="P1907" s="10"/>
      <c r="Q1907" s="10"/>
      <c r="R1907" s="10"/>
      <c r="S1907" s="10"/>
      <c r="T1907" s="10"/>
      <c r="U1907" s="10"/>
      <c r="V1907" s="10"/>
      <c r="W1907" s="10"/>
      <c r="X1907" s="10"/>
      <c r="Y1907" s="10"/>
      <c r="Z1907" s="10"/>
      <c r="AA1907" s="10"/>
      <c r="AB1907" s="10"/>
      <c r="AC1907" s="10"/>
      <c r="AG1907" s="467"/>
      <c r="AH1907" s="6"/>
    </row>
    <row r="1908" spans="1:34">
      <c r="A1908" s="10"/>
      <c r="B1908" s="10"/>
      <c r="C1908" s="10"/>
      <c r="D1908" s="10"/>
      <c r="E1908" s="10"/>
      <c r="F1908" s="10"/>
      <c r="G1908" s="10"/>
      <c r="H1908" s="10"/>
      <c r="I1908" s="10"/>
      <c r="J1908" s="10"/>
      <c r="K1908" s="10"/>
      <c r="L1908" s="10"/>
      <c r="M1908" s="10"/>
      <c r="N1908" s="10"/>
      <c r="O1908" s="10"/>
      <c r="P1908" s="10"/>
      <c r="Q1908" s="10"/>
      <c r="R1908" s="10"/>
      <c r="S1908" s="10"/>
      <c r="T1908" s="10"/>
      <c r="U1908" s="10"/>
      <c r="V1908" s="10"/>
      <c r="W1908" s="10"/>
      <c r="X1908" s="10"/>
      <c r="Y1908" s="10"/>
      <c r="Z1908" s="10"/>
      <c r="AA1908" s="10"/>
      <c r="AB1908" s="10"/>
      <c r="AC1908" s="10"/>
      <c r="AG1908" s="467"/>
      <c r="AH1908" s="6"/>
    </row>
    <row r="1909" spans="1:34">
      <c r="A1909" s="10"/>
      <c r="B1909" s="10"/>
      <c r="C1909" s="10"/>
      <c r="D1909" s="10"/>
      <c r="E1909" s="10"/>
      <c r="F1909" s="10"/>
      <c r="G1909" s="10"/>
      <c r="H1909" s="10"/>
      <c r="I1909" s="10"/>
      <c r="J1909" s="10"/>
      <c r="K1909" s="10"/>
      <c r="L1909" s="10"/>
      <c r="M1909" s="10"/>
      <c r="N1909" s="10"/>
      <c r="O1909" s="10"/>
      <c r="P1909" s="10"/>
      <c r="Q1909" s="10"/>
      <c r="R1909" s="10"/>
      <c r="S1909" s="10"/>
      <c r="T1909" s="10"/>
      <c r="U1909" s="10"/>
      <c r="V1909" s="10"/>
      <c r="W1909" s="10"/>
      <c r="X1909" s="10"/>
      <c r="Y1909" s="10"/>
      <c r="Z1909" s="10"/>
      <c r="AA1909" s="10"/>
      <c r="AB1909" s="10"/>
      <c r="AC1909" s="10"/>
      <c r="AG1909" s="467"/>
      <c r="AH1909" s="6"/>
    </row>
    <row r="1910" spans="1:34">
      <c r="A1910" s="10"/>
      <c r="B1910" s="10"/>
      <c r="C1910" s="10"/>
      <c r="D1910" s="10"/>
      <c r="E1910" s="10"/>
      <c r="F1910" s="10"/>
      <c r="G1910" s="10"/>
      <c r="H1910" s="10"/>
      <c r="I1910" s="10"/>
      <c r="J1910" s="10"/>
      <c r="K1910" s="10"/>
      <c r="L1910" s="10"/>
      <c r="M1910" s="10"/>
      <c r="N1910" s="10"/>
      <c r="O1910" s="10"/>
      <c r="P1910" s="10"/>
      <c r="Q1910" s="10"/>
      <c r="R1910" s="10"/>
      <c r="S1910" s="10"/>
      <c r="T1910" s="10"/>
      <c r="U1910" s="10"/>
      <c r="V1910" s="10"/>
      <c r="W1910" s="10"/>
      <c r="X1910" s="10"/>
      <c r="Y1910" s="10"/>
      <c r="Z1910" s="10"/>
      <c r="AA1910" s="10"/>
      <c r="AB1910" s="10"/>
      <c r="AC1910" s="10"/>
      <c r="AG1910" s="467"/>
      <c r="AH1910" s="6"/>
    </row>
    <row r="1911" spans="1:34">
      <c r="A1911" s="10"/>
      <c r="B1911" s="10"/>
      <c r="C1911" s="10"/>
      <c r="D1911" s="10"/>
      <c r="E1911" s="10"/>
      <c r="F1911" s="10"/>
      <c r="G1911" s="10"/>
      <c r="H1911" s="10"/>
      <c r="I1911" s="10"/>
      <c r="J1911" s="10"/>
      <c r="K1911" s="10"/>
      <c r="L1911" s="10"/>
      <c r="M1911" s="10"/>
      <c r="N1911" s="10"/>
      <c r="O1911" s="10"/>
      <c r="P1911" s="10"/>
      <c r="Q1911" s="10"/>
      <c r="R1911" s="10"/>
      <c r="S1911" s="10"/>
      <c r="T1911" s="10"/>
      <c r="U1911" s="10"/>
      <c r="V1911" s="10"/>
      <c r="W1911" s="10"/>
      <c r="X1911" s="10"/>
      <c r="Y1911" s="10"/>
      <c r="Z1911" s="10"/>
      <c r="AA1911" s="10"/>
      <c r="AB1911" s="10"/>
      <c r="AC1911" s="10"/>
      <c r="AG1911" s="467"/>
      <c r="AH1911" s="6"/>
    </row>
    <row r="1912" spans="1:34">
      <c r="A1912" s="10"/>
      <c r="B1912" s="10"/>
      <c r="C1912" s="10"/>
      <c r="D1912" s="10"/>
      <c r="E1912" s="10"/>
      <c r="F1912" s="10"/>
      <c r="G1912" s="10"/>
      <c r="H1912" s="10"/>
      <c r="I1912" s="10"/>
      <c r="J1912" s="10"/>
      <c r="K1912" s="10"/>
      <c r="L1912" s="10"/>
      <c r="M1912" s="10"/>
      <c r="N1912" s="10"/>
      <c r="O1912" s="10"/>
      <c r="P1912" s="10"/>
      <c r="Q1912" s="10"/>
      <c r="R1912" s="10"/>
      <c r="S1912" s="10"/>
      <c r="T1912" s="10"/>
      <c r="U1912" s="10"/>
      <c r="V1912" s="10"/>
      <c r="W1912" s="10"/>
      <c r="X1912" s="10"/>
      <c r="Y1912" s="10"/>
      <c r="Z1912" s="10"/>
      <c r="AA1912" s="10"/>
      <c r="AB1912" s="10"/>
      <c r="AC1912" s="10"/>
      <c r="AG1912" s="467"/>
      <c r="AH1912" s="6"/>
    </row>
    <row r="1913" spans="1:34">
      <c r="A1913" s="10"/>
      <c r="B1913" s="10"/>
      <c r="C1913" s="10"/>
      <c r="D1913" s="10"/>
      <c r="E1913" s="10"/>
      <c r="F1913" s="10"/>
      <c r="G1913" s="10"/>
      <c r="H1913" s="10"/>
      <c r="I1913" s="10"/>
      <c r="J1913" s="10"/>
      <c r="K1913" s="10"/>
      <c r="L1913" s="10"/>
      <c r="M1913" s="10"/>
      <c r="N1913" s="10"/>
      <c r="O1913" s="10"/>
      <c r="P1913" s="10"/>
      <c r="Q1913" s="10"/>
      <c r="R1913" s="10"/>
      <c r="S1913" s="10"/>
      <c r="T1913" s="10"/>
      <c r="U1913" s="10"/>
      <c r="V1913" s="10"/>
      <c r="W1913" s="10"/>
      <c r="X1913" s="10"/>
      <c r="Y1913" s="10"/>
      <c r="Z1913" s="10"/>
      <c r="AA1913" s="10"/>
      <c r="AB1913" s="10"/>
      <c r="AC1913" s="10"/>
      <c r="AG1913" s="467"/>
      <c r="AH1913" s="6"/>
    </row>
    <row r="1914" spans="1:34">
      <c r="A1914" s="10"/>
      <c r="B1914" s="10"/>
      <c r="C1914" s="10"/>
      <c r="D1914" s="10"/>
      <c r="E1914" s="10"/>
      <c r="F1914" s="10"/>
      <c r="G1914" s="10"/>
      <c r="H1914" s="10"/>
      <c r="I1914" s="10"/>
      <c r="J1914" s="10"/>
      <c r="K1914" s="10"/>
      <c r="L1914" s="10"/>
      <c r="M1914" s="10"/>
      <c r="N1914" s="10"/>
      <c r="O1914" s="10"/>
      <c r="P1914" s="10"/>
      <c r="Q1914" s="10"/>
      <c r="R1914" s="10"/>
      <c r="S1914" s="10"/>
      <c r="T1914" s="10"/>
      <c r="U1914" s="10"/>
      <c r="V1914" s="10"/>
      <c r="W1914" s="10"/>
      <c r="X1914" s="10"/>
      <c r="Y1914" s="10"/>
      <c r="Z1914" s="10"/>
      <c r="AA1914" s="10"/>
      <c r="AB1914" s="10"/>
      <c r="AC1914" s="10"/>
      <c r="AG1914" s="467"/>
      <c r="AH1914" s="6"/>
    </row>
    <row r="1915" spans="1:34">
      <c r="A1915" s="10"/>
      <c r="B1915" s="10"/>
      <c r="C1915" s="10"/>
      <c r="D1915" s="10"/>
      <c r="E1915" s="10"/>
      <c r="F1915" s="10"/>
      <c r="G1915" s="10"/>
      <c r="H1915" s="10"/>
      <c r="I1915" s="10"/>
      <c r="J1915" s="10"/>
      <c r="K1915" s="10"/>
      <c r="L1915" s="10"/>
      <c r="M1915" s="10"/>
      <c r="N1915" s="10"/>
      <c r="O1915" s="10"/>
      <c r="P1915" s="10"/>
      <c r="Q1915" s="10"/>
      <c r="R1915" s="10"/>
      <c r="S1915" s="10"/>
      <c r="T1915" s="10"/>
      <c r="U1915" s="10"/>
      <c r="V1915" s="10"/>
      <c r="W1915" s="10"/>
      <c r="X1915" s="10"/>
      <c r="Y1915" s="10"/>
      <c r="Z1915" s="10"/>
      <c r="AA1915" s="10"/>
      <c r="AB1915" s="10"/>
      <c r="AC1915" s="10"/>
      <c r="AG1915" s="467"/>
      <c r="AH1915" s="6"/>
    </row>
    <row r="1916" spans="1:34">
      <c r="A1916" s="10"/>
      <c r="B1916" s="10"/>
      <c r="C1916" s="10"/>
      <c r="D1916" s="10"/>
      <c r="E1916" s="10"/>
      <c r="F1916" s="10"/>
      <c r="G1916" s="10"/>
      <c r="H1916" s="10"/>
      <c r="I1916" s="10"/>
      <c r="J1916" s="10"/>
      <c r="K1916" s="10"/>
      <c r="L1916" s="10"/>
      <c r="M1916" s="10"/>
      <c r="N1916" s="10"/>
      <c r="O1916" s="10"/>
      <c r="P1916" s="10"/>
      <c r="Q1916" s="10"/>
      <c r="R1916" s="10"/>
      <c r="S1916" s="10"/>
      <c r="T1916" s="10"/>
      <c r="U1916" s="10"/>
      <c r="V1916" s="10"/>
      <c r="W1916" s="10"/>
      <c r="X1916" s="10"/>
      <c r="Y1916" s="10"/>
      <c r="Z1916" s="10"/>
      <c r="AA1916" s="10"/>
      <c r="AB1916" s="10"/>
      <c r="AC1916" s="10"/>
      <c r="AG1916" s="467"/>
      <c r="AH1916" s="6"/>
    </row>
    <row r="1917" spans="1:34">
      <c r="A1917" s="10"/>
      <c r="B1917" s="10"/>
      <c r="C1917" s="10"/>
      <c r="D1917" s="10"/>
      <c r="E1917" s="10"/>
      <c r="F1917" s="10"/>
      <c r="G1917" s="10"/>
      <c r="H1917" s="10"/>
      <c r="I1917" s="10"/>
      <c r="J1917" s="10"/>
      <c r="K1917" s="10"/>
      <c r="L1917" s="10"/>
      <c r="M1917" s="10"/>
      <c r="N1917" s="10"/>
      <c r="O1917" s="10"/>
      <c r="P1917" s="10"/>
      <c r="Q1917" s="10"/>
      <c r="R1917" s="10"/>
      <c r="S1917" s="10"/>
      <c r="T1917" s="10"/>
      <c r="U1917" s="10"/>
      <c r="V1917" s="10"/>
      <c r="W1917" s="10"/>
      <c r="X1917" s="10"/>
      <c r="Y1917" s="10"/>
      <c r="Z1917" s="10"/>
      <c r="AA1917" s="10"/>
      <c r="AB1917" s="10"/>
      <c r="AC1917" s="10"/>
      <c r="AG1917" s="467"/>
      <c r="AH1917" s="6"/>
    </row>
    <row r="1918" spans="1:34">
      <c r="A1918" s="10"/>
      <c r="B1918" s="10"/>
      <c r="C1918" s="10"/>
      <c r="D1918" s="10"/>
      <c r="E1918" s="10"/>
      <c r="F1918" s="10"/>
      <c r="G1918" s="10"/>
      <c r="H1918" s="10"/>
      <c r="I1918" s="10"/>
      <c r="J1918" s="10"/>
      <c r="K1918" s="10"/>
      <c r="L1918" s="10"/>
      <c r="M1918" s="10"/>
      <c r="N1918" s="10"/>
      <c r="O1918" s="10"/>
      <c r="P1918" s="10"/>
      <c r="Q1918" s="10"/>
      <c r="R1918" s="10"/>
      <c r="S1918" s="10"/>
      <c r="T1918" s="10"/>
      <c r="U1918" s="10"/>
      <c r="V1918" s="10"/>
      <c r="W1918" s="10"/>
      <c r="X1918" s="10"/>
      <c r="Y1918" s="10"/>
      <c r="Z1918" s="10"/>
      <c r="AA1918" s="10"/>
      <c r="AB1918" s="10"/>
      <c r="AC1918" s="10"/>
      <c r="AG1918" s="467"/>
      <c r="AH1918" s="6"/>
    </row>
    <row r="1919" spans="1:34">
      <c r="A1919" s="10"/>
      <c r="B1919" s="10"/>
      <c r="C1919" s="10"/>
      <c r="D1919" s="10"/>
      <c r="E1919" s="10"/>
      <c r="F1919" s="10"/>
      <c r="G1919" s="10"/>
      <c r="H1919" s="10"/>
      <c r="I1919" s="10"/>
      <c r="J1919" s="10"/>
      <c r="K1919" s="10"/>
      <c r="L1919" s="10"/>
      <c r="M1919" s="10"/>
      <c r="N1919" s="10"/>
      <c r="O1919" s="10"/>
      <c r="P1919" s="10"/>
      <c r="Q1919" s="10"/>
      <c r="R1919" s="10"/>
      <c r="S1919" s="10"/>
      <c r="T1919" s="10"/>
      <c r="U1919" s="10"/>
      <c r="V1919" s="10"/>
      <c r="W1919" s="10"/>
      <c r="X1919" s="10"/>
      <c r="Y1919" s="10"/>
      <c r="Z1919" s="10"/>
      <c r="AA1919" s="10"/>
      <c r="AB1919" s="10"/>
      <c r="AC1919" s="10"/>
      <c r="AG1919" s="467"/>
      <c r="AH1919" s="6"/>
    </row>
    <row r="1920" spans="1:34">
      <c r="A1920" s="10"/>
      <c r="B1920" s="10"/>
      <c r="C1920" s="10"/>
      <c r="D1920" s="10"/>
      <c r="E1920" s="10"/>
      <c r="F1920" s="10"/>
      <c r="G1920" s="10"/>
      <c r="H1920" s="10"/>
      <c r="I1920" s="10"/>
      <c r="J1920" s="10"/>
      <c r="K1920" s="10"/>
      <c r="L1920" s="10"/>
      <c r="M1920" s="10"/>
      <c r="N1920" s="10"/>
      <c r="O1920" s="10"/>
      <c r="P1920" s="10"/>
      <c r="Q1920" s="10"/>
      <c r="R1920" s="10"/>
      <c r="S1920" s="10"/>
      <c r="T1920" s="10"/>
      <c r="U1920" s="10"/>
      <c r="V1920" s="10"/>
      <c r="W1920" s="10"/>
      <c r="X1920" s="10"/>
      <c r="Y1920" s="10"/>
      <c r="Z1920" s="10"/>
      <c r="AA1920" s="10"/>
      <c r="AB1920" s="10"/>
      <c r="AC1920" s="10"/>
      <c r="AG1920" s="467"/>
      <c r="AH1920" s="6"/>
    </row>
    <row r="1921" spans="1:34">
      <c r="A1921" s="10"/>
      <c r="B1921" s="10"/>
      <c r="C1921" s="10"/>
      <c r="D1921" s="10"/>
      <c r="E1921" s="10"/>
      <c r="F1921" s="10"/>
      <c r="G1921" s="10"/>
      <c r="H1921" s="10"/>
      <c r="I1921" s="10"/>
      <c r="J1921" s="10"/>
      <c r="K1921" s="10"/>
      <c r="L1921" s="10"/>
      <c r="M1921" s="10"/>
      <c r="N1921" s="10"/>
      <c r="O1921" s="10"/>
      <c r="P1921" s="10"/>
      <c r="Q1921" s="10"/>
      <c r="R1921" s="10"/>
      <c r="S1921" s="10"/>
      <c r="T1921" s="10"/>
      <c r="U1921" s="10"/>
      <c r="V1921" s="10"/>
      <c r="W1921" s="10"/>
      <c r="X1921" s="10"/>
      <c r="Y1921" s="10"/>
      <c r="Z1921" s="10"/>
      <c r="AA1921" s="10"/>
      <c r="AB1921" s="10"/>
      <c r="AC1921" s="10"/>
      <c r="AG1921" s="467"/>
      <c r="AH1921" s="6"/>
    </row>
    <row r="1922" spans="1:34">
      <c r="A1922" s="10"/>
      <c r="B1922" s="10"/>
      <c r="C1922" s="10"/>
      <c r="D1922" s="10"/>
      <c r="E1922" s="10"/>
      <c r="F1922" s="10"/>
      <c r="G1922" s="10"/>
      <c r="H1922" s="10"/>
      <c r="I1922" s="10"/>
      <c r="J1922" s="10"/>
      <c r="K1922" s="10"/>
      <c r="L1922" s="10"/>
      <c r="M1922" s="10"/>
      <c r="N1922" s="10"/>
      <c r="O1922" s="10"/>
      <c r="P1922" s="10"/>
      <c r="Q1922" s="10"/>
      <c r="R1922" s="10"/>
      <c r="S1922" s="10"/>
      <c r="T1922" s="10"/>
      <c r="U1922" s="10"/>
      <c r="V1922" s="10"/>
      <c r="W1922" s="10"/>
      <c r="X1922" s="10"/>
      <c r="Y1922" s="10"/>
      <c r="Z1922" s="10"/>
      <c r="AA1922" s="10"/>
      <c r="AB1922" s="10"/>
      <c r="AC1922" s="10"/>
      <c r="AG1922" s="467"/>
      <c r="AH1922" s="6"/>
    </row>
    <row r="1923" spans="1:34">
      <c r="A1923" s="10"/>
      <c r="B1923" s="10"/>
      <c r="C1923" s="10"/>
      <c r="D1923" s="10"/>
      <c r="E1923" s="10"/>
      <c r="F1923" s="10"/>
      <c r="G1923" s="10"/>
      <c r="H1923" s="10"/>
      <c r="I1923" s="10"/>
      <c r="J1923" s="10"/>
      <c r="K1923" s="10"/>
      <c r="L1923" s="10"/>
      <c r="M1923" s="10"/>
      <c r="N1923" s="10"/>
      <c r="O1923" s="10"/>
      <c r="P1923" s="10"/>
      <c r="Q1923" s="10"/>
      <c r="R1923" s="10"/>
      <c r="S1923" s="10"/>
      <c r="T1923" s="10"/>
      <c r="U1923" s="10"/>
      <c r="V1923" s="10"/>
      <c r="W1923" s="10"/>
      <c r="X1923" s="10"/>
      <c r="Y1923" s="10"/>
      <c r="Z1923" s="10"/>
      <c r="AA1923" s="10"/>
      <c r="AB1923" s="10"/>
      <c r="AC1923" s="10"/>
      <c r="AG1923" s="467"/>
      <c r="AH1923" s="6"/>
    </row>
    <row r="1924" spans="1:34">
      <c r="A1924" s="10"/>
      <c r="B1924" s="10"/>
      <c r="C1924" s="10"/>
      <c r="D1924" s="10"/>
      <c r="E1924" s="10"/>
      <c r="F1924" s="10"/>
      <c r="G1924" s="10"/>
      <c r="H1924" s="10"/>
      <c r="I1924" s="10"/>
      <c r="J1924" s="10"/>
      <c r="K1924" s="10"/>
      <c r="L1924" s="10"/>
      <c r="M1924" s="10"/>
      <c r="N1924" s="10"/>
      <c r="O1924" s="10"/>
      <c r="P1924" s="10"/>
      <c r="Q1924" s="10"/>
      <c r="R1924" s="10"/>
      <c r="S1924" s="10"/>
      <c r="T1924" s="10"/>
      <c r="U1924" s="10"/>
      <c r="V1924" s="10"/>
      <c r="W1924" s="10"/>
      <c r="X1924" s="10"/>
      <c r="Y1924" s="10"/>
      <c r="Z1924" s="10"/>
      <c r="AA1924" s="10"/>
      <c r="AB1924" s="10"/>
      <c r="AC1924" s="10"/>
      <c r="AG1924" s="467"/>
      <c r="AH1924" s="6"/>
    </row>
    <row r="1925" spans="1:34">
      <c r="A1925" s="10"/>
      <c r="B1925" s="10"/>
      <c r="C1925" s="10"/>
      <c r="D1925" s="10"/>
      <c r="E1925" s="10"/>
      <c r="F1925" s="10"/>
      <c r="G1925" s="10"/>
      <c r="H1925" s="10"/>
      <c r="I1925" s="10"/>
      <c r="J1925" s="10"/>
      <c r="K1925" s="10"/>
      <c r="L1925" s="10"/>
      <c r="M1925" s="10"/>
      <c r="N1925" s="10"/>
      <c r="O1925" s="10"/>
      <c r="P1925" s="10"/>
      <c r="Q1925" s="10"/>
      <c r="R1925" s="10"/>
      <c r="S1925" s="10"/>
      <c r="T1925" s="10"/>
      <c r="U1925" s="10"/>
      <c r="V1925" s="10"/>
      <c r="W1925" s="10"/>
      <c r="X1925" s="10"/>
      <c r="Y1925" s="10"/>
      <c r="Z1925" s="10"/>
      <c r="AA1925" s="10"/>
      <c r="AB1925" s="10"/>
      <c r="AC1925" s="10"/>
      <c r="AG1925" s="467"/>
      <c r="AH1925" s="6"/>
    </row>
    <row r="1926" spans="1:34">
      <c r="A1926" s="10"/>
      <c r="B1926" s="10"/>
      <c r="C1926" s="10"/>
      <c r="D1926" s="10"/>
      <c r="E1926" s="10"/>
      <c r="F1926" s="10"/>
      <c r="G1926" s="10"/>
      <c r="H1926" s="10"/>
      <c r="I1926" s="10"/>
      <c r="J1926" s="10"/>
      <c r="K1926" s="10"/>
      <c r="L1926" s="10"/>
      <c r="M1926" s="10"/>
      <c r="N1926" s="10"/>
      <c r="O1926" s="10"/>
      <c r="P1926" s="10"/>
      <c r="Q1926" s="10"/>
      <c r="R1926" s="10"/>
      <c r="S1926" s="10"/>
      <c r="T1926" s="10"/>
      <c r="U1926" s="10"/>
      <c r="V1926" s="10"/>
      <c r="W1926" s="10"/>
      <c r="X1926" s="10"/>
      <c r="Y1926" s="10"/>
      <c r="Z1926" s="10"/>
      <c r="AA1926" s="10"/>
      <c r="AB1926" s="10"/>
      <c r="AC1926" s="10"/>
      <c r="AG1926" s="467"/>
      <c r="AH1926" s="6"/>
    </row>
    <row r="1927" spans="1:34">
      <c r="A1927" s="10"/>
      <c r="B1927" s="10"/>
      <c r="C1927" s="10"/>
      <c r="D1927" s="10"/>
      <c r="E1927" s="10"/>
      <c r="F1927" s="10"/>
      <c r="G1927" s="10"/>
      <c r="H1927" s="10"/>
      <c r="I1927" s="10"/>
      <c r="J1927" s="10"/>
      <c r="K1927" s="10"/>
      <c r="L1927" s="10"/>
      <c r="M1927" s="10"/>
      <c r="N1927" s="10"/>
      <c r="O1927" s="10"/>
      <c r="P1927" s="10"/>
      <c r="Q1927" s="10"/>
      <c r="R1927" s="10"/>
      <c r="S1927" s="10"/>
      <c r="T1927" s="10"/>
      <c r="U1927" s="10"/>
      <c r="V1927" s="10"/>
      <c r="W1927" s="10"/>
      <c r="X1927" s="10"/>
      <c r="Y1927" s="10"/>
      <c r="Z1927" s="10"/>
      <c r="AA1927" s="10"/>
      <c r="AB1927" s="10"/>
      <c r="AC1927" s="10"/>
      <c r="AG1927" s="467"/>
      <c r="AH1927" s="6"/>
    </row>
    <row r="1928" spans="1:34">
      <c r="A1928" s="10"/>
      <c r="B1928" s="10"/>
      <c r="C1928" s="10"/>
      <c r="D1928" s="10"/>
      <c r="E1928" s="10"/>
      <c r="F1928" s="10"/>
      <c r="G1928" s="10"/>
      <c r="H1928" s="10"/>
      <c r="I1928" s="10"/>
      <c r="J1928" s="10"/>
      <c r="K1928" s="10"/>
      <c r="L1928" s="10"/>
      <c r="M1928" s="10"/>
      <c r="N1928" s="10"/>
      <c r="O1928" s="10"/>
      <c r="P1928" s="10"/>
      <c r="Q1928" s="10"/>
      <c r="R1928" s="10"/>
      <c r="S1928" s="10"/>
      <c r="T1928" s="10"/>
      <c r="U1928" s="10"/>
      <c r="V1928" s="10"/>
      <c r="W1928" s="10"/>
      <c r="X1928" s="10"/>
      <c r="Y1928" s="10"/>
      <c r="Z1928" s="10"/>
      <c r="AA1928" s="10"/>
      <c r="AB1928" s="10"/>
      <c r="AC1928" s="10"/>
      <c r="AG1928" s="467"/>
      <c r="AH1928" s="6"/>
    </row>
    <row r="1929" spans="1:34">
      <c r="A1929" s="10"/>
      <c r="B1929" s="10"/>
      <c r="C1929" s="10"/>
      <c r="D1929" s="10"/>
      <c r="E1929" s="10"/>
      <c r="F1929" s="10"/>
      <c r="G1929" s="10"/>
      <c r="H1929" s="10"/>
      <c r="I1929" s="10"/>
      <c r="J1929" s="10"/>
      <c r="K1929" s="10"/>
      <c r="L1929" s="10"/>
      <c r="M1929" s="10"/>
      <c r="N1929" s="10"/>
      <c r="O1929" s="10"/>
      <c r="P1929" s="10"/>
      <c r="Q1929" s="10"/>
      <c r="R1929" s="10"/>
      <c r="S1929" s="10"/>
      <c r="T1929" s="10"/>
      <c r="U1929" s="10"/>
      <c r="V1929" s="10"/>
      <c r="W1929" s="10"/>
      <c r="X1929" s="10"/>
      <c r="Y1929" s="10"/>
      <c r="Z1929" s="10"/>
      <c r="AA1929" s="10"/>
      <c r="AB1929" s="10"/>
      <c r="AC1929" s="10"/>
      <c r="AG1929" s="467"/>
      <c r="AH1929" s="6"/>
    </row>
    <row r="1930" spans="1:34">
      <c r="A1930" s="10"/>
      <c r="B1930" s="10"/>
      <c r="C1930" s="10"/>
      <c r="D1930" s="10"/>
      <c r="E1930" s="10"/>
      <c r="F1930" s="10"/>
      <c r="G1930" s="10"/>
      <c r="H1930" s="10"/>
      <c r="I1930" s="10"/>
      <c r="J1930" s="10"/>
      <c r="K1930" s="10"/>
      <c r="L1930" s="10"/>
      <c r="M1930" s="10"/>
      <c r="N1930" s="10"/>
      <c r="O1930" s="10"/>
      <c r="P1930" s="10"/>
      <c r="Q1930" s="10"/>
      <c r="R1930" s="10"/>
      <c r="S1930" s="10"/>
      <c r="T1930" s="10"/>
      <c r="U1930" s="10"/>
      <c r="V1930" s="10"/>
      <c r="W1930" s="10"/>
      <c r="X1930" s="10"/>
      <c r="Y1930" s="10"/>
      <c r="Z1930" s="10"/>
      <c r="AA1930" s="10"/>
      <c r="AB1930" s="10"/>
      <c r="AC1930" s="10"/>
      <c r="AG1930" s="467"/>
      <c r="AH1930" s="6"/>
    </row>
    <row r="1931" spans="1:34">
      <c r="A1931" s="10"/>
      <c r="B1931" s="10"/>
      <c r="C1931" s="10"/>
      <c r="D1931" s="10"/>
      <c r="E1931" s="10"/>
      <c r="F1931" s="10"/>
      <c r="G1931" s="10"/>
      <c r="H1931" s="10"/>
      <c r="I1931" s="10"/>
      <c r="J1931" s="10"/>
      <c r="K1931" s="10"/>
      <c r="L1931" s="10"/>
      <c r="M1931" s="10"/>
      <c r="N1931" s="10"/>
      <c r="O1931" s="10"/>
      <c r="P1931" s="10"/>
      <c r="Q1931" s="10"/>
      <c r="R1931" s="10"/>
      <c r="S1931" s="10"/>
      <c r="T1931" s="10"/>
      <c r="U1931" s="10"/>
      <c r="V1931" s="10"/>
      <c r="W1931" s="10"/>
      <c r="X1931" s="10"/>
      <c r="Y1931" s="10"/>
      <c r="Z1931" s="10"/>
      <c r="AA1931" s="10"/>
      <c r="AB1931" s="10"/>
      <c r="AC1931" s="10"/>
      <c r="AG1931" s="467"/>
      <c r="AH1931" s="6"/>
    </row>
    <row r="1932" spans="1:34">
      <c r="A1932" s="10"/>
      <c r="B1932" s="10"/>
      <c r="C1932" s="10"/>
      <c r="D1932" s="10"/>
      <c r="E1932" s="10"/>
      <c r="F1932" s="10"/>
      <c r="G1932" s="10"/>
      <c r="H1932" s="10"/>
      <c r="I1932" s="10"/>
      <c r="J1932" s="10"/>
      <c r="K1932" s="10"/>
      <c r="L1932" s="10"/>
      <c r="M1932" s="10"/>
      <c r="N1932" s="10"/>
      <c r="O1932" s="10"/>
      <c r="P1932" s="10"/>
      <c r="Q1932" s="10"/>
      <c r="R1932" s="10"/>
      <c r="S1932" s="10"/>
      <c r="T1932" s="10"/>
      <c r="U1932" s="10"/>
      <c r="V1932" s="10"/>
      <c r="W1932" s="10"/>
      <c r="X1932" s="10"/>
      <c r="Y1932" s="10"/>
      <c r="Z1932" s="10"/>
      <c r="AA1932" s="10"/>
      <c r="AB1932" s="10"/>
      <c r="AC1932" s="10"/>
      <c r="AG1932" s="467"/>
      <c r="AH1932" s="6"/>
    </row>
    <row r="1933" spans="1:34">
      <c r="A1933" s="10"/>
      <c r="B1933" s="10"/>
      <c r="C1933" s="10"/>
      <c r="D1933" s="10"/>
      <c r="E1933" s="10"/>
      <c r="F1933" s="10"/>
      <c r="G1933" s="10"/>
      <c r="H1933" s="10"/>
      <c r="I1933" s="10"/>
      <c r="J1933" s="10"/>
      <c r="K1933" s="10"/>
      <c r="L1933" s="10"/>
      <c r="M1933" s="10"/>
      <c r="N1933" s="10"/>
      <c r="O1933" s="10"/>
      <c r="P1933" s="10"/>
      <c r="Q1933" s="10"/>
      <c r="R1933" s="10"/>
      <c r="S1933" s="10"/>
      <c r="T1933" s="10"/>
      <c r="U1933" s="10"/>
      <c r="V1933" s="10"/>
      <c r="W1933" s="10"/>
      <c r="X1933" s="10"/>
      <c r="Y1933" s="10"/>
      <c r="Z1933" s="10"/>
      <c r="AA1933" s="10"/>
      <c r="AB1933" s="10"/>
      <c r="AC1933" s="10"/>
      <c r="AG1933" s="467"/>
      <c r="AH1933" s="6"/>
    </row>
    <row r="1934" spans="1:34">
      <c r="A1934" s="10"/>
      <c r="B1934" s="10"/>
      <c r="C1934" s="10"/>
      <c r="D1934" s="10"/>
      <c r="E1934" s="10"/>
      <c r="F1934" s="10"/>
      <c r="G1934" s="10"/>
      <c r="H1934" s="10"/>
      <c r="I1934" s="10"/>
      <c r="J1934" s="10"/>
      <c r="K1934" s="10"/>
      <c r="L1934" s="10"/>
      <c r="M1934" s="10"/>
      <c r="N1934" s="10"/>
      <c r="O1934" s="10"/>
      <c r="P1934" s="10"/>
      <c r="Q1934" s="10"/>
      <c r="R1934" s="10"/>
      <c r="S1934" s="10"/>
      <c r="T1934" s="10"/>
      <c r="U1934" s="10"/>
      <c r="V1934" s="10"/>
      <c r="W1934" s="10"/>
      <c r="X1934" s="10"/>
      <c r="Y1934" s="10"/>
      <c r="Z1934" s="10"/>
      <c r="AA1934" s="10"/>
      <c r="AB1934" s="10"/>
      <c r="AC1934" s="10"/>
      <c r="AG1934" s="467"/>
      <c r="AH1934" s="6"/>
    </row>
    <row r="1935" spans="1:34">
      <c r="A1935" s="10"/>
      <c r="B1935" s="10"/>
      <c r="C1935" s="10"/>
      <c r="D1935" s="10"/>
      <c r="E1935" s="10"/>
      <c r="F1935" s="10"/>
      <c r="G1935" s="10"/>
      <c r="H1935" s="10"/>
      <c r="I1935" s="10"/>
      <c r="J1935" s="10"/>
      <c r="K1935" s="10"/>
      <c r="L1935" s="10"/>
      <c r="M1935" s="10"/>
      <c r="N1935" s="10"/>
      <c r="O1935" s="10"/>
      <c r="P1935" s="10"/>
      <c r="Q1935" s="10"/>
      <c r="R1935" s="10"/>
      <c r="S1935" s="10"/>
      <c r="T1935" s="10"/>
      <c r="U1935" s="10"/>
      <c r="V1935" s="10"/>
      <c r="W1935" s="10"/>
      <c r="X1935" s="10"/>
      <c r="Y1935" s="10"/>
      <c r="Z1935" s="10"/>
      <c r="AA1935" s="10"/>
      <c r="AB1935" s="10"/>
      <c r="AC1935" s="10"/>
      <c r="AG1935" s="467"/>
      <c r="AH1935" s="6"/>
    </row>
    <row r="1936" spans="1:34">
      <c r="A1936" s="10"/>
      <c r="B1936" s="10"/>
      <c r="C1936" s="10"/>
      <c r="D1936" s="10"/>
      <c r="E1936" s="10"/>
      <c r="F1936" s="10"/>
      <c r="G1936" s="10"/>
      <c r="H1936" s="10"/>
      <c r="I1936" s="10"/>
      <c r="J1936" s="10"/>
      <c r="K1936" s="10"/>
      <c r="L1936" s="10"/>
      <c r="M1936" s="10"/>
      <c r="N1936" s="10"/>
      <c r="O1936" s="10"/>
      <c r="P1936" s="10"/>
      <c r="Q1936" s="10"/>
      <c r="R1936" s="10"/>
      <c r="S1936" s="10"/>
      <c r="T1936" s="10"/>
      <c r="U1936" s="10"/>
      <c r="V1936" s="10"/>
      <c r="W1936" s="10"/>
      <c r="X1936" s="10"/>
      <c r="Y1936" s="10"/>
      <c r="Z1936" s="10"/>
      <c r="AA1936" s="10"/>
      <c r="AB1936" s="10"/>
      <c r="AC1936" s="10"/>
      <c r="AG1936" s="467"/>
      <c r="AH1936" s="6"/>
    </row>
    <row r="1937" spans="1:34">
      <c r="A1937" s="10"/>
      <c r="B1937" s="10"/>
      <c r="C1937" s="10"/>
      <c r="D1937" s="10"/>
      <c r="E1937" s="10"/>
      <c r="F1937" s="10"/>
      <c r="G1937" s="10"/>
      <c r="H1937" s="10"/>
      <c r="I1937" s="10"/>
      <c r="J1937" s="10"/>
      <c r="K1937" s="10"/>
      <c r="L1937" s="10"/>
      <c r="M1937" s="10"/>
      <c r="N1937" s="10"/>
      <c r="O1937" s="10"/>
      <c r="P1937" s="10"/>
      <c r="Q1937" s="10"/>
      <c r="R1937" s="10"/>
      <c r="S1937" s="10"/>
      <c r="T1937" s="10"/>
      <c r="U1937" s="10"/>
      <c r="V1937" s="10"/>
      <c r="W1937" s="10"/>
      <c r="X1937" s="10"/>
      <c r="Y1937" s="10"/>
      <c r="Z1937" s="10"/>
      <c r="AA1937" s="10"/>
      <c r="AB1937" s="10"/>
      <c r="AC1937" s="10"/>
      <c r="AG1937" s="467"/>
      <c r="AH1937" s="6"/>
    </row>
    <row r="1938" spans="1:34">
      <c r="A1938" s="10"/>
      <c r="B1938" s="10"/>
      <c r="C1938" s="10"/>
      <c r="D1938" s="10"/>
      <c r="E1938" s="10"/>
      <c r="F1938" s="10"/>
      <c r="G1938" s="10"/>
      <c r="H1938" s="10"/>
      <c r="I1938" s="10"/>
      <c r="J1938" s="10"/>
      <c r="K1938" s="10"/>
      <c r="L1938" s="10"/>
      <c r="M1938" s="10"/>
      <c r="N1938" s="10"/>
      <c r="O1938" s="10"/>
      <c r="P1938" s="10"/>
      <c r="Q1938" s="10"/>
      <c r="R1938" s="10"/>
      <c r="S1938" s="10"/>
      <c r="T1938" s="10"/>
      <c r="U1938" s="10"/>
      <c r="V1938" s="10"/>
      <c r="W1938" s="10"/>
      <c r="X1938" s="10"/>
      <c r="Y1938" s="10"/>
      <c r="Z1938" s="10"/>
      <c r="AA1938" s="10"/>
      <c r="AB1938" s="10"/>
      <c r="AC1938" s="10"/>
      <c r="AG1938" s="467"/>
      <c r="AH1938" s="6"/>
    </row>
    <row r="1939" spans="1:34">
      <c r="A1939" s="10"/>
      <c r="B1939" s="10"/>
      <c r="C1939" s="10"/>
      <c r="D1939" s="10"/>
      <c r="E1939" s="10"/>
      <c r="F1939" s="10"/>
      <c r="G1939" s="10"/>
      <c r="H1939" s="10"/>
      <c r="I1939" s="10"/>
      <c r="J1939" s="10"/>
      <c r="K1939" s="10"/>
      <c r="L1939" s="10"/>
      <c r="M1939" s="10"/>
      <c r="N1939" s="10"/>
      <c r="O1939" s="10"/>
      <c r="P1939" s="10"/>
      <c r="Q1939" s="10"/>
      <c r="R1939" s="10"/>
      <c r="S1939" s="10"/>
      <c r="T1939" s="10"/>
      <c r="U1939" s="10"/>
      <c r="V1939" s="10"/>
      <c r="W1939" s="10"/>
      <c r="X1939" s="10"/>
      <c r="Y1939" s="10"/>
      <c r="Z1939" s="10"/>
      <c r="AA1939" s="10"/>
      <c r="AB1939" s="10"/>
      <c r="AC1939" s="10"/>
      <c r="AG1939" s="467"/>
      <c r="AH1939" s="6"/>
    </row>
    <row r="1940" spans="1:34">
      <c r="A1940" s="10"/>
      <c r="B1940" s="10"/>
      <c r="C1940" s="10"/>
      <c r="D1940" s="10"/>
      <c r="E1940" s="10"/>
      <c r="F1940" s="10"/>
      <c r="G1940" s="10"/>
      <c r="H1940" s="10"/>
      <c r="I1940" s="10"/>
      <c r="J1940" s="10"/>
      <c r="K1940" s="10"/>
      <c r="L1940" s="10"/>
      <c r="M1940" s="10"/>
      <c r="N1940" s="10"/>
      <c r="O1940" s="10"/>
      <c r="P1940" s="10"/>
      <c r="Q1940" s="10"/>
      <c r="R1940" s="10"/>
      <c r="S1940" s="10"/>
      <c r="T1940" s="10"/>
      <c r="U1940" s="10"/>
      <c r="V1940" s="10"/>
      <c r="W1940" s="10"/>
      <c r="X1940" s="10"/>
      <c r="Y1940" s="10"/>
      <c r="Z1940" s="10"/>
      <c r="AA1940" s="10"/>
      <c r="AB1940" s="10"/>
      <c r="AC1940" s="10"/>
      <c r="AG1940" s="467"/>
      <c r="AH1940" s="6"/>
    </row>
    <row r="1941" spans="1:34">
      <c r="A1941" s="10"/>
      <c r="B1941" s="10"/>
      <c r="C1941" s="10"/>
      <c r="D1941" s="10"/>
      <c r="E1941" s="10"/>
      <c r="F1941" s="10"/>
      <c r="G1941" s="10"/>
      <c r="H1941" s="10"/>
      <c r="I1941" s="10"/>
      <c r="J1941" s="10"/>
      <c r="K1941" s="10"/>
      <c r="L1941" s="10"/>
      <c r="M1941" s="10"/>
      <c r="N1941" s="10"/>
      <c r="O1941" s="10"/>
      <c r="P1941" s="10"/>
      <c r="Q1941" s="10"/>
      <c r="R1941" s="10"/>
      <c r="S1941" s="10"/>
      <c r="T1941" s="10"/>
      <c r="U1941" s="10"/>
      <c r="V1941" s="10"/>
      <c r="W1941" s="10"/>
      <c r="X1941" s="10"/>
      <c r="Y1941" s="10"/>
      <c r="Z1941" s="10"/>
      <c r="AA1941" s="10"/>
      <c r="AB1941" s="10"/>
      <c r="AC1941" s="10"/>
      <c r="AG1941" s="467"/>
      <c r="AH1941" s="6"/>
    </row>
    <row r="1942" spans="1:34">
      <c r="A1942" s="10"/>
      <c r="B1942" s="10"/>
      <c r="C1942" s="10"/>
      <c r="D1942" s="10"/>
      <c r="E1942" s="10"/>
      <c r="F1942" s="10"/>
      <c r="G1942" s="10"/>
      <c r="H1942" s="10"/>
      <c r="I1942" s="10"/>
      <c r="J1942" s="10"/>
      <c r="K1942" s="10"/>
      <c r="L1942" s="10"/>
      <c r="M1942" s="10"/>
      <c r="N1942" s="10"/>
      <c r="O1942" s="10"/>
      <c r="P1942" s="10"/>
      <c r="Q1942" s="10"/>
      <c r="R1942" s="10"/>
      <c r="S1942" s="10"/>
      <c r="T1942" s="10"/>
      <c r="U1942" s="10"/>
      <c r="V1942" s="10"/>
      <c r="W1942" s="10"/>
      <c r="X1942" s="10"/>
      <c r="Y1942" s="10"/>
      <c r="Z1942" s="10"/>
      <c r="AA1942" s="10"/>
      <c r="AB1942" s="10"/>
      <c r="AC1942" s="10"/>
      <c r="AG1942" s="467"/>
      <c r="AH1942" s="6"/>
    </row>
    <row r="1943" spans="1:34">
      <c r="A1943" s="10"/>
      <c r="B1943" s="10"/>
      <c r="C1943" s="10"/>
      <c r="D1943" s="10"/>
      <c r="E1943" s="10"/>
      <c r="F1943" s="10"/>
      <c r="G1943" s="10"/>
      <c r="H1943" s="10"/>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G1943" s="467"/>
      <c r="AH1943" s="6"/>
    </row>
    <row r="1944" spans="1:34">
      <c r="A1944" s="10"/>
      <c r="B1944" s="10"/>
      <c r="C1944" s="10"/>
      <c r="D1944" s="10"/>
      <c r="E1944" s="10"/>
      <c r="F1944" s="10"/>
      <c r="G1944" s="10"/>
      <c r="H1944" s="10"/>
      <c r="I1944" s="10"/>
      <c r="J1944" s="10"/>
      <c r="K1944" s="10"/>
      <c r="L1944" s="10"/>
      <c r="M1944" s="10"/>
      <c r="N1944" s="10"/>
      <c r="O1944" s="10"/>
      <c r="P1944" s="10"/>
      <c r="Q1944" s="10"/>
      <c r="R1944" s="10"/>
      <c r="S1944" s="10"/>
      <c r="T1944" s="10"/>
      <c r="U1944" s="10"/>
      <c r="V1944" s="10"/>
      <c r="W1944" s="10"/>
      <c r="X1944" s="10"/>
      <c r="Y1944" s="10"/>
      <c r="Z1944" s="10"/>
      <c r="AA1944" s="10"/>
      <c r="AB1944" s="10"/>
      <c r="AC1944" s="10"/>
      <c r="AG1944" s="467"/>
      <c r="AH1944" s="6"/>
    </row>
    <row r="1945" spans="1:34">
      <c r="A1945" s="10"/>
      <c r="B1945" s="10"/>
      <c r="C1945" s="10"/>
      <c r="D1945" s="10"/>
      <c r="E1945" s="10"/>
      <c r="F1945" s="10"/>
      <c r="G1945" s="10"/>
      <c r="H1945" s="10"/>
      <c r="I1945" s="10"/>
      <c r="J1945" s="10"/>
      <c r="K1945" s="10"/>
      <c r="L1945" s="10"/>
      <c r="M1945" s="10"/>
      <c r="N1945" s="10"/>
      <c r="O1945" s="10"/>
      <c r="P1945" s="10"/>
      <c r="Q1945" s="10"/>
      <c r="R1945" s="10"/>
      <c r="S1945" s="10"/>
      <c r="T1945" s="10"/>
      <c r="U1945" s="10"/>
      <c r="V1945" s="10"/>
      <c r="W1945" s="10"/>
      <c r="X1945" s="10"/>
      <c r="Y1945" s="10"/>
      <c r="Z1945" s="10"/>
      <c r="AA1945" s="10"/>
      <c r="AB1945" s="10"/>
      <c r="AC1945" s="10"/>
      <c r="AG1945" s="467"/>
      <c r="AH1945" s="6"/>
    </row>
    <row r="1946" spans="1:34">
      <c r="A1946" s="10"/>
      <c r="B1946" s="10"/>
      <c r="C1946" s="10"/>
      <c r="D1946" s="10"/>
      <c r="E1946" s="10"/>
      <c r="F1946" s="10"/>
      <c r="G1946" s="10"/>
      <c r="H1946" s="10"/>
      <c r="I1946" s="10"/>
      <c r="J1946" s="10"/>
      <c r="K1946" s="10"/>
      <c r="L1946" s="10"/>
      <c r="M1946" s="10"/>
      <c r="N1946" s="10"/>
      <c r="O1946" s="10"/>
      <c r="P1946" s="10"/>
      <c r="Q1946" s="10"/>
      <c r="R1946" s="10"/>
      <c r="S1946" s="10"/>
      <c r="T1946" s="10"/>
      <c r="U1946" s="10"/>
      <c r="V1946" s="10"/>
      <c r="W1946" s="10"/>
      <c r="X1946" s="10"/>
      <c r="Y1946" s="10"/>
      <c r="Z1946" s="10"/>
      <c r="AA1946" s="10"/>
      <c r="AB1946" s="10"/>
      <c r="AC1946" s="10"/>
      <c r="AG1946" s="467"/>
      <c r="AH1946" s="6"/>
    </row>
    <row r="1947" spans="1:34">
      <c r="A1947" s="10"/>
      <c r="B1947" s="10"/>
      <c r="C1947" s="10"/>
      <c r="D1947" s="10"/>
      <c r="E1947" s="10"/>
      <c r="F1947" s="10"/>
      <c r="G1947" s="10"/>
      <c r="H1947" s="10"/>
      <c r="I1947" s="10"/>
      <c r="J1947" s="10"/>
      <c r="K1947" s="10"/>
      <c r="L1947" s="10"/>
      <c r="M1947" s="10"/>
      <c r="N1947" s="10"/>
      <c r="O1947" s="10"/>
      <c r="P1947" s="10"/>
      <c r="Q1947" s="10"/>
      <c r="R1947" s="10"/>
      <c r="S1947" s="10"/>
      <c r="T1947" s="10"/>
      <c r="U1947" s="10"/>
      <c r="V1947" s="10"/>
      <c r="W1947" s="10"/>
      <c r="X1947" s="10"/>
      <c r="Y1947" s="10"/>
      <c r="Z1947" s="10"/>
      <c r="AA1947" s="10"/>
      <c r="AB1947" s="10"/>
      <c r="AC1947" s="10"/>
      <c r="AG1947" s="467"/>
      <c r="AH1947" s="6"/>
    </row>
    <row r="1948" spans="1:34">
      <c r="A1948" s="10"/>
      <c r="B1948" s="10"/>
      <c r="C1948" s="10"/>
      <c r="D1948" s="10"/>
      <c r="E1948" s="10"/>
      <c r="F1948" s="10"/>
      <c r="G1948" s="10"/>
      <c r="H1948" s="10"/>
      <c r="I1948" s="10"/>
      <c r="J1948" s="10"/>
      <c r="K1948" s="10"/>
      <c r="L1948" s="10"/>
      <c r="M1948" s="10"/>
      <c r="N1948" s="10"/>
      <c r="O1948" s="10"/>
      <c r="P1948" s="10"/>
      <c r="Q1948" s="10"/>
      <c r="R1948" s="10"/>
      <c r="S1948" s="10"/>
      <c r="T1948" s="10"/>
      <c r="U1948" s="10"/>
      <c r="V1948" s="10"/>
      <c r="W1948" s="10"/>
      <c r="X1948" s="10"/>
      <c r="Y1948" s="10"/>
      <c r="Z1948" s="10"/>
      <c r="AA1948" s="10"/>
      <c r="AB1948" s="10"/>
      <c r="AC1948" s="10"/>
      <c r="AG1948" s="467"/>
      <c r="AH1948" s="6"/>
    </row>
    <row r="1949" spans="1:34">
      <c r="A1949" s="10"/>
      <c r="B1949" s="10"/>
      <c r="C1949" s="10"/>
      <c r="D1949" s="10"/>
      <c r="E1949" s="10"/>
      <c r="F1949" s="10"/>
      <c r="G1949" s="10"/>
      <c r="H1949" s="10"/>
      <c r="I1949" s="10"/>
      <c r="J1949" s="10"/>
      <c r="K1949" s="10"/>
      <c r="L1949" s="10"/>
      <c r="M1949" s="10"/>
      <c r="N1949" s="10"/>
      <c r="O1949" s="10"/>
      <c r="P1949" s="10"/>
      <c r="Q1949" s="10"/>
      <c r="R1949" s="10"/>
      <c r="S1949" s="10"/>
      <c r="T1949" s="10"/>
      <c r="U1949" s="10"/>
      <c r="V1949" s="10"/>
      <c r="W1949" s="10"/>
      <c r="X1949" s="10"/>
      <c r="Y1949" s="10"/>
      <c r="Z1949" s="10"/>
      <c r="AA1949" s="10"/>
      <c r="AB1949" s="10"/>
      <c r="AC1949" s="10"/>
      <c r="AG1949" s="467"/>
      <c r="AH1949" s="6"/>
    </row>
    <row r="1950" spans="1:34">
      <c r="A1950" s="10"/>
      <c r="B1950" s="10"/>
      <c r="C1950" s="10"/>
      <c r="D1950" s="10"/>
      <c r="E1950" s="10"/>
      <c r="F1950" s="10"/>
      <c r="G1950" s="10"/>
      <c r="H1950" s="10"/>
      <c r="I1950" s="10"/>
      <c r="J1950" s="10"/>
      <c r="K1950" s="10"/>
      <c r="L1950" s="10"/>
      <c r="M1950" s="10"/>
      <c r="N1950" s="10"/>
      <c r="O1950" s="10"/>
      <c r="P1950" s="10"/>
      <c r="Q1950" s="10"/>
      <c r="R1950" s="10"/>
      <c r="S1950" s="10"/>
      <c r="T1950" s="10"/>
      <c r="U1950" s="10"/>
      <c r="V1950" s="10"/>
      <c r="W1950" s="10"/>
      <c r="X1950" s="10"/>
      <c r="Y1950" s="10"/>
      <c r="Z1950" s="10"/>
      <c r="AA1950" s="10"/>
      <c r="AB1950" s="10"/>
      <c r="AC1950" s="10"/>
      <c r="AG1950" s="467"/>
      <c r="AH1950" s="6"/>
    </row>
    <row r="1951" spans="1:34">
      <c r="A1951" s="10"/>
      <c r="B1951" s="10"/>
      <c r="C1951" s="10"/>
      <c r="D1951" s="10"/>
      <c r="E1951" s="10"/>
      <c r="F1951" s="10"/>
      <c r="G1951" s="10"/>
      <c r="H1951" s="10"/>
      <c r="I1951" s="10"/>
      <c r="J1951" s="10"/>
      <c r="K1951" s="10"/>
      <c r="L1951" s="10"/>
      <c r="M1951" s="10"/>
      <c r="N1951" s="10"/>
      <c r="O1951" s="10"/>
      <c r="P1951" s="10"/>
      <c r="Q1951" s="10"/>
      <c r="R1951" s="10"/>
      <c r="S1951" s="10"/>
      <c r="T1951" s="10"/>
      <c r="U1951" s="10"/>
      <c r="V1951" s="10"/>
      <c r="W1951" s="10"/>
      <c r="X1951" s="10"/>
      <c r="Y1951" s="10"/>
      <c r="Z1951" s="10"/>
      <c r="AA1951" s="10"/>
      <c r="AB1951" s="10"/>
      <c r="AC1951" s="10"/>
      <c r="AG1951" s="467"/>
      <c r="AH1951" s="6"/>
    </row>
    <row r="1952" spans="1:34">
      <c r="A1952" s="10"/>
      <c r="B1952" s="10"/>
      <c r="C1952" s="10"/>
      <c r="D1952" s="10"/>
      <c r="E1952" s="10"/>
      <c r="F1952" s="10"/>
      <c r="G1952" s="10"/>
      <c r="H1952" s="10"/>
      <c r="I1952" s="10"/>
      <c r="J1952" s="10"/>
      <c r="K1952" s="10"/>
      <c r="L1952" s="10"/>
      <c r="M1952" s="10"/>
      <c r="N1952" s="10"/>
      <c r="O1952" s="10"/>
      <c r="P1952" s="10"/>
      <c r="Q1952" s="10"/>
      <c r="R1952" s="10"/>
      <c r="S1952" s="10"/>
      <c r="T1952" s="10"/>
      <c r="U1952" s="10"/>
      <c r="V1952" s="10"/>
      <c r="W1952" s="10"/>
      <c r="X1952" s="10"/>
      <c r="Y1952" s="10"/>
      <c r="Z1952" s="10"/>
      <c r="AA1952" s="10"/>
      <c r="AB1952" s="10"/>
      <c r="AC1952" s="10"/>
      <c r="AG1952" s="467"/>
      <c r="AH1952" s="6"/>
    </row>
    <row r="1953" spans="1:34">
      <c r="A1953" s="10"/>
      <c r="B1953" s="10"/>
      <c r="C1953" s="10"/>
      <c r="D1953" s="10"/>
      <c r="E1953" s="10"/>
      <c r="F1953" s="10"/>
      <c r="G1953" s="10"/>
      <c r="H1953" s="10"/>
      <c r="I1953" s="10"/>
      <c r="J1953" s="10"/>
      <c r="K1953" s="10"/>
      <c r="L1953" s="10"/>
      <c r="M1953" s="10"/>
      <c r="N1953" s="10"/>
      <c r="O1953" s="10"/>
      <c r="P1953" s="10"/>
      <c r="Q1953" s="10"/>
      <c r="R1953" s="10"/>
      <c r="S1953" s="10"/>
      <c r="T1953" s="10"/>
      <c r="U1953" s="10"/>
      <c r="V1953" s="10"/>
      <c r="W1953" s="10"/>
      <c r="X1953" s="10"/>
      <c r="Y1953" s="10"/>
      <c r="Z1953" s="10"/>
      <c r="AA1953" s="10"/>
      <c r="AB1953" s="10"/>
      <c r="AC1953" s="10"/>
      <c r="AG1953" s="467"/>
      <c r="AH1953" s="6"/>
    </row>
    <row r="1954" spans="1:34">
      <c r="A1954" s="10"/>
      <c r="B1954" s="10"/>
      <c r="C1954" s="10"/>
      <c r="D1954" s="10"/>
      <c r="E1954" s="10"/>
      <c r="F1954" s="10"/>
      <c r="G1954" s="10"/>
      <c r="H1954" s="10"/>
      <c r="I1954" s="10"/>
      <c r="J1954" s="10"/>
      <c r="K1954" s="10"/>
      <c r="L1954" s="10"/>
      <c r="M1954" s="10"/>
      <c r="N1954" s="10"/>
      <c r="O1954" s="10"/>
      <c r="P1954" s="10"/>
      <c r="Q1954" s="10"/>
      <c r="R1954" s="10"/>
      <c r="S1954" s="10"/>
      <c r="T1954" s="10"/>
      <c r="U1954" s="10"/>
      <c r="V1954" s="10"/>
      <c r="W1954" s="10"/>
      <c r="X1954" s="10"/>
      <c r="Y1954" s="10"/>
      <c r="Z1954" s="10"/>
      <c r="AA1954" s="10"/>
      <c r="AB1954" s="10"/>
      <c r="AC1954" s="10"/>
      <c r="AG1954" s="467"/>
      <c r="AH1954" s="6"/>
    </row>
    <row r="1955" spans="1:34">
      <c r="A1955" s="10"/>
      <c r="B1955" s="10"/>
      <c r="C1955" s="10"/>
      <c r="D1955" s="10"/>
      <c r="E1955" s="10"/>
      <c r="F1955" s="10"/>
      <c r="G1955" s="10"/>
      <c r="H1955" s="10"/>
      <c r="I1955" s="10"/>
      <c r="J1955" s="10"/>
      <c r="K1955" s="10"/>
      <c r="L1955" s="10"/>
      <c r="M1955" s="10"/>
      <c r="N1955" s="10"/>
      <c r="O1955" s="10"/>
      <c r="P1955" s="10"/>
      <c r="Q1955" s="10"/>
      <c r="R1955" s="10"/>
      <c r="S1955" s="10"/>
      <c r="T1955" s="10"/>
      <c r="U1955" s="10"/>
      <c r="V1955" s="10"/>
      <c r="W1955" s="10"/>
      <c r="X1955" s="10"/>
      <c r="Y1955" s="10"/>
      <c r="Z1955" s="10"/>
      <c r="AA1955" s="10"/>
      <c r="AB1955" s="10"/>
      <c r="AC1955" s="10"/>
      <c r="AG1955" s="467"/>
      <c r="AH1955" s="6"/>
    </row>
    <row r="1956" spans="1:34">
      <c r="A1956" s="10"/>
      <c r="B1956" s="10"/>
      <c r="C1956" s="10"/>
      <c r="D1956" s="10"/>
      <c r="E1956" s="10"/>
      <c r="F1956" s="10"/>
      <c r="G1956" s="10"/>
      <c r="H1956" s="10"/>
      <c r="I1956" s="10"/>
      <c r="J1956" s="10"/>
      <c r="K1956" s="10"/>
      <c r="L1956" s="10"/>
      <c r="M1956" s="10"/>
      <c r="N1956" s="10"/>
      <c r="O1956" s="10"/>
      <c r="P1956" s="10"/>
      <c r="Q1956" s="10"/>
      <c r="R1956" s="10"/>
      <c r="S1956" s="10"/>
      <c r="T1956" s="10"/>
      <c r="U1956" s="10"/>
      <c r="V1956" s="10"/>
      <c r="W1956" s="10"/>
      <c r="X1956" s="10"/>
      <c r="Y1956" s="10"/>
      <c r="Z1956" s="10"/>
      <c r="AA1956" s="10"/>
      <c r="AB1956" s="10"/>
      <c r="AC1956" s="10"/>
      <c r="AG1956" s="467"/>
      <c r="AH1956" s="6"/>
    </row>
    <row r="1957" spans="1:34">
      <c r="A1957" s="10"/>
      <c r="B1957" s="10"/>
      <c r="C1957" s="10"/>
      <c r="D1957" s="10"/>
      <c r="E1957" s="10"/>
      <c r="F1957" s="10"/>
      <c r="G1957" s="10"/>
      <c r="H1957" s="10"/>
      <c r="I1957" s="10"/>
      <c r="J1957" s="10"/>
      <c r="K1957" s="10"/>
      <c r="L1957" s="10"/>
      <c r="M1957" s="10"/>
      <c r="N1957" s="10"/>
      <c r="O1957" s="10"/>
      <c r="P1957" s="10"/>
      <c r="Q1957" s="10"/>
      <c r="R1957" s="10"/>
      <c r="S1957" s="10"/>
      <c r="T1957" s="10"/>
      <c r="U1957" s="10"/>
      <c r="V1957" s="10"/>
      <c r="W1957" s="10"/>
      <c r="X1957" s="10"/>
      <c r="Y1957" s="10"/>
      <c r="Z1957" s="10"/>
      <c r="AA1957" s="10"/>
      <c r="AB1957" s="10"/>
      <c r="AC1957" s="10"/>
      <c r="AG1957" s="467"/>
      <c r="AH1957" s="6"/>
    </row>
    <row r="1958" spans="1:34">
      <c r="A1958" s="10"/>
      <c r="B1958" s="10"/>
      <c r="C1958" s="10"/>
      <c r="D1958" s="10"/>
      <c r="E1958" s="10"/>
      <c r="F1958" s="10"/>
      <c r="G1958" s="10"/>
      <c r="H1958" s="10"/>
      <c r="I1958" s="10"/>
      <c r="J1958" s="10"/>
      <c r="K1958" s="10"/>
      <c r="L1958" s="10"/>
      <c r="M1958" s="10"/>
      <c r="N1958" s="10"/>
      <c r="O1958" s="10"/>
      <c r="P1958" s="10"/>
      <c r="Q1958" s="10"/>
      <c r="R1958" s="10"/>
      <c r="S1958" s="10"/>
      <c r="T1958" s="10"/>
      <c r="U1958" s="10"/>
      <c r="V1958" s="10"/>
      <c r="W1958" s="10"/>
      <c r="X1958" s="10"/>
      <c r="Y1958" s="10"/>
      <c r="Z1958" s="10"/>
      <c r="AA1958" s="10"/>
      <c r="AB1958" s="10"/>
      <c r="AC1958" s="10"/>
      <c r="AG1958" s="467"/>
      <c r="AH1958" s="6"/>
    </row>
    <row r="1959" spans="1:34">
      <c r="A1959" s="10"/>
      <c r="B1959" s="10"/>
      <c r="C1959" s="10"/>
      <c r="D1959" s="10"/>
      <c r="E1959" s="10"/>
      <c r="F1959" s="10"/>
      <c r="G1959" s="10"/>
      <c r="H1959" s="10"/>
      <c r="I1959" s="10"/>
      <c r="J1959" s="10"/>
      <c r="K1959" s="10"/>
      <c r="L1959" s="10"/>
      <c r="M1959" s="10"/>
      <c r="N1959" s="10"/>
      <c r="O1959" s="10"/>
      <c r="P1959" s="10"/>
      <c r="Q1959" s="10"/>
      <c r="R1959" s="10"/>
      <c r="S1959" s="10"/>
      <c r="T1959" s="10"/>
      <c r="U1959" s="10"/>
      <c r="V1959" s="10"/>
      <c r="W1959" s="10"/>
      <c r="X1959" s="10"/>
      <c r="Y1959" s="10"/>
      <c r="Z1959" s="10"/>
      <c r="AA1959" s="10"/>
      <c r="AB1959" s="10"/>
      <c r="AC1959" s="10"/>
      <c r="AG1959" s="467"/>
      <c r="AH1959" s="6"/>
    </row>
    <row r="1960" spans="1:34">
      <c r="A1960" s="10"/>
      <c r="B1960" s="10"/>
      <c r="C1960" s="10"/>
      <c r="D1960" s="10"/>
      <c r="E1960" s="10"/>
      <c r="F1960" s="10"/>
      <c r="G1960" s="10"/>
      <c r="H1960" s="10"/>
      <c r="I1960" s="10"/>
      <c r="J1960" s="10"/>
      <c r="K1960" s="10"/>
      <c r="L1960" s="10"/>
      <c r="M1960" s="10"/>
      <c r="N1960" s="10"/>
      <c r="O1960" s="10"/>
      <c r="P1960" s="10"/>
      <c r="Q1960" s="10"/>
      <c r="R1960" s="10"/>
      <c r="S1960" s="10"/>
      <c r="T1960" s="10"/>
      <c r="U1960" s="10"/>
      <c r="V1960" s="10"/>
      <c r="W1960" s="10"/>
      <c r="X1960" s="10"/>
      <c r="Y1960" s="10"/>
      <c r="Z1960" s="10"/>
      <c r="AA1960" s="10"/>
      <c r="AB1960" s="10"/>
      <c r="AC1960" s="10"/>
      <c r="AG1960" s="467"/>
      <c r="AH1960" s="6"/>
    </row>
    <row r="1961" spans="1:34">
      <c r="A1961" s="10"/>
      <c r="B1961" s="10"/>
      <c r="C1961" s="10"/>
      <c r="D1961" s="10"/>
      <c r="E1961" s="10"/>
      <c r="F1961" s="10"/>
      <c r="G1961" s="10"/>
      <c r="H1961" s="10"/>
      <c r="I1961" s="10"/>
      <c r="J1961" s="10"/>
      <c r="K1961" s="10"/>
      <c r="L1961" s="10"/>
      <c r="M1961" s="10"/>
      <c r="N1961" s="10"/>
      <c r="O1961" s="10"/>
      <c r="P1961" s="10"/>
      <c r="Q1961" s="10"/>
      <c r="R1961" s="10"/>
      <c r="S1961" s="10"/>
      <c r="T1961" s="10"/>
      <c r="U1961" s="10"/>
      <c r="V1961" s="10"/>
      <c r="W1961" s="10"/>
      <c r="X1961" s="10"/>
      <c r="Y1961" s="10"/>
      <c r="Z1961" s="10"/>
      <c r="AA1961" s="10"/>
      <c r="AB1961" s="10"/>
      <c r="AC1961" s="10"/>
      <c r="AG1961" s="467"/>
      <c r="AH1961" s="6"/>
    </row>
    <row r="1962" spans="1:34">
      <c r="A1962" s="10"/>
      <c r="B1962" s="10"/>
      <c r="C1962" s="10"/>
      <c r="D1962" s="10"/>
      <c r="E1962" s="10"/>
      <c r="F1962" s="10"/>
      <c r="G1962" s="10"/>
      <c r="H1962" s="10"/>
      <c r="I1962" s="10"/>
      <c r="J1962" s="10"/>
      <c r="K1962" s="10"/>
      <c r="L1962" s="10"/>
      <c r="M1962" s="10"/>
      <c r="N1962" s="10"/>
      <c r="O1962" s="10"/>
      <c r="P1962" s="10"/>
      <c r="Q1962" s="10"/>
      <c r="R1962" s="10"/>
      <c r="S1962" s="10"/>
      <c r="T1962" s="10"/>
      <c r="U1962" s="10"/>
      <c r="V1962" s="10"/>
      <c r="W1962" s="10"/>
      <c r="X1962" s="10"/>
      <c r="Y1962" s="10"/>
      <c r="Z1962" s="10"/>
      <c r="AA1962" s="10"/>
      <c r="AB1962" s="10"/>
      <c r="AC1962" s="10"/>
      <c r="AG1962" s="467"/>
      <c r="AH1962" s="6"/>
    </row>
    <row r="1963" spans="1:34">
      <c r="A1963" s="10"/>
      <c r="B1963" s="10"/>
      <c r="C1963" s="10"/>
      <c r="D1963" s="10"/>
      <c r="E1963" s="10"/>
      <c r="F1963" s="10"/>
      <c r="G1963" s="10"/>
      <c r="H1963" s="10"/>
      <c r="I1963" s="10"/>
      <c r="J1963" s="10"/>
      <c r="K1963" s="10"/>
      <c r="L1963" s="10"/>
      <c r="M1963" s="10"/>
      <c r="N1963" s="10"/>
      <c r="O1963" s="10"/>
      <c r="P1963" s="10"/>
      <c r="Q1963" s="10"/>
      <c r="R1963" s="10"/>
      <c r="S1963" s="10"/>
      <c r="T1963" s="10"/>
      <c r="U1963" s="10"/>
      <c r="V1963" s="10"/>
      <c r="W1963" s="10"/>
      <c r="X1963" s="10"/>
      <c r="Y1963" s="10"/>
      <c r="Z1963" s="10"/>
      <c r="AA1963" s="10"/>
      <c r="AB1963" s="10"/>
      <c r="AC1963" s="10"/>
      <c r="AG1963" s="467"/>
      <c r="AH1963" s="6"/>
    </row>
    <row r="1964" spans="1:34">
      <c r="A1964" s="10"/>
      <c r="B1964" s="10"/>
      <c r="C1964" s="10"/>
      <c r="D1964" s="10"/>
      <c r="E1964" s="10"/>
      <c r="F1964" s="10"/>
      <c r="G1964" s="10"/>
      <c r="H1964" s="10"/>
      <c r="I1964" s="10"/>
      <c r="J1964" s="10"/>
      <c r="K1964" s="10"/>
      <c r="L1964" s="10"/>
      <c r="M1964" s="10"/>
      <c r="N1964" s="10"/>
      <c r="O1964" s="10"/>
      <c r="P1964" s="10"/>
      <c r="Q1964" s="10"/>
      <c r="R1964" s="10"/>
      <c r="S1964" s="10"/>
      <c r="T1964" s="10"/>
      <c r="U1964" s="10"/>
      <c r="V1964" s="10"/>
      <c r="W1964" s="10"/>
      <c r="X1964" s="10"/>
      <c r="Y1964" s="10"/>
      <c r="Z1964" s="10"/>
      <c r="AA1964" s="10"/>
      <c r="AB1964" s="10"/>
      <c r="AC1964" s="10"/>
      <c r="AG1964" s="467"/>
      <c r="AH1964" s="6"/>
    </row>
    <row r="1965" spans="1:34">
      <c r="A1965" s="10"/>
      <c r="B1965" s="10"/>
      <c r="C1965" s="10"/>
      <c r="D1965" s="10"/>
      <c r="E1965" s="10"/>
      <c r="F1965" s="10"/>
      <c r="G1965" s="10"/>
      <c r="H1965" s="10"/>
      <c r="I1965" s="10"/>
      <c r="J1965" s="10"/>
      <c r="K1965" s="10"/>
      <c r="L1965" s="10"/>
      <c r="M1965" s="10"/>
      <c r="N1965" s="10"/>
      <c r="O1965" s="10"/>
      <c r="P1965" s="10"/>
      <c r="Q1965" s="10"/>
      <c r="R1965" s="10"/>
      <c r="S1965" s="10"/>
      <c r="T1965" s="10"/>
      <c r="U1965" s="10"/>
      <c r="V1965" s="10"/>
      <c r="W1965" s="10"/>
      <c r="X1965" s="10"/>
      <c r="Y1965" s="10"/>
      <c r="Z1965" s="10"/>
      <c r="AA1965" s="10"/>
      <c r="AB1965" s="10"/>
      <c r="AC1965" s="10"/>
      <c r="AG1965" s="467"/>
      <c r="AH1965" s="6"/>
    </row>
    <row r="1966" spans="1:34">
      <c r="A1966" s="10"/>
      <c r="B1966" s="10"/>
      <c r="C1966" s="10"/>
      <c r="D1966" s="10"/>
      <c r="E1966" s="10"/>
      <c r="F1966" s="10"/>
      <c r="G1966" s="10"/>
      <c r="H1966" s="10"/>
      <c r="I1966" s="10"/>
      <c r="J1966" s="10"/>
      <c r="K1966" s="10"/>
      <c r="L1966" s="10"/>
      <c r="M1966" s="10"/>
      <c r="N1966" s="10"/>
      <c r="O1966" s="10"/>
      <c r="P1966" s="10"/>
      <c r="Q1966" s="10"/>
      <c r="R1966" s="10"/>
      <c r="S1966" s="10"/>
      <c r="T1966" s="10"/>
      <c r="U1966" s="10"/>
      <c r="V1966" s="10"/>
      <c r="W1966" s="10"/>
      <c r="X1966" s="10"/>
      <c r="Y1966" s="10"/>
      <c r="Z1966" s="10"/>
      <c r="AA1966" s="10"/>
      <c r="AB1966" s="10"/>
      <c r="AC1966" s="10"/>
      <c r="AG1966" s="467"/>
      <c r="AH1966" s="6"/>
    </row>
    <row r="1967" spans="1:34">
      <c r="A1967" s="10"/>
      <c r="B1967" s="10"/>
      <c r="C1967" s="10"/>
      <c r="D1967" s="10"/>
      <c r="E1967" s="10"/>
      <c r="F1967" s="10"/>
      <c r="G1967" s="10"/>
      <c r="H1967" s="10"/>
      <c r="I1967" s="10"/>
      <c r="J1967" s="10"/>
      <c r="K1967" s="10"/>
      <c r="L1967" s="10"/>
      <c r="M1967" s="10"/>
      <c r="N1967" s="10"/>
      <c r="O1967" s="10"/>
      <c r="P1967" s="10"/>
      <c r="Q1967" s="10"/>
      <c r="R1967" s="10"/>
      <c r="S1967" s="10"/>
      <c r="T1967" s="10"/>
      <c r="U1967" s="10"/>
      <c r="V1967" s="10"/>
      <c r="W1967" s="10"/>
      <c r="X1967" s="10"/>
      <c r="Y1967" s="10"/>
      <c r="Z1967" s="10"/>
      <c r="AA1967" s="10"/>
      <c r="AB1967" s="10"/>
      <c r="AC1967" s="10"/>
      <c r="AG1967" s="467"/>
      <c r="AH1967" s="6"/>
    </row>
    <row r="1968" spans="1:34">
      <c r="A1968" s="10"/>
      <c r="B1968" s="10"/>
      <c r="C1968" s="10"/>
      <c r="D1968" s="10"/>
      <c r="E1968" s="10"/>
      <c r="F1968" s="10"/>
      <c r="G1968" s="10"/>
      <c r="H1968" s="10"/>
      <c r="I1968" s="10"/>
      <c r="J1968" s="10"/>
      <c r="K1968" s="10"/>
      <c r="L1968" s="10"/>
      <c r="M1968" s="10"/>
      <c r="N1968" s="10"/>
      <c r="O1968" s="10"/>
      <c r="P1968" s="10"/>
      <c r="Q1968" s="10"/>
      <c r="R1968" s="10"/>
      <c r="S1968" s="10"/>
      <c r="T1968" s="10"/>
      <c r="U1968" s="10"/>
      <c r="V1968" s="10"/>
      <c r="W1968" s="10"/>
      <c r="X1968" s="10"/>
      <c r="Y1968" s="10"/>
      <c r="Z1968" s="10"/>
      <c r="AA1968" s="10"/>
      <c r="AB1968" s="10"/>
      <c r="AC1968" s="10"/>
      <c r="AG1968" s="467"/>
      <c r="AH1968" s="6"/>
    </row>
    <row r="1969" spans="1:34">
      <c r="A1969" s="10"/>
      <c r="B1969" s="10"/>
      <c r="C1969" s="10"/>
      <c r="D1969" s="10"/>
      <c r="E1969" s="10"/>
      <c r="F1969" s="10"/>
      <c r="G1969" s="10"/>
      <c r="H1969" s="10"/>
      <c r="I1969" s="10"/>
      <c r="J1969" s="10"/>
      <c r="K1969" s="10"/>
      <c r="L1969" s="10"/>
      <c r="M1969" s="10"/>
      <c r="N1969" s="10"/>
      <c r="O1969" s="10"/>
      <c r="P1969" s="10"/>
      <c r="Q1969" s="10"/>
      <c r="R1969" s="10"/>
      <c r="S1969" s="10"/>
      <c r="T1969" s="10"/>
      <c r="U1969" s="10"/>
      <c r="V1969" s="10"/>
      <c r="W1969" s="10"/>
      <c r="X1969" s="10"/>
      <c r="Y1969" s="10"/>
      <c r="Z1969" s="10"/>
      <c r="AA1969" s="10"/>
      <c r="AB1969" s="10"/>
      <c r="AC1969" s="10"/>
      <c r="AG1969" s="467"/>
      <c r="AH1969" s="6"/>
    </row>
    <row r="1970" spans="1:34">
      <c r="A1970" s="10"/>
      <c r="B1970" s="10"/>
      <c r="C1970" s="10"/>
      <c r="D1970" s="10"/>
      <c r="E1970" s="10"/>
      <c r="F1970" s="10"/>
      <c r="G1970" s="10"/>
      <c r="H1970" s="10"/>
      <c r="I1970" s="10"/>
      <c r="J1970" s="10"/>
      <c r="K1970" s="10"/>
      <c r="L1970" s="10"/>
      <c r="M1970" s="10"/>
      <c r="N1970" s="10"/>
      <c r="O1970" s="10"/>
      <c r="P1970" s="10"/>
      <c r="Q1970" s="10"/>
      <c r="R1970" s="10"/>
      <c r="S1970" s="10"/>
      <c r="T1970" s="10"/>
      <c r="U1970" s="10"/>
      <c r="V1970" s="10"/>
      <c r="W1970" s="10"/>
      <c r="X1970" s="10"/>
      <c r="Y1970" s="10"/>
      <c r="Z1970" s="10"/>
      <c r="AA1970" s="10"/>
      <c r="AB1970" s="10"/>
      <c r="AC1970" s="10"/>
      <c r="AG1970" s="467"/>
      <c r="AH1970" s="6"/>
    </row>
    <row r="1971" spans="1:34">
      <c r="A1971" s="10"/>
      <c r="B1971" s="10"/>
      <c r="C1971" s="10"/>
      <c r="D1971" s="10"/>
      <c r="E1971" s="10"/>
      <c r="F1971" s="10"/>
      <c r="G1971" s="10"/>
      <c r="H1971" s="10"/>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G1971" s="467"/>
      <c r="AH1971" s="6"/>
    </row>
    <row r="1972" spans="1:34">
      <c r="A1972" s="10"/>
      <c r="B1972" s="10"/>
      <c r="C1972" s="10"/>
      <c r="D1972" s="10"/>
      <c r="E1972" s="10"/>
      <c r="F1972" s="10"/>
      <c r="G1972" s="10"/>
      <c r="H1972" s="10"/>
      <c r="I1972" s="10"/>
      <c r="J1972" s="10"/>
      <c r="K1972" s="10"/>
      <c r="L1972" s="10"/>
      <c r="M1972" s="10"/>
      <c r="N1972" s="10"/>
      <c r="O1972" s="10"/>
      <c r="P1972" s="10"/>
      <c r="Q1972" s="10"/>
      <c r="R1972" s="10"/>
      <c r="S1972" s="10"/>
      <c r="T1972" s="10"/>
      <c r="U1972" s="10"/>
      <c r="V1972" s="10"/>
      <c r="W1972" s="10"/>
      <c r="X1972" s="10"/>
      <c r="Y1972" s="10"/>
      <c r="Z1972" s="10"/>
      <c r="AA1972" s="10"/>
      <c r="AB1972" s="10"/>
      <c r="AC1972" s="10"/>
      <c r="AG1972" s="467"/>
      <c r="AH1972" s="6"/>
    </row>
    <row r="1973" spans="1:34">
      <c r="A1973" s="10"/>
      <c r="B1973" s="10"/>
      <c r="C1973" s="10"/>
      <c r="D1973" s="10"/>
      <c r="E1973" s="10"/>
      <c r="F1973" s="10"/>
      <c r="G1973" s="10"/>
      <c r="H1973" s="10"/>
      <c r="I1973" s="10"/>
      <c r="J1973" s="10"/>
      <c r="K1973" s="10"/>
      <c r="L1973" s="10"/>
      <c r="M1973" s="10"/>
      <c r="N1973" s="10"/>
      <c r="O1973" s="10"/>
      <c r="P1973" s="10"/>
      <c r="Q1973" s="10"/>
      <c r="R1973" s="10"/>
      <c r="S1973" s="10"/>
      <c r="T1973" s="10"/>
      <c r="U1973" s="10"/>
      <c r="V1973" s="10"/>
      <c r="W1973" s="10"/>
      <c r="X1973" s="10"/>
      <c r="Y1973" s="10"/>
      <c r="Z1973" s="10"/>
      <c r="AA1973" s="10"/>
      <c r="AB1973" s="10"/>
      <c r="AC1973" s="10"/>
      <c r="AG1973" s="467"/>
      <c r="AH1973" s="6"/>
    </row>
    <row r="1974" spans="1:34">
      <c r="A1974" s="10"/>
      <c r="B1974" s="10"/>
      <c r="C1974" s="10"/>
      <c r="D1974" s="10"/>
      <c r="E1974" s="10"/>
      <c r="F1974" s="10"/>
      <c r="G1974" s="10"/>
      <c r="H1974" s="10"/>
      <c r="I1974" s="10"/>
      <c r="J1974" s="10"/>
      <c r="K1974" s="10"/>
      <c r="L1974" s="10"/>
      <c r="M1974" s="10"/>
      <c r="N1974" s="10"/>
      <c r="O1974" s="10"/>
      <c r="P1974" s="10"/>
      <c r="Q1974" s="10"/>
      <c r="R1974" s="10"/>
      <c r="S1974" s="10"/>
      <c r="T1974" s="10"/>
      <c r="U1974" s="10"/>
      <c r="V1974" s="10"/>
      <c r="W1974" s="10"/>
      <c r="X1974" s="10"/>
      <c r="Y1974" s="10"/>
      <c r="Z1974" s="10"/>
      <c r="AA1974" s="10"/>
      <c r="AB1974" s="10"/>
      <c r="AC1974" s="10"/>
      <c r="AG1974" s="467"/>
      <c r="AH1974" s="6"/>
    </row>
    <row r="1975" spans="1:34">
      <c r="A1975" s="10"/>
      <c r="B1975" s="10"/>
      <c r="C1975" s="10"/>
      <c r="D1975" s="10"/>
      <c r="E1975" s="10"/>
      <c r="F1975" s="10"/>
      <c r="G1975" s="10"/>
      <c r="H1975" s="10"/>
      <c r="I1975" s="10"/>
      <c r="J1975" s="10"/>
      <c r="K1975" s="10"/>
      <c r="L1975" s="10"/>
      <c r="M1975" s="10"/>
      <c r="N1975" s="10"/>
      <c r="O1975" s="10"/>
      <c r="P1975" s="10"/>
      <c r="Q1975" s="10"/>
      <c r="R1975" s="10"/>
      <c r="S1975" s="10"/>
      <c r="T1975" s="10"/>
      <c r="U1975" s="10"/>
      <c r="V1975" s="10"/>
      <c r="W1975" s="10"/>
      <c r="X1975" s="10"/>
      <c r="Y1975" s="10"/>
      <c r="Z1975" s="10"/>
      <c r="AA1975" s="10"/>
      <c r="AB1975" s="10"/>
      <c r="AC1975" s="10"/>
      <c r="AG1975" s="467"/>
      <c r="AH1975" s="6"/>
    </row>
    <row r="1976" spans="1:34">
      <c r="A1976" s="10"/>
      <c r="B1976" s="10"/>
      <c r="C1976" s="10"/>
      <c r="D1976" s="10"/>
      <c r="E1976" s="10"/>
      <c r="F1976" s="10"/>
      <c r="G1976" s="10"/>
      <c r="H1976" s="10"/>
      <c r="I1976" s="10"/>
      <c r="J1976" s="10"/>
      <c r="K1976" s="10"/>
      <c r="L1976" s="10"/>
      <c r="M1976" s="10"/>
      <c r="N1976" s="10"/>
      <c r="O1976" s="10"/>
      <c r="P1976" s="10"/>
      <c r="Q1976" s="10"/>
      <c r="R1976" s="10"/>
      <c r="S1976" s="10"/>
      <c r="T1976" s="10"/>
      <c r="U1976" s="10"/>
      <c r="V1976" s="10"/>
      <c r="W1976" s="10"/>
      <c r="X1976" s="10"/>
      <c r="Y1976" s="10"/>
      <c r="Z1976" s="10"/>
      <c r="AA1976" s="10"/>
      <c r="AB1976" s="10"/>
      <c r="AC1976" s="10"/>
      <c r="AG1976" s="467"/>
      <c r="AH1976" s="6"/>
    </row>
    <row r="1977" spans="1:34">
      <c r="A1977" s="10"/>
      <c r="B1977" s="10"/>
      <c r="C1977" s="10"/>
      <c r="D1977" s="10"/>
      <c r="E1977" s="10"/>
      <c r="F1977" s="10"/>
      <c r="G1977" s="10"/>
      <c r="H1977" s="10"/>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G1977" s="467"/>
      <c r="AH1977" s="6"/>
    </row>
    <row r="1978" spans="1:34">
      <c r="A1978" s="10"/>
      <c r="B1978" s="10"/>
      <c r="C1978" s="10"/>
      <c r="D1978" s="10"/>
      <c r="E1978" s="10"/>
      <c r="F1978" s="10"/>
      <c r="G1978" s="10"/>
      <c r="H1978" s="10"/>
      <c r="I1978" s="10"/>
      <c r="J1978" s="10"/>
      <c r="K1978" s="10"/>
      <c r="L1978" s="10"/>
      <c r="M1978" s="10"/>
      <c r="N1978" s="10"/>
      <c r="O1978" s="10"/>
      <c r="P1978" s="10"/>
      <c r="Q1978" s="10"/>
      <c r="R1978" s="10"/>
      <c r="S1978" s="10"/>
      <c r="T1978" s="10"/>
      <c r="U1978" s="10"/>
      <c r="V1978" s="10"/>
      <c r="W1978" s="10"/>
      <c r="X1978" s="10"/>
      <c r="Y1978" s="10"/>
      <c r="Z1978" s="10"/>
      <c r="AA1978" s="10"/>
      <c r="AB1978" s="10"/>
      <c r="AC1978" s="10"/>
      <c r="AG1978" s="467"/>
      <c r="AH1978" s="6"/>
    </row>
    <row r="1979" spans="1:34">
      <c r="A1979" s="10"/>
      <c r="B1979" s="10"/>
      <c r="C1979" s="10"/>
      <c r="D1979" s="10"/>
      <c r="E1979" s="10"/>
      <c r="F1979" s="10"/>
      <c r="G1979" s="10"/>
      <c r="H1979" s="10"/>
      <c r="I1979" s="10"/>
      <c r="J1979" s="10"/>
      <c r="K1979" s="10"/>
      <c r="L1979" s="10"/>
      <c r="M1979" s="10"/>
      <c r="N1979" s="10"/>
      <c r="O1979" s="10"/>
      <c r="P1979" s="10"/>
      <c r="Q1979" s="10"/>
      <c r="R1979" s="10"/>
      <c r="S1979" s="10"/>
      <c r="T1979" s="10"/>
      <c r="U1979" s="10"/>
      <c r="V1979" s="10"/>
      <c r="W1979" s="10"/>
      <c r="X1979" s="10"/>
      <c r="Y1979" s="10"/>
      <c r="Z1979" s="10"/>
      <c r="AA1979" s="10"/>
      <c r="AB1979" s="10"/>
      <c r="AC1979" s="10"/>
      <c r="AG1979" s="467"/>
      <c r="AH1979" s="6"/>
    </row>
    <row r="1980" spans="1:34">
      <c r="A1980" s="10"/>
      <c r="B1980" s="10"/>
      <c r="C1980" s="10"/>
      <c r="D1980" s="10"/>
      <c r="E1980" s="10"/>
      <c r="F1980" s="10"/>
      <c r="G1980" s="10"/>
      <c r="H1980" s="10"/>
      <c r="I1980" s="10"/>
      <c r="J1980" s="10"/>
      <c r="K1980" s="10"/>
      <c r="L1980" s="10"/>
      <c r="M1980" s="10"/>
      <c r="N1980" s="10"/>
      <c r="O1980" s="10"/>
      <c r="P1980" s="10"/>
      <c r="Q1980" s="10"/>
      <c r="R1980" s="10"/>
      <c r="S1980" s="10"/>
      <c r="T1980" s="10"/>
      <c r="U1980" s="10"/>
      <c r="V1980" s="10"/>
      <c r="W1980" s="10"/>
      <c r="X1980" s="10"/>
      <c r="Y1980" s="10"/>
      <c r="Z1980" s="10"/>
      <c r="AA1980" s="10"/>
      <c r="AB1980" s="10"/>
      <c r="AC1980" s="10"/>
      <c r="AG1980" s="467"/>
      <c r="AH1980" s="6"/>
    </row>
    <row r="1981" spans="1:34">
      <c r="A1981" s="10"/>
      <c r="B1981" s="10"/>
      <c r="C1981" s="10"/>
      <c r="D1981" s="10"/>
      <c r="E1981" s="10"/>
      <c r="F1981" s="10"/>
      <c r="G1981" s="10"/>
      <c r="H1981" s="10"/>
      <c r="I1981" s="10"/>
      <c r="J1981" s="10"/>
      <c r="K1981" s="10"/>
      <c r="L1981" s="10"/>
      <c r="M1981" s="10"/>
      <c r="N1981" s="10"/>
      <c r="O1981" s="10"/>
      <c r="P1981" s="10"/>
      <c r="Q1981" s="10"/>
      <c r="R1981" s="10"/>
      <c r="S1981" s="10"/>
      <c r="T1981" s="10"/>
      <c r="U1981" s="10"/>
      <c r="V1981" s="10"/>
      <c r="W1981" s="10"/>
      <c r="X1981" s="10"/>
      <c r="Y1981" s="10"/>
      <c r="Z1981" s="10"/>
      <c r="AA1981" s="10"/>
      <c r="AB1981" s="10"/>
      <c r="AC1981" s="10"/>
      <c r="AG1981" s="467"/>
      <c r="AH1981" s="6"/>
    </row>
    <row r="1982" spans="1:34">
      <c r="A1982" s="10"/>
      <c r="B1982" s="10"/>
      <c r="C1982" s="10"/>
      <c r="D1982" s="10"/>
      <c r="E1982" s="10"/>
      <c r="F1982" s="10"/>
      <c r="G1982" s="10"/>
      <c r="H1982" s="10"/>
      <c r="I1982" s="10"/>
      <c r="J1982" s="10"/>
      <c r="K1982" s="10"/>
      <c r="L1982" s="10"/>
      <c r="M1982" s="10"/>
      <c r="N1982" s="10"/>
      <c r="O1982" s="10"/>
      <c r="P1982" s="10"/>
      <c r="Q1982" s="10"/>
      <c r="R1982" s="10"/>
      <c r="S1982" s="10"/>
      <c r="T1982" s="10"/>
      <c r="U1982" s="10"/>
      <c r="V1982" s="10"/>
      <c r="W1982" s="10"/>
      <c r="X1982" s="10"/>
      <c r="Y1982" s="10"/>
      <c r="Z1982" s="10"/>
      <c r="AA1982" s="10"/>
      <c r="AB1982" s="10"/>
      <c r="AC1982" s="10"/>
      <c r="AG1982" s="467"/>
      <c r="AH1982" s="6"/>
    </row>
    <row r="1983" spans="1:34">
      <c r="A1983" s="10"/>
      <c r="B1983" s="10"/>
      <c r="C1983" s="10"/>
      <c r="D1983" s="10"/>
      <c r="E1983" s="10"/>
      <c r="F1983" s="10"/>
      <c r="G1983" s="10"/>
      <c r="H1983" s="10"/>
      <c r="I1983" s="10"/>
      <c r="J1983" s="10"/>
      <c r="K1983" s="10"/>
      <c r="L1983" s="10"/>
      <c r="M1983" s="10"/>
      <c r="N1983" s="10"/>
      <c r="O1983" s="10"/>
      <c r="P1983" s="10"/>
      <c r="Q1983" s="10"/>
      <c r="R1983" s="10"/>
      <c r="S1983" s="10"/>
      <c r="T1983" s="10"/>
      <c r="U1983" s="10"/>
      <c r="V1983" s="10"/>
      <c r="W1983" s="10"/>
      <c r="X1983" s="10"/>
      <c r="Y1983" s="10"/>
      <c r="Z1983" s="10"/>
      <c r="AA1983" s="10"/>
      <c r="AB1983" s="10"/>
      <c r="AC1983" s="10"/>
      <c r="AG1983" s="467"/>
      <c r="AH1983" s="6"/>
    </row>
    <row r="1984" spans="1:34">
      <c r="A1984" s="10"/>
      <c r="B1984" s="10"/>
      <c r="C1984" s="10"/>
      <c r="D1984" s="10"/>
      <c r="E1984" s="10"/>
      <c r="F1984" s="10"/>
      <c r="G1984" s="10"/>
      <c r="H1984" s="10"/>
      <c r="I1984" s="10"/>
      <c r="J1984" s="10"/>
      <c r="K1984" s="10"/>
      <c r="L1984" s="10"/>
      <c r="M1984" s="10"/>
      <c r="N1984" s="10"/>
      <c r="O1984" s="10"/>
      <c r="P1984" s="10"/>
      <c r="Q1984" s="10"/>
      <c r="R1984" s="10"/>
      <c r="S1984" s="10"/>
      <c r="T1984" s="10"/>
      <c r="U1984" s="10"/>
      <c r="V1984" s="10"/>
      <c r="W1984" s="10"/>
      <c r="X1984" s="10"/>
      <c r="Y1984" s="10"/>
      <c r="Z1984" s="10"/>
      <c r="AA1984" s="10"/>
      <c r="AB1984" s="10"/>
      <c r="AC1984" s="10"/>
      <c r="AG1984" s="467"/>
      <c r="AH1984" s="6"/>
    </row>
    <row r="1985" spans="1:34">
      <c r="A1985" s="10"/>
      <c r="B1985" s="10"/>
      <c r="C1985" s="10"/>
      <c r="D1985" s="10"/>
      <c r="E1985" s="10"/>
      <c r="F1985" s="10"/>
      <c r="G1985" s="10"/>
      <c r="H1985" s="10"/>
      <c r="I1985" s="10"/>
      <c r="J1985" s="10"/>
      <c r="K1985" s="10"/>
      <c r="L1985" s="10"/>
      <c r="M1985" s="10"/>
      <c r="N1985" s="10"/>
      <c r="O1985" s="10"/>
      <c r="P1985" s="10"/>
      <c r="Q1985" s="10"/>
      <c r="R1985" s="10"/>
      <c r="S1985" s="10"/>
      <c r="T1985" s="10"/>
      <c r="U1985" s="10"/>
      <c r="V1985" s="10"/>
      <c r="W1985" s="10"/>
      <c r="X1985" s="10"/>
      <c r="Y1985" s="10"/>
      <c r="Z1985" s="10"/>
      <c r="AA1985" s="10"/>
      <c r="AB1985" s="10"/>
      <c r="AC1985" s="10"/>
      <c r="AG1985" s="467"/>
      <c r="AH1985" s="6"/>
    </row>
    <row r="1986" spans="1:34">
      <c r="A1986" s="10"/>
      <c r="B1986" s="10"/>
      <c r="C1986" s="10"/>
      <c r="D1986" s="10"/>
      <c r="E1986" s="10"/>
      <c r="F1986" s="10"/>
      <c r="G1986" s="10"/>
      <c r="H1986" s="10"/>
      <c r="I1986" s="10"/>
      <c r="J1986" s="10"/>
      <c r="K1986" s="10"/>
      <c r="L1986" s="10"/>
      <c r="M1986" s="10"/>
      <c r="N1986" s="10"/>
      <c r="O1986" s="10"/>
      <c r="P1986" s="10"/>
      <c r="Q1986" s="10"/>
      <c r="R1986" s="10"/>
      <c r="S1986" s="10"/>
      <c r="T1986" s="10"/>
      <c r="U1986" s="10"/>
      <c r="V1986" s="10"/>
      <c r="W1986" s="10"/>
      <c r="X1986" s="10"/>
      <c r="Y1986" s="10"/>
      <c r="Z1986" s="10"/>
      <c r="AA1986" s="10"/>
      <c r="AB1986" s="10"/>
      <c r="AC1986" s="10"/>
      <c r="AG1986" s="467"/>
      <c r="AH1986" s="6"/>
    </row>
    <row r="1987" spans="1:34">
      <c r="A1987" s="10"/>
      <c r="B1987" s="10"/>
      <c r="C1987" s="10"/>
      <c r="D1987" s="10"/>
      <c r="E1987" s="10"/>
      <c r="F1987" s="10"/>
      <c r="G1987" s="10"/>
      <c r="H1987" s="10"/>
      <c r="I1987" s="10"/>
      <c r="J1987" s="10"/>
      <c r="K1987" s="10"/>
      <c r="L1987" s="10"/>
      <c r="M1987" s="10"/>
      <c r="N1987" s="10"/>
      <c r="O1987" s="10"/>
      <c r="P1987" s="10"/>
      <c r="Q1987" s="10"/>
      <c r="R1987" s="10"/>
      <c r="S1987" s="10"/>
      <c r="T1987" s="10"/>
      <c r="U1987" s="10"/>
      <c r="V1987" s="10"/>
      <c r="W1987" s="10"/>
      <c r="X1987" s="10"/>
      <c r="Y1987" s="10"/>
      <c r="Z1987" s="10"/>
      <c r="AA1987" s="10"/>
      <c r="AB1987" s="10"/>
      <c r="AC1987" s="10"/>
      <c r="AG1987" s="467"/>
      <c r="AH1987" s="6"/>
    </row>
    <row r="1988" spans="1:34">
      <c r="A1988" s="10"/>
      <c r="B1988" s="10"/>
      <c r="C1988" s="10"/>
      <c r="D1988" s="10"/>
      <c r="E1988" s="10"/>
      <c r="F1988" s="10"/>
      <c r="G1988" s="10"/>
      <c r="H1988" s="10"/>
      <c r="I1988" s="10"/>
      <c r="J1988" s="10"/>
      <c r="K1988" s="10"/>
      <c r="L1988" s="10"/>
      <c r="M1988" s="10"/>
      <c r="N1988" s="10"/>
      <c r="O1988" s="10"/>
      <c r="P1988" s="10"/>
      <c r="Q1988" s="10"/>
      <c r="R1988" s="10"/>
      <c r="S1988" s="10"/>
      <c r="T1988" s="10"/>
      <c r="U1988" s="10"/>
      <c r="V1988" s="10"/>
      <c r="W1988" s="10"/>
      <c r="X1988" s="10"/>
      <c r="Y1988" s="10"/>
      <c r="Z1988" s="10"/>
      <c r="AA1988" s="10"/>
      <c r="AB1988" s="10"/>
      <c r="AC1988" s="10"/>
      <c r="AG1988" s="467"/>
      <c r="AH1988" s="6"/>
    </row>
    <row r="1989" spans="1:34">
      <c r="A1989" s="10"/>
      <c r="B1989" s="10"/>
      <c r="C1989" s="10"/>
      <c r="D1989" s="10"/>
      <c r="E1989" s="10"/>
      <c r="F1989" s="10"/>
      <c r="G1989" s="10"/>
      <c r="H1989" s="10"/>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G1989" s="467"/>
      <c r="AH1989" s="6"/>
    </row>
    <row r="1990" spans="1:34">
      <c r="A1990" s="10"/>
      <c r="B1990" s="10"/>
      <c r="C1990" s="10"/>
      <c r="D1990" s="10"/>
      <c r="E1990" s="10"/>
      <c r="F1990" s="10"/>
      <c r="G1990" s="10"/>
      <c r="H1990" s="10"/>
      <c r="I1990" s="10"/>
      <c r="J1990" s="10"/>
      <c r="K1990" s="10"/>
      <c r="L1990" s="10"/>
      <c r="M1990" s="10"/>
      <c r="N1990" s="10"/>
      <c r="O1990" s="10"/>
      <c r="P1990" s="10"/>
      <c r="Q1990" s="10"/>
      <c r="R1990" s="10"/>
      <c r="S1990" s="10"/>
      <c r="T1990" s="10"/>
      <c r="U1990" s="10"/>
      <c r="V1990" s="10"/>
      <c r="W1990" s="10"/>
      <c r="X1990" s="10"/>
      <c r="Y1990" s="10"/>
      <c r="Z1990" s="10"/>
      <c r="AA1990" s="10"/>
      <c r="AB1990" s="10"/>
      <c r="AC1990" s="10"/>
      <c r="AG1990" s="467"/>
      <c r="AH1990" s="6"/>
    </row>
    <row r="1991" spans="1:34">
      <c r="A1991" s="10"/>
      <c r="B1991" s="10"/>
      <c r="C1991" s="10"/>
      <c r="D1991" s="10"/>
      <c r="E1991" s="10"/>
      <c r="F1991" s="10"/>
      <c r="G1991" s="10"/>
      <c r="H1991" s="10"/>
      <c r="I1991" s="10"/>
      <c r="J1991" s="10"/>
      <c r="K1991" s="10"/>
      <c r="L1991" s="10"/>
      <c r="M1991" s="10"/>
      <c r="N1991" s="10"/>
      <c r="O1991" s="10"/>
      <c r="P1991" s="10"/>
      <c r="Q1991" s="10"/>
      <c r="R1991" s="10"/>
      <c r="S1991" s="10"/>
      <c r="T1991" s="10"/>
      <c r="U1991" s="10"/>
      <c r="V1991" s="10"/>
      <c r="W1991" s="10"/>
      <c r="X1991" s="10"/>
      <c r="Y1991" s="10"/>
      <c r="Z1991" s="10"/>
      <c r="AA1991" s="10"/>
      <c r="AB1991" s="10"/>
      <c r="AC1991" s="10"/>
      <c r="AG1991" s="467"/>
      <c r="AH1991" s="6"/>
    </row>
    <row r="1992" spans="1:34">
      <c r="A1992" s="10"/>
      <c r="B1992" s="10"/>
      <c r="C1992" s="10"/>
      <c r="D1992" s="10"/>
      <c r="E1992" s="10"/>
      <c r="F1992" s="10"/>
      <c r="G1992" s="10"/>
      <c r="H1992" s="10"/>
      <c r="I1992" s="10"/>
      <c r="J1992" s="10"/>
      <c r="K1992" s="10"/>
      <c r="L1992" s="10"/>
      <c r="M1992" s="10"/>
      <c r="N1992" s="10"/>
      <c r="O1992" s="10"/>
      <c r="P1992" s="10"/>
      <c r="Q1992" s="10"/>
      <c r="R1992" s="10"/>
      <c r="S1992" s="10"/>
      <c r="T1992" s="10"/>
      <c r="U1992" s="10"/>
      <c r="V1992" s="10"/>
      <c r="W1992" s="10"/>
      <c r="X1992" s="10"/>
      <c r="Y1992" s="10"/>
      <c r="Z1992" s="10"/>
      <c r="AA1992" s="10"/>
      <c r="AB1992" s="10"/>
      <c r="AC1992" s="10"/>
      <c r="AG1992" s="467"/>
      <c r="AH1992" s="6"/>
    </row>
    <row r="1993" spans="1:34">
      <c r="A1993" s="10"/>
      <c r="B1993" s="10"/>
      <c r="C1993" s="10"/>
      <c r="D1993" s="10"/>
      <c r="E1993" s="10"/>
      <c r="F1993" s="10"/>
      <c r="G1993" s="10"/>
      <c r="H1993" s="10"/>
      <c r="I1993" s="10"/>
      <c r="J1993" s="10"/>
      <c r="K1993" s="10"/>
      <c r="L1993" s="10"/>
      <c r="M1993" s="10"/>
      <c r="N1993" s="10"/>
      <c r="O1993" s="10"/>
      <c r="P1993" s="10"/>
      <c r="Q1993" s="10"/>
      <c r="R1993" s="10"/>
      <c r="S1993" s="10"/>
      <c r="T1993" s="10"/>
      <c r="U1993" s="10"/>
      <c r="V1993" s="10"/>
      <c r="W1993" s="10"/>
      <c r="X1993" s="10"/>
      <c r="Y1993" s="10"/>
      <c r="Z1993" s="10"/>
      <c r="AA1993" s="10"/>
      <c r="AB1993" s="10"/>
      <c r="AC1993" s="10"/>
      <c r="AG1993" s="467"/>
      <c r="AH1993" s="6"/>
    </row>
    <row r="1994" spans="1:34">
      <c r="A1994" s="10"/>
      <c r="B1994" s="10"/>
      <c r="C1994" s="10"/>
      <c r="D1994" s="10"/>
      <c r="E1994" s="10"/>
      <c r="F1994" s="10"/>
      <c r="G1994" s="10"/>
      <c r="H1994" s="10"/>
      <c r="I1994" s="10"/>
      <c r="J1994" s="10"/>
      <c r="K1994" s="10"/>
      <c r="L1994" s="10"/>
      <c r="M1994" s="10"/>
      <c r="N1994" s="10"/>
      <c r="O1994" s="10"/>
      <c r="P1994" s="10"/>
      <c r="Q1994" s="10"/>
      <c r="R1994" s="10"/>
      <c r="S1994" s="10"/>
      <c r="T1994" s="10"/>
      <c r="U1994" s="10"/>
      <c r="V1994" s="10"/>
      <c r="W1994" s="10"/>
      <c r="X1994" s="10"/>
      <c r="Y1994" s="10"/>
      <c r="Z1994" s="10"/>
      <c r="AA1994" s="10"/>
      <c r="AB1994" s="10"/>
      <c r="AC1994" s="10"/>
      <c r="AG1994" s="467"/>
      <c r="AH1994" s="6"/>
    </row>
    <row r="1995" spans="1:34">
      <c r="A1995" s="10"/>
      <c r="B1995" s="10"/>
      <c r="C1995" s="10"/>
      <c r="D1995" s="10"/>
      <c r="E1995" s="10"/>
      <c r="F1995" s="10"/>
      <c r="G1995" s="10"/>
      <c r="H1995" s="10"/>
      <c r="I1995" s="10"/>
      <c r="J1995" s="10"/>
      <c r="K1995" s="10"/>
      <c r="L1995" s="10"/>
      <c r="M1995" s="10"/>
      <c r="N1995" s="10"/>
      <c r="O1995" s="10"/>
      <c r="P1995" s="10"/>
      <c r="Q1995" s="10"/>
      <c r="R1995" s="10"/>
      <c r="S1995" s="10"/>
      <c r="T1995" s="10"/>
      <c r="U1995" s="10"/>
      <c r="V1995" s="10"/>
      <c r="W1995" s="10"/>
      <c r="X1995" s="10"/>
      <c r="Y1995" s="10"/>
      <c r="Z1995" s="10"/>
      <c r="AA1995" s="10"/>
      <c r="AB1995" s="10"/>
      <c r="AC1995" s="10"/>
      <c r="AG1995" s="467"/>
      <c r="AH1995" s="6"/>
    </row>
    <row r="1996" spans="1:34">
      <c r="A1996" s="10"/>
      <c r="B1996" s="10"/>
      <c r="C1996" s="10"/>
      <c r="D1996" s="10"/>
      <c r="E1996" s="10"/>
      <c r="F1996" s="10"/>
      <c r="G1996" s="10"/>
      <c r="H1996" s="10"/>
      <c r="I1996" s="10"/>
      <c r="J1996" s="10"/>
      <c r="K1996" s="10"/>
      <c r="L1996" s="10"/>
      <c r="M1996" s="10"/>
      <c r="N1996" s="10"/>
      <c r="O1996" s="10"/>
      <c r="P1996" s="10"/>
      <c r="Q1996" s="10"/>
      <c r="R1996" s="10"/>
      <c r="S1996" s="10"/>
      <c r="T1996" s="10"/>
      <c r="U1996" s="10"/>
      <c r="V1996" s="10"/>
      <c r="W1996" s="10"/>
      <c r="X1996" s="10"/>
      <c r="Y1996" s="10"/>
      <c r="Z1996" s="10"/>
      <c r="AA1996" s="10"/>
      <c r="AB1996" s="10"/>
      <c r="AC1996" s="10"/>
      <c r="AG1996" s="467"/>
      <c r="AH1996" s="6"/>
    </row>
    <row r="1997" spans="1:34">
      <c r="A1997" s="10"/>
      <c r="B1997" s="10"/>
      <c r="C1997" s="10"/>
      <c r="D1997" s="10"/>
      <c r="E1997" s="10"/>
      <c r="F1997" s="10"/>
      <c r="G1997" s="10"/>
      <c r="H1997" s="10"/>
      <c r="I1997" s="10"/>
      <c r="J1997" s="10"/>
      <c r="K1997" s="10"/>
      <c r="L1997" s="10"/>
      <c r="M1997" s="10"/>
      <c r="N1997" s="10"/>
      <c r="O1997" s="10"/>
      <c r="P1997" s="10"/>
      <c r="Q1997" s="10"/>
      <c r="R1997" s="10"/>
      <c r="S1997" s="10"/>
      <c r="T1997" s="10"/>
      <c r="U1997" s="10"/>
      <c r="V1997" s="10"/>
      <c r="W1997" s="10"/>
      <c r="X1997" s="10"/>
      <c r="Y1997" s="10"/>
      <c r="Z1997" s="10"/>
      <c r="AA1997" s="10"/>
      <c r="AB1997" s="10"/>
      <c r="AC1997" s="10"/>
      <c r="AG1997" s="467"/>
      <c r="AH1997" s="6"/>
    </row>
    <row r="1998" spans="1:34">
      <c r="A1998" s="10"/>
      <c r="B1998" s="10"/>
      <c r="C1998" s="10"/>
      <c r="D1998" s="10"/>
      <c r="E1998" s="10"/>
      <c r="F1998" s="10"/>
      <c r="G1998" s="10"/>
      <c r="H1998" s="10"/>
      <c r="I1998" s="10"/>
      <c r="J1998" s="10"/>
      <c r="K1998" s="10"/>
      <c r="L1998" s="10"/>
      <c r="M1998" s="10"/>
      <c r="N1998" s="10"/>
      <c r="O1998" s="10"/>
      <c r="P1998" s="10"/>
      <c r="Q1998" s="10"/>
      <c r="R1998" s="10"/>
      <c r="S1998" s="10"/>
      <c r="T1998" s="10"/>
      <c r="U1998" s="10"/>
      <c r="V1998" s="10"/>
      <c r="W1998" s="10"/>
      <c r="X1998" s="10"/>
      <c r="Y1998" s="10"/>
      <c r="Z1998" s="10"/>
      <c r="AA1998" s="10"/>
      <c r="AB1998" s="10"/>
      <c r="AC1998" s="10"/>
      <c r="AG1998" s="467"/>
      <c r="AH1998" s="6"/>
    </row>
    <row r="1999" spans="1:34">
      <c r="A1999" s="10"/>
      <c r="B1999" s="10"/>
      <c r="C1999" s="10"/>
      <c r="D1999" s="10"/>
      <c r="E1999" s="10"/>
      <c r="F1999" s="10"/>
      <c r="G1999" s="10"/>
      <c r="H1999" s="10"/>
      <c r="I1999" s="10"/>
      <c r="J1999" s="10"/>
      <c r="K1999" s="10"/>
      <c r="L1999" s="10"/>
      <c r="M1999" s="10"/>
      <c r="N1999" s="10"/>
      <c r="O1999" s="10"/>
      <c r="P1999" s="10"/>
      <c r="Q1999" s="10"/>
      <c r="R1999" s="10"/>
      <c r="S1999" s="10"/>
      <c r="T1999" s="10"/>
      <c r="U1999" s="10"/>
      <c r="V1999" s="10"/>
      <c r="W1999" s="10"/>
      <c r="X1999" s="10"/>
      <c r="Y1999" s="10"/>
      <c r="Z1999" s="10"/>
      <c r="AA1999" s="10"/>
      <c r="AB1999" s="10"/>
      <c r="AC1999" s="10"/>
      <c r="AG1999" s="467"/>
      <c r="AH1999" s="6"/>
    </row>
    <row r="2000" spans="1:34">
      <c r="A2000" s="10"/>
      <c r="B2000" s="10"/>
      <c r="C2000" s="10"/>
      <c r="D2000" s="10"/>
      <c r="E2000" s="10"/>
      <c r="F2000" s="10"/>
      <c r="G2000" s="10"/>
      <c r="H2000" s="10"/>
      <c r="I2000" s="10"/>
      <c r="J2000" s="10"/>
      <c r="K2000" s="10"/>
      <c r="L2000" s="10"/>
      <c r="M2000" s="10"/>
      <c r="N2000" s="10"/>
      <c r="O2000" s="10"/>
      <c r="P2000" s="10"/>
      <c r="Q2000" s="10"/>
      <c r="R2000" s="10"/>
      <c r="S2000" s="10"/>
      <c r="T2000" s="10"/>
      <c r="U2000" s="10"/>
      <c r="V2000" s="10"/>
      <c r="W2000" s="10"/>
      <c r="X2000" s="10"/>
      <c r="Y2000" s="10"/>
      <c r="Z2000" s="10"/>
      <c r="AA2000" s="10"/>
      <c r="AB2000" s="10"/>
      <c r="AC2000" s="10"/>
      <c r="AG2000" s="467"/>
      <c r="AH2000" s="6"/>
    </row>
    <row r="2001" spans="1:34">
      <c r="A2001" s="10"/>
      <c r="B2001" s="10"/>
      <c r="C2001" s="10"/>
      <c r="D2001" s="10"/>
      <c r="E2001" s="10"/>
      <c r="F2001" s="10"/>
      <c r="G2001" s="10"/>
      <c r="H2001" s="10"/>
      <c r="I2001" s="10"/>
      <c r="J2001" s="10"/>
      <c r="K2001" s="10"/>
      <c r="L2001" s="10"/>
      <c r="M2001" s="10"/>
      <c r="N2001" s="10"/>
      <c r="O2001" s="10"/>
      <c r="P2001" s="10"/>
      <c r="Q2001" s="10"/>
      <c r="R2001" s="10"/>
      <c r="S2001" s="10"/>
      <c r="T2001" s="10"/>
      <c r="U2001" s="10"/>
      <c r="V2001" s="10"/>
      <c r="W2001" s="10"/>
      <c r="X2001" s="10"/>
      <c r="Y2001" s="10"/>
      <c r="Z2001" s="10"/>
      <c r="AA2001" s="10"/>
      <c r="AB2001" s="10"/>
      <c r="AC2001" s="10"/>
      <c r="AG2001" s="467"/>
      <c r="AH2001" s="6"/>
    </row>
    <row r="2002" spans="1:34">
      <c r="A2002" s="10"/>
      <c r="B2002" s="10"/>
      <c r="C2002" s="10"/>
      <c r="D2002" s="10"/>
      <c r="E2002" s="10"/>
      <c r="F2002" s="10"/>
      <c r="G2002" s="10"/>
      <c r="H2002" s="10"/>
      <c r="I2002" s="10"/>
      <c r="J2002" s="10"/>
      <c r="K2002" s="10"/>
      <c r="L2002" s="10"/>
      <c r="M2002" s="10"/>
      <c r="N2002" s="10"/>
      <c r="O2002" s="10"/>
      <c r="P2002" s="10"/>
      <c r="Q2002" s="10"/>
      <c r="R2002" s="10"/>
      <c r="S2002" s="10"/>
      <c r="T2002" s="10"/>
      <c r="U2002" s="10"/>
      <c r="V2002" s="10"/>
      <c r="W2002" s="10"/>
      <c r="X2002" s="10"/>
      <c r="Y2002" s="10"/>
      <c r="Z2002" s="10"/>
      <c r="AA2002" s="10"/>
      <c r="AB2002" s="10"/>
      <c r="AC2002" s="10"/>
      <c r="AG2002" s="467"/>
      <c r="AH2002" s="6"/>
    </row>
    <row r="2003" spans="1:34">
      <c r="A2003" s="10"/>
      <c r="B2003" s="10"/>
      <c r="C2003" s="10"/>
      <c r="D2003" s="10"/>
      <c r="E2003" s="10"/>
      <c r="F2003" s="10"/>
      <c r="G2003" s="10"/>
      <c r="H2003" s="10"/>
      <c r="I2003" s="10"/>
      <c r="J2003" s="10"/>
      <c r="K2003" s="10"/>
      <c r="L2003" s="10"/>
      <c r="M2003" s="10"/>
      <c r="N2003" s="10"/>
      <c r="O2003" s="10"/>
      <c r="P2003" s="10"/>
      <c r="Q2003" s="10"/>
      <c r="R2003" s="10"/>
      <c r="S2003" s="10"/>
      <c r="T2003" s="10"/>
      <c r="U2003" s="10"/>
      <c r="V2003" s="10"/>
      <c r="W2003" s="10"/>
      <c r="X2003" s="10"/>
      <c r="Y2003" s="10"/>
      <c r="Z2003" s="10"/>
      <c r="AA2003" s="10"/>
      <c r="AB2003" s="10"/>
      <c r="AC2003" s="10"/>
      <c r="AG2003" s="467"/>
      <c r="AH2003" s="6"/>
    </row>
    <row r="2004" spans="1:34">
      <c r="A2004" s="10"/>
      <c r="B2004" s="10"/>
      <c r="C2004" s="10"/>
      <c r="D2004" s="10"/>
      <c r="E2004" s="10"/>
      <c r="F2004" s="10"/>
      <c r="G2004" s="10"/>
      <c r="H2004" s="10"/>
      <c r="I2004" s="10"/>
      <c r="J2004" s="10"/>
      <c r="K2004" s="10"/>
      <c r="L2004" s="10"/>
      <c r="M2004" s="10"/>
      <c r="N2004" s="10"/>
      <c r="O2004" s="10"/>
      <c r="P2004" s="10"/>
      <c r="Q2004" s="10"/>
      <c r="R2004" s="10"/>
      <c r="S2004" s="10"/>
      <c r="T2004" s="10"/>
      <c r="U2004" s="10"/>
      <c r="V2004" s="10"/>
      <c r="W2004" s="10"/>
      <c r="X2004" s="10"/>
      <c r="Y2004" s="10"/>
      <c r="Z2004" s="10"/>
      <c r="AA2004" s="10"/>
      <c r="AB2004" s="10"/>
      <c r="AC2004" s="10"/>
      <c r="AG2004" s="467"/>
      <c r="AH2004" s="6"/>
    </row>
    <row r="2005" spans="1:34">
      <c r="A2005" s="10"/>
      <c r="B2005" s="10"/>
      <c r="C2005" s="10"/>
      <c r="D2005" s="10"/>
      <c r="E2005" s="10"/>
      <c r="F2005" s="10"/>
      <c r="G2005" s="10"/>
      <c r="H2005" s="10"/>
      <c r="I2005" s="10"/>
      <c r="J2005" s="10"/>
      <c r="K2005" s="10"/>
      <c r="L2005" s="10"/>
      <c r="M2005" s="10"/>
      <c r="N2005" s="10"/>
      <c r="O2005" s="10"/>
      <c r="P2005" s="10"/>
      <c r="Q2005" s="10"/>
      <c r="R2005" s="10"/>
      <c r="S2005" s="10"/>
      <c r="T2005" s="10"/>
      <c r="U2005" s="10"/>
      <c r="V2005" s="10"/>
      <c r="W2005" s="10"/>
      <c r="X2005" s="10"/>
      <c r="Y2005" s="10"/>
      <c r="Z2005" s="10"/>
      <c r="AA2005" s="10"/>
      <c r="AB2005" s="10"/>
      <c r="AC2005" s="10"/>
      <c r="AG2005" s="467"/>
      <c r="AH2005" s="6"/>
    </row>
    <row r="2006" spans="1:34">
      <c r="A2006" s="10"/>
      <c r="B2006" s="10"/>
      <c r="C2006" s="10"/>
      <c r="D2006" s="10"/>
      <c r="E2006" s="10"/>
      <c r="F2006" s="10"/>
      <c r="G2006" s="10"/>
      <c r="H2006" s="10"/>
      <c r="I2006" s="10"/>
      <c r="J2006" s="10"/>
      <c r="K2006" s="10"/>
      <c r="L2006" s="10"/>
      <c r="M2006" s="10"/>
      <c r="N2006" s="10"/>
      <c r="O2006" s="10"/>
      <c r="P2006" s="10"/>
      <c r="Q2006" s="10"/>
      <c r="R2006" s="10"/>
      <c r="S2006" s="10"/>
      <c r="T2006" s="10"/>
      <c r="U2006" s="10"/>
      <c r="V2006" s="10"/>
      <c r="W2006" s="10"/>
      <c r="X2006" s="10"/>
      <c r="Y2006" s="10"/>
      <c r="Z2006" s="10"/>
      <c r="AA2006" s="10"/>
      <c r="AB2006" s="10"/>
      <c r="AC2006" s="10"/>
      <c r="AG2006" s="467"/>
      <c r="AH2006" s="6"/>
    </row>
    <row r="2007" spans="1:34">
      <c r="A2007" s="10"/>
      <c r="B2007" s="10"/>
      <c r="C2007" s="10"/>
      <c r="D2007" s="10"/>
      <c r="E2007" s="10"/>
      <c r="F2007" s="10"/>
      <c r="G2007" s="10"/>
      <c r="H2007" s="10"/>
      <c r="I2007" s="10"/>
      <c r="J2007" s="10"/>
      <c r="K2007" s="10"/>
      <c r="L2007" s="10"/>
      <c r="M2007" s="10"/>
      <c r="N2007" s="10"/>
      <c r="O2007" s="10"/>
      <c r="P2007" s="10"/>
      <c r="Q2007" s="10"/>
      <c r="R2007" s="10"/>
      <c r="S2007" s="10"/>
      <c r="T2007" s="10"/>
      <c r="U2007" s="10"/>
      <c r="V2007" s="10"/>
      <c r="W2007" s="10"/>
      <c r="X2007" s="10"/>
      <c r="Y2007" s="10"/>
      <c r="Z2007" s="10"/>
      <c r="AA2007" s="10"/>
      <c r="AB2007" s="10"/>
      <c r="AC2007" s="10"/>
      <c r="AG2007" s="467"/>
      <c r="AH2007" s="6"/>
    </row>
    <row r="2008" spans="1:34">
      <c r="A2008" s="10"/>
      <c r="B2008" s="10"/>
      <c r="C2008" s="10"/>
      <c r="D2008" s="10"/>
      <c r="E2008" s="10"/>
      <c r="F2008" s="10"/>
      <c r="G2008" s="10"/>
      <c r="H2008" s="10"/>
      <c r="I2008" s="10"/>
      <c r="J2008" s="10"/>
      <c r="K2008" s="10"/>
      <c r="L2008" s="10"/>
      <c r="M2008" s="10"/>
      <c r="N2008" s="10"/>
      <c r="O2008" s="10"/>
      <c r="P2008" s="10"/>
      <c r="Q2008" s="10"/>
      <c r="R2008" s="10"/>
      <c r="S2008" s="10"/>
      <c r="T2008" s="10"/>
      <c r="U2008" s="10"/>
      <c r="V2008" s="10"/>
      <c r="W2008" s="10"/>
      <c r="X2008" s="10"/>
      <c r="Y2008" s="10"/>
      <c r="Z2008" s="10"/>
      <c r="AA2008" s="10"/>
      <c r="AB2008" s="10"/>
      <c r="AC2008" s="10"/>
      <c r="AG2008" s="467"/>
      <c r="AH2008" s="6"/>
    </row>
    <row r="2009" spans="1:34">
      <c r="A2009" s="10"/>
      <c r="B2009" s="10"/>
      <c r="C2009" s="10"/>
      <c r="D2009" s="10"/>
      <c r="E2009" s="10"/>
      <c r="F2009" s="10"/>
      <c r="G2009" s="10"/>
      <c r="H2009" s="10"/>
      <c r="I2009" s="10"/>
      <c r="J2009" s="10"/>
      <c r="K2009" s="10"/>
      <c r="L2009" s="10"/>
      <c r="M2009" s="10"/>
      <c r="N2009" s="10"/>
      <c r="O2009" s="10"/>
      <c r="P2009" s="10"/>
      <c r="Q2009" s="10"/>
      <c r="R2009" s="10"/>
      <c r="S2009" s="10"/>
      <c r="T2009" s="10"/>
      <c r="U2009" s="10"/>
      <c r="V2009" s="10"/>
      <c r="W2009" s="10"/>
      <c r="X2009" s="10"/>
      <c r="Y2009" s="10"/>
      <c r="Z2009" s="10"/>
      <c r="AA2009" s="10"/>
      <c r="AB2009" s="10"/>
      <c r="AC2009" s="10"/>
      <c r="AG2009" s="467"/>
      <c r="AH2009" s="6"/>
    </row>
    <row r="2010" spans="1:34">
      <c r="A2010" s="10"/>
      <c r="B2010" s="10"/>
      <c r="C2010" s="10"/>
      <c r="D2010" s="10"/>
      <c r="E2010" s="10"/>
      <c r="F2010" s="10"/>
      <c r="G2010" s="10"/>
      <c r="H2010" s="10"/>
      <c r="I2010" s="10"/>
      <c r="J2010" s="10"/>
      <c r="K2010" s="10"/>
      <c r="L2010" s="10"/>
      <c r="M2010" s="10"/>
      <c r="N2010" s="10"/>
      <c r="O2010" s="10"/>
      <c r="P2010" s="10"/>
      <c r="Q2010" s="10"/>
      <c r="R2010" s="10"/>
      <c r="S2010" s="10"/>
      <c r="T2010" s="10"/>
      <c r="U2010" s="10"/>
      <c r="V2010" s="10"/>
      <c r="W2010" s="10"/>
      <c r="X2010" s="10"/>
      <c r="Y2010" s="10"/>
      <c r="Z2010" s="10"/>
      <c r="AA2010" s="10"/>
      <c r="AB2010" s="10"/>
      <c r="AC2010" s="10"/>
      <c r="AG2010" s="467"/>
      <c r="AH2010" s="6"/>
    </row>
    <row r="2011" spans="1:34">
      <c r="A2011" s="10"/>
      <c r="B2011" s="10"/>
      <c r="C2011" s="10"/>
      <c r="D2011" s="10"/>
      <c r="E2011" s="10"/>
      <c r="F2011" s="10"/>
      <c r="G2011" s="10"/>
      <c r="H2011" s="10"/>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G2011" s="467"/>
      <c r="AH2011" s="6"/>
    </row>
    <row r="2012" spans="1:34">
      <c r="A2012" s="10"/>
      <c r="B2012" s="10"/>
      <c r="C2012" s="10"/>
      <c r="D2012" s="10"/>
      <c r="E2012" s="10"/>
      <c r="F2012" s="10"/>
      <c r="G2012" s="10"/>
      <c r="H2012" s="10"/>
      <c r="I2012" s="10"/>
      <c r="J2012" s="10"/>
      <c r="K2012" s="10"/>
      <c r="L2012" s="10"/>
      <c r="M2012" s="10"/>
      <c r="N2012" s="10"/>
      <c r="O2012" s="10"/>
      <c r="P2012" s="10"/>
      <c r="Q2012" s="10"/>
      <c r="R2012" s="10"/>
      <c r="S2012" s="10"/>
      <c r="T2012" s="10"/>
      <c r="U2012" s="10"/>
      <c r="V2012" s="10"/>
      <c r="W2012" s="10"/>
      <c r="X2012" s="10"/>
      <c r="Y2012" s="10"/>
      <c r="Z2012" s="10"/>
      <c r="AA2012" s="10"/>
      <c r="AB2012" s="10"/>
      <c r="AC2012" s="10"/>
      <c r="AG2012" s="467"/>
      <c r="AH2012" s="6"/>
    </row>
    <row r="2013" spans="1:34">
      <c r="A2013" s="10"/>
      <c r="B2013" s="10"/>
      <c r="C2013" s="10"/>
      <c r="D2013" s="10"/>
      <c r="E2013" s="10"/>
      <c r="F2013" s="10"/>
      <c r="G2013" s="10"/>
      <c r="H2013" s="10"/>
      <c r="I2013" s="10"/>
      <c r="J2013" s="10"/>
      <c r="K2013" s="10"/>
      <c r="L2013" s="10"/>
      <c r="M2013" s="10"/>
      <c r="N2013" s="10"/>
      <c r="O2013" s="10"/>
      <c r="P2013" s="10"/>
      <c r="Q2013" s="10"/>
      <c r="R2013" s="10"/>
      <c r="S2013" s="10"/>
      <c r="T2013" s="10"/>
      <c r="U2013" s="10"/>
      <c r="V2013" s="10"/>
      <c r="W2013" s="10"/>
      <c r="X2013" s="10"/>
      <c r="Y2013" s="10"/>
      <c r="Z2013" s="10"/>
      <c r="AA2013" s="10"/>
      <c r="AB2013" s="10"/>
      <c r="AC2013" s="10"/>
      <c r="AG2013" s="467"/>
      <c r="AH2013" s="6"/>
    </row>
    <row r="2014" spans="1:34">
      <c r="A2014" s="10"/>
      <c r="B2014" s="10"/>
      <c r="C2014" s="10"/>
      <c r="D2014" s="10"/>
      <c r="E2014" s="10"/>
      <c r="F2014" s="10"/>
      <c r="G2014" s="10"/>
      <c r="H2014" s="10"/>
      <c r="I2014" s="10"/>
      <c r="J2014" s="10"/>
      <c r="K2014" s="10"/>
      <c r="L2014" s="10"/>
      <c r="M2014" s="10"/>
      <c r="N2014" s="10"/>
      <c r="O2014" s="10"/>
      <c r="P2014" s="10"/>
      <c r="Q2014" s="10"/>
      <c r="R2014" s="10"/>
      <c r="S2014" s="10"/>
      <c r="T2014" s="10"/>
      <c r="U2014" s="10"/>
      <c r="V2014" s="10"/>
      <c r="W2014" s="10"/>
      <c r="X2014" s="10"/>
      <c r="Y2014" s="10"/>
      <c r="Z2014" s="10"/>
      <c r="AA2014" s="10"/>
      <c r="AB2014" s="10"/>
      <c r="AC2014" s="10"/>
      <c r="AG2014" s="467"/>
      <c r="AH2014" s="6"/>
    </row>
    <row r="2015" spans="1:34">
      <c r="A2015" s="10"/>
      <c r="B2015" s="10"/>
      <c r="C2015" s="10"/>
      <c r="D2015" s="10"/>
      <c r="E2015" s="10"/>
      <c r="F2015" s="10"/>
      <c r="G2015" s="10"/>
      <c r="H2015" s="10"/>
      <c r="I2015" s="10"/>
      <c r="J2015" s="10"/>
      <c r="K2015" s="10"/>
      <c r="L2015" s="10"/>
      <c r="M2015" s="10"/>
      <c r="N2015" s="10"/>
      <c r="O2015" s="10"/>
      <c r="P2015" s="10"/>
      <c r="Q2015" s="10"/>
      <c r="R2015" s="10"/>
      <c r="S2015" s="10"/>
      <c r="T2015" s="10"/>
      <c r="U2015" s="10"/>
      <c r="V2015" s="10"/>
      <c r="W2015" s="10"/>
      <c r="X2015" s="10"/>
      <c r="Y2015" s="10"/>
      <c r="Z2015" s="10"/>
      <c r="AA2015" s="10"/>
      <c r="AB2015" s="10"/>
      <c r="AC2015" s="10"/>
      <c r="AG2015" s="467"/>
      <c r="AH2015" s="6"/>
    </row>
    <row r="2016" spans="1:34">
      <c r="A2016" s="10"/>
      <c r="B2016" s="10"/>
      <c r="C2016" s="10"/>
      <c r="D2016" s="10"/>
      <c r="E2016" s="10"/>
      <c r="F2016" s="10"/>
      <c r="G2016" s="10"/>
      <c r="H2016" s="10"/>
      <c r="I2016" s="10"/>
      <c r="J2016" s="10"/>
      <c r="K2016" s="10"/>
      <c r="L2016" s="10"/>
      <c r="M2016" s="10"/>
      <c r="N2016" s="10"/>
      <c r="O2016" s="10"/>
      <c r="P2016" s="10"/>
      <c r="Q2016" s="10"/>
      <c r="R2016" s="10"/>
      <c r="S2016" s="10"/>
      <c r="T2016" s="10"/>
      <c r="U2016" s="10"/>
      <c r="V2016" s="10"/>
      <c r="W2016" s="10"/>
      <c r="X2016" s="10"/>
      <c r="Y2016" s="10"/>
      <c r="Z2016" s="10"/>
      <c r="AA2016" s="10"/>
      <c r="AB2016" s="10"/>
      <c r="AC2016" s="10"/>
      <c r="AG2016" s="467"/>
      <c r="AH2016" s="6"/>
    </row>
    <row r="2017" spans="1:34">
      <c r="A2017" s="10"/>
      <c r="B2017" s="10"/>
      <c r="C2017" s="10"/>
      <c r="D2017" s="10"/>
      <c r="E2017" s="10"/>
      <c r="F2017" s="10"/>
      <c r="G2017" s="10"/>
      <c r="H2017" s="10"/>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G2017" s="467"/>
      <c r="AH2017" s="6"/>
    </row>
    <row r="2018" spans="1:34">
      <c r="A2018" s="10"/>
      <c r="B2018" s="10"/>
      <c r="C2018" s="10"/>
      <c r="D2018" s="10"/>
      <c r="E2018" s="10"/>
      <c r="F2018" s="10"/>
      <c r="G2018" s="10"/>
      <c r="H2018" s="10"/>
      <c r="I2018" s="10"/>
      <c r="J2018" s="10"/>
      <c r="K2018" s="10"/>
      <c r="L2018" s="10"/>
      <c r="M2018" s="10"/>
      <c r="N2018" s="10"/>
      <c r="O2018" s="10"/>
      <c r="P2018" s="10"/>
      <c r="Q2018" s="10"/>
      <c r="R2018" s="10"/>
      <c r="S2018" s="10"/>
      <c r="T2018" s="10"/>
      <c r="U2018" s="10"/>
      <c r="V2018" s="10"/>
      <c r="W2018" s="10"/>
      <c r="X2018" s="10"/>
      <c r="Y2018" s="10"/>
      <c r="Z2018" s="10"/>
      <c r="AA2018" s="10"/>
      <c r="AB2018" s="10"/>
      <c r="AC2018" s="10"/>
      <c r="AG2018" s="467"/>
      <c r="AH2018" s="6"/>
    </row>
    <row r="2019" spans="1:34">
      <c r="A2019" s="10"/>
      <c r="B2019" s="10"/>
      <c r="C2019" s="10"/>
      <c r="D2019" s="10"/>
      <c r="E2019" s="10"/>
      <c r="F2019" s="10"/>
      <c r="G2019" s="10"/>
      <c r="H2019" s="10"/>
      <c r="I2019" s="10"/>
      <c r="J2019" s="10"/>
      <c r="K2019" s="10"/>
      <c r="L2019" s="10"/>
      <c r="M2019" s="10"/>
      <c r="N2019" s="10"/>
      <c r="O2019" s="10"/>
      <c r="P2019" s="10"/>
      <c r="Q2019" s="10"/>
      <c r="R2019" s="10"/>
      <c r="S2019" s="10"/>
      <c r="T2019" s="10"/>
      <c r="U2019" s="10"/>
      <c r="V2019" s="10"/>
      <c r="W2019" s="10"/>
      <c r="X2019" s="10"/>
      <c r="Y2019" s="10"/>
      <c r="Z2019" s="10"/>
      <c r="AA2019" s="10"/>
      <c r="AB2019" s="10"/>
      <c r="AC2019" s="10"/>
      <c r="AG2019" s="467"/>
      <c r="AH2019" s="6"/>
    </row>
    <row r="2020" spans="1:34">
      <c r="A2020" s="10"/>
      <c r="B2020" s="10"/>
      <c r="C2020" s="10"/>
      <c r="D2020" s="10"/>
      <c r="E2020" s="10"/>
      <c r="F2020" s="10"/>
      <c r="G2020" s="10"/>
      <c r="H2020" s="10"/>
      <c r="I2020" s="10"/>
      <c r="J2020" s="10"/>
      <c r="K2020" s="10"/>
      <c r="L2020" s="10"/>
      <c r="M2020" s="10"/>
      <c r="N2020" s="10"/>
      <c r="O2020" s="10"/>
      <c r="P2020" s="10"/>
      <c r="Q2020" s="10"/>
      <c r="R2020" s="10"/>
      <c r="S2020" s="10"/>
      <c r="T2020" s="10"/>
      <c r="U2020" s="10"/>
      <c r="V2020" s="10"/>
      <c r="W2020" s="10"/>
      <c r="X2020" s="10"/>
      <c r="Y2020" s="10"/>
      <c r="Z2020" s="10"/>
      <c r="AA2020" s="10"/>
      <c r="AB2020" s="10"/>
      <c r="AC2020" s="10"/>
      <c r="AG2020" s="467"/>
      <c r="AH2020" s="6"/>
    </row>
    <row r="2021" spans="1:34">
      <c r="A2021" s="10"/>
      <c r="B2021" s="10"/>
      <c r="C2021" s="10"/>
      <c r="D2021" s="10"/>
      <c r="E2021" s="10"/>
      <c r="F2021" s="10"/>
      <c r="G2021" s="10"/>
      <c r="H2021" s="10"/>
      <c r="I2021" s="10"/>
      <c r="J2021" s="10"/>
      <c r="K2021" s="10"/>
      <c r="L2021" s="10"/>
      <c r="M2021" s="10"/>
      <c r="N2021" s="10"/>
      <c r="O2021" s="10"/>
      <c r="P2021" s="10"/>
      <c r="Q2021" s="10"/>
      <c r="R2021" s="10"/>
      <c r="S2021" s="10"/>
      <c r="T2021" s="10"/>
      <c r="U2021" s="10"/>
      <c r="V2021" s="10"/>
      <c r="W2021" s="10"/>
      <c r="X2021" s="10"/>
      <c r="Y2021" s="10"/>
      <c r="Z2021" s="10"/>
      <c r="AA2021" s="10"/>
      <c r="AB2021" s="10"/>
      <c r="AC2021" s="10"/>
      <c r="AG2021" s="467"/>
      <c r="AH2021" s="6"/>
    </row>
    <row r="2022" spans="1:34">
      <c r="A2022" s="10"/>
      <c r="B2022" s="10"/>
      <c r="C2022" s="10"/>
      <c r="D2022" s="10"/>
      <c r="E2022" s="10"/>
      <c r="F2022" s="10"/>
      <c r="G2022" s="10"/>
      <c r="H2022" s="10"/>
      <c r="I2022" s="10"/>
      <c r="J2022" s="10"/>
      <c r="K2022" s="10"/>
      <c r="L2022" s="10"/>
      <c r="M2022" s="10"/>
      <c r="N2022" s="10"/>
      <c r="O2022" s="10"/>
      <c r="P2022" s="10"/>
      <c r="Q2022" s="10"/>
      <c r="R2022" s="10"/>
      <c r="S2022" s="10"/>
      <c r="T2022" s="10"/>
      <c r="U2022" s="10"/>
      <c r="V2022" s="10"/>
      <c r="W2022" s="10"/>
      <c r="X2022" s="10"/>
      <c r="Y2022" s="10"/>
      <c r="Z2022" s="10"/>
      <c r="AA2022" s="10"/>
      <c r="AB2022" s="10"/>
      <c r="AC2022" s="10"/>
      <c r="AG2022" s="467"/>
      <c r="AH2022" s="6"/>
    </row>
    <row r="2023" spans="1:34">
      <c r="A2023" s="10"/>
      <c r="B2023" s="10"/>
      <c r="C2023" s="10"/>
      <c r="D2023" s="10"/>
      <c r="E2023" s="10"/>
      <c r="F2023" s="10"/>
      <c r="G2023" s="10"/>
      <c r="H2023" s="10"/>
      <c r="I2023" s="10"/>
      <c r="J2023" s="10"/>
      <c r="K2023" s="10"/>
      <c r="L2023" s="10"/>
      <c r="M2023" s="10"/>
      <c r="N2023" s="10"/>
      <c r="O2023" s="10"/>
      <c r="P2023" s="10"/>
      <c r="Q2023" s="10"/>
      <c r="R2023" s="10"/>
      <c r="S2023" s="10"/>
      <c r="T2023" s="10"/>
      <c r="U2023" s="10"/>
      <c r="V2023" s="10"/>
      <c r="W2023" s="10"/>
      <c r="X2023" s="10"/>
      <c r="Y2023" s="10"/>
      <c r="Z2023" s="10"/>
      <c r="AA2023" s="10"/>
      <c r="AB2023" s="10"/>
      <c r="AC2023" s="10"/>
      <c r="AG2023" s="467"/>
      <c r="AH2023" s="6"/>
    </row>
    <row r="2024" spans="1:34">
      <c r="A2024" s="10"/>
      <c r="B2024" s="10"/>
      <c r="C2024" s="10"/>
      <c r="D2024" s="10"/>
      <c r="E2024" s="10"/>
      <c r="F2024" s="10"/>
      <c r="G2024" s="10"/>
      <c r="H2024" s="10"/>
      <c r="I2024" s="10"/>
      <c r="J2024" s="10"/>
      <c r="K2024" s="10"/>
      <c r="L2024" s="10"/>
      <c r="M2024" s="10"/>
      <c r="N2024" s="10"/>
      <c r="O2024" s="10"/>
      <c r="P2024" s="10"/>
      <c r="Q2024" s="10"/>
      <c r="R2024" s="10"/>
      <c r="S2024" s="10"/>
      <c r="T2024" s="10"/>
      <c r="U2024" s="10"/>
      <c r="V2024" s="10"/>
      <c r="W2024" s="10"/>
      <c r="X2024" s="10"/>
      <c r="Y2024" s="10"/>
      <c r="Z2024" s="10"/>
      <c r="AA2024" s="10"/>
      <c r="AB2024" s="10"/>
      <c r="AC2024" s="10"/>
      <c r="AG2024" s="467"/>
      <c r="AH2024" s="6"/>
    </row>
    <row r="2025" spans="1:34">
      <c r="A2025" s="10"/>
      <c r="B2025" s="10"/>
      <c r="C2025" s="10"/>
      <c r="D2025" s="10"/>
      <c r="E2025" s="10"/>
      <c r="F2025" s="10"/>
      <c r="G2025" s="10"/>
      <c r="H2025" s="10"/>
      <c r="I2025" s="10"/>
      <c r="J2025" s="10"/>
      <c r="K2025" s="10"/>
      <c r="L2025" s="10"/>
      <c r="M2025" s="10"/>
      <c r="N2025" s="10"/>
      <c r="O2025" s="10"/>
      <c r="P2025" s="10"/>
      <c r="Q2025" s="10"/>
      <c r="R2025" s="10"/>
      <c r="S2025" s="10"/>
      <c r="T2025" s="10"/>
      <c r="U2025" s="10"/>
      <c r="V2025" s="10"/>
      <c r="W2025" s="10"/>
      <c r="X2025" s="10"/>
      <c r="Y2025" s="10"/>
      <c r="Z2025" s="10"/>
      <c r="AA2025" s="10"/>
      <c r="AB2025" s="10"/>
      <c r="AC2025" s="10"/>
      <c r="AG2025" s="467"/>
      <c r="AH2025" s="6"/>
    </row>
    <row r="2026" spans="1:34">
      <c r="A2026" s="10"/>
      <c r="B2026" s="10"/>
      <c r="C2026" s="10"/>
      <c r="D2026" s="10"/>
      <c r="E2026" s="10"/>
      <c r="F2026" s="10"/>
      <c r="G2026" s="10"/>
      <c r="H2026" s="10"/>
      <c r="I2026" s="10"/>
      <c r="J2026" s="10"/>
      <c r="K2026" s="10"/>
      <c r="L2026" s="10"/>
      <c r="M2026" s="10"/>
      <c r="N2026" s="10"/>
      <c r="O2026" s="10"/>
      <c r="P2026" s="10"/>
      <c r="Q2026" s="10"/>
      <c r="R2026" s="10"/>
      <c r="S2026" s="10"/>
      <c r="T2026" s="10"/>
      <c r="U2026" s="10"/>
      <c r="V2026" s="10"/>
      <c r="W2026" s="10"/>
      <c r="X2026" s="10"/>
      <c r="Y2026" s="10"/>
      <c r="Z2026" s="10"/>
      <c r="AA2026" s="10"/>
      <c r="AB2026" s="10"/>
      <c r="AC2026" s="10"/>
      <c r="AG2026" s="467"/>
      <c r="AH2026" s="6"/>
    </row>
    <row r="2027" spans="1:34">
      <c r="A2027" s="10"/>
      <c r="B2027" s="10"/>
      <c r="C2027" s="10"/>
      <c r="D2027" s="10"/>
      <c r="E2027" s="10"/>
      <c r="F2027" s="10"/>
      <c r="G2027" s="10"/>
      <c r="H2027" s="10"/>
      <c r="I2027" s="10"/>
      <c r="J2027" s="10"/>
      <c r="K2027" s="10"/>
      <c r="L2027" s="10"/>
      <c r="M2027" s="10"/>
      <c r="N2027" s="10"/>
      <c r="O2027" s="10"/>
      <c r="P2027" s="10"/>
      <c r="Q2027" s="10"/>
      <c r="R2027" s="10"/>
      <c r="S2027" s="10"/>
      <c r="T2027" s="10"/>
      <c r="U2027" s="10"/>
      <c r="V2027" s="10"/>
      <c r="W2027" s="10"/>
      <c r="X2027" s="10"/>
      <c r="Y2027" s="10"/>
      <c r="Z2027" s="10"/>
      <c r="AA2027" s="10"/>
      <c r="AB2027" s="10"/>
      <c r="AC2027" s="10"/>
      <c r="AG2027" s="467"/>
      <c r="AH2027" s="6"/>
    </row>
    <row r="2028" spans="1:34">
      <c r="A2028" s="10"/>
      <c r="B2028" s="10"/>
      <c r="C2028" s="10"/>
      <c r="D2028" s="10"/>
      <c r="E2028" s="10"/>
      <c r="F2028" s="10"/>
      <c r="G2028" s="10"/>
      <c r="H2028" s="10"/>
      <c r="I2028" s="10"/>
      <c r="J2028" s="10"/>
      <c r="K2028" s="10"/>
      <c r="L2028" s="10"/>
      <c r="M2028" s="10"/>
      <c r="N2028" s="10"/>
      <c r="O2028" s="10"/>
      <c r="P2028" s="10"/>
      <c r="Q2028" s="10"/>
      <c r="R2028" s="10"/>
      <c r="S2028" s="10"/>
      <c r="T2028" s="10"/>
      <c r="U2028" s="10"/>
      <c r="V2028" s="10"/>
      <c r="W2028" s="10"/>
      <c r="X2028" s="10"/>
      <c r="Y2028" s="10"/>
      <c r="Z2028" s="10"/>
      <c r="AA2028" s="10"/>
      <c r="AB2028" s="10"/>
      <c r="AC2028" s="10"/>
      <c r="AG2028" s="467"/>
      <c r="AH2028" s="6"/>
    </row>
    <row r="2029" spans="1:34">
      <c r="A2029" s="10"/>
      <c r="B2029" s="10"/>
      <c r="C2029" s="10"/>
      <c r="D2029" s="10"/>
      <c r="E2029" s="10"/>
      <c r="F2029" s="10"/>
      <c r="G2029" s="10"/>
      <c r="H2029" s="10"/>
      <c r="I2029" s="10"/>
      <c r="J2029" s="10"/>
      <c r="K2029" s="10"/>
      <c r="L2029" s="10"/>
      <c r="M2029" s="10"/>
      <c r="N2029" s="10"/>
      <c r="O2029" s="10"/>
      <c r="P2029" s="10"/>
      <c r="Q2029" s="10"/>
      <c r="R2029" s="10"/>
      <c r="S2029" s="10"/>
      <c r="T2029" s="10"/>
      <c r="U2029" s="10"/>
      <c r="V2029" s="10"/>
      <c r="W2029" s="10"/>
      <c r="X2029" s="10"/>
      <c r="Y2029" s="10"/>
      <c r="Z2029" s="10"/>
      <c r="AA2029" s="10"/>
      <c r="AB2029" s="10"/>
      <c r="AC2029" s="10"/>
      <c r="AG2029" s="467"/>
      <c r="AH2029" s="6"/>
    </row>
    <row r="2030" spans="1:34">
      <c r="A2030" s="10"/>
      <c r="B2030" s="10"/>
      <c r="C2030" s="10"/>
      <c r="D2030" s="10"/>
      <c r="E2030" s="10"/>
      <c r="F2030" s="10"/>
      <c r="G2030" s="10"/>
      <c r="H2030" s="10"/>
      <c r="I2030" s="10"/>
      <c r="J2030" s="10"/>
      <c r="K2030" s="10"/>
      <c r="L2030" s="10"/>
      <c r="M2030" s="10"/>
      <c r="N2030" s="10"/>
      <c r="O2030" s="10"/>
      <c r="P2030" s="10"/>
      <c r="Q2030" s="10"/>
      <c r="R2030" s="10"/>
      <c r="S2030" s="10"/>
      <c r="T2030" s="10"/>
      <c r="U2030" s="10"/>
      <c r="V2030" s="10"/>
      <c r="W2030" s="10"/>
      <c r="X2030" s="10"/>
      <c r="Y2030" s="10"/>
      <c r="Z2030" s="10"/>
      <c r="AA2030" s="10"/>
      <c r="AB2030" s="10"/>
      <c r="AC2030" s="10"/>
      <c r="AG2030" s="467"/>
      <c r="AH2030" s="6"/>
    </row>
    <row r="2031" spans="1:34">
      <c r="A2031" s="10"/>
      <c r="B2031" s="10"/>
      <c r="C2031" s="10"/>
      <c r="D2031" s="10"/>
      <c r="E2031" s="10"/>
      <c r="F2031" s="10"/>
      <c r="G2031" s="10"/>
      <c r="H2031" s="10"/>
      <c r="I2031" s="10"/>
      <c r="J2031" s="10"/>
      <c r="K2031" s="10"/>
      <c r="L2031" s="10"/>
      <c r="M2031" s="10"/>
      <c r="N2031" s="10"/>
      <c r="O2031" s="10"/>
      <c r="P2031" s="10"/>
      <c r="Q2031" s="10"/>
      <c r="R2031" s="10"/>
      <c r="S2031" s="10"/>
      <c r="T2031" s="10"/>
      <c r="U2031" s="10"/>
      <c r="V2031" s="10"/>
      <c r="W2031" s="10"/>
      <c r="X2031" s="10"/>
      <c r="Y2031" s="10"/>
      <c r="Z2031" s="10"/>
      <c r="AA2031" s="10"/>
      <c r="AB2031" s="10"/>
      <c r="AC2031" s="10"/>
      <c r="AG2031" s="467"/>
      <c r="AH2031" s="6"/>
    </row>
    <row r="2032" spans="1:34">
      <c r="A2032" s="10"/>
      <c r="B2032" s="10"/>
      <c r="C2032" s="10"/>
      <c r="D2032" s="10"/>
      <c r="E2032" s="10"/>
      <c r="F2032" s="10"/>
      <c r="G2032" s="10"/>
      <c r="H2032" s="10"/>
      <c r="I2032" s="10"/>
      <c r="J2032" s="10"/>
      <c r="K2032" s="10"/>
      <c r="L2032" s="10"/>
      <c r="M2032" s="10"/>
      <c r="N2032" s="10"/>
      <c r="O2032" s="10"/>
      <c r="P2032" s="10"/>
      <c r="Q2032" s="10"/>
      <c r="R2032" s="10"/>
      <c r="S2032" s="10"/>
      <c r="T2032" s="10"/>
      <c r="U2032" s="10"/>
      <c r="V2032" s="10"/>
      <c r="W2032" s="10"/>
      <c r="X2032" s="10"/>
      <c r="Y2032" s="10"/>
      <c r="Z2032" s="10"/>
      <c r="AA2032" s="10"/>
      <c r="AB2032" s="10"/>
      <c r="AC2032" s="10"/>
      <c r="AG2032" s="467"/>
      <c r="AH2032" s="6"/>
    </row>
    <row r="2033" spans="1:34">
      <c r="A2033" s="10"/>
      <c r="B2033" s="10"/>
      <c r="C2033" s="10"/>
      <c r="D2033" s="10"/>
      <c r="E2033" s="10"/>
      <c r="F2033" s="10"/>
      <c r="G2033" s="10"/>
      <c r="H2033" s="10"/>
      <c r="I2033" s="10"/>
      <c r="J2033" s="10"/>
      <c r="K2033" s="10"/>
      <c r="L2033" s="10"/>
      <c r="M2033" s="10"/>
      <c r="N2033" s="10"/>
      <c r="O2033" s="10"/>
      <c r="P2033" s="10"/>
      <c r="Q2033" s="10"/>
      <c r="R2033" s="10"/>
      <c r="S2033" s="10"/>
      <c r="T2033" s="10"/>
      <c r="U2033" s="10"/>
      <c r="V2033" s="10"/>
      <c r="W2033" s="10"/>
      <c r="X2033" s="10"/>
      <c r="Y2033" s="10"/>
      <c r="Z2033" s="10"/>
      <c r="AA2033" s="10"/>
      <c r="AB2033" s="10"/>
      <c r="AC2033" s="10"/>
      <c r="AG2033" s="467"/>
      <c r="AH2033" s="6"/>
    </row>
    <row r="2034" spans="1:34">
      <c r="A2034" s="10"/>
      <c r="B2034" s="10"/>
      <c r="C2034" s="10"/>
      <c r="D2034" s="10"/>
      <c r="E2034" s="10"/>
      <c r="F2034" s="10"/>
      <c r="G2034" s="10"/>
      <c r="H2034" s="10"/>
      <c r="I2034" s="10"/>
      <c r="J2034" s="10"/>
      <c r="K2034" s="10"/>
      <c r="L2034" s="10"/>
      <c r="M2034" s="10"/>
      <c r="N2034" s="10"/>
      <c r="O2034" s="10"/>
      <c r="P2034" s="10"/>
      <c r="Q2034" s="10"/>
      <c r="R2034" s="10"/>
      <c r="S2034" s="10"/>
      <c r="T2034" s="10"/>
      <c r="U2034" s="10"/>
      <c r="V2034" s="10"/>
      <c r="W2034" s="10"/>
      <c r="X2034" s="10"/>
      <c r="Y2034" s="10"/>
      <c r="Z2034" s="10"/>
      <c r="AA2034" s="10"/>
      <c r="AB2034" s="10"/>
      <c r="AC2034" s="10"/>
      <c r="AG2034" s="467"/>
      <c r="AH2034" s="6"/>
    </row>
    <row r="2035" spans="1:34">
      <c r="A2035" s="10"/>
      <c r="B2035" s="10"/>
      <c r="C2035" s="10"/>
      <c r="D2035" s="10"/>
      <c r="E2035" s="10"/>
      <c r="F2035" s="10"/>
      <c r="G2035" s="10"/>
      <c r="H2035" s="10"/>
      <c r="I2035" s="10"/>
      <c r="J2035" s="10"/>
      <c r="K2035" s="10"/>
      <c r="L2035" s="10"/>
      <c r="M2035" s="10"/>
      <c r="N2035" s="10"/>
      <c r="O2035" s="10"/>
      <c r="P2035" s="10"/>
      <c r="Q2035" s="10"/>
      <c r="R2035" s="10"/>
      <c r="S2035" s="10"/>
      <c r="T2035" s="10"/>
      <c r="U2035" s="10"/>
      <c r="V2035" s="10"/>
      <c r="W2035" s="10"/>
      <c r="X2035" s="10"/>
      <c r="Y2035" s="10"/>
      <c r="Z2035" s="10"/>
      <c r="AA2035" s="10"/>
      <c r="AB2035" s="10"/>
      <c r="AC2035" s="10"/>
      <c r="AG2035" s="467"/>
      <c r="AH2035" s="6"/>
    </row>
    <row r="2036" spans="1:34">
      <c r="A2036" s="10"/>
      <c r="B2036" s="10"/>
      <c r="C2036" s="10"/>
      <c r="D2036" s="10"/>
      <c r="E2036" s="10"/>
      <c r="F2036" s="10"/>
      <c r="G2036" s="10"/>
      <c r="H2036" s="10"/>
      <c r="I2036" s="10"/>
      <c r="J2036" s="10"/>
      <c r="K2036" s="10"/>
      <c r="L2036" s="10"/>
      <c r="M2036" s="10"/>
      <c r="N2036" s="10"/>
      <c r="O2036" s="10"/>
      <c r="P2036" s="10"/>
      <c r="Q2036" s="10"/>
      <c r="R2036" s="10"/>
      <c r="S2036" s="10"/>
      <c r="T2036" s="10"/>
      <c r="U2036" s="10"/>
      <c r="V2036" s="10"/>
      <c r="W2036" s="10"/>
      <c r="X2036" s="10"/>
      <c r="Y2036" s="10"/>
      <c r="Z2036" s="10"/>
      <c r="AA2036" s="10"/>
      <c r="AB2036" s="10"/>
      <c r="AC2036" s="10"/>
      <c r="AG2036" s="467"/>
      <c r="AH2036" s="6"/>
    </row>
    <row r="2037" spans="1:34">
      <c r="A2037" s="10"/>
      <c r="B2037" s="10"/>
      <c r="C2037" s="10"/>
      <c r="D2037" s="10"/>
      <c r="E2037" s="10"/>
      <c r="F2037" s="10"/>
      <c r="G2037" s="10"/>
      <c r="H2037" s="10"/>
      <c r="I2037" s="10"/>
      <c r="J2037" s="10"/>
      <c r="K2037" s="10"/>
      <c r="L2037" s="10"/>
      <c r="M2037" s="10"/>
      <c r="N2037" s="10"/>
      <c r="O2037" s="10"/>
      <c r="P2037" s="10"/>
      <c r="Q2037" s="10"/>
      <c r="R2037" s="10"/>
      <c r="S2037" s="10"/>
      <c r="T2037" s="10"/>
      <c r="U2037" s="10"/>
      <c r="V2037" s="10"/>
      <c r="W2037" s="10"/>
      <c r="X2037" s="10"/>
      <c r="Y2037" s="10"/>
      <c r="Z2037" s="10"/>
      <c r="AA2037" s="10"/>
      <c r="AB2037" s="10"/>
      <c r="AC2037" s="10"/>
      <c r="AG2037" s="467"/>
      <c r="AH2037" s="6"/>
    </row>
    <row r="2038" spans="1:34">
      <c r="A2038" s="10"/>
      <c r="B2038" s="10"/>
      <c r="C2038" s="10"/>
      <c r="D2038" s="10"/>
      <c r="E2038" s="10"/>
      <c r="F2038" s="10"/>
      <c r="G2038" s="10"/>
      <c r="H2038" s="10"/>
      <c r="I2038" s="10"/>
      <c r="J2038" s="10"/>
      <c r="K2038" s="10"/>
      <c r="L2038" s="10"/>
      <c r="M2038" s="10"/>
      <c r="N2038" s="10"/>
      <c r="O2038" s="10"/>
      <c r="P2038" s="10"/>
      <c r="Q2038" s="10"/>
      <c r="R2038" s="10"/>
      <c r="S2038" s="10"/>
      <c r="T2038" s="10"/>
      <c r="U2038" s="10"/>
      <c r="V2038" s="10"/>
      <c r="W2038" s="10"/>
      <c r="X2038" s="10"/>
      <c r="Y2038" s="10"/>
      <c r="Z2038" s="10"/>
      <c r="AA2038" s="10"/>
      <c r="AB2038" s="10"/>
      <c r="AC2038" s="10"/>
      <c r="AG2038" s="467"/>
      <c r="AH2038" s="6"/>
    </row>
    <row r="2039" spans="1:34">
      <c r="A2039" s="10"/>
      <c r="B2039" s="10"/>
      <c r="C2039" s="10"/>
      <c r="D2039" s="10"/>
      <c r="E2039" s="10"/>
      <c r="F2039" s="10"/>
      <c r="G2039" s="10"/>
      <c r="H2039" s="10"/>
      <c r="I2039" s="10"/>
      <c r="J2039" s="10"/>
      <c r="K2039" s="10"/>
      <c r="L2039" s="10"/>
      <c r="M2039" s="10"/>
      <c r="N2039" s="10"/>
      <c r="O2039" s="10"/>
      <c r="P2039" s="10"/>
      <c r="Q2039" s="10"/>
      <c r="R2039" s="10"/>
      <c r="S2039" s="10"/>
      <c r="T2039" s="10"/>
      <c r="U2039" s="10"/>
      <c r="V2039" s="10"/>
      <c r="W2039" s="10"/>
      <c r="X2039" s="10"/>
      <c r="Y2039" s="10"/>
      <c r="Z2039" s="10"/>
      <c r="AA2039" s="10"/>
      <c r="AB2039" s="10"/>
      <c r="AC2039" s="10"/>
      <c r="AG2039" s="467"/>
      <c r="AH2039" s="6"/>
    </row>
    <row r="2040" spans="1:34">
      <c r="A2040" s="10"/>
      <c r="B2040" s="10"/>
      <c r="C2040" s="10"/>
      <c r="D2040" s="10"/>
      <c r="E2040" s="10"/>
      <c r="F2040" s="10"/>
      <c r="G2040" s="10"/>
      <c r="H2040" s="10"/>
      <c r="I2040" s="10"/>
      <c r="J2040" s="10"/>
      <c r="K2040" s="10"/>
      <c r="L2040" s="10"/>
      <c r="M2040" s="10"/>
      <c r="N2040" s="10"/>
      <c r="O2040" s="10"/>
      <c r="P2040" s="10"/>
      <c r="Q2040" s="10"/>
      <c r="R2040" s="10"/>
      <c r="S2040" s="10"/>
      <c r="T2040" s="10"/>
      <c r="U2040" s="10"/>
      <c r="V2040" s="10"/>
      <c r="W2040" s="10"/>
      <c r="X2040" s="10"/>
      <c r="Y2040" s="10"/>
      <c r="Z2040" s="10"/>
      <c r="AA2040" s="10"/>
      <c r="AB2040" s="10"/>
      <c r="AC2040" s="10"/>
      <c r="AG2040" s="467"/>
      <c r="AH2040" s="6"/>
    </row>
    <row r="2041" spans="1:34">
      <c r="A2041" s="10"/>
      <c r="B2041" s="10"/>
      <c r="C2041" s="10"/>
      <c r="D2041" s="10"/>
      <c r="E2041" s="10"/>
      <c r="F2041" s="10"/>
      <c r="G2041" s="10"/>
      <c r="H2041" s="10"/>
      <c r="I2041" s="10"/>
      <c r="J2041" s="10"/>
      <c r="K2041" s="10"/>
      <c r="L2041" s="10"/>
      <c r="M2041" s="10"/>
      <c r="N2041" s="10"/>
      <c r="O2041" s="10"/>
      <c r="P2041" s="10"/>
      <c r="Q2041" s="10"/>
      <c r="R2041" s="10"/>
      <c r="S2041" s="10"/>
      <c r="T2041" s="10"/>
      <c r="U2041" s="10"/>
      <c r="V2041" s="10"/>
      <c r="W2041" s="10"/>
      <c r="X2041" s="10"/>
      <c r="Y2041" s="10"/>
      <c r="Z2041" s="10"/>
      <c r="AA2041" s="10"/>
      <c r="AB2041" s="10"/>
      <c r="AC2041" s="10"/>
      <c r="AG2041" s="467"/>
      <c r="AH2041" s="6"/>
    </row>
    <row r="2042" spans="1:34">
      <c r="A2042" s="10"/>
      <c r="B2042" s="10"/>
      <c r="C2042" s="10"/>
      <c r="D2042" s="10"/>
      <c r="E2042" s="10"/>
      <c r="F2042" s="10"/>
      <c r="G2042" s="10"/>
      <c r="H2042" s="10"/>
      <c r="I2042" s="10"/>
      <c r="J2042" s="10"/>
      <c r="K2042" s="10"/>
      <c r="L2042" s="10"/>
      <c r="M2042" s="10"/>
      <c r="N2042" s="10"/>
      <c r="O2042" s="10"/>
      <c r="P2042" s="10"/>
      <c r="Q2042" s="10"/>
      <c r="R2042" s="10"/>
      <c r="S2042" s="10"/>
      <c r="T2042" s="10"/>
      <c r="U2042" s="10"/>
      <c r="V2042" s="10"/>
      <c r="W2042" s="10"/>
      <c r="X2042" s="10"/>
      <c r="Y2042" s="10"/>
      <c r="Z2042" s="10"/>
      <c r="AA2042" s="10"/>
      <c r="AB2042" s="10"/>
      <c r="AC2042" s="10"/>
      <c r="AG2042" s="467"/>
      <c r="AH2042" s="6"/>
    </row>
    <row r="2043" spans="1:34">
      <c r="A2043" s="10"/>
      <c r="B2043" s="10"/>
      <c r="C2043" s="10"/>
      <c r="D2043" s="10"/>
      <c r="E2043" s="10"/>
      <c r="F2043" s="10"/>
      <c r="G2043" s="10"/>
      <c r="H2043" s="10"/>
      <c r="I2043" s="10"/>
      <c r="J2043" s="10"/>
      <c r="K2043" s="10"/>
      <c r="L2043" s="10"/>
      <c r="M2043" s="10"/>
      <c r="N2043" s="10"/>
      <c r="O2043" s="10"/>
      <c r="P2043" s="10"/>
      <c r="Q2043" s="10"/>
      <c r="R2043" s="10"/>
      <c r="S2043" s="10"/>
      <c r="T2043" s="10"/>
      <c r="U2043" s="10"/>
      <c r="V2043" s="10"/>
      <c r="W2043" s="10"/>
      <c r="X2043" s="10"/>
      <c r="Y2043" s="10"/>
      <c r="Z2043" s="10"/>
      <c r="AA2043" s="10"/>
      <c r="AB2043" s="10"/>
      <c r="AC2043" s="10"/>
      <c r="AG2043" s="467"/>
      <c r="AH2043" s="6"/>
    </row>
    <row r="2044" spans="1:34">
      <c r="A2044" s="10"/>
      <c r="B2044" s="10"/>
      <c r="C2044" s="10"/>
      <c r="D2044" s="10"/>
      <c r="E2044" s="10"/>
      <c r="F2044" s="10"/>
      <c r="G2044" s="10"/>
      <c r="H2044" s="10"/>
      <c r="I2044" s="10"/>
      <c r="J2044" s="10"/>
      <c r="K2044" s="10"/>
      <c r="L2044" s="10"/>
      <c r="M2044" s="10"/>
      <c r="N2044" s="10"/>
      <c r="O2044" s="10"/>
      <c r="P2044" s="10"/>
      <c r="Q2044" s="10"/>
      <c r="R2044" s="10"/>
      <c r="S2044" s="10"/>
      <c r="T2044" s="10"/>
      <c r="U2044" s="10"/>
      <c r="V2044" s="10"/>
      <c r="W2044" s="10"/>
      <c r="X2044" s="10"/>
      <c r="Y2044" s="10"/>
      <c r="Z2044" s="10"/>
      <c r="AA2044" s="10"/>
      <c r="AB2044" s="10"/>
      <c r="AC2044" s="10"/>
      <c r="AG2044" s="467"/>
      <c r="AH2044" s="6"/>
    </row>
    <row r="2045" spans="1:34">
      <c r="A2045" s="10"/>
      <c r="B2045" s="10"/>
      <c r="C2045" s="10"/>
      <c r="D2045" s="10"/>
      <c r="E2045" s="10"/>
      <c r="F2045" s="10"/>
      <c r="G2045" s="10"/>
      <c r="H2045" s="10"/>
      <c r="I2045" s="10"/>
      <c r="J2045" s="10"/>
      <c r="K2045" s="10"/>
      <c r="L2045" s="10"/>
      <c r="M2045" s="10"/>
      <c r="N2045" s="10"/>
      <c r="O2045" s="10"/>
      <c r="P2045" s="10"/>
      <c r="Q2045" s="10"/>
      <c r="R2045" s="10"/>
      <c r="S2045" s="10"/>
      <c r="T2045" s="10"/>
      <c r="U2045" s="10"/>
      <c r="V2045" s="10"/>
      <c r="W2045" s="10"/>
      <c r="X2045" s="10"/>
      <c r="Y2045" s="10"/>
      <c r="Z2045" s="10"/>
      <c r="AA2045" s="10"/>
      <c r="AB2045" s="10"/>
      <c r="AC2045" s="10"/>
      <c r="AG2045" s="467"/>
      <c r="AH2045" s="6"/>
    </row>
    <row r="2046" spans="1:34">
      <c r="A2046" s="10"/>
      <c r="B2046" s="10"/>
      <c r="C2046" s="10"/>
      <c r="D2046" s="10"/>
      <c r="E2046" s="10"/>
      <c r="F2046" s="10"/>
      <c r="G2046" s="10"/>
      <c r="H2046" s="10"/>
      <c r="I2046" s="10"/>
      <c r="J2046" s="10"/>
      <c r="K2046" s="10"/>
      <c r="L2046" s="10"/>
      <c r="M2046" s="10"/>
      <c r="N2046" s="10"/>
      <c r="O2046" s="10"/>
      <c r="P2046" s="10"/>
      <c r="Q2046" s="10"/>
      <c r="R2046" s="10"/>
      <c r="S2046" s="10"/>
      <c r="T2046" s="10"/>
      <c r="U2046" s="10"/>
      <c r="V2046" s="10"/>
      <c r="W2046" s="10"/>
      <c r="X2046" s="10"/>
      <c r="Y2046" s="10"/>
      <c r="Z2046" s="10"/>
      <c r="AA2046" s="10"/>
      <c r="AB2046" s="10"/>
      <c r="AC2046" s="10"/>
      <c r="AG2046" s="467"/>
      <c r="AH2046" s="6"/>
    </row>
    <row r="2047" spans="1:34">
      <c r="A2047" s="10"/>
      <c r="B2047" s="10"/>
      <c r="C2047" s="10"/>
      <c r="D2047" s="10"/>
      <c r="E2047" s="10"/>
      <c r="F2047" s="10"/>
      <c r="G2047" s="10"/>
      <c r="H2047" s="10"/>
      <c r="I2047" s="10"/>
      <c r="J2047" s="10"/>
      <c r="K2047" s="10"/>
      <c r="L2047" s="10"/>
      <c r="M2047" s="10"/>
      <c r="N2047" s="10"/>
      <c r="O2047" s="10"/>
      <c r="P2047" s="10"/>
      <c r="Q2047" s="10"/>
      <c r="R2047" s="10"/>
      <c r="S2047" s="10"/>
      <c r="T2047" s="10"/>
      <c r="U2047" s="10"/>
      <c r="V2047" s="10"/>
      <c r="W2047" s="10"/>
      <c r="X2047" s="10"/>
      <c r="Y2047" s="10"/>
      <c r="Z2047" s="10"/>
      <c r="AA2047" s="10"/>
      <c r="AB2047" s="10"/>
      <c r="AC2047" s="10"/>
      <c r="AG2047" s="467"/>
      <c r="AH2047" s="6"/>
    </row>
    <row r="2048" spans="1:34">
      <c r="A2048" s="10"/>
      <c r="B2048" s="10"/>
      <c r="C2048" s="10"/>
      <c r="D2048" s="10"/>
      <c r="E2048" s="10"/>
      <c r="F2048" s="10"/>
      <c r="G2048" s="10"/>
      <c r="H2048" s="10"/>
      <c r="I2048" s="10"/>
      <c r="J2048" s="10"/>
      <c r="K2048" s="10"/>
      <c r="L2048" s="10"/>
      <c r="M2048" s="10"/>
      <c r="N2048" s="10"/>
      <c r="O2048" s="10"/>
      <c r="P2048" s="10"/>
      <c r="Q2048" s="10"/>
      <c r="R2048" s="10"/>
      <c r="S2048" s="10"/>
      <c r="T2048" s="10"/>
      <c r="U2048" s="10"/>
      <c r="V2048" s="10"/>
      <c r="W2048" s="10"/>
      <c r="X2048" s="10"/>
      <c r="Y2048" s="10"/>
      <c r="Z2048" s="10"/>
      <c r="AA2048" s="10"/>
      <c r="AB2048" s="10"/>
      <c r="AC2048" s="10"/>
      <c r="AG2048" s="467"/>
      <c r="AH2048" s="6"/>
    </row>
    <row r="2049" spans="1:34">
      <c r="A2049" s="10"/>
      <c r="B2049" s="10"/>
      <c r="C2049" s="10"/>
      <c r="D2049" s="10"/>
      <c r="E2049" s="10"/>
      <c r="F2049" s="10"/>
      <c r="G2049" s="10"/>
      <c r="H2049" s="10"/>
      <c r="I2049" s="10"/>
      <c r="J2049" s="10"/>
      <c r="K2049" s="10"/>
      <c r="L2049" s="10"/>
      <c r="M2049" s="10"/>
      <c r="N2049" s="10"/>
      <c r="O2049" s="10"/>
      <c r="P2049" s="10"/>
      <c r="Q2049" s="10"/>
      <c r="R2049" s="10"/>
      <c r="S2049" s="10"/>
      <c r="T2049" s="10"/>
      <c r="U2049" s="10"/>
      <c r="V2049" s="10"/>
      <c r="W2049" s="10"/>
      <c r="X2049" s="10"/>
      <c r="Y2049" s="10"/>
      <c r="Z2049" s="10"/>
      <c r="AA2049" s="10"/>
      <c r="AB2049" s="10"/>
      <c r="AC2049" s="10"/>
      <c r="AG2049" s="467"/>
      <c r="AH2049" s="6"/>
    </row>
    <row r="2050" spans="1:34">
      <c r="A2050" s="10"/>
      <c r="B2050" s="10"/>
      <c r="C2050" s="10"/>
      <c r="D2050" s="10"/>
      <c r="E2050" s="10"/>
      <c r="F2050" s="10"/>
      <c r="G2050" s="10"/>
      <c r="H2050" s="10"/>
      <c r="I2050" s="10"/>
      <c r="J2050" s="10"/>
      <c r="K2050" s="10"/>
      <c r="L2050" s="10"/>
      <c r="M2050" s="10"/>
      <c r="N2050" s="10"/>
      <c r="O2050" s="10"/>
      <c r="P2050" s="10"/>
      <c r="Q2050" s="10"/>
      <c r="R2050" s="10"/>
      <c r="S2050" s="10"/>
      <c r="T2050" s="10"/>
      <c r="U2050" s="10"/>
      <c r="V2050" s="10"/>
      <c r="W2050" s="10"/>
      <c r="X2050" s="10"/>
      <c r="Y2050" s="10"/>
      <c r="Z2050" s="10"/>
      <c r="AA2050" s="10"/>
      <c r="AB2050" s="10"/>
      <c r="AC2050" s="10"/>
      <c r="AG2050" s="467"/>
      <c r="AH2050" s="6"/>
    </row>
    <row r="2051" spans="1:34">
      <c r="A2051" s="10"/>
      <c r="B2051" s="10"/>
      <c r="C2051" s="10"/>
      <c r="D2051" s="10"/>
      <c r="E2051" s="10"/>
      <c r="F2051" s="10"/>
      <c r="G2051" s="10"/>
      <c r="H2051" s="10"/>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G2051" s="467"/>
      <c r="AH2051" s="6"/>
    </row>
    <row r="2052" spans="1:34">
      <c r="A2052" s="10"/>
      <c r="B2052" s="10"/>
      <c r="C2052" s="10"/>
      <c r="D2052" s="10"/>
      <c r="E2052" s="10"/>
      <c r="F2052" s="10"/>
      <c r="G2052" s="10"/>
      <c r="H2052" s="10"/>
      <c r="I2052" s="10"/>
      <c r="J2052" s="10"/>
      <c r="K2052" s="10"/>
      <c r="L2052" s="10"/>
      <c r="M2052" s="10"/>
      <c r="N2052" s="10"/>
      <c r="O2052" s="10"/>
      <c r="P2052" s="10"/>
      <c r="Q2052" s="10"/>
      <c r="R2052" s="10"/>
      <c r="S2052" s="10"/>
      <c r="T2052" s="10"/>
      <c r="U2052" s="10"/>
      <c r="V2052" s="10"/>
      <c r="W2052" s="10"/>
      <c r="X2052" s="10"/>
      <c r="Y2052" s="10"/>
      <c r="Z2052" s="10"/>
      <c r="AA2052" s="10"/>
      <c r="AB2052" s="10"/>
      <c r="AC2052" s="10"/>
      <c r="AG2052" s="467"/>
      <c r="AH2052" s="6"/>
    </row>
    <row r="2053" spans="1:34">
      <c r="A2053" s="10"/>
      <c r="B2053" s="10"/>
      <c r="C2053" s="10"/>
      <c r="D2053" s="10"/>
      <c r="E2053" s="10"/>
      <c r="F2053" s="10"/>
      <c r="G2053" s="10"/>
      <c r="H2053" s="10"/>
      <c r="I2053" s="10"/>
      <c r="J2053" s="10"/>
      <c r="K2053" s="10"/>
      <c r="L2053" s="10"/>
      <c r="M2053" s="10"/>
      <c r="N2053" s="10"/>
      <c r="O2053" s="10"/>
      <c r="P2053" s="10"/>
      <c r="Q2053" s="10"/>
      <c r="R2053" s="10"/>
      <c r="S2053" s="10"/>
      <c r="T2053" s="10"/>
      <c r="U2053" s="10"/>
      <c r="V2053" s="10"/>
      <c r="W2053" s="10"/>
      <c r="X2053" s="10"/>
      <c r="Y2053" s="10"/>
      <c r="Z2053" s="10"/>
      <c r="AA2053" s="10"/>
      <c r="AB2053" s="10"/>
      <c r="AC2053" s="10"/>
      <c r="AG2053" s="467"/>
      <c r="AH2053" s="6"/>
    </row>
    <row r="2054" spans="1:34">
      <c r="A2054" s="10"/>
      <c r="B2054" s="10"/>
      <c r="C2054" s="10"/>
      <c r="D2054" s="10"/>
      <c r="E2054" s="10"/>
      <c r="F2054" s="10"/>
      <c r="G2054" s="10"/>
      <c r="H2054" s="10"/>
      <c r="I2054" s="10"/>
      <c r="J2054" s="10"/>
      <c r="K2054" s="10"/>
      <c r="L2054" s="10"/>
      <c r="M2054" s="10"/>
      <c r="N2054" s="10"/>
      <c r="O2054" s="10"/>
      <c r="P2054" s="10"/>
      <c r="Q2054" s="10"/>
      <c r="R2054" s="10"/>
      <c r="S2054" s="10"/>
      <c r="T2054" s="10"/>
      <c r="U2054" s="10"/>
      <c r="V2054" s="10"/>
      <c r="W2054" s="10"/>
      <c r="X2054" s="10"/>
      <c r="Y2054" s="10"/>
      <c r="Z2054" s="10"/>
      <c r="AA2054" s="10"/>
      <c r="AB2054" s="10"/>
      <c r="AC2054" s="10"/>
      <c r="AG2054" s="467"/>
      <c r="AH2054" s="6"/>
    </row>
    <row r="2055" spans="1:34">
      <c r="A2055" s="10"/>
      <c r="B2055" s="10"/>
      <c r="C2055" s="10"/>
      <c r="D2055" s="10"/>
      <c r="E2055" s="10"/>
      <c r="F2055" s="10"/>
      <c r="G2055" s="10"/>
      <c r="H2055" s="10"/>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G2055" s="467"/>
      <c r="AH2055" s="6"/>
    </row>
    <row r="2056" spans="1:34">
      <c r="A2056" s="10"/>
      <c r="B2056" s="10"/>
      <c r="C2056" s="10"/>
      <c r="D2056" s="10"/>
      <c r="E2056" s="10"/>
      <c r="F2056" s="10"/>
      <c r="G2056" s="10"/>
      <c r="H2056" s="10"/>
      <c r="I2056" s="10"/>
      <c r="J2056" s="10"/>
      <c r="K2056" s="10"/>
      <c r="L2056" s="10"/>
      <c r="M2056" s="10"/>
      <c r="N2056" s="10"/>
      <c r="O2056" s="10"/>
      <c r="P2056" s="10"/>
      <c r="Q2056" s="10"/>
      <c r="R2056" s="10"/>
      <c r="S2056" s="10"/>
      <c r="T2056" s="10"/>
      <c r="U2056" s="10"/>
      <c r="V2056" s="10"/>
      <c r="W2056" s="10"/>
      <c r="X2056" s="10"/>
      <c r="Y2056" s="10"/>
      <c r="Z2056" s="10"/>
      <c r="AA2056" s="10"/>
      <c r="AB2056" s="10"/>
      <c r="AC2056" s="10"/>
      <c r="AG2056" s="467"/>
      <c r="AH2056" s="6"/>
    </row>
    <row r="2057" spans="1:34">
      <c r="A2057" s="10"/>
      <c r="B2057" s="10"/>
      <c r="C2057" s="10"/>
      <c r="D2057" s="10"/>
      <c r="E2057" s="10"/>
      <c r="F2057" s="10"/>
      <c r="G2057" s="10"/>
      <c r="H2057" s="10"/>
      <c r="I2057" s="10"/>
      <c r="J2057" s="10"/>
      <c r="K2057" s="10"/>
      <c r="L2057" s="10"/>
      <c r="M2057" s="10"/>
      <c r="N2057" s="10"/>
      <c r="O2057" s="10"/>
      <c r="P2057" s="10"/>
      <c r="Q2057" s="10"/>
      <c r="R2057" s="10"/>
      <c r="S2057" s="10"/>
      <c r="T2057" s="10"/>
      <c r="U2057" s="10"/>
      <c r="V2057" s="10"/>
      <c r="W2057" s="10"/>
      <c r="X2057" s="10"/>
      <c r="Y2057" s="10"/>
      <c r="Z2057" s="10"/>
      <c r="AA2057" s="10"/>
      <c r="AB2057" s="10"/>
      <c r="AC2057" s="10"/>
      <c r="AG2057" s="467"/>
      <c r="AH2057" s="6"/>
    </row>
    <row r="2058" spans="1:34">
      <c r="A2058" s="10"/>
      <c r="B2058" s="10"/>
      <c r="C2058" s="10"/>
      <c r="D2058" s="10"/>
      <c r="E2058" s="10"/>
      <c r="F2058" s="10"/>
      <c r="G2058" s="10"/>
      <c r="H2058" s="10"/>
      <c r="I2058" s="10"/>
      <c r="J2058" s="10"/>
      <c r="K2058" s="10"/>
      <c r="L2058" s="10"/>
      <c r="M2058" s="10"/>
      <c r="N2058" s="10"/>
      <c r="O2058" s="10"/>
      <c r="P2058" s="10"/>
      <c r="Q2058" s="10"/>
      <c r="R2058" s="10"/>
      <c r="S2058" s="10"/>
      <c r="T2058" s="10"/>
      <c r="U2058" s="10"/>
      <c r="V2058" s="10"/>
      <c r="W2058" s="10"/>
      <c r="X2058" s="10"/>
      <c r="Y2058" s="10"/>
      <c r="Z2058" s="10"/>
      <c r="AA2058" s="10"/>
      <c r="AB2058" s="10"/>
      <c r="AC2058" s="10"/>
      <c r="AG2058" s="467"/>
      <c r="AH2058" s="6"/>
    </row>
    <row r="2059" spans="1:34">
      <c r="A2059" s="10"/>
      <c r="B2059" s="10"/>
      <c r="C2059" s="10"/>
      <c r="D2059" s="10"/>
      <c r="E2059" s="10"/>
      <c r="F2059" s="10"/>
      <c r="G2059" s="10"/>
      <c r="H2059" s="10"/>
      <c r="I2059" s="10"/>
      <c r="J2059" s="10"/>
      <c r="K2059" s="10"/>
      <c r="L2059" s="10"/>
      <c r="M2059" s="10"/>
      <c r="N2059" s="10"/>
      <c r="O2059" s="10"/>
      <c r="P2059" s="10"/>
      <c r="Q2059" s="10"/>
      <c r="R2059" s="10"/>
      <c r="S2059" s="10"/>
      <c r="T2059" s="10"/>
      <c r="U2059" s="10"/>
      <c r="V2059" s="10"/>
      <c r="W2059" s="10"/>
      <c r="X2059" s="10"/>
      <c r="Y2059" s="10"/>
      <c r="Z2059" s="10"/>
      <c r="AA2059" s="10"/>
      <c r="AB2059" s="10"/>
      <c r="AC2059" s="10"/>
      <c r="AG2059" s="467"/>
      <c r="AH2059" s="6"/>
    </row>
    <row r="2060" spans="1:34">
      <c r="A2060" s="10"/>
      <c r="B2060" s="10"/>
      <c r="C2060" s="10"/>
      <c r="D2060" s="10"/>
      <c r="E2060" s="10"/>
      <c r="F2060" s="10"/>
      <c r="G2060" s="10"/>
      <c r="H2060" s="10"/>
      <c r="I2060" s="10"/>
      <c r="J2060" s="10"/>
      <c r="K2060" s="10"/>
      <c r="L2060" s="10"/>
      <c r="M2060" s="10"/>
      <c r="N2060" s="10"/>
      <c r="O2060" s="10"/>
      <c r="P2060" s="10"/>
      <c r="Q2060" s="10"/>
      <c r="R2060" s="10"/>
      <c r="S2060" s="10"/>
      <c r="T2060" s="10"/>
      <c r="U2060" s="10"/>
      <c r="V2060" s="10"/>
      <c r="W2060" s="10"/>
      <c r="X2060" s="10"/>
      <c r="Y2060" s="10"/>
      <c r="Z2060" s="10"/>
      <c r="AA2060" s="10"/>
      <c r="AB2060" s="10"/>
      <c r="AC2060" s="10"/>
      <c r="AG2060" s="467"/>
      <c r="AH2060" s="6"/>
    </row>
    <row r="2061" spans="1:34">
      <c r="A2061" s="10"/>
      <c r="B2061" s="10"/>
      <c r="C2061" s="10"/>
      <c r="D2061" s="10"/>
      <c r="E2061" s="10"/>
      <c r="F2061" s="10"/>
      <c r="G2061" s="10"/>
      <c r="H2061" s="10"/>
      <c r="I2061" s="10"/>
      <c r="J2061" s="10"/>
      <c r="K2061" s="10"/>
      <c r="L2061" s="10"/>
      <c r="M2061" s="10"/>
      <c r="N2061" s="10"/>
      <c r="O2061" s="10"/>
      <c r="P2061" s="10"/>
      <c r="Q2061" s="10"/>
      <c r="R2061" s="10"/>
      <c r="S2061" s="10"/>
      <c r="T2061" s="10"/>
      <c r="U2061" s="10"/>
      <c r="V2061" s="10"/>
      <c r="W2061" s="10"/>
      <c r="X2061" s="10"/>
      <c r="Y2061" s="10"/>
      <c r="Z2061" s="10"/>
      <c r="AA2061" s="10"/>
      <c r="AB2061" s="10"/>
      <c r="AC2061" s="10"/>
      <c r="AG2061" s="467"/>
      <c r="AH2061" s="6"/>
    </row>
    <row r="2062" spans="1:34">
      <c r="A2062" s="10"/>
      <c r="B2062" s="10"/>
      <c r="C2062" s="10"/>
      <c r="D2062" s="10"/>
      <c r="E2062" s="10"/>
      <c r="F2062" s="10"/>
      <c r="G2062" s="10"/>
      <c r="H2062" s="10"/>
      <c r="I2062" s="10"/>
      <c r="J2062" s="10"/>
      <c r="K2062" s="10"/>
      <c r="L2062" s="10"/>
      <c r="M2062" s="10"/>
      <c r="N2062" s="10"/>
      <c r="O2062" s="10"/>
      <c r="P2062" s="10"/>
      <c r="Q2062" s="10"/>
      <c r="R2062" s="10"/>
      <c r="S2062" s="10"/>
      <c r="T2062" s="10"/>
      <c r="U2062" s="10"/>
      <c r="V2062" s="10"/>
      <c r="W2062" s="10"/>
      <c r="X2062" s="10"/>
      <c r="Y2062" s="10"/>
      <c r="Z2062" s="10"/>
      <c r="AA2062" s="10"/>
      <c r="AB2062" s="10"/>
      <c r="AC2062" s="10"/>
      <c r="AG2062" s="467"/>
      <c r="AH2062" s="6"/>
    </row>
    <row r="2063" spans="1:34">
      <c r="A2063" s="10"/>
      <c r="B2063" s="10"/>
      <c r="C2063" s="10"/>
      <c r="D2063" s="10"/>
      <c r="E2063" s="10"/>
      <c r="F2063" s="10"/>
      <c r="G2063" s="10"/>
      <c r="H2063" s="10"/>
      <c r="I2063" s="10"/>
      <c r="J2063" s="10"/>
      <c r="K2063" s="10"/>
      <c r="L2063" s="10"/>
      <c r="M2063" s="10"/>
      <c r="N2063" s="10"/>
      <c r="O2063" s="10"/>
      <c r="P2063" s="10"/>
      <c r="Q2063" s="10"/>
      <c r="R2063" s="10"/>
      <c r="S2063" s="10"/>
      <c r="T2063" s="10"/>
      <c r="U2063" s="10"/>
      <c r="V2063" s="10"/>
      <c r="W2063" s="10"/>
      <c r="X2063" s="10"/>
      <c r="Y2063" s="10"/>
      <c r="Z2063" s="10"/>
      <c r="AA2063" s="10"/>
      <c r="AB2063" s="10"/>
      <c r="AC2063" s="10"/>
      <c r="AG2063" s="467"/>
      <c r="AH2063" s="6"/>
    </row>
    <row r="2064" spans="1:34">
      <c r="A2064" s="10"/>
      <c r="B2064" s="10"/>
      <c r="C2064" s="10"/>
      <c r="D2064" s="10"/>
      <c r="E2064" s="10"/>
      <c r="F2064" s="10"/>
      <c r="G2064" s="10"/>
      <c r="H2064" s="10"/>
      <c r="I2064" s="10"/>
      <c r="J2064" s="10"/>
      <c r="K2064" s="10"/>
      <c r="L2064" s="10"/>
      <c r="M2064" s="10"/>
      <c r="N2064" s="10"/>
      <c r="O2064" s="10"/>
      <c r="P2064" s="10"/>
      <c r="Q2064" s="10"/>
      <c r="R2064" s="10"/>
      <c r="S2064" s="10"/>
      <c r="T2064" s="10"/>
      <c r="U2064" s="10"/>
      <c r="V2064" s="10"/>
      <c r="W2064" s="10"/>
      <c r="X2064" s="10"/>
      <c r="Y2064" s="10"/>
      <c r="Z2064" s="10"/>
      <c r="AA2064" s="10"/>
      <c r="AB2064" s="10"/>
      <c r="AC2064" s="10"/>
      <c r="AG2064" s="467"/>
      <c r="AH2064" s="6"/>
    </row>
    <row r="2065" spans="1:34">
      <c r="A2065" s="10"/>
      <c r="B2065" s="10"/>
      <c r="C2065" s="10"/>
      <c r="D2065" s="10"/>
      <c r="E2065" s="10"/>
      <c r="F2065" s="10"/>
      <c r="G2065" s="10"/>
      <c r="H2065" s="10"/>
      <c r="I2065" s="10"/>
      <c r="J2065" s="10"/>
      <c r="K2065" s="10"/>
      <c r="L2065" s="10"/>
      <c r="M2065" s="10"/>
      <c r="N2065" s="10"/>
      <c r="O2065" s="10"/>
      <c r="P2065" s="10"/>
      <c r="Q2065" s="10"/>
      <c r="R2065" s="10"/>
      <c r="S2065" s="10"/>
      <c r="T2065" s="10"/>
      <c r="U2065" s="10"/>
      <c r="V2065" s="10"/>
      <c r="W2065" s="10"/>
      <c r="X2065" s="10"/>
      <c r="Y2065" s="10"/>
      <c r="Z2065" s="10"/>
      <c r="AA2065" s="10"/>
      <c r="AB2065" s="10"/>
      <c r="AC2065" s="10"/>
      <c r="AG2065" s="467"/>
      <c r="AH2065" s="6"/>
    </row>
    <row r="2066" spans="1:34">
      <c r="A2066" s="10"/>
      <c r="B2066" s="10"/>
      <c r="C2066" s="10"/>
      <c r="D2066" s="10"/>
      <c r="E2066" s="10"/>
      <c r="F2066" s="10"/>
      <c r="G2066" s="10"/>
      <c r="H2066" s="10"/>
      <c r="I2066" s="10"/>
      <c r="J2066" s="10"/>
      <c r="K2066" s="10"/>
      <c r="L2066" s="10"/>
      <c r="M2066" s="10"/>
      <c r="N2066" s="10"/>
      <c r="O2066" s="10"/>
      <c r="P2066" s="10"/>
      <c r="Q2066" s="10"/>
      <c r="R2066" s="10"/>
      <c r="S2066" s="10"/>
      <c r="T2066" s="10"/>
      <c r="U2066" s="10"/>
      <c r="V2066" s="10"/>
      <c r="W2066" s="10"/>
      <c r="X2066" s="10"/>
      <c r="Y2066" s="10"/>
      <c r="Z2066" s="10"/>
      <c r="AA2066" s="10"/>
      <c r="AB2066" s="10"/>
      <c r="AC2066" s="10"/>
      <c r="AG2066" s="467"/>
      <c r="AH2066" s="6"/>
    </row>
    <row r="2067" spans="1:34">
      <c r="A2067" s="10"/>
      <c r="B2067" s="10"/>
      <c r="C2067" s="10"/>
      <c r="D2067" s="10"/>
      <c r="E2067" s="10"/>
      <c r="F2067" s="10"/>
      <c r="G2067" s="10"/>
      <c r="H2067" s="10"/>
      <c r="I2067" s="10"/>
      <c r="J2067" s="10"/>
      <c r="K2067" s="10"/>
      <c r="L2067" s="10"/>
      <c r="M2067" s="10"/>
      <c r="N2067" s="10"/>
      <c r="O2067" s="10"/>
      <c r="P2067" s="10"/>
      <c r="Q2067" s="10"/>
      <c r="R2067" s="10"/>
      <c r="S2067" s="10"/>
      <c r="T2067" s="10"/>
      <c r="U2067" s="10"/>
      <c r="V2067" s="10"/>
      <c r="W2067" s="10"/>
      <c r="X2067" s="10"/>
      <c r="Y2067" s="10"/>
      <c r="Z2067" s="10"/>
      <c r="AA2067" s="10"/>
      <c r="AB2067" s="10"/>
      <c r="AC2067" s="10"/>
      <c r="AG2067" s="467"/>
      <c r="AH2067" s="6"/>
    </row>
    <row r="2068" spans="1:34">
      <c r="A2068" s="10"/>
      <c r="B2068" s="10"/>
      <c r="C2068" s="10"/>
      <c r="D2068" s="10"/>
      <c r="E2068" s="10"/>
      <c r="F2068" s="10"/>
      <c r="G2068" s="10"/>
      <c r="H2068" s="10"/>
      <c r="I2068" s="10"/>
      <c r="J2068" s="10"/>
      <c r="K2068" s="10"/>
      <c r="L2068" s="10"/>
      <c r="M2068" s="10"/>
      <c r="N2068" s="10"/>
      <c r="O2068" s="10"/>
      <c r="P2068" s="10"/>
      <c r="Q2068" s="10"/>
      <c r="R2068" s="10"/>
      <c r="S2068" s="10"/>
      <c r="T2068" s="10"/>
      <c r="U2068" s="10"/>
      <c r="V2068" s="10"/>
      <c r="W2068" s="10"/>
      <c r="X2068" s="10"/>
      <c r="Y2068" s="10"/>
      <c r="Z2068" s="10"/>
      <c r="AA2068" s="10"/>
      <c r="AB2068" s="10"/>
      <c r="AC2068" s="10"/>
      <c r="AG2068" s="467"/>
      <c r="AH2068" s="6"/>
    </row>
    <row r="2069" spans="1:34">
      <c r="A2069" s="10"/>
      <c r="B2069" s="10"/>
      <c r="C2069" s="10"/>
      <c r="D2069" s="10"/>
      <c r="E2069" s="10"/>
      <c r="F2069" s="10"/>
      <c r="G2069" s="10"/>
      <c r="H2069" s="10"/>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G2069" s="467"/>
      <c r="AH2069" s="6"/>
    </row>
    <row r="2070" spans="1:34">
      <c r="A2070" s="10"/>
      <c r="B2070" s="10"/>
      <c r="C2070" s="10"/>
      <c r="D2070" s="10"/>
      <c r="E2070" s="10"/>
      <c r="F2070" s="10"/>
      <c r="G2070" s="10"/>
      <c r="H2070" s="10"/>
      <c r="I2070" s="10"/>
      <c r="J2070" s="10"/>
      <c r="K2070" s="10"/>
      <c r="L2070" s="10"/>
      <c r="M2070" s="10"/>
      <c r="N2070" s="10"/>
      <c r="O2070" s="10"/>
      <c r="P2070" s="10"/>
      <c r="Q2070" s="10"/>
      <c r="R2070" s="10"/>
      <c r="S2070" s="10"/>
      <c r="T2070" s="10"/>
      <c r="U2070" s="10"/>
      <c r="V2070" s="10"/>
      <c r="W2070" s="10"/>
      <c r="X2070" s="10"/>
      <c r="Y2070" s="10"/>
      <c r="Z2070" s="10"/>
      <c r="AA2070" s="10"/>
      <c r="AB2070" s="10"/>
      <c r="AC2070" s="10"/>
      <c r="AG2070" s="467"/>
      <c r="AH2070" s="6"/>
    </row>
    <row r="2071" spans="1:34">
      <c r="A2071" s="10"/>
      <c r="B2071" s="10"/>
      <c r="C2071" s="10"/>
      <c r="D2071" s="10"/>
      <c r="E2071" s="10"/>
      <c r="F2071" s="10"/>
      <c r="G2071" s="10"/>
      <c r="H2071" s="10"/>
      <c r="I2071" s="10"/>
      <c r="J2071" s="10"/>
      <c r="K2071" s="10"/>
      <c r="L2071" s="10"/>
      <c r="M2071" s="10"/>
      <c r="N2071" s="10"/>
      <c r="O2071" s="10"/>
      <c r="P2071" s="10"/>
      <c r="Q2071" s="10"/>
      <c r="R2071" s="10"/>
      <c r="S2071" s="10"/>
      <c r="T2071" s="10"/>
      <c r="U2071" s="10"/>
      <c r="V2071" s="10"/>
      <c r="W2071" s="10"/>
      <c r="X2071" s="10"/>
      <c r="Y2071" s="10"/>
      <c r="Z2071" s="10"/>
      <c r="AA2071" s="10"/>
      <c r="AB2071" s="10"/>
      <c r="AC2071" s="10"/>
      <c r="AG2071" s="467"/>
      <c r="AH2071" s="6"/>
    </row>
    <row r="2072" spans="1:34">
      <c r="A2072" s="10"/>
      <c r="B2072" s="10"/>
      <c r="C2072" s="10"/>
      <c r="D2072" s="10"/>
      <c r="E2072" s="10"/>
      <c r="F2072" s="10"/>
      <c r="G2072" s="10"/>
      <c r="H2072" s="10"/>
      <c r="I2072" s="10"/>
      <c r="J2072" s="10"/>
      <c r="K2072" s="10"/>
      <c r="L2072" s="10"/>
      <c r="M2072" s="10"/>
      <c r="N2072" s="10"/>
      <c r="O2072" s="10"/>
      <c r="P2072" s="10"/>
      <c r="Q2072" s="10"/>
      <c r="R2072" s="10"/>
      <c r="S2072" s="10"/>
      <c r="T2072" s="10"/>
      <c r="U2072" s="10"/>
      <c r="V2072" s="10"/>
      <c r="W2072" s="10"/>
      <c r="X2072" s="10"/>
      <c r="Y2072" s="10"/>
      <c r="Z2072" s="10"/>
      <c r="AA2072" s="10"/>
      <c r="AB2072" s="10"/>
      <c r="AC2072" s="10"/>
      <c r="AG2072" s="467"/>
      <c r="AH2072" s="6"/>
    </row>
    <row r="2073" spans="1:34">
      <c r="A2073" s="10"/>
      <c r="B2073" s="10"/>
      <c r="C2073" s="10"/>
      <c r="D2073" s="10"/>
      <c r="E2073" s="10"/>
      <c r="F2073" s="10"/>
      <c r="G2073" s="10"/>
      <c r="H2073" s="10"/>
      <c r="I2073" s="10"/>
      <c r="J2073" s="10"/>
      <c r="K2073" s="10"/>
      <c r="L2073" s="10"/>
      <c r="M2073" s="10"/>
      <c r="N2073" s="10"/>
      <c r="O2073" s="10"/>
      <c r="P2073" s="10"/>
      <c r="Q2073" s="10"/>
      <c r="R2073" s="10"/>
      <c r="S2073" s="10"/>
      <c r="T2073" s="10"/>
      <c r="U2073" s="10"/>
      <c r="V2073" s="10"/>
      <c r="W2073" s="10"/>
      <c r="X2073" s="10"/>
      <c r="Y2073" s="10"/>
      <c r="Z2073" s="10"/>
      <c r="AA2073" s="10"/>
      <c r="AB2073" s="10"/>
      <c r="AC2073" s="10"/>
      <c r="AG2073" s="467"/>
      <c r="AH2073" s="6"/>
    </row>
    <row r="2074" spans="1:34">
      <c r="A2074" s="10"/>
      <c r="B2074" s="10"/>
      <c r="C2074" s="10"/>
      <c r="D2074" s="10"/>
      <c r="E2074" s="10"/>
      <c r="F2074" s="10"/>
      <c r="G2074" s="10"/>
      <c r="H2074" s="10"/>
      <c r="I2074" s="10"/>
      <c r="J2074" s="10"/>
      <c r="K2074" s="10"/>
      <c r="L2074" s="10"/>
      <c r="M2074" s="10"/>
      <c r="N2074" s="10"/>
      <c r="O2074" s="10"/>
      <c r="P2074" s="10"/>
      <c r="Q2074" s="10"/>
      <c r="R2074" s="10"/>
      <c r="S2074" s="10"/>
      <c r="T2074" s="10"/>
      <c r="U2074" s="10"/>
      <c r="V2074" s="10"/>
      <c r="W2074" s="10"/>
      <c r="X2074" s="10"/>
      <c r="Y2074" s="10"/>
      <c r="Z2074" s="10"/>
      <c r="AA2074" s="10"/>
      <c r="AB2074" s="10"/>
      <c r="AC2074" s="10"/>
      <c r="AG2074" s="467"/>
      <c r="AH2074" s="6"/>
    </row>
    <row r="2075" spans="1:34">
      <c r="A2075" s="10"/>
      <c r="B2075" s="10"/>
      <c r="C2075" s="10"/>
      <c r="D2075" s="10"/>
      <c r="E2075" s="10"/>
      <c r="F2075" s="10"/>
      <c r="G2075" s="10"/>
      <c r="H2075" s="10"/>
      <c r="I2075" s="10"/>
      <c r="J2075" s="10"/>
      <c r="K2075" s="10"/>
      <c r="L2075" s="10"/>
      <c r="M2075" s="10"/>
      <c r="N2075" s="10"/>
      <c r="O2075" s="10"/>
      <c r="P2075" s="10"/>
      <c r="Q2075" s="10"/>
      <c r="R2075" s="10"/>
      <c r="S2075" s="10"/>
      <c r="T2075" s="10"/>
      <c r="U2075" s="10"/>
      <c r="V2075" s="10"/>
      <c r="W2075" s="10"/>
      <c r="X2075" s="10"/>
      <c r="Y2075" s="10"/>
      <c r="Z2075" s="10"/>
      <c r="AA2075" s="10"/>
      <c r="AB2075" s="10"/>
      <c r="AC2075" s="10"/>
      <c r="AG2075" s="467"/>
      <c r="AH2075" s="6"/>
    </row>
    <row r="2076" spans="1:34">
      <c r="A2076" s="10"/>
      <c r="B2076" s="10"/>
      <c r="C2076" s="10"/>
      <c r="D2076" s="10"/>
      <c r="E2076" s="10"/>
      <c r="F2076" s="10"/>
      <c r="G2076" s="10"/>
      <c r="H2076" s="10"/>
      <c r="I2076" s="10"/>
      <c r="J2076" s="10"/>
      <c r="K2076" s="10"/>
      <c r="L2076" s="10"/>
      <c r="M2076" s="10"/>
      <c r="N2076" s="10"/>
      <c r="O2076" s="10"/>
      <c r="P2076" s="10"/>
      <c r="Q2076" s="10"/>
      <c r="R2076" s="10"/>
      <c r="S2076" s="10"/>
      <c r="T2076" s="10"/>
      <c r="U2076" s="10"/>
      <c r="V2076" s="10"/>
      <c r="W2076" s="10"/>
      <c r="X2076" s="10"/>
      <c r="Y2076" s="10"/>
      <c r="Z2076" s="10"/>
      <c r="AA2076" s="10"/>
      <c r="AB2076" s="10"/>
      <c r="AC2076" s="10"/>
      <c r="AG2076" s="467"/>
      <c r="AH2076" s="6"/>
    </row>
    <row r="2077" spans="1:34">
      <c r="A2077" s="10"/>
      <c r="B2077" s="10"/>
      <c r="C2077" s="10"/>
      <c r="D2077" s="10"/>
      <c r="E2077" s="10"/>
      <c r="F2077" s="10"/>
      <c r="G2077" s="10"/>
      <c r="H2077" s="10"/>
      <c r="I2077" s="10"/>
      <c r="J2077" s="10"/>
      <c r="K2077" s="10"/>
      <c r="L2077" s="10"/>
      <c r="M2077" s="10"/>
      <c r="N2077" s="10"/>
      <c r="O2077" s="10"/>
      <c r="P2077" s="10"/>
      <c r="Q2077" s="10"/>
      <c r="R2077" s="10"/>
      <c r="S2077" s="10"/>
      <c r="T2077" s="10"/>
      <c r="U2077" s="10"/>
      <c r="V2077" s="10"/>
      <c r="W2077" s="10"/>
      <c r="X2077" s="10"/>
      <c r="Y2077" s="10"/>
      <c r="Z2077" s="10"/>
      <c r="AA2077" s="10"/>
      <c r="AB2077" s="10"/>
      <c r="AC2077" s="10"/>
      <c r="AG2077" s="467"/>
      <c r="AH2077" s="6"/>
    </row>
    <row r="2078" spans="1:34">
      <c r="A2078" s="10"/>
      <c r="B2078" s="10"/>
      <c r="C2078" s="10"/>
      <c r="D2078" s="10"/>
      <c r="E2078" s="10"/>
      <c r="F2078" s="10"/>
      <c r="G2078" s="10"/>
      <c r="H2078" s="10"/>
      <c r="I2078" s="10"/>
      <c r="J2078" s="10"/>
      <c r="K2078" s="10"/>
      <c r="L2078" s="10"/>
      <c r="M2078" s="10"/>
      <c r="N2078" s="10"/>
      <c r="O2078" s="10"/>
      <c r="P2078" s="10"/>
      <c r="Q2078" s="10"/>
      <c r="R2078" s="10"/>
      <c r="S2078" s="10"/>
      <c r="T2078" s="10"/>
      <c r="U2078" s="10"/>
      <c r="V2078" s="10"/>
      <c r="W2078" s="10"/>
      <c r="X2078" s="10"/>
      <c r="Y2078" s="10"/>
      <c r="Z2078" s="10"/>
      <c r="AA2078" s="10"/>
      <c r="AB2078" s="10"/>
      <c r="AC2078" s="10"/>
      <c r="AG2078" s="467"/>
      <c r="AH2078" s="6"/>
    </row>
    <row r="2079" spans="1:34">
      <c r="A2079" s="10"/>
      <c r="B2079" s="10"/>
      <c r="C2079" s="10"/>
      <c r="D2079" s="10"/>
      <c r="E2079" s="10"/>
      <c r="F2079" s="10"/>
      <c r="G2079" s="10"/>
      <c r="H2079" s="10"/>
      <c r="I2079" s="10"/>
      <c r="J2079" s="10"/>
      <c r="K2079" s="10"/>
      <c r="L2079" s="10"/>
      <c r="M2079" s="10"/>
      <c r="N2079" s="10"/>
      <c r="O2079" s="10"/>
      <c r="P2079" s="10"/>
      <c r="Q2079" s="10"/>
      <c r="R2079" s="10"/>
      <c r="S2079" s="10"/>
      <c r="T2079" s="10"/>
      <c r="U2079" s="10"/>
      <c r="V2079" s="10"/>
      <c r="W2079" s="10"/>
      <c r="X2079" s="10"/>
      <c r="Y2079" s="10"/>
      <c r="Z2079" s="10"/>
      <c r="AA2079" s="10"/>
      <c r="AB2079" s="10"/>
      <c r="AC2079" s="10"/>
      <c r="AG2079" s="467"/>
      <c r="AH2079" s="6"/>
    </row>
    <row r="2080" spans="1:34">
      <c r="A2080" s="10"/>
      <c r="B2080" s="10"/>
      <c r="C2080" s="10"/>
      <c r="D2080" s="10"/>
      <c r="E2080" s="10"/>
      <c r="F2080" s="10"/>
      <c r="G2080" s="10"/>
      <c r="H2080" s="10"/>
      <c r="I2080" s="10"/>
      <c r="J2080" s="10"/>
      <c r="K2080" s="10"/>
      <c r="L2080" s="10"/>
      <c r="M2080" s="10"/>
      <c r="N2080" s="10"/>
      <c r="O2080" s="10"/>
      <c r="P2080" s="10"/>
      <c r="Q2080" s="10"/>
      <c r="R2080" s="10"/>
      <c r="S2080" s="10"/>
      <c r="T2080" s="10"/>
      <c r="U2080" s="10"/>
      <c r="V2080" s="10"/>
      <c r="W2080" s="10"/>
      <c r="X2080" s="10"/>
      <c r="Y2080" s="10"/>
      <c r="Z2080" s="10"/>
      <c r="AA2080" s="10"/>
      <c r="AB2080" s="10"/>
      <c r="AC2080" s="10"/>
      <c r="AG2080" s="467"/>
      <c r="AH2080" s="6"/>
    </row>
    <row r="2081" spans="1:34">
      <c r="A2081" s="10"/>
      <c r="B2081" s="10"/>
      <c r="C2081" s="10"/>
      <c r="D2081" s="10"/>
      <c r="E2081" s="10"/>
      <c r="F2081" s="10"/>
      <c r="G2081" s="10"/>
      <c r="H2081" s="10"/>
      <c r="I2081" s="10"/>
      <c r="J2081" s="10"/>
      <c r="K2081" s="10"/>
      <c r="L2081" s="10"/>
      <c r="M2081" s="10"/>
      <c r="N2081" s="10"/>
      <c r="O2081" s="10"/>
      <c r="P2081" s="10"/>
      <c r="Q2081" s="10"/>
      <c r="R2081" s="10"/>
      <c r="S2081" s="10"/>
      <c r="T2081" s="10"/>
      <c r="U2081" s="10"/>
      <c r="V2081" s="10"/>
      <c r="W2081" s="10"/>
      <c r="X2081" s="10"/>
      <c r="Y2081" s="10"/>
      <c r="Z2081" s="10"/>
      <c r="AA2081" s="10"/>
      <c r="AB2081" s="10"/>
      <c r="AC2081" s="10"/>
      <c r="AG2081" s="467"/>
      <c r="AH2081" s="6"/>
    </row>
    <row r="2082" spans="1:34">
      <c r="A2082" s="10"/>
      <c r="B2082" s="10"/>
      <c r="C2082" s="10"/>
      <c r="D2082" s="10"/>
      <c r="E2082" s="10"/>
      <c r="F2082" s="10"/>
      <c r="G2082" s="10"/>
      <c r="H2082" s="10"/>
      <c r="I2082" s="10"/>
      <c r="J2082" s="10"/>
      <c r="K2082" s="10"/>
      <c r="L2082" s="10"/>
      <c r="M2082" s="10"/>
      <c r="N2082" s="10"/>
      <c r="O2082" s="10"/>
      <c r="P2082" s="10"/>
      <c r="Q2082" s="10"/>
      <c r="R2082" s="10"/>
      <c r="S2082" s="10"/>
      <c r="T2082" s="10"/>
      <c r="U2082" s="10"/>
      <c r="V2082" s="10"/>
      <c r="W2082" s="10"/>
      <c r="X2082" s="10"/>
      <c r="Y2082" s="10"/>
      <c r="Z2082" s="10"/>
      <c r="AA2082" s="10"/>
      <c r="AB2082" s="10"/>
      <c r="AC2082" s="10"/>
      <c r="AG2082" s="467"/>
      <c r="AH2082" s="6"/>
    </row>
    <row r="2083" spans="1:34">
      <c r="A2083" s="10"/>
      <c r="B2083" s="10"/>
      <c r="C2083" s="10"/>
      <c r="D2083" s="10"/>
      <c r="E2083" s="10"/>
      <c r="F2083" s="10"/>
      <c r="G2083" s="10"/>
      <c r="H2083" s="10"/>
      <c r="I2083" s="10"/>
      <c r="J2083" s="10"/>
      <c r="K2083" s="10"/>
      <c r="L2083" s="10"/>
      <c r="M2083" s="10"/>
      <c r="N2083" s="10"/>
      <c r="O2083" s="10"/>
      <c r="P2083" s="10"/>
      <c r="Q2083" s="10"/>
      <c r="R2083" s="10"/>
      <c r="S2083" s="10"/>
      <c r="T2083" s="10"/>
      <c r="U2083" s="10"/>
      <c r="V2083" s="10"/>
      <c r="W2083" s="10"/>
      <c r="X2083" s="10"/>
      <c r="Y2083" s="10"/>
      <c r="Z2083" s="10"/>
      <c r="AA2083" s="10"/>
      <c r="AB2083" s="10"/>
      <c r="AC2083" s="10"/>
      <c r="AG2083" s="467"/>
      <c r="AH2083" s="6"/>
    </row>
    <row r="2084" spans="1:34">
      <c r="A2084" s="10"/>
      <c r="B2084" s="10"/>
      <c r="C2084" s="10"/>
      <c r="D2084" s="10"/>
      <c r="E2084" s="10"/>
      <c r="F2084" s="10"/>
      <c r="G2084" s="10"/>
      <c r="H2084" s="10"/>
      <c r="I2084" s="10"/>
      <c r="J2084" s="10"/>
      <c r="K2084" s="10"/>
      <c r="L2084" s="10"/>
      <c r="M2084" s="10"/>
      <c r="N2084" s="10"/>
      <c r="O2084" s="10"/>
      <c r="P2084" s="10"/>
      <c r="Q2084" s="10"/>
      <c r="R2084" s="10"/>
      <c r="S2084" s="10"/>
      <c r="T2084" s="10"/>
      <c r="U2084" s="10"/>
      <c r="V2084" s="10"/>
      <c r="W2084" s="10"/>
      <c r="X2084" s="10"/>
      <c r="Y2084" s="10"/>
      <c r="Z2084" s="10"/>
      <c r="AA2084" s="10"/>
      <c r="AB2084" s="10"/>
      <c r="AC2084" s="10"/>
      <c r="AG2084" s="467"/>
      <c r="AH2084" s="6"/>
    </row>
    <row r="2085" spans="1:34">
      <c r="A2085" s="10"/>
      <c r="B2085" s="10"/>
      <c r="C2085" s="10"/>
      <c r="D2085" s="10"/>
      <c r="E2085" s="10"/>
      <c r="F2085" s="10"/>
      <c r="G2085" s="10"/>
      <c r="H2085" s="10"/>
      <c r="I2085" s="10"/>
      <c r="J2085" s="10"/>
      <c r="K2085" s="10"/>
      <c r="L2085" s="10"/>
      <c r="M2085" s="10"/>
      <c r="N2085" s="10"/>
      <c r="O2085" s="10"/>
      <c r="P2085" s="10"/>
      <c r="Q2085" s="10"/>
      <c r="R2085" s="10"/>
      <c r="S2085" s="10"/>
      <c r="T2085" s="10"/>
      <c r="U2085" s="10"/>
      <c r="V2085" s="10"/>
      <c r="W2085" s="10"/>
      <c r="X2085" s="10"/>
      <c r="Y2085" s="10"/>
      <c r="Z2085" s="10"/>
      <c r="AA2085" s="10"/>
      <c r="AB2085" s="10"/>
      <c r="AC2085" s="10"/>
      <c r="AG2085" s="467"/>
      <c r="AH2085" s="6"/>
    </row>
    <row r="2086" spans="1:34">
      <c r="A2086" s="10"/>
      <c r="B2086" s="10"/>
      <c r="C2086" s="10"/>
      <c r="D2086" s="10"/>
      <c r="E2086" s="10"/>
      <c r="F2086" s="10"/>
      <c r="G2086" s="10"/>
      <c r="H2086" s="10"/>
      <c r="I2086" s="10"/>
      <c r="J2086" s="10"/>
      <c r="K2086" s="10"/>
      <c r="L2086" s="10"/>
      <c r="M2086" s="10"/>
      <c r="N2086" s="10"/>
      <c r="O2086" s="10"/>
      <c r="P2086" s="10"/>
      <c r="Q2086" s="10"/>
      <c r="R2086" s="10"/>
      <c r="S2086" s="10"/>
      <c r="T2086" s="10"/>
      <c r="U2086" s="10"/>
      <c r="V2086" s="10"/>
      <c r="W2086" s="10"/>
      <c r="X2086" s="10"/>
      <c r="Y2086" s="10"/>
      <c r="Z2086" s="10"/>
      <c r="AA2086" s="10"/>
      <c r="AB2086" s="10"/>
      <c r="AC2086" s="10"/>
      <c r="AG2086" s="467"/>
      <c r="AH2086" s="6"/>
    </row>
    <row r="2087" spans="1:34">
      <c r="A2087" s="10"/>
      <c r="B2087" s="10"/>
      <c r="C2087" s="10"/>
      <c r="D2087" s="10"/>
      <c r="E2087" s="10"/>
      <c r="F2087" s="10"/>
      <c r="G2087" s="10"/>
      <c r="H2087" s="10"/>
      <c r="I2087" s="10"/>
      <c r="J2087" s="10"/>
      <c r="K2087" s="10"/>
      <c r="L2087" s="10"/>
      <c r="M2087" s="10"/>
      <c r="N2087" s="10"/>
      <c r="O2087" s="10"/>
      <c r="P2087" s="10"/>
      <c r="Q2087" s="10"/>
      <c r="R2087" s="10"/>
      <c r="S2087" s="10"/>
      <c r="T2087" s="10"/>
      <c r="U2087" s="10"/>
      <c r="V2087" s="10"/>
      <c r="W2087" s="10"/>
      <c r="X2087" s="10"/>
      <c r="Y2087" s="10"/>
      <c r="Z2087" s="10"/>
      <c r="AA2087" s="10"/>
      <c r="AB2087" s="10"/>
      <c r="AC2087" s="10"/>
      <c r="AG2087" s="467"/>
      <c r="AH2087" s="6"/>
    </row>
    <row r="2088" spans="1:34">
      <c r="A2088" s="10"/>
      <c r="B2088" s="10"/>
      <c r="C2088" s="10"/>
      <c r="D2088" s="10"/>
      <c r="E2088" s="10"/>
      <c r="F2088" s="10"/>
      <c r="G2088" s="10"/>
      <c r="H2088" s="10"/>
      <c r="I2088" s="10"/>
      <c r="J2088" s="10"/>
      <c r="K2088" s="10"/>
      <c r="L2088" s="10"/>
      <c r="M2088" s="10"/>
      <c r="N2088" s="10"/>
      <c r="O2088" s="10"/>
      <c r="P2088" s="10"/>
      <c r="Q2088" s="10"/>
      <c r="R2088" s="10"/>
      <c r="S2088" s="10"/>
      <c r="T2088" s="10"/>
      <c r="U2088" s="10"/>
      <c r="V2088" s="10"/>
      <c r="W2088" s="10"/>
      <c r="X2088" s="10"/>
      <c r="Y2088" s="10"/>
      <c r="Z2088" s="10"/>
      <c r="AA2088" s="10"/>
      <c r="AB2088" s="10"/>
      <c r="AC2088" s="10"/>
      <c r="AG2088" s="467"/>
      <c r="AH2088" s="6"/>
    </row>
    <row r="2089" spans="1:34">
      <c r="A2089" s="10"/>
      <c r="B2089" s="10"/>
      <c r="C2089" s="10"/>
      <c r="D2089" s="10"/>
      <c r="E2089" s="10"/>
      <c r="F2089" s="10"/>
      <c r="G2089" s="10"/>
      <c r="H2089" s="10"/>
      <c r="I2089" s="10"/>
      <c r="J2089" s="10"/>
      <c r="K2089" s="10"/>
      <c r="L2089" s="10"/>
      <c r="M2089" s="10"/>
      <c r="N2089" s="10"/>
      <c r="O2089" s="10"/>
      <c r="P2089" s="10"/>
      <c r="Q2089" s="10"/>
      <c r="R2089" s="10"/>
      <c r="S2089" s="10"/>
      <c r="T2089" s="10"/>
      <c r="U2089" s="10"/>
      <c r="V2089" s="10"/>
      <c r="W2089" s="10"/>
      <c r="X2089" s="10"/>
      <c r="Y2089" s="10"/>
      <c r="Z2089" s="10"/>
      <c r="AA2089" s="10"/>
      <c r="AB2089" s="10"/>
      <c r="AC2089" s="10"/>
      <c r="AG2089" s="467"/>
      <c r="AH2089" s="6"/>
    </row>
    <row r="2090" spans="1:34">
      <c r="A2090" s="10"/>
      <c r="B2090" s="10"/>
      <c r="C2090" s="10"/>
      <c r="D2090" s="10"/>
      <c r="E2090" s="10"/>
      <c r="F2090" s="10"/>
      <c r="G2090" s="10"/>
      <c r="H2090" s="10"/>
      <c r="I2090" s="10"/>
      <c r="J2090" s="10"/>
      <c r="K2090" s="10"/>
      <c r="L2090" s="10"/>
      <c r="M2090" s="10"/>
      <c r="N2090" s="10"/>
      <c r="O2090" s="10"/>
      <c r="P2090" s="10"/>
      <c r="Q2090" s="10"/>
      <c r="R2090" s="10"/>
      <c r="S2090" s="10"/>
      <c r="T2090" s="10"/>
      <c r="U2090" s="10"/>
      <c r="V2090" s="10"/>
      <c r="W2090" s="10"/>
      <c r="X2090" s="10"/>
      <c r="Y2090" s="10"/>
      <c r="Z2090" s="10"/>
      <c r="AA2090" s="10"/>
      <c r="AB2090" s="10"/>
      <c r="AC2090" s="10"/>
      <c r="AG2090" s="467"/>
      <c r="AH2090" s="6"/>
    </row>
    <row r="2091" spans="1:34">
      <c r="A2091" s="10"/>
      <c r="B2091" s="10"/>
      <c r="C2091" s="10"/>
      <c r="D2091" s="10"/>
      <c r="E2091" s="10"/>
      <c r="F2091" s="10"/>
      <c r="G2091" s="10"/>
      <c r="H2091" s="10"/>
      <c r="I2091" s="10"/>
      <c r="J2091" s="10"/>
      <c r="K2091" s="10"/>
      <c r="L2091" s="10"/>
      <c r="M2091" s="10"/>
      <c r="N2091" s="10"/>
      <c r="O2091" s="10"/>
      <c r="P2091" s="10"/>
      <c r="Q2091" s="10"/>
      <c r="R2091" s="10"/>
      <c r="S2091" s="10"/>
      <c r="T2091" s="10"/>
      <c r="U2091" s="10"/>
      <c r="V2091" s="10"/>
      <c r="W2091" s="10"/>
      <c r="X2091" s="10"/>
      <c r="Y2091" s="10"/>
      <c r="Z2091" s="10"/>
      <c r="AA2091" s="10"/>
      <c r="AB2091" s="10"/>
      <c r="AC2091" s="10"/>
      <c r="AG2091" s="467"/>
      <c r="AH2091" s="6"/>
    </row>
    <row r="2092" spans="1:34">
      <c r="A2092" s="10"/>
      <c r="B2092" s="10"/>
      <c r="C2092" s="10"/>
      <c r="D2092" s="10"/>
      <c r="E2092" s="10"/>
      <c r="F2092" s="10"/>
      <c r="G2092" s="10"/>
      <c r="H2092" s="10"/>
      <c r="I2092" s="10"/>
      <c r="J2092" s="10"/>
      <c r="K2092" s="10"/>
      <c r="L2092" s="10"/>
      <c r="M2092" s="10"/>
      <c r="N2092" s="10"/>
      <c r="O2092" s="10"/>
      <c r="P2092" s="10"/>
      <c r="Q2092" s="10"/>
      <c r="R2092" s="10"/>
      <c r="S2092" s="10"/>
      <c r="T2092" s="10"/>
      <c r="U2092" s="10"/>
      <c r="V2092" s="10"/>
      <c r="W2092" s="10"/>
      <c r="X2092" s="10"/>
      <c r="Y2092" s="10"/>
      <c r="Z2092" s="10"/>
      <c r="AA2092" s="10"/>
      <c r="AB2092" s="10"/>
      <c r="AC2092" s="10"/>
      <c r="AG2092" s="467"/>
      <c r="AH2092" s="6"/>
    </row>
    <row r="2093" spans="1:34">
      <c r="A2093" s="10"/>
      <c r="B2093" s="10"/>
      <c r="C2093" s="10"/>
      <c r="D2093" s="10"/>
      <c r="E2093" s="10"/>
      <c r="F2093" s="10"/>
      <c r="G2093" s="10"/>
      <c r="H2093" s="10"/>
      <c r="I2093" s="10"/>
      <c r="J2093" s="10"/>
      <c r="K2093" s="10"/>
      <c r="L2093" s="10"/>
      <c r="M2093" s="10"/>
      <c r="N2093" s="10"/>
      <c r="O2093" s="10"/>
      <c r="P2093" s="10"/>
      <c r="Q2093" s="10"/>
      <c r="R2093" s="10"/>
      <c r="S2093" s="10"/>
      <c r="T2093" s="10"/>
      <c r="U2093" s="10"/>
      <c r="V2093" s="10"/>
      <c r="W2093" s="10"/>
      <c r="X2093" s="10"/>
      <c r="Y2093" s="10"/>
      <c r="Z2093" s="10"/>
      <c r="AA2093" s="10"/>
      <c r="AB2093" s="10"/>
      <c r="AC2093" s="10"/>
      <c r="AG2093" s="467"/>
      <c r="AH2093" s="6"/>
    </row>
    <row r="2094" spans="1:34">
      <c r="A2094" s="10"/>
      <c r="B2094" s="10"/>
      <c r="C2094" s="10"/>
      <c r="D2094" s="10"/>
      <c r="E2094" s="10"/>
      <c r="F2094" s="10"/>
      <c r="G2094" s="10"/>
      <c r="H2094" s="10"/>
      <c r="I2094" s="10"/>
      <c r="J2094" s="10"/>
      <c r="K2094" s="10"/>
      <c r="L2094" s="10"/>
      <c r="M2094" s="10"/>
      <c r="N2094" s="10"/>
      <c r="O2094" s="10"/>
      <c r="P2094" s="10"/>
      <c r="Q2094" s="10"/>
      <c r="R2094" s="10"/>
      <c r="S2094" s="10"/>
      <c r="T2094" s="10"/>
      <c r="U2094" s="10"/>
      <c r="V2094" s="10"/>
      <c r="W2094" s="10"/>
      <c r="X2094" s="10"/>
      <c r="Y2094" s="10"/>
      <c r="Z2094" s="10"/>
      <c r="AA2094" s="10"/>
      <c r="AB2094" s="10"/>
      <c r="AC2094" s="10"/>
      <c r="AG2094" s="467"/>
      <c r="AH2094" s="6"/>
    </row>
    <row r="2095" spans="1:34">
      <c r="A2095" s="10"/>
      <c r="B2095" s="10"/>
      <c r="C2095" s="10"/>
      <c r="D2095" s="10"/>
      <c r="E2095" s="10"/>
      <c r="F2095" s="10"/>
      <c r="G2095" s="10"/>
      <c r="H2095" s="10"/>
      <c r="I2095" s="10"/>
      <c r="J2095" s="10"/>
      <c r="K2095" s="10"/>
      <c r="L2095" s="10"/>
      <c r="M2095" s="10"/>
      <c r="N2095" s="10"/>
      <c r="O2095" s="10"/>
      <c r="P2095" s="10"/>
      <c r="Q2095" s="10"/>
      <c r="R2095" s="10"/>
      <c r="S2095" s="10"/>
      <c r="T2095" s="10"/>
      <c r="U2095" s="10"/>
      <c r="V2095" s="10"/>
      <c r="W2095" s="10"/>
      <c r="X2095" s="10"/>
      <c r="Y2095" s="10"/>
      <c r="Z2095" s="10"/>
      <c r="AA2095" s="10"/>
      <c r="AB2095" s="10"/>
      <c r="AC2095" s="10"/>
      <c r="AG2095" s="467"/>
      <c r="AH2095" s="6"/>
    </row>
    <row r="2096" spans="1:34">
      <c r="A2096" s="10"/>
      <c r="B2096" s="10"/>
      <c r="C2096" s="10"/>
      <c r="D2096" s="10"/>
      <c r="E2096" s="10"/>
      <c r="F2096" s="10"/>
      <c r="G2096" s="10"/>
      <c r="H2096" s="10"/>
      <c r="I2096" s="10"/>
      <c r="J2096" s="10"/>
      <c r="K2096" s="10"/>
      <c r="L2096" s="10"/>
      <c r="M2096" s="10"/>
      <c r="N2096" s="10"/>
      <c r="O2096" s="10"/>
      <c r="P2096" s="10"/>
      <c r="Q2096" s="10"/>
      <c r="R2096" s="10"/>
      <c r="S2096" s="10"/>
      <c r="T2096" s="10"/>
      <c r="U2096" s="10"/>
      <c r="V2096" s="10"/>
      <c r="W2096" s="10"/>
      <c r="X2096" s="10"/>
      <c r="Y2096" s="10"/>
      <c r="Z2096" s="10"/>
      <c r="AA2096" s="10"/>
      <c r="AB2096" s="10"/>
      <c r="AC2096" s="10"/>
      <c r="AG2096" s="467"/>
      <c r="AH2096" s="6"/>
    </row>
    <row r="2097" spans="1:34">
      <c r="A2097" s="10"/>
      <c r="B2097" s="10"/>
      <c r="C2097" s="10"/>
      <c r="D2097" s="10"/>
      <c r="E2097" s="10"/>
      <c r="F2097" s="10"/>
      <c r="G2097" s="10"/>
      <c r="H2097" s="10"/>
      <c r="I2097" s="10"/>
      <c r="J2097" s="10"/>
      <c r="K2097" s="10"/>
      <c r="L2097" s="10"/>
      <c r="M2097" s="10"/>
      <c r="N2097" s="10"/>
      <c r="O2097" s="10"/>
      <c r="P2097" s="10"/>
      <c r="Q2097" s="10"/>
      <c r="R2097" s="10"/>
      <c r="S2097" s="10"/>
      <c r="T2097" s="10"/>
      <c r="U2097" s="10"/>
      <c r="V2097" s="10"/>
      <c r="W2097" s="10"/>
      <c r="X2097" s="10"/>
      <c r="Y2097" s="10"/>
      <c r="Z2097" s="10"/>
      <c r="AA2097" s="10"/>
      <c r="AB2097" s="10"/>
      <c r="AC2097" s="10"/>
      <c r="AG2097" s="467"/>
      <c r="AH2097" s="6"/>
    </row>
    <row r="2098" spans="1:34">
      <c r="A2098" s="10"/>
      <c r="B2098" s="10"/>
      <c r="C2098" s="10"/>
      <c r="D2098" s="10"/>
      <c r="E2098" s="10"/>
      <c r="F2098" s="10"/>
      <c r="G2098" s="10"/>
      <c r="H2098" s="10"/>
      <c r="I2098" s="10"/>
      <c r="J2098" s="10"/>
      <c r="K2098" s="10"/>
      <c r="L2098" s="10"/>
      <c r="M2098" s="10"/>
      <c r="N2098" s="10"/>
      <c r="O2098" s="10"/>
      <c r="P2098" s="10"/>
      <c r="Q2098" s="10"/>
      <c r="R2098" s="10"/>
      <c r="S2098" s="10"/>
      <c r="T2098" s="10"/>
      <c r="U2098" s="10"/>
      <c r="V2098" s="10"/>
      <c r="W2098" s="10"/>
      <c r="X2098" s="10"/>
      <c r="Y2098" s="10"/>
      <c r="Z2098" s="10"/>
      <c r="AA2098" s="10"/>
      <c r="AB2098" s="10"/>
      <c r="AC2098" s="10"/>
      <c r="AG2098" s="467"/>
      <c r="AH2098" s="6"/>
    </row>
    <row r="2099" spans="1:34">
      <c r="A2099" s="10"/>
      <c r="B2099" s="10"/>
      <c r="C2099" s="10"/>
      <c r="D2099" s="10"/>
      <c r="E2099" s="10"/>
      <c r="F2099" s="10"/>
      <c r="G2099" s="10"/>
      <c r="H2099" s="10"/>
      <c r="I2099" s="10"/>
      <c r="J2099" s="10"/>
      <c r="K2099" s="10"/>
      <c r="L2099" s="10"/>
      <c r="M2099" s="10"/>
      <c r="N2099" s="10"/>
      <c r="O2099" s="10"/>
      <c r="P2099" s="10"/>
      <c r="Q2099" s="10"/>
      <c r="R2099" s="10"/>
      <c r="S2099" s="10"/>
      <c r="T2099" s="10"/>
      <c r="U2099" s="10"/>
      <c r="V2099" s="10"/>
      <c r="W2099" s="10"/>
      <c r="X2099" s="10"/>
      <c r="Y2099" s="10"/>
      <c r="Z2099" s="10"/>
      <c r="AA2099" s="10"/>
      <c r="AB2099" s="10"/>
      <c r="AC2099" s="10"/>
      <c r="AG2099" s="467"/>
      <c r="AH2099" s="6"/>
    </row>
    <row r="2100" spans="1:34">
      <c r="A2100" s="10"/>
      <c r="B2100" s="10"/>
      <c r="C2100" s="10"/>
      <c r="D2100" s="10"/>
      <c r="E2100" s="10"/>
      <c r="F2100" s="10"/>
      <c r="G2100" s="10"/>
      <c r="H2100" s="10"/>
      <c r="I2100" s="10"/>
      <c r="J2100" s="10"/>
      <c r="K2100" s="10"/>
      <c r="L2100" s="10"/>
      <c r="M2100" s="10"/>
      <c r="N2100" s="10"/>
      <c r="O2100" s="10"/>
      <c r="P2100" s="10"/>
      <c r="Q2100" s="10"/>
      <c r="R2100" s="10"/>
      <c r="S2100" s="10"/>
      <c r="T2100" s="10"/>
      <c r="U2100" s="10"/>
      <c r="V2100" s="10"/>
      <c r="W2100" s="10"/>
      <c r="X2100" s="10"/>
      <c r="Y2100" s="10"/>
      <c r="Z2100" s="10"/>
      <c r="AA2100" s="10"/>
      <c r="AB2100" s="10"/>
      <c r="AC2100" s="10"/>
      <c r="AG2100" s="467"/>
      <c r="AH2100" s="6"/>
    </row>
    <row r="2101" spans="1:34">
      <c r="A2101" s="10"/>
      <c r="B2101" s="10"/>
      <c r="C2101" s="10"/>
      <c r="D2101" s="10"/>
      <c r="E2101" s="10"/>
      <c r="F2101" s="10"/>
      <c r="G2101" s="10"/>
      <c r="H2101" s="10"/>
      <c r="I2101" s="10"/>
      <c r="J2101" s="10"/>
      <c r="K2101" s="10"/>
      <c r="L2101" s="10"/>
      <c r="M2101" s="10"/>
      <c r="N2101" s="10"/>
      <c r="O2101" s="10"/>
      <c r="P2101" s="10"/>
      <c r="Q2101" s="10"/>
      <c r="R2101" s="10"/>
      <c r="S2101" s="10"/>
      <c r="T2101" s="10"/>
      <c r="U2101" s="10"/>
      <c r="V2101" s="10"/>
      <c r="W2101" s="10"/>
      <c r="X2101" s="10"/>
      <c r="Y2101" s="10"/>
      <c r="Z2101" s="10"/>
      <c r="AA2101" s="10"/>
      <c r="AB2101" s="10"/>
      <c r="AC2101" s="10"/>
      <c r="AG2101" s="467"/>
      <c r="AH2101" s="6"/>
    </row>
    <row r="2102" spans="1:34">
      <c r="A2102" s="10"/>
      <c r="B2102" s="10"/>
      <c r="C2102" s="10"/>
      <c r="D2102" s="10"/>
      <c r="E2102" s="10"/>
      <c r="F2102" s="10"/>
      <c r="G2102" s="10"/>
      <c r="H2102" s="10"/>
      <c r="I2102" s="10"/>
      <c r="J2102" s="10"/>
      <c r="K2102" s="10"/>
      <c r="L2102" s="10"/>
      <c r="M2102" s="10"/>
      <c r="N2102" s="10"/>
      <c r="O2102" s="10"/>
      <c r="P2102" s="10"/>
      <c r="Q2102" s="10"/>
      <c r="R2102" s="10"/>
      <c r="S2102" s="10"/>
      <c r="T2102" s="10"/>
      <c r="U2102" s="10"/>
      <c r="V2102" s="10"/>
      <c r="W2102" s="10"/>
      <c r="X2102" s="10"/>
      <c r="Y2102" s="10"/>
      <c r="Z2102" s="10"/>
      <c r="AA2102" s="10"/>
      <c r="AB2102" s="10"/>
      <c r="AC2102" s="10"/>
      <c r="AG2102" s="467"/>
      <c r="AH2102" s="6"/>
    </row>
    <row r="2103" spans="1:34">
      <c r="A2103" s="10"/>
      <c r="B2103" s="10"/>
      <c r="C2103" s="10"/>
      <c r="D2103" s="10"/>
      <c r="E2103" s="10"/>
      <c r="F2103" s="10"/>
      <c r="G2103" s="10"/>
      <c r="H2103" s="10"/>
      <c r="I2103" s="10"/>
      <c r="J2103" s="10"/>
      <c r="K2103" s="10"/>
      <c r="L2103" s="10"/>
      <c r="M2103" s="10"/>
      <c r="N2103" s="10"/>
      <c r="O2103" s="10"/>
      <c r="P2103" s="10"/>
      <c r="Q2103" s="10"/>
      <c r="R2103" s="10"/>
      <c r="S2103" s="10"/>
      <c r="T2103" s="10"/>
      <c r="U2103" s="10"/>
      <c r="V2103" s="10"/>
      <c r="W2103" s="10"/>
      <c r="X2103" s="10"/>
      <c r="Y2103" s="10"/>
      <c r="Z2103" s="10"/>
      <c r="AA2103" s="10"/>
      <c r="AB2103" s="10"/>
      <c r="AC2103" s="10"/>
      <c r="AG2103" s="467"/>
      <c r="AH2103" s="6"/>
    </row>
    <row r="2104" spans="1:34">
      <c r="A2104" s="10"/>
      <c r="B2104" s="10"/>
      <c r="C2104" s="10"/>
      <c r="D2104" s="10"/>
      <c r="E2104" s="10"/>
      <c r="F2104" s="10"/>
      <c r="G2104" s="10"/>
      <c r="H2104" s="10"/>
      <c r="I2104" s="10"/>
      <c r="J2104" s="10"/>
      <c r="K2104" s="10"/>
      <c r="L2104" s="10"/>
      <c r="M2104" s="10"/>
      <c r="N2104" s="10"/>
      <c r="O2104" s="10"/>
      <c r="P2104" s="10"/>
      <c r="Q2104" s="10"/>
      <c r="R2104" s="10"/>
      <c r="S2104" s="10"/>
      <c r="T2104" s="10"/>
      <c r="U2104" s="10"/>
      <c r="V2104" s="10"/>
      <c r="W2104" s="10"/>
      <c r="X2104" s="10"/>
      <c r="Y2104" s="10"/>
      <c r="Z2104" s="10"/>
      <c r="AA2104" s="10"/>
      <c r="AB2104" s="10"/>
      <c r="AC2104" s="10"/>
      <c r="AG2104" s="467"/>
      <c r="AH2104" s="6"/>
    </row>
    <row r="2105" spans="1:34">
      <c r="A2105" s="10"/>
      <c r="B2105" s="10"/>
      <c r="C2105" s="10"/>
      <c r="D2105" s="10"/>
      <c r="E2105" s="10"/>
      <c r="F2105" s="10"/>
      <c r="G2105" s="10"/>
      <c r="H2105" s="10"/>
      <c r="I2105" s="10"/>
      <c r="J2105" s="10"/>
      <c r="K2105" s="10"/>
      <c r="L2105" s="10"/>
      <c r="M2105" s="10"/>
      <c r="N2105" s="10"/>
      <c r="O2105" s="10"/>
      <c r="P2105" s="10"/>
      <c r="Q2105" s="10"/>
      <c r="R2105" s="10"/>
      <c r="S2105" s="10"/>
      <c r="T2105" s="10"/>
      <c r="U2105" s="10"/>
      <c r="V2105" s="10"/>
      <c r="W2105" s="10"/>
      <c r="X2105" s="10"/>
      <c r="Y2105" s="10"/>
      <c r="Z2105" s="10"/>
      <c r="AA2105" s="10"/>
      <c r="AB2105" s="10"/>
      <c r="AC2105" s="10"/>
      <c r="AG2105" s="467"/>
      <c r="AH2105" s="6"/>
    </row>
    <row r="2106" spans="1:34">
      <c r="A2106" s="10"/>
      <c r="B2106" s="10"/>
      <c r="C2106" s="10"/>
      <c r="D2106" s="10"/>
      <c r="E2106" s="10"/>
      <c r="F2106" s="10"/>
      <c r="G2106" s="10"/>
      <c r="H2106" s="10"/>
      <c r="I2106" s="10"/>
      <c r="J2106" s="10"/>
      <c r="K2106" s="10"/>
      <c r="L2106" s="10"/>
      <c r="M2106" s="10"/>
      <c r="N2106" s="10"/>
      <c r="O2106" s="10"/>
      <c r="P2106" s="10"/>
      <c r="Q2106" s="10"/>
      <c r="R2106" s="10"/>
      <c r="S2106" s="10"/>
      <c r="T2106" s="10"/>
      <c r="U2106" s="10"/>
      <c r="V2106" s="10"/>
      <c r="W2106" s="10"/>
      <c r="X2106" s="10"/>
      <c r="Y2106" s="10"/>
      <c r="Z2106" s="10"/>
      <c r="AA2106" s="10"/>
      <c r="AB2106" s="10"/>
      <c r="AC2106" s="10"/>
      <c r="AG2106" s="467"/>
      <c r="AH2106" s="6"/>
    </row>
    <row r="2107" spans="1:34">
      <c r="A2107" s="10"/>
      <c r="B2107" s="10"/>
      <c r="C2107" s="10"/>
      <c r="D2107" s="10"/>
      <c r="E2107" s="10"/>
      <c r="F2107" s="10"/>
      <c r="G2107" s="10"/>
      <c r="H2107" s="10"/>
      <c r="I2107" s="10"/>
      <c r="J2107" s="10"/>
      <c r="K2107" s="10"/>
      <c r="L2107" s="10"/>
      <c r="M2107" s="10"/>
      <c r="N2107" s="10"/>
      <c r="O2107" s="10"/>
      <c r="P2107" s="10"/>
      <c r="Q2107" s="10"/>
      <c r="R2107" s="10"/>
      <c r="S2107" s="10"/>
      <c r="T2107" s="10"/>
      <c r="U2107" s="10"/>
      <c r="V2107" s="10"/>
      <c r="W2107" s="10"/>
      <c r="X2107" s="10"/>
      <c r="Y2107" s="10"/>
      <c r="Z2107" s="10"/>
      <c r="AA2107" s="10"/>
      <c r="AB2107" s="10"/>
      <c r="AC2107" s="10"/>
      <c r="AG2107" s="467"/>
      <c r="AH2107" s="6"/>
    </row>
    <row r="2108" spans="1:34">
      <c r="A2108" s="10"/>
      <c r="B2108" s="10"/>
      <c r="C2108" s="10"/>
      <c r="D2108" s="10"/>
      <c r="E2108" s="10"/>
      <c r="F2108" s="10"/>
      <c r="G2108" s="10"/>
      <c r="H2108" s="10"/>
      <c r="I2108" s="10"/>
      <c r="J2108" s="10"/>
      <c r="K2108" s="10"/>
      <c r="L2108" s="10"/>
      <c r="M2108" s="10"/>
      <c r="N2108" s="10"/>
      <c r="O2108" s="10"/>
      <c r="P2108" s="10"/>
      <c r="Q2108" s="10"/>
      <c r="R2108" s="10"/>
      <c r="S2108" s="10"/>
      <c r="T2108" s="10"/>
      <c r="U2108" s="10"/>
      <c r="V2108" s="10"/>
      <c r="W2108" s="10"/>
      <c r="X2108" s="10"/>
      <c r="Y2108" s="10"/>
      <c r="Z2108" s="10"/>
      <c r="AA2108" s="10"/>
      <c r="AB2108" s="10"/>
      <c r="AC2108" s="10"/>
      <c r="AG2108" s="467"/>
      <c r="AH2108" s="6"/>
    </row>
    <row r="2109" spans="1:34">
      <c r="A2109" s="10"/>
      <c r="B2109" s="10"/>
      <c r="C2109" s="10"/>
      <c r="D2109" s="10"/>
      <c r="E2109" s="10"/>
      <c r="F2109" s="10"/>
      <c r="G2109" s="10"/>
      <c r="H2109" s="10"/>
      <c r="I2109" s="10"/>
      <c r="J2109" s="10"/>
      <c r="K2109" s="10"/>
      <c r="L2109" s="10"/>
      <c r="M2109" s="10"/>
      <c r="N2109" s="10"/>
      <c r="O2109" s="10"/>
      <c r="P2109" s="10"/>
      <c r="Q2109" s="10"/>
      <c r="R2109" s="10"/>
      <c r="S2109" s="10"/>
      <c r="T2109" s="10"/>
      <c r="U2109" s="10"/>
      <c r="V2109" s="10"/>
      <c r="W2109" s="10"/>
      <c r="X2109" s="10"/>
      <c r="Y2109" s="10"/>
      <c r="Z2109" s="10"/>
      <c r="AA2109" s="10"/>
      <c r="AB2109" s="10"/>
      <c r="AC2109" s="10"/>
      <c r="AG2109" s="467"/>
      <c r="AH2109" s="6"/>
    </row>
    <row r="2110" spans="1:34">
      <c r="A2110" s="10"/>
      <c r="B2110" s="10"/>
      <c r="C2110" s="10"/>
      <c r="D2110" s="10"/>
      <c r="E2110" s="10"/>
      <c r="F2110" s="10"/>
      <c r="G2110" s="10"/>
      <c r="H2110" s="10"/>
      <c r="I2110" s="10"/>
      <c r="J2110" s="10"/>
      <c r="K2110" s="10"/>
      <c r="L2110" s="10"/>
      <c r="M2110" s="10"/>
      <c r="N2110" s="10"/>
      <c r="O2110" s="10"/>
      <c r="P2110" s="10"/>
      <c r="Q2110" s="10"/>
      <c r="R2110" s="10"/>
      <c r="S2110" s="10"/>
      <c r="T2110" s="10"/>
      <c r="U2110" s="10"/>
      <c r="V2110" s="10"/>
      <c r="W2110" s="10"/>
      <c r="X2110" s="10"/>
      <c r="Y2110" s="10"/>
      <c r="Z2110" s="10"/>
      <c r="AA2110" s="10"/>
      <c r="AB2110" s="10"/>
      <c r="AC2110" s="10"/>
      <c r="AG2110" s="467"/>
      <c r="AH2110" s="6"/>
    </row>
    <row r="2111" spans="1:34">
      <c r="A2111" s="10"/>
      <c r="B2111" s="10"/>
      <c r="C2111" s="10"/>
      <c r="D2111" s="10"/>
      <c r="E2111" s="10"/>
      <c r="F2111" s="10"/>
      <c r="G2111" s="10"/>
      <c r="H2111" s="10"/>
      <c r="I2111" s="10"/>
      <c r="J2111" s="10"/>
      <c r="K2111" s="10"/>
      <c r="L2111" s="10"/>
      <c r="M2111" s="10"/>
      <c r="N2111" s="10"/>
      <c r="O2111" s="10"/>
      <c r="P2111" s="10"/>
      <c r="Q2111" s="10"/>
      <c r="R2111" s="10"/>
      <c r="S2111" s="10"/>
      <c r="T2111" s="10"/>
      <c r="U2111" s="10"/>
      <c r="V2111" s="10"/>
      <c r="W2111" s="10"/>
      <c r="X2111" s="10"/>
      <c r="Y2111" s="10"/>
      <c r="Z2111" s="10"/>
      <c r="AA2111" s="10"/>
      <c r="AB2111" s="10"/>
      <c r="AC2111" s="10"/>
      <c r="AG2111" s="467"/>
      <c r="AH2111" s="6"/>
    </row>
    <row r="2112" spans="1:34">
      <c r="A2112" s="10"/>
      <c r="B2112" s="10"/>
      <c r="C2112" s="10"/>
      <c r="D2112" s="10"/>
      <c r="E2112" s="10"/>
      <c r="F2112" s="10"/>
      <c r="G2112" s="10"/>
      <c r="H2112" s="10"/>
      <c r="I2112" s="10"/>
      <c r="J2112" s="10"/>
      <c r="K2112" s="10"/>
      <c r="L2112" s="10"/>
      <c r="M2112" s="10"/>
      <c r="N2112" s="10"/>
      <c r="O2112" s="10"/>
      <c r="P2112" s="10"/>
      <c r="Q2112" s="10"/>
      <c r="R2112" s="10"/>
      <c r="S2112" s="10"/>
      <c r="T2112" s="10"/>
      <c r="U2112" s="10"/>
      <c r="V2112" s="10"/>
      <c r="W2112" s="10"/>
      <c r="X2112" s="10"/>
      <c r="Y2112" s="10"/>
      <c r="Z2112" s="10"/>
      <c r="AA2112" s="10"/>
      <c r="AB2112" s="10"/>
      <c r="AC2112" s="10"/>
      <c r="AG2112" s="467"/>
      <c r="AH2112" s="6"/>
    </row>
    <row r="2113" spans="1:34">
      <c r="A2113" s="10"/>
      <c r="B2113" s="10"/>
      <c r="C2113" s="10"/>
      <c r="D2113" s="10"/>
      <c r="E2113" s="10"/>
      <c r="F2113" s="10"/>
      <c r="G2113" s="10"/>
      <c r="H2113" s="10"/>
      <c r="I2113" s="10"/>
      <c r="J2113" s="10"/>
      <c r="K2113" s="10"/>
      <c r="L2113" s="10"/>
      <c r="M2113" s="10"/>
      <c r="N2113" s="10"/>
      <c r="O2113" s="10"/>
      <c r="P2113" s="10"/>
      <c r="Q2113" s="10"/>
      <c r="R2113" s="10"/>
      <c r="S2113" s="10"/>
      <c r="T2113" s="10"/>
      <c r="U2113" s="10"/>
      <c r="V2113" s="10"/>
      <c r="W2113" s="10"/>
      <c r="X2113" s="10"/>
      <c r="Y2113" s="10"/>
      <c r="Z2113" s="10"/>
      <c r="AA2113" s="10"/>
      <c r="AB2113" s="10"/>
      <c r="AC2113" s="10"/>
      <c r="AG2113" s="467"/>
      <c r="AH2113" s="6"/>
    </row>
    <row r="2114" spans="1:34">
      <c r="A2114" s="10"/>
      <c r="B2114" s="10"/>
      <c r="C2114" s="10"/>
      <c r="D2114" s="10"/>
      <c r="E2114" s="10"/>
      <c r="F2114" s="10"/>
      <c r="G2114" s="10"/>
      <c r="H2114" s="10"/>
      <c r="I2114" s="10"/>
      <c r="J2114" s="10"/>
      <c r="K2114" s="10"/>
      <c r="L2114" s="10"/>
      <c r="M2114" s="10"/>
      <c r="N2114" s="10"/>
      <c r="O2114" s="10"/>
      <c r="P2114" s="10"/>
      <c r="Q2114" s="10"/>
      <c r="R2114" s="10"/>
      <c r="S2114" s="10"/>
      <c r="T2114" s="10"/>
      <c r="U2114" s="10"/>
      <c r="V2114" s="10"/>
      <c r="W2114" s="10"/>
      <c r="X2114" s="10"/>
      <c r="Y2114" s="10"/>
      <c r="Z2114" s="10"/>
      <c r="AA2114" s="10"/>
      <c r="AB2114" s="10"/>
      <c r="AC2114" s="10"/>
      <c r="AG2114" s="467"/>
      <c r="AH2114" s="6"/>
    </row>
    <row r="2115" spans="1:34">
      <c r="A2115" s="10"/>
      <c r="B2115" s="10"/>
      <c r="C2115" s="10"/>
      <c r="D2115" s="10"/>
      <c r="E2115" s="10"/>
      <c r="F2115" s="10"/>
      <c r="G2115" s="10"/>
      <c r="H2115" s="10"/>
      <c r="I2115" s="10"/>
      <c r="J2115" s="10"/>
      <c r="K2115" s="10"/>
      <c r="L2115" s="10"/>
      <c r="M2115" s="10"/>
      <c r="N2115" s="10"/>
      <c r="O2115" s="10"/>
      <c r="P2115" s="10"/>
      <c r="Q2115" s="10"/>
      <c r="R2115" s="10"/>
      <c r="S2115" s="10"/>
      <c r="T2115" s="10"/>
      <c r="U2115" s="10"/>
      <c r="V2115" s="10"/>
      <c r="W2115" s="10"/>
      <c r="X2115" s="10"/>
      <c r="Y2115" s="10"/>
      <c r="Z2115" s="10"/>
      <c r="AA2115" s="10"/>
      <c r="AB2115" s="10"/>
      <c r="AC2115" s="10"/>
      <c r="AG2115" s="467"/>
      <c r="AH2115" s="6"/>
    </row>
    <row r="2116" spans="1:34">
      <c r="A2116" s="10"/>
      <c r="B2116" s="10"/>
      <c r="C2116" s="10"/>
      <c r="D2116" s="10"/>
      <c r="E2116" s="10"/>
      <c r="F2116" s="10"/>
      <c r="G2116" s="10"/>
      <c r="H2116" s="10"/>
      <c r="I2116" s="10"/>
      <c r="J2116" s="10"/>
      <c r="K2116" s="10"/>
      <c r="L2116" s="10"/>
      <c r="M2116" s="10"/>
      <c r="N2116" s="10"/>
      <c r="O2116" s="10"/>
      <c r="P2116" s="10"/>
      <c r="Q2116" s="10"/>
      <c r="R2116" s="10"/>
      <c r="S2116" s="10"/>
      <c r="T2116" s="10"/>
      <c r="U2116" s="10"/>
      <c r="V2116" s="10"/>
      <c r="W2116" s="10"/>
      <c r="X2116" s="10"/>
      <c r="Y2116" s="10"/>
      <c r="Z2116" s="10"/>
      <c r="AA2116" s="10"/>
      <c r="AB2116" s="10"/>
      <c r="AC2116" s="10"/>
      <c r="AG2116" s="467"/>
      <c r="AH2116" s="6"/>
    </row>
    <row r="2117" spans="1:34">
      <c r="A2117" s="10"/>
      <c r="B2117" s="10"/>
      <c r="C2117" s="10"/>
      <c r="D2117" s="10"/>
      <c r="E2117" s="10"/>
      <c r="F2117" s="10"/>
      <c r="G2117" s="10"/>
      <c r="H2117" s="10"/>
      <c r="I2117" s="10"/>
      <c r="J2117" s="10"/>
      <c r="K2117" s="10"/>
      <c r="L2117" s="10"/>
      <c r="M2117" s="10"/>
      <c r="N2117" s="10"/>
      <c r="O2117" s="10"/>
      <c r="P2117" s="10"/>
      <c r="Q2117" s="10"/>
      <c r="R2117" s="10"/>
      <c r="S2117" s="10"/>
      <c r="T2117" s="10"/>
      <c r="U2117" s="10"/>
      <c r="V2117" s="10"/>
      <c r="W2117" s="10"/>
      <c r="X2117" s="10"/>
      <c r="Y2117" s="10"/>
      <c r="Z2117" s="10"/>
      <c r="AA2117" s="10"/>
      <c r="AB2117" s="10"/>
      <c r="AC2117" s="10"/>
      <c r="AG2117" s="467"/>
      <c r="AH2117" s="6"/>
    </row>
    <row r="2118" spans="1:34">
      <c r="A2118" s="10"/>
      <c r="B2118" s="10"/>
      <c r="C2118" s="10"/>
      <c r="D2118" s="10"/>
      <c r="E2118" s="10"/>
      <c r="F2118" s="10"/>
      <c r="G2118" s="10"/>
      <c r="H2118" s="10"/>
      <c r="I2118" s="10"/>
      <c r="J2118" s="10"/>
      <c r="K2118" s="10"/>
      <c r="L2118" s="10"/>
      <c r="M2118" s="10"/>
      <c r="N2118" s="10"/>
      <c r="O2118" s="10"/>
      <c r="P2118" s="10"/>
      <c r="Q2118" s="10"/>
      <c r="R2118" s="10"/>
      <c r="S2118" s="10"/>
      <c r="T2118" s="10"/>
      <c r="U2118" s="10"/>
      <c r="V2118" s="10"/>
      <c r="W2118" s="10"/>
      <c r="X2118" s="10"/>
      <c r="Y2118" s="10"/>
      <c r="Z2118" s="10"/>
      <c r="AA2118" s="10"/>
      <c r="AB2118" s="10"/>
      <c r="AC2118" s="10"/>
      <c r="AG2118" s="467"/>
      <c r="AH2118" s="6"/>
    </row>
    <row r="2119" spans="1:34">
      <c r="A2119" s="10"/>
      <c r="B2119" s="10"/>
      <c r="C2119" s="10"/>
      <c r="D2119" s="10"/>
      <c r="E2119" s="10"/>
      <c r="F2119" s="10"/>
      <c r="G2119" s="10"/>
      <c r="H2119" s="10"/>
      <c r="I2119" s="10"/>
      <c r="J2119" s="10"/>
      <c r="K2119" s="10"/>
      <c r="L2119" s="10"/>
      <c r="M2119" s="10"/>
      <c r="N2119" s="10"/>
      <c r="O2119" s="10"/>
      <c r="P2119" s="10"/>
      <c r="Q2119" s="10"/>
      <c r="R2119" s="10"/>
      <c r="S2119" s="10"/>
      <c r="T2119" s="10"/>
      <c r="U2119" s="10"/>
      <c r="V2119" s="10"/>
      <c r="W2119" s="10"/>
      <c r="X2119" s="10"/>
      <c r="Y2119" s="10"/>
      <c r="Z2119" s="10"/>
      <c r="AA2119" s="10"/>
      <c r="AB2119" s="10"/>
      <c r="AC2119" s="10"/>
      <c r="AG2119" s="467"/>
      <c r="AH2119" s="6"/>
    </row>
    <row r="2120" spans="1:34">
      <c r="A2120" s="10"/>
      <c r="B2120" s="10"/>
      <c r="C2120" s="10"/>
      <c r="D2120" s="10"/>
      <c r="E2120" s="10"/>
      <c r="F2120" s="10"/>
      <c r="G2120" s="10"/>
      <c r="H2120" s="10"/>
      <c r="I2120" s="10"/>
      <c r="J2120" s="10"/>
      <c r="K2120" s="10"/>
      <c r="L2120" s="10"/>
      <c r="M2120" s="10"/>
      <c r="N2120" s="10"/>
      <c r="O2120" s="10"/>
      <c r="P2120" s="10"/>
      <c r="Q2120" s="10"/>
      <c r="R2120" s="10"/>
      <c r="S2120" s="10"/>
      <c r="T2120" s="10"/>
      <c r="U2120" s="10"/>
      <c r="V2120" s="10"/>
      <c r="W2120" s="10"/>
      <c r="X2120" s="10"/>
      <c r="Y2120" s="10"/>
      <c r="Z2120" s="10"/>
      <c r="AA2120" s="10"/>
      <c r="AB2120" s="10"/>
      <c r="AC2120" s="10"/>
      <c r="AG2120" s="467"/>
      <c r="AH2120" s="6"/>
    </row>
    <row r="2121" spans="1:34">
      <c r="A2121" s="10"/>
      <c r="B2121" s="10"/>
      <c r="C2121" s="10"/>
      <c r="D2121" s="10"/>
      <c r="E2121" s="10"/>
      <c r="F2121" s="10"/>
      <c r="G2121" s="10"/>
      <c r="H2121" s="10"/>
      <c r="I2121" s="10"/>
      <c r="J2121" s="10"/>
      <c r="K2121" s="10"/>
      <c r="L2121" s="10"/>
      <c r="M2121" s="10"/>
      <c r="N2121" s="10"/>
      <c r="O2121" s="10"/>
      <c r="P2121" s="10"/>
      <c r="Q2121" s="10"/>
      <c r="R2121" s="10"/>
      <c r="S2121" s="10"/>
      <c r="T2121" s="10"/>
      <c r="U2121" s="10"/>
      <c r="V2121" s="10"/>
      <c r="W2121" s="10"/>
      <c r="X2121" s="10"/>
      <c r="Y2121" s="10"/>
      <c r="Z2121" s="10"/>
      <c r="AA2121" s="10"/>
      <c r="AB2121" s="10"/>
      <c r="AC2121" s="10"/>
      <c r="AG2121" s="467"/>
      <c r="AH2121" s="6"/>
    </row>
    <row r="2122" spans="1:34">
      <c r="A2122" s="10"/>
      <c r="B2122" s="10"/>
      <c r="C2122" s="10"/>
      <c r="D2122" s="10"/>
      <c r="E2122" s="10"/>
      <c r="F2122" s="10"/>
      <c r="G2122" s="10"/>
      <c r="H2122" s="10"/>
      <c r="I2122" s="10"/>
      <c r="J2122" s="10"/>
      <c r="K2122" s="10"/>
      <c r="L2122" s="10"/>
      <c r="M2122" s="10"/>
      <c r="N2122" s="10"/>
      <c r="O2122" s="10"/>
      <c r="P2122" s="10"/>
      <c r="Q2122" s="10"/>
      <c r="R2122" s="10"/>
      <c r="S2122" s="10"/>
      <c r="T2122" s="10"/>
      <c r="U2122" s="10"/>
      <c r="V2122" s="10"/>
      <c r="W2122" s="10"/>
      <c r="X2122" s="10"/>
      <c r="Y2122" s="10"/>
      <c r="Z2122" s="10"/>
      <c r="AA2122" s="10"/>
      <c r="AB2122" s="10"/>
      <c r="AC2122" s="10"/>
      <c r="AG2122" s="467"/>
      <c r="AH2122" s="6"/>
    </row>
    <row r="2123" spans="1:34">
      <c r="A2123" s="10"/>
      <c r="B2123" s="10"/>
      <c r="C2123" s="10"/>
      <c r="D2123" s="10"/>
      <c r="E2123" s="10"/>
      <c r="F2123" s="10"/>
      <c r="G2123" s="10"/>
      <c r="H2123" s="10"/>
      <c r="I2123" s="10"/>
      <c r="J2123" s="10"/>
      <c r="K2123" s="10"/>
      <c r="L2123" s="10"/>
      <c r="M2123" s="10"/>
      <c r="N2123" s="10"/>
      <c r="O2123" s="10"/>
      <c r="P2123" s="10"/>
      <c r="Q2123" s="10"/>
      <c r="R2123" s="10"/>
      <c r="S2123" s="10"/>
      <c r="T2123" s="10"/>
      <c r="U2123" s="10"/>
      <c r="V2123" s="10"/>
      <c r="W2123" s="10"/>
      <c r="X2123" s="10"/>
      <c r="Y2123" s="10"/>
      <c r="Z2123" s="10"/>
      <c r="AA2123" s="10"/>
      <c r="AB2123" s="10"/>
      <c r="AC2123" s="10"/>
      <c r="AG2123" s="467"/>
      <c r="AH2123" s="6"/>
    </row>
    <row r="2124" spans="1:34">
      <c r="A2124" s="10"/>
      <c r="B2124" s="10"/>
      <c r="C2124" s="10"/>
      <c r="D2124" s="10"/>
      <c r="E2124" s="10"/>
      <c r="F2124" s="10"/>
      <c r="G2124" s="10"/>
      <c r="H2124" s="10"/>
      <c r="I2124" s="10"/>
      <c r="J2124" s="10"/>
      <c r="K2124" s="10"/>
      <c r="L2124" s="10"/>
      <c r="M2124" s="10"/>
      <c r="N2124" s="10"/>
      <c r="O2124" s="10"/>
      <c r="P2124" s="10"/>
      <c r="Q2124" s="10"/>
      <c r="R2124" s="10"/>
      <c r="S2124" s="10"/>
      <c r="T2124" s="10"/>
      <c r="U2124" s="10"/>
      <c r="V2124" s="10"/>
      <c r="W2124" s="10"/>
      <c r="X2124" s="10"/>
      <c r="Y2124" s="10"/>
      <c r="Z2124" s="10"/>
      <c r="AA2124" s="10"/>
      <c r="AB2124" s="10"/>
      <c r="AC2124" s="10"/>
      <c r="AG2124" s="467"/>
      <c r="AH2124" s="6"/>
    </row>
    <row r="2125" spans="1:34">
      <c r="A2125" s="10"/>
      <c r="B2125" s="10"/>
      <c r="C2125" s="10"/>
      <c r="D2125" s="10"/>
      <c r="E2125" s="10"/>
      <c r="F2125" s="10"/>
      <c r="G2125" s="10"/>
      <c r="H2125" s="10"/>
      <c r="I2125" s="10"/>
      <c r="J2125" s="10"/>
      <c r="K2125" s="10"/>
      <c r="L2125" s="10"/>
      <c r="M2125" s="10"/>
      <c r="N2125" s="10"/>
      <c r="O2125" s="10"/>
      <c r="P2125" s="10"/>
      <c r="Q2125" s="10"/>
      <c r="R2125" s="10"/>
      <c r="S2125" s="10"/>
      <c r="T2125" s="10"/>
      <c r="U2125" s="10"/>
      <c r="V2125" s="10"/>
      <c r="W2125" s="10"/>
      <c r="X2125" s="10"/>
      <c r="Y2125" s="10"/>
      <c r="Z2125" s="10"/>
      <c r="AA2125" s="10"/>
      <c r="AB2125" s="10"/>
      <c r="AC2125" s="10"/>
      <c r="AG2125" s="467"/>
      <c r="AH2125" s="6"/>
    </row>
    <row r="2126" spans="1:34">
      <c r="A2126" s="10"/>
      <c r="B2126" s="10"/>
      <c r="C2126" s="10"/>
      <c r="D2126" s="10"/>
      <c r="E2126" s="10"/>
      <c r="F2126" s="10"/>
      <c r="G2126" s="10"/>
      <c r="H2126" s="10"/>
      <c r="I2126" s="10"/>
      <c r="J2126" s="10"/>
      <c r="K2126" s="10"/>
      <c r="L2126" s="10"/>
      <c r="M2126" s="10"/>
      <c r="N2126" s="10"/>
      <c r="O2126" s="10"/>
      <c r="P2126" s="10"/>
      <c r="Q2126" s="10"/>
      <c r="R2126" s="10"/>
      <c r="S2126" s="10"/>
      <c r="T2126" s="10"/>
      <c r="U2126" s="10"/>
      <c r="V2126" s="10"/>
      <c r="W2126" s="10"/>
      <c r="X2126" s="10"/>
      <c r="Y2126" s="10"/>
      <c r="Z2126" s="10"/>
      <c r="AA2126" s="10"/>
      <c r="AB2126" s="10"/>
      <c r="AC2126" s="10"/>
      <c r="AG2126" s="467"/>
      <c r="AH2126" s="6"/>
    </row>
    <row r="2127" spans="1:34">
      <c r="A2127" s="10"/>
      <c r="B2127" s="10"/>
      <c r="C2127" s="10"/>
      <c r="D2127" s="10"/>
      <c r="E2127" s="10"/>
      <c r="F2127" s="10"/>
      <c r="G2127" s="10"/>
      <c r="H2127" s="10"/>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G2127" s="467"/>
      <c r="AH2127" s="6"/>
    </row>
    <row r="2128" spans="1:34">
      <c r="A2128" s="10"/>
      <c r="B2128" s="10"/>
      <c r="C2128" s="10"/>
      <c r="D2128" s="10"/>
      <c r="E2128" s="10"/>
      <c r="F2128" s="10"/>
      <c r="G2128" s="10"/>
      <c r="H2128" s="10"/>
      <c r="I2128" s="10"/>
      <c r="J2128" s="10"/>
      <c r="K2128" s="10"/>
      <c r="L2128" s="10"/>
      <c r="M2128" s="10"/>
      <c r="N2128" s="10"/>
      <c r="O2128" s="10"/>
      <c r="P2128" s="10"/>
      <c r="Q2128" s="10"/>
      <c r="R2128" s="10"/>
      <c r="S2128" s="10"/>
      <c r="T2128" s="10"/>
      <c r="U2128" s="10"/>
      <c r="V2128" s="10"/>
      <c r="W2128" s="10"/>
      <c r="X2128" s="10"/>
      <c r="Y2128" s="10"/>
      <c r="Z2128" s="10"/>
      <c r="AA2128" s="10"/>
      <c r="AB2128" s="10"/>
      <c r="AC2128" s="10"/>
      <c r="AG2128" s="467"/>
      <c r="AH2128" s="6"/>
    </row>
    <row r="2129" spans="1:34">
      <c r="A2129" s="10"/>
      <c r="B2129" s="10"/>
      <c r="C2129" s="10"/>
      <c r="D2129" s="10"/>
      <c r="E2129" s="10"/>
      <c r="F2129" s="10"/>
      <c r="G2129" s="10"/>
      <c r="H2129" s="10"/>
      <c r="I2129" s="10"/>
      <c r="J2129" s="10"/>
      <c r="K2129" s="10"/>
      <c r="L2129" s="10"/>
      <c r="M2129" s="10"/>
      <c r="N2129" s="10"/>
      <c r="O2129" s="10"/>
      <c r="P2129" s="10"/>
      <c r="Q2129" s="10"/>
      <c r="R2129" s="10"/>
      <c r="S2129" s="10"/>
      <c r="T2129" s="10"/>
      <c r="U2129" s="10"/>
      <c r="V2129" s="10"/>
      <c r="W2129" s="10"/>
      <c r="X2129" s="10"/>
      <c r="Y2129" s="10"/>
      <c r="Z2129" s="10"/>
      <c r="AA2129" s="10"/>
      <c r="AB2129" s="10"/>
      <c r="AC2129" s="10"/>
      <c r="AG2129" s="467"/>
      <c r="AH2129" s="6"/>
    </row>
    <row r="2130" spans="1:34">
      <c r="A2130" s="10"/>
      <c r="B2130" s="10"/>
      <c r="C2130" s="10"/>
      <c r="D2130" s="10"/>
      <c r="E2130" s="10"/>
      <c r="F2130" s="10"/>
      <c r="G2130" s="10"/>
      <c r="H2130" s="10"/>
      <c r="I2130" s="10"/>
      <c r="J2130" s="10"/>
      <c r="K2130" s="10"/>
      <c r="L2130" s="10"/>
      <c r="M2130" s="10"/>
      <c r="N2130" s="10"/>
      <c r="O2130" s="10"/>
      <c r="P2130" s="10"/>
      <c r="Q2130" s="10"/>
      <c r="R2130" s="10"/>
      <c r="S2130" s="10"/>
      <c r="T2130" s="10"/>
      <c r="U2130" s="10"/>
      <c r="V2130" s="10"/>
      <c r="W2130" s="10"/>
      <c r="X2130" s="10"/>
      <c r="Y2130" s="10"/>
      <c r="Z2130" s="10"/>
      <c r="AA2130" s="10"/>
      <c r="AB2130" s="10"/>
      <c r="AC2130" s="10"/>
      <c r="AG2130" s="467"/>
      <c r="AH2130" s="6"/>
    </row>
    <row r="2131" spans="1:34">
      <c r="A2131" s="10"/>
      <c r="B2131" s="10"/>
      <c r="C2131" s="10"/>
      <c r="D2131" s="10"/>
      <c r="E2131" s="10"/>
      <c r="F2131" s="10"/>
      <c r="G2131" s="10"/>
      <c r="H2131" s="10"/>
      <c r="I2131" s="10"/>
      <c r="J2131" s="10"/>
      <c r="K2131" s="10"/>
      <c r="L2131" s="10"/>
      <c r="M2131" s="10"/>
      <c r="N2131" s="10"/>
      <c r="O2131" s="10"/>
      <c r="P2131" s="10"/>
      <c r="Q2131" s="10"/>
      <c r="R2131" s="10"/>
      <c r="S2131" s="10"/>
      <c r="T2131" s="10"/>
      <c r="U2131" s="10"/>
      <c r="V2131" s="10"/>
      <c r="W2131" s="10"/>
      <c r="X2131" s="10"/>
      <c r="Y2131" s="10"/>
      <c r="Z2131" s="10"/>
      <c r="AA2131" s="10"/>
      <c r="AB2131" s="10"/>
      <c r="AC2131" s="10"/>
      <c r="AG2131" s="467"/>
      <c r="AH2131" s="6"/>
    </row>
    <row r="2132" spans="1:34">
      <c r="A2132" s="10"/>
      <c r="B2132" s="10"/>
      <c r="C2132" s="10"/>
      <c r="D2132" s="10"/>
      <c r="E2132" s="10"/>
      <c r="F2132" s="10"/>
      <c r="G2132" s="10"/>
      <c r="H2132" s="10"/>
      <c r="I2132" s="10"/>
      <c r="J2132" s="10"/>
      <c r="K2132" s="10"/>
      <c r="L2132" s="10"/>
      <c r="M2132" s="10"/>
      <c r="N2132" s="10"/>
      <c r="O2132" s="10"/>
      <c r="P2132" s="10"/>
      <c r="Q2132" s="10"/>
      <c r="R2132" s="10"/>
      <c r="S2132" s="10"/>
      <c r="T2132" s="10"/>
      <c r="U2132" s="10"/>
      <c r="V2132" s="10"/>
      <c r="W2132" s="10"/>
      <c r="X2132" s="10"/>
      <c r="Y2132" s="10"/>
      <c r="Z2132" s="10"/>
      <c r="AA2132" s="10"/>
      <c r="AB2132" s="10"/>
      <c r="AC2132" s="10"/>
      <c r="AG2132" s="467"/>
      <c r="AH2132" s="6"/>
    </row>
    <row r="2133" spans="1:34">
      <c r="A2133" s="10"/>
      <c r="B2133" s="10"/>
      <c r="C2133" s="10"/>
      <c r="D2133" s="10"/>
      <c r="E2133" s="10"/>
      <c r="F2133" s="10"/>
      <c r="G2133" s="10"/>
      <c r="H2133" s="10"/>
      <c r="I2133" s="10"/>
      <c r="J2133" s="10"/>
      <c r="K2133" s="10"/>
      <c r="L2133" s="10"/>
      <c r="M2133" s="10"/>
      <c r="N2133" s="10"/>
      <c r="O2133" s="10"/>
      <c r="P2133" s="10"/>
      <c r="Q2133" s="10"/>
      <c r="R2133" s="10"/>
      <c r="S2133" s="10"/>
      <c r="T2133" s="10"/>
      <c r="U2133" s="10"/>
      <c r="V2133" s="10"/>
      <c r="W2133" s="10"/>
      <c r="X2133" s="10"/>
      <c r="Y2133" s="10"/>
      <c r="Z2133" s="10"/>
      <c r="AA2133" s="10"/>
      <c r="AB2133" s="10"/>
      <c r="AC2133" s="10"/>
      <c r="AG2133" s="467"/>
      <c r="AH2133" s="6"/>
    </row>
    <row r="2134" spans="1:34">
      <c r="A2134" s="10"/>
      <c r="B2134" s="10"/>
      <c r="C2134" s="10"/>
      <c r="D2134" s="10"/>
      <c r="E2134" s="10"/>
      <c r="F2134" s="10"/>
      <c r="G2134" s="10"/>
      <c r="H2134" s="10"/>
      <c r="I2134" s="10"/>
      <c r="J2134" s="10"/>
      <c r="K2134" s="10"/>
      <c r="L2134" s="10"/>
      <c r="M2134" s="10"/>
      <c r="N2134" s="10"/>
      <c r="O2134" s="10"/>
      <c r="P2134" s="10"/>
      <c r="Q2134" s="10"/>
      <c r="R2134" s="10"/>
      <c r="S2134" s="10"/>
      <c r="T2134" s="10"/>
      <c r="U2134" s="10"/>
      <c r="V2134" s="10"/>
      <c r="W2134" s="10"/>
      <c r="X2134" s="10"/>
      <c r="Y2134" s="10"/>
      <c r="Z2134" s="10"/>
      <c r="AA2134" s="10"/>
      <c r="AB2134" s="10"/>
      <c r="AC2134" s="10"/>
      <c r="AG2134" s="467"/>
      <c r="AH2134" s="6"/>
    </row>
    <row r="2135" spans="1:34">
      <c r="A2135" s="10"/>
      <c r="B2135" s="10"/>
      <c r="C2135" s="10"/>
      <c r="D2135" s="10"/>
      <c r="E2135" s="10"/>
      <c r="F2135" s="10"/>
      <c r="G2135" s="10"/>
      <c r="H2135" s="10"/>
      <c r="I2135" s="10"/>
      <c r="J2135" s="10"/>
      <c r="K2135" s="10"/>
      <c r="L2135" s="10"/>
      <c r="M2135" s="10"/>
      <c r="N2135" s="10"/>
      <c r="O2135" s="10"/>
      <c r="P2135" s="10"/>
      <c r="Q2135" s="10"/>
      <c r="R2135" s="10"/>
      <c r="S2135" s="10"/>
      <c r="T2135" s="10"/>
      <c r="U2135" s="10"/>
      <c r="V2135" s="10"/>
      <c r="W2135" s="10"/>
      <c r="X2135" s="10"/>
      <c r="Y2135" s="10"/>
      <c r="Z2135" s="10"/>
      <c r="AA2135" s="10"/>
      <c r="AB2135" s="10"/>
      <c r="AC2135" s="10"/>
      <c r="AG2135" s="467"/>
      <c r="AH2135" s="6"/>
    </row>
    <row r="2136" spans="1:34">
      <c r="A2136" s="10"/>
      <c r="B2136" s="10"/>
      <c r="C2136" s="10"/>
      <c r="D2136" s="10"/>
      <c r="E2136" s="10"/>
      <c r="F2136" s="10"/>
      <c r="G2136" s="10"/>
      <c r="H2136" s="10"/>
      <c r="I2136" s="10"/>
      <c r="J2136" s="10"/>
      <c r="K2136" s="10"/>
      <c r="L2136" s="10"/>
      <c r="M2136" s="10"/>
      <c r="N2136" s="10"/>
      <c r="O2136" s="10"/>
      <c r="P2136" s="10"/>
      <c r="Q2136" s="10"/>
      <c r="R2136" s="10"/>
      <c r="S2136" s="10"/>
      <c r="T2136" s="10"/>
      <c r="U2136" s="10"/>
      <c r="V2136" s="10"/>
      <c r="W2136" s="10"/>
      <c r="X2136" s="10"/>
      <c r="Y2136" s="10"/>
      <c r="Z2136" s="10"/>
      <c r="AA2136" s="10"/>
      <c r="AB2136" s="10"/>
      <c r="AC2136" s="10"/>
      <c r="AG2136" s="467"/>
      <c r="AH2136" s="6"/>
    </row>
    <row r="2137" spans="1:34">
      <c r="A2137" s="10"/>
      <c r="B2137" s="10"/>
      <c r="C2137" s="10"/>
      <c r="D2137" s="10"/>
      <c r="E2137" s="10"/>
      <c r="F2137" s="10"/>
      <c r="G2137" s="10"/>
      <c r="H2137" s="10"/>
      <c r="I2137" s="10"/>
      <c r="J2137" s="10"/>
      <c r="K2137" s="10"/>
      <c r="L2137" s="10"/>
      <c r="M2137" s="10"/>
      <c r="N2137" s="10"/>
      <c r="O2137" s="10"/>
      <c r="P2137" s="10"/>
      <c r="Q2137" s="10"/>
      <c r="R2137" s="10"/>
      <c r="S2137" s="10"/>
      <c r="T2137" s="10"/>
      <c r="U2137" s="10"/>
      <c r="V2137" s="10"/>
      <c r="W2137" s="10"/>
      <c r="X2137" s="10"/>
      <c r="Y2137" s="10"/>
      <c r="Z2137" s="10"/>
      <c r="AA2137" s="10"/>
      <c r="AB2137" s="10"/>
      <c r="AC2137" s="10"/>
      <c r="AG2137" s="467"/>
      <c r="AH2137" s="6"/>
    </row>
    <row r="2138" spans="1:34">
      <c r="A2138" s="10"/>
      <c r="B2138" s="10"/>
      <c r="C2138" s="10"/>
      <c r="D2138" s="10"/>
      <c r="E2138" s="10"/>
      <c r="F2138" s="10"/>
      <c r="G2138" s="10"/>
      <c r="H2138" s="10"/>
      <c r="I2138" s="10"/>
      <c r="J2138" s="10"/>
      <c r="K2138" s="10"/>
      <c r="L2138" s="10"/>
      <c r="M2138" s="10"/>
      <c r="N2138" s="10"/>
      <c r="O2138" s="10"/>
      <c r="P2138" s="10"/>
      <c r="Q2138" s="10"/>
      <c r="R2138" s="10"/>
      <c r="S2138" s="10"/>
      <c r="T2138" s="10"/>
      <c r="U2138" s="10"/>
      <c r="V2138" s="10"/>
      <c r="W2138" s="10"/>
      <c r="X2138" s="10"/>
      <c r="Y2138" s="10"/>
      <c r="Z2138" s="10"/>
      <c r="AA2138" s="10"/>
      <c r="AB2138" s="10"/>
      <c r="AC2138" s="10"/>
      <c r="AG2138" s="467"/>
      <c r="AH2138" s="6"/>
    </row>
    <row r="2139" spans="1:34">
      <c r="A2139" s="10"/>
      <c r="B2139" s="10"/>
      <c r="C2139" s="10"/>
      <c r="D2139" s="10"/>
      <c r="E2139" s="10"/>
      <c r="F2139" s="10"/>
      <c r="G2139" s="10"/>
      <c r="H2139" s="10"/>
      <c r="I2139" s="10"/>
      <c r="J2139" s="10"/>
      <c r="K2139" s="10"/>
      <c r="L2139" s="10"/>
      <c r="M2139" s="10"/>
      <c r="N2139" s="10"/>
      <c r="O2139" s="10"/>
      <c r="P2139" s="10"/>
      <c r="Q2139" s="10"/>
      <c r="R2139" s="10"/>
      <c r="S2139" s="10"/>
      <c r="T2139" s="10"/>
      <c r="U2139" s="10"/>
      <c r="V2139" s="10"/>
      <c r="W2139" s="10"/>
      <c r="X2139" s="10"/>
      <c r="Y2139" s="10"/>
      <c r="Z2139" s="10"/>
      <c r="AA2139" s="10"/>
      <c r="AB2139" s="10"/>
      <c r="AC2139" s="10"/>
      <c r="AG2139" s="467"/>
      <c r="AH2139" s="6"/>
    </row>
    <row r="2140" spans="1:34">
      <c r="A2140" s="10"/>
      <c r="B2140" s="10"/>
      <c r="C2140" s="10"/>
      <c r="D2140" s="10"/>
      <c r="E2140" s="10"/>
      <c r="F2140" s="10"/>
      <c r="G2140" s="10"/>
      <c r="H2140" s="10"/>
      <c r="I2140" s="10"/>
      <c r="J2140" s="10"/>
      <c r="K2140" s="10"/>
      <c r="L2140" s="10"/>
      <c r="M2140" s="10"/>
      <c r="N2140" s="10"/>
      <c r="O2140" s="10"/>
      <c r="P2140" s="10"/>
      <c r="Q2140" s="10"/>
      <c r="R2140" s="10"/>
      <c r="S2140" s="10"/>
      <c r="T2140" s="10"/>
      <c r="U2140" s="10"/>
      <c r="V2140" s="10"/>
      <c r="W2140" s="10"/>
      <c r="X2140" s="10"/>
      <c r="Y2140" s="10"/>
      <c r="Z2140" s="10"/>
      <c r="AA2140" s="10"/>
      <c r="AB2140" s="10"/>
      <c r="AC2140" s="10"/>
      <c r="AG2140" s="467"/>
      <c r="AH2140" s="6"/>
    </row>
    <row r="2141" spans="1:34">
      <c r="A2141" s="10"/>
      <c r="B2141" s="10"/>
      <c r="C2141" s="10"/>
      <c r="D2141" s="10"/>
      <c r="E2141" s="10"/>
      <c r="F2141" s="10"/>
      <c r="G2141" s="10"/>
      <c r="H2141" s="10"/>
      <c r="I2141" s="10"/>
      <c r="J2141" s="10"/>
      <c r="K2141" s="10"/>
      <c r="L2141" s="10"/>
      <c r="M2141" s="10"/>
      <c r="N2141" s="10"/>
      <c r="O2141" s="10"/>
      <c r="P2141" s="10"/>
      <c r="Q2141" s="10"/>
      <c r="R2141" s="10"/>
      <c r="S2141" s="10"/>
      <c r="T2141" s="10"/>
      <c r="U2141" s="10"/>
      <c r="V2141" s="10"/>
      <c r="W2141" s="10"/>
      <c r="X2141" s="10"/>
      <c r="Y2141" s="10"/>
      <c r="Z2141" s="10"/>
      <c r="AA2141" s="10"/>
      <c r="AB2141" s="10"/>
      <c r="AC2141" s="10"/>
      <c r="AG2141" s="467"/>
      <c r="AH2141" s="6"/>
    </row>
    <row r="2142" spans="1:34">
      <c r="A2142" s="10"/>
      <c r="B2142" s="10"/>
      <c r="C2142" s="10"/>
      <c r="D2142" s="10"/>
      <c r="E2142" s="10"/>
      <c r="F2142" s="10"/>
      <c r="G2142" s="10"/>
      <c r="H2142" s="10"/>
      <c r="I2142" s="10"/>
      <c r="J2142" s="10"/>
      <c r="K2142" s="10"/>
      <c r="L2142" s="10"/>
      <c r="M2142" s="10"/>
      <c r="N2142" s="10"/>
      <c r="O2142" s="10"/>
      <c r="P2142" s="10"/>
      <c r="Q2142" s="10"/>
      <c r="R2142" s="10"/>
      <c r="S2142" s="10"/>
      <c r="T2142" s="10"/>
      <c r="U2142" s="10"/>
      <c r="V2142" s="10"/>
      <c r="W2142" s="10"/>
      <c r="X2142" s="10"/>
      <c r="Y2142" s="10"/>
      <c r="Z2142" s="10"/>
      <c r="AA2142" s="10"/>
      <c r="AB2142" s="10"/>
      <c r="AC2142" s="10"/>
      <c r="AG2142" s="467"/>
      <c r="AH2142" s="6"/>
    </row>
    <row r="2143" spans="1:34">
      <c r="A2143" s="10"/>
      <c r="B2143" s="10"/>
      <c r="C2143" s="10"/>
      <c r="D2143" s="10"/>
      <c r="E2143" s="10"/>
      <c r="F2143" s="10"/>
      <c r="G2143" s="10"/>
      <c r="H2143" s="10"/>
      <c r="I2143" s="10"/>
      <c r="J2143" s="10"/>
      <c r="K2143" s="10"/>
      <c r="L2143" s="10"/>
      <c r="M2143" s="10"/>
      <c r="N2143" s="10"/>
      <c r="O2143" s="10"/>
      <c r="P2143" s="10"/>
      <c r="Q2143" s="10"/>
      <c r="R2143" s="10"/>
      <c r="S2143" s="10"/>
      <c r="T2143" s="10"/>
      <c r="U2143" s="10"/>
      <c r="V2143" s="10"/>
      <c r="W2143" s="10"/>
      <c r="X2143" s="10"/>
      <c r="Y2143" s="10"/>
      <c r="Z2143" s="10"/>
      <c r="AA2143" s="10"/>
      <c r="AB2143" s="10"/>
      <c r="AC2143" s="10"/>
      <c r="AG2143" s="467"/>
      <c r="AH2143" s="6"/>
    </row>
    <row r="2144" spans="1:34">
      <c r="A2144" s="10"/>
      <c r="B2144" s="10"/>
      <c r="C2144" s="10"/>
      <c r="D2144" s="10"/>
      <c r="E2144" s="10"/>
      <c r="F2144" s="10"/>
      <c r="G2144" s="10"/>
      <c r="H2144" s="10"/>
      <c r="I2144" s="10"/>
      <c r="J2144" s="10"/>
      <c r="K2144" s="10"/>
      <c r="L2144" s="10"/>
      <c r="M2144" s="10"/>
      <c r="N2144" s="10"/>
      <c r="O2144" s="10"/>
      <c r="P2144" s="10"/>
      <c r="Q2144" s="10"/>
      <c r="R2144" s="10"/>
      <c r="S2144" s="10"/>
      <c r="T2144" s="10"/>
      <c r="U2144" s="10"/>
      <c r="V2144" s="10"/>
      <c r="W2144" s="10"/>
      <c r="X2144" s="10"/>
      <c r="Y2144" s="10"/>
      <c r="Z2144" s="10"/>
      <c r="AA2144" s="10"/>
      <c r="AB2144" s="10"/>
      <c r="AC2144" s="10"/>
      <c r="AG2144" s="467"/>
      <c r="AH2144" s="6"/>
    </row>
    <row r="2145" spans="1:34">
      <c r="A2145" s="10"/>
      <c r="B2145" s="10"/>
      <c r="C2145" s="10"/>
      <c r="D2145" s="10"/>
      <c r="E2145" s="10"/>
      <c r="F2145" s="10"/>
      <c r="G2145" s="10"/>
      <c r="H2145" s="10"/>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G2145" s="467"/>
      <c r="AH2145" s="6"/>
    </row>
    <row r="2146" spans="1:34">
      <c r="A2146" s="10"/>
      <c r="B2146" s="10"/>
      <c r="C2146" s="10"/>
      <c r="D2146" s="10"/>
      <c r="E2146" s="10"/>
      <c r="F2146" s="10"/>
      <c r="G2146" s="10"/>
      <c r="H2146" s="10"/>
      <c r="I2146" s="10"/>
      <c r="J2146" s="10"/>
      <c r="K2146" s="10"/>
      <c r="L2146" s="10"/>
      <c r="M2146" s="10"/>
      <c r="N2146" s="10"/>
      <c r="O2146" s="10"/>
      <c r="P2146" s="10"/>
      <c r="Q2146" s="10"/>
      <c r="R2146" s="10"/>
      <c r="S2146" s="10"/>
      <c r="T2146" s="10"/>
      <c r="U2146" s="10"/>
      <c r="V2146" s="10"/>
      <c r="W2146" s="10"/>
      <c r="X2146" s="10"/>
      <c r="Y2146" s="10"/>
      <c r="Z2146" s="10"/>
      <c r="AA2146" s="10"/>
      <c r="AB2146" s="10"/>
      <c r="AC2146" s="10"/>
      <c r="AG2146" s="467"/>
      <c r="AH2146" s="6"/>
    </row>
    <row r="2147" spans="1:34">
      <c r="A2147" s="10"/>
      <c r="B2147" s="10"/>
      <c r="C2147" s="10"/>
      <c r="D2147" s="10"/>
      <c r="E2147" s="10"/>
      <c r="F2147" s="10"/>
      <c r="G2147" s="10"/>
      <c r="H2147" s="10"/>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G2147" s="467"/>
      <c r="AH2147" s="6"/>
    </row>
    <row r="2148" spans="1:34">
      <c r="A2148" s="10"/>
      <c r="B2148" s="10"/>
      <c r="C2148" s="10"/>
      <c r="D2148" s="10"/>
      <c r="E2148" s="10"/>
      <c r="F2148" s="10"/>
      <c r="G2148" s="10"/>
      <c r="H2148" s="10"/>
      <c r="I2148" s="10"/>
      <c r="J2148" s="10"/>
      <c r="K2148" s="10"/>
      <c r="L2148" s="10"/>
      <c r="M2148" s="10"/>
      <c r="N2148" s="10"/>
      <c r="O2148" s="10"/>
      <c r="P2148" s="10"/>
      <c r="Q2148" s="10"/>
      <c r="R2148" s="10"/>
      <c r="S2148" s="10"/>
      <c r="T2148" s="10"/>
      <c r="U2148" s="10"/>
      <c r="V2148" s="10"/>
      <c r="W2148" s="10"/>
      <c r="X2148" s="10"/>
      <c r="Y2148" s="10"/>
      <c r="Z2148" s="10"/>
      <c r="AA2148" s="10"/>
      <c r="AB2148" s="10"/>
      <c r="AC2148" s="10"/>
      <c r="AG2148" s="467"/>
      <c r="AH2148" s="6"/>
    </row>
    <row r="2149" spans="1:34">
      <c r="A2149" s="10"/>
      <c r="B2149" s="10"/>
      <c r="C2149" s="10"/>
      <c r="D2149" s="10"/>
      <c r="E2149" s="10"/>
      <c r="F2149" s="10"/>
      <c r="G2149" s="10"/>
      <c r="H2149" s="10"/>
      <c r="I2149" s="10"/>
      <c r="J2149" s="10"/>
      <c r="K2149" s="10"/>
      <c r="L2149" s="10"/>
      <c r="M2149" s="10"/>
      <c r="N2149" s="10"/>
      <c r="O2149" s="10"/>
      <c r="P2149" s="10"/>
      <c r="Q2149" s="10"/>
      <c r="R2149" s="10"/>
      <c r="S2149" s="10"/>
      <c r="T2149" s="10"/>
      <c r="U2149" s="10"/>
      <c r="V2149" s="10"/>
      <c r="W2149" s="10"/>
      <c r="X2149" s="10"/>
      <c r="Y2149" s="10"/>
      <c r="Z2149" s="10"/>
      <c r="AA2149" s="10"/>
      <c r="AB2149" s="10"/>
      <c r="AC2149" s="10"/>
      <c r="AG2149" s="467"/>
      <c r="AH2149" s="6"/>
    </row>
    <row r="2150" spans="1:34">
      <c r="A2150" s="10"/>
      <c r="B2150" s="10"/>
      <c r="C2150" s="10"/>
      <c r="D2150" s="10"/>
      <c r="E2150" s="10"/>
      <c r="F2150" s="10"/>
      <c r="G2150" s="10"/>
      <c r="H2150" s="10"/>
      <c r="I2150" s="10"/>
      <c r="J2150" s="10"/>
      <c r="K2150" s="10"/>
      <c r="L2150" s="10"/>
      <c r="M2150" s="10"/>
      <c r="N2150" s="10"/>
      <c r="O2150" s="10"/>
      <c r="P2150" s="10"/>
      <c r="Q2150" s="10"/>
      <c r="R2150" s="10"/>
      <c r="S2150" s="10"/>
      <c r="T2150" s="10"/>
      <c r="U2150" s="10"/>
      <c r="V2150" s="10"/>
      <c r="W2150" s="10"/>
      <c r="X2150" s="10"/>
      <c r="Y2150" s="10"/>
      <c r="Z2150" s="10"/>
      <c r="AA2150" s="10"/>
      <c r="AB2150" s="10"/>
      <c r="AC2150" s="10"/>
      <c r="AG2150" s="467"/>
      <c r="AH2150" s="6"/>
    </row>
    <row r="2151" spans="1:34">
      <c r="A2151" s="10"/>
      <c r="B2151" s="10"/>
      <c r="C2151" s="10"/>
      <c r="D2151" s="10"/>
      <c r="E2151" s="10"/>
      <c r="F2151" s="10"/>
      <c r="G2151" s="10"/>
      <c r="H2151" s="10"/>
      <c r="I2151" s="10"/>
      <c r="J2151" s="10"/>
      <c r="K2151" s="10"/>
      <c r="L2151" s="10"/>
      <c r="M2151" s="10"/>
      <c r="N2151" s="10"/>
      <c r="O2151" s="10"/>
      <c r="P2151" s="10"/>
      <c r="Q2151" s="10"/>
      <c r="R2151" s="10"/>
      <c r="S2151" s="10"/>
      <c r="T2151" s="10"/>
      <c r="U2151" s="10"/>
      <c r="V2151" s="10"/>
      <c r="W2151" s="10"/>
      <c r="X2151" s="10"/>
      <c r="Y2151" s="10"/>
      <c r="Z2151" s="10"/>
      <c r="AA2151" s="10"/>
      <c r="AB2151" s="10"/>
      <c r="AC2151" s="10"/>
      <c r="AG2151" s="467"/>
      <c r="AH2151" s="6"/>
    </row>
    <row r="2152" spans="1:34">
      <c r="A2152" s="10"/>
      <c r="B2152" s="10"/>
      <c r="C2152" s="10"/>
      <c r="D2152" s="10"/>
      <c r="E2152" s="10"/>
      <c r="F2152" s="10"/>
      <c r="G2152" s="10"/>
      <c r="H2152" s="10"/>
      <c r="I2152" s="10"/>
      <c r="J2152" s="10"/>
      <c r="K2152" s="10"/>
      <c r="L2152" s="10"/>
      <c r="M2152" s="10"/>
      <c r="N2152" s="10"/>
      <c r="O2152" s="10"/>
      <c r="P2152" s="10"/>
      <c r="Q2152" s="10"/>
      <c r="R2152" s="10"/>
      <c r="S2152" s="10"/>
      <c r="T2152" s="10"/>
      <c r="U2152" s="10"/>
      <c r="V2152" s="10"/>
      <c r="W2152" s="10"/>
      <c r="X2152" s="10"/>
      <c r="Y2152" s="10"/>
      <c r="Z2152" s="10"/>
      <c r="AA2152" s="10"/>
      <c r="AB2152" s="10"/>
      <c r="AC2152" s="10"/>
      <c r="AG2152" s="467"/>
      <c r="AH2152" s="6"/>
    </row>
    <row r="2153" spans="1:34">
      <c r="A2153" s="10"/>
      <c r="B2153" s="10"/>
      <c r="C2153" s="10"/>
      <c r="D2153" s="10"/>
      <c r="E2153" s="10"/>
      <c r="F2153" s="10"/>
      <c r="G2153" s="10"/>
      <c r="H2153" s="10"/>
      <c r="I2153" s="10"/>
      <c r="J2153" s="10"/>
      <c r="K2153" s="10"/>
      <c r="L2153" s="10"/>
      <c r="M2153" s="10"/>
      <c r="N2153" s="10"/>
      <c r="O2153" s="10"/>
      <c r="P2153" s="10"/>
      <c r="Q2153" s="10"/>
      <c r="R2153" s="10"/>
      <c r="S2153" s="10"/>
      <c r="T2153" s="10"/>
      <c r="U2153" s="10"/>
      <c r="V2153" s="10"/>
      <c r="W2153" s="10"/>
      <c r="X2153" s="10"/>
      <c r="Y2153" s="10"/>
      <c r="Z2153" s="10"/>
      <c r="AA2153" s="10"/>
      <c r="AB2153" s="10"/>
      <c r="AC2153" s="10"/>
      <c r="AG2153" s="467"/>
      <c r="AH2153" s="6"/>
    </row>
    <row r="2154" spans="1:34">
      <c r="A2154" s="10"/>
      <c r="B2154" s="10"/>
      <c r="C2154" s="10"/>
      <c r="D2154" s="10"/>
      <c r="E2154" s="10"/>
      <c r="F2154" s="10"/>
      <c r="G2154" s="10"/>
      <c r="H2154" s="10"/>
      <c r="I2154" s="10"/>
      <c r="J2154" s="10"/>
      <c r="K2154" s="10"/>
      <c r="L2154" s="10"/>
      <c r="M2154" s="10"/>
      <c r="N2154" s="10"/>
      <c r="O2154" s="10"/>
      <c r="P2154" s="10"/>
      <c r="Q2154" s="10"/>
      <c r="R2154" s="10"/>
      <c r="S2154" s="10"/>
      <c r="T2154" s="10"/>
      <c r="U2154" s="10"/>
      <c r="V2154" s="10"/>
      <c r="W2154" s="10"/>
      <c r="X2154" s="10"/>
      <c r="Y2154" s="10"/>
      <c r="Z2154" s="10"/>
      <c r="AA2154" s="10"/>
      <c r="AB2154" s="10"/>
      <c r="AC2154" s="10"/>
      <c r="AG2154" s="467"/>
      <c r="AH2154" s="6"/>
    </row>
    <row r="2155" spans="1:34">
      <c r="A2155" s="10"/>
      <c r="B2155" s="10"/>
      <c r="C2155" s="10"/>
      <c r="D2155" s="10"/>
      <c r="E2155" s="10"/>
      <c r="F2155" s="10"/>
      <c r="G2155" s="10"/>
      <c r="H2155" s="10"/>
      <c r="I2155" s="10"/>
      <c r="J2155" s="10"/>
      <c r="K2155" s="10"/>
      <c r="L2155" s="10"/>
      <c r="M2155" s="10"/>
      <c r="N2155" s="10"/>
      <c r="O2155" s="10"/>
      <c r="P2155" s="10"/>
      <c r="Q2155" s="10"/>
      <c r="R2155" s="10"/>
      <c r="S2155" s="10"/>
      <c r="T2155" s="10"/>
      <c r="U2155" s="10"/>
      <c r="V2155" s="10"/>
      <c r="W2155" s="10"/>
      <c r="X2155" s="10"/>
      <c r="Y2155" s="10"/>
      <c r="Z2155" s="10"/>
      <c r="AA2155" s="10"/>
      <c r="AB2155" s="10"/>
      <c r="AC2155" s="10"/>
      <c r="AG2155" s="467"/>
      <c r="AH2155" s="6"/>
    </row>
    <row r="2156" spans="1:34">
      <c r="A2156" s="10"/>
      <c r="B2156" s="10"/>
      <c r="C2156" s="10"/>
      <c r="D2156" s="10"/>
      <c r="E2156" s="10"/>
      <c r="F2156" s="10"/>
      <c r="G2156" s="10"/>
      <c r="H2156" s="10"/>
      <c r="I2156" s="10"/>
      <c r="J2156" s="10"/>
      <c r="K2156" s="10"/>
      <c r="L2156" s="10"/>
      <c r="M2156" s="10"/>
      <c r="N2156" s="10"/>
      <c r="O2156" s="10"/>
      <c r="P2156" s="10"/>
      <c r="Q2156" s="10"/>
      <c r="R2156" s="10"/>
      <c r="S2156" s="10"/>
      <c r="T2156" s="10"/>
      <c r="U2156" s="10"/>
      <c r="V2156" s="10"/>
      <c r="W2156" s="10"/>
      <c r="X2156" s="10"/>
      <c r="Y2156" s="10"/>
      <c r="Z2156" s="10"/>
      <c r="AA2156" s="10"/>
      <c r="AB2156" s="10"/>
      <c r="AC2156" s="10"/>
      <c r="AG2156" s="467"/>
      <c r="AH2156" s="6"/>
    </row>
    <row r="2157" spans="1:34">
      <c r="A2157" s="10"/>
      <c r="B2157" s="10"/>
      <c r="C2157" s="10"/>
      <c r="D2157" s="10"/>
      <c r="E2157" s="10"/>
      <c r="F2157" s="10"/>
      <c r="G2157" s="10"/>
      <c r="H2157" s="10"/>
      <c r="I2157" s="10"/>
      <c r="J2157" s="10"/>
      <c r="K2157" s="10"/>
      <c r="L2157" s="10"/>
      <c r="M2157" s="10"/>
      <c r="N2157" s="10"/>
      <c r="O2157" s="10"/>
      <c r="P2157" s="10"/>
      <c r="Q2157" s="10"/>
      <c r="R2157" s="10"/>
      <c r="S2157" s="10"/>
      <c r="T2157" s="10"/>
      <c r="U2157" s="10"/>
      <c r="V2157" s="10"/>
      <c r="W2157" s="10"/>
      <c r="X2157" s="10"/>
      <c r="Y2157" s="10"/>
      <c r="Z2157" s="10"/>
      <c r="AA2157" s="10"/>
      <c r="AB2157" s="10"/>
      <c r="AC2157" s="10"/>
      <c r="AG2157" s="467"/>
      <c r="AH2157" s="6"/>
    </row>
    <row r="2158" spans="1:34">
      <c r="A2158" s="10"/>
      <c r="B2158" s="10"/>
      <c r="C2158" s="10"/>
      <c r="D2158" s="10"/>
      <c r="E2158" s="10"/>
      <c r="F2158" s="10"/>
      <c r="G2158" s="10"/>
      <c r="H2158" s="10"/>
      <c r="I2158" s="10"/>
      <c r="J2158" s="10"/>
      <c r="K2158" s="10"/>
      <c r="L2158" s="10"/>
      <c r="M2158" s="10"/>
      <c r="N2158" s="10"/>
      <c r="O2158" s="10"/>
      <c r="P2158" s="10"/>
      <c r="Q2158" s="10"/>
      <c r="R2158" s="10"/>
      <c r="S2158" s="10"/>
      <c r="T2158" s="10"/>
      <c r="U2158" s="10"/>
      <c r="V2158" s="10"/>
      <c r="W2158" s="10"/>
      <c r="X2158" s="10"/>
      <c r="Y2158" s="10"/>
      <c r="Z2158" s="10"/>
      <c r="AA2158" s="10"/>
      <c r="AB2158" s="10"/>
      <c r="AC2158" s="10"/>
      <c r="AG2158" s="467"/>
      <c r="AH2158" s="6"/>
    </row>
    <row r="2159" spans="1:34">
      <c r="A2159" s="10"/>
      <c r="B2159" s="10"/>
      <c r="C2159" s="10"/>
      <c r="D2159" s="10"/>
      <c r="E2159" s="10"/>
      <c r="F2159" s="10"/>
      <c r="G2159" s="10"/>
      <c r="H2159" s="10"/>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G2159" s="467"/>
      <c r="AH2159" s="6"/>
    </row>
    <row r="2160" spans="1:34">
      <c r="A2160" s="10"/>
      <c r="B2160" s="10"/>
      <c r="C2160" s="10"/>
      <c r="D2160" s="10"/>
      <c r="E2160" s="10"/>
      <c r="F2160" s="10"/>
      <c r="G2160" s="10"/>
      <c r="H2160" s="10"/>
      <c r="I2160" s="10"/>
      <c r="J2160" s="10"/>
      <c r="K2160" s="10"/>
      <c r="L2160" s="10"/>
      <c r="M2160" s="10"/>
      <c r="N2160" s="10"/>
      <c r="O2160" s="10"/>
      <c r="P2160" s="10"/>
      <c r="Q2160" s="10"/>
      <c r="R2160" s="10"/>
      <c r="S2160" s="10"/>
      <c r="T2160" s="10"/>
      <c r="U2160" s="10"/>
      <c r="V2160" s="10"/>
      <c r="W2160" s="10"/>
      <c r="X2160" s="10"/>
      <c r="Y2160" s="10"/>
      <c r="Z2160" s="10"/>
      <c r="AA2160" s="10"/>
      <c r="AB2160" s="10"/>
      <c r="AC2160" s="10"/>
      <c r="AG2160" s="467"/>
      <c r="AH2160" s="6"/>
    </row>
    <row r="2161" spans="1:34">
      <c r="A2161" s="10"/>
      <c r="B2161" s="10"/>
      <c r="C2161" s="10"/>
      <c r="D2161" s="10"/>
      <c r="E2161" s="10"/>
      <c r="F2161" s="10"/>
      <c r="G2161" s="10"/>
      <c r="H2161" s="10"/>
      <c r="I2161" s="10"/>
      <c r="J2161" s="10"/>
      <c r="K2161" s="10"/>
      <c r="L2161" s="10"/>
      <c r="M2161" s="10"/>
      <c r="N2161" s="10"/>
      <c r="O2161" s="10"/>
      <c r="P2161" s="10"/>
      <c r="Q2161" s="10"/>
      <c r="R2161" s="10"/>
      <c r="S2161" s="10"/>
      <c r="T2161" s="10"/>
      <c r="U2161" s="10"/>
      <c r="V2161" s="10"/>
      <c r="W2161" s="10"/>
      <c r="X2161" s="10"/>
      <c r="Y2161" s="10"/>
      <c r="Z2161" s="10"/>
      <c r="AA2161" s="10"/>
      <c r="AB2161" s="10"/>
      <c r="AC2161" s="10"/>
      <c r="AG2161" s="467"/>
      <c r="AH2161" s="6"/>
    </row>
    <row r="2162" spans="1:34">
      <c r="A2162" s="10"/>
      <c r="B2162" s="10"/>
      <c r="C2162" s="10"/>
      <c r="D2162" s="10"/>
      <c r="E2162" s="10"/>
      <c r="F2162" s="10"/>
      <c r="G2162" s="10"/>
      <c r="H2162" s="10"/>
      <c r="I2162" s="10"/>
      <c r="J2162" s="10"/>
      <c r="K2162" s="10"/>
      <c r="L2162" s="10"/>
      <c r="M2162" s="10"/>
      <c r="N2162" s="10"/>
      <c r="O2162" s="10"/>
      <c r="P2162" s="10"/>
      <c r="Q2162" s="10"/>
      <c r="R2162" s="10"/>
      <c r="S2162" s="10"/>
      <c r="T2162" s="10"/>
      <c r="U2162" s="10"/>
      <c r="V2162" s="10"/>
      <c r="W2162" s="10"/>
      <c r="X2162" s="10"/>
      <c r="Y2162" s="10"/>
      <c r="Z2162" s="10"/>
      <c r="AA2162" s="10"/>
      <c r="AB2162" s="10"/>
      <c r="AC2162" s="10"/>
      <c r="AG2162" s="467"/>
      <c r="AH2162" s="6"/>
    </row>
    <row r="2163" spans="1:34">
      <c r="A2163" s="10"/>
      <c r="B2163" s="10"/>
      <c r="C2163" s="10"/>
      <c r="D2163" s="10"/>
      <c r="E2163" s="10"/>
      <c r="F2163" s="10"/>
      <c r="G2163" s="10"/>
      <c r="H2163" s="10"/>
      <c r="I2163" s="10"/>
      <c r="J2163" s="10"/>
      <c r="K2163" s="10"/>
      <c r="L2163" s="10"/>
      <c r="M2163" s="10"/>
      <c r="N2163" s="10"/>
      <c r="O2163" s="10"/>
      <c r="P2163" s="10"/>
      <c r="Q2163" s="10"/>
      <c r="R2163" s="10"/>
      <c r="S2163" s="10"/>
      <c r="T2163" s="10"/>
      <c r="U2163" s="10"/>
      <c r="V2163" s="10"/>
      <c r="W2163" s="10"/>
      <c r="X2163" s="10"/>
      <c r="Y2163" s="10"/>
      <c r="Z2163" s="10"/>
      <c r="AA2163" s="10"/>
      <c r="AB2163" s="10"/>
      <c r="AC2163" s="10"/>
      <c r="AG2163" s="467"/>
      <c r="AH2163" s="6"/>
    </row>
    <row r="2164" spans="1:34">
      <c r="A2164" s="10"/>
      <c r="B2164" s="10"/>
      <c r="C2164" s="10"/>
      <c r="D2164" s="10"/>
      <c r="E2164" s="10"/>
      <c r="F2164" s="10"/>
      <c r="G2164" s="10"/>
      <c r="H2164" s="10"/>
      <c r="I2164" s="10"/>
      <c r="J2164" s="10"/>
      <c r="K2164" s="10"/>
      <c r="L2164" s="10"/>
      <c r="M2164" s="10"/>
      <c r="N2164" s="10"/>
      <c r="O2164" s="10"/>
      <c r="P2164" s="10"/>
      <c r="Q2164" s="10"/>
      <c r="R2164" s="10"/>
      <c r="S2164" s="10"/>
      <c r="T2164" s="10"/>
      <c r="U2164" s="10"/>
      <c r="V2164" s="10"/>
      <c r="W2164" s="10"/>
      <c r="X2164" s="10"/>
      <c r="Y2164" s="10"/>
      <c r="Z2164" s="10"/>
      <c r="AA2164" s="10"/>
      <c r="AB2164" s="10"/>
      <c r="AC2164" s="10"/>
      <c r="AG2164" s="467"/>
      <c r="AH2164" s="6"/>
    </row>
    <row r="2165" spans="1:34">
      <c r="A2165" s="10"/>
      <c r="B2165" s="10"/>
      <c r="C2165" s="10"/>
      <c r="D2165" s="10"/>
      <c r="E2165" s="10"/>
      <c r="F2165" s="10"/>
      <c r="G2165" s="10"/>
      <c r="H2165" s="10"/>
      <c r="I2165" s="10"/>
      <c r="J2165" s="10"/>
      <c r="K2165" s="10"/>
      <c r="L2165" s="10"/>
      <c r="M2165" s="10"/>
      <c r="N2165" s="10"/>
      <c r="O2165" s="10"/>
      <c r="P2165" s="10"/>
      <c r="Q2165" s="10"/>
      <c r="R2165" s="10"/>
      <c r="S2165" s="10"/>
      <c r="T2165" s="10"/>
      <c r="U2165" s="10"/>
      <c r="V2165" s="10"/>
      <c r="W2165" s="10"/>
      <c r="X2165" s="10"/>
      <c r="Y2165" s="10"/>
      <c r="Z2165" s="10"/>
      <c r="AA2165" s="10"/>
      <c r="AB2165" s="10"/>
      <c r="AC2165" s="10"/>
      <c r="AG2165" s="467"/>
      <c r="AH2165" s="6"/>
    </row>
    <row r="2166" spans="1:34">
      <c r="A2166" s="10"/>
      <c r="B2166" s="10"/>
      <c r="C2166" s="10"/>
      <c r="D2166" s="10"/>
      <c r="E2166" s="10"/>
      <c r="F2166" s="10"/>
      <c r="G2166" s="10"/>
      <c r="H2166" s="10"/>
      <c r="I2166" s="10"/>
      <c r="J2166" s="10"/>
      <c r="K2166" s="10"/>
      <c r="L2166" s="10"/>
      <c r="M2166" s="10"/>
      <c r="N2166" s="10"/>
      <c r="O2166" s="10"/>
      <c r="P2166" s="10"/>
      <c r="Q2166" s="10"/>
      <c r="R2166" s="10"/>
      <c r="S2166" s="10"/>
      <c r="T2166" s="10"/>
      <c r="U2166" s="10"/>
      <c r="V2166" s="10"/>
      <c r="W2166" s="10"/>
      <c r="X2166" s="10"/>
      <c r="Y2166" s="10"/>
      <c r="Z2166" s="10"/>
      <c r="AA2166" s="10"/>
      <c r="AB2166" s="10"/>
      <c r="AC2166" s="10"/>
      <c r="AG2166" s="467"/>
      <c r="AH2166" s="6"/>
    </row>
    <row r="2167" spans="1:34">
      <c r="A2167" s="10"/>
      <c r="B2167" s="10"/>
      <c r="C2167" s="10"/>
      <c r="D2167" s="10"/>
      <c r="E2167" s="10"/>
      <c r="F2167" s="10"/>
      <c r="G2167" s="10"/>
      <c r="H2167" s="10"/>
      <c r="I2167" s="10"/>
      <c r="J2167" s="10"/>
      <c r="K2167" s="10"/>
      <c r="L2167" s="10"/>
      <c r="M2167" s="10"/>
      <c r="N2167" s="10"/>
      <c r="O2167" s="10"/>
      <c r="P2167" s="10"/>
      <c r="Q2167" s="10"/>
      <c r="R2167" s="10"/>
      <c r="S2167" s="10"/>
      <c r="T2167" s="10"/>
      <c r="U2167" s="10"/>
      <c r="V2167" s="10"/>
      <c r="W2167" s="10"/>
      <c r="X2167" s="10"/>
      <c r="Y2167" s="10"/>
      <c r="Z2167" s="10"/>
      <c r="AA2167" s="10"/>
      <c r="AB2167" s="10"/>
      <c r="AC2167" s="10"/>
      <c r="AG2167" s="467"/>
      <c r="AH2167" s="6"/>
    </row>
    <row r="2168" spans="1:34">
      <c r="A2168" s="10"/>
      <c r="B2168" s="10"/>
      <c r="C2168" s="10"/>
      <c r="D2168" s="10"/>
      <c r="E2168" s="10"/>
      <c r="F2168" s="10"/>
      <c r="G2168" s="10"/>
      <c r="H2168" s="10"/>
      <c r="I2168" s="10"/>
      <c r="J2168" s="10"/>
      <c r="K2168" s="10"/>
      <c r="L2168" s="10"/>
      <c r="M2168" s="10"/>
      <c r="N2168" s="10"/>
      <c r="O2168" s="10"/>
      <c r="P2168" s="10"/>
      <c r="Q2168" s="10"/>
      <c r="R2168" s="10"/>
      <c r="S2168" s="10"/>
      <c r="T2168" s="10"/>
      <c r="U2168" s="10"/>
      <c r="V2168" s="10"/>
      <c r="W2168" s="10"/>
      <c r="X2168" s="10"/>
      <c r="Y2168" s="10"/>
      <c r="Z2168" s="10"/>
      <c r="AA2168" s="10"/>
      <c r="AB2168" s="10"/>
      <c r="AC2168" s="10"/>
      <c r="AG2168" s="467"/>
      <c r="AH2168" s="6"/>
    </row>
    <row r="2169" spans="1:34">
      <c r="A2169" s="10"/>
      <c r="B2169" s="10"/>
      <c r="C2169" s="10"/>
      <c r="D2169" s="10"/>
      <c r="E2169" s="10"/>
      <c r="F2169" s="10"/>
      <c r="G2169" s="10"/>
      <c r="H2169" s="10"/>
      <c r="I2169" s="10"/>
      <c r="J2169" s="10"/>
      <c r="K2169" s="10"/>
      <c r="L2169" s="10"/>
      <c r="M2169" s="10"/>
      <c r="N2169" s="10"/>
      <c r="O2169" s="10"/>
      <c r="P2169" s="10"/>
      <c r="Q2169" s="10"/>
      <c r="R2169" s="10"/>
      <c r="S2169" s="10"/>
      <c r="T2169" s="10"/>
      <c r="U2169" s="10"/>
      <c r="V2169" s="10"/>
      <c r="W2169" s="10"/>
      <c r="X2169" s="10"/>
      <c r="Y2169" s="10"/>
      <c r="Z2169" s="10"/>
      <c r="AA2169" s="10"/>
      <c r="AB2169" s="10"/>
      <c r="AC2169" s="10"/>
      <c r="AG2169" s="467"/>
      <c r="AH2169" s="6"/>
    </row>
    <row r="2170" spans="1:34">
      <c r="A2170" s="10"/>
      <c r="B2170" s="10"/>
      <c r="C2170" s="10"/>
      <c r="D2170" s="10"/>
      <c r="E2170" s="10"/>
      <c r="F2170" s="10"/>
      <c r="G2170" s="10"/>
      <c r="H2170" s="10"/>
      <c r="I2170" s="10"/>
      <c r="J2170" s="10"/>
      <c r="K2170" s="10"/>
      <c r="L2170" s="10"/>
      <c r="M2170" s="10"/>
      <c r="N2170" s="10"/>
      <c r="O2170" s="10"/>
      <c r="P2170" s="10"/>
      <c r="Q2170" s="10"/>
      <c r="R2170" s="10"/>
      <c r="S2170" s="10"/>
      <c r="T2170" s="10"/>
      <c r="U2170" s="10"/>
      <c r="V2170" s="10"/>
      <c r="W2170" s="10"/>
      <c r="X2170" s="10"/>
      <c r="Y2170" s="10"/>
      <c r="Z2170" s="10"/>
      <c r="AA2170" s="10"/>
      <c r="AB2170" s="10"/>
      <c r="AC2170" s="10"/>
      <c r="AG2170" s="467"/>
      <c r="AH2170" s="6"/>
    </row>
    <row r="2171" spans="1:34">
      <c r="A2171" s="10"/>
      <c r="B2171" s="10"/>
      <c r="C2171" s="10"/>
      <c r="D2171" s="10"/>
      <c r="E2171" s="10"/>
      <c r="F2171" s="10"/>
      <c r="G2171" s="10"/>
      <c r="H2171" s="10"/>
      <c r="I2171" s="10"/>
      <c r="J2171" s="10"/>
      <c r="K2171" s="10"/>
      <c r="L2171" s="10"/>
      <c r="M2171" s="10"/>
      <c r="N2171" s="10"/>
      <c r="O2171" s="10"/>
      <c r="P2171" s="10"/>
      <c r="Q2171" s="10"/>
      <c r="R2171" s="10"/>
      <c r="S2171" s="10"/>
      <c r="T2171" s="10"/>
      <c r="U2171" s="10"/>
      <c r="V2171" s="10"/>
      <c r="W2171" s="10"/>
      <c r="X2171" s="10"/>
      <c r="Y2171" s="10"/>
      <c r="Z2171" s="10"/>
      <c r="AA2171" s="10"/>
      <c r="AB2171" s="10"/>
      <c r="AC2171" s="10"/>
      <c r="AG2171" s="467"/>
      <c r="AH2171" s="6"/>
    </row>
    <row r="2172" spans="1:34">
      <c r="A2172" s="10"/>
      <c r="B2172" s="10"/>
      <c r="C2172" s="10"/>
      <c r="D2172" s="10"/>
      <c r="E2172" s="10"/>
      <c r="F2172" s="10"/>
      <c r="G2172" s="10"/>
      <c r="H2172" s="10"/>
      <c r="I2172" s="10"/>
      <c r="J2172" s="10"/>
      <c r="K2172" s="10"/>
      <c r="L2172" s="10"/>
      <c r="M2172" s="10"/>
      <c r="N2172" s="10"/>
      <c r="O2172" s="10"/>
      <c r="P2172" s="10"/>
      <c r="Q2172" s="10"/>
      <c r="R2172" s="10"/>
      <c r="S2172" s="10"/>
      <c r="T2172" s="10"/>
      <c r="U2172" s="10"/>
      <c r="V2172" s="10"/>
      <c r="W2172" s="10"/>
      <c r="X2172" s="10"/>
      <c r="Y2172" s="10"/>
      <c r="Z2172" s="10"/>
      <c r="AA2172" s="10"/>
      <c r="AB2172" s="10"/>
      <c r="AC2172" s="10"/>
      <c r="AG2172" s="467"/>
      <c r="AH2172" s="6"/>
    </row>
    <row r="2173" spans="1:34">
      <c r="A2173" s="10"/>
      <c r="B2173" s="10"/>
      <c r="C2173" s="10"/>
      <c r="D2173" s="10"/>
      <c r="E2173" s="10"/>
      <c r="F2173" s="10"/>
      <c r="G2173" s="10"/>
      <c r="H2173" s="10"/>
      <c r="I2173" s="10"/>
      <c r="J2173" s="10"/>
      <c r="K2173" s="10"/>
      <c r="L2173" s="10"/>
      <c r="M2173" s="10"/>
      <c r="N2173" s="10"/>
      <c r="O2173" s="10"/>
      <c r="P2173" s="10"/>
      <c r="Q2173" s="10"/>
      <c r="R2173" s="10"/>
      <c r="S2173" s="10"/>
      <c r="T2173" s="10"/>
      <c r="U2173" s="10"/>
      <c r="V2173" s="10"/>
      <c r="W2173" s="10"/>
      <c r="X2173" s="10"/>
      <c r="Y2173" s="10"/>
      <c r="Z2173" s="10"/>
      <c r="AA2173" s="10"/>
      <c r="AB2173" s="10"/>
      <c r="AC2173" s="10"/>
      <c r="AG2173" s="467"/>
      <c r="AH2173" s="6"/>
    </row>
    <row r="2174" spans="1:34">
      <c r="A2174" s="10"/>
      <c r="B2174" s="10"/>
      <c r="C2174" s="10"/>
      <c r="D2174" s="10"/>
      <c r="E2174" s="10"/>
      <c r="F2174" s="10"/>
      <c r="G2174" s="10"/>
      <c r="H2174" s="10"/>
      <c r="I2174" s="10"/>
      <c r="J2174" s="10"/>
      <c r="K2174" s="10"/>
      <c r="L2174" s="10"/>
      <c r="M2174" s="10"/>
      <c r="N2174" s="10"/>
      <c r="O2174" s="10"/>
      <c r="P2174" s="10"/>
      <c r="Q2174" s="10"/>
      <c r="R2174" s="10"/>
      <c r="S2174" s="10"/>
      <c r="T2174" s="10"/>
      <c r="U2174" s="10"/>
      <c r="V2174" s="10"/>
      <c r="W2174" s="10"/>
      <c r="X2174" s="10"/>
      <c r="Y2174" s="10"/>
      <c r="Z2174" s="10"/>
      <c r="AA2174" s="10"/>
      <c r="AB2174" s="10"/>
      <c r="AC2174" s="10"/>
      <c r="AG2174" s="467"/>
      <c r="AH2174" s="6"/>
    </row>
    <row r="2175" spans="1:34">
      <c r="A2175" s="10"/>
      <c r="B2175" s="10"/>
      <c r="C2175" s="10"/>
      <c r="D2175" s="10"/>
      <c r="E2175" s="10"/>
      <c r="F2175" s="10"/>
      <c r="G2175" s="10"/>
      <c r="H2175" s="10"/>
      <c r="I2175" s="10"/>
      <c r="J2175" s="10"/>
      <c r="K2175" s="10"/>
      <c r="L2175" s="10"/>
      <c r="M2175" s="10"/>
      <c r="N2175" s="10"/>
      <c r="O2175" s="10"/>
      <c r="P2175" s="10"/>
      <c r="Q2175" s="10"/>
      <c r="R2175" s="10"/>
      <c r="S2175" s="10"/>
      <c r="T2175" s="10"/>
      <c r="U2175" s="10"/>
      <c r="V2175" s="10"/>
      <c r="W2175" s="10"/>
      <c r="X2175" s="10"/>
      <c r="Y2175" s="10"/>
      <c r="Z2175" s="10"/>
      <c r="AA2175" s="10"/>
      <c r="AB2175" s="10"/>
      <c r="AC2175" s="10"/>
      <c r="AG2175" s="467"/>
      <c r="AH2175" s="6"/>
    </row>
    <row r="2176" spans="1:34">
      <c r="A2176" s="10"/>
      <c r="B2176" s="10"/>
      <c r="C2176" s="10"/>
      <c r="D2176" s="10"/>
      <c r="E2176" s="10"/>
      <c r="F2176" s="10"/>
      <c r="G2176" s="10"/>
      <c r="H2176" s="10"/>
      <c r="I2176" s="10"/>
      <c r="J2176" s="10"/>
      <c r="K2176" s="10"/>
      <c r="L2176" s="10"/>
      <c r="M2176" s="10"/>
      <c r="N2176" s="10"/>
      <c r="O2176" s="10"/>
      <c r="P2176" s="10"/>
      <c r="Q2176" s="10"/>
      <c r="R2176" s="10"/>
      <c r="S2176" s="10"/>
      <c r="T2176" s="10"/>
      <c r="U2176" s="10"/>
      <c r="V2176" s="10"/>
      <c r="W2176" s="10"/>
      <c r="X2176" s="10"/>
      <c r="Y2176" s="10"/>
      <c r="Z2176" s="10"/>
      <c r="AA2176" s="10"/>
      <c r="AB2176" s="10"/>
      <c r="AC2176" s="10"/>
      <c r="AG2176" s="467"/>
      <c r="AH2176" s="6"/>
    </row>
    <row r="2177" spans="1:34">
      <c r="A2177" s="10"/>
      <c r="B2177" s="10"/>
      <c r="C2177" s="10"/>
      <c r="D2177" s="10"/>
      <c r="E2177" s="10"/>
      <c r="F2177" s="10"/>
      <c r="G2177" s="10"/>
      <c r="H2177" s="10"/>
      <c r="I2177" s="10"/>
      <c r="J2177" s="10"/>
      <c r="K2177" s="10"/>
      <c r="L2177" s="10"/>
      <c r="M2177" s="10"/>
      <c r="N2177" s="10"/>
      <c r="O2177" s="10"/>
      <c r="P2177" s="10"/>
      <c r="Q2177" s="10"/>
      <c r="R2177" s="10"/>
      <c r="S2177" s="10"/>
      <c r="T2177" s="10"/>
      <c r="U2177" s="10"/>
      <c r="V2177" s="10"/>
      <c r="W2177" s="10"/>
      <c r="X2177" s="10"/>
      <c r="Y2177" s="10"/>
      <c r="Z2177" s="10"/>
      <c r="AA2177" s="10"/>
      <c r="AB2177" s="10"/>
      <c r="AC2177" s="10"/>
      <c r="AG2177" s="467"/>
      <c r="AH2177" s="6"/>
    </row>
    <row r="2178" spans="1:34">
      <c r="A2178" s="10"/>
      <c r="B2178" s="10"/>
      <c r="C2178" s="10"/>
      <c r="D2178" s="10"/>
      <c r="E2178" s="10"/>
      <c r="F2178" s="10"/>
      <c r="G2178" s="10"/>
      <c r="H2178" s="10"/>
      <c r="I2178" s="10"/>
      <c r="J2178" s="10"/>
      <c r="K2178" s="10"/>
      <c r="L2178" s="10"/>
      <c r="M2178" s="10"/>
      <c r="N2178" s="10"/>
      <c r="O2178" s="10"/>
      <c r="P2178" s="10"/>
      <c r="Q2178" s="10"/>
      <c r="R2178" s="10"/>
      <c r="S2178" s="10"/>
      <c r="T2178" s="10"/>
      <c r="U2178" s="10"/>
      <c r="V2178" s="10"/>
      <c r="W2178" s="10"/>
      <c r="X2178" s="10"/>
      <c r="Y2178" s="10"/>
      <c r="Z2178" s="10"/>
      <c r="AA2178" s="10"/>
      <c r="AB2178" s="10"/>
      <c r="AC2178" s="10"/>
      <c r="AG2178" s="467"/>
      <c r="AH2178" s="6"/>
    </row>
    <row r="2179" spans="1:34">
      <c r="A2179" s="10"/>
      <c r="B2179" s="10"/>
      <c r="C2179" s="10"/>
      <c r="D2179" s="10"/>
      <c r="E2179" s="10"/>
      <c r="F2179" s="10"/>
      <c r="G2179" s="10"/>
      <c r="H2179" s="10"/>
      <c r="I2179" s="10"/>
      <c r="J2179" s="10"/>
      <c r="K2179" s="10"/>
      <c r="L2179" s="10"/>
      <c r="M2179" s="10"/>
      <c r="N2179" s="10"/>
      <c r="O2179" s="10"/>
      <c r="P2179" s="10"/>
      <c r="Q2179" s="10"/>
      <c r="R2179" s="10"/>
      <c r="S2179" s="10"/>
      <c r="T2179" s="10"/>
      <c r="U2179" s="10"/>
      <c r="V2179" s="10"/>
      <c r="W2179" s="10"/>
      <c r="X2179" s="10"/>
      <c r="Y2179" s="10"/>
      <c r="Z2179" s="10"/>
      <c r="AA2179" s="10"/>
      <c r="AB2179" s="10"/>
      <c r="AC2179" s="10"/>
      <c r="AG2179" s="467"/>
      <c r="AH2179" s="6"/>
    </row>
    <row r="2180" spans="1:34">
      <c r="A2180" s="10"/>
      <c r="B2180" s="10"/>
      <c r="C2180" s="10"/>
      <c r="D2180" s="10"/>
      <c r="E2180" s="10"/>
      <c r="F2180" s="10"/>
      <c r="G2180" s="10"/>
      <c r="H2180" s="10"/>
      <c r="I2180" s="10"/>
      <c r="J2180" s="10"/>
      <c r="K2180" s="10"/>
      <c r="L2180" s="10"/>
      <c r="M2180" s="10"/>
      <c r="N2180" s="10"/>
      <c r="O2180" s="10"/>
      <c r="P2180" s="10"/>
      <c r="Q2180" s="10"/>
      <c r="R2180" s="10"/>
      <c r="S2180" s="10"/>
      <c r="T2180" s="10"/>
      <c r="U2180" s="10"/>
      <c r="V2180" s="10"/>
      <c r="W2180" s="10"/>
      <c r="X2180" s="10"/>
      <c r="Y2180" s="10"/>
      <c r="Z2180" s="10"/>
      <c r="AA2180" s="10"/>
      <c r="AB2180" s="10"/>
      <c r="AC2180" s="10"/>
      <c r="AG2180" s="467"/>
      <c r="AH2180" s="6"/>
    </row>
    <row r="2181" spans="1:34">
      <c r="A2181" s="10"/>
      <c r="B2181" s="10"/>
      <c r="C2181" s="10"/>
      <c r="D2181" s="10"/>
      <c r="E2181" s="10"/>
      <c r="F2181" s="10"/>
      <c r="G2181" s="10"/>
      <c r="H2181" s="10"/>
      <c r="I2181" s="10"/>
      <c r="J2181" s="10"/>
      <c r="K2181" s="10"/>
      <c r="L2181" s="10"/>
      <c r="M2181" s="10"/>
      <c r="N2181" s="10"/>
      <c r="O2181" s="10"/>
      <c r="P2181" s="10"/>
      <c r="Q2181" s="10"/>
      <c r="R2181" s="10"/>
      <c r="S2181" s="10"/>
      <c r="T2181" s="10"/>
      <c r="U2181" s="10"/>
      <c r="V2181" s="10"/>
      <c r="W2181" s="10"/>
      <c r="X2181" s="10"/>
      <c r="Y2181" s="10"/>
      <c r="Z2181" s="10"/>
      <c r="AA2181" s="10"/>
      <c r="AB2181" s="10"/>
      <c r="AC2181" s="10"/>
      <c r="AG2181" s="467"/>
      <c r="AH2181" s="6"/>
    </row>
    <row r="2182" spans="1:34">
      <c r="A2182" s="10"/>
      <c r="B2182" s="10"/>
      <c r="C2182" s="10"/>
      <c r="D2182" s="10"/>
      <c r="E2182" s="10"/>
      <c r="F2182" s="10"/>
      <c r="G2182" s="10"/>
      <c r="H2182" s="10"/>
      <c r="I2182" s="10"/>
      <c r="J2182" s="10"/>
      <c r="K2182" s="10"/>
      <c r="L2182" s="10"/>
      <c r="M2182" s="10"/>
      <c r="N2182" s="10"/>
      <c r="O2182" s="10"/>
      <c r="P2182" s="10"/>
      <c r="Q2182" s="10"/>
      <c r="R2182" s="10"/>
      <c r="S2182" s="10"/>
      <c r="T2182" s="10"/>
      <c r="U2182" s="10"/>
      <c r="V2182" s="10"/>
      <c r="W2182" s="10"/>
      <c r="X2182" s="10"/>
      <c r="Y2182" s="10"/>
      <c r="Z2182" s="10"/>
      <c r="AA2182" s="10"/>
      <c r="AB2182" s="10"/>
      <c r="AC2182" s="10"/>
      <c r="AG2182" s="467"/>
      <c r="AH2182" s="6"/>
    </row>
    <row r="2183" spans="1:34">
      <c r="A2183" s="10"/>
      <c r="B2183" s="10"/>
      <c r="C2183" s="10"/>
      <c r="D2183" s="10"/>
      <c r="E2183" s="10"/>
      <c r="F2183" s="10"/>
      <c r="G2183" s="10"/>
      <c r="H2183" s="10"/>
      <c r="I2183" s="10"/>
      <c r="J2183" s="10"/>
      <c r="K2183" s="10"/>
      <c r="L2183" s="10"/>
      <c r="M2183" s="10"/>
      <c r="N2183" s="10"/>
      <c r="O2183" s="10"/>
      <c r="P2183" s="10"/>
      <c r="Q2183" s="10"/>
      <c r="R2183" s="10"/>
      <c r="S2183" s="10"/>
      <c r="T2183" s="10"/>
      <c r="U2183" s="10"/>
      <c r="V2183" s="10"/>
      <c r="W2183" s="10"/>
      <c r="X2183" s="10"/>
      <c r="Y2183" s="10"/>
      <c r="Z2183" s="10"/>
      <c r="AA2183" s="10"/>
      <c r="AB2183" s="10"/>
      <c r="AC2183" s="10"/>
      <c r="AG2183" s="467"/>
      <c r="AH2183" s="6"/>
    </row>
    <row r="2184" spans="1:34">
      <c r="A2184" s="10"/>
      <c r="B2184" s="10"/>
      <c r="C2184" s="10"/>
      <c r="D2184" s="10"/>
      <c r="E2184" s="10"/>
      <c r="F2184" s="10"/>
      <c r="G2184" s="10"/>
      <c r="H2184" s="10"/>
      <c r="I2184" s="10"/>
      <c r="J2184" s="10"/>
      <c r="K2184" s="10"/>
      <c r="L2184" s="10"/>
      <c r="M2184" s="10"/>
      <c r="N2184" s="10"/>
      <c r="O2184" s="10"/>
      <c r="P2184" s="10"/>
      <c r="Q2184" s="10"/>
      <c r="R2184" s="10"/>
      <c r="S2184" s="10"/>
      <c r="T2184" s="10"/>
      <c r="U2184" s="10"/>
      <c r="V2184" s="10"/>
      <c r="W2184" s="10"/>
      <c r="X2184" s="10"/>
      <c r="Y2184" s="10"/>
      <c r="Z2184" s="10"/>
      <c r="AA2184" s="10"/>
      <c r="AB2184" s="10"/>
      <c r="AC2184" s="10"/>
      <c r="AG2184" s="467"/>
      <c r="AH2184" s="6"/>
    </row>
    <row r="2185" spans="1:34">
      <c r="A2185" s="10"/>
      <c r="B2185" s="10"/>
      <c r="C2185" s="10"/>
      <c r="D2185" s="10"/>
      <c r="E2185" s="10"/>
      <c r="F2185" s="10"/>
      <c r="G2185" s="10"/>
      <c r="H2185" s="10"/>
      <c r="I2185" s="10"/>
      <c r="J2185" s="10"/>
      <c r="K2185" s="10"/>
      <c r="L2185" s="10"/>
      <c r="M2185" s="10"/>
      <c r="N2185" s="10"/>
      <c r="O2185" s="10"/>
      <c r="P2185" s="10"/>
      <c r="Q2185" s="10"/>
      <c r="R2185" s="10"/>
      <c r="S2185" s="10"/>
      <c r="T2185" s="10"/>
      <c r="U2185" s="10"/>
      <c r="V2185" s="10"/>
      <c r="W2185" s="10"/>
      <c r="X2185" s="10"/>
      <c r="Y2185" s="10"/>
      <c r="Z2185" s="10"/>
      <c r="AA2185" s="10"/>
      <c r="AB2185" s="10"/>
      <c r="AC2185" s="10"/>
      <c r="AG2185" s="467"/>
      <c r="AH2185" s="6"/>
    </row>
    <row r="2186" spans="1:34">
      <c r="A2186" s="10"/>
      <c r="B2186" s="10"/>
      <c r="C2186" s="10"/>
      <c r="D2186" s="10"/>
      <c r="E2186" s="10"/>
      <c r="F2186" s="10"/>
      <c r="G2186" s="10"/>
      <c r="H2186" s="10"/>
      <c r="I2186" s="10"/>
      <c r="J2186" s="10"/>
      <c r="K2186" s="10"/>
      <c r="L2186" s="10"/>
      <c r="M2186" s="10"/>
      <c r="N2186" s="10"/>
      <c r="O2186" s="10"/>
      <c r="P2186" s="10"/>
      <c r="Q2186" s="10"/>
      <c r="R2186" s="10"/>
      <c r="S2186" s="10"/>
      <c r="T2186" s="10"/>
      <c r="U2186" s="10"/>
      <c r="V2186" s="10"/>
      <c r="W2186" s="10"/>
      <c r="X2186" s="10"/>
      <c r="Y2186" s="10"/>
      <c r="Z2186" s="10"/>
      <c r="AA2186" s="10"/>
      <c r="AB2186" s="10"/>
      <c r="AC2186" s="10"/>
      <c r="AG2186" s="467"/>
      <c r="AH2186" s="6"/>
    </row>
    <row r="2187" spans="1:34">
      <c r="A2187" s="10"/>
      <c r="B2187" s="10"/>
      <c r="C2187" s="10"/>
      <c r="D2187" s="10"/>
      <c r="E2187" s="10"/>
      <c r="F2187" s="10"/>
      <c r="G2187" s="10"/>
      <c r="H2187" s="10"/>
      <c r="I2187" s="10"/>
      <c r="J2187" s="10"/>
      <c r="K2187" s="10"/>
      <c r="L2187" s="10"/>
      <c r="M2187" s="10"/>
      <c r="N2187" s="10"/>
      <c r="O2187" s="10"/>
      <c r="P2187" s="10"/>
      <c r="Q2187" s="10"/>
      <c r="R2187" s="10"/>
      <c r="S2187" s="10"/>
      <c r="T2187" s="10"/>
      <c r="U2187" s="10"/>
      <c r="V2187" s="10"/>
      <c r="W2187" s="10"/>
      <c r="X2187" s="10"/>
      <c r="Y2187" s="10"/>
      <c r="Z2187" s="10"/>
      <c r="AA2187" s="10"/>
      <c r="AB2187" s="10"/>
      <c r="AC2187" s="10"/>
      <c r="AG2187" s="467"/>
      <c r="AH2187" s="6"/>
    </row>
    <row r="2188" spans="1:34">
      <c r="A2188" s="10"/>
      <c r="B2188" s="10"/>
      <c r="C2188" s="10"/>
      <c r="D2188" s="10"/>
      <c r="E2188" s="10"/>
      <c r="F2188" s="10"/>
      <c r="G2188" s="10"/>
      <c r="H2188" s="10"/>
      <c r="I2188" s="10"/>
      <c r="J2188" s="10"/>
      <c r="K2188" s="10"/>
      <c r="L2188" s="10"/>
      <c r="M2188" s="10"/>
      <c r="N2188" s="10"/>
      <c r="O2188" s="10"/>
      <c r="P2188" s="10"/>
      <c r="Q2188" s="10"/>
      <c r="R2188" s="10"/>
      <c r="S2188" s="10"/>
      <c r="T2188" s="10"/>
      <c r="U2188" s="10"/>
      <c r="V2188" s="10"/>
      <c r="W2188" s="10"/>
      <c r="X2188" s="10"/>
      <c r="Y2188" s="10"/>
      <c r="Z2188" s="10"/>
      <c r="AA2188" s="10"/>
      <c r="AB2188" s="10"/>
      <c r="AC2188" s="10"/>
      <c r="AG2188" s="467"/>
      <c r="AH2188" s="6"/>
    </row>
    <row r="2189" spans="1:34">
      <c r="A2189" s="10"/>
      <c r="B2189" s="10"/>
      <c r="C2189" s="10"/>
      <c r="D2189" s="10"/>
      <c r="E2189" s="10"/>
      <c r="F2189" s="10"/>
      <c r="G2189" s="10"/>
      <c r="H2189" s="10"/>
      <c r="I2189" s="10"/>
      <c r="J2189" s="10"/>
      <c r="K2189" s="10"/>
      <c r="L2189" s="10"/>
      <c r="M2189" s="10"/>
      <c r="N2189" s="10"/>
      <c r="O2189" s="10"/>
      <c r="P2189" s="10"/>
      <c r="Q2189" s="10"/>
      <c r="R2189" s="10"/>
      <c r="S2189" s="10"/>
      <c r="T2189" s="10"/>
      <c r="U2189" s="10"/>
      <c r="V2189" s="10"/>
      <c r="W2189" s="10"/>
      <c r="X2189" s="10"/>
      <c r="Y2189" s="10"/>
      <c r="Z2189" s="10"/>
      <c r="AA2189" s="10"/>
      <c r="AB2189" s="10"/>
      <c r="AC2189" s="10"/>
      <c r="AG2189" s="467"/>
      <c r="AH2189" s="6"/>
    </row>
    <row r="2190" spans="1:34">
      <c r="A2190" s="10"/>
      <c r="B2190" s="10"/>
      <c r="C2190" s="10"/>
      <c r="D2190" s="10"/>
      <c r="E2190" s="10"/>
      <c r="F2190" s="10"/>
      <c r="G2190" s="10"/>
      <c r="H2190" s="10"/>
      <c r="I2190" s="10"/>
      <c r="J2190" s="10"/>
      <c r="K2190" s="10"/>
      <c r="L2190" s="10"/>
      <c r="M2190" s="10"/>
      <c r="N2190" s="10"/>
      <c r="O2190" s="10"/>
      <c r="P2190" s="10"/>
      <c r="Q2190" s="10"/>
      <c r="R2190" s="10"/>
      <c r="S2190" s="10"/>
      <c r="T2190" s="10"/>
      <c r="U2190" s="10"/>
      <c r="V2190" s="10"/>
      <c r="W2190" s="10"/>
      <c r="X2190" s="10"/>
      <c r="Y2190" s="10"/>
      <c r="Z2190" s="10"/>
      <c r="AA2190" s="10"/>
      <c r="AB2190" s="10"/>
      <c r="AC2190" s="10"/>
      <c r="AG2190" s="467"/>
      <c r="AH2190" s="6"/>
    </row>
    <row r="2191" spans="1:34">
      <c r="A2191" s="10"/>
      <c r="B2191" s="10"/>
      <c r="C2191" s="10"/>
      <c r="D2191" s="10"/>
      <c r="E2191" s="10"/>
      <c r="F2191" s="10"/>
      <c r="G2191" s="10"/>
      <c r="H2191" s="10"/>
      <c r="I2191" s="10"/>
      <c r="J2191" s="10"/>
      <c r="K2191" s="10"/>
      <c r="L2191" s="10"/>
      <c r="M2191" s="10"/>
      <c r="N2191" s="10"/>
      <c r="O2191" s="10"/>
      <c r="P2191" s="10"/>
      <c r="Q2191" s="10"/>
      <c r="R2191" s="10"/>
      <c r="S2191" s="10"/>
      <c r="T2191" s="10"/>
      <c r="U2191" s="10"/>
      <c r="V2191" s="10"/>
      <c r="W2191" s="10"/>
      <c r="X2191" s="10"/>
      <c r="Y2191" s="10"/>
      <c r="Z2191" s="10"/>
      <c r="AA2191" s="10"/>
      <c r="AB2191" s="10"/>
      <c r="AC2191" s="10"/>
      <c r="AG2191" s="467"/>
      <c r="AH2191" s="6"/>
    </row>
    <row r="2192" spans="1:34">
      <c r="A2192" s="10"/>
      <c r="B2192" s="10"/>
      <c r="C2192" s="10"/>
      <c r="D2192" s="10"/>
      <c r="E2192" s="10"/>
      <c r="F2192" s="10"/>
      <c r="G2192" s="10"/>
      <c r="H2192" s="10"/>
      <c r="I2192" s="10"/>
      <c r="J2192" s="10"/>
      <c r="K2192" s="10"/>
      <c r="L2192" s="10"/>
      <c r="M2192" s="10"/>
      <c r="N2192" s="10"/>
      <c r="O2192" s="10"/>
      <c r="P2192" s="10"/>
      <c r="Q2192" s="10"/>
      <c r="R2192" s="10"/>
      <c r="S2192" s="10"/>
      <c r="T2192" s="10"/>
      <c r="U2192" s="10"/>
      <c r="V2192" s="10"/>
      <c r="W2192" s="10"/>
      <c r="X2192" s="10"/>
      <c r="Y2192" s="10"/>
      <c r="Z2192" s="10"/>
      <c r="AA2192" s="10"/>
      <c r="AB2192" s="10"/>
      <c r="AC2192" s="10"/>
      <c r="AG2192" s="467"/>
      <c r="AH2192" s="6"/>
    </row>
    <row r="2193" spans="1:34">
      <c r="A2193" s="10"/>
      <c r="B2193" s="10"/>
      <c r="C2193" s="10"/>
      <c r="D2193" s="10"/>
      <c r="E2193" s="10"/>
      <c r="F2193" s="10"/>
      <c r="G2193" s="10"/>
      <c r="H2193" s="10"/>
      <c r="I2193" s="10"/>
      <c r="J2193" s="10"/>
      <c r="K2193" s="10"/>
      <c r="L2193" s="10"/>
      <c r="M2193" s="10"/>
      <c r="N2193" s="10"/>
      <c r="O2193" s="10"/>
      <c r="P2193" s="10"/>
      <c r="Q2193" s="10"/>
      <c r="R2193" s="10"/>
      <c r="S2193" s="10"/>
      <c r="T2193" s="10"/>
      <c r="U2193" s="10"/>
      <c r="V2193" s="10"/>
      <c r="W2193" s="10"/>
      <c r="X2193" s="10"/>
      <c r="Y2193" s="10"/>
      <c r="Z2193" s="10"/>
      <c r="AA2193" s="10"/>
      <c r="AB2193" s="10"/>
      <c r="AC2193" s="10"/>
      <c r="AG2193" s="467"/>
      <c r="AH2193" s="6"/>
    </row>
    <row r="2194" spans="1:34">
      <c r="A2194" s="10"/>
      <c r="B2194" s="10"/>
      <c r="C2194" s="10"/>
      <c r="D2194" s="10"/>
      <c r="E2194" s="10"/>
      <c r="F2194" s="10"/>
      <c r="G2194" s="10"/>
      <c r="H2194" s="10"/>
      <c r="I2194" s="10"/>
      <c r="J2194" s="10"/>
      <c r="K2194" s="10"/>
      <c r="L2194" s="10"/>
      <c r="M2194" s="10"/>
      <c r="N2194" s="10"/>
      <c r="O2194" s="10"/>
      <c r="P2194" s="10"/>
      <c r="Q2194" s="10"/>
      <c r="R2194" s="10"/>
      <c r="S2194" s="10"/>
      <c r="T2194" s="10"/>
      <c r="U2194" s="10"/>
      <c r="V2194" s="10"/>
      <c r="W2194" s="10"/>
      <c r="X2194" s="10"/>
      <c r="Y2194" s="10"/>
      <c r="Z2194" s="10"/>
      <c r="AA2194" s="10"/>
      <c r="AB2194" s="10"/>
      <c r="AC2194" s="10"/>
      <c r="AG2194" s="467"/>
      <c r="AH2194" s="6"/>
    </row>
    <row r="2195" spans="1:34">
      <c r="A2195" s="10"/>
      <c r="B2195" s="10"/>
      <c r="C2195" s="10"/>
      <c r="D2195" s="10"/>
      <c r="E2195" s="10"/>
      <c r="F2195" s="10"/>
      <c r="G2195" s="10"/>
      <c r="H2195" s="10"/>
      <c r="I2195" s="10"/>
      <c r="J2195" s="10"/>
      <c r="K2195" s="10"/>
      <c r="L2195" s="10"/>
      <c r="M2195" s="10"/>
      <c r="N2195" s="10"/>
      <c r="O2195" s="10"/>
      <c r="P2195" s="10"/>
      <c r="Q2195" s="10"/>
      <c r="R2195" s="10"/>
      <c r="S2195" s="10"/>
      <c r="T2195" s="10"/>
      <c r="U2195" s="10"/>
      <c r="V2195" s="10"/>
      <c r="W2195" s="10"/>
      <c r="X2195" s="10"/>
      <c r="Y2195" s="10"/>
      <c r="Z2195" s="10"/>
      <c r="AA2195" s="10"/>
      <c r="AB2195" s="10"/>
      <c r="AC2195" s="10"/>
      <c r="AG2195" s="467"/>
      <c r="AH2195" s="6"/>
    </row>
    <row r="2196" spans="1:34">
      <c r="A2196" s="10"/>
      <c r="B2196" s="10"/>
      <c r="C2196" s="10"/>
      <c r="D2196" s="10"/>
      <c r="E2196" s="10"/>
      <c r="F2196" s="10"/>
      <c r="G2196" s="10"/>
      <c r="H2196" s="10"/>
      <c r="I2196" s="10"/>
      <c r="J2196" s="10"/>
      <c r="K2196" s="10"/>
      <c r="L2196" s="10"/>
      <c r="M2196" s="10"/>
      <c r="N2196" s="10"/>
      <c r="O2196" s="10"/>
      <c r="P2196" s="10"/>
      <c r="Q2196" s="10"/>
      <c r="R2196" s="10"/>
      <c r="S2196" s="10"/>
      <c r="T2196" s="10"/>
      <c r="U2196" s="10"/>
      <c r="V2196" s="10"/>
      <c r="W2196" s="10"/>
      <c r="X2196" s="10"/>
      <c r="Y2196" s="10"/>
      <c r="Z2196" s="10"/>
      <c r="AA2196" s="10"/>
      <c r="AB2196" s="10"/>
      <c r="AC2196" s="10"/>
      <c r="AG2196" s="467"/>
      <c r="AH2196" s="6"/>
    </row>
    <row r="2197" spans="1:34">
      <c r="A2197" s="10"/>
      <c r="B2197" s="10"/>
      <c r="C2197" s="10"/>
      <c r="D2197" s="10"/>
      <c r="E2197" s="10"/>
      <c r="F2197" s="10"/>
      <c r="G2197" s="10"/>
      <c r="H2197" s="10"/>
      <c r="I2197" s="10"/>
      <c r="J2197" s="10"/>
      <c r="K2197" s="10"/>
      <c r="L2197" s="10"/>
      <c r="M2197" s="10"/>
      <c r="N2197" s="10"/>
      <c r="O2197" s="10"/>
      <c r="P2197" s="10"/>
      <c r="Q2197" s="10"/>
      <c r="R2197" s="10"/>
      <c r="S2197" s="10"/>
      <c r="T2197" s="10"/>
      <c r="U2197" s="10"/>
      <c r="V2197" s="10"/>
      <c r="W2197" s="10"/>
      <c r="X2197" s="10"/>
      <c r="Y2197" s="10"/>
      <c r="Z2197" s="10"/>
      <c r="AA2197" s="10"/>
      <c r="AB2197" s="10"/>
      <c r="AC2197" s="10"/>
      <c r="AG2197" s="467"/>
      <c r="AH2197" s="6"/>
    </row>
    <row r="2198" spans="1:34">
      <c r="A2198" s="10"/>
      <c r="B2198" s="10"/>
      <c r="C2198" s="10"/>
      <c r="D2198" s="10"/>
      <c r="E2198" s="10"/>
      <c r="F2198" s="10"/>
      <c r="G2198" s="10"/>
      <c r="H2198" s="10"/>
      <c r="I2198" s="10"/>
      <c r="J2198" s="10"/>
      <c r="K2198" s="10"/>
      <c r="L2198" s="10"/>
      <c r="M2198" s="10"/>
      <c r="N2198" s="10"/>
      <c r="O2198" s="10"/>
      <c r="P2198" s="10"/>
      <c r="Q2198" s="10"/>
      <c r="R2198" s="10"/>
      <c r="S2198" s="10"/>
      <c r="T2198" s="10"/>
      <c r="U2198" s="10"/>
      <c r="V2198" s="10"/>
      <c r="W2198" s="10"/>
      <c r="X2198" s="10"/>
      <c r="Y2198" s="10"/>
      <c r="Z2198" s="10"/>
      <c r="AA2198" s="10"/>
      <c r="AB2198" s="10"/>
      <c r="AC2198" s="10"/>
      <c r="AG2198" s="467"/>
      <c r="AH2198" s="6"/>
    </row>
    <row r="2199" spans="1:34">
      <c r="A2199" s="10"/>
      <c r="B2199" s="10"/>
      <c r="C2199" s="10"/>
      <c r="D2199" s="10"/>
      <c r="E2199" s="10"/>
      <c r="F2199" s="10"/>
      <c r="G2199" s="10"/>
      <c r="H2199" s="10"/>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G2199" s="467"/>
      <c r="AH2199" s="6"/>
    </row>
    <row r="2200" spans="1:34">
      <c r="A2200" s="10"/>
      <c r="B2200" s="10"/>
      <c r="C2200" s="10"/>
      <c r="D2200" s="10"/>
      <c r="E2200" s="10"/>
      <c r="F2200" s="10"/>
      <c r="G2200" s="10"/>
      <c r="H2200" s="10"/>
      <c r="I2200" s="10"/>
      <c r="J2200" s="10"/>
      <c r="K2200" s="10"/>
      <c r="L2200" s="10"/>
      <c r="M2200" s="10"/>
      <c r="N2200" s="10"/>
      <c r="O2200" s="10"/>
      <c r="P2200" s="10"/>
      <c r="Q2200" s="10"/>
      <c r="R2200" s="10"/>
      <c r="S2200" s="10"/>
      <c r="T2200" s="10"/>
      <c r="U2200" s="10"/>
      <c r="V2200" s="10"/>
      <c r="W2200" s="10"/>
      <c r="X2200" s="10"/>
      <c r="Y2200" s="10"/>
      <c r="Z2200" s="10"/>
      <c r="AA2200" s="10"/>
      <c r="AB2200" s="10"/>
      <c r="AC2200" s="10"/>
      <c r="AG2200" s="467"/>
      <c r="AH2200" s="6"/>
    </row>
    <row r="2201" spans="1:34">
      <c r="A2201" s="10"/>
      <c r="B2201" s="10"/>
      <c r="C2201" s="10"/>
      <c r="D2201" s="10"/>
      <c r="E2201" s="10"/>
      <c r="F2201" s="10"/>
      <c r="G2201" s="10"/>
      <c r="H2201" s="10"/>
      <c r="I2201" s="10"/>
      <c r="J2201" s="10"/>
      <c r="K2201" s="10"/>
      <c r="L2201" s="10"/>
      <c r="M2201" s="10"/>
      <c r="N2201" s="10"/>
      <c r="O2201" s="10"/>
      <c r="P2201" s="10"/>
      <c r="Q2201" s="10"/>
      <c r="R2201" s="10"/>
      <c r="S2201" s="10"/>
      <c r="T2201" s="10"/>
      <c r="U2201" s="10"/>
      <c r="V2201" s="10"/>
      <c r="W2201" s="10"/>
      <c r="X2201" s="10"/>
      <c r="Y2201" s="10"/>
      <c r="Z2201" s="10"/>
      <c r="AA2201" s="10"/>
      <c r="AB2201" s="10"/>
      <c r="AC2201" s="10"/>
      <c r="AG2201" s="467"/>
      <c r="AH2201" s="6"/>
    </row>
    <row r="2202" spans="1:34">
      <c r="A2202" s="10"/>
      <c r="B2202" s="10"/>
      <c r="C2202" s="10"/>
      <c r="D2202" s="10"/>
      <c r="E2202" s="10"/>
      <c r="F2202" s="10"/>
      <c r="G2202" s="10"/>
      <c r="H2202" s="10"/>
      <c r="I2202" s="10"/>
      <c r="J2202" s="10"/>
      <c r="K2202" s="10"/>
      <c r="L2202" s="10"/>
      <c r="M2202" s="10"/>
      <c r="N2202" s="10"/>
      <c r="O2202" s="10"/>
      <c r="P2202" s="10"/>
      <c r="Q2202" s="10"/>
      <c r="R2202" s="10"/>
      <c r="S2202" s="10"/>
      <c r="T2202" s="10"/>
      <c r="U2202" s="10"/>
      <c r="V2202" s="10"/>
      <c r="W2202" s="10"/>
      <c r="X2202" s="10"/>
      <c r="Y2202" s="10"/>
      <c r="Z2202" s="10"/>
      <c r="AA2202" s="10"/>
      <c r="AB2202" s="10"/>
      <c r="AC2202" s="10"/>
      <c r="AG2202" s="467"/>
      <c r="AH2202" s="6"/>
    </row>
    <row r="2203" spans="1:34">
      <c r="A2203" s="10"/>
      <c r="B2203" s="10"/>
      <c r="C2203" s="10"/>
      <c r="D2203" s="10"/>
      <c r="E2203" s="10"/>
      <c r="F2203" s="10"/>
      <c r="G2203" s="10"/>
      <c r="H2203" s="10"/>
      <c r="I2203" s="10"/>
      <c r="J2203" s="10"/>
      <c r="K2203" s="10"/>
      <c r="L2203" s="10"/>
      <c r="M2203" s="10"/>
      <c r="N2203" s="10"/>
      <c r="O2203" s="10"/>
      <c r="P2203" s="10"/>
      <c r="Q2203" s="10"/>
      <c r="R2203" s="10"/>
      <c r="S2203" s="10"/>
      <c r="T2203" s="10"/>
      <c r="U2203" s="10"/>
      <c r="V2203" s="10"/>
      <c r="W2203" s="10"/>
      <c r="X2203" s="10"/>
      <c r="Y2203" s="10"/>
      <c r="Z2203" s="10"/>
      <c r="AA2203" s="10"/>
      <c r="AB2203" s="10"/>
      <c r="AC2203" s="10"/>
      <c r="AG2203" s="467"/>
      <c r="AH2203" s="6"/>
    </row>
    <row r="2204" spans="1:34">
      <c r="A2204" s="10"/>
      <c r="B2204" s="10"/>
      <c r="C2204" s="10"/>
      <c r="D2204" s="10"/>
      <c r="E2204" s="10"/>
      <c r="F2204" s="10"/>
      <c r="G2204" s="10"/>
      <c r="H2204" s="10"/>
      <c r="I2204" s="10"/>
      <c r="J2204" s="10"/>
      <c r="K2204" s="10"/>
      <c r="L2204" s="10"/>
      <c r="M2204" s="10"/>
      <c r="N2204" s="10"/>
      <c r="O2204" s="10"/>
      <c r="P2204" s="10"/>
      <c r="Q2204" s="10"/>
      <c r="R2204" s="10"/>
      <c r="S2204" s="10"/>
      <c r="T2204" s="10"/>
      <c r="U2204" s="10"/>
      <c r="V2204" s="10"/>
      <c r="W2204" s="10"/>
      <c r="X2204" s="10"/>
      <c r="Y2204" s="10"/>
      <c r="Z2204" s="10"/>
      <c r="AA2204" s="10"/>
      <c r="AB2204" s="10"/>
      <c r="AC2204" s="10"/>
      <c r="AG2204" s="467"/>
      <c r="AH2204" s="6"/>
    </row>
    <row r="2205" spans="1:34">
      <c r="A2205" s="10"/>
      <c r="B2205" s="10"/>
      <c r="C2205" s="10"/>
      <c r="D2205" s="10"/>
      <c r="E2205" s="10"/>
      <c r="F2205" s="10"/>
      <c r="G2205" s="10"/>
      <c r="H2205" s="10"/>
      <c r="I2205" s="10"/>
      <c r="J2205" s="10"/>
      <c r="K2205" s="10"/>
      <c r="L2205" s="10"/>
      <c r="M2205" s="10"/>
      <c r="N2205" s="10"/>
      <c r="O2205" s="10"/>
      <c r="P2205" s="10"/>
      <c r="Q2205" s="10"/>
      <c r="R2205" s="10"/>
      <c r="S2205" s="10"/>
      <c r="T2205" s="10"/>
      <c r="U2205" s="10"/>
      <c r="V2205" s="10"/>
      <c r="W2205" s="10"/>
      <c r="X2205" s="10"/>
      <c r="Y2205" s="10"/>
      <c r="Z2205" s="10"/>
      <c r="AA2205" s="10"/>
      <c r="AB2205" s="10"/>
      <c r="AC2205" s="10"/>
      <c r="AG2205" s="467"/>
      <c r="AH2205" s="6"/>
    </row>
    <row r="2206" spans="1:34">
      <c r="A2206" s="10"/>
      <c r="B2206" s="10"/>
      <c r="C2206" s="10"/>
      <c r="D2206" s="10"/>
      <c r="E2206" s="10"/>
      <c r="F2206" s="10"/>
      <c r="G2206" s="10"/>
      <c r="H2206" s="10"/>
      <c r="I2206" s="10"/>
      <c r="J2206" s="10"/>
      <c r="K2206" s="10"/>
      <c r="L2206" s="10"/>
      <c r="M2206" s="10"/>
      <c r="N2206" s="10"/>
      <c r="O2206" s="10"/>
      <c r="P2206" s="10"/>
      <c r="Q2206" s="10"/>
      <c r="R2206" s="10"/>
      <c r="S2206" s="10"/>
      <c r="T2206" s="10"/>
      <c r="U2206" s="10"/>
      <c r="V2206" s="10"/>
      <c r="W2206" s="10"/>
      <c r="X2206" s="10"/>
      <c r="Y2206" s="10"/>
      <c r="Z2206" s="10"/>
      <c r="AA2206" s="10"/>
      <c r="AB2206" s="10"/>
      <c r="AC2206" s="10"/>
      <c r="AG2206" s="467"/>
      <c r="AH2206" s="6"/>
    </row>
    <row r="2207" spans="1:34">
      <c r="A2207" s="10"/>
      <c r="B2207" s="10"/>
      <c r="C2207" s="10"/>
      <c r="D2207" s="10"/>
      <c r="E2207" s="10"/>
      <c r="F2207" s="10"/>
      <c r="G2207" s="10"/>
      <c r="H2207" s="10"/>
      <c r="I2207" s="10"/>
      <c r="J2207" s="10"/>
      <c r="K2207" s="10"/>
      <c r="L2207" s="10"/>
      <c r="M2207" s="10"/>
      <c r="N2207" s="10"/>
      <c r="O2207" s="10"/>
      <c r="P2207" s="10"/>
      <c r="Q2207" s="10"/>
      <c r="R2207" s="10"/>
      <c r="S2207" s="10"/>
      <c r="T2207" s="10"/>
      <c r="U2207" s="10"/>
      <c r="V2207" s="10"/>
      <c r="W2207" s="10"/>
      <c r="X2207" s="10"/>
      <c r="Y2207" s="10"/>
      <c r="Z2207" s="10"/>
      <c r="AA2207" s="10"/>
      <c r="AB2207" s="10"/>
      <c r="AC2207" s="10"/>
      <c r="AG2207" s="467"/>
      <c r="AH2207" s="6"/>
    </row>
    <row r="2208" spans="1:34">
      <c r="A2208" s="10"/>
      <c r="B2208" s="10"/>
      <c r="C2208" s="10"/>
      <c r="D2208" s="10"/>
      <c r="E2208" s="10"/>
      <c r="F2208" s="10"/>
      <c r="G2208" s="10"/>
      <c r="H2208" s="10"/>
      <c r="I2208" s="10"/>
      <c r="J2208" s="10"/>
      <c r="K2208" s="10"/>
      <c r="L2208" s="10"/>
      <c r="M2208" s="10"/>
      <c r="N2208" s="10"/>
      <c r="O2208" s="10"/>
      <c r="P2208" s="10"/>
      <c r="Q2208" s="10"/>
      <c r="R2208" s="10"/>
      <c r="S2208" s="10"/>
      <c r="T2208" s="10"/>
      <c r="U2208" s="10"/>
      <c r="V2208" s="10"/>
      <c r="W2208" s="10"/>
      <c r="X2208" s="10"/>
      <c r="Y2208" s="10"/>
      <c r="Z2208" s="10"/>
      <c r="AA2208" s="10"/>
      <c r="AB2208" s="10"/>
      <c r="AC2208" s="10"/>
      <c r="AG2208" s="467"/>
      <c r="AH2208" s="6"/>
    </row>
    <row r="2209" spans="1:34">
      <c r="A2209" s="10"/>
      <c r="B2209" s="10"/>
      <c r="C2209" s="10"/>
      <c r="D2209" s="10"/>
      <c r="E2209" s="10"/>
      <c r="F2209" s="10"/>
      <c r="G2209" s="10"/>
      <c r="H2209" s="10"/>
      <c r="I2209" s="10"/>
      <c r="J2209" s="10"/>
      <c r="K2209" s="10"/>
      <c r="L2209" s="10"/>
      <c r="M2209" s="10"/>
      <c r="N2209" s="10"/>
      <c r="O2209" s="10"/>
      <c r="P2209" s="10"/>
      <c r="Q2209" s="10"/>
      <c r="R2209" s="10"/>
      <c r="S2209" s="10"/>
      <c r="T2209" s="10"/>
      <c r="U2209" s="10"/>
      <c r="V2209" s="10"/>
      <c r="W2209" s="10"/>
      <c r="X2209" s="10"/>
      <c r="Y2209" s="10"/>
      <c r="Z2209" s="10"/>
      <c r="AA2209" s="10"/>
      <c r="AB2209" s="10"/>
      <c r="AC2209" s="10"/>
      <c r="AG2209" s="467"/>
      <c r="AH2209" s="6"/>
    </row>
    <row r="2210" spans="1:34">
      <c r="A2210" s="10"/>
      <c r="B2210" s="10"/>
      <c r="C2210" s="10"/>
      <c r="D2210" s="10"/>
      <c r="E2210" s="10"/>
      <c r="F2210" s="10"/>
      <c r="G2210" s="10"/>
      <c r="H2210" s="10"/>
      <c r="I2210" s="10"/>
      <c r="J2210" s="10"/>
      <c r="K2210" s="10"/>
      <c r="L2210" s="10"/>
      <c r="M2210" s="10"/>
      <c r="N2210" s="10"/>
      <c r="O2210" s="10"/>
      <c r="P2210" s="10"/>
      <c r="Q2210" s="10"/>
      <c r="R2210" s="10"/>
      <c r="S2210" s="10"/>
      <c r="T2210" s="10"/>
      <c r="U2210" s="10"/>
      <c r="V2210" s="10"/>
      <c r="W2210" s="10"/>
      <c r="X2210" s="10"/>
      <c r="Y2210" s="10"/>
      <c r="Z2210" s="10"/>
      <c r="AA2210" s="10"/>
      <c r="AB2210" s="10"/>
      <c r="AC2210" s="10"/>
      <c r="AG2210" s="467"/>
      <c r="AH2210" s="6"/>
    </row>
    <row r="2211" spans="1:34">
      <c r="A2211" s="10"/>
      <c r="B2211" s="10"/>
      <c r="C2211" s="10"/>
      <c r="D2211" s="10"/>
      <c r="E2211" s="10"/>
      <c r="F2211" s="10"/>
      <c r="G2211" s="10"/>
      <c r="H2211" s="10"/>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G2211" s="467"/>
      <c r="AH2211" s="6"/>
    </row>
    <row r="2212" spans="1:34">
      <c r="A2212" s="10"/>
      <c r="B2212" s="10"/>
      <c r="C2212" s="10"/>
      <c r="D2212" s="10"/>
      <c r="E2212" s="10"/>
      <c r="F2212" s="10"/>
      <c r="G2212" s="10"/>
      <c r="H2212" s="10"/>
      <c r="I2212" s="10"/>
      <c r="J2212" s="10"/>
      <c r="K2212" s="10"/>
      <c r="L2212" s="10"/>
      <c r="M2212" s="10"/>
      <c r="N2212" s="10"/>
      <c r="O2212" s="10"/>
      <c r="P2212" s="10"/>
      <c r="Q2212" s="10"/>
      <c r="R2212" s="10"/>
      <c r="S2212" s="10"/>
      <c r="T2212" s="10"/>
      <c r="U2212" s="10"/>
      <c r="V2212" s="10"/>
      <c r="W2212" s="10"/>
      <c r="X2212" s="10"/>
      <c r="Y2212" s="10"/>
      <c r="Z2212" s="10"/>
      <c r="AA2212" s="10"/>
      <c r="AB2212" s="10"/>
      <c r="AC2212" s="10"/>
      <c r="AG2212" s="467"/>
      <c r="AH2212" s="6"/>
    </row>
    <row r="2213" spans="1:34">
      <c r="A2213" s="10"/>
      <c r="B2213" s="10"/>
      <c r="C2213" s="10"/>
      <c r="D2213" s="10"/>
      <c r="E2213" s="10"/>
      <c r="F2213" s="10"/>
      <c r="G2213" s="10"/>
      <c r="H2213" s="10"/>
      <c r="I2213" s="10"/>
      <c r="J2213" s="10"/>
      <c r="K2213" s="10"/>
      <c r="L2213" s="10"/>
      <c r="M2213" s="10"/>
      <c r="N2213" s="10"/>
      <c r="O2213" s="10"/>
      <c r="P2213" s="10"/>
      <c r="Q2213" s="10"/>
      <c r="R2213" s="10"/>
      <c r="S2213" s="10"/>
      <c r="T2213" s="10"/>
      <c r="U2213" s="10"/>
      <c r="V2213" s="10"/>
      <c r="W2213" s="10"/>
      <c r="X2213" s="10"/>
      <c r="Y2213" s="10"/>
      <c r="Z2213" s="10"/>
      <c r="AA2213" s="10"/>
      <c r="AB2213" s="10"/>
      <c r="AC2213" s="10"/>
      <c r="AG2213" s="467"/>
      <c r="AH2213" s="6"/>
    </row>
    <row r="2214" spans="1:34">
      <c r="A2214" s="10"/>
      <c r="B2214" s="10"/>
      <c r="C2214" s="10"/>
      <c r="D2214" s="10"/>
      <c r="E2214" s="10"/>
      <c r="F2214" s="10"/>
      <c r="G2214" s="10"/>
      <c r="H2214" s="10"/>
      <c r="I2214" s="10"/>
      <c r="J2214" s="10"/>
      <c r="K2214" s="10"/>
      <c r="L2214" s="10"/>
      <c r="M2214" s="10"/>
      <c r="N2214" s="10"/>
      <c r="O2214" s="10"/>
      <c r="P2214" s="10"/>
      <c r="Q2214" s="10"/>
      <c r="R2214" s="10"/>
      <c r="S2214" s="10"/>
      <c r="T2214" s="10"/>
      <c r="U2214" s="10"/>
      <c r="V2214" s="10"/>
      <c r="W2214" s="10"/>
      <c r="X2214" s="10"/>
      <c r="Y2214" s="10"/>
      <c r="Z2214" s="10"/>
      <c r="AA2214" s="10"/>
      <c r="AB2214" s="10"/>
      <c r="AC2214" s="10"/>
      <c r="AG2214" s="467"/>
      <c r="AH2214" s="6"/>
    </row>
    <row r="2215" spans="1:34">
      <c r="A2215" s="10"/>
      <c r="B2215" s="10"/>
      <c r="C2215" s="10"/>
      <c r="D2215" s="10"/>
      <c r="E2215" s="10"/>
      <c r="F2215" s="10"/>
      <c r="G2215" s="10"/>
      <c r="H2215" s="10"/>
      <c r="I2215" s="10"/>
      <c r="J2215" s="10"/>
      <c r="K2215" s="10"/>
      <c r="L2215" s="10"/>
      <c r="M2215" s="10"/>
      <c r="N2215" s="10"/>
      <c r="O2215" s="10"/>
      <c r="P2215" s="10"/>
      <c r="Q2215" s="10"/>
      <c r="R2215" s="10"/>
      <c r="S2215" s="10"/>
      <c r="T2215" s="10"/>
      <c r="U2215" s="10"/>
      <c r="V2215" s="10"/>
      <c r="W2215" s="10"/>
      <c r="X2215" s="10"/>
      <c r="Y2215" s="10"/>
      <c r="Z2215" s="10"/>
      <c r="AA2215" s="10"/>
      <c r="AB2215" s="10"/>
      <c r="AC2215" s="10"/>
      <c r="AG2215" s="467"/>
      <c r="AH2215" s="6"/>
    </row>
    <row r="2216" spans="1:34">
      <c r="A2216" s="10"/>
      <c r="B2216" s="10"/>
      <c r="C2216" s="10"/>
      <c r="D2216" s="10"/>
      <c r="E2216" s="10"/>
      <c r="F2216" s="10"/>
      <c r="G2216" s="10"/>
      <c r="H2216" s="10"/>
      <c r="I2216" s="10"/>
      <c r="J2216" s="10"/>
      <c r="K2216" s="10"/>
      <c r="L2216" s="10"/>
      <c r="M2216" s="10"/>
      <c r="N2216" s="10"/>
      <c r="O2216" s="10"/>
      <c r="P2216" s="10"/>
      <c r="Q2216" s="10"/>
      <c r="R2216" s="10"/>
      <c r="S2216" s="10"/>
      <c r="T2216" s="10"/>
      <c r="U2216" s="10"/>
      <c r="V2216" s="10"/>
      <c r="W2216" s="10"/>
      <c r="X2216" s="10"/>
      <c r="Y2216" s="10"/>
      <c r="Z2216" s="10"/>
      <c r="AA2216" s="10"/>
      <c r="AB2216" s="10"/>
      <c r="AC2216" s="10"/>
      <c r="AG2216" s="467"/>
      <c r="AH2216" s="6"/>
    </row>
    <row r="2217" spans="1:34">
      <c r="A2217" s="10"/>
      <c r="B2217" s="10"/>
      <c r="C2217" s="10"/>
      <c r="D2217" s="10"/>
      <c r="E2217" s="10"/>
      <c r="F2217" s="10"/>
      <c r="G2217" s="10"/>
      <c r="H2217" s="10"/>
      <c r="I2217" s="10"/>
      <c r="J2217" s="10"/>
      <c r="K2217" s="10"/>
      <c r="L2217" s="10"/>
      <c r="M2217" s="10"/>
      <c r="N2217" s="10"/>
      <c r="O2217" s="10"/>
      <c r="P2217" s="10"/>
      <c r="Q2217" s="10"/>
      <c r="R2217" s="10"/>
      <c r="S2217" s="10"/>
      <c r="T2217" s="10"/>
      <c r="U2217" s="10"/>
      <c r="V2217" s="10"/>
      <c r="W2217" s="10"/>
      <c r="X2217" s="10"/>
      <c r="Y2217" s="10"/>
      <c r="Z2217" s="10"/>
      <c r="AA2217" s="10"/>
      <c r="AB2217" s="10"/>
      <c r="AC2217" s="10"/>
      <c r="AG2217" s="467"/>
      <c r="AH2217" s="6"/>
    </row>
    <row r="2218" spans="1:34">
      <c r="A2218" s="10"/>
      <c r="B2218" s="10"/>
      <c r="C2218" s="10"/>
      <c r="D2218" s="10"/>
      <c r="E2218" s="10"/>
      <c r="F2218" s="10"/>
      <c r="G2218" s="10"/>
      <c r="H2218" s="10"/>
      <c r="I2218" s="10"/>
      <c r="J2218" s="10"/>
      <c r="K2218" s="10"/>
      <c r="L2218" s="10"/>
      <c r="M2218" s="10"/>
      <c r="N2218" s="10"/>
      <c r="O2218" s="10"/>
      <c r="P2218" s="10"/>
      <c r="Q2218" s="10"/>
      <c r="R2218" s="10"/>
      <c r="S2218" s="10"/>
      <c r="T2218" s="10"/>
      <c r="U2218" s="10"/>
      <c r="V2218" s="10"/>
      <c r="W2218" s="10"/>
      <c r="X2218" s="10"/>
      <c r="Y2218" s="10"/>
      <c r="Z2218" s="10"/>
      <c r="AA2218" s="10"/>
      <c r="AB2218" s="10"/>
      <c r="AC2218" s="10"/>
      <c r="AG2218" s="467"/>
      <c r="AH2218" s="6"/>
    </row>
    <row r="2219" spans="1:34">
      <c r="A2219" s="10"/>
      <c r="B2219" s="10"/>
      <c r="C2219" s="10"/>
      <c r="D2219" s="10"/>
      <c r="E2219" s="10"/>
      <c r="F2219" s="10"/>
      <c r="G2219" s="10"/>
      <c r="H2219" s="10"/>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G2219" s="467"/>
      <c r="AH2219" s="6"/>
    </row>
    <row r="2220" spans="1:34">
      <c r="A2220" s="10"/>
      <c r="B2220" s="10"/>
      <c r="C2220" s="10"/>
      <c r="D2220" s="10"/>
      <c r="E2220" s="10"/>
      <c r="F2220" s="10"/>
      <c r="G2220" s="10"/>
      <c r="H2220" s="10"/>
      <c r="I2220" s="10"/>
      <c r="J2220" s="10"/>
      <c r="K2220" s="10"/>
      <c r="L2220" s="10"/>
      <c r="M2220" s="10"/>
      <c r="N2220" s="10"/>
      <c r="O2220" s="10"/>
      <c r="P2220" s="10"/>
      <c r="Q2220" s="10"/>
      <c r="R2220" s="10"/>
      <c r="S2220" s="10"/>
      <c r="T2220" s="10"/>
      <c r="U2220" s="10"/>
      <c r="V2220" s="10"/>
      <c r="W2220" s="10"/>
      <c r="X2220" s="10"/>
      <c r="Y2220" s="10"/>
      <c r="Z2220" s="10"/>
      <c r="AA2220" s="10"/>
      <c r="AB2220" s="10"/>
      <c r="AC2220" s="10"/>
      <c r="AG2220" s="467"/>
      <c r="AH2220" s="6"/>
    </row>
    <row r="2221" spans="1:34">
      <c r="A2221" s="10"/>
      <c r="B2221" s="10"/>
      <c r="C2221" s="10"/>
      <c r="D2221" s="10"/>
      <c r="E2221" s="10"/>
      <c r="F2221" s="10"/>
      <c r="G2221" s="10"/>
      <c r="H2221" s="10"/>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G2221" s="467"/>
      <c r="AH2221" s="6"/>
    </row>
    <row r="2222" spans="1:34">
      <c r="A2222" s="10"/>
      <c r="B2222" s="10"/>
      <c r="C2222" s="10"/>
      <c r="D2222" s="10"/>
      <c r="E2222" s="10"/>
      <c r="F2222" s="10"/>
      <c r="G2222" s="10"/>
      <c r="H2222" s="10"/>
      <c r="I2222" s="10"/>
      <c r="J2222" s="10"/>
      <c r="K2222" s="10"/>
      <c r="L2222" s="10"/>
      <c r="M2222" s="10"/>
      <c r="N2222" s="10"/>
      <c r="O2222" s="10"/>
      <c r="P2222" s="10"/>
      <c r="Q2222" s="10"/>
      <c r="R2222" s="10"/>
      <c r="S2222" s="10"/>
      <c r="T2222" s="10"/>
      <c r="U2222" s="10"/>
      <c r="V2222" s="10"/>
      <c r="W2222" s="10"/>
      <c r="X2222" s="10"/>
      <c r="Y2222" s="10"/>
      <c r="Z2222" s="10"/>
      <c r="AA2222" s="10"/>
      <c r="AB2222" s="10"/>
      <c r="AC2222" s="10"/>
      <c r="AG2222" s="467"/>
      <c r="AH2222" s="6"/>
    </row>
    <row r="2223" spans="1:34">
      <c r="A2223" s="10"/>
      <c r="B2223" s="10"/>
      <c r="C2223" s="10"/>
      <c r="D2223" s="10"/>
      <c r="E2223" s="10"/>
      <c r="F2223" s="10"/>
      <c r="G2223" s="10"/>
      <c r="H2223" s="10"/>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G2223" s="467"/>
      <c r="AH2223" s="6"/>
    </row>
    <row r="2224" spans="1:34">
      <c r="A2224" s="10"/>
      <c r="B2224" s="10"/>
      <c r="C2224" s="10"/>
      <c r="D2224" s="10"/>
      <c r="E2224" s="10"/>
      <c r="F2224" s="10"/>
      <c r="G2224" s="10"/>
      <c r="H2224" s="10"/>
      <c r="I2224" s="10"/>
      <c r="J2224" s="10"/>
      <c r="K2224" s="10"/>
      <c r="L2224" s="10"/>
      <c r="M2224" s="10"/>
      <c r="N2224" s="10"/>
      <c r="O2224" s="10"/>
      <c r="P2224" s="10"/>
      <c r="Q2224" s="10"/>
      <c r="R2224" s="10"/>
      <c r="S2224" s="10"/>
      <c r="T2224" s="10"/>
      <c r="U2224" s="10"/>
      <c r="V2224" s="10"/>
      <c r="W2224" s="10"/>
      <c r="X2224" s="10"/>
      <c r="Y2224" s="10"/>
      <c r="Z2224" s="10"/>
      <c r="AA2224" s="10"/>
      <c r="AB2224" s="10"/>
      <c r="AC2224" s="10"/>
      <c r="AG2224" s="467"/>
      <c r="AH2224" s="6"/>
    </row>
    <row r="2225" spans="1:34">
      <c r="A2225" s="10"/>
      <c r="B2225" s="10"/>
      <c r="C2225" s="10"/>
      <c r="D2225" s="10"/>
      <c r="E2225" s="10"/>
      <c r="F2225" s="10"/>
      <c r="G2225" s="10"/>
      <c r="H2225" s="10"/>
      <c r="I2225" s="10"/>
      <c r="J2225" s="10"/>
      <c r="K2225" s="10"/>
      <c r="L2225" s="10"/>
      <c r="M2225" s="10"/>
      <c r="N2225" s="10"/>
      <c r="O2225" s="10"/>
      <c r="P2225" s="10"/>
      <c r="Q2225" s="10"/>
      <c r="R2225" s="10"/>
      <c r="S2225" s="10"/>
      <c r="T2225" s="10"/>
      <c r="U2225" s="10"/>
      <c r="V2225" s="10"/>
      <c r="W2225" s="10"/>
      <c r="X2225" s="10"/>
      <c r="Y2225" s="10"/>
      <c r="Z2225" s="10"/>
      <c r="AA2225" s="10"/>
      <c r="AB2225" s="10"/>
      <c r="AC2225" s="10"/>
      <c r="AG2225" s="467"/>
      <c r="AH2225" s="6"/>
    </row>
    <row r="2226" spans="1:34">
      <c r="A2226" s="10"/>
      <c r="B2226" s="10"/>
      <c r="C2226" s="10"/>
      <c r="D2226" s="10"/>
      <c r="E2226" s="10"/>
      <c r="F2226" s="10"/>
      <c r="G2226" s="10"/>
      <c r="H2226" s="10"/>
      <c r="I2226" s="10"/>
      <c r="J2226" s="10"/>
      <c r="K2226" s="10"/>
      <c r="L2226" s="10"/>
      <c r="M2226" s="10"/>
      <c r="N2226" s="10"/>
      <c r="O2226" s="10"/>
      <c r="P2226" s="10"/>
      <c r="Q2226" s="10"/>
      <c r="R2226" s="10"/>
      <c r="S2226" s="10"/>
      <c r="T2226" s="10"/>
      <c r="U2226" s="10"/>
      <c r="V2226" s="10"/>
      <c r="W2226" s="10"/>
      <c r="X2226" s="10"/>
      <c r="Y2226" s="10"/>
      <c r="Z2226" s="10"/>
      <c r="AA2226" s="10"/>
      <c r="AB2226" s="10"/>
      <c r="AC2226" s="10"/>
      <c r="AG2226" s="467"/>
      <c r="AH2226" s="6"/>
    </row>
    <row r="2227" spans="1:34">
      <c r="A2227" s="10"/>
      <c r="B2227" s="10"/>
      <c r="C2227" s="10"/>
      <c r="D2227" s="10"/>
      <c r="E2227" s="10"/>
      <c r="F2227" s="10"/>
      <c r="G2227" s="10"/>
      <c r="H2227" s="10"/>
      <c r="I2227" s="10"/>
      <c r="J2227" s="10"/>
      <c r="K2227" s="10"/>
      <c r="L2227" s="10"/>
      <c r="M2227" s="10"/>
      <c r="N2227" s="10"/>
      <c r="O2227" s="10"/>
      <c r="P2227" s="10"/>
      <c r="Q2227" s="10"/>
      <c r="R2227" s="10"/>
      <c r="S2227" s="10"/>
      <c r="T2227" s="10"/>
      <c r="U2227" s="10"/>
      <c r="V2227" s="10"/>
      <c r="W2227" s="10"/>
      <c r="X2227" s="10"/>
      <c r="Y2227" s="10"/>
      <c r="Z2227" s="10"/>
      <c r="AA2227" s="10"/>
      <c r="AB2227" s="10"/>
      <c r="AC2227" s="10"/>
      <c r="AG2227" s="467"/>
      <c r="AH2227" s="6"/>
    </row>
    <row r="2228" spans="1:34">
      <c r="A2228" s="10"/>
      <c r="B2228" s="10"/>
      <c r="C2228" s="10"/>
      <c r="D2228" s="10"/>
      <c r="E2228" s="10"/>
      <c r="F2228" s="10"/>
      <c r="G2228" s="10"/>
      <c r="H2228" s="10"/>
      <c r="I2228" s="10"/>
      <c r="J2228" s="10"/>
      <c r="K2228" s="10"/>
      <c r="L2228" s="10"/>
      <c r="M2228" s="10"/>
      <c r="N2228" s="10"/>
      <c r="O2228" s="10"/>
      <c r="P2228" s="10"/>
      <c r="Q2228" s="10"/>
      <c r="R2228" s="10"/>
      <c r="S2228" s="10"/>
      <c r="T2228" s="10"/>
      <c r="U2228" s="10"/>
      <c r="V2228" s="10"/>
      <c r="W2228" s="10"/>
      <c r="X2228" s="10"/>
      <c r="Y2228" s="10"/>
      <c r="Z2228" s="10"/>
      <c r="AA2228" s="10"/>
      <c r="AB2228" s="10"/>
      <c r="AC2228" s="10"/>
      <c r="AG2228" s="467"/>
      <c r="AH2228" s="6"/>
    </row>
    <row r="2229" spans="1:34">
      <c r="A2229" s="10"/>
      <c r="B2229" s="10"/>
      <c r="C2229" s="10"/>
      <c r="D2229" s="10"/>
      <c r="E2229" s="10"/>
      <c r="F2229" s="10"/>
      <c r="G2229" s="10"/>
      <c r="H2229" s="10"/>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G2229" s="467"/>
      <c r="AH2229" s="6"/>
    </row>
    <row r="2230" spans="1:34">
      <c r="A2230" s="10"/>
      <c r="B2230" s="10"/>
      <c r="C2230" s="10"/>
      <c r="D2230" s="10"/>
      <c r="E2230" s="10"/>
      <c r="F2230" s="10"/>
      <c r="G2230" s="10"/>
      <c r="H2230" s="10"/>
      <c r="I2230" s="10"/>
      <c r="J2230" s="10"/>
      <c r="K2230" s="10"/>
      <c r="L2230" s="10"/>
      <c r="M2230" s="10"/>
      <c r="N2230" s="10"/>
      <c r="O2230" s="10"/>
      <c r="P2230" s="10"/>
      <c r="Q2230" s="10"/>
      <c r="R2230" s="10"/>
      <c r="S2230" s="10"/>
      <c r="T2230" s="10"/>
      <c r="U2230" s="10"/>
      <c r="V2230" s="10"/>
      <c r="W2230" s="10"/>
      <c r="X2230" s="10"/>
      <c r="Y2230" s="10"/>
      <c r="Z2230" s="10"/>
      <c r="AA2230" s="10"/>
      <c r="AB2230" s="10"/>
      <c r="AC2230" s="10"/>
      <c r="AG2230" s="467"/>
      <c r="AH2230" s="6"/>
    </row>
    <row r="2231" spans="1:34">
      <c r="A2231" s="10"/>
      <c r="B2231" s="10"/>
      <c r="C2231" s="10"/>
      <c r="D2231" s="10"/>
      <c r="E2231" s="10"/>
      <c r="F2231" s="10"/>
      <c r="G2231" s="10"/>
      <c r="H2231" s="10"/>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G2231" s="467"/>
      <c r="AH2231" s="6"/>
    </row>
    <row r="2232" spans="1:34">
      <c r="A2232" s="10"/>
      <c r="B2232" s="10"/>
      <c r="C2232" s="10"/>
      <c r="D2232" s="10"/>
      <c r="E2232" s="10"/>
      <c r="F2232" s="10"/>
      <c r="G2232" s="10"/>
      <c r="H2232" s="10"/>
      <c r="I2232" s="10"/>
      <c r="J2232" s="10"/>
      <c r="K2232" s="10"/>
      <c r="L2232" s="10"/>
      <c r="M2232" s="10"/>
      <c r="N2232" s="10"/>
      <c r="O2232" s="10"/>
      <c r="P2232" s="10"/>
      <c r="Q2232" s="10"/>
      <c r="R2232" s="10"/>
      <c r="S2232" s="10"/>
      <c r="T2232" s="10"/>
      <c r="U2232" s="10"/>
      <c r="V2232" s="10"/>
      <c r="W2232" s="10"/>
      <c r="X2232" s="10"/>
      <c r="Y2232" s="10"/>
      <c r="Z2232" s="10"/>
      <c r="AA2232" s="10"/>
      <c r="AB2232" s="10"/>
      <c r="AC2232" s="10"/>
      <c r="AG2232" s="467"/>
      <c r="AH2232" s="6"/>
    </row>
    <row r="2233" spans="1:34">
      <c r="A2233" s="10"/>
      <c r="B2233" s="10"/>
      <c r="C2233" s="10"/>
      <c r="D2233" s="10"/>
      <c r="E2233" s="10"/>
      <c r="F2233" s="10"/>
      <c r="G2233" s="10"/>
      <c r="H2233" s="10"/>
      <c r="I2233" s="10"/>
      <c r="J2233" s="10"/>
      <c r="K2233" s="10"/>
      <c r="L2233" s="10"/>
      <c r="M2233" s="10"/>
      <c r="N2233" s="10"/>
      <c r="O2233" s="10"/>
      <c r="P2233" s="10"/>
      <c r="Q2233" s="10"/>
      <c r="R2233" s="10"/>
      <c r="S2233" s="10"/>
      <c r="T2233" s="10"/>
      <c r="U2233" s="10"/>
      <c r="V2233" s="10"/>
      <c r="W2233" s="10"/>
      <c r="X2233" s="10"/>
      <c r="Y2233" s="10"/>
      <c r="Z2233" s="10"/>
      <c r="AA2233" s="10"/>
      <c r="AB2233" s="10"/>
      <c r="AC2233" s="10"/>
      <c r="AG2233" s="467"/>
      <c r="AH2233" s="6"/>
    </row>
    <row r="2234" spans="1:34">
      <c r="A2234" s="10"/>
      <c r="B2234" s="10"/>
      <c r="C2234" s="10"/>
      <c r="D2234" s="10"/>
      <c r="E2234" s="10"/>
      <c r="F2234" s="10"/>
      <c r="G2234" s="10"/>
      <c r="H2234" s="10"/>
      <c r="I2234" s="10"/>
      <c r="J2234" s="10"/>
      <c r="K2234" s="10"/>
      <c r="L2234" s="10"/>
      <c r="M2234" s="10"/>
      <c r="N2234" s="10"/>
      <c r="O2234" s="10"/>
      <c r="P2234" s="10"/>
      <c r="Q2234" s="10"/>
      <c r="R2234" s="10"/>
      <c r="S2234" s="10"/>
      <c r="T2234" s="10"/>
      <c r="U2234" s="10"/>
      <c r="V2234" s="10"/>
      <c r="W2234" s="10"/>
      <c r="X2234" s="10"/>
      <c r="Y2234" s="10"/>
      <c r="Z2234" s="10"/>
      <c r="AA2234" s="10"/>
      <c r="AB2234" s="10"/>
      <c r="AC2234" s="10"/>
      <c r="AG2234" s="467"/>
      <c r="AH2234" s="6"/>
    </row>
    <row r="2235" spans="1:34">
      <c r="A2235" s="10"/>
      <c r="B2235" s="10"/>
      <c r="C2235" s="10"/>
      <c r="D2235" s="10"/>
      <c r="E2235" s="10"/>
      <c r="F2235" s="10"/>
      <c r="G2235" s="10"/>
      <c r="H2235" s="10"/>
      <c r="I2235" s="10"/>
      <c r="J2235" s="10"/>
      <c r="K2235" s="10"/>
      <c r="L2235" s="10"/>
      <c r="M2235" s="10"/>
      <c r="N2235" s="10"/>
      <c r="O2235" s="10"/>
      <c r="P2235" s="10"/>
      <c r="Q2235" s="10"/>
      <c r="R2235" s="10"/>
      <c r="S2235" s="10"/>
      <c r="T2235" s="10"/>
      <c r="U2235" s="10"/>
      <c r="V2235" s="10"/>
      <c r="W2235" s="10"/>
      <c r="X2235" s="10"/>
      <c r="Y2235" s="10"/>
      <c r="Z2235" s="10"/>
      <c r="AA2235" s="10"/>
      <c r="AB2235" s="10"/>
      <c r="AC2235" s="10"/>
      <c r="AG2235" s="467"/>
      <c r="AH2235" s="6"/>
    </row>
    <row r="2236" spans="1:34">
      <c r="A2236" s="10"/>
      <c r="B2236" s="10"/>
      <c r="C2236" s="10"/>
      <c r="D2236" s="10"/>
      <c r="E2236" s="10"/>
      <c r="F2236" s="10"/>
      <c r="G2236" s="10"/>
      <c r="H2236" s="10"/>
      <c r="I2236" s="10"/>
      <c r="J2236" s="10"/>
      <c r="K2236" s="10"/>
      <c r="L2236" s="10"/>
      <c r="M2236" s="10"/>
      <c r="N2236" s="10"/>
      <c r="O2236" s="10"/>
      <c r="P2236" s="10"/>
      <c r="Q2236" s="10"/>
      <c r="R2236" s="10"/>
      <c r="S2236" s="10"/>
      <c r="T2236" s="10"/>
      <c r="U2236" s="10"/>
      <c r="V2236" s="10"/>
      <c r="W2236" s="10"/>
      <c r="X2236" s="10"/>
      <c r="Y2236" s="10"/>
      <c r="Z2236" s="10"/>
      <c r="AA2236" s="10"/>
      <c r="AB2236" s="10"/>
      <c r="AC2236" s="10"/>
      <c r="AG2236" s="467"/>
      <c r="AH2236" s="6"/>
    </row>
    <row r="2237" spans="1:34">
      <c r="A2237" s="10"/>
      <c r="B2237" s="10"/>
      <c r="C2237" s="10"/>
      <c r="D2237" s="10"/>
      <c r="E2237" s="10"/>
      <c r="F2237" s="10"/>
      <c r="G2237" s="10"/>
      <c r="H2237" s="10"/>
      <c r="I2237" s="10"/>
      <c r="J2237" s="10"/>
      <c r="K2237" s="10"/>
      <c r="L2237" s="10"/>
      <c r="M2237" s="10"/>
      <c r="N2237" s="10"/>
      <c r="O2237" s="10"/>
      <c r="P2237" s="10"/>
      <c r="Q2237" s="10"/>
      <c r="R2237" s="10"/>
      <c r="S2237" s="10"/>
      <c r="T2237" s="10"/>
      <c r="U2237" s="10"/>
      <c r="V2237" s="10"/>
      <c r="W2237" s="10"/>
      <c r="X2237" s="10"/>
      <c r="Y2237" s="10"/>
      <c r="Z2237" s="10"/>
      <c r="AA2237" s="10"/>
      <c r="AB2237" s="10"/>
      <c r="AC2237" s="10"/>
      <c r="AG2237" s="467"/>
      <c r="AH2237" s="6"/>
    </row>
    <row r="2238" spans="1:34">
      <c r="A2238" s="10"/>
      <c r="B2238" s="10"/>
      <c r="C2238" s="10"/>
      <c r="D2238" s="10"/>
      <c r="E2238" s="10"/>
      <c r="F2238" s="10"/>
      <c r="G2238" s="10"/>
      <c r="H2238" s="10"/>
      <c r="I2238" s="10"/>
      <c r="J2238" s="10"/>
      <c r="K2238" s="10"/>
      <c r="L2238" s="10"/>
      <c r="M2238" s="10"/>
      <c r="N2238" s="10"/>
      <c r="O2238" s="10"/>
      <c r="P2238" s="10"/>
      <c r="Q2238" s="10"/>
      <c r="R2238" s="10"/>
      <c r="S2238" s="10"/>
      <c r="T2238" s="10"/>
      <c r="U2238" s="10"/>
      <c r="V2238" s="10"/>
      <c r="W2238" s="10"/>
      <c r="X2238" s="10"/>
      <c r="Y2238" s="10"/>
      <c r="Z2238" s="10"/>
      <c r="AA2238" s="10"/>
      <c r="AB2238" s="10"/>
      <c r="AC2238" s="10"/>
      <c r="AG2238" s="467"/>
      <c r="AH2238" s="6"/>
    </row>
    <row r="2239" spans="1:34">
      <c r="A2239" s="10"/>
      <c r="B2239" s="10"/>
      <c r="C2239" s="10"/>
      <c r="D2239" s="10"/>
      <c r="E2239" s="10"/>
      <c r="F2239" s="10"/>
      <c r="G2239" s="10"/>
      <c r="H2239" s="10"/>
      <c r="I2239" s="10"/>
      <c r="J2239" s="10"/>
      <c r="K2239" s="10"/>
      <c r="L2239" s="10"/>
      <c r="M2239" s="10"/>
      <c r="N2239" s="10"/>
      <c r="O2239" s="10"/>
      <c r="P2239" s="10"/>
      <c r="Q2239" s="10"/>
      <c r="R2239" s="10"/>
      <c r="S2239" s="10"/>
      <c r="T2239" s="10"/>
      <c r="U2239" s="10"/>
      <c r="V2239" s="10"/>
      <c r="W2239" s="10"/>
      <c r="X2239" s="10"/>
      <c r="Y2239" s="10"/>
      <c r="Z2239" s="10"/>
      <c r="AA2239" s="10"/>
      <c r="AB2239" s="10"/>
      <c r="AC2239" s="10"/>
      <c r="AG2239" s="467"/>
      <c r="AH2239" s="6"/>
    </row>
    <row r="2240" spans="1:34">
      <c r="A2240" s="10"/>
      <c r="B2240" s="10"/>
      <c r="C2240" s="10"/>
      <c r="D2240" s="10"/>
      <c r="E2240" s="10"/>
      <c r="F2240" s="10"/>
      <c r="G2240" s="10"/>
      <c r="H2240" s="10"/>
      <c r="I2240" s="10"/>
      <c r="J2240" s="10"/>
      <c r="K2240" s="10"/>
      <c r="L2240" s="10"/>
      <c r="M2240" s="10"/>
      <c r="N2240" s="10"/>
      <c r="O2240" s="10"/>
      <c r="P2240" s="10"/>
      <c r="Q2240" s="10"/>
      <c r="R2240" s="10"/>
      <c r="S2240" s="10"/>
      <c r="T2240" s="10"/>
      <c r="U2240" s="10"/>
      <c r="V2240" s="10"/>
      <c r="W2240" s="10"/>
      <c r="X2240" s="10"/>
      <c r="Y2240" s="10"/>
      <c r="Z2240" s="10"/>
      <c r="AA2240" s="10"/>
      <c r="AB2240" s="10"/>
      <c r="AC2240" s="10"/>
      <c r="AG2240" s="467"/>
      <c r="AH2240" s="6"/>
    </row>
    <row r="2241" spans="1:34">
      <c r="A2241" s="10"/>
      <c r="B2241" s="10"/>
      <c r="C2241" s="10"/>
      <c r="D2241" s="10"/>
      <c r="E2241" s="10"/>
      <c r="F2241" s="10"/>
      <c r="G2241" s="10"/>
      <c r="H2241" s="10"/>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G2241" s="467"/>
      <c r="AH2241" s="6"/>
    </row>
    <row r="2242" spans="1:34">
      <c r="A2242" s="10"/>
      <c r="B2242" s="10"/>
      <c r="C2242" s="10"/>
      <c r="D2242" s="10"/>
      <c r="E2242" s="10"/>
      <c r="F2242" s="10"/>
      <c r="G2242" s="10"/>
      <c r="H2242" s="10"/>
      <c r="I2242" s="10"/>
      <c r="J2242" s="10"/>
      <c r="K2242" s="10"/>
      <c r="L2242" s="10"/>
      <c r="M2242" s="10"/>
      <c r="N2242" s="10"/>
      <c r="O2242" s="10"/>
      <c r="P2242" s="10"/>
      <c r="Q2242" s="10"/>
      <c r="R2242" s="10"/>
      <c r="S2242" s="10"/>
      <c r="T2242" s="10"/>
      <c r="U2242" s="10"/>
      <c r="V2242" s="10"/>
      <c r="W2242" s="10"/>
      <c r="X2242" s="10"/>
      <c r="Y2242" s="10"/>
      <c r="Z2242" s="10"/>
      <c r="AA2242" s="10"/>
      <c r="AB2242" s="10"/>
      <c r="AC2242" s="10"/>
      <c r="AG2242" s="467"/>
      <c r="AH2242" s="6"/>
    </row>
    <row r="2243" spans="1:34">
      <c r="A2243" s="10"/>
      <c r="B2243" s="10"/>
      <c r="C2243" s="10"/>
      <c r="D2243" s="10"/>
      <c r="E2243" s="10"/>
      <c r="F2243" s="10"/>
      <c r="G2243" s="10"/>
      <c r="H2243" s="10"/>
      <c r="I2243" s="10"/>
      <c r="J2243" s="10"/>
      <c r="K2243" s="10"/>
      <c r="L2243" s="10"/>
      <c r="M2243" s="10"/>
      <c r="N2243" s="10"/>
      <c r="O2243" s="10"/>
      <c r="P2243" s="10"/>
      <c r="Q2243" s="10"/>
      <c r="R2243" s="10"/>
      <c r="S2243" s="10"/>
      <c r="T2243" s="10"/>
      <c r="U2243" s="10"/>
      <c r="V2243" s="10"/>
      <c r="W2243" s="10"/>
      <c r="X2243" s="10"/>
      <c r="Y2243" s="10"/>
      <c r="Z2243" s="10"/>
      <c r="AA2243" s="10"/>
      <c r="AB2243" s="10"/>
      <c r="AC2243" s="10"/>
      <c r="AG2243" s="467"/>
      <c r="AH2243" s="6"/>
    </row>
    <row r="2244" spans="1:34">
      <c r="A2244" s="10"/>
      <c r="B2244" s="10"/>
      <c r="C2244" s="10"/>
      <c r="D2244" s="10"/>
      <c r="E2244" s="10"/>
      <c r="F2244" s="10"/>
      <c r="G2244" s="10"/>
      <c r="H2244" s="10"/>
      <c r="I2244" s="10"/>
      <c r="J2244" s="10"/>
      <c r="K2244" s="10"/>
      <c r="L2244" s="10"/>
      <c r="M2244" s="10"/>
      <c r="N2244" s="10"/>
      <c r="O2244" s="10"/>
      <c r="P2244" s="10"/>
      <c r="Q2244" s="10"/>
      <c r="R2244" s="10"/>
      <c r="S2244" s="10"/>
      <c r="T2244" s="10"/>
      <c r="U2244" s="10"/>
      <c r="V2244" s="10"/>
      <c r="W2244" s="10"/>
      <c r="X2244" s="10"/>
      <c r="Y2244" s="10"/>
      <c r="Z2244" s="10"/>
      <c r="AA2244" s="10"/>
      <c r="AB2244" s="10"/>
      <c r="AC2244" s="10"/>
      <c r="AG2244" s="467"/>
      <c r="AH2244" s="6"/>
    </row>
    <row r="2245" spans="1:34">
      <c r="A2245" s="10"/>
      <c r="B2245" s="10"/>
      <c r="C2245" s="10"/>
      <c r="D2245" s="10"/>
      <c r="E2245" s="10"/>
      <c r="F2245" s="10"/>
      <c r="G2245" s="10"/>
      <c r="H2245" s="10"/>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G2245" s="467"/>
      <c r="AH2245" s="6"/>
    </row>
    <row r="2246" spans="1:34">
      <c r="A2246" s="10"/>
      <c r="B2246" s="10"/>
      <c r="C2246" s="10"/>
      <c r="D2246" s="10"/>
      <c r="E2246" s="10"/>
      <c r="F2246" s="10"/>
      <c r="G2246" s="10"/>
      <c r="H2246" s="10"/>
      <c r="I2246" s="10"/>
      <c r="J2246" s="10"/>
      <c r="K2246" s="10"/>
      <c r="L2246" s="10"/>
      <c r="M2246" s="10"/>
      <c r="N2246" s="10"/>
      <c r="O2246" s="10"/>
      <c r="P2246" s="10"/>
      <c r="Q2246" s="10"/>
      <c r="R2246" s="10"/>
      <c r="S2246" s="10"/>
      <c r="T2246" s="10"/>
      <c r="U2246" s="10"/>
      <c r="V2246" s="10"/>
      <c r="W2246" s="10"/>
      <c r="X2246" s="10"/>
      <c r="Y2246" s="10"/>
      <c r="Z2246" s="10"/>
      <c r="AA2246" s="10"/>
      <c r="AB2246" s="10"/>
      <c r="AC2246" s="10"/>
      <c r="AG2246" s="467"/>
      <c r="AH2246" s="6"/>
    </row>
    <row r="2247" spans="1:34">
      <c r="A2247" s="10"/>
      <c r="B2247" s="10"/>
      <c r="C2247" s="10"/>
      <c r="D2247" s="10"/>
      <c r="E2247" s="10"/>
      <c r="F2247" s="10"/>
      <c r="G2247" s="10"/>
      <c r="H2247" s="10"/>
      <c r="I2247" s="10"/>
      <c r="J2247" s="10"/>
      <c r="K2247" s="10"/>
      <c r="L2247" s="10"/>
      <c r="M2247" s="10"/>
      <c r="N2247" s="10"/>
      <c r="O2247" s="10"/>
      <c r="P2247" s="10"/>
      <c r="Q2247" s="10"/>
      <c r="R2247" s="10"/>
      <c r="S2247" s="10"/>
      <c r="T2247" s="10"/>
      <c r="U2247" s="10"/>
      <c r="V2247" s="10"/>
      <c r="W2247" s="10"/>
      <c r="X2247" s="10"/>
      <c r="Y2247" s="10"/>
      <c r="Z2247" s="10"/>
      <c r="AA2247" s="10"/>
      <c r="AB2247" s="10"/>
      <c r="AC2247" s="10"/>
      <c r="AG2247" s="467"/>
      <c r="AH2247" s="6"/>
    </row>
    <row r="2248" spans="1:34">
      <c r="A2248" s="10"/>
      <c r="B2248" s="10"/>
      <c r="C2248" s="10"/>
      <c r="D2248" s="10"/>
      <c r="E2248" s="10"/>
      <c r="F2248" s="10"/>
      <c r="G2248" s="10"/>
      <c r="H2248" s="10"/>
      <c r="I2248" s="10"/>
      <c r="J2248" s="10"/>
      <c r="K2248" s="10"/>
      <c r="L2248" s="10"/>
      <c r="M2248" s="10"/>
      <c r="N2248" s="10"/>
      <c r="O2248" s="10"/>
      <c r="P2248" s="10"/>
      <c r="Q2248" s="10"/>
      <c r="R2248" s="10"/>
      <c r="S2248" s="10"/>
      <c r="T2248" s="10"/>
      <c r="U2248" s="10"/>
      <c r="V2248" s="10"/>
      <c r="W2248" s="10"/>
      <c r="X2248" s="10"/>
      <c r="Y2248" s="10"/>
      <c r="Z2248" s="10"/>
      <c r="AA2248" s="10"/>
      <c r="AB2248" s="10"/>
      <c r="AC2248" s="10"/>
      <c r="AG2248" s="467"/>
      <c r="AH2248" s="6"/>
    </row>
    <row r="2249" spans="1:34">
      <c r="A2249" s="10"/>
      <c r="B2249" s="10"/>
      <c r="C2249" s="10"/>
      <c r="D2249" s="10"/>
      <c r="E2249" s="10"/>
      <c r="F2249" s="10"/>
      <c r="G2249" s="10"/>
      <c r="H2249" s="10"/>
      <c r="I2249" s="10"/>
      <c r="J2249" s="10"/>
      <c r="K2249" s="10"/>
      <c r="L2249" s="10"/>
      <c r="M2249" s="10"/>
      <c r="N2249" s="10"/>
      <c r="O2249" s="10"/>
      <c r="P2249" s="10"/>
      <c r="Q2249" s="10"/>
      <c r="R2249" s="10"/>
      <c r="S2249" s="10"/>
      <c r="T2249" s="10"/>
      <c r="U2249" s="10"/>
      <c r="V2249" s="10"/>
      <c r="W2249" s="10"/>
      <c r="X2249" s="10"/>
      <c r="Y2249" s="10"/>
      <c r="Z2249" s="10"/>
      <c r="AA2249" s="10"/>
      <c r="AB2249" s="10"/>
      <c r="AC2249" s="10"/>
      <c r="AG2249" s="467"/>
      <c r="AH2249" s="6"/>
    </row>
    <row r="2250" spans="1:34">
      <c r="A2250" s="10"/>
      <c r="B2250" s="10"/>
      <c r="C2250" s="10"/>
      <c r="D2250" s="10"/>
      <c r="E2250" s="10"/>
      <c r="F2250" s="10"/>
      <c r="G2250" s="10"/>
      <c r="H2250" s="10"/>
      <c r="I2250" s="10"/>
      <c r="J2250" s="10"/>
      <c r="K2250" s="10"/>
      <c r="L2250" s="10"/>
      <c r="M2250" s="10"/>
      <c r="N2250" s="10"/>
      <c r="O2250" s="10"/>
      <c r="P2250" s="10"/>
      <c r="Q2250" s="10"/>
      <c r="R2250" s="10"/>
      <c r="S2250" s="10"/>
      <c r="T2250" s="10"/>
      <c r="U2250" s="10"/>
      <c r="V2250" s="10"/>
      <c r="W2250" s="10"/>
      <c r="X2250" s="10"/>
      <c r="Y2250" s="10"/>
      <c r="Z2250" s="10"/>
      <c r="AA2250" s="10"/>
      <c r="AB2250" s="10"/>
      <c r="AC2250" s="10"/>
      <c r="AG2250" s="467"/>
      <c r="AH2250" s="6"/>
    </row>
    <row r="2251" spans="1:34">
      <c r="A2251" s="10"/>
      <c r="B2251" s="10"/>
      <c r="C2251" s="10"/>
      <c r="D2251" s="10"/>
      <c r="E2251" s="10"/>
      <c r="F2251" s="10"/>
      <c r="G2251" s="10"/>
      <c r="H2251" s="10"/>
      <c r="I2251" s="10"/>
      <c r="J2251" s="10"/>
      <c r="K2251" s="10"/>
      <c r="L2251" s="10"/>
      <c r="M2251" s="10"/>
      <c r="N2251" s="10"/>
      <c r="O2251" s="10"/>
      <c r="P2251" s="10"/>
      <c r="Q2251" s="10"/>
      <c r="R2251" s="10"/>
      <c r="S2251" s="10"/>
      <c r="T2251" s="10"/>
      <c r="U2251" s="10"/>
      <c r="V2251" s="10"/>
      <c r="W2251" s="10"/>
      <c r="X2251" s="10"/>
      <c r="Y2251" s="10"/>
      <c r="Z2251" s="10"/>
      <c r="AA2251" s="10"/>
      <c r="AB2251" s="10"/>
      <c r="AC2251" s="10"/>
      <c r="AG2251" s="467"/>
      <c r="AH2251" s="6"/>
    </row>
    <row r="2252" spans="1:34">
      <c r="A2252" s="10"/>
      <c r="B2252" s="10"/>
      <c r="C2252" s="10"/>
      <c r="D2252" s="10"/>
      <c r="E2252" s="10"/>
      <c r="F2252" s="10"/>
      <c r="G2252" s="10"/>
      <c r="H2252" s="10"/>
      <c r="I2252" s="10"/>
      <c r="J2252" s="10"/>
      <c r="K2252" s="10"/>
      <c r="L2252" s="10"/>
      <c r="M2252" s="10"/>
      <c r="N2252" s="10"/>
      <c r="O2252" s="10"/>
      <c r="P2252" s="10"/>
      <c r="Q2252" s="10"/>
      <c r="R2252" s="10"/>
      <c r="S2252" s="10"/>
      <c r="T2252" s="10"/>
      <c r="U2252" s="10"/>
      <c r="V2252" s="10"/>
      <c r="W2252" s="10"/>
      <c r="X2252" s="10"/>
      <c r="Y2252" s="10"/>
      <c r="Z2252" s="10"/>
      <c r="AA2252" s="10"/>
      <c r="AB2252" s="10"/>
      <c r="AC2252" s="10"/>
      <c r="AG2252" s="467"/>
      <c r="AH2252" s="6"/>
    </row>
    <row r="2253" spans="1:34">
      <c r="A2253" s="10"/>
      <c r="B2253" s="10"/>
      <c r="C2253" s="10"/>
      <c r="D2253" s="10"/>
      <c r="E2253" s="10"/>
      <c r="F2253" s="10"/>
      <c r="G2253" s="10"/>
      <c r="H2253" s="10"/>
      <c r="I2253" s="10"/>
      <c r="J2253" s="10"/>
      <c r="K2253" s="10"/>
      <c r="L2253" s="10"/>
      <c r="M2253" s="10"/>
      <c r="N2253" s="10"/>
      <c r="O2253" s="10"/>
      <c r="P2253" s="10"/>
      <c r="Q2253" s="10"/>
      <c r="R2253" s="10"/>
      <c r="S2253" s="10"/>
      <c r="T2253" s="10"/>
      <c r="U2253" s="10"/>
      <c r="V2253" s="10"/>
      <c r="W2253" s="10"/>
      <c r="X2253" s="10"/>
      <c r="Y2253" s="10"/>
      <c r="Z2253" s="10"/>
      <c r="AA2253" s="10"/>
      <c r="AB2253" s="10"/>
      <c r="AC2253" s="10"/>
      <c r="AG2253" s="467"/>
      <c r="AH2253" s="6"/>
    </row>
    <row r="2254" spans="1:34">
      <c r="A2254" s="10"/>
      <c r="B2254" s="10"/>
      <c r="C2254" s="10"/>
      <c r="D2254" s="10"/>
      <c r="E2254" s="10"/>
      <c r="F2254" s="10"/>
      <c r="G2254" s="10"/>
      <c r="H2254" s="10"/>
      <c r="I2254" s="10"/>
      <c r="J2254" s="10"/>
      <c r="K2254" s="10"/>
      <c r="L2254" s="10"/>
      <c r="M2254" s="10"/>
      <c r="N2254" s="10"/>
      <c r="O2254" s="10"/>
      <c r="P2254" s="10"/>
      <c r="Q2254" s="10"/>
      <c r="R2254" s="10"/>
      <c r="S2254" s="10"/>
      <c r="T2254" s="10"/>
      <c r="U2254" s="10"/>
      <c r="V2254" s="10"/>
      <c r="W2254" s="10"/>
      <c r="X2254" s="10"/>
      <c r="Y2254" s="10"/>
      <c r="Z2254" s="10"/>
      <c r="AA2254" s="10"/>
      <c r="AB2254" s="10"/>
      <c r="AC2254" s="10"/>
      <c r="AG2254" s="467"/>
      <c r="AH2254" s="6"/>
    </row>
    <row r="2255" spans="1:34">
      <c r="A2255" s="10"/>
      <c r="B2255" s="10"/>
      <c r="C2255" s="10"/>
      <c r="D2255" s="10"/>
      <c r="E2255" s="10"/>
      <c r="F2255" s="10"/>
      <c r="G2255" s="10"/>
      <c r="H2255" s="10"/>
      <c r="I2255" s="10"/>
      <c r="J2255" s="10"/>
      <c r="K2255" s="10"/>
      <c r="L2255" s="10"/>
      <c r="M2255" s="10"/>
      <c r="N2255" s="10"/>
      <c r="O2255" s="10"/>
      <c r="P2255" s="10"/>
      <c r="Q2255" s="10"/>
      <c r="R2255" s="10"/>
      <c r="S2255" s="10"/>
      <c r="T2255" s="10"/>
      <c r="U2255" s="10"/>
      <c r="V2255" s="10"/>
      <c r="W2255" s="10"/>
      <c r="X2255" s="10"/>
      <c r="Y2255" s="10"/>
      <c r="Z2255" s="10"/>
      <c r="AA2255" s="10"/>
      <c r="AB2255" s="10"/>
      <c r="AC2255" s="10"/>
      <c r="AG2255" s="467"/>
      <c r="AH2255" s="6"/>
    </row>
    <row r="2256" spans="1:34">
      <c r="A2256" s="10"/>
      <c r="B2256" s="10"/>
      <c r="C2256" s="10"/>
      <c r="D2256" s="10"/>
      <c r="E2256" s="10"/>
      <c r="F2256" s="10"/>
      <c r="G2256" s="10"/>
      <c r="H2256" s="10"/>
      <c r="I2256" s="10"/>
      <c r="J2256" s="10"/>
      <c r="K2256" s="10"/>
      <c r="L2256" s="10"/>
      <c r="M2256" s="10"/>
      <c r="N2256" s="10"/>
      <c r="O2256" s="10"/>
      <c r="P2256" s="10"/>
      <c r="Q2256" s="10"/>
      <c r="R2256" s="10"/>
      <c r="S2256" s="10"/>
      <c r="T2256" s="10"/>
      <c r="U2256" s="10"/>
      <c r="V2256" s="10"/>
      <c r="W2256" s="10"/>
      <c r="X2256" s="10"/>
      <c r="Y2256" s="10"/>
      <c r="Z2256" s="10"/>
      <c r="AA2256" s="10"/>
      <c r="AB2256" s="10"/>
      <c r="AC2256" s="10"/>
      <c r="AG2256" s="467"/>
      <c r="AH2256" s="6"/>
    </row>
    <row r="2257" spans="1:34">
      <c r="A2257" s="10"/>
      <c r="B2257" s="10"/>
      <c r="C2257" s="10"/>
      <c r="D2257" s="10"/>
      <c r="E2257" s="10"/>
      <c r="F2257" s="10"/>
      <c r="G2257" s="10"/>
      <c r="H2257" s="10"/>
      <c r="I2257" s="10"/>
      <c r="J2257" s="10"/>
      <c r="K2257" s="10"/>
      <c r="L2257" s="10"/>
      <c r="M2257" s="10"/>
      <c r="N2257" s="10"/>
      <c r="O2257" s="10"/>
      <c r="P2257" s="10"/>
      <c r="Q2257" s="10"/>
      <c r="R2257" s="10"/>
      <c r="S2257" s="10"/>
      <c r="T2257" s="10"/>
      <c r="U2257" s="10"/>
      <c r="V2257" s="10"/>
      <c r="W2257" s="10"/>
      <c r="X2257" s="10"/>
      <c r="Y2257" s="10"/>
      <c r="Z2257" s="10"/>
      <c r="AA2257" s="10"/>
      <c r="AB2257" s="10"/>
      <c r="AC2257" s="10"/>
      <c r="AG2257" s="467"/>
      <c r="AH2257" s="6"/>
    </row>
    <row r="2258" spans="1:34">
      <c r="A2258" s="10"/>
      <c r="B2258" s="10"/>
      <c r="C2258" s="10"/>
      <c r="D2258" s="10"/>
      <c r="E2258" s="10"/>
      <c r="F2258" s="10"/>
      <c r="G2258" s="10"/>
      <c r="H2258" s="10"/>
      <c r="I2258" s="10"/>
      <c r="J2258" s="10"/>
      <c r="K2258" s="10"/>
      <c r="L2258" s="10"/>
      <c r="M2258" s="10"/>
      <c r="N2258" s="10"/>
      <c r="O2258" s="10"/>
      <c r="P2258" s="10"/>
      <c r="Q2258" s="10"/>
      <c r="R2258" s="10"/>
      <c r="S2258" s="10"/>
      <c r="T2258" s="10"/>
      <c r="U2258" s="10"/>
      <c r="V2258" s="10"/>
      <c r="W2258" s="10"/>
      <c r="X2258" s="10"/>
      <c r="Y2258" s="10"/>
      <c r="Z2258" s="10"/>
      <c r="AA2258" s="10"/>
      <c r="AB2258" s="10"/>
      <c r="AC2258" s="10"/>
      <c r="AG2258" s="467"/>
      <c r="AH2258" s="6"/>
    </row>
    <row r="2259" spans="1:34">
      <c r="A2259" s="10"/>
      <c r="B2259" s="10"/>
      <c r="C2259" s="10"/>
      <c r="D2259" s="10"/>
      <c r="E2259" s="10"/>
      <c r="F2259" s="10"/>
      <c r="G2259" s="10"/>
      <c r="H2259" s="10"/>
      <c r="I2259" s="10"/>
      <c r="J2259" s="10"/>
      <c r="K2259" s="10"/>
      <c r="L2259" s="10"/>
      <c r="M2259" s="10"/>
      <c r="N2259" s="10"/>
      <c r="O2259" s="10"/>
      <c r="P2259" s="10"/>
      <c r="Q2259" s="10"/>
      <c r="R2259" s="10"/>
      <c r="S2259" s="10"/>
      <c r="T2259" s="10"/>
      <c r="U2259" s="10"/>
      <c r="V2259" s="10"/>
      <c r="W2259" s="10"/>
      <c r="X2259" s="10"/>
      <c r="Y2259" s="10"/>
      <c r="Z2259" s="10"/>
      <c r="AA2259" s="10"/>
      <c r="AB2259" s="10"/>
      <c r="AC2259" s="10"/>
      <c r="AG2259" s="467"/>
      <c r="AH2259" s="6"/>
    </row>
    <row r="2260" spans="1:34">
      <c r="A2260" s="10"/>
      <c r="B2260" s="10"/>
      <c r="C2260" s="10"/>
      <c r="D2260" s="10"/>
      <c r="E2260" s="10"/>
      <c r="F2260" s="10"/>
      <c r="G2260" s="10"/>
      <c r="H2260" s="10"/>
      <c r="I2260" s="10"/>
      <c r="J2260" s="10"/>
      <c r="K2260" s="10"/>
      <c r="L2260" s="10"/>
      <c r="M2260" s="10"/>
      <c r="N2260" s="10"/>
      <c r="O2260" s="10"/>
      <c r="P2260" s="10"/>
      <c r="Q2260" s="10"/>
      <c r="R2260" s="10"/>
      <c r="S2260" s="10"/>
      <c r="T2260" s="10"/>
      <c r="U2260" s="10"/>
      <c r="V2260" s="10"/>
      <c r="W2260" s="10"/>
      <c r="X2260" s="10"/>
      <c r="Y2260" s="10"/>
      <c r="Z2260" s="10"/>
      <c r="AA2260" s="10"/>
      <c r="AB2260" s="10"/>
      <c r="AC2260" s="10"/>
      <c r="AG2260" s="467"/>
      <c r="AH2260" s="6"/>
    </row>
    <row r="2261" spans="1:34">
      <c r="A2261" s="10"/>
      <c r="B2261" s="10"/>
      <c r="C2261" s="10"/>
      <c r="D2261" s="10"/>
      <c r="E2261" s="10"/>
      <c r="F2261" s="10"/>
      <c r="G2261" s="10"/>
      <c r="H2261" s="10"/>
      <c r="I2261" s="10"/>
      <c r="J2261" s="10"/>
      <c r="K2261" s="10"/>
      <c r="L2261" s="10"/>
      <c r="M2261" s="10"/>
      <c r="N2261" s="10"/>
      <c r="O2261" s="10"/>
      <c r="P2261" s="10"/>
      <c r="Q2261" s="10"/>
      <c r="R2261" s="10"/>
      <c r="S2261" s="10"/>
      <c r="T2261" s="10"/>
      <c r="U2261" s="10"/>
      <c r="V2261" s="10"/>
      <c r="W2261" s="10"/>
      <c r="X2261" s="10"/>
      <c r="Y2261" s="10"/>
      <c r="Z2261" s="10"/>
      <c r="AA2261" s="10"/>
      <c r="AB2261" s="10"/>
      <c r="AC2261" s="10"/>
      <c r="AG2261" s="467"/>
      <c r="AH2261" s="6"/>
    </row>
    <row r="2262" spans="1:34">
      <c r="A2262" s="10"/>
      <c r="B2262" s="10"/>
      <c r="C2262" s="10"/>
      <c r="D2262" s="10"/>
      <c r="E2262" s="10"/>
      <c r="F2262" s="10"/>
      <c r="G2262" s="10"/>
      <c r="H2262" s="10"/>
      <c r="I2262" s="10"/>
      <c r="J2262" s="10"/>
      <c r="K2262" s="10"/>
      <c r="L2262" s="10"/>
      <c r="M2262" s="10"/>
      <c r="N2262" s="10"/>
      <c r="O2262" s="10"/>
      <c r="P2262" s="10"/>
      <c r="Q2262" s="10"/>
      <c r="R2262" s="10"/>
      <c r="S2262" s="10"/>
      <c r="T2262" s="10"/>
      <c r="U2262" s="10"/>
      <c r="V2262" s="10"/>
      <c r="W2262" s="10"/>
      <c r="X2262" s="10"/>
      <c r="Y2262" s="10"/>
      <c r="Z2262" s="10"/>
      <c r="AA2262" s="10"/>
      <c r="AB2262" s="10"/>
      <c r="AC2262" s="10"/>
      <c r="AG2262" s="467"/>
      <c r="AH2262" s="6"/>
    </row>
    <row r="2263" spans="1:34">
      <c r="A2263" s="10"/>
      <c r="B2263" s="10"/>
      <c r="C2263" s="10"/>
      <c r="D2263" s="10"/>
      <c r="E2263" s="10"/>
      <c r="F2263" s="10"/>
      <c r="G2263" s="10"/>
      <c r="H2263" s="10"/>
      <c r="I2263" s="10"/>
      <c r="J2263" s="10"/>
      <c r="K2263" s="10"/>
      <c r="L2263" s="10"/>
      <c r="M2263" s="10"/>
      <c r="N2263" s="10"/>
      <c r="O2263" s="10"/>
      <c r="P2263" s="10"/>
      <c r="Q2263" s="10"/>
      <c r="R2263" s="10"/>
      <c r="S2263" s="10"/>
      <c r="T2263" s="10"/>
      <c r="U2263" s="10"/>
      <c r="V2263" s="10"/>
      <c r="W2263" s="10"/>
      <c r="X2263" s="10"/>
      <c r="Y2263" s="10"/>
      <c r="Z2263" s="10"/>
      <c r="AA2263" s="10"/>
      <c r="AB2263" s="10"/>
      <c r="AC2263" s="10"/>
      <c r="AG2263" s="467"/>
      <c r="AH2263" s="6"/>
    </row>
    <row r="2264" spans="1:34">
      <c r="A2264" s="10"/>
      <c r="B2264" s="10"/>
      <c r="C2264" s="10"/>
      <c r="D2264" s="10"/>
      <c r="E2264" s="10"/>
      <c r="F2264" s="10"/>
      <c r="G2264" s="10"/>
      <c r="H2264" s="10"/>
      <c r="I2264" s="10"/>
      <c r="J2264" s="10"/>
      <c r="K2264" s="10"/>
      <c r="L2264" s="10"/>
      <c r="M2264" s="10"/>
      <c r="N2264" s="10"/>
      <c r="O2264" s="10"/>
      <c r="P2264" s="10"/>
      <c r="Q2264" s="10"/>
      <c r="R2264" s="10"/>
      <c r="S2264" s="10"/>
      <c r="T2264" s="10"/>
      <c r="U2264" s="10"/>
      <c r="V2264" s="10"/>
      <c r="W2264" s="10"/>
      <c r="X2264" s="10"/>
      <c r="Y2264" s="10"/>
      <c r="Z2264" s="10"/>
      <c r="AA2264" s="10"/>
      <c r="AB2264" s="10"/>
      <c r="AC2264" s="10"/>
      <c r="AG2264" s="467"/>
      <c r="AH2264" s="6"/>
    </row>
    <row r="2265" spans="1:34">
      <c r="A2265" s="10"/>
      <c r="B2265" s="10"/>
      <c r="C2265" s="10"/>
      <c r="D2265" s="10"/>
      <c r="E2265" s="10"/>
      <c r="F2265" s="10"/>
      <c r="G2265" s="10"/>
      <c r="H2265" s="10"/>
      <c r="I2265" s="10"/>
      <c r="J2265" s="10"/>
      <c r="K2265" s="10"/>
      <c r="L2265" s="10"/>
      <c r="M2265" s="10"/>
      <c r="N2265" s="10"/>
      <c r="O2265" s="10"/>
      <c r="P2265" s="10"/>
      <c r="Q2265" s="10"/>
      <c r="R2265" s="10"/>
      <c r="S2265" s="10"/>
      <c r="T2265" s="10"/>
      <c r="U2265" s="10"/>
      <c r="V2265" s="10"/>
      <c r="W2265" s="10"/>
      <c r="X2265" s="10"/>
      <c r="Y2265" s="10"/>
      <c r="Z2265" s="10"/>
      <c r="AA2265" s="10"/>
      <c r="AB2265" s="10"/>
      <c r="AC2265" s="10"/>
      <c r="AG2265" s="467"/>
      <c r="AH2265" s="6"/>
    </row>
    <row r="2266" spans="1:34">
      <c r="A2266" s="10"/>
      <c r="B2266" s="10"/>
      <c r="C2266" s="10"/>
      <c r="D2266" s="10"/>
      <c r="E2266" s="10"/>
      <c r="F2266" s="10"/>
      <c r="G2266" s="10"/>
      <c r="H2266" s="10"/>
      <c r="I2266" s="10"/>
      <c r="J2266" s="10"/>
      <c r="K2266" s="10"/>
      <c r="L2266" s="10"/>
      <c r="M2266" s="10"/>
      <c r="N2266" s="10"/>
      <c r="O2266" s="10"/>
      <c r="P2266" s="10"/>
      <c r="Q2266" s="10"/>
      <c r="R2266" s="10"/>
      <c r="S2266" s="10"/>
      <c r="T2266" s="10"/>
      <c r="U2266" s="10"/>
      <c r="V2266" s="10"/>
      <c r="W2266" s="10"/>
      <c r="X2266" s="10"/>
      <c r="Y2266" s="10"/>
      <c r="Z2266" s="10"/>
      <c r="AA2266" s="10"/>
      <c r="AB2266" s="10"/>
      <c r="AC2266" s="10"/>
      <c r="AG2266" s="467"/>
      <c r="AH2266" s="6"/>
    </row>
    <row r="2267" spans="1:34">
      <c r="A2267" s="10"/>
      <c r="B2267" s="10"/>
      <c r="C2267" s="10"/>
      <c r="D2267" s="10"/>
      <c r="E2267" s="10"/>
      <c r="F2267" s="10"/>
      <c r="G2267" s="10"/>
      <c r="H2267" s="10"/>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G2267" s="467"/>
      <c r="AH2267" s="6"/>
    </row>
    <row r="2268" spans="1:34">
      <c r="A2268" s="10"/>
      <c r="B2268" s="10"/>
      <c r="C2268" s="10"/>
      <c r="D2268" s="10"/>
      <c r="E2268" s="10"/>
      <c r="F2268" s="10"/>
      <c r="G2268" s="10"/>
      <c r="H2268" s="10"/>
      <c r="I2268" s="10"/>
      <c r="J2268" s="10"/>
      <c r="K2268" s="10"/>
      <c r="L2268" s="10"/>
      <c r="M2268" s="10"/>
      <c r="N2268" s="10"/>
      <c r="O2268" s="10"/>
      <c r="P2268" s="10"/>
      <c r="Q2268" s="10"/>
      <c r="R2268" s="10"/>
      <c r="S2268" s="10"/>
      <c r="T2268" s="10"/>
      <c r="U2268" s="10"/>
      <c r="V2268" s="10"/>
      <c r="W2268" s="10"/>
      <c r="X2268" s="10"/>
      <c r="Y2268" s="10"/>
      <c r="Z2268" s="10"/>
      <c r="AA2268" s="10"/>
      <c r="AB2268" s="10"/>
      <c r="AC2268" s="10"/>
      <c r="AG2268" s="467"/>
      <c r="AH2268" s="6"/>
    </row>
    <row r="2269" spans="1:34">
      <c r="A2269" s="10"/>
      <c r="B2269" s="10"/>
      <c r="C2269" s="10"/>
      <c r="D2269" s="10"/>
      <c r="E2269" s="10"/>
      <c r="F2269" s="10"/>
      <c r="G2269" s="10"/>
      <c r="H2269" s="10"/>
      <c r="I2269" s="10"/>
      <c r="J2269" s="10"/>
      <c r="K2269" s="10"/>
      <c r="L2269" s="10"/>
      <c r="M2269" s="10"/>
      <c r="N2269" s="10"/>
      <c r="O2269" s="10"/>
      <c r="P2269" s="10"/>
      <c r="Q2269" s="10"/>
      <c r="R2269" s="10"/>
      <c r="S2269" s="10"/>
      <c r="T2269" s="10"/>
      <c r="U2269" s="10"/>
      <c r="V2269" s="10"/>
      <c r="W2269" s="10"/>
      <c r="X2269" s="10"/>
      <c r="Y2269" s="10"/>
      <c r="Z2269" s="10"/>
      <c r="AA2269" s="10"/>
      <c r="AB2269" s="10"/>
      <c r="AC2269" s="10"/>
      <c r="AG2269" s="467"/>
      <c r="AH2269" s="6"/>
    </row>
    <row r="2270" spans="1:34">
      <c r="A2270" s="10"/>
      <c r="B2270" s="10"/>
      <c r="C2270" s="10"/>
      <c r="D2270" s="10"/>
      <c r="E2270" s="10"/>
      <c r="F2270" s="10"/>
      <c r="G2270" s="10"/>
      <c r="H2270" s="10"/>
      <c r="I2270" s="10"/>
      <c r="J2270" s="10"/>
      <c r="K2270" s="10"/>
      <c r="L2270" s="10"/>
      <c r="M2270" s="10"/>
      <c r="N2270" s="10"/>
      <c r="O2270" s="10"/>
      <c r="P2270" s="10"/>
      <c r="Q2270" s="10"/>
      <c r="R2270" s="10"/>
      <c r="S2270" s="10"/>
      <c r="T2270" s="10"/>
      <c r="U2270" s="10"/>
      <c r="V2270" s="10"/>
      <c r="W2270" s="10"/>
      <c r="X2270" s="10"/>
      <c r="Y2270" s="10"/>
      <c r="Z2270" s="10"/>
      <c r="AA2270" s="10"/>
      <c r="AB2270" s="10"/>
      <c r="AC2270" s="10"/>
      <c r="AG2270" s="467"/>
      <c r="AH2270" s="6"/>
    </row>
    <row r="2271" spans="1:34">
      <c r="A2271" s="10"/>
      <c r="B2271" s="10"/>
      <c r="C2271" s="10"/>
      <c r="D2271" s="10"/>
      <c r="E2271" s="10"/>
      <c r="F2271" s="10"/>
      <c r="G2271" s="10"/>
      <c r="H2271" s="10"/>
      <c r="I2271" s="10"/>
      <c r="J2271" s="10"/>
      <c r="K2271" s="10"/>
      <c r="L2271" s="10"/>
      <c r="M2271" s="10"/>
      <c r="N2271" s="10"/>
      <c r="O2271" s="10"/>
      <c r="P2271" s="10"/>
      <c r="Q2271" s="10"/>
      <c r="R2271" s="10"/>
      <c r="S2271" s="10"/>
      <c r="T2271" s="10"/>
      <c r="U2271" s="10"/>
      <c r="V2271" s="10"/>
      <c r="W2271" s="10"/>
      <c r="X2271" s="10"/>
      <c r="Y2271" s="10"/>
      <c r="Z2271" s="10"/>
      <c r="AA2271" s="10"/>
      <c r="AB2271" s="10"/>
      <c r="AC2271" s="10"/>
      <c r="AG2271" s="467"/>
      <c r="AH2271" s="6"/>
    </row>
    <row r="2272" spans="1:34">
      <c r="A2272" s="10"/>
      <c r="B2272" s="10"/>
      <c r="C2272" s="10"/>
      <c r="D2272" s="10"/>
      <c r="E2272" s="10"/>
      <c r="F2272" s="10"/>
      <c r="G2272" s="10"/>
      <c r="H2272" s="10"/>
      <c r="I2272" s="10"/>
      <c r="J2272" s="10"/>
      <c r="K2272" s="10"/>
      <c r="L2272" s="10"/>
      <c r="M2272" s="10"/>
      <c r="N2272" s="10"/>
      <c r="O2272" s="10"/>
      <c r="P2272" s="10"/>
      <c r="Q2272" s="10"/>
      <c r="R2272" s="10"/>
      <c r="S2272" s="10"/>
      <c r="T2272" s="10"/>
      <c r="U2272" s="10"/>
      <c r="V2272" s="10"/>
      <c r="W2272" s="10"/>
      <c r="X2272" s="10"/>
      <c r="Y2272" s="10"/>
      <c r="Z2272" s="10"/>
      <c r="AA2272" s="10"/>
      <c r="AB2272" s="10"/>
      <c r="AC2272" s="10"/>
      <c r="AG2272" s="467"/>
      <c r="AH2272" s="6"/>
    </row>
    <row r="2273" spans="1:34">
      <c r="A2273" s="10"/>
      <c r="B2273" s="10"/>
      <c r="C2273" s="10"/>
      <c r="D2273" s="10"/>
      <c r="E2273" s="10"/>
      <c r="F2273" s="10"/>
      <c r="G2273" s="10"/>
      <c r="H2273" s="10"/>
      <c r="I2273" s="10"/>
      <c r="J2273" s="10"/>
      <c r="K2273" s="10"/>
      <c r="L2273" s="10"/>
      <c r="M2273" s="10"/>
      <c r="N2273" s="10"/>
      <c r="O2273" s="10"/>
      <c r="P2273" s="10"/>
      <c r="Q2273" s="10"/>
      <c r="R2273" s="10"/>
      <c r="S2273" s="10"/>
      <c r="T2273" s="10"/>
      <c r="U2273" s="10"/>
      <c r="V2273" s="10"/>
      <c r="W2273" s="10"/>
      <c r="X2273" s="10"/>
      <c r="Y2273" s="10"/>
      <c r="Z2273" s="10"/>
      <c r="AA2273" s="10"/>
      <c r="AB2273" s="10"/>
      <c r="AC2273" s="10"/>
      <c r="AG2273" s="467"/>
      <c r="AH2273" s="6"/>
    </row>
    <row r="2274" spans="1:34">
      <c r="A2274" s="10"/>
      <c r="B2274" s="10"/>
      <c r="C2274" s="10"/>
      <c r="D2274" s="10"/>
      <c r="E2274" s="10"/>
      <c r="F2274" s="10"/>
      <c r="G2274" s="10"/>
      <c r="H2274" s="10"/>
      <c r="I2274" s="10"/>
      <c r="J2274" s="10"/>
      <c r="K2274" s="10"/>
      <c r="L2274" s="10"/>
      <c r="M2274" s="10"/>
      <c r="N2274" s="10"/>
      <c r="O2274" s="10"/>
      <c r="P2274" s="10"/>
      <c r="Q2274" s="10"/>
      <c r="R2274" s="10"/>
      <c r="S2274" s="10"/>
      <c r="T2274" s="10"/>
      <c r="U2274" s="10"/>
      <c r="V2274" s="10"/>
      <c r="W2274" s="10"/>
      <c r="X2274" s="10"/>
      <c r="Y2274" s="10"/>
      <c r="Z2274" s="10"/>
      <c r="AA2274" s="10"/>
      <c r="AB2274" s="10"/>
      <c r="AC2274" s="10"/>
      <c r="AG2274" s="467"/>
      <c r="AH2274" s="6"/>
    </row>
    <row r="2275" spans="1:34">
      <c r="A2275" s="10"/>
      <c r="B2275" s="10"/>
      <c r="C2275" s="10"/>
      <c r="D2275" s="10"/>
      <c r="E2275" s="10"/>
      <c r="F2275" s="10"/>
      <c r="G2275" s="10"/>
      <c r="H2275" s="10"/>
      <c r="I2275" s="10"/>
      <c r="J2275" s="10"/>
      <c r="K2275" s="10"/>
      <c r="L2275" s="10"/>
      <c r="M2275" s="10"/>
      <c r="N2275" s="10"/>
      <c r="O2275" s="10"/>
      <c r="P2275" s="10"/>
      <c r="Q2275" s="10"/>
      <c r="R2275" s="10"/>
      <c r="S2275" s="10"/>
      <c r="T2275" s="10"/>
      <c r="U2275" s="10"/>
      <c r="V2275" s="10"/>
      <c r="W2275" s="10"/>
      <c r="X2275" s="10"/>
      <c r="Y2275" s="10"/>
      <c r="Z2275" s="10"/>
      <c r="AA2275" s="10"/>
      <c r="AB2275" s="10"/>
      <c r="AC2275" s="10"/>
      <c r="AG2275" s="467"/>
      <c r="AH2275" s="6"/>
    </row>
    <row r="2276" spans="1:34">
      <c r="A2276" s="10"/>
      <c r="B2276" s="10"/>
      <c r="C2276" s="10"/>
      <c r="D2276" s="10"/>
      <c r="E2276" s="10"/>
      <c r="F2276" s="10"/>
      <c r="G2276" s="10"/>
      <c r="H2276" s="10"/>
      <c r="I2276" s="10"/>
      <c r="J2276" s="10"/>
      <c r="K2276" s="10"/>
      <c r="L2276" s="10"/>
      <c r="M2276" s="10"/>
      <c r="N2276" s="10"/>
      <c r="O2276" s="10"/>
      <c r="P2276" s="10"/>
      <c r="Q2276" s="10"/>
      <c r="R2276" s="10"/>
      <c r="S2276" s="10"/>
      <c r="T2276" s="10"/>
      <c r="U2276" s="10"/>
      <c r="V2276" s="10"/>
      <c r="W2276" s="10"/>
      <c r="X2276" s="10"/>
      <c r="Y2276" s="10"/>
      <c r="Z2276" s="10"/>
      <c r="AA2276" s="10"/>
      <c r="AB2276" s="10"/>
      <c r="AC2276" s="10"/>
      <c r="AG2276" s="467"/>
      <c r="AH2276" s="6"/>
    </row>
    <row r="2277" spans="1:34">
      <c r="A2277" s="10"/>
      <c r="B2277" s="10"/>
      <c r="C2277" s="10"/>
      <c r="D2277" s="10"/>
      <c r="E2277" s="10"/>
      <c r="F2277" s="10"/>
      <c r="G2277" s="10"/>
      <c r="H2277" s="10"/>
      <c r="I2277" s="10"/>
      <c r="J2277" s="10"/>
      <c r="K2277" s="10"/>
      <c r="L2277" s="10"/>
      <c r="M2277" s="10"/>
      <c r="N2277" s="10"/>
      <c r="O2277" s="10"/>
      <c r="P2277" s="10"/>
      <c r="Q2277" s="10"/>
      <c r="R2277" s="10"/>
      <c r="S2277" s="10"/>
      <c r="T2277" s="10"/>
      <c r="U2277" s="10"/>
      <c r="V2277" s="10"/>
      <c r="W2277" s="10"/>
      <c r="X2277" s="10"/>
      <c r="Y2277" s="10"/>
      <c r="Z2277" s="10"/>
      <c r="AA2277" s="10"/>
      <c r="AB2277" s="10"/>
      <c r="AC2277" s="10"/>
      <c r="AG2277" s="467"/>
      <c r="AH2277" s="6"/>
    </row>
    <row r="2278" spans="1:34">
      <c r="A2278" s="10"/>
      <c r="B2278" s="10"/>
      <c r="C2278" s="10"/>
      <c r="D2278" s="10"/>
      <c r="E2278" s="10"/>
      <c r="F2278" s="10"/>
      <c r="G2278" s="10"/>
      <c r="H2278" s="10"/>
      <c r="I2278" s="10"/>
      <c r="J2278" s="10"/>
      <c r="K2278" s="10"/>
      <c r="L2278" s="10"/>
      <c r="M2278" s="10"/>
      <c r="N2278" s="10"/>
      <c r="O2278" s="10"/>
      <c r="P2278" s="10"/>
      <c r="Q2278" s="10"/>
      <c r="R2278" s="10"/>
      <c r="S2278" s="10"/>
      <c r="T2278" s="10"/>
      <c r="U2278" s="10"/>
      <c r="V2278" s="10"/>
      <c r="W2278" s="10"/>
      <c r="X2278" s="10"/>
      <c r="Y2278" s="10"/>
      <c r="Z2278" s="10"/>
      <c r="AA2278" s="10"/>
      <c r="AB2278" s="10"/>
      <c r="AC2278" s="10"/>
      <c r="AG2278" s="467"/>
      <c r="AH2278" s="6"/>
    </row>
    <row r="2279" spans="1:34">
      <c r="A2279" s="10"/>
      <c r="B2279" s="10"/>
      <c r="C2279" s="10"/>
      <c r="D2279" s="10"/>
      <c r="E2279" s="10"/>
      <c r="F2279" s="10"/>
      <c r="G2279" s="10"/>
      <c r="H2279" s="10"/>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G2279" s="467"/>
      <c r="AH2279" s="6"/>
    </row>
    <row r="2280" spans="1:34">
      <c r="A2280" s="10"/>
      <c r="B2280" s="10"/>
      <c r="C2280" s="10"/>
      <c r="D2280" s="10"/>
      <c r="E2280" s="10"/>
      <c r="F2280" s="10"/>
      <c r="G2280" s="10"/>
      <c r="H2280" s="10"/>
      <c r="I2280" s="10"/>
      <c r="J2280" s="10"/>
      <c r="K2280" s="10"/>
      <c r="L2280" s="10"/>
      <c r="M2280" s="10"/>
      <c r="N2280" s="10"/>
      <c r="O2280" s="10"/>
      <c r="P2280" s="10"/>
      <c r="Q2280" s="10"/>
      <c r="R2280" s="10"/>
      <c r="S2280" s="10"/>
      <c r="T2280" s="10"/>
      <c r="U2280" s="10"/>
      <c r="V2280" s="10"/>
      <c r="W2280" s="10"/>
      <c r="X2280" s="10"/>
      <c r="Y2280" s="10"/>
      <c r="Z2280" s="10"/>
      <c r="AA2280" s="10"/>
      <c r="AB2280" s="10"/>
      <c r="AC2280" s="10"/>
      <c r="AG2280" s="467"/>
      <c r="AH2280" s="6"/>
    </row>
    <row r="2281" spans="1:34">
      <c r="A2281" s="10"/>
      <c r="B2281" s="10"/>
      <c r="C2281" s="10"/>
      <c r="D2281" s="10"/>
      <c r="E2281" s="10"/>
      <c r="F2281" s="10"/>
      <c r="G2281" s="10"/>
      <c r="H2281" s="10"/>
      <c r="I2281" s="10"/>
      <c r="J2281" s="10"/>
      <c r="K2281" s="10"/>
      <c r="L2281" s="10"/>
      <c r="M2281" s="10"/>
      <c r="N2281" s="10"/>
      <c r="O2281" s="10"/>
      <c r="P2281" s="10"/>
      <c r="Q2281" s="10"/>
      <c r="R2281" s="10"/>
      <c r="S2281" s="10"/>
      <c r="T2281" s="10"/>
      <c r="U2281" s="10"/>
      <c r="V2281" s="10"/>
      <c r="W2281" s="10"/>
      <c r="X2281" s="10"/>
      <c r="Y2281" s="10"/>
      <c r="Z2281" s="10"/>
      <c r="AA2281" s="10"/>
      <c r="AB2281" s="10"/>
      <c r="AC2281" s="10"/>
      <c r="AG2281" s="467"/>
      <c r="AH2281" s="6"/>
    </row>
    <row r="2282" spans="1:34">
      <c r="A2282" s="10"/>
      <c r="B2282" s="10"/>
      <c r="C2282" s="10"/>
      <c r="D2282" s="10"/>
      <c r="E2282" s="10"/>
      <c r="F2282" s="10"/>
      <c r="G2282" s="10"/>
      <c r="H2282" s="10"/>
      <c r="I2282" s="10"/>
      <c r="J2282" s="10"/>
      <c r="K2282" s="10"/>
      <c r="L2282" s="10"/>
      <c r="M2282" s="10"/>
      <c r="N2282" s="10"/>
      <c r="O2282" s="10"/>
      <c r="P2282" s="10"/>
      <c r="Q2282" s="10"/>
      <c r="R2282" s="10"/>
      <c r="S2282" s="10"/>
      <c r="T2282" s="10"/>
      <c r="U2282" s="10"/>
      <c r="V2282" s="10"/>
      <c r="W2282" s="10"/>
      <c r="X2282" s="10"/>
      <c r="Y2282" s="10"/>
      <c r="Z2282" s="10"/>
      <c r="AA2282" s="10"/>
      <c r="AB2282" s="10"/>
      <c r="AC2282" s="10"/>
      <c r="AG2282" s="467"/>
      <c r="AH2282" s="6"/>
    </row>
    <row r="2283" spans="1:34">
      <c r="A2283" s="10"/>
      <c r="B2283" s="10"/>
      <c r="C2283" s="10"/>
      <c r="D2283" s="10"/>
      <c r="E2283" s="10"/>
      <c r="F2283" s="10"/>
      <c r="G2283" s="10"/>
      <c r="H2283" s="10"/>
      <c r="I2283" s="10"/>
      <c r="J2283" s="10"/>
      <c r="K2283" s="10"/>
      <c r="L2283" s="10"/>
      <c r="M2283" s="10"/>
      <c r="N2283" s="10"/>
      <c r="O2283" s="10"/>
      <c r="P2283" s="10"/>
      <c r="Q2283" s="10"/>
      <c r="R2283" s="10"/>
      <c r="S2283" s="10"/>
      <c r="T2283" s="10"/>
      <c r="U2283" s="10"/>
      <c r="V2283" s="10"/>
      <c r="W2283" s="10"/>
      <c r="X2283" s="10"/>
      <c r="Y2283" s="10"/>
      <c r="Z2283" s="10"/>
      <c r="AA2283" s="10"/>
      <c r="AB2283" s="10"/>
      <c r="AC2283" s="10"/>
      <c r="AG2283" s="467"/>
      <c r="AH2283" s="6"/>
    </row>
    <row r="2284" spans="1:34">
      <c r="A2284" s="10"/>
      <c r="B2284" s="10"/>
      <c r="C2284" s="10"/>
      <c r="D2284" s="10"/>
      <c r="E2284" s="10"/>
      <c r="F2284" s="10"/>
      <c r="G2284" s="10"/>
      <c r="H2284" s="10"/>
      <c r="I2284" s="10"/>
      <c r="J2284" s="10"/>
      <c r="K2284" s="10"/>
      <c r="L2284" s="10"/>
      <c r="M2284" s="10"/>
      <c r="N2284" s="10"/>
      <c r="O2284" s="10"/>
      <c r="P2284" s="10"/>
      <c r="Q2284" s="10"/>
      <c r="R2284" s="10"/>
      <c r="S2284" s="10"/>
      <c r="T2284" s="10"/>
      <c r="U2284" s="10"/>
      <c r="V2284" s="10"/>
      <c r="W2284" s="10"/>
      <c r="X2284" s="10"/>
      <c r="Y2284" s="10"/>
      <c r="Z2284" s="10"/>
      <c r="AA2284" s="10"/>
      <c r="AB2284" s="10"/>
      <c r="AC2284" s="10"/>
      <c r="AG2284" s="467"/>
      <c r="AH2284" s="6"/>
    </row>
    <row r="2285" spans="1:34">
      <c r="A2285" s="10"/>
      <c r="B2285" s="10"/>
      <c r="C2285" s="10"/>
      <c r="D2285" s="10"/>
      <c r="E2285" s="10"/>
      <c r="F2285" s="10"/>
      <c r="G2285" s="10"/>
      <c r="H2285" s="10"/>
      <c r="I2285" s="10"/>
      <c r="J2285" s="10"/>
      <c r="K2285" s="10"/>
      <c r="L2285" s="10"/>
      <c r="M2285" s="10"/>
      <c r="N2285" s="10"/>
      <c r="O2285" s="10"/>
      <c r="P2285" s="10"/>
      <c r="Q2285" s="10"/>
      <c r="R2285" s="10"/>
      <c r="S2285" s="10"/>
      <c r="T2285" s="10"/>
      <c r="U2285" s="10"/>
      <c r="V2285" s="10"/>
      <c r="W2285" s="10"/>
      <c r="X2285" s="10"/>
      <c r="Y2285" s="10"/>
      <c r="Z2285" s="10"/>
      <c r="AA2285" s="10"/>
      <c r="AB2285" s="10"/>
      <c r="AC2285" s="10"/>
      <c r="AG2285" s="467"/>
      <c r="AH2285" s="6"/>
    </row>
    <row r="2286" spans="1:34">
      <c r="A2286" s="10"/>
      <c r="B2286" s="10"/>
      <c r="C2286" s="10"/>
      <c r="D2286" s="10"/>
      <c r="E2286" s="10"/>
      <c r="F2286" s="10"/>
      <c r="G2286" s="10"/>
      <c r="H2286" s="10"/>
      <c r="I2286" s="10"/>
      <c r="J2286" s="10"/>
      <c r="K2286" s="10"/>
      <c r="L2286" s="10"/>
      <c r="M2286" s="10"/>
      <c r="N2286" s="10"/>
      <c r="O2286" s="10"/>
      <c r="P2286" s="10"/>
      <c r="Q2286" s="10"/>
      <c r="R2286" s="10"/>
      <c r="S2286" s="10"/>
      <c r="T2286" s="10"/>
      <c r="U2286" s="10"/>
      <c r="V2286" s="10"/>
      <c r="W2286" s="10"/>
      <c r="X2286" s="10"/>
      <c r="Y2286" s="10"/>
      <c r="Z2286" s="10"/>
      <c r="AA2286" s="10"/>
      <c r="AB2286" s="10"/>
      <c r="AC2286" s="10"/>
      <c r="AG2286" s="467"/>
      <c r="AH2286" s="6"/>
    </row>
    <row r="2287" spans="1:34">
      <c r="A2287" s="10"/>
      <c r="B2287" s="10"/>
      <c r="C2287" s="10"/>
      <c r="D2287" s="10"/>
      <c r="E2287" s="10"/>
      <c r="F2287" s="10"/>
      <c r="G2287" s="10"/>
      <c r="H2287" s="10"/>
      <c r="I2287" s="10"/>
      <c r="J2287" s="10"/>
      <c r="K2287" s="10"/>
      <c r="L2287" s="10"/>
      <c r="M2287" s="10"/>
      <c r="N2287" s="10"/>
      <c r="O2287" s="10"/>
      <c r="P2287" s="10"/>
      <c r="Q2287" s="10"/>
      <c r="R2287" s="10"/>
      <c r="S2287" s="10"/>
      <c r="T2287" s="10"/>
      <c r="U2287" s="10"/>
      <c r="V2287" s="10"/>
      <c r="W2287" s="10"/>
      <c r="X2287" s="10"/>
      <c r="Y2287" s="10"/>
      <c r="Z2287" s="10"/>
      <c r="AA2287" s="10"/>
      <c r="AB2287" s="10"/>
      <c r="AC2287" s="10"/>
      <c r="AG2287" s="467"/>
      <c r="AH2287" s="6"/>
    </row>
    <row r="2288" spans="1:34">
      <c r="A2288" s="10"/>
      <c r="B2288" s="10"/>
      <c r="C2288" s="10"/>
      <c r="D2288" s="10"/>
      <c r="E2288" s="10"/>
      <c r="F2288" s="10"/>
      <c r="G2288" s="10"/>
      <c r="H2288" s="10"/>
      <c r="I2288" s="10"/>
      <c r="J2288" s="10"/>
      <c r="K2288" s="10"/>
      <c r="L2288" s="10"/>
      <c r="M2288" s="10"/>
      <c r="N2288" s="10"/>
      <c r="O2288" s="10"/>
      <c r="P2288" s="10"/>
      <c r="Q2288" s="10"/>
      <c r="R2288" s="10"/>
      <c r="S2288" s="10"/>
      <c r="T2288" s="10"/>
      <c r="U2288" s="10"/>
      <c r="V2288" s="10"/>
      <c r="W2288" s="10"/>
      <c r="X2288" s="10"/>
      <c r="Y2288" s="10"/>
      <c r="Z2288" s="10"/>
      <c r="AA2288" s="10"/>
      <c r="AB2288" s="10"/>
      <c r="AC2288" s="10"/>
      <c r="AG2288" s="467"/>
      <c r="AH2288" s="6"/>
    </row>
    <row r="2289" spans="1:34">
      <c r="A2289" s="10"/>
      <c r="B2289" s="10"/>
      <c r="C2289" s="10"/>
      <c r="D2289" s="10"/>
      <c r="E2289" s="10"/>
      <c r="F2289" s="10"/>
      <c r="G2289" s="10"/>
      <c r="H2289" s="10"/>
      <c r="I2289" s="10"/>
      <c r="J2289" s="10"/>
      <c r="K2289" s="10"/>
      <c r="L2289" s="10"/>
      <c r="M2289" s="10"/>
      <c r="N2289" s="10"/>
      <c r="O2289" s="10"/>
      <c r="P2289" s="10"/>
      <c r="Q2289" s="10"/>
      <c r="R2289" s="10"/>
      <c r="S2289" s="10"/>
      <c r="T2289" s="10"/>
      <c r="U2289" s="10"/>
      <c r="V2289" s="10"/>
      <c r="W2289" s="10"/>
      <c r="X2289" s="10"/>
      <c r="Y2289" s="10"/>
      <c r="Z2289" s="10"/>
      <c r="AA2289" s="10"/>
      <c r="AB2289" s="10"/>
      <c r="AC2289" s="10"/>
      <c r="AG2289" s="467"/>
      <c r="AH2289" s="6"/>
    </row>
    <row r="2290" spans="1:34">
      <c r="A2290" s="10"/>
      <c r="B2290" s="10"/>
      <c r="C2290" s="10"/>
      <c r="D2290" s="10"/>
      <c r="E2290" s="10"/>
      <c r="F2290" s="10"/>
      <c r="G2290" s="10"/>
      <c r="H2290" s="10"/>
      <c r="I2290" s="10"/>
      <c r="J2290" s="10"/>
      <c r="K2290" s="10"/>
      <c r="L2290" s="10"/>
      <c r="M2290" s="10"/>
      <c r="N2290" s="10"/>
      <c r="O2290" s="10"/>
      <c r="P2290" s="10"/>
      <c r="Q2290" s="10"/>
      <c r="R2290" s="10"/>
      <c r="S2290" s="10"/>
      <c r="T2290" s="10"/>
      <c r="U2290" s="10"/>
      <c r="V2290" s="10"/>
      <c r="W2290" s="10"/>
      <c r="X2290" s="10"/>
      <c r="Y2290" s="10"/>
      <c r="Z2290" s="10"/>
      <c r="AA2290" s="10"/>
      <c r="AB2290" s="10"/>
      <c r="AC2290" s="10"/>
      <c r="AG2290" s="467"/>
      <c r="AH2290" s="6"/>
    </row>
    <row r="2291" spans="1:34">
      <c r="A2291" s="10"/>
      <c r="B2291" s="10"/>
      <c r="C2291" s="10"/>
      <c r="D2291" s="10"/>
      <c r="E2291" s="10"/>
      <c r="F2291" s="10"/>
      <c r="G2291" s="10"/>
      <c r="H2291" s="10"/>
      <c r="I2291" s="10"/>
      <c r="J2291" s="10"/>
      <c r="K2291" s="10"/>
      <c r="L2291" s="10"/>
      <c r="M2291" s="10"/>
      <c r="N2291" s="10"/>
      <c r="O2291" s="10"/>
      <c r="P2291" s="10"/>
      <c r="Q2291" s="10"/>
      <c r="R2291" s="10"/>
      <c r="S2291" s="10"/>
      <c r="T2291" s="10"/>
      <c r="U2291" s="10"/>
      <c r="V2291" s="10"/>
      <c r="W2291" s="10"/>
      <c r="X2291" s="10"/>
      <c r="Y2291" s="10"/>
      <c r="Z2291" s="10"/>
      <c r="AA2291" s="10"/>
      <c r="AB2291" s="10"/>
      <c r="AC2291" s="10"/>
      <c r="AG2291" s="467"/>
      <c r="AH2291" s="6"/>
    </row>
    <row r="2292" spans="1:34">
      <c r="A2292" s="10"/>
      <c r="B2292" s="10"/>
      <c r="C2292" s="10"/>
      <c r="D2292" s="10"/>
      <c r="E2292" s="10"/>
      <c r="F2292" s="10"/>
      <c r="G2292" s="10"/>
      <c r="H2292" s="10"/>
      <c r="I2292" s="10"/>
      <c r="J2292" s="10"/>
      <c r="K2292" s="10"/>
      <c r="L2292" s="10"/>
      <c r="M2292" s="10"/>
      <c r="N2292" s="10"/>
      <c r="O2292" s="10"/>
      <c r="P2292" s="10"/>
      <c r="Q2292" s="10"/>
      <c r="R2292" s="10"/>
      <c r="S2292" s="10"/>
      <c r="T2292" s="10"/>
      <c r="U2292" s="10"/>
      <c r="V2292" s="10"/>
      <c r="W2292" s="10"/>
      <c r="X2292" s="10"/>
      <c r="Y2292" s="10"/>
      <c r="Z2292" s="10"/>
      <c r="AA2292" s="10"/>
      <c r="AB2292" s="10"/>
      <c r="AC2292" s="10"/>
      <c r="AG2292" s="467"/>
      <c r="AH2292" s="6"/>
    </row>
    <row r="2293" spans="1:34">
      <c r="A2293" s="10"/>
      <c r="B2293" s="10"/>
      <c r="C2293" s="10"/>
      <c r="D2293" s="10"/>
      <c r="E2293" s="10"/>
      <c r="F2293" s="10"/>
      <c r="G2293" s="10"/>
      <c r="H2293" s="10"/>
      <c r="I2293" s="10"/>
      <c r="J2293" s="10"/>
      <c r="K2293" s="10"/>
      <c r="L2293" s="10"/>
      <c r="M2293" s="10"/>
      <c r="N2293" s="10"/>
      <c r="O2293" s="10"/>
      <c r="P2293" s="10"/>
      <c r="Q2293" s="10"/>
      <c r="R2293" s="10"/>
      <c r="S2293" s="10"/>
      <c r="T2293" s="10"/>
      <c r="U2293" s="10"/>
      <c r="V2293" s="10"/>
      <c r="W2293" s="10"/>
      <c r="X2293" s="10"/>
      <c r="Y2293" s="10"/>
      <c r="Z2293" s="10"/>
      <c r="AA2293" s="10"/>
      <c r="AB2293" s="10"/>
      <c r="AC2293" s="10"/>
      <c r="AG2293" s="467"/>
      <c r="AH2293" s="6"/>
    </row>
    <row r="2294" spans="1:34">
      <c r="A2294" s="10"/>
      <c r="B2294" s="10"/>
      <c r="C2294" s="10"/>
      <c r="D2294" s="10"/>
      <c r="E2294" s="10"/>
      <c r="F2294" s="10"/>
      <c r="G2294" s="10"/>
      <c r="H2294" s="10"/>
      <c r="I2294" s="10"/>
      <c r="J2294" s="10"/>
      <c r="K2294" s="10"/>
      <c r="L2294" s="10"/>
      <c r="M2294" s="10"/>
      <c r="N2294" s="10"/>
      <c r="O2294" s="10"/>
      <c r="P2294" s="10"/>
      <c r="Q2294" s="10"/>
      <c r="R2294" s="10"/>
      <c r="S2294" s="10"/>
      <c r="T2294" s="10"/>
      <c r="U2294" s="10"/>
      <c r="V2294" s="10"/>
      <c r="W2294" s="10"/>
      <c r="X2294" s="10"/>
      <c r="Y2294" s="10"/>
      <c r="Z2294" s="10"/>
      <c r="AA2294" s="10"/>
      <c r="AB2294" s="10"/>
      <c r="AC2294" s="10"/>
      <c r="AG2294" s="467"/>
      <c r="AH2294" s="6"/>
    </row>
    <row r="2295" spans="1:34">
      <c r="A2295" s="10"/>
      <c r="B2295" s="10"/>
      <c r="C2295" s="10"/>
      <c r="D2295" s="10"/>
      <c r="E2295" s="10"/>
      <c r="F2295" s="10"/>
      <c r="G2295" s="10"/>
      <c r="H2295" s="10"/>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G2295" s="467"/>
      <c r="AH2295" s="6"/>
    </row>
    <row r="2296" spans="1:34">
      <c r="A2296" s="10"/>
      <c r="B2296" s="10"/>
      <c r="C2296" s="10"/>
      <c r="D2296" s="10"/>
      <c r="E2296" s="10"/>
      <c r="F2296" s="10"/>
      <c r="G2296" s="10"/>
      <c r="H2296" s="10"/>
      <c r="I2296" s="10"/>
      <c r="J2296" s="10"/>
      <c r="K2296" s="10"/>
      <c r="L2296" s="10"/>
      <c r="M2296" s="10"/>
      <c r="N2296" s="10"/>
      <c r="O2296" s="10"/>
      <c r="P2296" s="10"/>
      <c r="Q2296" s="10"/>
      <c r="R2296" s="10"/>
      <c r="S2296" s="10"/>
      <c r="T2296" s="10"/>
      <c r="U2296" s="10"/>
      <c r="V2296" s="10"/>
      <c r="W2296" s="10"/>
      <c r="X2296" s="10"/>
      <c r="Y2296" s="10"/>
      <c r="Z2296" s="10"/>
      <c r="AA2296" s="10"/>
      <c r="AB2296" s="10"/>
      <c r="AC2296" s="10"/>
      <c r="AG2296" s="467"/>
      <c r="AH2296" s="6"/>
    </row>
    <row r="2297" spans="1:34">
      <c r="A2297" s="10"/>
      <c r="B2297" s="10"/>
      <c r="C2297" s="10"/>
      <c r="D2297" s="10"/>
      <c r="E2297" s="10"/>
      <c r="F2297" s="10"/>
      <c r="G2297" s="10"/>
      <c r="H2297" s="10"/>
      <c r="I2297" s="10"/>
      <c r="J2297" s="10"/>
      <c r="K2297" s="10"/>
      <c r="L2297" s="10"/>
      <c r="M2297" s="10"/>
      <c r="N2297" s="10"/>
      <c r="O2297" s="10"/>
      <c r="P2297" s="10"/>
      <c r="Q2297" s="10"/>
      <c r="R2297" s="10"/>
      <c r="S2297" s="10"/>
      <c r="T2297" s="10"/>
      <c r="U2297" s="10"/>
      <c r="V2297" s="10"/>
      <c r="W2297" s="10"/>
      <c r="X2297" s="10"/>
      <c r="Y2297" s="10"/>
      <c r="Z2297" s="10"/>
      <c r="AA2297" s="10"/>
      <c r="AB2297" s="10"/>
      <c r="AC2297" s="10"/>
      <c r="AG2297" s="467"/>
      <c r="AH2297" s="6"/>
    </row>
    <row r="2298" spans="1:34">
      <c r="A2298" s="10"/>
      <c r="B2298" s="10"/>
      <c r="C2298" s="10"/>
      <c r="D2298" s="10"/>
      <c r="E2298" s="10"/>
      <c r="F2298" s="10"/>
      <c r="G2298" s="10"/>
      <c r="H2298" s="10"/>
      <c r="I2298" s="10"/>
      <c r="J2298" s="10"/>
      <c r="K2298" s="10"/>
      <c r="L2298" s="10"/>
      <c r="M2298" s="10"/>
      <c r="N2298" s="10"/>
      <c r="O2298" s="10"/>
      <c r="P2298" s="10"/>
      <c r="Q2298" s="10"/>
      <c r="R2298" s="10"/>
      <c r="S2298" s="10"/>
      <c r="T2298" s="10"/>
      <c r="U2298" s="10"/>
      <c r="V2298" s="10"/>
      <c r="W2298" s="10"/>
      <c r="X2298" s="10"/>
      <c r="Y2298" s="10"/>
      <c r="Z2298" s="10"/>
      <c r="AA2298" s="10"/>
      <c r="AB2298" s="10"/>
      <c r="AC2298" s="10"/>
      <c r="AG2298" s="467"/>
      <c r="AH2298" s="6"/>
    </row>
    <row r="2299" spans="1:34">
      <c r="A2299" s="10"/>
      <c r="B2299" s="10"/>
      <c r="C2299" s="10"/>
      <c r="D2299" s="10"/>
      <c r="E2299" s="10"/>
      <c r="F2299" s="10"/>
      <c r="G2299" s="10"/>
      <c r="H2299" s="10"/>
      <c r="I2299" s="10"/>
      <c r="J2299" s="10"/>
      <c r="K2299" s="10"/>
      <c r="L2299" s="10"/>
      <c r="M2299" s="10"/>
      <c r="N2299" s="10"/>
      <c r="O2299" s="10"/>
      <c r="P2299" s="10"/>
      <c r="Q2299" s="10"/>
      <c r="R2299" s="10"/>
      <c r="S2299" s="10"/>
      <c r="T2299" s="10"/>
      <c r="U2299" s="10"/>
      <c r="V2299" s="10"/>
      <c r="W2299" s="10"/>
      <c r="X2299" s="10"/>
      <c r="Y2299" s="10"/>
      <c r="Z2299" s="10"/>
      <c r="AA2299" s="10"/>
      <c r="AB2299" s="10"/>
      <c r="AC2299" s="10"/>
      <c r="AG2299" s="467"/>
      <c r="AH2299" s="6"/>
    </row>
    <row r="2300" spans="1:34">
      <c r="A2300" s="10"/>
      <c r="B2300" s="10"/>
      <c r="C2300" s="10"/>
      <c r="D2300" s="10"/>
      <c r="E2300" s="10"/>
      <c r="F2300" s="10"/>
      <c r="G2300" s="10"/>
      <c r="H2300" s="10"/>
      <c r="I2300" s="10"/>
      <c r="J2300" s="10"/>
      <c r="K2300" s="10"/>
      <c r="L2300" s="10"/>
      <c r="M2300" s="10"/>
      <c r="N2300" s="10"/>
      <c r="O2300" s="10"/>
      <c r="P2300" s="10"/>
      <c r="Q2300" s="10"/>
      <c r="R2300" s="10"/>
      <c r="S2300" s="10"/>
      <c r="T2300" s="10"/>
      <c r="U2300" s="10"/>
      <c r="V2300" s="10"/>
      <c r="W2300" s="10"/>
      <c r="X2300" s="10"/>
      <c r="Y2300" s="10"/>
      <c r="Z2300" s="10"/>
      <c r="AA2300" s="10"/>
      <c r="AB2300" s="10"/>
      <c r="AC2300" s="10"/>
      <c r="AG2300" s="467"/>
      <c r="AH2300" s="6"/>
    </row>
    <row r="2301" spans="1:34">
      <c r="A2301" s="10"/>
      <c r="B2301" s="10"/>
      <c r="C2301" s="10"/>
      <c r="D2301" s="10"/>
      <c r="E2301" s="10"/>
      <c r="F2301" s="10"/>
      <c r="G2301" s="10"/>
      <c r="H2301" s="10"/>
      <c r="I2301" s="10"/>
      <c r="J2301" s="10"/>
      <c r="K2301" s="10"/>
      <c r="L2301" s="10"/>
      <c r="M2301" s="10"/>
      <c r="N2301" s="10"/>
      <c r="O2301" s="10"/>
      <c r="P2301" s="10"/>
      <c r="Q2301" s="10"/>
      <c r="R2301" s="10"/>
      <c r="S2301" s="10"/>
      <c r="T2301" s="10"/>
      <c r="U2301" s="10"/>
      <c r="V2301" s="10"/>
      <c r="W2301" s="10"/>
      <c r="X2301" s="10"/>
      <c r="Y2301" s="10"/>
      <c r="Z2301" s="10"/>
      <c r="AA2301" s="10"/>
      <c r="AB2301" s="10"/>
      <c r="AC2301" s="10"/>
      <c r="AG2301" s="467"/>
      <c r="AH2301" s="6"/>
    </row>
    <row r="2302" spans="1:34">
      <c r="A2302" s="10"/>
      <c r="B2302" s="10"/>
      <c r="C2302" s="10"/>
      <c r="D2302" s="10"/>
      <c r="E2302" s="10"/>
      <c r="F2302" s="10"/>
      <c r="G2302" s="10"/>
      <c r="H2302" s="10"/>
      <c r="I2302" s="10"/>
      <c r="J2302" s="10"/>
      <c r="K2302" s="10"/>
      <c r="L2302" s="10"/>
      <c r="M2302" s="10"/>
      <c r="N2302" s="10"/>
      <c r="O2302" s="10"/>
      <c r="P2302" s="10"/>
      <c r="Q2302" s="10"/>
      <c r="R2302" s="10"/>
      <c r="S2302" s="10"/>
      <c r="T2302" s="10"/>
      <c r="U2302" s="10"/>
      <c r="V2302" s="10"/>
      <c r="W2302" s="10"/>
      <c r="X2302" s="10"/>
      <c r="Y2302" s="10"/>
      <c r="Z2302" s="10"/>
      <c r="AA2302" s="10"/>
      <c r="AB2302" s="10"/>
      <c r="AC2302" s="10"/>
      <c r="AG2302" s="467"/>
      <c r="AH2302" s="6"/>
    </row>
    <row r="2303" spans="1:34">
      <c r="A2303" s="10"/>
      <c r="B2303" s="10"/>
      <c r="C2303" s="10"/>
      <c r="D2303" s="10"/>
      <c r="E2303" s="10"/>
      <c r="F2303" s="10"/>
      <c r="G2303" s="10"/>
      <c r="H2303" s="10"/>
      <c r="I2303" s="10"/>
      <c r="J2303" s="10"/>
      <c r="K2303" s="10"/>
      <c r="L2303" s="10"/>
      <c r="M2303" s="10"/>
      <c r="N2303" s="10"/>
      <c r="O2303" s="10"/>
      <c r="P2303" s="10"/>
      <c r="Q2303" s="10"/>
      <c r="R2303" s="10"/>
      <c r="S2303" s="10"/>
      <c r="T2303" s="10"/>
      <c r="U2303" s="10"/>
      <c r="V2303" s="10"/>
      <c r="W2303" s="10"/>
      <c r="X2303" s="10"/>
      <c r="Y2303" s="10"/>
      <c r="Z2303" s="10"/>
      <c r="AA2303" s="10"/>
      <c r="AB2303" s="10"/>
      <c r="AC2303" s="10"/>
      <c r="AG2303" s="467"/>
      <c r="AH2303" s="6"/>
    </row>
    <row r="2304" spans="1:34">
      <c r="A2304" s="10"/>
      <c r="B2304" s="10"/>
      <c r="C2304" s="10"/>
      <c r="D2304" s="10"/>
      <c r="E2304" s="10"/>
      <c r="F2304" s="10"/>
      <c r="G2304" s="10"/>
      <c r="H2304" s="10"/>
      <c r="I2304" s="10"/>
      <c r="J2304" s="10"/>
      <c r="K2304" s="10"/>
      <c r="L2304" s="10"/>
      <c r="M2304" s="10"/>
      <c r="N2304" s="10"/>
      <c r="O2304" s="10"/>
      <c r="P2304" s="10"/>
      <c r="Q2304" s="10"/>
      <c r="R2304" s="10"/>
      <c r="S2304" s="10"/>
      <c r="T2304" s="10"/>
      <c r="U2304" s="10"/>
      <c r="V2304" s="10"/>
      <c r="W2304" s="10"/>
      <c r="X2304" s="10"/>
      <c r="Y2304" s="10"/>
      <c r="Z2304" s="10"/>
      <c r="AA2304" s="10"/>
      <c r="AB2304" s="10"/>
      <c r="AC2304" s="10"/>
      <c r="AG2304" s="467"/>
      <c r="AH2304" s="6"/>
    </row>
    <row r="2305" spans="1:34">
      <c r="A2305" s="10"/>
      <c r="B2305" s="10"/>
      <c r="C2305" s="10"/>
      <c r="D2305" s="10"/>
      <c r="E2305" s="10"/>
      <c r="F2305" s="10"/>
      <c r="G2305" s="10"/>
      <c r="H2305" s="10"/>
      <c r="I2305" s="10"/>
      <c r="J2305" s="10"/>
      <c r="K2305" s="10"/>
      <c r="L2305" s="10"/>
      <c r="M2305" s="10"/>
      <c r="N2305" s="10"/>
      <c r="O2305" s="10"/>
      <c r="P2305" s="10"/>
      <c r="Q2305" s="10"/>
      <c r="R2305" s="10"/>
      <c r="S2305" s="10"/>
      <c r="T2305" s="10"/>
      <c r="U2305" s="10"/>
      <c r="V2305" s="10"/>
      <c r="W2305" s="10"/>
      <c r="X2305" s="10"/>
      <c r="Y2305" s="10"/>
      <c r="Z2305" s="10"/>
      <c r="AA2305" s="10"/>
      <c r="AB2305" s="10"/>
      <c r="AC2305" s="10"/>
      <c r="AG2305" s="467"/>
      <c r="AH2305" s="6"/>
    </row>
    <row r="2306" spans="1:34">
      <c r="A2306" s="10"/>
      <c r="B2306" s="10"/>
      <c r="C2306" s="10"/>
      <c r="D2306" s="10"/>
      <c r="E2306" s="10"/>
      <c r="F2306" s="10"/>
      <c r="G2306" s="10"/>
      <c r="H2306" s="10"/>
      <c r="I2306" s="10"/>
      <c r="J2306" s="10"/>
      <c r="K2306" s="10"/>
      <c r="L2306" s="10"/>
      <c r="M2306" s="10"/>
      <c r="N2306" s="10"/>
      <c r="O2306" s="10"/>
      <c r="P2306" s="10"/>
      <c r="Q2306" s="10"/>
      <c r="R2306" s="10"/>
      <c r="S2306" s="10"/>
      <c r="T2306" s="10"/>
      <c r="U2306" s="10"/>
      <c r="V2306" s="10"/>
      <c r="W2306" s="10"/>
      <c r="X2306" s="10"/>
      <c r="Y2306" s="10"/>
      <c r="Z2306" s="10"/>
      <c r="AA2306" s="10"/>
      <c r="AB2306" s="10"/>
      <c r="AC2306" s="10"/>
      <c r="AG2306" s="467"/>
      <c r="AH2306" s="6"/>
    </row>
    <row r="2307" spans="1:34">
      <c r="A2307" s="10"/>
      <c r="B2307" s="10"/>
      <c r="C2307" s="10"/>
      <c r="D2307" s="10"/>
      <c r="E2307" s="10"/>
      <c r="F2307" s="10"/>
      <c r="G2307" s="10"/>
      <c r="H2307" s="10"/>
      <c r="I2307" s="10"/>
      <c r="J2307" s="10"/>
      <c r="K2307" s="10"/>
      <c r="L2307" s="10"/>
      <c r="M2307" s="10"/>
      <c r="N2307" s="10"/>
      <c r="O2307" s="10"/>
      <c r="P2307" s="10"/>
      <c r="Q2307" s="10"/>
      <c r="R2307" s="10"/>
      <c r="S2307" s="10"/>
      <c r="T2307" s="10"/>
      <c r="U2307" s="10"/>
      <c r="V2307" s="10"/>
      <c r="W2307" s="10"/>
      <c r="X2307" s="10"/>
      <c r="Y2307" s="10"/>
      <c r="Z2307" s="10"/>
      <c r="AA2307" s="10"/>
      <c r="AB2307" s="10"/>
      <c r="AC2307" s="10"/>
      <c r="AG2307" s="467"/>
      <c r="AH2307" s="6"/>
    </row>
    <row r="2308" spans="1:34">
      <c r="A2308" s="10"/>
      <c r="B2308" s="10"/>
      <c r="C2308" s="10"/>
      <c r="D2308" s="10"/>
      <c r="E2308" s="10"/>
      <c r="F2308" s="10"/>
      <c r="G2308" s="10"/>
      <c r="H2308" s="10"/>
      <c r="I2308" s="10"/>
      <c r="J2308" s="10"/>
      <c r="K2308" s="10"/>
      <c r="L2308" s="10"/>
      <c r="M2308" s="10"/>
      <c r="N2308" s="10"/>
      <c r="O2308" s="10"/>
      <c r="P2308" s="10"/>
      <c r="Q2308" s="10"/>
      <c r="R2308" s="10"/>
      <c r="S2308" s="10"/>
      <c r="T2308" s="10"/>
      <c r="U2308" s="10"/>
      <c r="V2308" s="10"/>
      <c r="W2308" s="10"/>
      <c r="X2308" s="10"/>
      <c r="Y2308" s="10"/>
      <c r="Z2308" s="10"/>
      <c r="AA2308" s="10"/>
      <c r="AB2308" s="10"/>
      <c r="AC2308" s="10"/>
      <c r="AG2308" s="467"/>
      <c r="AH2308" s="6"/>
    </row>
    <row r="2309" spans="1:34">
      <c r="A2309" s="10"/>
      <c r="B2309" s="10"/>
      <c r="C2309" s="10"/>
      <c r="D2309" s="10"/>
      <c r="E2309" s="10"/>
      <c r="F2309" s="10"/>
      <c r="G2309" s="10"/>
      <c r="H2309" s="10"/>
      <c r="I2309" s="10"/>
      <c r="J2309" s="10"/>
      <c r="K2309" s="10"/>
      <c r="L2309" s="10"/>
      <c r="M2309" s="10"/>
      <c r="N2309" s="10"/>
      <c r="O2309" s="10"/>
      <c r="P2309" s="10"/>
      <c r="Q2309" s="10"/>
      <c r="R2309" s="10"/>
      <c r="S2309" s="10"/>
      <c r="T2309" s="10"/>
      <c r="U2309" s="10"/>
      <c r="V2309" s="10"/>
      <c r="W2309" s="10"/>
      <c r="X2309" s="10"/>
      <c r="Y2309" s="10"/>
      <c r="Z2309" s="10"/>
      <c r="AA2309" s="10"/>
      <c r="AB2309" s="10"/>
      <c r="AC2309" s="10"/>
      <c r="AG2309" s="467"/>
      <c r="AH2309" s="6"/>
    </row>
    <row r="2310" spans="1:34">
      <c r="A2310" s="10"/>
      <c r="B2310" s="10"/>
      <c r="C2310" s="10"/>
      <c r="D2310" s="10"/>
      <c r="E2310" s="10"/>
      <c r="F2310" s="10"/>
      <c r="G2310" s="10"/>
      <c r="H2310" s="10"/>
      <c r="I2310" s="10"/>
      <c r="J2310" s="10"/>
      <c r="K2310" s="10"/>
      <c r="L2310" s="10"/>
      <c r="M2310" s="10"/>
      <c r="N2310" s="10"/>
      <c r="O2310" s="10"/>
      <c r="P2310" s="10"/>
      <c r="Q2310" s="10"/>
      <c r="R2310" s="10"/>
      <c r="S2310" s="10"/>
      <c r="T2310" s="10"/>
      <c r="U2310" s="10"/>
      <c r="V2310" s="10"/>
      <c r="W2310" s="10"/>
      <c r="X2310" s="10"/>
      <c r="Y2310" s="10"/>
      <c r="Z2310" s="10"/>
      <c r="AA2310" s="10"/>
      <c r="AB2310" s="10"/>
      <c r="AC2310" s="10"/>
      <c r="AG2310" s="467"/>
      <c r="AH2310" s="6"/>
    </row>
    <row r="2311" spans="1:34">
      <c r="A2311" s="10"/>
      <c r="B2311" s="10"/>
      <c r="C2311" s="10"/>
      <c r="D2311" s="10"/>
      <c r="E2311" s="10"/>
      <c r="F2311" s="10"/>
      <c r="G2311" s="10"/>
      <c r="H2311" s="10"/>
      <c r="I2311" s="10"/>
      <c r="J2311" s="10"/>
      <c r="K2311" s="10"/>
      <c r="L2311" s="10"/>
      <c r="M2311" s="10"/>
      <c r="N2311" s="10"/>
      <c r="O2311" s="10"/>
      <c r="P2311" s="10"/>
      <c r="Q2311" s="10"/>
      <c r="R2311" s="10"/>
      <c r="S2311" s="10"/>
      <c r="T2311" s="10"/>
      <c r="U2311" s="10"/>
      <c r="V2311" s="10"/>
      <c r="W2311" s="10"/>
      <c r="X2311" s="10"/>
      <c r="Y2311" s="10"/>
      <c r="Z2311" s="10"/>
      <c r="AA2311" s="10"/>
      <c r="AB2311" s="10"/>
      <c r="AC2311" s="10"/>
      <c r="AG2311" s="467"/>
      <c r="AH2311" s="6"/>
    </row>
    <row r="2312" spans="1:34">
      <c r="A2312" s="10"/>
      <c r="B2312" s="10"/>
      <c r="C2312" s="10"/>
      <c r="D2312" s="10"/>
      <c r="E2312" s="10"/>
      <c r="F2312" s="10"/>
      <c r="G2312" s="10"/>
      <c r="H2312" s="10"/>
      <c r="I2312" s="10"/>
      <c r="J2312" s="10"/>
      <c r="K2312" s="10"/>
      <c r="L2312" s="10"/>
      <c r="M2312" s="10"/>
      <c r="N2312" s="10"/>
      <c r="O2312" s="10"/>
      <c r="P2312" s="10"/>
      <c r="Q2312" s="10"/>
      <c r="R2312" s="10"/>
      <c r="S2312" s="10"/>
      <c r="T2312" s="10"/>
      <c r="U2312" s="10"/>
      <c r="V2312" s="10"/>
      <c r="W2312" s="10"/>
      <c r="X2312" s="10"/>
      <c r="Y2312" s="10"/>
      <c r="Z2312" s="10"/>
      <c r="AA2312" s="10"/>
      <c r="AB2312" s="10"/>
      <c r="AC2312" s="10"/>
      <c r="AG2312" s="467"/>
      <c r="AH2312" s="6"/>
    </row>
    <row r="2313" spans="1:34">
      <c r="A2313" s="10"/>
      <c r="B2313" s="10"/>
      <c r="C2313" s="10"/>
      <c r="D2313" s="10"/>
      <c r="E2313" s="10"/>
      <c r="F2313" s="10"/>
      <c r="G2313" s="10"/>
      <c r="H2313" s="10"/>
      <c r="I2313" s="10"/>
      <c r="J2313" s="10"/>
      <c r="K2313" s="10"/>
      <c r="L2313" s="10"/>
      <c r="M2313" s="10"/>
      <c r="N2313" s="10"/>
      <c r="O2313" s="10"/>
      <c r="P2313" s="10"/>
      <c r="Q2313" s="10"/>
      <c r="R2313" s="10"/>
      <c r="S2313" s="10"/>
      <c r="T2313" s="10"/>
      <c r="U2313" s="10"/>
      <c r="V2313" s="10"/>
      <c r="W2313" s="10"/>
      <c r="X2313" s="10"/>
      <c r="Y2313" s="10"/>
      <c r="Z2313" s="10"/>
      <c r="AA2313" s="10"/>
      <c r="AB2313" s="10"/>
      <c r="AC2313" s="10"/>
      <c r="AG2313" s="467"/>
      <c r="AH2313" s="6"/>
    </row>
    <row r="2314" spans="1:34">
      <c r="A2314" s="10"/>
      <c r="B2314" s="10"/>
      <c r="C2314" s="10"/>
      <c r="D2314" s="10"/>
      <c r="E2314" s="10"/>
      <c r="F2314" s="10"/>
      <c r="G2314" s="10"/>
      <c r="H2314" s="10"/>
      <c r="I2314" s="10"/>
      <c r="J2314" s="10"/>
      <c r="K2314" s="10"/>
      <c r="L2314" s="10"/>
      <c r="M2314" s="10"/>
      <c r="N2314" s="10"/>
      <c r="O2314" s="10"/>
      <c r="P2314" s="10"/>
      <c r="Q2314" s="10"/>
      <c r="R2314" s="10"/>
      <c r="S2314" s="10"/>
      <c r="T2314" s="10"/>
      <c r="U2314" s="10"/>
      <c r="V2314" s="10"/>
      <c r="W2314" s="10"/>
      <c r="X2314" s="10"/>
      <c r="Y2314" s="10"/>
      <c r="Z2314" s="10"/>
      <c r="AA2314" s="10"/>
      <c r="AB2314" s="10"/>
      <c r="AC2314" s="10"/>
      <c r="AG2314" s="467"/>
      <c r="AH2314" s="6"/>
    </row>
    <row r="2315" spans="1:34">
      <c r="A2315" s="10"/>
      <c r="B2315" s="10"/>
      <c r="C2315" s="10"/>
      <c r="D2315" s="10"/>
      <c r="E2315" s="10"/>
      <c r="F2315" s="10"/>
      <c r="G2315" s="10"/>
      <c r="H2315" s="10"/>
      <c r="I2315" s="10"/>
      <c r="J2315" s="10"/>
      <c r="K2315" s="10"/>
      <c r="L2315" s="10"/>
      <c r="M2315" s="10"/>
      <c r="N2315" s="10"/>
      <c r="O2315" s="10"/>
      <c r="P2315" s="10"/>
      <c r="Q2315" s="10"/>
      <c r="R2315" s="10"/>
      <c r="S2315" s="10"/>
      <c r="T2315" s="10"/>
      <c r="U2315" s="10"/>
      <c r="V2315" s="10"/>
      <c r="W2315" s="10"/>
      <c r="X2315" s="10"/>
      <c r="Y2315" s="10"/>
      <c r="Z2315" s="10"/>
      <c r="AA2315" s="10"/>
      <c r="AB2315" s="10"/>
      <c r="AC2315" s="10"/>
      <c r="AG2315" s="467"/>
      <c r="AH2315" s="6"/>
    </row>
    <row r="2316" spans="1:34">
      <c r="A2316" s="10"/>
      <c r="B2316" s="10"/>
      <c r="C2316" s="10"/>
      <c r="D2316" s="10"/>
      <c r="E2316" s="10"/>
      <c r="F2316" s="10"/>
      <c r="G2316" s="10"/>
      <c r="H2316" s="10"/>
      <c r="I2316" s="10"/>
      <c r="J2316" s="10"/>
      <c r="K2316" s="10"/>
      <c r="L2316" s="10"/>
      <c r="M2316" s="10"/>
      <c r="N2316" s="10"/>
      <c r="O2316" s="10"/>
      <c r="P2316" s="10"/>
      <c r="Q2316" s="10"/>
      <c r="R2316" s="10"/>
      <c r="S2316" s="10"/>
      <c r="T2316" s="10"/>
      <c r="U2316" s="10"/>
      <c r="V2316" s="10"/>
      <c r="W2316" s="10"/>
      <c r="X2316" s="10"/>
      <c r="Y2316" s="10"/>
      <c r="Z2316" s="10"/>
      <c r="AA2316" s="10"/>
      <c r="AB2316" s="10"/>
      <c r="AC2316" s="10"/>
      <c r="AG2316" s="467"/>
      <c r="AH2316" s="6"/>
    </row>
    <row r="2317" spans="1:34">
      <c r="A2317" s="10"/>
      <c r="B2317" s="10"/>
      <c r="C2317" s="10"/>
      <c r="D2317" s="10"/>
      <c r="E2317" s="10"/>
      <c r="F2317" s="10"/>
      <c r="G2317" s="10"/>
      <c r="H2317" s="10"/>
      <c r="I2317" s="10"/>
      <c r="J2317" s="10"/>
      <c r="K2317" s="10"/>
      <c r="L2317" s="10"/>
      <c r="M2317" s="10"/>
      <c r="N2317" s="10"/>
      <c r="O2317" s="10"/>
      <c r="P2317" s="10"/>
      <c r="Q2317" s="10"/>
      <c r="R2317" s="10"/>
      <c r="S2317" s="10"/>
      <c r="T2317" s="10"/>
      <c r="U2317" s="10"/>
      <c r="V2317" s="10"/>
      <c r="W2317" s="10"/>
      <c r="X2317" s="10"/>
      <c r="Y2317" s="10"/>
      <c r="Z2317" s="10"/>
      <c r="AA2317" s="10"/>
      <c r="AB2317" s="10"/>
      <c r="AC2317" s="10"/>
      <c r="AG2317" s="467"/>
      <c r="AH2317" s="6"/>
    </row>
    <row r="2318" spans="1:34">
      <c r="A2318" s="10"/>
      <c r="B2318" s="10"/>
      <c r="C2318" s="10"/>
      <c r="D2318" s="10"/>
      <c r="E2318" s="10"/>
      <c r="F2318" s="10"/>
      <c r="G2318" s="10"/>
      <c r="H2318" s="10"/>
      <c r="I2318" s="10"/>
      <c r="J2318" s="10"/>
      <c r="K2318" s="10"/>
      <c r="L2318" s="10"/>
      <c r="M2318" s="10"/>
      <c r="N2318" s="10"/>
      <c r="O2318" s="10"/>
      <c r="P2318" s="10"/>
      <c r="Q2318" s="10"/>
      <c r="R2318" s="10"/>
      <c r="S2318" s="10"/>
      <c r="T2318" s="10"/>
      <c r="U2318" s="10"/>
      <c r="V2318" s="10"/>
      <c r="W2318" s="10"/>
      <c r="X2318" s="10"/>
      <c r="Y2318" s="10"/>
      <c r="Z2318" s="10"/>
      <c r="AA2318" s="10"/>
      <c r="AB2318" s="10"/>
      <c r="AC2318" s="10"/>
      <c r="AG2318" s="467"/>
      <c r="AH2318" s="6"/>
    </row>
    <row r="2319" spans="1:34">
      <c r="A2319" s="10"/>
      <c r="B2319" s="10"/>
      <c r="C2319" s="10"/>
      <c r="D2319" s="10"/>
      <c r="E2319" s="10"/>
      <c r="F2319" s="10"/>
      <c r="G2319" s="10"/>
      <c r="H2319" s="10"/>
      <c r="I2319" s="10"/>
      <c r="J2319" s="10"/>
      <c r="K2319" s="10"/>
      <c r="L2319" s="10"/>
      <c r="M2319" s="10"/>
      <c r="N2319" s="10"/>
      <c r="O2319" s="10"/>
      <c r="P2319" s="10"/>
      <c r="Q2319" s="10"/>
      <c r="R2319" s="10"/>
      <c r="S2319" s="10"/>
      <c r="T2319" s="10"/>
      <c r="U2319" s="10"/>
      <c r="V2319" s="10"/>
      <c r="W2319" s="10"/>
      <c r="X2319" s="10"/>
      <c r="Y2319" s="10"/>
      <c r="Z2319" s="10"/>
      <c r="AA2319" s="10"/>
      <c r="AB2319" s="10"/>
      <c r="AC2319" s="10"/>
      <c r="AG2319" s="467"/>
      <c r="AH2319" s="6"/>
    </row>
    <row r="2320" spans="1:34">
      <c r="A2320" s="10"/>
      <c r="B2320" s="10"/>
      <c r="C2320" s="10"/>
      <c r="D2320" s="10"/>
      <c r="E2320" s="10"/>
      <c r="F2320" s="10"/>
      <c r="G2320" s="10"/>
      <c r="H2320" s="10"/>
      <c r="I2320" s="10"/>
      <c r="J2320" s="10"/>
      <c r="K2320" s="10"/>
      <c r="L2320" s="10"/>
      <c r="M2320" s="10"/>
      <c r="N2320" s="10"/>
      <c r="O2320" s="10"/>
      <c r="P2320" s="10"/>
      <c r="Q2320" s="10"/>
      <c r="R2320" s="10"/>
      <c r="S2320" s="10"/>
      <c r="T2320" s="10"/>
      <c r="U2320" s="10"/>
      <c r="V2320" s="10"/>
      <c r="W2320" s="10"/>
      <c r="X2320" s="10"/>
      <c r="Y2320" s="10"/>
      <c r="Z2320" s="10"/>
      <c r="AA2320" s="10"/>
      <c r="AB2320" s="10"/>
      <c r="AC2320" s="10"/>
      <c r="AG2320" s="467"/>
      <c r="AH2320" s="6"/>
    </row>
    <row r="2321" spans="1:34">
      <c r="A2321" s="10"/>
      <c r="B2321" s="10"/>
      <c r="C2321" s="10"/>
      <c r="D2321" s="10"/>
      <c r="E2321" s="10"/>
      <c r="F2321" s="10"/>
      <c r="G2321" s="10"/>
      <c r="H2321" s="10"/>
      <c r="I2321" s="10"/>
      <c r="J2321" s="10"/>
      <c r="K2321" s="10"/>
      <c r="L2321" s="10"/>
      <c r="M2321" s="10"/>
      <c r="N2321" s="10"/>
      <c r="O2321" s="10"/>
      <c r="P2321" s="10"/>
      <c r="Q2321" s="10"/>
      <c r="R2321" s="10"/>
      <c r="S2321" s="10"/>
      <c r="T2321" s="10"/>
      <c r="U2321" s="10"/>
      <c r="V2321" s="10"/>
      <c r="W2321" s="10"/>
      <c r="X2321" s="10"/>
      <c r="Y2321" s="10"/>
      <c r="Z2321" s="10"/>
      <c r="AA2321" s="10"/>
      <c r="AB2321" s="10"/>
      <c r="AC2321" s="10"/>
      <c r="AG2321" s="467"/>
      <c r="AH2321" s="6"/>
    </row>
  </sheetData>
  <autoFilter ref="A6:AN1764"/>
  <phoneticPr fontId="10" type="noConversion"/>
  <printOptions horizontalCentered="1" gridLines="1"/>
  <pageMargins left="0" right="0" top="0" bottom="0.15748031496062992" header="0" footer="0"/>
  <pageSetup paperSize="121" scale="10"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tabColor rgb="FF7030A0"/>
    <pageSetUpPr fitToPage="1"/>
  </sheetPr>
  <dimension ref="A1:AL2323"/>
  <sheetViews>
    <sheetView tabSelected="1" zoomScaleNormal="100" workbookViewId="0">
      <pane ySplit="6" topLeftCell="A954" activePane="bottomLeft" state="frozen"/>
      <selection activeCell="AH702" activeCellId="3" sqref="AH699 AH699 AH700 AH702"/>
      <selection pane="bottomLeft" activeCell="B973" sqref="B973"/>
    </sheetView>
  </sheetViews>
  <sheetFormatPr baseColWidth="10" defaultColWidth="13.33203125" defaultRowHeight="11.25"/>
  <cols>
    <col min="1" max="1" width="11.6640625" style="5" bestFit="1" customWidth="1"/>
    <col min="2" max="2" width="23.83203125" style="5" customWidth="1"/>
    <col min="3" max="3" width="10.83203125" style="5" hidden="1" customWidth="1"/>
    <col min="4" max="4" width="5.33203125" style="6" hidden="1" customWidth="1"/>
    <col min="5" max="5" width="3.83203125" style="6" hidden="1" customWidth="1"/>
    <col min="6" max="6" width="10.83203125" style="5" hidden="1" customWidth="1"/>
    <col min="7" max="7" width="5.33203125" style="5" hidden="1" customWidth="1"/>
    <col min="8" max="8" width="3.83203125" style="5" hidden="1" customWidth="1"/>
    <col min="9" max="9" width="10.83203125" style="5" hidden="1" customWidth="1"/>
    <col min="10" max="10" width="13.1640625" style="5" hidden="1" customWidth="1"/>
    <col min="11" max="11" width="3.83203125" style="5" hidden="1" customWidth="1"/>
    <col min="12" max="12" width="10.83203125" style="5" hidden="1" customWidth="1"/>
    <col min="13" max="13" width="8.5" style="6" hidden="1" customWidth="1"/>
    <col min="14" max="14" width="3.83203125" style="6" hidden="1" customWidth="1"/>
    <col min="15" max="15" width="13.1640625" style="5" customWidth="1"/>
    <col min="16" max="16" width="10.1640625" style="6" customWidth="1"/>
    <col min="17" max="17" width="3.83203125" style="6" customWidth="1"/>
    <col min="18" max="18" width="10.83203125" style="5" hidden="1" customWidth="1"/>
    <col min="19" max="19" width="8.6640625" style="6" hidden="1" customWidth="1"/>
    <col min="20" max="20" width="9.1640625" style="7" hidden="1" customWidth="1"/>
    <col min="21" max="21" width="10.83203125" style="9" hidden="1" customWidth="1"/>
    <col min="22" max="22" width="5.33203125" style="7" hidden="1" customWidth="1"/>
    <col min="23" max="23" width="3.83203125" style="7" hidden="1" customWidth="1"/>
    <col min="24" max="24" width="10" style="7" hidden="1" customWidth="1"/>
    <col min="25" max="25" width="4" style="7" hidden="1" customWidth="1"/>
    <col min="26" max="26" width="7.33203125" style="7" hidden="1" customWidth="1"/>
    <col min="27" max="27" width="6.6640625" style="7" hidden="1" customWidth="1"/>
    <col min="28" max="28" width="43.33203125" style="7" hidden="1" customWidth="1"/>
    <col min="29" max="29" width="11.6640625" style="10" customWidth="1"/>
    <col min="30" max="30" width="39.5" style="10" customWidth="1"/>
    <col min="31" max="31" width="19" style="10" customWidth="1"/>
    <col min="32" max="32" width="17.6640625" style="448" customWidth="1"/>
    <col min="33" max="33" width="18.83203125" style="448" customWidth="1"/>
    <col min="34" max="34" width="16.6640625" style="10" bestFit="1" customWidth="1"/>
    <col min="35" max="35" width="17.5" style="593" customWidth="1"/>
    <col min="36" max="36" width="17.6640625" style="10" customWidth="1"/>
    <col min="37" max="37" width="17.5" style="10" customWidth="1"/>
    <col min="38" max="38" width="15.1640625" style="10" customWidth="1"/>
    <col min="39" max="39" width="53" style="10" bestFit="1" customWidth="1"/>
    <col min="40" max="16384" width="13.33203125" style="10"/>
  </cols>
  <sheetData>
    <row r="1" spans="1:38">
      <c r="R1" s="8"/>
    </row>
    <row r="2" spans="1:38">
      <c r="R2" s="8"/>
      <c r="AD2" s="11" t="s">
        <v>767</v>
      </c>
      <c r="AE2" s="930"/>
      <c r="AF2" s="469"/>
      <c r="AG2" s="469"/>
      <c r="AH2" s="13">
        <v>1000</v>
      </c>
    </row>
    <row r="3" spans="1:38">
      <c r="AE3" s="29"/>
      <c r="AH3" s="10" t="s">
        <v>768</v>
      </c>
    </row>
    <row r="4" spans="1:38" ht="12" thickBot="1">
      <c r="AE4" s="29"/>
      <c r="AF4" s="671">
        <f>+AF1768</f>
        <v>0</v>
      </c>
      <c r="AG4" s="671"/>
    </row>
    <row r="5" spans="1:38" ht="12.75">
      <c r="A5" s="15"/>
      <c r="B5" s="15"/>
      <c r="C5" s="16">
        <v>607</v>
      </c>
      <c r="D5" s="17"/>
      <c r="E5" s="17"/>
      <c r="F5" s="16">
        <v>606</v>
      </c>
      <c r="G5" s="17"/>
      <c r="H5" s="17"/>
      <c r="I5" s="16">
        <v>605</v>
      </c>
      <c r="J5" s="17"/>
      <c r="K5" s="17"/>
      <c r="L5" s="16">
        <v>604</v>
      </c>
      <c r="M5" s="17"/>
      <c r="N5" s="17"/>
      <c r="O5" s="15">
        <v>603</v>
      </c>
      <c r="P5" s="17"/>
      <c r="Q5" s="15"/>
      <c r="R5" s="16">
        <v>602</v>
      </c>
      <c r="S5" s="17"/>
      <c r="T5" s="17"/>
      <c r="U5" s="16">
        <v>601</v>
      </c>
      <c r="V5" s="17"/>
      <c r="W5" s="17"/>
      <c r="X5" s="16" t="s">
        <v>770</v>
      </c>
      <c r="Y5" s="17"/>
      <c r="Z5" s="17"/>
      <c r="AA5" s="17"/>
      <c r="AB5" s="17"/>
      <c r="AC5" s="15"/>
      <c r="AD5" s="15"/>
      <c r="AE5" s="18" t="s">
        <v>2953</v>
      </c>
      <c r="AF5" s="18" t="s">
        <v>771</v>
      </c>
      <c r="AG5" s="360">
        <f>+FechaInforme</f>
        <v>41121</v>
      </c>
      <c r="AH5" s="360">
        <f>+FechaInforme</f>
        <v>41121</v>
      </c>
      <c r="AJ5" s="10" t="s">
        <v>772</v>
      </c>
    </row>
    <row r="6" spans="1:38" ht="12" thickBot="1">
      <c r="A6" s="21" t="s">
        <v>1213</v>
      </c>
      <c r="B6" s="21" t="s">
        <v>2855</v>
      </c>
      <c r="C6" s="22" t="s">
        <v>1214</v>
      </c>
      <c r="D6" s="23" t="s">
        <v>790</v>
      </c>
      <c r="E6" s="22" t="s">
        <v>791</v>
      </c>
      <c r="F6" s="22" t="s">
        <v>792</v>
      </c>
      <c r="G6" s="23" t="s">
        <v>790</v>
      </c>
      <c r="H6" s="22" t="s">
        <v>791</v>
      </c>
      <c r="I6" s="22" t="s">
        <v>793</v>
      </c>
      <c r="J6" s="23" t="s">
        <v>790</v>
      </c>
      <c r="K6" s="22" t="s">
        <v>791</v>
      </c>
      <c r="L6" s="22" t="s">
        <v>716</v>
      </c>
      <c r="M6" s="22" t="s">
        <v>790</v>
      </c>
      <c r="N6" s="22" t="s">
        <v>791</v>
      </c>
      <c r="O6" s="20" t="s">
        <v>717</v>
      </c>
      <c r="P6" s="22" t="s">
        <v>790</v>
      </c>
      <c r="Q6" s="20" t="s">
        <v>791</v>
      </c>
      <c r="R6" s="22" t="s">
        <v>718</v>
      </c>
      <c r="S6" s="22" t="s">
        <v>790</v>
      </c>
      <c r="T6" s="22" t="s">
        <v>791</v>
      </c>
      <c r="U6" s="22" t="s">
        <v>1883</v>
      </c>
      <c r="V6" s="22" t="s">
        <v>790</v>
      </c>
      <c r="W6" s="22" t="s">
        <v>791</v>
      </c>
      <c r="X6" s="22"/>
      <c r="Y6" s="22"/>
      <c r="Z6" s="21" t="s">
        <v>2869</v>
      </c>
      <c r="AA6" s="21" t="s">
        <v>2869</v>
      </c>
      <c r="AB6" s="21" t="s">
        <v>2868</v>
      </c>
      <c r="AC6" s="21" t="s">
        <v>1884</v>
      </c>
      <c r="AD6" s="20"/>
      <c r="AE6" s="20"/>
      <c r="AF6" s="20"/>
      <c r="AG6" s="1002" t="s">
        <v>2871</v>
      </c>
      <c r="AH6" s="24" t="s">
        <v>1885</v>
      </c>
    </row>
    <row r="7" spans="1:38" s="467" customFormat="1" ht="12.75" customHeight="1">
      <c r="A7" s="1033">
        <v>5111000</v>
      </c>
      <c r="B7" s="1033" t="s">
        <v>2724</v>
      </c>
      <c r="C7" s="1034" t="str">
        <f t="shared" ref="C7:C104" si="0">+D7&amp;E7</f>
        <v/>
      </c>
      <c r="D7" s="1033"/>
      <c r="E7" s="1033"/>
      <c r="F7" s="1034" t="str">
        <f t="shared" ref="F7:F104" si="1">+G7&amp;H7</f>
        <v/>
      </c>
      <c r="G7" s="1033"/>
      <c r="H7" s="1033"/>
      <c r="I7" s="1034" t="str">
        <f t="shared" ref="I7:I104" si="2">+J7&amp;K7</f>
        <v/>
      </c>
      <c r="J7" s="1035"/>
      <c r="K7" s="1035"/>
      <c r="L7" s="1034" t="str">
        <f t="shared" ref="L7:L104" si="3">+M7&amp;N7</f>
        <v/>
      </c>
      <c r="M7" s="1035"/>
      <c r="N7" s="1035"/>
      <c r="O7" s="1036" t="str">
        <f t="shared" ref="O7:O104" si="4">+P7&amp;Q7</f>
        <v/>
      </c>
      <c r="P7" s="1035"/>
      <c r="Q7" s="1033"/>
      <c r="R7" s="1034" t="str">
        <f t="shared" ref="R7:R104" si="5">+S7&amp;T7</f>
        <v/>
      </c>
      <c r="S7" s="1035"/>
      <c r="T7" s="1035"/>
      <c r="U7" s="1034" t="str">
        <f t="shared" ref="U7:U104" si="6">+V7&amp;W7</f>
        <v/>
      </c>
      <c r="V7" s="1035"/>
      <c r="W7" s="1035"/>
      <c r="X7" s="1037" t="str">
        <f t="shared" ref="X7:X38" si="7">+Y7&amp;Z7</f>
        <v>221</v>
      </c>
      <c r="Y7" s="1035">
        <v>22</v>
      </c>
      <c r="Z7" s="1035">
        <f>VALUE(LEFT(AC7,1))</f>
        <v>1</v>
      </c>
      <c r="AA7" s="1035"/>
      <c r="AB7" s="1035"/>
      <c r="AC7" s="1021">
        <v>110001</v>
      </c>
      <c r="AD7" s="1021" t="s">
        <v>430</v>
      </c>
      <c r="AE7" s="1022">
        <f>VLOOKUP(AC7,[5]Hoja1!$A$10:$K$1393,11,0)</f>
        <v>660797</v>
      </c>
      <c r="AF7" s="1022"/>
      <c r="AG7" s="1022">
        <f>AE7+AF7</f>
        <v>660797</v>
      </c>
      <c r="AH7" s="1022">
        <f>ROUND((AE7+AF7)/$AH$2,0)</f>
        <v>661</v>
      </c>
      <c r="AI7" s="491"/>
      <c r="AK7" s="448"/>
      <c r="AL7" s="445"/>
    </row>
    <row r="8" spans="1:38" s="467" customFormat="1" ht="12.75" customHeight="1">
      <c r="A8" s="1033">
        <v>5111000</v>
      </c>
      <c r="B8" s="1033" t="s">
        <v>2724</v>
      </c>
      <c r="C8" s="1034" t="str">
        <f t="shared" si="0"/>
        <v/>
      </c>
      <c r="D8" s="1033"/>
      <c r="E8" s="1033"/>
      <c r="F8" s="1034" t="str">
        <f t="shared" si="1"/>
        <v/>
      </c>
      <c r="G8" s="1033"/>
      <c r="H8" s="1033"/>
      <c r="I8" s="1034" t="str">
        <f t="shared" si="2"/>
        <v/>
      </c>
      <c r="J8" s="1033"/>
      <c r="K8" s="1033"/>
      <c r="L8" s="1034" t="str">
        <f t="shared" si="3"/>
        <v/>
      </c>
      <c r="M8" s="1035"/>
      <c r="N8" s="1035"/>
      <c r="O8" s="1036" t="str">
        <f t="shared" si="4"/>
        <v/>
      </c>
      <c r="P8" s="1033"/>
      <c r="Q8" s="1033"/>
      <c r="R8" s="1034" t="str">
        <f t="shared" si="5"/>
        <v/>
      </c>
      <c r="S8" s="1035"/>
      <c r="T8" s="1035"/>
      <c r="U8" s="1034" t="str">
        <f t="shared" si="6"/>
        <v/>
      </c>
      <c r="V8" s="1035"/>
      <c r="W8" s="1035"/>
      <c r="X8" s="1037" t="str">
        <f t="shared" si="7"/>
        <v>221</v>
      </c>
      <c r="Y8" s="1035">
        <v>22</v>
      </c>
      <c r="Z8" s="1035">
        <f t="shared" ref="Z8:Z73" si="8">VALUE(LEFT(AC8,1))</f>
        <v>1</v>
      </c>
      <c r="AA8" s="1035"/>
      <c r="AB8" s="1035"/>
      <c r="AC8" s="1021">
        <v>110002</v>
      </c>
      <c r="AD8" s="1021" t="s">
        <v>431</v>
      </c>
      <c r="AE8" s="1022">
        <f>VLOOKUP(AC8,[5]Hoja1!$A$10:$K$1393,11,0)</f>
        <v>0</v>
      </c>
      <c r="AF8" s="1022">
        <v>0</v>
      </c>
      <c r="AG8" s="1022">
        <f t="shared" ref="AG8:AG73" si="9">AE8+AF8</f>
        <v>0</v>
      </c>
      <c r="AH8" s="1022">
        <f t="shared" ref="AH8:AH73" si="10">ROUND((AE8+AF8)/$AH$2,0)</f>
        <v>0</v>
      </c>
      <c r="AK8" s="448"/>
      <c r="AL8" s="445"/>
    </row>
    <row r="9" spans="1:38" s="467" customFormat="1" ht="12.75" customHeight="1">
      <c r="A9" s="1033">
        <v>5111000</v>
      </c>
      <c r="B9" s="1033" t="s">
        <v>2724</v>
      </c>
      <c r="C9" s="1034" t="str">
        <f t="shared" si="0"/>
        <v/>
      </c>
      <c r="D9" s="1033"/>
      <c r="E9" s="1033"/>
      <c r="F9" s="1034" t="str">
        <f t="shared" si="1"/>
        <v/>
      </c>
      <c r="G9" s="1033"/>
      <c r="H9" s="1033"/>
      <c r="I9" s="1034" t="str">
        <f t="shared" si="2"/>
        <v/>
      </c>
      <c r="J9" s="1033"/>
      <c r="K9" s="1033"/>
      <c r="L9" s="1034" t="str">
        <f t="shared" si="3"/>
        <v/>
      </c>
      <c r="M9" s="1035"/>
      <c r="N9" s="1035"/>
      <c r="O9" s="1036" t="str">
        <f t="shared" si="4"/>
        <v/>
      </c>
      <c r="P9" s="1033"/>
      <c r="Q9" s="1033"/>
      <c r="R9" s="1034" t="str">
        <f t="shared" si="5"/>
        <v/>
      </c>
      <c r="S9" s="1035"/>
      <c r="T9" s="1035"/>
      <c r="U9" s="1034" t="str">
        <f t="shared" si="6"/>
        <v/>
      </c>
      <c r="V9" s="1035"/>
      <c r="W9" s="1035"/>
      <c r="X9" s="1037" t="str">
        <f t="shared" si="7"/>
        <v>221</v>
      </c>
      <c r="Y9" s="1035">
        <v>22</v>
      </c>
      <c r="Z9" s="1035">
        <f t="shared" si="8"/>
        <v>1</v>
      </c>
      <c r="AA9" s="1035"/>
      <c r="AB9" s="1035"/>
      <c r="AC9" s="1021">
        <v>110003</v>
      </c>
      <c r="AD9" s="1021" t="s">
        <v>330</v>
      </c>
      <c r="AE9" s="1022">
        <f>VLOOKUP(AC9,[5]Hoja1!$A$10:$K$1393,11,0)</f>
        <v>577998550</v>
      </c>
      <c r="AF9" s="1191">
        <f>-271812-179696463</f>
        <v>-179968275</v>
      </c>
      <c r="AG9" s="1022">
        <f t="shared" si="9"/>
        <v>398030275</v>
      </c>
      <c r="AH9" s="1022">
        <f t="shared" si="10"/>
        <v>398030</v>
      </c>
      <c r="AK9" s="448"/>
      <c r="AL9" s="445"/>
    </row>
    <row r="10" spans="1:38" s="467" customFormat="1" ht="12.75" customHeight="1">
      <c r="A10" s="1033">
        <v>5111000</v>
      </c>
      <c r="B10" s="1033" t="s">
        <v>2724</v>
      </c>
      <c r="C10" s="1034" t="str">
        <f>+D10&amp;E10</f>
        <v/>
      </c>
      <c r="D10" s="1033"/>
      <c r="E10" s="1033"/>
      <c r="F10" s="1034" t="str">
        <f>+G10&amp;H10</f>
        <v/>
      </c>
      <c r="G10" s="1033"/>
      <c r="H10" s="1033"/>
      <c r="I10" s="1034" t="str">
        <f>+J10&amp;K10</f>
        <v/>
      </c>
      <c r="J10" s="1033"/>
      <c r="K10" s="1033"/>
      <c r="L10" s="1034" t="str">
        <f>+M10&amp;N10</f>
        <v/>
      </c>
      <c r="M10" s="1035"/>
      <c r="N10" s="1035"/>
      <c r="O10" s="1036" t="str">
        <f>+P10&amp;Q10</f>
        <v/>
      </c>
      <c r="P10" s="1033"/>
      <c r="Q10" s="1033"/>
      <c r="R10" s="1034" t="str">
        <f>+S10&amp;T10</f>
        <v/>
      </c>
      <c r="S10" s="1035"/>
      <c r="T10" s="1035"/>
      <c r="U10" s="1034" t="str">
        <f>+V10&amp;W10</f>
        <v/>
      </c>
      <c r="V10" s="1035"/>
      <c r="W10" s="1035"/>
      <c r="X10" s="1037" t="str">
        <f t="shared" si="7"/>
        <v>221</v>
      </c>
      <c r="Y10" s="1035">
        <v>22</v>
      </c>
      <c r="Z10" s="1035">
        <f t="shared" si="8"/>
        <v>1</v>
      </c>
      <c r="AA10" s="1035"/>
      <c r="AB10" s="1035"/>
      <c r="AC10" s="1021">
        <v>110004</v>
      </c>
      <c r="AD10" s="1021" t="s">
        <v>1348</v>
      </c>
      <c r="AE10" s="1022">
        <f>VLOOKUP(AC10,[5]Hoja1!$A$10:$K$1393,11,0)</f>
        <v>290384175</v>
      </c>
      <c r="AF10" s="1507">
        <f>-AF13-AF45-AF65-AF17</f>
        <v>-290384175</v>
      </c>
      <c r="AG10" s="1022">
        <f t="shared" si="9"/>
        <v>0</v>
      </c>
      <c r="AH10" s="1022">
        <f t="shared" si="10"/>
        <v>0</v>
      </c>
      <c r="AK10" s="448"/>
      <c r="AL10" s="445"/>
    </row>
    <row r="11" spans="1:38" s="467" customFormat="1" ht="12.75" customHeight="1">
      <c r="A11" s="1033">
        <v>5111000</v>
      </c>
      <c r="B11" s="1033" t="s">
        <v>2724</v>
      </c>
      <c r="C11" s="1034" t="str">
        <f>+D11&amp;E11</f>
        <v/>
      </c>
      <c r="D11" s="1033"/>
      <c r="E11" s="1033"/>
      <c r="F11" s="1034" t="str">
        <f>+G11&amp;H11</f>
        <v/>
      </c>
      <c r="G11" s="1033"/>
      <c r="H11" s="1033"/>
      <c r="I11" s="1034" t="str">
        <f>+J11&amp;K11</f>
        <v/>
      </c>
      <c r="J11" s="1033"/>
      <c r="K11" s="1033"/>
      <c r="L11" s="1034" t="str">
        <f>+M11&amp;N11</f>
        <v/>
      </c>
      <c r="M11" s="1035"/>
      <c r="N11" s="1035"/>
      <c r="O11" s="1036" t="str">
        <f>+P11&amp;Q11</f>
        <v/>
      </c>
      <c r="P11" s="1033"/>
      <c r="Q11" s="1033"/>
      <c r="R11" s="1034" t="str">
        <f>+S11&amp;T11</f>
        <v/>
      </c>
      <c r="S11" s="1035"/>
      <c r="T11" s="1035"/>
      <c r="U11" s="1034" t="str">
        <f>+V11&amp;W11</f>
        <v/>
      </c>
      <c r="V11" s="1035"/>
      <c r="W11" s="1035"/>
      <c r="X11" s="1037" t="str">
        <f t="shared" si="7"/>
        <v>221</v>
      </c>
      <c r="Y11" s="1035">
        <v>22</v>
      </c>
      <c r="Z11" s="1035">
        <f t="shared" si="8"/>
        <v>1</v>
      </c>
      <c r="AA11" s="1035"/>
      <c r="AB11" s="1035"/>
      <c r="AC11" s="1021">
        <v>110005</v>
      </c>
      <c r="AD11" s="1021" t="s">
        <v>981</v>
      </c>
      <c r="AE11" s="1022">
        <f>VLOOKUP(AC11,[5]Hoja1!$A$10:$K$1393,11,0)</f>
        <v>0</v>
      </c>
      <c r="AF11" s="1022"/>
      <c r="AG11" s="1022">
        <f t="shared" si="9"/>
        <v>0</v>
      </c>
      <c r="AH11" s="1022">
        <f t="shared" si="10"/>
        <v>0</v>
      </c>
      <c r="AK11" s="448"/>
      <c r="AL11" s="445"/>
    </row>
    <row r="12" spans="1:38" s="467" customFormat="1" ht="12.75" customHeight="1">
      <c r="A12" s="1033">
        <v>5111000</v>
      </c>
      <c r="B12" s="1033" t="s">
        <v>2724</v>
      </c>
      <c r="C12" s="1034" t="str">
        <f t="shared" si="0"/>
        <v/>
      </c>
      <c r="D12" s="1033"/>
      <c r="E12" s="1033"/>
      <c r="F12" s="1034" t="str">
        <f t="shared" si="1"/>
        <v/>
      </c>
      <c r="G12" s="1033"/>
      <c r="H12" s="1033"/>
      <c r="I12" s="1034" t="str">
        <f t="shared" si="2"/>
        <v/>
      </c>
      <c r="J12" s="1033"/>
      <c r="K12" s="1033"/>
      <c r="L12" s="1034" t="str">
        <f t="shared" si="3"/>
        <v/>
      </c>
      <c r="M12" s="1035"/>
      <c r="N12" s="1035"/>
      <c r="O12" s="1036" t="str">
        <f t="shared" si="4"/>
        <v/>
      </c>
      <c r="P12" s="1033"/>
      <c r="Q12" s="1033"/>
      <c r="R12" s="1034" t="str">
        <f t="shared" si="5"/>
        <v/>
      </c>
      <c r="S12" s="1035"/>
      <c r="T12" s="1035"/>
      <c r="U12" s="1034" t="str">
        <f t="shared" si="6"/>
        <v/>
      </c>
      <c r="V12" s="1035"/>
      <c r="W12" s="1035"/>
      <c r="X12" s="1037" t="str">
        <f t="shared" si="7"/>
        <v>221</v>
      </c>
      <c r="Y12" s="1035">
        <v>22</v>
      </c>
      <c r="Z12" s="1035">
        <f t="shared" si="8"/>
        <v>1</v>
      </c>
      <c r="AA12" s="1035"/>
      <c r="AB12" s="1035"/>
      <c r="AC12" s="1021">
        <v>110101</v>
      </c>
      <c r="AD12" s="1021" t="s">
        <v>1906</v>
      </c>
      <c r="AE12" s="1022">
        <f>VLOOKUP(AC12,[5]Hoja1!$A$10:$K$1393,11,0)</f>
        <v>0</v>
      </c>
      <c r="AF12" s="1022"/>
      <c r="AG12" s="1022">
        <f t="shared" si="9"/>
        <v>0</v>
      </c>
      <c r="AH12" s="1022">
        <f t="shared" si="10"/>
        <v>0</v>
      </c>
      <c r="AK12" s="448"/>
      <c r="AL12" s="445"/>
    </row>
    <row r="13" spans="1:38" s="467" customFormat="1" ht="12.75" customHeight="1">
      <c r="A13" s="1033">
        <v>5111000</v>
      </c>
      <c r="B13" s="1033" t="s">
        <v>2724</v>
      </c>
      <c r="C13" s="1034" t="str">
        <f t="shared" si="0"/>
        <v/>
      </c>
      <c r="D13" s="1033"/>
      <c r="E13" s="1033"/>
      <c r="F13" s="1034" t="str">
        <f t="shared" si="1"/>
        <v/>
      </c>
      <c r="G13" s="1033"/>
      <c r="H13" s="1033"/>
      <c r="I13" s="1034" t="str">
        <f t="shared" si="2"/>
        <v/>
      </c>
      <c r="J13" s="1033"/>
      <c r="K13" s="1033"/>
      <c r="L13" s="1034" t="str">
        <f t="shared" si="3"/>
        <v/>
      </c>
      <c r="M13" s="1035"/>
      <c r="N13" s="1035"/>
      <c r="O13" s="1036" t="str">
        <f t="shared" si="4"/>
        <v/>
      </c>
      <c r="P13" s="1033"/>
      <c r="Q13" s="1033"/>
      <c r="R13" s="1034" t="str">
        <f t="shared" si="5"/>
        <v/>
      </c>
      <c r="S13" s="1035"/>
      <c r="T13" s="1035"/>
      <c r="U13" s="1034" t="str">
        <f t="shared" si="6"/>
        <v/>
      </c>
      <c r="V13" s="1035"/>
      <c r="W13" s="1035"/>
      <c r="X13" s="1037" t="str">
        <f t="shared" si="7"/>
        <v>221</v>
      </c>
      <c r="Y13" s="1035">
        <v>22</v>
      </c>
      <c r="Z13" s="1035">
        <f t="shared" si="8"/>
        <v>1</v>
      </c>
      <c r="AA13" s="1035"/>
      <c r="AB13" s="1035"/>
      <c r="AC13" s="1021">
        <v>110102</v>
      </c>
      <c r="AD13" s="1021" t="s">
        <v>1907</v>
      </c>
      <c r="AE13" s="1022">
        <f>VLOOKUP(AC13,[5]Hoja1!$A$10:$K$1393,11,0)</f>
        <v>788656220</v>
      </c>
      <c r="AF13" s="1507">
        <v>271083336</v>
      </c>
      <c r="AG13" s="1022">
        <f t="shared" si="9"/>
        <v>1059739556</v>
      </c>
      <c r="AH13" s="1022">
        <f t="shared" si="10"/>
        <v>1059740</v>
      </c>
      <c r="AK13" s="448"/>
      <c r="AL13" s="445"/>
    </row>
    <row r="14" spans="1:38" s="467" customFormat="1" ht="12.75" customHeight="1">
      <c r="A14" s="1033">
        <v>5111000</v>
      </c>
      <c r="B14" s="1033" t="s">
        <v>2724</v>
      </c>
      <c r="C14" s="1034" t="str">
        <f t="shared" si="0"/>
        <v/>
      </c>
      <c r="D14" s="1033"/>
      <c r="E14" s="1033"/>
      <c r="F14" s="1034" t="str">
        <f t="shared" si="1"/>
        <v/>
      </c>
      <c r="G14" s="1033"/>
      <c r="H14" s="1033"/>
      <c r="I14" s="1034" t="str">
        <f t="shared" si="2"/>
        <v/>
      </c>
      <c r="J14" s="1033"/>
      <c r="K14" s="1033"/>
      <c r="L14" s="1034" t="str">
        <f t="shared" si="3"/>
        <v/>
      </c>
      <c r="M14" s="1035"/>
      <c r="N14" s="1035"/>
      <c r="O14" s="1036" t="str">
        <f t="shared" si="4"/>
        <v/>
      </c>
      <c r="P14" s="1033"/>
      <c r="Q14" s="1033"/>
      <c r="R14" s="1034" t="str">
        <f t="shared" si="5"/>
        <v/>
      </c>
      <c r="S14" s="1035"/>
      <c r="T14" s="1035"/>
      <c r="U14" s="1034" t="str">
        <f t="shared" si="6"/>
        <v/>
      </c>
      <c r="V14" s="1035"/>
      <c r="W14" s="1035"/>
      <c r="X14" s="1037" t="str">
        <f t="shared" si="7"/>
        <v>221</v>
      </c>
      <c r="Y14" s="1035">
        <v>22</v>
      </c>
      <c r="Z14" s="1035">
        <f t="shared" si="8"/>
        <v>1</v>
      </c>
      <c r="AA14" s="1035"/>
      <c r="AB14" s="1035"/>
      <c r="AC14" s="1021">
        <v>110103</v>
      </c>
      <c r="AD14" s="1021" t="s">
        <v>1908</v>
      </c>
      <c r="AE14" s="1022">
        <f>VLOOKUP(AC14,[5]Hoja1!$A$10:$K$1393,11,0)</f>
        <v>381388</v>
      </c>
      <c r="AF14" s="1022">
        <v>0</v>
      </c>
      <c r="AG14" s="1022">
        <f t="shared" si="9"/>
        <v>381388</v>
      </c>
      <c r="AH14" s="1022">
        <f t="shared" si="10"/>
        <v>381</v>
      </c>
      <c r="AK14" s="448"/>
      <c r="AL14" s="445"/>
    </row>
    <row r="15" spans="1:38" s="467" customFormat="1" ht="12.75" customHeight="1">
      <c r="A15" s="1033">
        <v>5111000</v>
      </c>
      <c r="B15" s="1033" t="s">
        <v>2724</v>
      </c>
      <c r="C15" s="1034" t="str">
        <f t="shared" si="0"/>
        <v/>
      </c>
      <c r="D15" s="1033"/>
      <c r="E15" s="1033"/>
      <c r="F15" s="1034" t="str">
        <f t="shared" si="1"/>
        <v/>
      </c>
      <c r="G15" s="1033"/>
      <c r="H15" s="1033"/>
      <c r="I15" s="1034" t="str">
        <f t="shared" si="2"/>
        <v/>
      </c>
      <c r="J15" s="1033"/>
      <c r="K15" s="1033"/>
      <c r="L15" s="1034" t="str">
        <f t="shared" si="3"/>
        <v/>
      </c>
      <c r="M15" s="1035"/>
      <c r="N15" s="1035"/>
      <c r="O15" s="1036" t="str">
        <f t="shared" si="4"/>
        <v/>
      </c>
      <c r="P15" s="1033"/>
      <c r="Q15" s="1033"/>
      <c r="R15" s="1034" t="str">
        <f t="shared" si="5"/>
        <v/>
      </c>
      <c r="S15" s="1035"/>
      <c r="T15" s="1035"/>
      <c r="U15" s="1034" t="str">
        <f t="shared" si="6"/>
        <v/>
      </c>
      <c r="V15" s="1035"/>
      <c r="W15" s="1035"/>
      <c r="X15" s="1037" t="str">
        <f t="shared" si="7"/>
        <v>221</v>
      </c>
      <c r="Y15" s="1035">
        <v>22</v>
      </c>
      <c r="Z15" s="1035">
        <f t="shared" si="8"/>
        <v>1</v>
      </c>
      <c r="AA15" s="1035"/>
      <c r="AB15" s="1035"/>
      <c r="AC15" s="1021">
        <v>110104</v>
      </c>
      <c r="AD15" s="1021" t="s">
        <v>1725</v>
      </c>
      <c r="AE15" s="1022">
        <f>VLOOKUP(AC15,[5]Hoja1!$A$10:$K$1393,11,0)</f>
        <v>0</v>
      </c>
      <c r="AF15" s="1022"/>
      <c r="AG15" s="1022">
        <f t="shared" si="9"/>
        <v>0</v>
      </c>
      <c r="AH15" s="1022">
        <f t="shared" si="10"/>
        <v>0</v>
      </c>
      <c r="AJ15" s="491"/>
      <c r="AK15" s="448"/>
      <c r="AL15" s="445"/>
    </row>
    <row r="16" spans="1:38" s="467" customFormat="1" ht="12.75" customHeight="1">
      <c r="A16" s="1033">
        <v>5111000</v>
      </c>
      <c r="B16" s="1033" t="s">
        <v>2724</v>
      </c>
      <c r="C16" s="1034" t="str">
        <f t="shared" si="0"/>
        <v/>
      </c>
      <c r="D16" s="1033"/>
      <c r="E16" s="1033"/>
      <c r="F16" s="1034" t="str">
        <f t="shared" si="1"/>
        <v/>
      </c>
      <c r="G16" s="1033"/>
      <c r="H16" s="1033"/>
      <c r="I16" s="1034" t="str">
        <f t="shared" si="2"/>
        <v/>
      </c>
      <c r="J16" s="1033"/>
      <c r="K16" s="1033"/>
      <c r="L16" s="1034" t="str">
        <f t="shared" si="3"/>
        <v/>
      </c>
      <c r="M16" s="1035"/>
      <c r="N16" s="1035"/>
      <c r="O16" s="1036" t="str">
        <f t="shared" si="4"/>
        <v/>
      </c>
      <c r="P16" s="1033"/>
      <c r="Q16" s="1033"/>
      <c r="R16" s="1034" t="str">
        <f t="shared" si="5"/>
        <v/>
      </c>
      <c r="S16" s="1035"/>
      <c r="T16" s="1035"/>
      <c r="U16" s="1034" t="str">
        <f t="shared" si="6"/>
        <v/>
      </c>
      <c r="V16" s="1035"/>
      <c r="W16" s="1035"/>
      <c r="X16" s="1037" t="str">
        <f t="shared" si="7"/>
        <v>221</v>
      </c>
      <c r="Y16" s="1035">
        <v>22</v>
      </c>
      <c r="Z16" s="1035">
        <f t="shared" si="8"/>
        <v>1</v>
      </c>
      <c r="AA16" s="1035"/>
      <c r="AB16" s="1035"/>
      <c r="AC16" s="1021">
        <v>110105</v>
      </c>
      <c r="AD16" s="1021" t="s">
        <v>755</v>
      </c>
      <c r="AE16" s="1022">
        <f>VLOOKUP(AC16,[5]Hoja1!$A$10:$K$1393,11,0)</f>
        <v>0</v>
      </c>
      <c r="AF16" s="1022"/>
      <c r="AG16" s="1022">
        <f t="shared" si="9"/>
        <v>0</v>
      </c>
      <c r="AH16" s="1022">
        <f t="shared" si="10"/>
        <v>0</v>
      </c>
      <c r="AK16" s="448"/>
      <c r="AL16" s="445"/>
    </row>
    <row r="17" spans="1:38" s="467" customFormat="1" ht="12.75" customHeight="1">
      <c r="A17" s="1033">
        <v>5211000</v>
      </c>
      <c r="B17" s="1033" t="s">
        <v>2769</v>
      </c>
      <c r="C17" s="1034" t="str">
        <f>+D17&amp;E17</f>
        <v/>
      </c>
      <c r="D17" s="1033"/>
      <c r="E17" s="1033"/>
      <c r="F17" s="1034" t="str">
        <f>+G17&amp;H17</f>
        <v/>
      </c>
      <c r="G17" s="1033"/>
      <c r="H17" s="1033"/>
      <c r="I17" s="1034" t="str">
        <f>+J17&amp;K17</f>
        <v/>
      </c>
      <c r="J17" s="1033"/>
      <c r="K17" s="1033"/>
      <c r="L17" s="1034" t="str">
        <f>+M17&amp;N17</f>
        <v/>
      </c>
      <c r="M17" s="1035"/>
      <c r="N17" s="1035"/>
      <c r="O17" s="1036" t="str">
        <f>+P17&amp;Q17</f>
        <v/>
      </c>
      <c r="P17" s="1033"/>
      <c r="Q17" s="1033"/>
      <c r="R17" s="1034" t="str">
        <f>+S17&amp;T17</f>
        <v/>
      </c>
      <c r="S17" s="1035"/>
      <c r="T17" s="1035"/>
      <c r="U17" s="1034" t="str">
        <f>+V17&amp;W17</f>
        <v/>
      </c>
      <c r="V17" s="1035"/>
      <c r="W17" s="1035"/>
      <c r="X17" s="1037" t="str">
        <f t="shared" si="7"/>
        <v>151</v>
      </c>
      <c r="Y17" s="1035">
        <v>15</v>
      </c>
      <c r="Z17" s="1035">
        <f t="shared" si="8"/>
        <v>1</v>
      </c>
      <c r="AA17" s="1035"/>
      <c r="AB17" s="1035"/>
      <c r="AC17" s="1021">
        <v>110106</v>
      </c>
      <c r="AD17" s="1021" t="s">
        <v>1126</v>
      </c>
      <c r="AE17" s="1022">
        <f>VLOOKUP(AC17,[5]Hoja1!$A$10:$K$1393,11,0)</f>
        <v>-76215765</v>
      </c>
      <c r="AF17" s="1191">
        <v>274359</v>
      </c>
      <c r="AG17" s="1022">
        <f t="shared" si="9"/>
        <v>-75941406</v>
      </c>
      <c r="AH17" s="1022">
        <f t="shared" si="10"/>
        <v>-75941</v>
      </c>
      <c r="AJ17" s="491"/>
      <c r="AK17" s="448"/>
      <c r="AL17" s="445"/>
    </row>
    <row r="18" spans="1:38" s="467" customFormat="1" ht="12.75" customHeight="1">
      <c r="A18" s="1033">
        <v>5111000</v>
      </c>
      <c r="B18" s="1033" t="s">
        <v>2724</v>
      </c>
      <c r="C18" s="1034" t="str">
        <f>+D18&amp;E18</f>
        <v/>
      </c>
      <c r="D18" s="1033"/>
      <c r="E18" s="1033"/>
      <c r="F18" s="1034" t="str">
        <f>+G18&amp;H18</f>
        <v/>
      </c>
      <c r="G18" s="1033"/>
      <c r="H18" s="1033"/>
      <c r="I18" s="1034" t="str">
        <f>+J18&amp;K18</f>
        <v/>
      </c>
      <c r="J18" s="1033"/>
      <c r="K18" s="1033"/>
      <c r="L18" s="1034" t="str">
        <f>+M18&amp;N18</f>
        <v/>
      </c>
      <c r="M18" s="1035"/>
      <c r="N18" s="1035"/>
      <c r="O18" s="1036" t="str">
        <f>+P18&amp;Q18</f>
        <v/>
      </c>
      <c r="P18" s="1033"/>
      <c r="Q18" s="1033"/>
      <c r="R18" s="1034" t="str">
        <f>+S18&amp;T18</f>
        <v/>
      </c>
      <c r="S18" s="1035"/>
      <c r="T18" s="1035"/>
      <c r="U18" s="1034" t="str">
        <f>+V18&amp;W18</f>
        <v/>
      </c>
      <c r="V18" s="1035"/>
      <c r="W18" s="1035"/>
      <c r="X18" s="1037" t="str">
        <f t="shared" si="7"/>
        <v>151</v>
      </c>
      <c r="Y18" s="1035">
        <v>15</v>
      </c>
      <c r="Z18" s="1035">
        <f t="shared" si="8"/>
        <v>1</v>
      </c>
      <c r="AA18" s="1035"/>
      <c r="AB18" s="1035"/>
      <c r="AC18" s="1021">
        <v>110107</v>
      </c>
      <c r="AD18" s="1021" t="s">
        <v>1127</v>
      </c>
      <c r="AE18" s="1022">
        <f>VLOOKUP(AC18,[5]Hoja1!$A$10:$K$1393,11,0)</f>
        <v>1676626</v>
      </c>
      <c r="AF18" s="1022">
        <v>0</v>
      </c>
      <c r="AG18" s="1022">
        <f t="shared" si="9"/>
        <v>1676626</v>
      </c>
      <c r="AH18" s="1022">
        <f t="shared" si="10"/>
        <v>1677</v>
      </c>
      <c r="AK18" s="448"/>
      <c r="AL18" s="445"/>
    </row>
    <row r="19" spans="1:38" s="467" customFormat="1" ht="12.75" customHeight="1">
      <c r="A19" s="1033">
        <v>5111000</v>
      </c>
      <c r="B19" s="1033" t="s">
        <v>2724</v>
      </c>
      <c r="C19" s="1034" t="str">
        <f>+D19&amp;E19</f>
        <v/>
      </c>
      <c r="D19" s="1033"/>
      <c r="E19" s="1033"/>
      <c r="F19" s="1034" t="str">
        <f>+G19&amp;H19</f>
        <v/>
      </c>
      <c r="G19" s="1033"/>
      <c r="H19" s="1033"/>
      <c r="I19" s="1034" t="str">
        <f>+J19&amp;K19</f>
        <v/>
      </c>
      <c r="J19" s="1033"/>
      <c r="K19" s="1033"/>
      <c r="L19" s="1034" t="str">
        <f>+M19&amp;N19</f>
        <v/>
      </c>
      <c r="M19" s="1035"/>
      <c r="N19" s="1035"/>
      <c r="O19" s="1036" t="str">
        <f>+P19&amp;Q19</f>
        <v/>
      </c>
      <c r="P19" s="1033"/>
      <c r="Q19" s="1033"/>
      <c r="R19" s="1034" t="str">
        <f>+S19&amp;T19</f>
        <v/>
      </c>
      <c r="S19" s="1035"/>
      <c r="T19" s="1035"/>
      <c r="U19" s="1034" t="str">
        <f>+V19&amp;W19</f>
        <v/>
      </c>
      <c r="V19" s="1035"/>
      <c r="W19" s="1035"/>
      <c r="X19" s="1037" t="str">
        <f t="shared" si="7"/>
        <v>221</v>
      </c>
      <c r="Y19" s="1035">
        <v>22</v>
      </c>
      <c r="Z19" s="1035">
        <f t="shared" si="8"/>
        <v>1</v>
      </c>
      <c r="AA19" s="1035"/>
      <c r="AB19" s="1035"/>
      <c r="AC19" s="1021">
        <v>110108</v>
      </c>
      <c r="AD19" s="1021" t="s">
        <v>1909</v>
      </c>
      <c r="AE19" s="1022">
        <f>VLOOKUP(AC19,[5]Hoja1!$A$10:$K$1393,11,0)</f>
        <v>146433782</v>
      </c>
      <c r="AF19" s="1022"/>
      <c r="AG19" s="1022">
        <f t="shared" si="9"/>
        <v>146433782</v>
      </c>
      <c r="AH19" s="1022">
        <f t="shared" si="10"/>
        <v>146434</v>
      </c>
      <c r="AK19" s="448"/>
      <c r="AL19" s="445"/>
    </row>
    <row r="20" spans="1:38" s="467" customFormat="1" ht="12.75" customHeight="1">
      <c r="A20" s="1033">
        <v>5111000</v>
      </c>
      <c r="B20" s="1033" t="s">
        <v>2724</v>
      </c>
      <c r="C20" s="1034" t="str">
        <f t="shared" si="0"/>
        <v/>
      </c>
      <c r="D20" s="1033"/>
      <c r="E20" s="1033"/>
      <c r="F20" s="1034" t="str">
        <f t="shared" si="1"/>
        <v/>
      </c>
      <c r="G20" s="1033"/>
      <c r="H20" s="1033"/>
      <c r="I20" s="1034" t="str">
        <f t="shared" si="2"/>
        <v/>
      </c>
      <c r="J20" s="1033"/>
      <c r="K20" s="1033"/>
      <c r="L20" s="1034" t="str">
        <f t="shared" si="3"/>
        <v/>
      </c>
      <c r="M20" s="1035"/>
      <c r="N20" s="1035"/>
      <c r="O20" s="1036" t="str">
        <f t="shared" si="4"/>
        <v/>
      </c>
      <c r="P20" s="1033"/>
      <c r="Q20" s="1033"/>
      <c r="R20" s="1034" t="str">
        <f t="shared" si="5"/>
        <v/>
      </c>
      <c r="S20" s="1035"/>
      <c r="T20" s="1035"/>
      <c r="U20" s="1034" t="str">
        <f t="shared" si="6"/>
        <v/>
      </c>
      <c r="V20" s="1035"/>
      <c r="W20" s="1035"/>
      <c r="X20" s="1037" t="str">
        <f t="shared" si="7"/>
        <v>221</v>
      </c>
      <c r="Y20" s="1035">
        <v>22</v>
      </c>
      <c r="Z20" s="1035">
        <f t="shared" si="8"/>
        <v>1</v>
      </c>
      <c r="AA20" s="1035"/>
      <c r="AB20" s="1035"/>
      <c r="AC20" s="1021">
        <v>110109</v>
      </c>
      <c r="AD20" s="1021" t="s">
        <v>1910</v>
      </c>
      <c r="AE20" s="1022">
        <f>VLOOKUP(AC20,[5]Hoja1!$A$10:$K$1393,11,0)</f>
        <v>0</v>
      </c>
      <c r="AF20" s="1022"/>
      <c r="AG20" s="1022">
        <f t="shared" si="9"/>
        <v>0</v>
      </c>
      <c r="AH20" s="1022">
        <f t="shared" si="10"/>
        <v>0</v>
      </c>
      <c r="AK20" s="448"/>
      <c r="AL20" s="445"/>
    </row>
    <row r="21" spans="1:38" s="467" customFormat="1" ht="12.75" customHeight="1">
      <c r="A21" s="1033">
        <v>5211000</v>
      </c>
      <c r="B21" s="1033" t="s">
        <v>2769</v>
      </c>
      <c r="C21" s="1034" t="str">
        <f>+D21&amp;E21</f>
        <v/>
      </c>
      <c r="D21" s="1033"/>
      <c r="E21" s="1033"/>
      <c r="F21" s="1034" t="str">
        <f>+G21&amp;H21</f>
        <v/>
      </c>
      <c r="G21" s="1033"/>
      <c r="H21" s="1033"/>
      <c r="I21" s="1034" t="str">
        <f>+J21&amp;K21</f>
        <v/>
      </c>
      <c r="J21" s="1033"/>
      <c r="K21" s="1033"/>
      <c r="L21" s="1034" t="str">
        <f>+M21&amp;N21</f>
        <v/>
      </c>
      <c r="M21" s="1035"/>
      <c r="N21" s="1035"/>
      <c r="O21" s="1036" t="str">
        <f>+P21&amp;Q21</f>
        <v/>
      </c>
      <c r="P21" s="1033"/>
      <c r="Q21" s="1033"/>
      <c r="R21" s="1034" t="str">
        <f>+S21&amp;T21</f>
        <v/>
      </c>
      <c r="S21" s="1035"/>
      <c r="T21" s="1035"/>
      <c r="U21" s="1034" t="str">
        <f>+V21&amp;W21</f>
        <v/>
      </c>
      <c r="V21" s="1035"/>
      <c r="W21" s="1035"/>
      <c r="X21" s="1037" t="str">
        <f t="shared" si="7"/>
        <v>221</v>
      </c>
      <c r="Y21" s="1035">
        <v>22</v>
      </c>
      <c r="Z21" s="1035">
        <f t="shared" si="8"/>
        <v>1</v>
      </c>
      <c r="AA21" s="1035"/>
      <c r="AB21" s="1035"/>
      <c r="AC21" s="1021">
        <v>110110</v>
      </c>
      <c r="AD21" s="1021" t="s">
        <v>1911</v>
      </c>
      <c r="AE21" s="1022">
        <f>VLOOKUP(AC21,[5]Hoja1!$A$10:$K$1393,11,0)</f>
        <v>-1250636</v>
      </c>
      <c r="AF21" s="1022"/>
      <c r="AG21" s="1022">
        <f t="shared" si="9"/>
        <v>-1250636</v>
      </c>
      <c r="AH21" s="1022">
        <f t="shared" si="10"/>
        <v>-1251</v>
      </c>
      <c r="AK21" s="448"/>
      <c r="AL21" s="445"/>
    </row>
    <row r="22" spans="1:38" s="467" customFormat="1" ht="12.75" customHeight="1">
      <c r="A22" s="1033">
        <v>5111000</v>
      </c>
      <c r="B22" s="1033" t="s">
        <v>2724</v>
      </c>
      <c r="C22" s="1034" t="str">
        <f t="shared" si="0"/>
        <v/>
      </c>
      <c r="D22" s="1033"/>
      <c r="E22" s="1033"/>
      <c r="F22" s="1034" t="str">
        <f t="shared" si="1"/>
        <v/>
      </c>
      <c r="G22" s="1033"/>
      <c r="H22" s="1033"/>
      <c r="I22" s="1034" t="str">
        <f t="shared" si="2"/>
        <v/>
      </c>
      <c r="J22" s="1033"/>
      <c r="K22" s="1033"/>
      <c r="L22" s="1034" t="str">
        <f t="shared" si="3"/>
        <v/>
      </c>
      <c r="M22" s="1035"/>
      <c r="N22" s="1035"/>
      <c r="O22" s="1036" t="str">
        <f t="shared" si="4"/>
        <v/>
      </c>
      <c r="P22" s="1033"/>
      <c r="Q22" s="1033"/>
      <c r="R22" s="1034" t="str">
        <f t="shared" si="5"/>
        <v/>
      </c>
      <c r="S22" s="1035"/>
      <c r="T22" s="1035"/>
      <c r="U22" s="1034" t="str">
        <f t="shared" si="6"/>
        <v/>
      </c>
      <c r="V22" s="1035"/>
      <c r="W22" s="1035"/>
      <c r="X22" s="1037" t="str">
        <f t="shared" si="7"/>
        <v>221</v>
      </c>
      <c r="Y22" s="1035">
        <v>22</v>
      </c>
      <c r="Z22" s="1035">
        <f t="shared" si="8"/>
        <v>1</v>
      </c>
      <c r="AA22" s="1035"/>
      <c r="AB22" s="1035"/>
      <c r="AC22" s="1021">
        <v>110111</v>
      </c>
      <c r="AD22" s="1021" t="s">
        <v>908</v>
      </c>
      <c r="AE22" s="1022">
        <f>VLOOKUP(AC22,[5]Hoja1!$A$10:$K$1393,11,0)</f>
        <v>109396</v>
      </c>
      <c r="AF22" s="1022"/>
      <c r="AG22" s="1022">
        <f t="shared" si="9"/>
        <v>109396</v>
      </c>
      <c r="AH22" s="1022">
        <f t="shared" si="10"/>
        <v>109</v>
      </c>
      <c r="AK22" s="448"/>
      <c r="AL22" s="445"/>
    </row>
    <row r="23" spans="1:38" s="467" customFormat="1" ht="12.75" customHeight="1">
      <c r="A23" s="1033">
        <v>5211000</v>
      </c>
      <c r="B23" s="1033" t="s">
        <v>2769</v>
      </c>
      <c r="C23" s="1034" t="str">
        <f>+D23&amp;E23</f>
        <v/>
      </c>
      <c r="D23" s="1033"/>
      <c r="E23" s="1033"/>
      <c r="F23" s="1034" t="str">
        <f>+G23&amp;H23</f>
        <v/>
      </c>
      <c r="G23" s="1033"/>
      <c r="H23" s="1033"/>
      <c r="I23" s="1034" t="str">
        <f>+J23&amp;K23</f>
        <v/>
      </c>
      <c r="J23" s="1033"/>
      <c r="K23" s="1033"/>
      <c r="L23" s="1034" t="str">
        <f>+M23&amp;N23</f>
        <v/>
      </c>
      <c r="M23" s="1035"/>
      <c r="N23" s="1035"/>
      <c r="O23" s="1036" t="str">
        <f>+P23&amp;Q23</f>
        <v/>
      </c>
      <c r="P23" s="1033"/>
      <c r="Q23" s="1033"/>
      <c r="R23" s="1034" t="str">
        <f>+S23&amp;T23</f>
        <v/>
      </c>
      <c r="S23" s="1035"/>
      <c r="T23" s="1035"/>
      <c r="U23" s="1034" t="str">
        <f>+V23&amp;W23</f>
        <v/>
      </c>
      <c r="V23" s="1035"/>
      <c r="W23" s="1035"/>
      <c r="X23" s="1037" t="str">
        <f t="shared" si="7"/>
        <v>151</v>
      </c>
      <c r="Y23" s="1035">
        <v>15</v>
      </c>
      <c r="Z23" s="1035">
        <f t="shared" si="8"/>
        <v>1</v>
      </c>
      <c r="AA23" s="1035"/>
      <c r="AB23" s="1035"/>
      <c r="AC23" s="1021">
        <v>110112</v>
      </c>
      <c r="AD23" s="1021" t="s">
        <v>1912</v>
      </c>
      <c r="AE23" s="1022">
        <f>VLOOKUP(AC23,[5]Hoja1!$A$10:$K$1393,11,0)</f>
        <v>-55085074</v>
      </c>
      <c r="AF23" s="1022"/>
      <c r="AG23" s="1022">
        <f t="shared" si="9"/>
        <v>-55085074</v>
      </c>
      <c r="AH23" s="1022">
        <f t="shared" si="10"/>
        <v>-55085</v>
      </c>
      <c r="AK23" s="448"/>
      <c r="AL23" s="445"/>
    </row>
    <row r="24" spans="1:38" s="467" customFormat="1" ht="12.75" customHeight="1">
      <c r="A24" s="1033">
        <v>5111000</v>
      </c>
      <c r="B24" s="1033" t="s">
        <v>2724</v>
      </c>
      <c r="C24" s="1034" t="str">
        <f>+D24&amp;E24</f>
        <v/>
      </c>
      <c r="D24" s="1033"/>
      <c r="E24" s="1033"/>
      <c r="F24" s="1034" t="str">
        <f>+G24&amp;H24</f>
        <v/>
      </c>
      <c r="G24" s="1033"/>
      <c r="H24" s="1033"/>
      <c r="I24" s="1034" t="str">
        <f>+J24&amp;K24</f>
        <v/>
      </c>
      <c r="J24" s="1033"/>
      <c r="K24" s="1033"/>
      <c r="L24" s="1034" t="str">
        <f>+M24&amp;N24</f>
        <v/>
      </c>
      <c r="M24" s="1035"/>
      <c r="N24" s="1035"/>
      <c r="O24" s="1036" t="str">
        <f>+P24&amp;Q24</f>
        <v/>
      </c>
      <c r="P24" s="1033"/>
      <c r="Q24" s="1033"/>
      <c r="R24" s="1034" t="str">
        <f>+S24&amp;T24</f>
        <v/>
      </c>
      <c r="S24" s="1035"/>
      <c r="T24" s="1035"/>
      <c r="U24" s="1034" t="str">
        <f>+V24&amp;W24</f>
        <v/>
      </c>
      <c r="V24" s="1035"/>
      <c r="W24" s="1035"/>
      <c r="X24" s="1037" t="str">
        <f t="shared" si="7"/>
        <v>221</v>
      </c>
      <c r="Y24" s="1035">
        <v>22</v>
      </c>
      <c r="Z24" s="1035">
        <f t="shared" si="8"/>
        <v>1</v>
      </c>
      <c r="AA24" s="1035"/>
      <c r="AB24" s="1035"/>
      <c r="AC24" s="1021">
        <v>110113</v>
      </c>
      <c r="AD24" s="1021" t="s">
        <v>1913</v>
      </c>
      <c r="AE24" s="1022">
        <f>VLOOKUP(AC24,[5]Hoja1!$A$10:$K$1393,11,0)</f>
        <v>4715573</v>
      </c>
      <c r="AF24" s="1022"/>
      <c r="AG24" s="1022">
        <f t="shared" si="9"/>
        <v>4715573</v>
      </c>
      <c r="AH24" s="1022">
        <f t="shared" si="10"/>
        <v>4716</v>
      </c>
      <c r="AJ24" s="445"/>
      <c r="AK24" s="448"/>
      <c r="AL24" s="445"/>
    </row>
    <row r="25" spans="1:38" s="467" customFormat="1" ht="12.75" customHeight="1">
      <c r="A25" s="1033">
        <v>5111000</v>
      </c>
      <c r="B25" s="1033" t="s">
        <v>2724</v>
      </c>
      <c r="C25" s="1034" t="str">
        <f t="shared" si="0"/>
        <v/>
      </c>
      <c r="D25" s="1033"/>
      <c r="E25" s="1033"/>
      <c r="F25" s="1034" t="str">
        <f t="shared" si="1"/>
        <v/>
      </c>
      <c r="G25" s="1033"/>
      <c r="H25" s="1033"/>
      <c r="I25" s="1034" t="str">
        <f t="shared" si="2"/>
        <v/>
      </c>
      <c r="J25" s="1033"/>
      <c r="K25" s="1033"/>
      <c r="L25" s="1034" t="str">
        <f t="shared" si="3"/>
        <v/>
      </c>
      <c r="M25" s="1035"/>
      <c r="N25" s="1035"/>
      <c r="O25" s="1036" t="str">
        <f t="shared" si="4"/>
        <v/>
      </c>
      <c r="P25" s="1033"/>
      <c r="Q25" s="1033"/>
      <c r="R25" s="1034" t="str">
        <f t="shared" si="5"/>
        <v/>
      </c>
      <c r="S25" s="1035"/>
      <c r="T25" s="1035"/>
      <c r="U25" s="1034" t="str">
        <f t="shared" si="6"/>
        <v/>
      </c>
      <c r="V25" s="1035"/>
      <c r="W25" s="1035"/>
      <c r="X25" s="1037" t="str">
        <f t="shared" si="7"/>
        <v>221</v>
      </c>
      <c r="Y25" s="1035">
        <v>22</v>
      </c>
      <c r="Z25" s="1035">
        <f t="shared" si="8"/>
        <v>1</v>
      </c>
      <c r="AA25" s="1035"/>
      <c r="AB25" s="1035"/>
      <c r="AC25" s="1021">
        <v>110114</v>
      </c>
      <c r="AD25" s="1021" t="s">
        <v>1914</v>
      </c>
      <c r="AE25" s="1022">
        <f>VLOOKUP(AC25,[5]Hoja1!$A$10:$K$1393,11,0)</f>
        <v>6042048</v>
      </c>
      <c r="AF25" s="1022"/>
      <c r="AG25" s="1022">
        <f t="shared" si="9"/>
        <v>6042048</v>
      </c>
      <c r="AH25" s="1022">
        <f t="shared" si="10"/>
        <v>6042</v>
      </c>
      <c r="AI25" s="445"/>
      <c r="AK25" s="448"/>
      <c r="AL25" s="445"/>
    </row>
    <row r="26" spans="1:38" s="467" customFormat="1" ht="12.75" customHeight="1">
      <c r="A26" s="1033">
        <v>5111000</v>
      </c>
      <c r="B26" s="1033" t="s">
        <v>2724</v>
      </c>
      <c r="C26" s="1034" t="str">
        <f t="shared" si="0"/>
        <v/>
      </c>
      <c r="D26" s="1033"/>
      <c r="E26" s="1033"/>
      <c r="F26" s="1034" t="str">
        <f t="shared" si="1"/>
        <v/>
      </c>
      <c r="G26" s="1033"/>
      <c r="H26" s="1033"/>
      <c r="I26" s="1034" t="str">
        <f t="shared" si="2"/>
        <v/>
      </c>
      <c r="J26" s="1033"/>
      <c r="K26" s="1033"/>
      <c r="L26" s="1034" t="str">
        <f t="shared" si="3"/>
        <v/>
      </c>
      <c r="M26" s="1035"/>
      <c r="N26" s="1035"/>
      <c r="O26" s="1036" t="str">
        <f t="shared" si="4"/>
        <v/>
      </c>
      <c r="P26" s="1033"/>
      <c r="Q26" s="1033"/>
      <c r="R26" s="1034" t="str">
        <f t="shared" si="5"/>
        <v/>
      </c>
      <c r="S26" s="1035"/>
      <c r="T26" s="1035"/>
      <c r="U26" s="1034" t="str">
        <f t="shared" si="6"/>
        <v/>
      </c>
      <c r="V26" s="1035"/>
      <c r="W26" s="1035"/>
      <c r="X26" s="1037" t="str">
        <f t="shared" si="7"/>
        <v>221</v>
      </c>
      <c r="Y26" s="1035">
        <v>22</v>
      </c>
      <c r="Z26" s="1035">
        <f t="shared" si="8"/>
        <v>1</v>
      </c>
      <c r="AA26" s="1035"/>
      <c r="AB26" s="1035"/>
      <c r="AC26" s="1021">
        <v>110115</v>
      </c>
      <c r="AD26" s="1021" t="s">
        <v>881</v>
      </c>
      <c r="AE26" s="1022">
        <v>0</v>
      </c>
      <c r="AF26" s="1022"/>
      <c r="AG26" s="1022">
        <f t="shared" si="9"/>
        <v>0</v>
      </c>
      <c r="AH26" s="1022">
        <f t="shared" si="10"/>
        <v>0</v>
      </c>
      <c r="AI26" s="491"/>
      <c r="AK26" s="448"/>
      <c r="AL26" s="445"/>
    </row>
    <row r="27" spans="1:38" s="467" customFormat="1" ht="12.75" customHeight="1">
      <c r="A27" s="1033">
        <v>5111000</v>
      </c>
      <c r="B27" s="1033" t="s">
        <v>2724</v>
      </c>
      <c r="C27" s="1034" t="str">
        <f t="shared" si="0"/>
        <v/>
      </c>
      <c r="D27" s="1033"/>
      <c r="E27" s="1033"/>
      <c r="F27" s="1034" t="str">
        <f t="shared" si="1"/>
        <v/>
      </c>
      <c r="G27" s="1033"/>
      <c r="H27" s="1033"/>
      <c r="I27" s="1034" t="str">
        <f t="shared" si="2"/>
        <v/>
      </c>
      <c r="J27" s="1033"/>
      <c r="K27" s="1033"/>
      <c r="L27" s="1034" t="str">
        <f t="shared" si="3"/>
        <v/>
      </c>
      <c r="M27" s="1035"/>
      <c r="N27" s="1035"/>
      <c r="O27" s="1036" t="str">
        <f t="shared" si="4"/>
        <v/>
      </c>
      <c r="P27" s="1033"/>
      <c r="Q27" s="1033"/>
      <c r="R27" s="1034" t="str">
        <f t="shared" si="5"/>
        <v/>
      </c>
      <c r="S27" s="1035"/>
      <c r="T27" s="1035"/>
      <c r="U27" s="1034" t="str">
        <f t="shared" si="6"/>
        <v/>
      </c>
      <c r="V27" s="1035"/>
      <c r="W27" s="1035"/>
      <c r="X27" s="1037" t="str">
        <f t="shared" si="7"/>
        <v>221</v>
      </c>
      <c r="Y27" s="1035">
        <v>22</v>
      </c>
      <c r="Z27" s="1035">
        <f t="shared" si="8"/>
        <v>1</v>
      </c>
      <c r="AA27" s="1035"/>
      <c r="AB27" s="1035"/>
      <c r="AC27" s="1021">
        <v>110116</v>
      </c>
      <c r="AD27" s="1021" t="s">
        <v>1915</v>
      </c>
      <c r="AE27" s="1022">
        <f>VLOOKUP(AC27,[5]Hoja1!$A$10:$K$1393,11,0)</f>
        <v>1442568</v>
      </c>
      <c r="AF27" s="1022"/>
      <c r="AG27" s="1022">
        <f t="shared" si="9"/>
        <v>1442568</v>
      </c>
      <c r="AH27" s="1022">
        <f t="shared" si="10"/>
        <v>1443</v>
      </c>
      <c r="AK27" s="448"/>
      <c r="AL27" s="445"/>
    </row>
    <row r="28" spans="1:38" s="467" customFormat="1" ht="12.75" customHeight="1">
      <c r="A28" s="1033">
        <v>5211000</v>
      </c>
      <c r="B28" s="1033" t="s">
        <v>2769</v>
      </c>
      <c r="C28" s="1034" t="str">
        <f t="shared" si="0"/>
        <v/>
      </c>
      <c r="D28" s="1033"/>
      <c r="E28" s="1033"/>
      <c r="F28" s="1034" t="str">
        <f t="shared" si="1"/>
        <v/>
      </c>
      <c r="G28" s="1033"/>
      <c r="H28" s="1033"/>
      <c r="I28" s="1034" t="str">
        <f t="shared" si="2"/>
        <v/>
      </c>
      <c r="J28" s="1033"/>
      <c r="K28" s="1033"/>
      <c r="L28" s="1034" t="str">
        <f t="shared" si="3"/>
        <v/>
      </c>
      <c r="M28" s="1035"/>
      <c r="N28" s="1035"/>
      <c r="O28" s="1036" t="str">
        <f t="shared" si="4"/>
        <v/>
      </c>
      <c r="P28" s="1033"/>
      <c r="Q28" s="1033"/>
      <c r="R28" s="1034" t="str">
        <f t="shared" si="5"/>
        <v/>
      </c>
      <c r="S28" s="1035"/>
      <c r="T28" s="1035"/>
      <c r="U28" s="1034" t="str">
        <f t="shared" si="6"/>
        <v/>
      </c>
      <c r="V28" s="1035"/>
      <c r="W28" s="1035"/>
      <c r="X28" s="1037" t="str">
        <f t="shared" si="7"/>
        <v>221</v>
      </c>
      <c r="Y28" s="1035">
        <v>22</v>
      </c>
      <c r="Z28" s="1035">
        <f t="shared" si="8"/>
        <v>1</v>
      </c>
      <c r="AA28" s="1035"/>
      <c r="AB28" s="1035"/>
      <c r="AC28" s="1021">
        <v>110117</v>
      </c>
      <c r="AD28" s="1021" t="s">
        <v>1916</v>
      </c>
      <c r="AE28" s="1022">
        <f>VLOOKUP(AC28,[5]Hoja1!$A$10:$K$1393,11,0)</f>
        <v>-641399</v>
      </c>
      <c r="AF28" s="1022"/>
      <c r="AG28" s="1022">
        <f t="shared" si="9"/>
        <v>-641399</v>
      </c>
      <c r="AH28" s="1022">
        <f t="shared" si="10"/>
        <v>-641</v>
      </c>
      <c r="AK28" s="448"/>
      <c r="AL28" s="445"/>
    </row>
    <row r="29" spans="1:38" s="467" customFormat="1" ht="12.75" customHeight="1">
      <c r="A29" s="1033">
        <v>5111000</v>
      </c>
      <c r="B29" s="1033" t="s">
        <v>2724</v>
      </c>
      <c r="C29" s="1034" t="str">
        <f>+D29&amp;E29</f>
        <v/>
      </c>
      <c r="D29" s="1033"/>
      <c r="E29" s="1033"/>
      <c r="F29" s="1034" t="str">
        <f>+G29&amp;H29</f>
        <v/>
      </c>
      <c r="G29" s="1033"/>
      <c r="H29" s="1033"/>
      <c r="I29" s="1034" t="str">
        <f>+J29&amp;K29</f>
        <v/>
      </c>
      <c r="J29" s="1033"/>
      <c r="K29" s="1033"/>
      <c r="L29" s="1034" t="str">
        <f>+M29&amp;N29</f>
        <v/>
      </c>
      <c r="M29" s="1035"/>
      <c r="N29" s="1035"/>
      <c r="O29" s="1036" t="str">
        <f>+P29&amp;Q29</f>
        <v/>
      </c>
      <c r="P29" s="1033"/>
      <c r="Q29" s="1033"/>
      <c r="R29" s="1034" t="str">
        <f>+S29&amp;T29</f>
        <v/>
      </c>
      <c r="S29" s="1035"/>
      <c r="T29" s="1035"/>
      <c r="U29" s="1034" t="str">
        <f>+V29&amp;W29</f>
        <v/>
      </c>
      <c r="V29" s="1035"/>
      <c r="W29" s="1035"/>
      <c r="X29" s="1037" t="str">
        <f t="shared" si="7"/>
        <v>221</v>
      </c>
      <c r="Y29" s="1035">
        <v>22</v>
      </c>
      <c r="Z29" s="1035">
        <f t="shared" si="8"/>
        <v>1</v>
      </c>
      <c r="AA29" s="1035"/>
      <c r="AB29" s="1035"/>
      <c r="AC29" s="1021">
        <v>110118</v>
      </c>
      <c r="AD29" s="1021" t="s">
        <v>1917</v>
      </c>
      <c r="AE29" s="1022">
        <f>VLOOKUP(AC29,[5]Hoja1!$A$10:$K$1393,11,0)</f>
        <v>1553040</v>
      </c>
      <c r="AF29" s="1022"/>
      <c r="AG29" s="1022">
        <f t="shared" si="9"/>
        <v>1553040</v>
      </c>
      <c r="AH29" s="1022">
        <f t="shared" si="10"/>
        <v>1553</v>
      </c>
      <c r="AK29" s="448"/>
      <c r="AL29" s="445"/>
    </row>
    <row r="30" spans="1:38" s="467" customFormat="1" ht="12.75" customHeight="1">
      <c r="A30" s="1033">
        <v>5111000</v>
      </c>
      <c r="B30" s="1033" t="s">
        <v>2724</v>
      </c>
      <c r="C30" s="1034" t="str">
        <f t="shared" si="0"/>
        <v/>
      </c>
      <c r="D30" s="1033"/>
      <c r="E30" s="1033"/>
      <c r="F30" s="1034" t="str">
        <f t="shared" si="1"/>
        <v/>
      </c>
      <c r="G30" s="1033"/>
      <c r="H30" s="1033"/>
      <c r="I30" s="1034" t="str">
        <f t="shared" si="2"/>
        <v/>
      </c>
      <c r="J30" s="1033"/>
      <c r="K30" s="1033"/>
      <c r="L30" s="1034" t="str">
        <f t="shared" si="3"/>
        <v/>
      </c>
      <c r="M30" s="1035"/>
      <c r="N30" s="1035"/>
      <c r="O30" s="1036" t="str">
        <f t="shared" si="4"/>
        <v/>
      </c>
      <c r="P30" s="1033"/>
      <c r="Q30" s="1033"/>
      <c r="R30" s="1034" t="str">
        <f t="shared" si="5"/>
        <v/>
      </c>
      <c r="S30" s="1035"/>
      <c r="T30" s="1035"/>
      <c r="U30" s="1034" t="str">
        <f t="shared" si="6"/>
        <v/>
      </c>
      <c r="V30" s="1035"/>
      <c r="W30" s="1035"/>
      <c r="X30" s="1037" t="str">
        <f t="shared" si="7"/>
        <v>221</v>
      </c>
      <c r="Y30" s="1035">
        <v>22</v>
      </c>
      <c r="Z30" s="1035">
        <f t="shared" si="8"/>
        <v>1</v>
      </c>
      <c r="AA30" s="1035"/>
      <c r="AB30" s="1035"/>
      <c r="AC30" s="1021">
        <v>110119</v>
      </c>
      <c r="AD30" s="1021" t="s">
        <v>331</v>
      </c>
      <c r="AE30" s="1022">
        <v>0</v>
      </c>
      <c r="AF30" s="1022"/>
      <c r="AG30" s="1022">
        <f t="shared" si="9"/>
        <v>0</v>
      </c>
      <c r="AH30" s="1022">
        <f t="shared" si="10"/>
        <v>0</v>
      </c>
      <c r="AK30" s="448"/>
      <c r="AL30" s="445"/>
    </row>
    <row r="31" spans="1:38" s="467" customFormat="1" ht="12.75" customHeight="1">
      <c r="A31" s="1033">
        <v>5111000</v>
      </c>
      <c r="B31" s="1033" t="s">
        <v>2724</v>
      </c>
      <c r="C31" s="1034" t="str">
        <f t="shared" si="0"/>
        <v/>
      </c>
      <c r="D31" s="1033"/>
      <c r="E31" s="1033"/>
      <c r="F31" s="1034" t="str">
        <f t="shared" si="1"/>
        <v/>
      </c>
      <c r="G31" s="1033"/>
      <c r="H31" s="1033"/>
      <c r="I31" s="1034" t="str">
        <f t="shared" si="2"/>
        <v/>
      </c>
      <c r="J31" s="1033"/>
      <c r="K31" s="1033"/>
      <c r="L31" s="1034" t="str">
        <f t="shared" si="3"/>
        <v/>
      </c>
      <c r="M31" s="1035"/>
      <c r="N31" s="1035"/>
      <c r="O31" s="1036" t="str">
        <f t="shared" si="4"/>
        <v/>
      </c>
      <c r="P31" s="1033"/>
      <c r="Q31" s="1033"/>
      <c r="R31" s="1034" t="str">
        <f t="shared" si="5"/>
        <v/>
      </c>
      <c r="S31" s="1035"/>
      <c r="T31" s="1035"/>
      <c r="U31" s="1034" t="str">
        <f t="shared" si="6"/>
        <v/>
      </c>
      <c r="V31" s="1035"/>
      <c r="W31" s="1035"/>
      <c r="X31" s="1037" t="str">
        <f t="shared" si="7"/>
        <v>221</v>
      </c>
      <c r="Y31" s="1035">
        <v>22</v>
      </c>
      <c r="Z31" s="1035">
        <f t="shared" si="8"/>
        <v>1</v>
      </c>
      <c r="AA31" s="1035"/>
      <c r="AB31" s="1035"/>
      <c r="AC31" s="1021">
        <v>110120</v>
      </c>
      <c r="AD31" s="1021" t="s">
        <v>332</v>
      </c>
      <c r="AE31" s="1022">
        <f>VLOOKUP(AC31,[5]Hoja1!$A$10:$K$1393,11,0)</f>
        <v>497598</v>
      </c>
      <c r="AF31" s="1022"/>
      <c r="AG31" s="1022">
        <f t="shared" si="9"/>
        <v>497598</v>
      </c>
      <c r="AH31" s="1022">
        <f t="shared" si="10"/>
        <v>498</v>
      </c>
      <c r="AK31" s="448"/>
      <c r="AL31" s="445"/>
    </row>
    <row r="32" spans="1:38" s="467" customFormat="1" ht="12.75" customHeight="1">
      <c r="A32" s="1033">
        <v>5111000</v>
      </c>
      <c r="B32" s="1033" t="s">
        <v>2724</v>
      </c>
      <c r="C32" s="1034" t="str">
        <f>+D32&amp;E32</f>
        <v/>
      </c>
      <c r="D32" s="1033"/>
      <c r="E32" s="1033"/>
      <c r="F32" s="1034" t="str">
        <f>+G32&amp;H32</f>
        <v/>
      </c>
      <c r="G32" s="1033"/>
      <c r="H32" s="1033"/>
      <c r="I32" s="1034" t="str">
        <f>+J32&amp;K32</f>
        <v/>
      </c>
      <c r="J32" s="1033"/>
      <c r="K32" s="1033"/>
      <c r="L32" s="1034" t="str">
        <f>+M32&amp;N32</f>
        <v/>
      </c>
      <c r="M32" s="1035"/>
      <c r="N32" s="1035"/>
      <c r="O32" s="1036" t="str">
        <f>+P32&amp;Q32</f>
        <v/>
      </c>
      <c r="P32" s="1033"/>
      <c r="Q32" s="1033"/>
      <c r="R32" s="1034" t="str">
        <f>+S32&amp;T32</f>
        <v/>
      </c>
      <c r="S32" s="1035"/>
      <c r="T32" s="1035"/>
      <c r="U32" s="1034" t="str">
        <f>+V32&amp;W32</f>
        <v/>
      </c>
      <c r="V32" s="1035"/>
      <c r="W32" s="1035"/>
      <c r="X32" s="1037" t="str">
        <f t="shared" si="7"/>
        <v>221</v>
      </c>
      <c r="Y32" s="1035">
        <v>22</v>
      </c>
      <c r="Z32" s="1035">
        <f t="shared" si="8"/>
        <v>1</v>
      </c>
      <c r="AA32" s="1035"/>
      <c r="AB32" s="1035"/>
      <c r="AC32" s="1021">
        <v>110121</v>
      </c>
      <c r="AD32" s="1021" t="s">
        <v>333</v>
      </c>
      <c r="AE32" s="1022">
        <f>VLOOKUP(AC32,[5]Hoja1!$A$10:$K$1393,11,0)</f>
        <v>2619398</v>
      </c>
      <c r="AF32" s="1022"/>
      <c r="AG32" s="1022">
        <f t="shared" si="9"/>
        <v>2619398</v>
      </c>
      <c r="AH32" s="1022">
        <f t="shared" si="10"/>
        <v>2619</v>
      </c>
      <c r="AK32" s="448"/>
      <c r="AL32" s="445"/>
    </row>
    <row r="33" spans="1:38" s="467" customFormat="1" ht="12.75" customHeight="1">
      <c r="A33" s="1033">
        <v>5111000</v>
      </c>
      <c r="B33" s="1033" t="s">
        <v>2724</v>
      </c>
      <c r="C33" s="1034" t="str">
        <f>+D33&amp;E33</f>
        <v/>
      </c>
      <c r="D33" s="1033"/>
      <c r="E33" s="1033"/>
      <c r="F33" s="1034" t="str">
        <f>+G33&amp;H33</f>
        <v/>
      </c>
      <c r="G33" s="1033"/>
      <c r="H33" s="1033"/>
      <c r="I33" s="1034" t="str">
        <f>+J33&amp;K33</f>
        <v/>
      </c>
      <c r="J33" s="1033"/>
      <c r="K33" s="1033"/>
      <c r="L33" s="1034" t="str">
        <f>+M33&amp;N33</f>
        <v/>
      </c>
      <c r="M33" s="1035"/>
      <c r="N33" s="1035"/>
      <c r="O33" s="1036" t="str">
        <f>+P33&amp;Q33</f>
        <v/>
      </c>
      <c r="P33" s="1033"/>
      <c r="Q33" s="1033"/>
      <c r="R33" s="1034" t="str">
        <f>+S33&amp;T33</f>
        <v/>
      </c>
      <c r="S33" s="1035"/>
      <c r="T33" s="1035"/>
      <c r="U33" s="1034" t="str">
        <f>+V33&amp;W33</f>
        <v/>
      </c>
      <c r="V33" s="1035"/>
      <c r="W33" s="1035"/>
      <c r="X33" s="1037" t="str">
        <f t="shared" si="7"/>
        <v>151</v>
      </c>
      <c r="Y33" s="1035">
        <v>15</v>
      </c>
      <c r="Z33" s="1035">
        <f t="shared" si="8"/>
        <v>1</v>
      </c>
      <c r="AA33" s="1035"/>
      <c r="AB33" s="1035"/>
      <c r="AC33" s="1021">
        <v>110122</v>
      </c>
      <c r="AD33" s="1021" t="s">
        <v>334</v>
      </c>
      <c r="AE33" s="1022">
        <f>VLOOKUP(AC33,[5]Hoja1!$A$10:$K$1393,11,0)</f>
        <v>1343386</v>
      </c>
      <c r="AF33" s="1022"/>
      <c r="AG33" s="1022">
        <f t="shared" si="9"/>
        <v>1343386</v>
      </c>
      <c r="AH33" s="1022">
        <f t="shared" si="10"/>
        <v>1343</v>
      </c>
      <c r="AK33" s="448"/>
      <c r="AL33" s="445"/>
    </row>
    <row r="34" spans="1:38" s="467" customFormat="1" ht="12.75" customHeight="1">
      <c r="A34" s="1033">
        <v>5111000</v>
      </c>
      <c r="B34" s="1033" t="s">
        <v>2724</v>
      </c>
      <c r="C34" s="1034" t="str">
        <f>+D34&amp;E34</f>
        <v/>
      </c>
      <c r="D34" s="1033"/>
      <c r="E34" s="1033"/>
      <c r="F34" s="1034" t="str">
        <f>+G34&amp;H34</f>
        <v/>
      </c>
      <c r="G34" s="1033"/>
      <c r="H34" s="1033"/>
      <c r="I34" s="1034" t="str">
        <f>+J34&amp;K34</f>
        <v/>
      </c>
      <c r="J34" s="1033"/>
      <c r="K34" s="1033"/>
      <c r="L34" s="1034" t="str">
        <f>+M34&amp;N34</f>
        <v/>
      </c>
      <c r="M34" s="1035"/>
      <c r="N34" s="1035"/>
      <c r="O34" s="1036" t="str">
        <f>+P34&amp;Q34</f>
        <v/>
      </c>
      <c r="P34" s="1033"/>
      <c r="Q34" s="1033"/>
      <c r="R34" s="1034" t="str">
        <f>+S34&amp;T34</f>
        <v/>
      </c>
      <c r="S34" s="1035"/>
      <c r="T34" s="1035"/>
      <c r="U34" s="1034" t="str">
        <f>+V34&amp;W34</f>
        <v/>
      </c>
      <c r="V34" s="1035"/>
      <c r="W34" s="1035"/>
      <c r="X34" s="1037" t="str">
        <f t="shared" si="7"/>
        <v>221</v>
      </c>
      <c r="Y34" s="1035">
        <v>22</v>
      </c>
      <c r="Z34" s="1035">
        <f t="shared" si="8"/>
        <v>1</v>
      </c>
      <c r="AA34" s="1035"/>
      <c r="AB34" s="1035"/>
      <c r="AC34" s="1021">
        <v>110123</v>
      </c>
      <c r="AD34" s="1021" t="s">
        <v>335</v>
      </c>
      <c r="AE34" s="1022">
        <f>VLOOKUP(AC34,[5]Hoja1!$A$10:$K$1393,11,0)</f>
        <v>2798928</v>
      </c>
      <c r="AF34" s="1022"/>
      <c r="AG34" s="1022">
        <f t="shared" si="9"/>
        <v>2798928</v>
      </c>
      <c r="AH34" s="1022">
        <f t="shared" si="10"/>
        <v>2799</v>
      </c>
      <c r="AK34" s="448"/>
      <c r="AL34" s="445"/>
    </row>
    <row r="35" spans="1:38" s="467" customFormat="1" ht="12.75" customHeight="1">
      <c r="A35" s="1033">
        <v>5111000</v>
      </c>
      <c r="B35" s="1033" t="s">
        <v>2724</v>
      </c>
      <c r="C35" s="1037" t="s">
        <v>2558</v>
      </c>
      <c r="D35" s="1035">
        <v>15</v>
      </c>
      <c r="E35" s="1035">
        <v>1</v>
      </c>
      <c r="F35" s="1034" t="str">
        <f>+G35&amp;H35</f>
        <v/>
      </c>
      <c r="G35" s="1033"/>
      <c r="H35" s="1033"/>
      <c r="I35" s="1034" t="str">
        <f>+J35&amp;K35</f>
        <v/>
      </c>
      <c r="J35" s="1033"/>
      <c r="K35" s="1033"/>
      <c r="L35" s="1034" t="str">
        <f>+M35&amp;N35</f>
        <v/>
      </c>
      <c r="M35" s="1035"/>
      <c r="N35" s="1035"/>
      <c r="O35" s="1036" t="str">
        <f>+P35&amp;Q35</f>
        <v/>
      </c>
      <c r="P35" s="1033"/>
      <c r="Q35" s="1033"/>
      <c r="R35" s="1034" t="str">
        <f>+S35&amp;T35</f>
        <v/>
      </c>
      <c r="S35" s="1035"/>
      <c r="T35" s="1035"/>
      <c r="U35" s="1034" t="str">
        <f>+V35&amp;W35</f>
        <v/>
      </c>
      <c r="V35" s="1035"/>
      <c r="W35" s="1035"/>
      <c r="X35" s="1037" t="str">
        <f t="shared" si="7"/>
        <v>221</v>
      </c>
      <c r="Y35" s="1035">
        <v>22</v>
      </c>
      <c r="Z35" s="1035">
        <f t="shared" si="8"/>
        <v>1</v>
      </c>
      <c r="AA35" s="1035"/>
      <c r="AB35" s="1035"/>
      <c r="AC35" s="1021">
        <v>110124</v>
      </c>
      <c r="AD35" s="1021" t="s">
        <v>336</v>
      </c>
      <c r="AE35" s="1022">
        <f>VLOOKUP(AC35,[5]Hoja1!$A$10:$K$1393,11,0)</f>
        <v>786376</v>
      </c>
      <c r="AF35" s="1022">
        <v>0</v>
      </c>
      <c r="AG35" s="1022">
        <f t="shared" si="9"/>
        <v>786376</v>
      </c>
      <c r="AH35" s="1022">
        <f t="shared" si="10"/>
        <v>786</v>
      </c>
      <c r="AK35" s="448"/>
      <c r="AL35" s="445"/>
    </row>
    <row r="36" spans="1:38" s="467" customFormat="1" ht="12.75" customHeight="1">
      <c r="A36" s="1033">
        <v>5111000</v>
      </c>
      <c r="B36" s="1033" t="s">
        <v>2724</v>
      </c>
      <c r="C36" s="1034" t="str">
        <f t="shared" si="0"/>
        <v/>
      </c>
      <c r="D36" s="1033"/>
      <c r="E36" s="1033"/>
      <c r="F36" s="1034" t="str">
        <f t="shared" si="1"/>
        <v/>
      </c>
      <c r="G36" s="1033"/>
      <c r="H36" s="1033"/>
      <c r="I36" s="1034" t="str">
        <f t="shared" si="2"/>
        <v/>
      </c>
      <c r="J36" s="1033"/>
      <c r="K36" s="1033"/>
      <c r="L36" s="1034" t="str">
        <f t="shared" si="3"/>
        <v/>
      </c>
      <c r="M36" s="1035"/>
      <c r="N36" s="1035"/>
      <c r="O36" s="1036" t="str">
        <f t="shared" si="4"/>
        <v/>
      </c>
      <c r="P36" s="1033"/>
      <c r="Q36" s="1033"/>
      <c r="R36" s="1034" t="str">
        <f t="shared" si="5"/>
        <v/>
      </c>
      <c r="S36" s="1035"/>
      <c r="T36" s="1035"/>
      <c r="U36" s="1034" t="str">
        <f t="shared" si="6"/>
        <v/>
      </c>
      <c r="V36" s="1035"/>
      <c r="W36" s="1035"/>
      <c r="X36" s="1037" t="str">
        <f t="shared" si="7"/>
        <v>221</v>
      </c>
      <c r="Y36" s="1035">
        <v>22</v>
      </c>
      <c r="Z36" s="1035">
        <f t="shared" si="8"/>
        <v>1</v>
      </c>
      <c r="AA36" s="1035"/>
      <c r="AB36" s="1035"/>
      <c r="AC36" s="1021">
        <v>110125</v>
      </c>
      <c r="AD36" s="1021" t="s">
        <v>209</v>
      </c>
      <c r="AE36" s="1022">
        <f>VLOOKUP(AC36,[5]Hoja1!$A$10:$K$1393,11,0)</f>
        <v>447272</v>
      </c>
      <c r="AF36" s="1022"/>
      <c r="AG36" s="1022">
        <f t="shared" si="9"/>
        <v>447272</v>
      </c>
      <c r="AH36" s="1022">
        <f t="shared" si="10"/>
        <v>447</v>
      </c>
      <c r="AK36" s="448"/>
      <c r="AL36" s="445"/>
    </row>
    <row r="37" spans="1:38" s="467" customFormat="1" ht="12.75" customHeight="1">
      <c r="A37" s="1033">
        <v>5111000</v>
      </c>
      <c r="B37" s="1033" t="s">
        <v>2724</v>
      </c>
      <c r="C37" s="1034" t="str">
        <f t="shared" si="0"/>
        <v/>
      </c>
      <c r="D37" s="1033"/>
      <c r="E37" s="1033"/>
      <c r="F37" s="1034" t="str">
        <f t="shared" si="1"/>
        <v/>
      </c>
      <c r="G37" s="1033"/>
      <c r="H37" s="1033"/>
      <c r="I37" s="1034" t="str">
        <f t="shared" si="2"/>
        <v/>
      </c>
      <c r="J37" s="1033"/>
      <c r="K37" s="1033"/>
      <c r="L37" s="1034" t="str">
        <f t="shared" si="3"/>
        <v/>
      </c>
      <c r="M37" s="1035"/>
      <c r="N37" s="1035"/>
      <c r="O37" s="1036" t="str">
        <f t="shared" si="4"/>
        <v/>
      </c>
      <c r="P37" s="1033"/>
      <c r="Q37" s="1033"/>
      <c r="R37" s="1034" t="str">
        <f t="shared" si="5"/>
        <v/>
      </c>
      <c r="S37" s="1035"/>
      <c r="T37" s="1035"/>
      <c r="U37" s="1034" t="str">
        <f t="shared" si="6"/>
        <v/>
      </c>
      <c r="V37" s="1035"/>
      <c r="W37" s="1035"/>
      <c r="X37" s="1037" t="str">
        <f t="shared" si="7"/>
        <v>221</v>
      </c>
      <c r="Y37" s="1035">
        <v>22</v>
      </c>
      <c r="Z37" s="1035">
        <f t="shared" si="8"/>
        <v>1</v>
      </c>
      <c r="AA37" s="1035"/>
      <c r="AB37" s="1035"/>
      <c r="AC37" s="1021">
        <v>110126</v>
      </c>
      <c r="AD37" s="1021" t="s">
        <v>210</v>
      </c>
      <c r="AE37" s="1022">
        <v>0</v>
      </c>
      <c r="AF37" s="1022"/>
      <c r="AG37" s="1022">
        <f t="shared" si="9"/>
        <v>0</v>
      </c>
      <c r="AH37" s="1022">
        <f t="shared" si="10"/>
        <v>0</v>
      </c>
      <c r="AK37" s="448"/>
      <c r="AL37" s="445"/>
    </row>
    <row r="38" spans="1:38" s="467" customFormat="1" ht="12.75" customHeight="1">
      <c r="A38" s="1033">
        <v>5111000</v>
      </c>
      <c r="B38" s="1033" t="s">
        <v>2724</v>
      </c>
      <c r="C38" s="1034" t="str">
        <f t="shared" si="0"/>
        <v/>
      </c>
      <c r="D38" s="1033"/>
      <c r="E38" s="1033"/>
      <c r="F38" s="1034" t="str">
        <f t="shared" si="1"/>
        <v/>
      </c>
      <c r="G38" s="1033"/>
      <c r="H38" s="1033"/>
      <c r="I38" s="1034" t="str">
        <f t="shared" si="2"/>
        <v/>
      </c>
      <c r="J38" s="1033"/>
      <c r="K38" s="1033"/>
      <c r="L38" s="1034" t="str">
        <f t="shared" si="3"/>
        <v/>
      </c>
      <c r="M38" s="1035"/>
      <c r="N38" s="1035"/>
      <c r="O38" s="1036" t="str">
        <f t="shared" si="4"/>
        <v/>
      </c>
      <c r="P38" s="1033"/>
      <c r="Q38" s="1033"/>
      <c r="R38" s="1034" t="str">
        <f t="shared" si="5"/>
        <v/>
      </c>
      <c r="S38" s="1035"/>
      <c r="T38" s="1035"/>
      <c r="U38" s="1034" t="str">
        <f t="shared" si="6"/>
        <v/>
      </c>
      <c r="V38" s="1035"/>
      <c r="W38" s="1035"/>
      <c r="X38" s="1037" t="str">
        <f t="shared" si="7"/>
        <v>221</v>
      </c>
      <c r="Y38" s="1035">
        <v>22</v>
      </c>
      <c r="Z38" s="1035">
        <f t="shared" si="8"/>
        <v>1</v>
      </c>
      <c r="AA38" s="1035"/>
      <c r="AB38" s="1035"/>
      <c r="AC38" s="1021">
        <v>110127</v>
      </c>
      <c r="AD38" s="1021" t="s">
        <v>211</v>
      </c>
      <c r="AE38" s="1022">
        <f>VLOOKUP(AC38,[5]Hoja1!$A$10:$K$1393,11,0)</f>
        <v>0</v>
      </c>
      <c r="AF38" s="1022"/>
      <c r="AG38" s="1022">
        <f t="shared" si="9"/>
        <v>0</v>
      </c>
      <c r="AH38" s="1022">
        <f t="shared" si="10"/>
        <v>0</v>
      </c>
      <c r="AK38" s="448"/>
      <c r="AL38" s="445"/>
    </row>
    <row r="39" spans="1:38" s="467" customFormat="1" ht="12.75" customHeight="1">
      <c r="A39" s="1033">
        <v>5111000</v>
      </c>
      <c r="B39" s="1033" t="s">
        <v>2724</v>
      </c>
      <c r="C39" s="1034"/>
      <c r="D39" s="1033"/>
      <c r="E39" s="1033"/>
      <c r="F39" s="1034"/>
      <c r="G39" s="1033"/>
      <c r="H39" s="1033"/>
      <c r="I39" s="1034"/>
      <c r="J39" s="1033"/>
      <c r="K39" s="1033"/>
      <c r="L39" s="1034"/>
      <c r="M39" s="1035"/>
      <c r="N39" s="1035"/>
      <c r="O39" s="1036"/>
      <c r="P39" s="1033"/>
      <c r="Q39" s="1033"/>
      <c r="R39" s="1034"/>
      <c r="S39" s="1035"/>
      <c r="T39" s="1035"/>
      <c r="U39" s="1034"/>
      <c r="V39" s="1035"/>
      <c r="W39" s="1035"/>
      <c r="X39" s="1037" t="str">
        <f t="shared" ref="X39:X72" si="11">+Y39&amp;Z39</f>
        <v>221</v>
      </c>
      <c r="Y39" s="1035">
        <v>22</v>
      </c>
      <c r="Z39" s="1035">
        <f t="shared" si="8"/>
        <v>1</v>
      </c>
      <c r="AA39" s="1035"/>
      <c r="AB39" s="1035"/>
      <c r="AC39" s="1021">
        <v>110128</v>
      </c>
      <c r="AD39" s="1021" t="s">
        <v>1918</v>
      </c>
      <c r="AE39" s="1022">
        <f>VLOOKUP(AC39,[5]Hoja1!$A$10:$K$1393,11,0)</f>
        <v>10109611</v>
      </c>
      <c r="AF39" s="1022"/>
      <c r="AG39" s="1022">
        <f t="shared" si="9"/>
        <v>10109611</v>
      </c>
      <c r="AH39" s="1022">
        <f t="shared" si="10"/>
        <v>10110</v>
      </c>
      <c r="AK39" s="448"/>
      <c r="AL39" s="445"/>
    </row>
    <row r="40" spans="1:38" s="467" customFormat="1" ht="12.75" customHeight="1">
      <c r="A40" s="1033">
        <v>5111000</v>
      </c>
      <c r="B40" s="1033" t="s">
        <v>2724</v>
      </c>
      <c r="C40" s="1034" t="str">
        <f>+D40&amp;E40</f>
        <v/>
      </c>
      <c r="D40" s="1033"/>
      <c r="E40" s="1033"/>
      <c r="F40" s="1034" t="str">
        <f>+G40&amp;H40</f>
        <v/>
      </c>
      <c r="G40" s="1033"/>
      <c r="H40" s="1033"/>
      <c r="I40" s="1034" t="str">
        <f>+J40&amp;K40</f>
        <v/>
      </c>
      <c r="J40" s="1033"/>
      <c r="K40" s="1033"/>
      <c r="L40" s="1034" t="str">
        <f>+M40&amp;N40</f>
        <v/>
      </c>
      <c r="M40" s="1035"/>
      <c r="N40" s="1035"/>
      <c r="O40" s="1036" t="str">
        <f>+P40&amp;Q40</f>
        <v/>
      </c>
      <c r="P40" s="1033"/>
      <c r="Q40" s="1033"/>
      <c r="R40" s="1034" t="str">
        <f>+S40&amp;T40</f>
        <v/>
      </c>
      <c r="S40" s="1035"/>
      <c r="T40" s="1035"/>
      <c r="U40" s="1034" t="str">
        <f>+V40&amp;W40</f>
        <v/>
      </c>
      <c r="V40" s="1035"/>
      <c r="W40" s="1035"/>
      <c r="X40" s="1037" t="str">
        <f t="shared" si="11"/>
        <v>221</v>
      </c>
      <c r="Y40" s="1035">
        <v>22</v>
      </c>
      <c r="Z40" s="1035">
        <f t="shared" si="8"/>
        <v>1</v>
      </c>
      <c r="AA40" s="1035"/>
      <c r="AB40" s="1035"/>
      <c r="AC40" s="1021">
        <v>110129</v>
      </c>
      <c r="AD40" s="1021" t="s">
        <v>212</v>
      </c>
      <c r="AE40" s="1022">
        <f>VLOOKUP(AC40,[5]Hoja1!$A$10:$K$1393,11,0)</f>
        <v>2118028</v>
      </c>
      <c r="AF40" s="1022"/>
      <c r="AG40" s="1022">
        <f t="shared" si="9"/>
        <v>2118028</v>
      </c>
      <c r="AH40" s="1022">
        <f t="shared" si="10"/>
        <v>2118</v>
      </c>
      <c r="AK40" s="448"/>
      <c r="AL40" s="445"/>
    </row>
    <row r="41" spans="1:38" s="467" customFormat="1" ht="12.75" customHeight="1">
      <c r="A41" s="1033">
        <v>5111000</v>
      </c>
      <c r="B41" s="1033" t="s">
        <v>2724</v>
      </c>
      <c r="C41" s="1034" t="str">
        <f t="shared" si="0"/>
        <v/>
      </c>
      <c r="D41" s="1033"/>
      <c r="E41" s="1033"/>
      <c r="F41" s="1034" t="str">
        <f t="shared" si="1"/>
        <v/>
      </c>
      <c r="G41" s="1033"/>
      <c r="H41" s="1033"/>
      <c r="I41" s="1034" t="str">
        <f t="shared" si="2"/>
        <v/>
      </c>
      <c r="J41" s="1033"/>
      <c r="K41" s="1033"/>
      <c r="L41" s="1034" t="str">
        <f t="shared" si="3"/>
        <v/>
      </c>
      <c r="M41" s="1035"/>
      <c r="N41" s="1035"/>
      <c r="O41" s="1036" t="str">
        <f t="shared" si="4"/>
        <v/>
      </c>
      <c r="P41" s="1033"/>
      <c r="Q41" s="1033"/>
      <c r="R41" s="1034" t="str">
        <f t="shared" si="5"/>
        <v/>
      </c>
      <c r="S41" s="1035"/>
      <c r="T41" s="1035"/>
      <c r="U41" s="1034" t="str">
        <f t="shared" si="6"/>
        <v/>
      </c>
      <c r="V41" s="1035"/>
      <c r="W41" s="1035"/>
      <c r="X41" s="1037" t="str">
        <f t="shared" si="11"/>
        <v>221</v>
      </c>
      <c r="Y41" s="1035">
        <v>22</v>
      </c>
      <c r="Z41" s="1035">
        <f t="shared" si="8"/>
        <v>1</v>
      </c>
      <c r="AA41" s="1035"/>
      <c r="AB41" s="1035"/>
      <c r="AC41" s="1021">
        <v>110130</v>
      </c>
      <c r="AD41" s="1021" t="s">
        <v>763</v>
      </c>
      <c r="AE41" s="1022">
        <v>0</v>
      </c>
      <c r="AF41" s="1022"/>
      <c r="AG41" s="1022">
        <f t="shared" si="9"/>
        <v>0</v>
      </c>
      <c r="AH41" s="1022">
        <f t="shared" si="10"/>
        <v>0</v>
      </c>
      <c r="AK41" s="448"/>
      <c r="AL41" s="445"/>
    </row>
    <row r="42" spans="1:38" s="467" customFormat="1" ht="12.75" customHeight="1">
      <c r="A42" s="1033">
        <v>5111000</v>
      </c>
      <c r="B42" s="1033" t="s">
        <v>2724</v>
      </c>
      <c r="C42" s="1034" t="str">
        <f t="shared" si="0"/>
        <v/>
      </c>
      <c r="D42" s="1033"/>
      <c r="E42" s="1033"/>
      <c r="F42" s="1034" t="str">
        <f t="shared" si="1"/>
        <v/>
      </c>
      <c r="G42" s="1033"/>
      <c r="H42" s="1033"/>
      <c r="I42" s="1034" t="str">
        <f t="shared" si="2"/>
        <v/>
      </c>
      <c r="J42" s="1033"/>
      <c r="K42" s="1033"/>
      <c r="L42" s="1034" t="str">
        <f t="shared" si="3"/>
        <v/>
      </c>
      <c r="M42" s="1035"/>
      <c r="N42" s="1035"/>
      <c r="O42" s="1036" t="str">
        <f t="shared" si="4"/>
        <v/>
      </c>
      <c r="P42" s="1033"/>
      <c r="Q42" s="1033"/>
      <c r="R42" s="1034" t="str">
        <f t="shared" si="5"/>
        <v/>
      </c>
      <c r="S42" s="1035"/>
      <c r="T42" s="1035"/>
      <c r="U42" s="1034" t="str">
        <f t="shared" si="6"/>
        <v/>
      </c>
      <c r="V42" s="1035"/>
      <c r="W42" s="1035"/>
      <c r="X42" s="1037" t="str">
        <f t="shared" si="11"/>
        <v>221</v>
      </c>
      <c r="Y42" s="1035">
        <v>22</v>
      </c>
      <c r="Z42" s="1035">
        <f t="shared" si="8"/>
        <v>1</v>
      </c>
      <c r="AA42" s="1035"/>
      <c r="AB42" s="1035"/>
      <c r="AC42" s="1021">
        <v>110131</v>
      </c>
      <c r="AD42" s="1021" t="s">
        <v>1919</v>
      </c>
      <c r="AE42" s="1022">
        <f>VLOOKUP(AC42,[5]Hoja1!$A$10:$K$1393,11,0)</f>
        <v>0</v>
      </c>
      <c r="AF42" s="1022"/>
      <c r="AG42" s="1022">
        <f t="shared" si="9"/>
        <v>0</v>
      </c>
      <c r="AH42" s="1022">
        <f t="shared" si="10"/>
        <v>0</v>
      </c>
      <c r="AK42" s="448"/>
      <c r="AL42" s="445"/>
    </row>
    <row r="43" spans="1:38" s="467" customFormat="1" ht="12.75" customHeight="1">
      <c r="A43" s="1033">
        <v>5111000</v>
      </c>
      <c r="B43" s="1033" t="s">
        <v>2724</v>
      </c>
      <c r="C43" s="1034" t="str">
        <f>+D43&amp;E43</f>
        <v/>
      </c>
      <c r="D43" s="1033"/>
      <c r="E43" s="1033"/>
      <c r="F43" s="1034" t="str">
        <f>+G43&amp;H43</f>
        <v/>
      </c>
      <c r="G43" s="1033"/>
      <c r="H43" s="1033"/>
      <c r="I43" s="1034" t="str">
        <f>+J43&amp;K43</f>
        <v/>
      </c>
      <c r="J43" s="1033"/>
      <c r="K43" s="1033"/>
      <c r="L43" s="1034" t="str">
        <f>+M43&amp;N43</f>
        <v/>
      </c>
      <c r="M43" s="1035"/>
      <c r="N43" s="1035"/>
      <c r="O43" s="1036" t="str">
        <f>+P43&amp;Q43</f>
        <v/>
      </c>
      <c r="P43" s="1033"/>
      <c r="Q43" s="1033"/>
      <c r="R43" s="1034" t="str">
        <f>+S43&amp;T43</f>
        <v/>
      </c>
      <c r="S43" s="1035"/>
      <c r="T43" s="1035"/>
      <c r="U43" s="1034" t="str">
        <f>+V43&amp;W43</f>
        <v/>
      </c>
      <c r="V43" s="1035"/>
      <c r="W43" s="1035"/>
      <c r="X43" s="1037" t="str">
        <f t="shared" si="11"/>
        <v>151</v>
      </c>
      <c r="Y43" s="1035">
        <v>15</v>
      </c>
      <c r="Z43" s="1035">
        <f t="shared" si="8"/>
        <v>1</v>
      </c>
      <c r="AA43" s="1035"/>
      <c r="AB43" s="1035"/>
      <c r="AC43" s="1021">
        <v>110132</v>
      </c>
      <c r="AD43" s="1021" t="s">
        <v>277</v>
      </c>
      <c r="AE43" s="1022">
        <f>VLOOKUP(AC43,[5]Hoja1!$A$10:$K$1393,11,0)</f>
        <v>0</v>
      </c>
      <c r="AF43" s="1022"/>
      <c r="AG43" s="1022">
        <f t="shared" si="9"/>
        <v>0</v>
      </c>
      <c r="AH43" s="1022">
        <f t="shared" si="10"/>
        <v>0</v>
      </c>
      <c r="AK43" s="448"/>
      <c r="AL43" s="445"/>
    </row>
    <row r="44" spans="1:38" s="467" customFormat="1" ht="12.75" customHeight="1">
      <c r="A44" s="1033">
        <v>5111000</v>
      </c>
      <c r="B44" s="1033" t="s">
        <v>2724</v>
      </c>
      <c r="C44" s="1034" t="str">
        <f t="shared" si="0"/>
        <v/>
      </c>
      <c r="D44" s="1033"/>
      <c r="E44" s="1033"/>
      <c r="F44" s="1034" t="str">
        <f t="shared" si="1"/>
        <v/>
      </c>
      <c r="G44" s="1033"/>
      <c r="H44" s="1033"/>
      <c r="I44" s="1034" t="str">
        <f t="shared" si="2"/>
        <v/>
      </c>
      <c r="J44" s="1033"/>
      <c r="K44" s="1033"/>
      <c r="L44" s="1034" t="str">
        <f t="shared" si="3"/>
        <v/>
      </c>
      <c r="M44" s="1035"/>
      <c r="N44" s="1035"/>
      <c r="O44" s="1036" t="str">
        <f t="shared" si="4"/>
        <v/>
      </c>
      <c r="P44" s="1033"/>
      <c r="Q44" s="1033"/>
      <c r="R44" s="1034" t="str">
        <f t="shared" si="5"/>
        <v/>
      </c>
      <c r="S44" s="1035"/>
      <c r="T44" s="1035"/>
      <c r="U44" s="1034" t="str">
        <f t="shared" si="6"/>
        <v/>
      </c>
      <c r="V44" s="1035"/>
      <c r="W44" s="1035"/>
      <c r="X44" s="1037" t="str">
        <f t="shared" si="11"/>
        <v>221</v>
      </c>
      <c r="Y44" s="1035">
        <v>22</v>
      </c>
      <c r="Z44" s="1035">
        <f t="shared" si="8"/>
        <v>1</v>
      </c>
      <c r="AA44" s="1035"/>
      <c r="AB44" s="1035"/>
      <c r="AC44" s="1021">
        <v>110133</v>
      </c>
      <c r="AD44" s="1021" t="s">
        <v>278</v>
      </c>
      <c r="AE44" s="1022">
        <f>VLOOKUP(AC44,[5]Hoja1!$A$10:$K$1393,11,0)</f>
        <v>100000</v>
      </c>
      <c r="AF44" s="1022"/>
      <c r="AG44" s="1022">
        <f t="shared" si="9"/>
        <v>100000</v>
      </c>
      <c r="AH44" s="1022">
        <f t="shared" si="10"/>
        <v>100</v>
      </c>
      <c r="AK44" s="448"/>
      <c r="AL44" s="445"/>
    </row>
    <row r="45" spans="1:38" s="467" customFormat="1" ht="12.75" customHeight="1">
      <c r="A45" s="1033">
        <v>5111000</v>
      </c>
      <c r="B45" s="1033" t="s">
        <v>2724</v>
      </c>
      <c r="C45" s="1034" t="str">
        <f t="shared" si="0"/>
        <v/>
      </c>
      <c r="D45" s="1033"/>
      <c r="E45" s="1033"/>
      <c r="F45" s="1034" t="str">
        <f t="shared" si="1"/>
        <v/>
      </c>
      <c r="G45" s="1033"/>
      <c r="H45" s="1033"/>
      <c r="I45" s="1034" t="str">
        <f t="shared" si="2"/>
        <v/>
      </c>
      <c r="J45" s="1033"/>
      <c r="K45" s="1033"/>
      <c r="L45" s="1034" t="str">
        <f t="shared" si="3"/>
        <v/>
      </c>
      <c r="M45" s="1035"/>
      <c r="N45" s="1035"/>
      <c r="O45" s="1036" t="str">
        <f t="shared" si="4"/>
        <v/>
      </c>
      <c r="P45" s="1033"/>
      <c r="Q45" s="1033"/>
      <c r="R45" s="1034" t="str">
        <f t="shared" si="5"/>
        <v/>
      </c>
      <c r="S45" s="1035"/>
      <c r="T45" s="1035"/>
      <c r="U45" s="1034" t="str">
        <f t="shared" si="6"/>
        <v/>
      </c>
      <c r="V45" s="1035"/>
      <c r="W45" s="1035"/>
      <c r="X45" s="1037" t="str">
        <f t="shared" si="11"/>
        <v>221</v>
      </c>
      <c r="Y45" s="1035">
        <v>22</v>
      </c>
      <c r="Z45" s="1035">
        <f t="shared" si="8"/>
        <v>1</v>
      </c>
      <c r="AA45" s="1035"/>
      <c r="AB45" s="1035"/>
      <c r="AC45" s="1021">
        <v>110134</v>
      </c>
      <c r="AD45" s="1021" t="s">
        <v>279</v>
      </c>
      <c r="AE45" s="1022">
        <f>VLOOKUP(AC45,[5]Hoja1!$A$10:$K$1393,11,0)</f>
        <v>52158955</v>
      </c>
      <c r="AF45" s="1507">
        <v>15047111</v>
      </c>
      <c r="AG45" s="1022">
        <f t="shared" si="9"/>
        <v>67206066</v>
      </c>
      <c r="AH45" s="1022">
        <f t="shared" si="10"/>
        <v>67206</v>
      </c>
      <c r="AK45" s="448"/>
      <c r="AL45" s="445"/>
    </row>
    <row r="46" spans="1:38" s="467" customFormat="1" ht="12.75" customHeight="1">
      <c r="A46" s="1033">
        <v>5211000</v>
      </c>
      <c r="B46" s="1033" t="s">
        <v>2769</v>
      </c>
      <c r="C46" s="1034" t="str">
        <f t="shared" si="0"/>
        <v/>
      </c>
      <c r="D46" s="1033"/>
      <c r="E46" s="1033"/>
      <c r="F46" s="1034" t="str">
        <f t="shared" si="1"/>
        <v/>
      </c>
      <c r="G46" s="1033"/>
      <c r="H46" s="1033"/>
      <c r="I46" s="1034" t="str">
        <f t="shared" si="2"/>
        <v/>
      </c>
      <c r="J46" s="1033"/>
      <c r="K46" s="1033"/>
      <c r="L46" s="1034" t="str">
        <f t="shared" si="3"/>
        <v/>
      </c>
      <c r="M46" s="1035"/>
      <c r="N46" s="1035"/>
      <c r="O46" s="1036" t="str">
        <f t="shared" si="4"/>
        <v/>
      </c>
      <c r="P46" s="1033"/>
      <c r="Q46" s="1033"/>
      <c r="R46" s="1034" t="str">
        <f t="shared" si="5"/>
        <v/>
      </c>
      <c r="S46" s="1035"/>
      <c r="T46" s="1035"/>
      <c r="U46" s="1034" t="str">
        <f t="shared" si="6"/>
        <v/>
      </c>
      <c r="V46" s="1035"/>
      <c r="W46" s="1035"/>
      <c r="X46" s="1037" t="str">
        <f t="shared" si="11"/>
        <v>151</v>
      </c>
      <c r="Y46" s="1035">
        <v>15</v>
      </c>
      <c r="Z46" s="1035">
        <f t="shared" si="8"/>
        <v>1</v>
      </c>
      <c r="AA46" s="1035"/>
      <c r="AB46" s="1035"/>
      <c r="AC46" s="1021">
        <v>110135</v>
      </c>
      <c r="AD46" s="1021" t="s">
        <v>280</v>
      </c>
      <c r="AE46" s="1022">
        <f>VLOOKUP(AC46,[5]Hoja1!$A$10:$K$1393,11,0)</f>
        <v>-1</v>
      </c>
      <c r="AF46" s="1022"/>
      <c r="AG46" s="1022">
        <f t="shared" si="9"/>
        <v>-1</v>
      </c>
      <c r="AH46" s="1022">
        <f t="shared" si="10"/>
        <v>0</v>
      </c>
      <c r="AI46" s="467" t="s">
        <v>1443</v>
      </c>
      <c r="AK46" s="448"/>
      <c r="AL46" s="445"/>
    </row>
    <row r="47" spans="1:38" s="467" customFormat="1" ht="12.75" customHeight="1">
      <c r="A47" s="1033">
        <v>5211000</v>
      </c>
      <c r="B47" s="1033" t="s">
        <v>2769</v>
      </c>
      <c r="C47" s="1034" t="str">
        <f>+D47&amp;E47</f>
        <v/>
      </c>
      <c r="D47" s="1033"/>
      <c r="E47" s="1033"/>
      <c r="F47" s="1034" t="str">
        <f>+G47&amp;H47</f>
        <v/>
      </c>
      <c r="G47" s="1033"/>
      <c r="H47" s="1033"/>
      <c r="I47" s="1034" t="str">
        <f>+J47&amp;K47</f>
        <v/>
      </c>
      <c r="J47" s="1033"/>
      <c r="K47" s="1033"/>
      <c r="L47" s="1034" t="str">
        <f>+M47&amp;N47</f>
        <v/>
      </c>
      <c r="M47" s="1035"/>
      <c r="N47" s="1035"/>
      <c r="O47" s="1036" t="str">
        <f>+P47&amp;Q47</f>
        <v/>
      </c>
      <c r="P47" s="1033"/>
      <c r="Q47" s="1033"/>
      <c r="R47" s="1034" t="str">
        <f>+S47&amp;T47</f>
        <v/>
      </c>
      <c r="S47" s="1035"/>
      <c r="T47" s="1035"/>
      <c r="U47" s="1034" t="str">
        <f>+V47&amp;W47</f>
        <v/>
      </c>
      <c r="V47" s="1035"/>
      <c r="W47" s="1035"/>
      <c r="X47" s="1037" t="str">
        <f t="shared" si="11"/>
        <v>151</v>
      </c>
      <c r="Y47" s="1035">
        <v>15</v>
      </c>
      <c r="Z47" s="1035">
        <f t="shared" si="8"/>
        <v>1</v>
      </c>
      <c r="AA47" s="1035"/>
      <c r="AB47" s="1035"/>
      <c r="AC47" s="1021">
        <v>110136</v>
      </c>
      <c r="AD47" s="1021" t="s">
        <v>1920</v>
      </c>
      <c r="AE47" s="1022">
        <f>VLOOKUP(AC47,[5]Hoja1!$A$10:$K$1393,11,0)</f>
        <v>-300</v>
      </c>
      <c r="AF47" s="1022"/>
      <c r="AG47" s="1022">
        <f t="shared" si="9"/>
        <v>-300</v>
      </c>
      <c r="AH47" s="1022">
        <f t="shared" si="10"/>
        <v>0</v>
      </c>
      <c r="AK47" s="448"/>
      <c r="AL47" s="445"/>
    </row>
    <row r="48" spans="1:38" s="467" customFormat="1" ht="12.75" customHeight="1">
      <c r="A48" s="1033">
        <v>5211000</v>
      </c>
      <c r="B48" s="1033" t="s">
        <v>2769</v>
      </c>
      <c r="C48" s="1034" t="str">
        <f t="shared" si="0"/>
        <v/>
      </c>
      <c r="D48" s="1033"/>
      <c r="E48" s="1033"/>
      <c r="F48" s="1034" t="str">
        <f t="shared" si="1"/>
        <v/>
      </c>
      <c r="G48" s="1033"/>
      <c r="H48" s="1033"/>
      <c r="I48" s="1034" t="str">
        <f t="shared" si="2"/>
        <v/>
      </c>
      <c r="J48" s="1033"/>
      <c r="K48" s="1033"/>
      <c r="L48" s="1034" t="str">
        <f t="shared" si="3"/>
        <v/>
      </c>
      <c r="M48" s="1035"/>
      <c r="N48" s="1035"/>
      <c r="O48" s="1036" t="str">
        <f t="shared" si="4"/>
        <v/>
      </c>
      <c r="P48" s="1033"/>
      <c r="Q48" s="1033"/>
      <c r="R48" s="1034" t="str">
        <f t="shared" si="5"/>
        <v/>
      </c>
      <c r="S48" s="1035"/>
      <c r="T48" s="1035"/>
      <c r="U48" s="1034" t="str">
        <f t="shared" si="6"/>
        <v/>
      </c>
      <c r="V48" s="1035"/>
      <c r="W48" s="1035"/>
      <c r="X48" s="1037" t="str">
        <f t="shared" si="11"/>
        <v>151</v>
      </c>
      <c r="Y48" s="1035">
        <v>15</v>
      </c>
      <c r="Z48" s="1035">
        <f t="shared" si="8"/>
        <v>1</v>
      </c>
      <c r="AA48" s="1035"/>
      <c r="AB48" s="1035"/>
      <c r="AC48" s="1021">
        <v>110137</v>
      </c>
      <c r="AD48" s="1021" t="s">
        <v>1921</v>
      </c>
      <c r="AE48" s="1022">
        <f>VLOOKUP(AC48,[5]Hoja1!$A$10:$K$1393,11,0)</f>
        <v>0</v>
      </c>
      <c r="AF48" s="1022"/>
      <c r="AG48" s="1022">
        <f t="shared" si="9"/>
        <v>0</v>
      </c>
      <c r="AH48" s="1022">
        <f t="shared" si="10"/>
        <v>0</v>
      </c>
      <c r="AK48" s="448"/>
      <c r="AL48" s="445"/>
    </row>
    <row r="49" spans="1:38" s="467" customFormat="1" ht="12.75" customHeight="1">
      <c r="A49" s="1033">
        <v>5211000</v>
      </c>
      <c r="B49" s="1033" t="s">
        <v>2769</v>
      </c>
      <c r="C49" s="1034" t="str">
        <f t="shared" si="0"/>
        <v/>
      </c>
      <c r="D49" s="1033"/>
      <c r="E49" s="1033"/>
      <c r="F49" s="1034" t="str">
        <f t="shared" si="1"/>
        <v/>
      </c>
      <c r="G49" s="1033"/>
      <c r="H49" s="1033"/>
      <c r="I49" s="1034" t="str">
        <f t="shared" si="2"/>
        <v/>
      </c>
      <c r="J49" s="1033"/>
      <c r="K49" s="1033"/>
      <c r="L49" s="1034" t="str">
        <f t="shared" si="3"/>
        <v/>
      </c>
      <c r="M49" s="1035"/>
      <c r="N49" s="1035"/>
      <c r="O49" s="1036" t="str">
        <f t="shared" si="4"/>
        <v/>
      </c>
      <c r="P49" s="1033"/>
      <c r="Q49" s="1033"/>
      <c r="R49" s="1034" t="str">
        <f t="shared" si="5"/>
        <v/>
      </c>
      <c r="S49" s="1035"/>
      <c r="T49" s="1035"/>
      <c r="U49" s="1034" t="str">
        <f t="shared" si="6"/>
        <v/>
      </c>
      <c r="V49" s="1035"/>
      <c r="W49" s="1035"/>
      <c r="X49" s="1037" t="str">
        <f t="shared" si="11"/>
        <v>151</v>
      </c>
      <c r="Y49" s="1035">
        <v>15</v>
      </c>
      <c r="Z49" s="1035">
        <f t="shared" si="8"/>
        <v>1</v>
      </c>
      <c r="AA49" s="1035"/>
      <c r="AB49" s="1035"/>
      <c r="AC49" s="1021">
        <v>110138</v>
      </c>
      <c r="AD49" s="1021" t="s">
        <v>1922</v>
      </c>
      <c r="AE49" s="1022">
        <v>0</v>
      </c>
      <c r="AF49" s="1022"/>
      <c r="AG49" s="1022">
        <f t="shared" si="9"/>
        <v>0</v>
      </c>
      <c r="AH49" s="1022">
        <f t="shared" si="10"/>
        <v>0</v>
      </c>
      <c r="AK49" s="448"/>
      <c r="AL49" s="445"/>
    </row>
    <row r="50" spans="1:38" s="467" customFormat="1" ht="12.75" customHeight="1">
      <c r="A50" s="1033">
        <v>5111000</v>
      </c>
      <c r="B50" s="1033" t="s">
        <v>2724</v>
      </c>
      <c r="C50" s="1034"/>
      <c r="D50" s="1033"/>
      <c r="E50" s="1033"/>
      <c r="F50" s="1034"/>
      <c r="G50" s="1033"/>
      <c r="H50" s="1033"/>
      <c r="I50" s="1034"/>
      <c r="J50" s="1033"/>
      <c r="K50" s="1033"/>
      <c r="L50" s="1034"/>
      <c r="M50" s="1035"/>
      <c r="N50" s="1035"/>
      <c r="O50" s="1036"/>
      <c r="P50" s="1033"/>
      <c r="Q50" s="1033"/>
      <c r="R50" s="1034"/>
      <c r="S50" s="1035"/>
      <c r="T50" s="1035"/>
      <c r="U50" s="1034"/>
      <c r="V50" s="1035"/>
      <c r="W50" s="1035"/>
      <c r="X50" s="1037" t="str">
        <f t="shared" si="11"/>
        <v>221</v>
      </c>
      <c r="Y50" s="1035">
        <v>22</v>
      </c>
      <c r="Z50" s="1035">
        <f t="shared" si="8"/>
        <v>1</v>
      </c>
      <c r="AA50" s="1035"/>
      <c r="AB50" s="1035"/>
      <c r="AC50" s="1021">
        <v>110139</v>
      </c>
      <c r="AD50" s="1021" t="s">
        <v>1923</v>
      </c>
      <c r="AE50" s="1022">
        <f>VLOOKUP(AC50,[5]Hoja1!$A$10:$K$1393,11,0)</f>
        <v>0</v>
      </c>
      <c r="AF50" s="1022"/>
      <c r="AG50" s="1022">
        <f t="shared" si="9"/>
        <v>0</v>
      </c>
      <c r="AH50" s="1022">
        <f t="shared" si="10"/>
        <v>0</v>
      </c>
      <c r="AK50" s="448"/>
      <c r="AL50" s="445"/>
    </row>
    <row r="51" spans="1:38" s="467" customFormat="1" ht="12.75" customHeight="1">
      <c r="A51" s="1033">
        <v>5211000</v>
      </c>
      <c r="B51" s="1033" t="s">
        <v>2769</v>
      </c>
      <c r="C51" s="1034" t="str">
        <f t="shared" si="0"/>
        <v/>
      </c>
      <c r="D51" s="1033"/>
      <c r="E51" s="1033"/>
      <c r="F51" s="1034" t="str">
        <f t="shared" si="1"/>
        <v/>
      </c>
      <c r="G51" s="1033"/>
      <c r="H51" s="1033"/>
      <c r="I51" s="1034" t="str">
        <f t="shared" si="2"/>
        <v/>
      </c>
      <c r="J51" s="1033"/>
      <c r="K51" s="1033"/>
      <c r="L51" s="1034" t="str">
        <f t="shared" si="3"/>
        <v/>
      </c>
      <c r="M51" s="1035"/>
      <c r="N51" s="1035"/>
      <c r="O51" s="1036" t="str">
        <f t="shared" si="4"/>
        <v/>
      </c>
      <c r="P51" s="1033"/>
      <c r="Q51" s="1033"/>
      <c r="R51" s="1034" t="str">
        <f t="shared" si="5"/>
        <v/>
      </c>
      <c r="S51" s="1035"/>
      <c r="T51" s="1035"/>
      <c r="U51" s="1034" t="str">
        <f t="shared" si="6"/>
        <v/>
      </c>
      <c r="V51" s="1035"/>
      <c r="W51" s="1035"/>
      <c r="X51" s="1037" t="str">
        <f t="shared" si="11"/>
        <v>151</v>
      </c>
      <c r="Y51" s="1035">
        <v>15</v>
      </c>
      <c r="Z51" s="1035">
        <f t="shared" si="8"/>
        <v>1</v>
      </c>
      <c r="AA51" s="1035"/>
      <c r="AB51" s="1035"/>
      <c r="AC51" s="1021">
        <v>110140</v>
      </c>
      <c r="AD51" s="1021" t="s">
        <v>1924</v>
      </c>
      <c r="AE51" s="1022">
        <f>VLOOKUP(AC51,[5]Hoja1!$A$10:$K$1393,11,0)</f>
        <v>-1</v>
      </c>
      <c r="AF51" s="1022"/>
      <c r="AG51" s="1022">
        <f t="shared" si="9"/>
        <v>-1</v>
      </c>
      <c r="AH51" s="1022">
        <f t="shared" si="10"/>
        <v>0</v>
      </c>
      <c r="AK51" s="448"/>
      <c r="AL51" s="445"/>
    </row>
    <row r="52" spans="1:38" s="467" customFormat="1" ht="12.75" customHeight="1">
      <c r="A52" s="1033">
        <v>5111000</v>
      </c>
      <c r="B52" s="1033" t="s">
        <v>2724</v>
      </c>
      <c r="C52" s="1034"/>
      <c r="D52" s="1033"/>
      <c r="E52" s="1033"/>
      <c r="F52" s="1034"/>
      <c r="G52" s="1033"/>
      <c r="H52" s="1033"/>
      <c r="I52" s="1034"/>
      <c r="J52" s="1033"/>
      <c r="K52" s="1033"/>
      <c r="L52" s="1034"/>
      <c r="M52" s="1035"/>
      <c r="N52" s="1035"/>
      <c r="O52" s="1036"/>
      <c r="P52" s="1033"/>
      <c r="Q52" s="1033"/>
      <c r="R52" s="1034"/>
      <c r="S52" s="1035"/>
      <c r="T52" s="1035"/>
      <c r="U52" s="1034"/>
      <c r="V52" s="1035"/>
      <c r="W52" s="1035"/>
      <c r="X52" s="1037" t="str">
        <f t="shared" si="11"/>
        <v>221</v>
      </c>
      <c r="Y52" s="1035">
        <v>22</v>
      </c>
      <c r="Z52" s="1035">
        <f t="shared" si="8"/>
        <v>1</v>
      </c>
      <c r="AA52" s="1035"/>
      <c r="AB52" s="1035"/>
      <c r="AC52" s="1021">
        <v>110141</v>
      </c>
      <c r="AD52" s="1021" t="s">
        <v>318</v>
      </c>
      <c r="AE52" s="1022">
        <v>0</v>
      </c>
      <c r="AF52" s="1022"/>
      <c r="AG52" s="1022">
        <f t="shared" si="9"/>
        <v>0</v>
      </c>
      <c r="AH52" s="1022">
        <f t="shared" si="10"/>
        <v>0</v>
      </c>
      <c r="AK52" s="448"/>
      <c r="AL52" s="445"/>
    </row>
    <row r="53" spans="1:38" s="467" customFormat="1" ht="12.75" customHeight="1">
      <c r="A53" s="1033">
        <v>5111000</v>
      </c>
      <c r="B53" s="1033" t="s">
        <v>2724</v>
      </c>
      <c r="C53" s="1034"/>
      <c r="D53" s="1033"/>
      <c r="E53" s="1033"/>
      <c r="F53" s="1034"/>
      <c r="G53" s="1033"/>
      <c r="H53" s="1033"/>
      <c r="I53" s="1034"/>
      <c r="J53" s="1033"/>
      <c r="K53" s="1033"/>
      <c r="L53" s="1034"/>
      <c r="M53" s="1035"/>
      <c r="N53" s="1035"/>
      <c r="O53" s="1036"/>
      <c r="P53" s="1033"/>
      <c r="Q53" s="1033"/>
      <c r="R53" s="1034"/>
      <c r="S53" s="1035"/>
      <c r="T53" s="1035"/>
      <c r="U53" s="1034"/>
      <c r="V53" s="1035"/>
      <c r="W53" s="1035"/>
      <c r="X53" s="1037" t="str">
        <f t="shared" si="11"/>
        <v>221</v>
      </c>
      <c r="Y53" s="1035">
        <v>22</v>
      </c>
      <c r="Z53" s="1035">
        <f t="shared" si="8"/>
        <v>1</v>
      </c>
      <c r="AA53" s="1035"/>
      <c r="AB53" s="1035"/>
      <c r="AC53" s="1021">
        <v>110142</v>
      </c>
      <c r="AD53" s="1021" t="s">
        <v>1925</v>
      </c>
      <c r="AE53" s="1022">
        <f>VLOOKUP(AC53,[5]Hoja1!$A$10:$K$1393,11,0)</f>
        <v>0</v>
      </c>
      <c r="AF53" s="1022"/>
      <c r="AG53" s="1022">
        <f t="shared" si="9"/>
        <v>0</v>
      </c>
      <c r="AH53" s="1022">
        <f t="shared" si="10"/>
        <v>0</v>
      </c>
      <c r="AK53" s="448"/>
      <c r="AL53" s="445"/>
    </row>
    <row r="54" spans="1:38" s="467" customFormat="1" ht="12.75" customHeight="1">
      <c r="A54" s="1033">
        <v>5111000</v>
      </c>
      <c r="B54" s="1033" t="s">
        <v>2724</v>
      </c>
      <c r="C54" s="1034"/>
      <c r="D54" s="1033"/>
      <c r="E54" s="1033"/>
      <c r="F54" s="1034"/>
      <c r="G54" s="1033"/>
      <c r="H54" s="1033"/>
      <c r="I54" s="1034"/>
      <c r="J54" s="1033"/>
      <c r="K54" s="1033"/>
      <c r="L54" s="1034"/>
      <c r="M54" s="1035"/>
      <c r="N54" s="1035"/>
      <c r="O54" s="1036"/>
      <c r="P54" s="1033"/>
      <c r="Q54" s="1033"/>
      <c r="R54" s="1034"/>
      <c r="S54" s="1035"/>
      <c r="T54" s="1035"/>
      <c r="U54" s="1034"/>
      <c r="V54" s="1035"/>
      <c r="W54" s="1035"/>
      <c r="X54" s="1037" t="str">
        <f t="shared" si="11"/>
        <v>221</v>
      </c>
      <c r="Y54" s="1035">
        <v>22</v>
      </c>
      <c r="Z54" s="1035">
        <f t="shared" si="8"/>
        <v>1</v>
      </c>
      <c r="AA54" s="1035"/>
      <c r="AB54" s="1035"/>
      <c r="AC54" s="1021">
        <v>110143</v>
      </c>
      <c r="AD54" s="1021" t="s">
        <v>1926</v>
      </c>
      <c r="AE54" s="1022">
        <f>VLOOKUP(AC54,[5]Hoja1!$A$10:$K$1393,11,0)</f>
        <v>5105515</v>
      </c>
      <c r="AF54" s="1022"/>
      <c r="AG54" s="1022">
        <f t="shared" si="9"/>
        <v>5105515</v>
      </c>
      <c r="AH54" s="1022">
        <f t="shared" si="10"/>
        <v>5106</v>
      </c>
      <c r="AK54" s="448"/>
      <c r="AL54" s="445"/>
    </row>
    <row r="55" spans="1:38" s="467" customFormat="1" ht="12.75" customHeight="1">
      <c r="A55" s="1033">
        <v>5111000</v>
      </c>
      <c r="B55" s="1033" t="s">
        <v>2724</v>
      </c>
      <c r="C55" s="1034"/>
      <c r="D55" s="1033"/>
      <c r="E55" s="1033"/>
      <c r="F55" s="1034"/>
      <c r="G55" s="1033"/>
      <c r="H55" s="1033"/>
      <c r="I55" s="1034"/>
      <c r="J55" s="1033"/>
      <c r="K55" s="1033"/>
      <c r="L55" s="1034"/>
      <c r="M55" s="1035"/>
      <c r="N55" s="1035"/>
      <c r="O55" s="1036"/>
      <c r="P55" s="1033"/>
      <c r="Q55" s="1033"/>
      <c r="R55" s="1034"/>
      <c r="S55" s="1035"/>
      <c r="T55" s="1035"/>
      <c r="U55" s="1034"/>
      <c r="V55" s="1035"/>
      <c r="W55" s="1035"/>
      <c r="X55" s="1037" t="str">
        <f t="shared" si="11"/>
        <v>221</v>
      </c>
      <c r="Y55" s="1035">
        <v>22</v>
      </c>
      <c r="Z55" s="1035">
        <f t="shared" si="8"/>
        <v>1</v>
      </c>
      <c r="AA55" s="1035"/>
      <c r="AB55" s="1035"/>
      <c r="AC55" s="1021">
        <v>110144</v>
      </c>
      <c r="AD55" s="1021" t="s">
        <v>723</v>
      </c>
      <c r="AE55" s="1022">
        <v>0</v>
      </c>
      <c r="AF55" s="1022"/>
      <c r="AG55" s="1022">
        <f t="shared" si="9"/>
        <v>0</v>
      </c>
      <c r="AH55" s="1022">
        <f t="shared" si="10"/>
        <v>0</v>
      </c>
      <c r="AK55" s="448"/>
      <c r="AL55" s="445"/>
    </row>
    <row r="56" spans="1:38" s="467" customFormat="1" ht="12.75" customHeight="1">
      <c r="A56" s="1033">
        <v>5111000</v>
      </c>
      <c r="B56" s="1033" t="s">
        <v>2724</v>
      </c>
      <c r="C56" s="1034"/>
      <c r="D56" s="1033"/>
      <c r="E56" s="1033"/>
      <c r="F56" s="1034"/>
      <c r="G56" s="1033"/>
      <c r="H56" s="1033"/>
      <c r="I56" s="1034"/>
      <c r="J56" s="1033"/>
      <c r="K56" s="1033"/>
      <c r="L56" s="1034"/>
      <c r="M56" s="1035"/>
      <c r="N56" s="1035"/>
      <c r="O56" s="1036"/>
      <c r="P56" s="1033"/>
      <c r="Q56" s="1033"/>
      <c r="R56" s="1034"/>
      <c r="S56" s="1035"/>
      <c r="T56" s="1035"/>
      <c r="U56" s="1034"/>
      <c r="V56" s="1035"/>
      <c r="W56" s="1035"/>
      <c r="X56" s="1037" t="str">
        <f t="shared" si="11"/>
        <v>221</v>
      </c>
      <c r="Y56" s="1035">
        <v>22</v>
      </c>
      <c r="Z56" s="1035">
        <f t="shared" si="8"/>
        <v>1</v>
      </c>
      <c r="AA56" s="1035"/>
      <c r="AB56" s="1035"/>
      <c r="AC56" s="1021">
        <v>110145</v>
      </c>
      <c r="AD56" s="1021" t="s">
        <v>722</v>
      </c>
      <c r="AE56" s="1022">
        <v>0</v>
      </c>
      <c r="AF56" s="1022"/>
      <c r="AG56" s="1022">
        <f t="shared" si="9"/>
        <v>0</v>
      </c>
      <c r="AH56" s="1022">
        <f t="shared" si="10"/>
        <v>0</v>
      </c>
      <c r="AK56" s="448"/>
      <c r="AL56" s="445"/>
    </row>
    <row r="57" spans="1:38" s="467" customFormat="1" ht="12.75" customHeight="1">
      <c r="A57" s="1033">
        <v>5111000</v>
      </c>
      <c r="B57" s="1033" t="s">
        <v>2724</v>
      </c>
      <c r="C57" s="1034"/>
      <c r="D57" s="1033"/>
      <c r="E57" s="1033"/>
      <c r="F57" s="1034"/>
      <c r="G57" s="1033"/>
      <c r="H57" s="1033"/>
      <c r="I57" s="1034"/>
      <c r="J57" s="1033"/>
      <c r="K57" s="1033"/>
      <c r="L57" s="1034"/>
      <c r="M57" s="1035"/>
      <c r="N57" s="1035"/>
      <c r="O57" s="1036"/>
      <c r="P57" s="1033"/>
      <c r="Q57" s="1033"/>
      <c r="R57" s="1034"/>
      <c r="S57" s="1035"/>
      <c r="T57" s="1035"/>
      <c r="U57" s="1034"/>
      <c r="V57" s="1035"/>
      <c r="W57" s="1035"/>
      <c r="X57" s="1037" t="str">
        <f t="shared" si="11"/>
        <v>221</v>
      </c>
      <c r="Y57" s="1035">
        <v>22</v>
      </c>
      <c r="Z57" s="1035">
        <f t="shared" si="8"/>
        <v>1</v>
      </c>
      <c r="AA57" s="1035"/>
      <c r="AB57" s="1035"/>
      <c r="AC57" s="1021">
        <v>110146</v>
      </c>
      <c r="AD57" s="1021" t="s">
        <v>724</v>
      </c>
      <c r="AE57" s="1022">
        <v>0</v>
      </c>
      <c r="AF57" s="1022"/>
      <c r="AG57" s="1022">
        <f t="shared" si="9"/>
        <v>0</v>
      </c>
      <c r="AH57" s="1022">
        <f t="shared" si="10"/>
        <v>0</v>
      </c>
      <c r="AK57" s="448"/>
      <c r="AL57" s="445"/>
    </row>
    <row r="58" spans="1:38" s="467" customFormat="1" ht="12.75" customHeight="1">
      <c r="A58" s="1033">
        <v>5111000</v>
      </c>
      <c r="B58" s="1033" t="s">
        <v>2724</v>
      </c>
      <c r="C58" s="1034"/>
      <c r="D58" s="1033"/>
      <c r="E58" s="1033"/>
      <c r="F58" s="1034"/>
      <c r="G58" s="1033"/>
      <c r="H58" s="1033"/>
      <c r="I58" s="1034"/>
      <c r="J58" s="1033"/>
      <c r="K58" s="1033"/>
      <c r="L58" s="1034"/>
      <c r="M58" s="1035"/>
      <c r="N58" s="1035"/>
      <c r="O58" s="1036"/>
      <c r="P58" s="1033"/>
      <c r="Q58" s="1033"/>
      <c r="R58" s="1034"/>
      <c r="S58" s="1035"/>
      <c r="T58" s="1035"/>
      <c r="U58" s="1034"/>
      <c r="V58" s="1035"/>
      <c r="W58" s="1035"/>
      <c r="X58" s="1037" t="str">
        <f t="shared" si="11"/>
        <v>221</v>
      </c>
      <c r="Y58" s="1035">
        <v>22</v>
      </c>
      <c r="Z58" s="1035">
        <f t="shared" si="8"/>
        <v>1</v>
      </c>
      <c r="AA58" s="1035"/>
      <c r="AB58" s="1035"/>
      <c r="AC58" s="1021">
        <v>110147</v>
      </c>
      <c r="AD58" s="1021" t="s">
        <v>725</v>
      </c>
      <c r="AE58" s="1022">
        <v>0</v>
      </c>
      <c r="AF58" s="1022"/>
      <c r="AG58" s="1022">
        <f t="shared" si="9"/>
        <v>0</v>
      </c>
      <c r="AH58" s="1022">
        <f t="shared" si="10"/>
        <v>0</v>
      </c>
      <c r="AK58" s="448"/>
      <c r="AL58" s="445"/>
    </row>
    <row r="59" spans="1:38" s="467" customFormat="1" ht="12.75" customHeight="1">
      <c r="A59" s="1033">
        <v>5111000</v>
      </c>
      <c r="B59" s="1033" t="s">
        <v>2724</v>
      </c>
      <c r="C59" s="1034" t="str">
        <f t="shared" si="0"/>
        <v/>
      </c>
      <c r="D59" s="1033"/>
      <c r="E59" s="1033"/>
      <c r="F59" s="1034" t="str">
        <f t="shared" si="1"/>
        <v/>
      </c>
      <c r="G59" s="1033"/>
      <c r="H59" s="1033"/>
      <c r="I59" s="1034" t="str">
        <f t="shared" si="2"/>
        <v/>
      </c>
      <c r="J59" s="1033"/>
      <c r="K59" s="1033"/>
      <c r="L59" s="1034" t="str">
        <f t="shared" si="3"/>
        <v/>
      </c>
      <c r="M59" s="1035"/>
      <c r="N59" s="1035"/>
      <c r="O59" s="1036" t="str">
        <f t="shared" si="4"/>
        <v/>
      </c>
      <c r="P59" s="1033"/>
      <c r="Q59" s="1033"/>
      <c r="R59" s="1034" t="str">
        <f t="shared" si="5"/>
        <v/>
      </c>
      <c r="S59" s="1035"/>
      <c r="T59" s="1035"/>
      <c r="U59" s="1034" t="str">
        <f t="shared" si="6"/>
        <v/>
      </c>
      <c r="V59" s="1035"/>
      <c r="W59" s="1035"/>
      <c r="X59" s="1037" t="str">
        <f t="shared" si="11"/>
        <v>221</v>
      </c>
      <c r="Y59" s="1035">
        <v>22</v>
      </c>
      <c r="Z59" s="1035">
        <f t="shared" si="8"/>
        <v>1</v>
      </c>
      <c r="AA59" s="1035"/>
      <c r="AB59" s="1035"/>
      <c r="AC59" s="1021">
        <v>110150</v>
      </c>
      <c r="AD59" s="1021" t="s">
        <v>281</v>
      </c>
      <c r="AE59" s="1022">
        <v>0</v>
      </c>
      <c r="AF59" s="1022"/>
      <c r="AG59" s="1022">
        <f t="shared" si="9"/>
        <v>0</v>
      </c>
      <c r="AH59" s="1022">
        <f t="shared" si="10"/>
        <v>0</v>
      </c>
      <c r="AK59" s="448"/>
      <c r="AL59" s="445"/>
    </row>
    <row r="60" spans="1:38" s="467" customFormat="1" ht="12.75" customHeight="1">
      <c r="A60" s="1033">
        <v>5211000</v>
      </c>
      <c r="B60" s="1033" t="s">
        <v>2769</v>
      </c>
      <c r="C60" s="1034" t="str">
        <f>+D60&amp;E60</f>
        <v/>
      </c>
      <c r="D60" s="1033"/>
      <c r="E60" s="1033"/>
      <c r="F60" s="1034" t="str">
        <f>+G60&amp;H60</f>
        <v/>
      </c>
      <c r="G60" s="1033"/>
      <c r="H60" s="1033"/>
      <c r="I60" s="1034" t="str">
        <f>+J60&amp;K60</f>
        <v/>
      </c>
      <c r="J60" s="1033"/>
      <c r="K60" s="1033"/>
      <c r="L60" s="1034" t="str">
        <f>+M60&amp;N60</f>
        <v/>
      </c>
      <c r="M60" s="1035"/>
      <c r="N60" s="1035"/>
      <c r="O60" s="1036" t="str">
        <f>+P60&amp;Q60</f>
        <v/>
      </c>
      <c r="P60" s="1033"/>
      <c r="Q60" s="1033"/>
      <c r="R60" s="1034" t="str">
        <f>+S60&amp;T60</f>
        <v/>
      </c>
      <c r="S60" s="1035"/>
      <c r="T60" s="1035"/>
      <c r="U60" s="1034" t="str">
        <f>+V60&amp;W60</f>
        <v/>
      </c>
      <c r="V60" s="1035"/>
      <c r="W60" s="1035"/>
      <c r="X60" s="1037" t="str">
        <f t="shared" si="11"/>
        <v>151</v>
      </c>
      <c r="Y60" s="1035">
        <v>15</v>
      </c>
      <c r="Z60" s="1035">
        <f t="shared" si="8"/>
        <v>1</v>
      </c>
      <c r="AA60" s="1035"/>
      <c r="AB60" s="1035"/>
      <c r="AC60" s="1021">
        <v>110151</v>
      </c>
      <c r="AD60" s="1021" t="s">
        <v>1927</v>
      </c>
      <c r="AE60" s="1022">
        <f>VLOOKUP(AC60,[5]Hoja1!$A$10:$K$1393,11,0)</f>
        <v>0</v>
      </c>
      <c r="AF60" s="1022"/>
      <c r="AG60" s="1022">
        <f t="shared" si="9"/>
        <v>0</v>
      </c>
      <c r="AH60" s="1022">
        <f t="shared" si="10"/>
        <v>0</v>
      </c>
      <c r="AK60" s="448"/>
      <c r="AL60" s="445"/>
    </row>
    <row r="61" spans="1:38" s="467" customFormat="1" ht="12.75" customHeight="1">
      <c r="A61" s="1033">
        <v>5111000</v>
      </c>
      <c r="B61" s="1033" t="s">
        <v>2724</v>
      </c>
      <c r="C61" s="1034" t="str">
        <f>+D61&amp;E61</f>
        <v/>
      </c>
      <c r="D61" s="1033"/>
      <c r="E61" s="1033"/>
      <c r="F61" s="1034" t="str">
        <f>+G61&amp;H61</f>
        <v/>
      </c>
      <c r="G61" s="1033"/>
      <c r="H61" s="1033"/>
      <c r="I61" s="1034" t="str">
        <f>+J61&amp;K61</f>
        <v/>
      </c>
      <c r="J61" s="1033"/>
      <c r="K61" s="1033"/>
      <c r="L61" s="1034" t="str">
        <f>+M61&amp;N61</f>
        <v/>
      </c>
      <c r="M61" s="1035"/>
      <c r="N61" s="1035"/>
      <c r="O61" s="1036" t="str">
        <f>+P61&amp;Q61</f>
        <v/>
      </c>
      <c r="P61" s="1033"/>
      <c r="Q61" s="1033"/>
      <c r="R61" s="1034" t="str">
        <f>+S61&amp;T61</f>
        <v/>
      </c>
      <c r="S61" s="1035"/>
      <c r="T61" s="1035"/>
      <c r="U61" s="1034" t="str">
        <f>+V61&amp;W61</f>
        <v/>
      </c>
      <c r="V61" s="1035"/>
      <c r="W61" s="1035"/>
      <c r="X61" s="1037" t="str">
        <f t="shared" si="11"/>
        <v>151</v>
      </c>
      <c r="Y61" s="1035">
        <v>15</v>
      </c>
      <c r="Z61" s="1035">
        <f t="shared" si="8"/>
        <v>1</v>
      </c>
      <c r="AA61" s="1035"/>
      <c r="AB61" s="1035"/>
      <c r="AC61" s="1021">
        <v>110154</v>
      </c>
      <c r="AD61" s="1021" t="s">
        <v>1928</v>
      </c>
      <c r="AE61" s="1022">
        <f>VLOOKUP(AC61,[5]Hoja1!$A$10:$K$1393,11,0)</f>
        <v>5410169</v>
      </c>
      <c r="AF61" s="1022">
        <v>0</v>
      </c>
      <c r="AG61" s="1022">
        <f t="shared" si="9"/>
        <v>5410169</v>
      </c>
      <c r="AH61" s="1022">
        <f t="shared" si="10"/>
        <v>5410</v>
      </c>
      <c r="AK61" s="448"/>
      <c r="AL61" s="445"/>
    </row>
    <row r="62" spans="1:38" s="467" customFormat="1" ht="12.75" customHeight="1">
      <c r="A62" s="1033">
        <v>5111000</v>
      </c>
      <c r="B62" s="1033" t="s">
        <v>2724</v>
      </c>
      <c r="C62" s="1034" t="str">
        <f>+D62&amp;E62</f>
        <v/>
      </c>
      <c r="D62" s="1033"/>
      <c r="E62" s="1033"/>
      <c r="F62" s="1034" t="str">
        <f>+G62&amp;H62</f>
        <v/>
      </c>
      <c r="G62" s="1033"/>
      <c r="H62" s="1033"/>
      <c r="I62" s="1034" t="str">
        <f>+J62&amp;K62</f>
        <v/>
      </c>
      <c r="J62" s="1033"/>
      <c r="K62" s="1033"/>
      <c r="L62" s="1034" t="str">
        <f>+M62&amp;N62</f>
        <v/>
      </c>
      <c r="M62" s="1035"/>
      <c r="N62" s="1035"/>
      <c r="O62" s="1036" t="str">
        <f>+P62&amp;Q62</f>
        <v/>
      </c>
      <c r="P62" s="1033"/>
      <c r="Q62" s="1033"/>
      <c r="R62" s="1034" t="str">
        <f>+S62&amp;T62</f>
        <v/>
      </c>
      <c r="S62" s="1035"/>
      <c r="T62" s="1035"/>
      <c r="U62" s="1034" t="str">
        <f>+V62&amp;W62</f>
        <v/>
      </c>
      <c r="V62" s="1035"/>
      <c r="W62" s="1035"/>
      <c r="X62" s="1037" t="str">
        <f t="shared" si="11"/>
        <v>221</v>
      </c>
      <c r="Y62" s="1035">
        <v>22</v>
      </c>
      <c r="Z62" s="1035">
        <f t="shared" si="8"/>
        <v>1</v>
      </c>
      <c r="AA62" s="1035"/>
      <c r="AB62" s="1035"/>
      <c r="AC62" s="1021">
        <v>110155</v>
      </c>
      <c r="AD62" s="1021" t="s">
        <v>1929</v>
      </c>
      <c r="AE62" s="1022">
        <f>VLOOKUP(AC62,[5]Hoja1!$A$10:$K$1393,11,0)</f>
        <v>17090584</v>
      </c>
      <c r="AF62" s="1022"/>
      <c r="AG62" s="1022">
        <f t="shared" si="9"/>
        <v>17090584</v>
      </c>
      <c r="AH62" s="1022">
        <f t="shared" si="10"/>
        <v>17091</v>
      </c>
      <c r="AK62" s="448"/>
      <c r="AL62" s="445"/>
    </row>
    <row r="63" spans="1:38" s="467" customFormat="1" ht="12.75" customHeight="1">
      <c r="A63" s="1033">
        <v>5111000</v>
      </c>
      <c r="B63" s="1033" t="s">
        <v>2724</v>
      </c>
      <c r="C63" s="1034"/>
      <c r="D63" s="1033"/>
      <c r="E63" s="1033"/>
      <c r="F63" s="1034"/>
      <c r="G63" s="1033"/>
      <c r="H63" s="1033"/>
      <c r="I63" s="1034"/>
      <c r="J63" s="1033"/>
      <c r="K63" s="1033"/>
      <c r="L63" s="1034"/>
      <c r="M63" s="1035"/>
      <c r="N63" s="1035"/>
      <c r="O63" s="1036"/>
      <c r="P63" s="1033"/>
      <c r="Q63" s="1033"/>
      <c r="R63" s="1034"/>
      <c r="S63" s="1035"/>
      <c r="T63" s="1035"/>
      <c r="U63" s="1034"/>
      <c r="V63" s="1035"/>
      <c r="W63" s="1035"/>
      <c r="X63" s="1037" t="str">
        <f t="shared" si="11"/>
        <v>221</v>
      </c>
      <c r="Y63" s="1035">
        <v>22</v>
      </c>
      <c r="Z63" s="1035">
        <f t="shared" si="8"/>
        <v>1</v>
      </c>
      <c r="AA63" s="1035"/>
      <c r="AB63" s="1035"/>
      <c r="AC63" s="1021">
        <v>110157</v>
      </c>
      <c r="AD63" s="1021" t="s">
        <v>1514</v>
      </c>
      <c r="AE63" s="1022">
        <f>VLOOKUP(AC63,[5]Hoja1!$A$10:$K$1393,11,0)</f>
        <v>3593401</v>
      </c>
      <c r="AF63" s="1022"/>
      <c r="AG63" s="1022">
        <f t="shared" si="9"/>
        <v>3593401</v>
      </c>
      <c r="AH63" s="1022">
        <f t="shared" si="10"/>
        <v>3593</v>
      </c>
      <c r="AK63" s="448"/>
      <c r="AL63" s="445"/>
    </row>
    <row r="64" spans="1:38" s="467" customFormat="1" ht="12.75" customHeight="1">
      <c r="A64" s="1033">
        <v>5111000</v>
      </c>
      <c r="B64" s="1033" t="s">
        <v>2724</v>
      </c>
      <c r="C64" s="1034"/>
      <c r="D64" s="1033"/>
      <c r="E64" s="1033"/>
      <c r="F64" s="1034"/>
      <c r="G64" s="1033"/>
      <c r="H64" s="1033"/>
      <c r="I64" s="1034"/>
      <c r="J64" s="1033"/>
      <c r="K64" s="1033"/>
      <c r="L64" s="1034"/>
      <c r="M64" s="1035"/>
      <c r="N64" s="1035"/>
      <c r="O64" s="1036"/>
      <c r="P64" s="1033"/>
      <c r="Q64" s="1033"/>
      <c r="R64" s="1034"/>
      <c r="S64" s="1035"/>
      <c r="T64" s="1035"/>
      <c r="U64" s="1034"/>
      <c r="V64" s="1035"/>
      <c r="W64" s="1035"/>
      <c r="X64" s="1037" t="str">
        <f t="shared" si="11"/>
        <v>221</v>
      </c>
      <c r="Y64" s="1035">
        <v>22</v>
      </c>
      <c r="Z64" s="1035">
        <f t="shared" si="8"/>
        <v>1</v>
      </c>
      <c r="AA64" s="1035"/>
      <c r="AB64" s="1035"/>
      <c r="AC64" s="1021">
        <v>110158</v>
      </c>
      <c r="AD64" s="1021" t="s">
        <v>1930</v>
      </c>
      <c r="AE64" s="1022">
        <f>VLOOKUP(AC64,[5]Hoja1!$A$10:$K$1393,11,0)</f>
        <v>2999940</v>
      </c>
      <c r="AF64" s="1022"/>
      <c r="AG64" s="1022">
        <f t="shared" si="9"/>
        <v>2999940</v>
      </c>
      <c r="AH64" s="1022">
        <f t="shared" si="10"/>
        <v>3000</v>
      </c>
      <c r="AK64" s="448"/>
      <c r="AL64" s="445"/>
    </row>
    <row r="65" spans="1:38" s="467" customFormat="1" ht="12.75" customHeight="1">
      <c r="A65" s="1033">
        <v>5111000</v>
      </c>
      <c r="B65" s="1033" t="s">
        <v>2724</v>
      </c>
      <c r="C65" s="1034"/>
      <c r="D65" s="1033"/>
      <c r="E65" s="1033"/>
      <c r="F65" s="1034"/>
      <c r="G65" s="1033"/>
      <c r="H65" s="1033"/>
      <c r="I65" s="1034"/>
      <c r="J65" s="1033"/>
      <c r="K65" s="1033"/>
      <c r="L65" s="1034"/>
      <c r="M65" s="1035"/>
      <c r="N65" s="1035"/>
      <c r="O65" s="1036"/>
      <c r="P65" s="1033"/>
      <c r="Q65" s="1033"/>
      <c r="R65" s="1034"/>
      <c r="S65" s="1035"/>
      <c r="T65" s="1035"/>
      <c r="U65" s="1034"/>
      <c r="V65" s="1035"/>
      <c r="W65" s="1035"/>
      <c r="X65" s="1037" t="str">
        <f t="shared" si="11"/>
        <v>221</v>
      </c>
      <c r="Y65" s="1035">
        <v>22</v>
      </c>
      <c r="Z65" s="1035">
        <f t="shared" si="8"/>
        <v>1</v>
      </c>
      <c r="AA65" s="1035"/>
      <c r="AB65" s="1035"/>
      <c r="AC65" s="1021">
        <v>110159</v>
      </c>
      <c r="AD65" s="1021" t="s">
        <v>1931</v>
      </c>
      <c r="AE65" s="1022">
        <f>VLOOKUP(AC65,[5]Hoja1!$A$10:$K$1393,11,0)</f>
        <v>21493433</v>
      </c>
      <c r="AF65" s="1507">
        <v>3979369</v>
      </c>
      <c r="AG65" s="1022">
        <f t="shared" si="9"/>
        <v>25472802</v>
      </c>
      <c r="AH65" s="1022">
        <f t="shared" si="10"/>
        <v>25473</v>
      </c>
      <c r="AK65" s="448"/>
      <c r="AL65" s="445"/>
    </row>
    <row r="66" spans="1:38" s="467" customFormat="1" ht="12.75" customHeight="1">
      <c r="A66" s="1033">
        <v>5111000</v>
      </c>
      <c r="B66" s="1033" t="s">
        <v>2724</v>
      </c>
      <c r="C66" s="1034"/>
      <c r="D66" s="1033"/>
      <c r="E66" s="1033"/>
      <c r="F66" s="1034"/>
      <c r="G66" s="1033"/>
      <c r="H66" s="1033"/>
      <c r="I66" s="1034"/>
      <c r="J66" s="1033"/>
      <c r="K66" s="1033"/>
      <c r="L66" s="1034"/>
      <c r="M66" s="1035"/>
      <c r="N66" s="1035"/>
      <c r="O66" s="1036"/>
      <c r="P66" s="1033"/>
      <c r="Q66" s="1033"/>
      <c r="R66" s="1034"/>
      <c r="S66" s="1035"/>
      <c r="T66" s="1035"/>
      <c r="U66" s="1034"/>
      <c r="V66" s="1035"/>
      <c r="W66" s="1035"/>
      <c r="X66" s="1037" t="str">
        <f t="shared" si="11"/>
        <v>221</v>
      </c>
      <c r="Y66" s="1035">
        <v>22</v>
      </c>
      <c r="Z66" s="1035">
        <f t="shared" si="8"/>
        <v>1</v>
      </c>
      <c r="AA66" s="1035"/>
      <c r="AB66" s="1035"/>
      <c r="AC66" s="1021">
        <v>110160</v>
      </c>
      <c r="AD66" s="1021" t="s">
        <v>1932</v>
      </c>
      <c r="AE66" s="1022">
        <f>VLOOKUP(AC66,[5]Hoja1!$A$10:$K$1393,11,0)</f>
        <v>47877370</v>
      </c>
      <c r="AF66" s="1022"/>
      <c r="AG66" s="1022">
        <f t="shared" si="9"/>
        <v>47877370</v>
      </c>
      <c r="AH66" s="1022">
        <f t="shared" si="10"/>
        <v>47877</v>
      </c>
      <c r="AK66" s="448"/>
      <c r="AL66" s="445"/>
    </row>
    <row r="67" spans="1:38" s="467" customFormat="1" ht="12.75" customHeight="1">
      <c r="A67" s="1033">
        <v>5111000</v>
      </c>
      <c r="B67" s="1033" t="s">
        <v>2724</v>
      </c>
      <c r="C67" s="1034"/>
      <c r="D67" s="1033"/>
      <c r="E67" s="1033"/>
      <c r="F67" s="1034"/>
      <c r="G67" s="1033"/>
      <c r="H67" s="1033"/>
      <c r="I67" s="1034"/>
      <c r="J67" s="1033"/>
      <c r="K67" s="1033"/>
      <c r="L67" s="1034"/>
      <c r="M67" s="1035"/>
      <c r="N67" s="1035"/>
      <c r="O67" s="1036"/>
      <c r="P67" s="1033"/>
      <c r="Q67" s="1033"/>
      <c r="R67" s="1034"/>
      <c r="S67" s="1035"/>
      <c r="T67" s="1035"/>
      <c r="U67" s="1034"/>
      <c r="V67" s="1035"/>
      <c r="W67" s="1035"/>
      <c r="X67" s="1037" t="str">
        <f t="shared" si="11"/>
        <v>221</v>
      </c>
      <c r="Y67" s="1035">
        <v>22</v>
      </c>
      <c r="Z67" s="1035">
        <f t="shared" si="8"/>
        <v>1</v>
      </c>
      <c r="AA67" s="1035"/>
      <c r="AB67" s="1035"/>
      <c r="AC67" s="1021">
        <v>110161</v>
      </c>
      <c r="AD67" s="1021" t="s">
        <v>1371</v>
      </c>
      <c r="AE67" s="1022">
        <f>VLOOKUP(AC67,[5]Hoja1!$A$10:$K$1393,11,0)</f>
        <v>951916</v>
      </c>
      <c r="AF67" s="1022"/>
      <c r="AG67" s="1022">
        <f t="shared" si="9"/>
        <v>951916</v>
      </c>
      <c r="AH67" s="1022">
        <f t="shared" si="10"/>
        <v>952</v>
      </c>
      <c r="AK67" s="448"/>
      <c r="AL67" s="445"/>
    </row>
    <row r="68" spans="1:38" s="467" customFormat="1" ht="12.75" customHeight="1">
      <c r="A68" s="1033">
        <v>5211000</v>
      </c>
      <c r="B68" s="1033" t="s">
        <v>2769</v>
      </c>
      <c r="C68" s="1034"/>
      <c r="D68" s="1033"/>
      <c r="E68" s="1033"/>
      <c r="F68" s="1034"/>
      <c r="G68" s="1033"/>
      <c r="H68" s="1033"/>
      <c r="I68" s="1034"/>
      <c r="J68" s="1033"/>
      <c r="K68" s="1033"/>
      <c r="L68" s="1034"/>
      <c r="M68" s="1035"/>
      <c r="N68" s="1035"/>
      <c r="O68" s="1036"/>
      <c r="P68" s="1033"/>
      <c r="Q68" s="1033"/>
      <c r="R68" s="1034"/>
      <c r="S68" s="1035"/>
      <c r="T68" s="1035"/>
      <c r="U68" s="1034"/>
      <c r="V68" s="1035"/>
      <c r="W68" s="1035"/>
      <c r="X68" s="1037"/>
      <c r="Y68" s="1035"/>
      <c r="Z68" s="1035">
        <f t="shared" si="8"/>
        <v>1</v>
      </c>
      <c r="AA68" s="1035"/>
      <c r="AB68" s="1035"/>
      <c r="AC68" s="1021">
        <v>110162</v>
      </c>
      <c r="AD68" s="1021" t="s">
        <v>3061</v>
      </c>
      <c r="AE68" s="1022">
        <f>VLOOKUP(AC68,[5]Hoja1!$A$10:$K$1393,11,0)</f>
        <v>-1</v>
      </c>
      <c r="AF68" s="1022"/>
      <c r="AG68" s="1022">
        <f t="shared" si="9"/>
        <v>-1</v>
      </c>
      <c r="AH68" s="1022">
        <f t="shared" si="10"/>
        <v>0</v>
      </c>
      <c r="AK68" s="448"/>
      <c r="AL68" s="445"/>
    </row>
    <row r="69" spans="1:38" s="467" customFormat="1" ht="12.75" customHeight="1">
      <c r="A69" s="1033">
        <v>5111000</v>
      </c>
      <c r="B69" s="1033" t="s">
        <v>2724</v>
      </c>
      <c r="C69" s="1034"/>
      <c r="D69" s="1033"/>
      <c r="E69" s="1033"/>
      <c r="F69" s="1034"/>
      <c r="G69" s="1033"/>
      <c r="H69" s="1033"/>
      <c r="I69" s="1034"/>
      <c r="J69" s="1033"/>
      <c r="K69" s="1033"/>
      <c r="L69" s="1034"/>
      <c r="M69" s="1035"/>
      <c r="N69" s="1035"/>
      <c r="O69" s="1036"/>
      <c r="P69" s="1033"/>
      <c r="Q69" s="1033"/>
      <c r="R69" s="1034"/>
      <c r="S69" s="1035"/>
      <c r="T69" s="1035"/>
      <c r="U69" s="1034"/>
      <c r="V69" s="1035"/>
      <c r="W69" s="1035"/>
      <c r="X69" s="1037"/>
      <c r="Y69" s="1035"/>
      <c r="Z69" s="1035">
        <f t="shared" si="8"/>
        <v>1</v>
      </c>
      <c r="AA69" s="1035"/>
      <c r="AB69" s="1035"/>
      <c r="AC69" s="1021">
        <v>110163</v>
      </c>
      <c r="AD69" s="1021" t="s">
        <v>3463</v>
      </c>
      <c r="AE69" s="1022">
        <f>VLOOKUP(AC69,[5]Hoja1!$A$10:$K$1393,11,0)</f>
        <v>8432991</v>
      </c>
      <c r="AF69" s="1022"/>
      <c r="AG69" s="1022">
        <f t="shared" si="9"/>
        <v>8432991</v>
      </c>
      <c r="AH69" s="1022">
        <f t="shared" si="10"/>
        <v>8433</v>
      </c>
      <c r="AK69" s="448"/>
      <c r="AL69" s="445"/>
    </row>
    <row r="70" spans="1:38" s="467" customFormat="1" ht="12.75" customHeight="1">
      <c r="A70" s="1033">
        <v>5211000</v>
      </c>
      <c r="B70" s="1033" t="s">
        <v>2769</v>
      </c>
      <c r="C70" s="1034" t="str">
        <f t="shared" si="0"/>
        <v/>
      </c>
      <c r="D70" s="1033"/>
      <c r="E70" s="1033"/>
      <c r="F70" s="1034" t="str">
        <f t="shared" si="1"/>
        <v/>
      </c>
      <c r="G70" s="1033"/>
      <c r="H70" s="1033"/>
      <c r="I70" s="1034" t="str">
        <f t="shared" si="2"/>
        <v/>
      </c>
      <c r="J70" s="1033"/>
      <c r="K70" s="1033"/>
      <c r="L70" s="1034" t="str">
        <f t="shared" si="3"/>
        <v/>
      </c>
      <c r="M70" s="1035"/>
      <c r="N70" s="1035"/>
      <c r="O70" s="1036" t="str">
        <f t="shared" si="4"/>
        <v/>
      </c>
      <c r="P70" s="1033"/>
      <c r="Q70" s="1033"/>
      <c r="R70" s="1034" t="str">
        <f t="shared" si="5"/>
        <v/>
      </c>
      <c r="S70" s="1035"/>
      <c r="T70" s="1035"/>
      <c r="U70" s="1034" t="str">
        <f t="shared" si="6"/>
        <v/>
      </c>
      <c r="V70" s="1035"/>
      <c r="W70" s="1035"/>
      <c r="X70" s="1037" t="str">
        <f t="shared" si="11"/>
        <v>151</v>
      </c>
      <c r="Y70" s="1035">
        <v>15</v>
      </c>
      <c r="Z70" s="1035">
        <f t="shared" si="8"/>
        <v>1</v>
      </c>
      <c r="AA70" s="1035"/>
      <c r="AB70" s="1035"/>
      <c r="AC70" s="1021">
        <v>110201</v>
      </c>
      <c r="AD70" s="1021" t="s">
        <v>282</v>
      </c>
      <c r="AE70" s="1022">
        <f>VLOOKUP(AC70,[5]Hoja1!$A$10:$K$1393,11,0)</f>
        <v>-457366</v>
      </c>
      <c r="AF70" s="1022"/>
      <c r="AG70" s="1022">
        <f t="shared" si="9"/>
        <v>-457366</v>
      </c>
      <c r="AH70" s="1022">
        <f t="shared" si="10"/>
        <v>-457</v>
      </c>
      <c r="AK70" s="448"/>
      <c r="AL70" s="445"/>
    </row>
    <row r="71" spans="1:38" s="467" customFormat="1" ht="12.75" customHeight="1">
      <c r="A71" s="1033">
        <v>5111000</v>
      </c>
      <c r="B71" s="1033" t="s">
        <v>2724</v>
      </c>
      <c r="C71" s="1034" t="str">
        <f t="shared" si="0"/>
        <v/>
      </c>
      <c r="D71" s="1033"/>
      <c r="E71" s="1033"/>
      <c r="F71" s="1034" t="str">
        <f t="shared" si="1"/>
        <v/>
      </c>
      <c r="G71" s="1033"/>
      <c r="H71" s="1033"/>
      <c r="I71" s="1034" t="str">
        <f t="shared" si="2"/>
        <v/>
      </c>
      <c r="J71" s="1033"/>
      <c r="K71" s="1033"/>
      <c r="L71" s="1034" t="str">
        <f t="shared" si="3"/>
        <v/>
      </c>
      <c r="M71" s="1035"/>
      <c r="N71" s="1035"/>
      <c r="O71" s="1036" t="str">
        <f t="shared" si="4"/>
        <v/>
      </c>
      <c r="P71" s="1033"/>
      <c r="Q71" s="1033"/>
      <c r="R71" s="1034" t="str">
        <f t="shared" si="5"/>
        <v/>
      </c>
      <c r="S71" s="1035"/>
      <c r="T71" s="1035"/>
      <c r="U71" s="1034" t="str">
        <f t="shared" si="6"/>
        <v/>
      </c>
      <c r="V71" s="1035"/>
      <c r="W71" s="1035"/>
      <c r="X71" s="1037" t="str">
        <f t="shared" si="11"/>
        <v>221</v>
      </c>
      <c r="Y71" s="1035">
        <v>22</v>
      </c>
      <c r="Z71" s="1035">
        <f t="shared" si="8"/>
        <v>1</v>
      </c>
      <c r="AA71" s="1035"/>
      <c r="AB71" s="1035"/>
      <c r="AC71" s="1021">
        <v>110202</v>
      </c>
      <c r="AD71" s="1021" t="s">
        <v>283</v>
      </c>
      <c r="AE71" s="1022">
        <v>0</v>
      </c>
      <c r="AF71" s="1022"/>
      <c r="AG71" s="1022">
        <f t="shared" si="9"/>
        <v>0</v>
      </c>
      <c r="AH71" s="1022">
        <f t="shared" si="10"/>
        <v>0</v>
      </c>
      <c r="AK71" s="448"/>
      <c r="AL71" s="445"/>
    </row>
    <row r="72" spans="1:38" s="467" customFormat="1" ht="12.75" customHeight="1">
      <c r="A72" s="1033">
        <v>5211000</v>
      </c>
      <c r="B72" s="1033" t="s">
        <v>2769</v>
      </c>
      <c r="C72" s="1034" t="str">
        <f t="shared" si="0"/>
        <v/>
      </c>
      <c r="D72" s="1033"/>
      <c r="E72" s="1033"/>
      <c r="F72" s="1034" t="str">
        <f t="shared" si="1"/>
        <v/>
      </c>
      <c r="G72" s="1033"/>
      <c r="H72" s="1033"/>
      <c r="I72" s="1034" t="str">
        <f t="shared" si="2"/>
        <v/>
      </c>
      <c r="J72" s="1033"/>
      <c r="K72" s="1033"/>
      <c r="L72" s="1034" t="str">
        <f t="shared" si="3"/>
        <v/>
      </c>
      <c r="M72" s="1035"/>
      <c r="N72" s="1035"/>
      <c r="O72" s="1036" t="str">
        <f t="shared" si="4"/>
        <v/>
      </c>
      <c r="P72" s="1033"/>
      <c r="Q72" s="1033"/>
      <c r="R72" s="1034" t="str">
        <f t="shared" si="5"/>
        <v/>
      </c>
      <c r="S72" s="1035"/>
      <c r="T72" s="1035"/>
      <c r="U72" s="1034" t="str">
        <f t="shared" si="6"/>
        <v/>
      </c>
      <c r="V72" s="1035"/>
      <c r="W72" s="1035"/>
      <c r="X72" s="1037" t="str">
        <f t="shared" si="11"/>
        <v>151</v>
      </c>
      <c r="Y72" s="1035">
        <v>15</v>
      </c>
      <c r="Z72" s="1035">
        <f t="shared" si="8"/>
        <v>1</v>
      </c>
      <c r="AA72" s="1035"/>
      <c r="AB72" s="1035"/>
      <c r="AC72" s="1021">
        <v>110203</v>
      </c>
      <c r="AD72" s="1021" t="s">
        <v>1933</v>
      </c>
      <c r="AE72" s="1022">
        <f>VLOOKUP(AC72,[5]Hoja1!$A$10:$K$1393,11,0)</f>
        <v>0</v>
      </c>
      <c r="AF72" s="1022"/>
      <c r="AG72" s="1022">
        <f t="shared" si="9"/>
        <v>0</v>
      </c>
      <c r="AH72" s="1022">
        <f t="shared" si="10"/>
        <v>0</v>
      </c>
      <c r="AJ72" s="491"/>
      <c r="AK72" s="448"/>
      <c r="AL72" s="445"/>
    </row>
    <row r="73" spans="1:38" s="467" customFormat="1" ht="12.75" customHeight="1">
      <c r="A73" s="1033">
        <v>5111000</v>
      </c>
      <c r="B73" s="1033" t="s">
        <v>2724</v>
      </c>
      <c r="C73" s="1034" t="str">
        <f t="shared" si="0"/>
        <v/>
      </c>
      <c r="D73" s="1033"/>
      <c r="E73" s="1033"/>
      <c r="F73" s="1034" t="str">
        <f t="shared" si="1"/>
        <v/>
      </c>
      <c r="G73" s="1033"/>
      <c r="H73" s="1033"/>
      <c r="I73" s="1034" t="str">
        <f t="shared" si="2"/>
        <v/>
      </c>
      <c r="J73" s="1033"/>
      <c r="K73" s="1033"/>
      <c r="L73" s="1034" t="str">
        <f t="shared" si="3"/>
        <v/>
      </c>
      <c r="M73" s="1035"/>
      <c r="N73" s="1035"/>
      <c r="O73" s="1036" t="str">
        <f t="shared" si="4"/>
        <v/>
      </c>
      <c r="P73" s="1033"/>
      <c r="Q73" s="1033"/>
      <c r="R73" s="1034" t="str">
        <f t="shared" si="5"/>
        <v/>
      </c>
      <c r="S73" s="1035"/>
      <c r="T73" s="1035"/>
      <c r="U73" s="1034" t="str">
        <f t="shared" si="6"/>
        <v/>
      </c>
      <c r="V73" s="1035"/>
      <c r="W73" s="1035"/>
      <c r="X73" s="1037" t="str">
        <f t="shared" ref="X73:X103" si="12">+Y73&amp;Z73</f>
        <v>221</v>
      </c>
      <c r="Y73" s="1035">
        <v>22</v>
      </c>
      <c r="Z73" s="1035">
        <f t="shared" si="8"/>
        <v>1</v>
      </c>
      <c r="AA73" s="1035"/>
      <c r="AB73" s="1035"/>
      <c r="AC73" s="1021">
        <v>110204</v>
      </c>
      <c r="AD73" s="1021" t="s">
        <v>372</v>
      </c>
      <c r="AE73" s="1022">
        <f>VLOOKUP(AC73,[5]Hoja1!$A$10:$K$1393,11,0)</f>
        <v>0</v>
      </c>
      <c r="AF73" s="1022"/>
      <c r="AG73" s="1022">
        <f t="shared" si="9"/>
        <v>0</v>
      </c>
      <c r="AH73" s="1022">
        <f t="shared" si="10"/>
        <v>0</v>
      </c>
      <c r="AJ73" s="491"/>
      <c r="AK73" s="448"/>
      <c r="AL73" s="445"/>
    </row>
    <row r="74" spans="1:38" s="467" customFormat="1" ht="12.75" customHeight="1">
      <c r="A74" s="1033">
        <v>5111000</v>
      </c>
      <c r="B74" s="1033" t="s">
        <v>2724</v>
      </c>
      <c r="C74" s="1034" t="str">
        <f t="shared" si="0"/>
        <v/>
      </c>
      <c r="D74" s="1033"/>
      <c r="E74" s="1033"/>
      <c r="F74" s="1034" t="str">
        <f t="shared" si="1"/>
        <v/>
      </c>
      <c r="G74" s="1033"/>
      <c r="H74" s="1033"/>
      <c r="I74" s="1034" t="str">
        <f t="shared" si="2"/>
        <v/>
      </c>
      <c r="J74" s="1033"/>
      <c r="K74" s="1033"/>
      <c r="L74" s="1034" t="str">
        <f t="shared" si="3"/>
        <v/>
      </c>
      <c r="M74" s="1035"/>
      <c r="N74" s="1035"/>
      <c r="O74" s="1036" t="str">
        <f t="shared" si="4"/>
        <v/>
      </c>
      <c r="P74" s="1033"/>
      <c r="Q74" s="1033"/>
      <c r="R74" s="1034" t="str">
        <f t="shared" si="5"/>
        <v/>
      </c>
      <c r="S74" s="1035"/>
      <c r="T74" s="1035"/>
      <c r="U74" s="1034" t="str">
        <f t="shared" si="6"/>
        <v/>
      </c>
      <c r="V74" s="1035"/>
      <c r="W74" s="1035"/>
      <c r="X74" s="1037" t="str">
        <f t="shared" si="12"/>
        <v>221</v>
      </c>
      <c r="Y74" s="1035">
        <v>22</v>
      </c>
      <c r="Z74" s="1035">
        <f t="shared" ref="Z74:Z138" si="13">VALUE(LEFT(AC74,1))</f>
        <v>1</v>
      </c>
      <c r="AA74" s="1035"/>
      <c r="AB74" s="1035"/>
      <c r="AC74" s="1021">
        <v>110205</v>
      </c>
      <c r="AD74" s="1021" t="s">
        <v>1934</v>
      </c>
      <c r="AE74" s="1022">
        <f>VLOOKUP(AC74,[5]Hoja1!$A$10:$K$1393,11,0)</f>
        <v>0</v>
      </c>
      <c r="AF74" s="1022"/>
      <c r="AG74" s="1022">
        <f t="shared" ref="AG74:AG138" si="14">AE74+AF74</f>
        <v>0</v>
      </c>
      <c r="AH74" s="1022">
        <f t="shared" ref="AH74:AH138" si="15">ROUND((AE74+AF74)/$AH$2,0)</f>
        <v>0</v>
      </c>
      <c r="AJ74" s="491"/>
      <c r="AK74" s="448"/>
      <c r="AL74" s="445"/>
    </row>
    <row r="75" spans="1:38" s="467" customFormat="1" ht="12.75" customHeight="1">
      <c r="A75" s="1033">
        <v>5111000</v>
      </c>
      <c r="B75" s="1033" t="s">
        <v>2724</v>
      </c>
      <c r="C75" s="1034" t="str">
        <f t="shared" si="0"/>
        <v/>
      </c>
      <c r="D75" s="1033"/>
      <c r="E75" s="1033"/>
      <c r="F75" s="1034" t="str">
        <f t="shared" si="1"/>
        <v/>
      </c>
      <c r="G75" s="1033"/>
      <c r="H75" s="1033"/>
      <c r="I75" s="1034" t="str">
        <f t="shared" si="2"/>
        <v/>
      </c>
      <c r="J75" s="1033"/>
      <c r="K75" s="1033"/>
      <c r="L75" s="1034" t="str">
        <f t="shared" si="3"/>
        <v/>
      </c>
      <c r="M75" s="1035"/>
      <c r="N75" s="1035"/>
      <c r="O75" s="1036" t="str">
        <f t="shared" si="4"/>
        <v/>
      </c>
      <c r="P75" s="1033"/>
      <c r="Q75" s="1033"/>
      <c r="R75" s="1034" t="str">
        <f t="shared" si="5"/>
        <v/>
      </c>
      <c r="S75" s="1035"/>
      <c r="T75" s="1035"/>
      <c r="U75" s="1034" t="str">
        <f t="shared" si="6"/>
        <v/>
      </c>
      <c r="V75" s="1035"/>
      <c r="W75" s="1035"/>
      <c r="X75" s="1037" t="str">
        <f t="shared" si="12"/>
        <v>221</v>
      </c>
      <c r="Y75" s="1035">
        <v>22</v>
      </c>
      <c r="Z75" s="1035">
        <f t="shared" si="13"/>
        <v>1</v>
      </c>
      <c r="AA75" s="1035"/>
      <c r="AB75" s="1035"/>
      <c r="AC75" s="1021">
        <v>110206</v>
      </c>
      <c r="AD75" s="1021" t="s">
        <v>1935</v>
      </c>
      <c r="AE75" s="1022">
        <f>VLOOKUP(AC75,[5]Hoja1!$A$10:$K$1393,11,0)</f>
        <v>81917</v>
      </c>
      <c r="AF75" s="1022"/>
      <c r="AG75" s="1022">
        <f t="shared" si="14"/>
        <v>81917</v>
      </c>
      <c r="AH75" s="1022">
        <f t="shared" si="15"/>
        <v>82</v>
      </c>
      <c r="AJ75" s="491"/>
      <c r="AK75" s="448"/>
      <c r="AL75" s="445"/>
    </row>
    <row r="76" spans="1:38" s="467" customFormat="1" ht="12.75" customHeight="1">
      <c r="A76" s="1033">
        <v>5111000</v>
      </c>
      <c r="B76" s="1033" t="s">
        <v>2724</v>
      </c>
      <c r="C76" s="1034" t="str">
        <f t="shared" si="0"/>
        <v/>
      </c>
      <c r="D76" s="1033"/>
      <c r="E76" s="1033"/>
      <c r="F76" s="1034" t="str">
        <f t="shared" si="1"/>
        <v/>
      </c>
      <c r="G76" s="1033"/>
      <c r="H76" s="1033"/>
      <c r="I76" s="1034" t="str">
        <f t="shared" si="2"/>
        <v/>
      </c>
      <c r="J76" s="1033"/>
      <c r="K76" s="1033"/>
      <c r="L76" s="1034" t="str">
        <f t="shared" si="3"/>
        <v/>
      </c>
      <c r="M76" s="1035"/>
      <c r="N76" s="1035"/>
      <c r="O76" s="1036" t="str">
        <f t="shared" si="4"/>
        <v/>
      </c>
      <c r="P76" s="1033"/>
      <c r="Q76" s="1033"/>
      <c r="R76" s="1034" t="str">
        <f t="shared" si="5"/>
        <v/>
      </c>
      <c r="S76" s="1035"/>
      <c r="T76" s="1035"/>
      <c r="U76" s="1034" t="str">
        <f t="shared" si="6"/>
        <v/>
      </c>
      <c r="V76" s="1035"/>
      <c r="W76" s="1035"/>
      <c r="X76" s="1037" t="str">
        <f t="shared" si="12"/>
        <v>221</v>
      </c>
      <c r="Y76" s="1035">
        <v>22</v>
      </c>
      <c r="Z76" s="1035">
        <f t="shared" si="13"/>
        <v>1</v>
      </c>
      <c r="AA76" s="1035"/>
      <c r="AB76" s="1035"/>
      <c r="AC76" s="1021">
        <v>110207</v>
      </c>
      <c r="AD76" s="1021" t="s">
        <v>1936</v>
      </c>
      <c r="AE76" s="1022">
        <f>VLOOKUP(AC76,[5]Hoja1!$A$10:$K$1393,11,0)</f>
        <v>68984</v>
      </c>
      <c r="AF76" s="1022"/>
      <c r="AG76" s="1022">
        <f t="shared" si="14"/>
        <v>68984</v>
      </c>
      <c r="AH76" s="1022">
        <f t="shared" si="15"/>
        <v>69</v>
      </c>
      <c r="AJ76" s="491"/>
      <c r="AK76" s="448"/>
      <c r="AL76" s="445"/>
    </row>
    <row r="77" spans="1:38" s="467" customFormat="1" ht="12.75" customHeight="1">
      <c r="A77" s="1033">
        <v>5111000</v>
      </c>
      <c r="B77" s="1033" t="s">
        <v>2724</v>
      </c>
      <c r="C77" s="1034"/>
      <c r="D77" s="1033"/>
      <c r="E77" s="1033"/>
      <c r="F77" s="1034"/>
      <c r="G77" s="1033"/>
      <c r="H77" s="1033"/>
      <c r="I77" s="1034"/>
      <c r="J77" s="1033"/>
      <c r="K77" s="1033"/>
      <c r="L77" s="1034"/>
      <c r="M77" s="1035"/>
      <c r="N77" s="1035"/>
      <c r="O77" s="1036"/>
      <c r="P77" s="1033"/>
      <c r="Q77" s="1033"/>
      <c r="R77" s="1034"/>
      <c r="S77" s="1035"/>
      <c r="T77" s="1035"/>
      <c r="U77" s="1034"/>
      <c r="V77" s="1035"/>
      <c r="W77" s="1035"/>
      <c r="X77" s="1037" t="str">
        <f t="shared" si="12"/>
        <v>151</v>
      </c>
      <c r="Y77" s="1035">
        <v>15</v>
      </c>
      <c r="Z77" s="1035">
        <f t="shared" si="13"/>
        <v>1</v>
      </c>
      <c r="AA77" s="1035"/>
      <c r="AB77" s="1035"/>
      <c r="AC77" s="1021">
        <v>110208</v>
      </c>
      <c r="AD77" s="1021" t="s">
        <v>1937</v>
      </c>
      <c r="AE77" s="1022">
        <f>VLOOKUP(AC77,[5]Hoja1!$A$10:$K$1393,11,0)</f>
        <v>1705126</v>
      </c>
      <c r="AF77" s="1022"/>
      <c r="AG77" s="1022">
        <f t="shared" si="14"/>
        <v>1705126</v>
      </c>
      <c r="AH77" s="1022">
        <f t="shared" si="15"/>
        <v>1705</v>
      </c>
      <c r="AJ77" s="491"/>
      <c r="AK77" s="448"/>
      <c r="AL77" s="445"/>
    </row>
    <row r="78" spans="1:38" s="467" customFormat="1" ht="12.75" customHeight="1">
      <c r="A78" s="1033">
        <v>5111000</v>
      </c>
      <c r="B78" s="1033" t="s">
        <v>2724</v>
      </c>
      <c r="C78" s="1034"/>
      <c r="D78" s="1033"/>
      <c r="E78" s="1033"/>
      <c r="F78" s="1034"/>
      <c r="G78" s="1033"/>
      <c r="H78" s="1033"/>
      <c r="I78" s="1034"/>
      <c r="J78" s="1033"/>
      <c r="K78" s="1033"/>
      <c r="L78" s="1034"/>
      <c r="M78" s="1035"/>
      <c r="N78" s="1035"/>
      <c r="O78" s="1036"/>
      <c r="P78" s="1033"/>
      <c r="Q78" s="1033"/>
      <c r="R78" s="1034"/>
      <c r="S78" s="1035"/>
      <c r="T78" s="1035"/>
      <c r="U78" s="1034"/>
      <c r="V78" s="1035"/>
      <c r="W78" s="1035"/>
      <c r="X78" s="1037" t="str">
        <f t="shared" si="12"/>
        <v>151</v>
      </c>
      <c r="Y78" s="1035">
        <v>15</v>
      </c>
      <c r="Z78" s="1035">
        <f t="shared" si="13"/>
        <v>1</v>
      </c>
      <c r="AA78" s="1035"/>
      <c r="AB78" s="1035"/>
      <c r="AC78" s="1021">
        <v>110209</v>
      </c>
      <c r="AD78" s="1021" t="s">
        <v>2606</v>
      </c>
      <c r="AE78" s="1022">
        <f>VLOOKUP(AC78,[5]Hoja1!$A$10:$K$1393,11,0)</f>
        <v>15837</v>
      </c>
      <c r="AF78" s="1022"/>
      <c r="AG78" s="1022">
        <f t="shared" si="14"/>
        <v>15837</v>
      </c>
      <c r="AH78" s="1022">
        <f t="shared" si="15"/>
        <v>16</v>
      </c>
      <c r="AJ78" s="491"/>
      <c r="AK78" s="448"/>
      <c r="AL78" s="445"/>
    </row>
    <row r="79" spans="1:38" s="467" customFormat="1" ht="12.75" customHeight="1">
      <c r="A79" s="1033">
        <v>5111000</v>
      </c>
      <c r="B79" s="1033" t="s">
        <v>2724</v>
      </c>
      <c r="C79" s="1034" t="str">
        <f t="shared" si="0"/>
        <v/>
      </c>
      <c r="D79" s="1033"/>
      <c r="E79" s="1033"/>
      <c r="F79" s="1034" t="str">
        <f t="shared" si="1"/>
        <v/>
      </c>
      <c r="G79" s="1033"/>
      <c r="H79" s="1033"/>
      <c r="I79" s="1034" t="str">
        <f t="shared" si="2"/>
        <v/>
      </c>
      <c r="J79" s="1033"/>
      <c r="K79" s="1033"/>
      <c r="L79" s="1034" t="str">
        <f t="shared" si="3"/>
        <v/>
      </c>
      <c r="M79" s="1035"/>
      <c r="N79" s="1035"/>
      <c r="O79" s="1036" t="str">
        <f t="shared" si="4"/>
        <v/>
      </c>
      <c r="P79" s="1033"/>
      <c r="Q79" s="1033"/>
      <c r="R79" s="1034" t="str">
        <f t="shared" si="5"/>
        <v/>
      </c>
      <c r="S79" s="1035"/>
      <c r="T79" s="1035"/>
      <c r="U79" s="1034" t="str">
        <f t="shared" si="6"/>
        <v/>
      </c>
      <c r="V79" s="1035"/>
      <c r="W79" s="1035"/>
      <c r="X79" s="1037" t="str">
        <f t="shared" si="12"/>
        <v>221</v>
      </c>
      <c r="Y79" s="1035">
        <v>22</v>
      </c>
      <c r="Z79" s="1035">
        <f t="shared" si="13"/>
        <v>1</v>
      </c>
      <c r="AA79" s="1035"/>
      <c r="AB79" s="1035"/>
      <c r="AC79" s="1021">
        <v>110210</v>
      </c>
      <c r="AD79" s="1021" t="s">
        <v>1938</v>
      </c>
      <c r="AE79" s="1022">
        <v>0</v>
      </c>
      <c r="AF79" s="1022"/>
      <c r="AG79" s="1022">
        <f t="shared" si="14"/>
        <v>0</v>
      </c>
      <c r="AH79" s="1022">
        <f t="shared" si="15"/>
        <v>0</v>
      </c>
      <c r="AJ79" s="491"/>
      <c r="AK79" s="448"/>
      <c r="AL79" s="445"/>
    </row>
    <row r="80" spans="1:38" s="467" customFormat="1" ht="12.75" customHeight="1">
      <c r="A80" s="1033">
        <v>5111000</v>
      </c>
      <c r="B80" s="1033" t="s">
        <v>2724</v>
      </c>
      <c r="C80" s="1034"/>
      <c r="D80" s="1033"/>
      <c r="E80" s="1033"/>
      <c r="F80" s="1034"/>
      <c r="G80" s="1033"/>
      <c r="H80" s="1033"/>
      <c r="I80" s="1034"/>
      <c r="J80" s="1033"/>
      <c r="K80" s="1033"/>
      <c r="L80" s="1034"/>
      <c r="M80" s="1035"/>
      <c r="N80" s="1035"/>
      <c r="O80" s="1036"/>
      <c r="P80" s="1033"/>
      <c r="Q80" s="1033"/>
      <c r="R80" s="1034"/>
      <c r="S80" s="1035"/>
      <c r="T80" s="1035"/>
      <c r="U80" s="1034"/>
      <c r="V80" s="1035"/>
      <c r="W80" s="1035"/>
      <c r="X80" s="1037" t="str">
        <f t="shared" si="12"/>
        <v>221</v>
      </c>
      <c r="Y80" s="1035">
        <v>22</v>
      </c>
      <c r="Z80" s="1035">
        <f t="shared" si="13"/>
        <v>1</v>
      </c>
      <c r="AA80" s="1035"/>
      <c r="AB80" s="1035"/>
      <c r="AC80" s="1021">
        <v>110211</v>
      </c>
      <c r="AD80" s="1021" t="s">
        <v>1939</v>
      </c>
      <c r="AE80" s="1022">
        <v>0</v>
      </c>
      <c r="AF80" s="1022"/>
      <c r="AG80" s="1022">
        <f t="shared" si="14"/>
        <v>0</v>
      </c>
      <c r="AH80" s="1022">
        <f t="shared" si="15"/>
        <v>0</v>
      </c>
      <c r="AJ80" s="491"/>
      <c r="AK80" s="448"/>
      <c r="AL80" s="445"/>
    </row>
    <row r="81" spans="1:38" s="467" customFormat="1" ht="12.75" customHeight="1">
      <c r="A81" s="1033">
        <v>5111000</v>
      </c>
      <c r="B81" s="1033" t="s">
        <v>2724</v>
      </c>
      <c r="C81" s="1034"/>
      <c r="D81" s="1033"/>
      <c r="E81" s="1033"/>
      <c r="F81" s="1034"/>
      <c r="G81" s="1033"/>
      <c r="H81" s="1033"/>
      <c r="I81" s="1034"/>
      <c r="J81" s="1033"/>
      <c r="K81" s="1033"/>
      <c r="L81" s="1034"/>
      <c r="M81" s="1035"/>
      <c r="N81" s="1035"/>
      <c r="O81" s="1036"/>
      <c r="P81" s="1033"/>
      <c r="Q81" s="1033"/>
      <c r="R81" s="1034"/>
      <c r="S81" s="1035"/>
      <c r="T81" s="1035"/>
      <c r="U81" s="1034"/>
      <c r="V81" s="1035"/>
      <c r="W81" s="1035"/>
      <c r="X81" s="1037" t="str">
        <f t="shared" si="12"/>
        <v>221</v>
      </c>
      <c r="Y81" s="1035">
        <v>22</v>
      </c>
      <c r="Z81" s="1035">
        <f t="shared" si="13"/>
        <v>1</v>
      </c>
      <c r="AA81" s="1035"/>
      <c r="AB81" s="1035"/>
      <c r="AC81" s="1021">
        <v>110212</v>
      </c>
      <c r="AD81" s="1021" t="s">
        <v>1940</v>
      </c>
      <c r="AE81" s="1022">
        <v>0</v>
      </c>
      <c r="AF81" s="1022"/>
      <c r="AG81" s="1022">
        <f t="shared" si="14"/>
        <v>0</v>
      </c>
      <c r="AH81" s="1022">
        <f t="shared" si="15"/>
        <v>0</v>
      </c>
      <c r="AJ81" s="491"/>
      <c r="AK81" s="448"/>
      <c r="AL81" s="445"/>
    </row>
    <row r="82" spans="1:38" s="467" customFormat="1" ht="12.75" customHeight="1">
      <c r="A82" s="1033">
        <v>5111000</v>
      </c>
      <c r="B82" s="1033" t="s">
        <v>2724</v>
      </c>
      <c r="C82" s="1034"/>
      <c r="D82" s="1033"/>
      <c r="E82" s="1033"/>
      <c r="F82" s="1034"/>
      <c r="G82" s="1033"/>
      <c r="H82" s="1033"/>
      <c r="I82" s="1034"/>
      <c r="J82" s="1033"/>
      <c r="K82" s="1033"/>
      <c r="L82" s="1034"/>
      <c r="M82" s="1035"/>
      <c r="N82" s="1035"/>
      <c r="O82" s="1036"/>
      <c r="P82" s="1033"/>
      <c r="Q82" s="1033"/>
      <c r="R82" s="1034"/>
      <c r="S82" s="1035"/>
      <c r="T82" s="1035"/>
      <c r="U82" s="1034"/>
      <c r="V82" s="1035"/>
      <c r="W82" s="1035"/>
      <c r="X82" s="1037" t="str">
        <f t="shared" si="12"/>
        <v>221</v>
      </c>
      <c r="Y82" s="1035">
        <v>22</v>
      </c>
      <c r="Z82" s="1035">
        <f t="shared" si="13"/>
        <v>1</v>
      </c>
      <c r="AA82" s="1035"/>
      <c r="AB82" s="1035"/>
      <c r="AC82" s="1021">
        <v>110213</v>
      </c>
      <c r="AD82" s="1021" t="s">
        <v>726</v>
      </c>
      <c r="AE82" s="1022">
        <v>0</v>
      </c>
      <c r="AF82" s="1022"/>
      <c r="AG82" s="1022">
        <f t="shared" si="14"/>
        <v>0</v>
      </c>
      <c r="AH82" s="1022">
        <f t="shared" si="15"/>
        <v>0</v>
      </c>
      <c r="AJ82" s="491"/>
      <c r="AK82" s="448"/>
      <c r="AL82" s="445"/>
    </row>
    <row r="83" spans="1:38" s="467" customFormat="1" ht="12.75" customHeight="1">
      <c r="A83" s="1033">
        <v>5111000</v>
      </c>
      <c r="B83" s="1033" t="s">
        <v>2724</v>
      </c>
      <c r="C83" s="1034"/>
      <c r="D83" s="1033"/>
      <c r="E83" s="1033"/>
      <c r="F83" s="1034"/>
      <c r="G83" s="1033"/>
      <c r="H83" s="1033"/>
      <c r="I83" s="1034"/>
      <c r="J83" s="1033"/>
      <c r="K83" s="1033"/>
      <c r="L83" s="1034"/>
      <c r="M83" s="1035"/>
      <c r="N83" s="1035"/>
      <c r="O83" s="1036"/>
      <c r="P83" s="1033"/>
      <c r="Q83" s="1033"/>
      <c r="R83" s="1034"/>
      <c r="S83" s="1035"/>
      <c r="T83" s="1035"/>
      <c r="U83" s="1034"/>
      <c r="V83" s="1035"/>
      <c r="W83" s="1035"/>
      <c r="X83" s="1037" t="str">
        <f t="shared" si="12"/>
        <v>221</v>
      </c>
      <c r="Y83" s="1035">
        <v>22</v>
      </c>
      <c r="Z83" s="1035">
        <f t="shared" si="13"/>
        <v>1</v>
      </c>
      <c r="AA83" s="1035"/>
      <c r="AB83" s="1035"/>
      <c r="AC83" s="1021">
        <v>110214</v>
      </c>
      <c r="AD83" s="1021" t="s">
        <v>1941</v>
      </c>
      <c r="AE83" s="1022">
        <v>0</v>
      </c>
      <c r="AF83" s="1022"/>
      <c r="AG83" s="1022">
        <f t="shared" si="14"/>
        <v>0</v>
      </c>
      <c r="AH83" s="1022">
        <f t="shared" si="15"/>
        <v>0</v>
      </c>
      <c r="AJ83" s="491"/>
      <c r="AK83" s="448"/>
      <c r="AL83" s="445"/>
    </row>
    <row r="84" spans="1:38" s="467" customFormat="1" ht="12.75" customHeight="1">
      <c r="A84" s="1033">
        <v>5111000</v>
      </c>
      <c r="B84" s="1033" t="s">
        <v>2724</v>
      </c>
      <c r="C84" s="1034"/>
      <c r="D84" s="1033"/>
      <c r="E84" s="1033"/>
      <c r="F84" s="1034"/>
      <c r="G84" s="1033"/>
      <c r="H84" s="1033"/>
      <c r="I84" s="1034"/>
      <c r="J84" s="1033"/>
      <c r="K84" s="1033"/>
      <c r="L84" s="1034"/>
      <c r="M84" s="1035"/>
      <c r="N84" s="1035"/>
      <c r="O84" s="1036"/>
      <c r="P84" s="1033"/>
      <c r="Q84" s="1033"/>
      <c r="R84" s="1034"/>
      <c r="S84" s="1035"/>
      <c r="T84" s="1035"/>
      <c r="U84" s="1034"/>
      <c r="V84" s="1035"/>
      <c r="W84" s="1035"/>
      <c r="X84" s="1037" t="str">
        <f t="shared" si="12"/>
        <v>221</v>
      </c>
      <c r="Y84" s="1035">
        <v>22</v>
      </c>
      <c r="Z84" s="1035">
        <f t="shared" si="13"/>
        <v>1</v>
      </c>
      <c r="AA84" s="1035"/>
      <c r="AB84" s="1035"/>
      <c r="AC84" s="1021">
        <v>110215</v>
      </c>
      <c r="AD84" s="1021" t="s">
        <v>727</v>
      </c>
      <c r="AE84" s="1022">
        <v>0</v>
      </c>
      <c r="AF84" s="1022"/>
      <c r="AG84" s="1022">
        <f t="shared" si="14"/>
        <v>0</v>
      </c>
      <c r="AH84" s="1022">
        <f t="shared" si="15"/>
        <v>0</v>
      </c>
      <c r="AJ84" s="491"/>
      <c r="AK84" s="448"/>
      <c r="AL84" s="445"/>
    </row>
    <row r="85" spans="1:38" s="467" customFormat="1" ht="12.75" customHeight="1">
      <c r="A85" s="1033">
        <v>5111000</v>
      </c>
      <c r="B85" s="1033" t="s">
        <v>2724</v>
      </c>
      <c r="C85" s="1034"/>
      <c r="D85" s="1033"/>
      <c r="E85" s="1033"/>
      <c r="F85" s="1034"/>
      <c r="G85" s="1033"/>
      <c r="H85" s="1033"/>
      <c r="I85" s="1034"/>
      <c r="J85" s="1033"/>
      <c r="K85" s="1033"/>
      <c r="L85" s="1034"/>
      <c r="M85" s="1035"/>
      <c r="N85" s="1035"/>
      <c r="O85" s="1036"/>
      <c r="P85" s="1033"/>
      <c r="Q85" s="1033"/>
      <c r="R85" s="1034"/>
      <c r="S85" s="1035"/>
      <c r="T85" s="1035"/>
      <c r="U85" s="1034"/>
      <c r="V85" s="1035"/>
      <c r="W85" s="1035"/>
      <c r="X85" s="1037" t="str">
        <f t="shared" si="12"/>
        <v>151</v>
      </c>
      <c r="Y85" s="1035">
        <v>15</v>
      </c>
      <c r="Z85" s="1035">
        <f t="shared" si="13"/>
        <v>1</v>
      </c>
      <c r="AA85" s="1035"/>
      <c r="AB85" s="1035"/>
      <c r="AC85" s="1021">
        <v>110218</v>
      </c>
      <c r="AD85" s="1021" t="s">
        <v>2606</v>
      </c>
      <c r="AE85" s="1022">
        <f>VLOOKUP(AC85,[5]Hoja1!$A$10:$K$1393,11,0)</f>
        <v>0</v>
      </c>
      <c r="AF85" s="1022"/>
      <c r="AG85" s="1022">
        <f t="shared" si="14"/>
        <v>0</v>
      </c>
      <c r="AH85" s="1022">
        <f t="shared" si="15"/>
        <v>0</v>
      </c>
      <c r="AJ85" s="491"/>
      <c r="AK85" s="448"/>
      <c r="AL85" s="445"/>
    </row>
    <row r="86" spans="1:38" s="467" customFormat="1" ht="12.75" customHeight="1">
      <c r="A86" s="1033">
        <v>5111000</v>
      </c>
      <c r="B86" s="1033" t="s">
        <v>2724</v>
      </c>
      <c r="C86" s="1034"/>
      <c r="D86" s="1033"/>
      <c r="E86" s="1033"/>
      <c r="F86" s="1034"/>
      <c r="G86" s="1033"/>
      <c r="H86" s="1033"/>
      <c r="I86" s="1034"/>
      <c r="J86" s="1033"/>
      <c r="K86" s="1033"/>
      <c r="L86" s="1034"/>
      <c r="M86" s="1035"/>
      <c r="N86" s="1035"/>
      <c r="O86" s="1036"/>
      <c r="P86" s="1033"/>
      <c r="Q86" s="1033"/>
      <c r="R86" s="1034"/>
      <c r="S86" s="1035"/>
      <c r="T86" s="1035"/>
      <c r="U86" s="1034"/>
      <c r="V86" s="1035"/>
      <c r="W86" s="1035"/>
      <c r="X86" s="1037"/>
      <c r="Y86" s="1035"/>
      <c r="Z86" s="1035">
        <f t="shared" si="13"/>
        <v>1</v>
      </c>
      <c r="AA86" s="1035"/>
      <c r="AB86" s="1035"/>
      <c r="AC86" s="1021">
        <v>110219</v>
      </c>
      <c r="AD86" s="1021" t="s">
        <v>3083</v>
      </c>
      <c r="AE86" s="1022">
        <f>VLOOKUP(AC86,[5]Hoja1!$A$10:$K$1393,11,0)</f>
        <v>0</v>
      </c>
      <c r="AF86" s="1022"/>
      <c r="AG86" s="1022">
        <f t="shared" si="14"/>
        <v>0</v>
      </c>
      <c r="AH86" s="1022">
        <f t="shared" si="15"/>
        <v>0</v>
      </c>
      <c r="AJ86" s="491"/>
      <c r="AK86" s="448"/>
      <c r="AL86" s="445"/>
    </row>
    <row r="87" spans="1:38" s="467" customFormat="1" ht="12.75" customHeight="1">
      <c r="A87" s="1033"/>
      <c r="B87" s="1033"/>
      <c r="C87" s="1034" t="str">
        <f t="shared" si="0"/>
        <v/>
      </c>
      <c r="D87" s="1033"/>
      <c r="E87" s="1033"/>
      <c r="F87" s="1034" t="str">
        <f t="shared" si="1"/>
        <v/>
      </c>
      <c r="G87" s="1033"/>
      <c r="H87" s="1033"/>
      <c r="I87" s="1034" t="str">
        <f t="shared" si="2"/>
        <v/>
      </c>
      <c r="J87" s="1033"/>
      <c r="K87" s="1033"/>
      <c r="L87" s="1034" t="str">
        <f t="shared" si="3"/>
        <v/>
      </c>
      <c r="M87" s="1035"/>
      <c r="N87" s="1035"/>
      <c r="O87" s="1036" t="str">
        <f t="shared" si="4"/>
        <v/>
      </c>
      <c r="P87" s="1033"/>
      <c r="Q87" s="1033"/>
      <c r="R87" s="1034" t="str">
        <f t="shared" si="5"/>
        <v/>
      </c>
      <c r="S87" s="1035"/>
      <c r="T87" s="1035"/>
      <c r="U87" s="1034" t="str">
        <f t="shared" si="6"/>
        <v/>
      </c>
      <c r="V87" s="1035"/>
      <c r="W87" s="1035"/>
      <c r="X87" s="1037" t="str">
        <f t="shared" si="12"/>
        <v>1</v>
      </c>
      <c r="Y87" s="1035"/>
      <c r="Z87" s="1035">
        <f t="shared" si="13"/>
        <v>1</v>
      </c>
      <c r="AA87" s="1035"/>
      <c r="AB87" s="1035"/>
      <c r="AC87" s="1021">
        <v>110301</v>
      </c>
      <c r="AD87" s="1021" t="s">
        <v>882</v>
      </c>
      <c r="AE87" s="1022">
        <v>0</v>
      </c>
      <c r="AF87" s="1022"/>
      <c r="AG87" s="1022">
        <f t="shared" si="14"/>
        <v>0</v>
      </c>
      <c r="AH87" s="1022">
        <f t="shared" si="15"/>
        <v>0</v>
      </c>
      <c r="AK87" s="448"/>
      <c r="AL87" s="445"/>
    </row>
    <row r="88" spans="1:38" s="467" customFormat="1" ht="12.75" customHeight="1">
      <c r="A88" s="1033"/>
      <c r="B88" s="1033"/>
      <c r="C88" s="1034" t="str">
        <f t="shared" si="0"/>
        <v/>
      </c>
      <c r="D88" s="1033"/>
      <c r="E88" s="1033"/>
      <c r="F88" s="1034" t="str">
        <f t="shared" si="1"/>
        <v/>
      </c>
      <c r="G88" s="1033"/>
      <c r="H88" s="1033"/>
      <c r="I88" s="1034" t="str">
        <f t="shared" si="2"/>
        <v/>
      </c>
      <c r="J88" s="1033"/>
      <c r="K88" s="1033"/>
      <c r="L88" s="1034" t="str">
        <f t="shared" si="3"/>
        <v/>
      </c>
      <c r="M88" s="1035"/>
      <c r="N88" s="1035"/>
      <c r="O88" s="1036" t="str">
        <f t="shared" si="4"/>
        <v/>
      </c>
      <c r="P88" s="1033"/>
      <c r="Q88" s="1033"/>
      <c r="R88" s="1034" t="str">
        <f t="shared" si="5"/>
        <v/>
      </c>
      <c r="S88" s="1035"/>
      <c r="T88" s="1035"/>
      <c r="U88" s="1034" t="str">
        <f t="shared" si="6"/>
        <v/>
      </c>
      <c r="V88" s="1035"/>
      <c r="W88" s="1035"/>
      <c r="X88" s="1037" t="str">
        <f t="shared" si="12"/>
        <v>1</v>
      </c>
      <c r="Y88" s="1035"/>
      <c r="Z88" s="1035">
        <f t="shared" si="13"/>
        <v>1</v>
      </c>
      <c r="AA88" s="1035"/>
      <c r="AB88" s="1035"/>
      <c r="AC88" s="1021">
        <v>110302</v>
      </c>
      <c r="AD88" s="1021" t="s">
        <v>883</v>
      </c>
      <c r="AE88" s="1022">
        <v>0</v>
      </c>
      <c r="AF88" s="1022"/>
      <c r="AG88" s="1022">
        <f t="shared" si="14"/>
        <v>0</v>
      </c>
      <c r="AH88" s="1022">
        <f t="shared" si="15"/>
        <v>0</v>
      </c>
      <c r="AJ88" s="445"/>
      <c r="AK88" s="448"/>
      <c r="AL88" s="445"/>
    </row>
    <row r="89" spans="1:38" s="467" customFormat="1" ht="12.75" customHeight="1">
      <c r="A89" s="1033"/>
      <c r="B89" s="1033"/>
      <c r="C89" s="1034" t="str">
        <f t="shared" si="0"/>
        <v/>
      </c>
      <c r="D89" s="1033"/>
      <c r="E89" s="1033"/>
      <c r="F89" s="1034" t="str">
        <f t="shared" si="1"/>
        <v/>
      </c>
      <c r="G89" s="1033"/>
      <c r="H89" s="1033"/>
      <c r="I89" s="1034" t="str">
        <f t="shared" si="2"/>
        <v/>
      </c>
      <c r="J89" s="1033"/>
      <c r="K89" s="1033"/>
      <c r="L89" s="1034" t="str">
        <f t="shared" si="3"/>
        <v/>
      </c>
      <c r="M89" s="1035"/>
      <c r="N89" s="1035"/>
      <c r="O89" s="1036" t="str">
        <f t="shared" si="4"/>
        <v/>
      </c>
      <c r="P89" s="1033"/>
      <c r="Q89" s="1033"/>
      <c r="R89" s="1034" t="str">
        <f t="shared" si="5"/>
        <v/>
      </c>
      <c r="S89" s="1035"/>
      <c r="T89" s="1035"/>
      <c r="U89" s="1034" t="str">
        <f t="shared" si="6"/>
        <v/>
      </c>
      <c r="V89" s="1035"/>
      <c r="W89" s="1035"/>
      <c r="X89" s="1037" t="str">
        <f t="shared" si="12"/>
        <v>1</v>
      </c>
      <c r="Y89" s="1035"/>
      <c r="Z89" s="1035">
        <f t="shared" si="13"/>
        <v>1</v>
      </c>
      <c r="AA89" s="1035"/>
      <c r="AB89" s="1035"/>
      <c r="AC89" s="1021">
        <v>110303</v>
      </c>
      <c r="AD89" s="1021" t="s">
        <v>884</v>
      </c>
      <c r="AE89" s="1022">
        <v>0</v>
      </c>
      <c r="AF89" s="1022"/>
      <c r="AG89" s="1022">
        <f t="shared" si="14"/>
        <v>0</v>
      </c>
      <c r="AH89" s="1022">
        <f t="shared" si="15"/>
        <v>0</v>
      </c>
      <c r="AK89" s="448"/>
      <c r="AL89" s="445"/>
    </row>
    <row r="90" spans="1:38" s="467" customFormat="1" ht="12.75" customHeight="1">
      <c r="A90" s="1033">
        <v>5113000</v>
      </c>
      <c r="B90" s="1033" t="s">
        <v>2726</v>
      </c>
      <c r="C90" s="1034" t="str">
        <f t="shared" si="0"/>
        <v/>
      </c>
      <c r="D90" s="1033"/>
      <c r="E90" s="1033"/>
      <c r="F90" s="1034" t="str">
        <f t="shared" si="1"/>
        <v/>
      </c>
      <c r="G90" s="1033"/>
      <c r="H90" s="1033"/>
      <c r="I90" s="1034" t="str">
        <f t="shared" si="2"/>
        <v/>
      </c>
      <c r="J90" s="1033"/>
      <c r="K90" s="1033"/>
      <c r="L90" s="1034" t="str">
        <f t="shared" si="3"/>
        <v/>
      </c>
      <c r="M90" s="1035"/>
      <c r="N90" s="1035"/>
      <c r="O90" s="1036" t="str">
        <f t="shared" si="4"/>
        <v/>
      </c>
      <c r="P90" s="1033"/>
      <c r="Q90" s="1033"/>
      <c r="R90" s="1034" t="str">
        <f t="shared" si="5"/>
        <v/>
      </c>
      <c r="S90" s="1035"/>
      <c r="T90" s="1035"/>
      <c r="U90" s="1034" t="str">
        <f t="shared" si="6"/>
        <v/>
      </c>
      <c r="V90" s="1035"/>
      <c r="W90" s="1035"/>
      <c r="X90" s="1037" t="str">
        <f t="shared" si="12"/>
        <v>131</v>
      </c>
      <c r="Y90" s="1035">
        <v>13</v>
      </c>
      <c r="Z90" s="1035">
        <f t="shared" si="13"/>
        <v>1</v>
      </c>
      <c r="AA90" s="1033" t="s">
        <v>2998</v>
      </c>
      <c r="AB90" s="1033" t="s">
        <v>3000</v>
      </c>
      <c r="AC90" s="1021">
        <v>110401</v>
      </c>
      <c r="AD90" s="1021" t="s">
        <v>1942</v>
      </c>
      <c r="AE90" s="1022">
        <f>VLOOKUP(AC90,[5]Hoja1!$A$10:$K$1393,11,0)</f>
        <v>4577842053</v>
      </c>
      <c r="AF90" s="1022">
        <v>0</v>
      </c>
      <c r="AG90" s="1022">
        <f t="shared" si="14"/>
        <v>4577842053</v>
      </c>
      <c r="AH90" s="1022">
        <f t="shared" si="15"/>
        <v>4577842</v>
      </c>
      <c r="AK90" s="448"/>
      <c r="AL90" s="445"/>
    </row>
    <row r="91" spans="1:38" s="467" customFormat="1" ht="12.75" customHeight="1">
      <c r="A91" s="1033">
        <v>5113000</v>
      </c>
      <c r="B91" s="1033" t="s">
        <v>2726</v>
      </c>
      <c r="C91" s="1034"/>
      <c r="D91" s="1033"/>
      <c r="E91" s="1033"/>
      <c r="F91" s="1034"/>
      <c r="G91" s="1033"/>
      <c r="H91" s="1033"/>
      <c r="I91" s="1034"/>
      <c r="J91" s="1033"/>
      <c r="K91" s="1033"/>
      <c r="L91" s="1034"/>
      <c r="M91" s="1035"/>
      <c r="N91" s="1035"/>
      <c r="O91" s="1036"/>
      <c r="P91" s="1033"/>
      <c r="Q91" s="1033"/>
      <c r="R91" s="1034"/>
      <c r="S91" s="1035"/>
      <c r="T91" s="1035"/>
      <c r="U91" s="1034"/>
      <c r="V91" s="1035"/>
      <c r="W91" s="1035"/>
      <c r="X91" s="1037" t="str">
        <f t="shared" si="12"/>
        <v>131</v>
      </c>
      <c r="Y91" s="1035">
        <v>13</v>
      </c>
      <c r="Z91" s="1035">
        <f t="shared" si="13"/>
        <v>1</v>
      </c>
      <c r="AA91" s="1035"/>
      <c r="AB91" s="1035"/>
      <c r="AC91" s="1021">
        <v>110402</v>
      </c>
      <c r="AD91" s="1021" t="s">
        <v>689</v>
      </c>
      <c r="AE91" s="1022">
        <f>VLOOKUP(AC91,[5]Hoja1!$A$10:$K$1393,11,0)</f>
        <v>4329545707</v>
      </c>
      <c r="AF91" s="1022">
        <v>0</v>
      </c>
      <c r="AG91" s="1022">
        <f t="shared" si="14"/>
        <v>4329545707</v>
      </c>
      <c r="AH91" s="1022">
        <f t="shared" si="15"/>
        <v>4329546</v>
      </c>
      <c r="AK91" s="448"/>
      <c r="AL91" s="445"/>
    </row>
    <row r="92" spans="1:38" s="467" customFormat="1" ht="12.75" customHeight="1">
      <c r="A92" s="1033">
        <v>5113000</v>
      </c>
      <c r="B92" s="1033" t="s">
        <v>2726</v>
      </c>
      <c r="C92" s="1034" t="str">
        <f t="shared" si="0"/>
        <v/>
      </c>
      <c r="D92" s="1033"/>
      <c r="E92" s="1033"/>
      <c r="F92" s="1034" t="str">
        <f t="shared" si="1"/>
        <v/>
      </c>
      <c r="G92" s="1033"/>
      <c r="H92" s="1033"/>
      <c r="I92" s="1034" t="str">
        <f t="shared" si="2"/>
        <v/>
      </c>
      <c r="J92" s="1033"/>
      <c r="K92" s="1033"/>
      <c r="L92" s="1034" t="str">
        <f t="shared" si="3"/>
        <v/>
      </c>
      <c r="M92" s="1035"/>
      <c r="N92" s="1035"/>
      <c r="O92" s="1036" t="str">
        <f t="shared" si="4"/>
        <v/>
      </c>
      <c r="P92" s="1033"/>
      <c r="Q92" s="1033"/>
      <c r="R92" s="1034" t="str">
        <f t="shared" si="5"/>
        <v/>
      </c>
      <c r="S92" s="1035"/>
      <c r="T92" s="1035"/>
      <c r="U92" s="1034" t="str">
        <f t="shared" si="6"/>
        <v/>
      </c>
      <c r="V92" s="1035"/>
      <c r="W92" s="1035"/>
      <c r="X92" s="1037" t="str">
        <f t="shared" si="12"/>
        <v>131</v>
      </c>
      <c r="Y92" s="1035">
        <v>13</v>
      </c>
      <c r="Z92" s="1035">
        <f t="shared" si="13"/>
        <v>1</v>
      </c>
      <c r="AA92" s="1035"/>
      <c r="AB92" s="1035"/>
      <c r="AC92" s="1021">
        <v>110501</v>
      </c>
      <c r="AD92" s="1021" t="s">
        <v>909</v>
      </c>
      <c r="AE92" s="1022">
        <f>VLOOKUP(AC92,[5]Hoja1!$A$10:$K$1393,11,0)</f>
        <v>29117681111</v>
      </c>
      <c r="AF92" s="1022">
        <v>0</v>
      </c>
      <c r="AG92" s="1022">
        <f t="shared" si="14"/>
        <v>29117681111</v>
      </c>
      <c r="AH92" s="1022">
        <f t="shared" si="15"/>
        <v>29117681</v>
      </c>
      <c r="AI92" s="1053" t="s">
        <v>1805</v>
      </c>
      <c r="AK92" s="448"/>
      <c r="AL92" s="445"/>
    </row>
    <row r="93" spans="1:38" s="467" customFormat="1" ht="12.75" customHeight="1">
      <c r="A93" s="1033">
        <v>5113000</v>
      </c>
      <c r="B93" s="1033" t="s">
        <v>2726</v>
      </c>
      <c r="C93" s="1034" t="str">
        <f t="shared" si="0"/>
        <v/>
      </c>
      <c r="D93" s="1033"/>
      <c r="E93" s="1033"/>
      <c r="F93" s="1034" t="str">
        <f t="shared" si="1"/>
        <v/>
      </c>
      <c r="G93" s="1033"/>
      <c r="H93" s="1033"/>
      <c r="I93" s="1034" t="str">
        <f t="shared" si="2"/>
        <v/>
      </c>
      <c r="J93" s="1033"/>
      <c r="K93" s="1033"/>
      <c r="L93" s="1034" t="str">
        <f t="shared" si="3"/>
        <v/>
      </c>
      <c r="M93" s="1035"/>
      <c r="N93" s="1035"/>
      <c r="O93" s="1036" t="str">
        <f t="shared" si="4"/>
        <v/>
      </c>
      <c r="P93" s="1033"/>
      <c r="Q93" s="1033"/>
      <c r="R93" s="1034" t="str">
        <f t="shared" si="5"/>
        <v/>
      </c>
      <c r="S93" s="1035"/>
      <c r="T93" s="1035"/>
      <c r="U93" s="1034" t="str">
        <f t="shared" si="6"/>
        <v/>
      </c>
      <c r="V93" s="1035"/>
      <c r="W93" s="1035"/>
      <c r="X93" s="1037" t="str">
        <f t="shared" si="12"/>
        <v>131</v>
      </c>
      <c r="Y93" s="1035">
        <v>13</v>
      </c>
      <c r="Z93" s="1035">
        <f t="shared" si="13"/>
        <v>1</v>
      </c>
      <c r="AA93" s="1035"/>
      <c r="AB93" s="1035"/>
      <c r="AC93" s="1021">
        <v>110502</v>
      </c>
      <c r="AD93" s="1021" t="s">
        <v>1476</v>
      </c>
      <c r="AE93" s="1022">
        <f>VLOOKUP(AC93,[5]Hoja1!$A$10:$K$1393,11,0)</f>
        <v>315826233</v>
      </c>
      <c r="AF93" s="1022">
        <v>0</v>
      </c>
      <c r="AG93" s="1022">
        <f t="shared" si="14"/>
        <v>315826233</v>
      </c>
      <c r="AH93" s="1022">
        <f t="shared" si="15"/>
        <v>315826</v>
      </c>
      <c r="AI93" s="1053" t="s">
        <v>1805</v>
      </c>
      <c r="AK93" s="448"/>
      <c r="AL93" s="445"/>
    </row>
    <row r="94" spans="1:38" s="467" customFormat="1" ht="12.75" customHeight="1">
      <c r="A94" s="1033">
        <v>5113000</v>
      </c>
      <c r="B94" s="1033" t="s">
        <v>2726</v>
      </c>
      <c r="C94" s="1034" t="str">
        <f t="shared" si="0"/>
        <v/>
      </c>
      <c r="D94" s="1033"/>
      <c r="E94" s="1033"/>
      <c r="F94" s="1034" t="str">
        <f t="shared" si="1"/>
        <v/>
      </c>
      <c r="G94" s="1033"/>
      <c r="H94" s="1033"/>
      <c r="I94" s="1034" t="str">
        <f t="shared" si="2"/>
        <v/>
      </c>
      <c r="J94" s="1033"/>
      <c r="K94" s="1033"/>
      <c r="L94" s="1034" t="str">
        <f t="shared" si="3"/>
        <v/>
      </c>
      <c r="M94" s="1035"/>
      <c r="N94" s="1035"/>
      <c r="O94" s="1036" t="str">
        <f t="shared" si="4"/>
        <v/>
      </c>
      <c r="P94" s="1033"/>
      <c r="Q94" s="1033"/>
      <c r="R94" s="1034" t="str">
        <f t="shared" si="5"/>
        <v/>
      </c>
      <c r="S94" s="1035"/>
      <c r="T94" s="1035"/>
      <c r="U94" s="1034" t="str">
        <f t="shared" si="6"/>
        <v/>
      </c>
      <c r="V94" s="1035"/>
      <c r="W94" s="1035"/>
      <c r="X94" s="1037" t="str">
        <f t="shared" si="12"/>
        <v>131</v>
      </c>
      <c r="Y94" s="1035">
        <v>13</v>
      </c>
      <c r="Z94" s="1035">
        <f t="shared" si="13"/>
        <v>1</v>
      </c>
      <c r="AA94" s="1033" t="s">
        <v>2998</v>
      </c>
      <c r="AB94" s="1033" t="s">
        <v>2999</v>
      </c>
      <c r="AC94" s="1021">
        <v>110503</v>
      </c>
      <c r="AD94" s="1021" t="s">
        <v>1477</v>
      </c>
      <c r="AE94" s="1022">
        <f>VLOOKUP(AC94,[5]Hoja1!$A$10:$K$1393,11,0)</f>
        <v>82428830268</v>
      </c>
      <c r="AF94" s="1427">
        <f>-AF96</f>
        <v>1756278228</v>
      </c>
      <c r="AG94" s="1022">
        <f>AE94+AF94</f>
        <v>84185108496</v>
      </c>
      <c r="AH94" s="1022">
        <f t="shared" si="15"/>
        <v>84185108</v>
      </c>
      <c r="AK94" s="448"/>
      <c r="AL94" s="445"/>
    </row>
    <row r="95" spans="1:38" s="467" customFormat="1" ht="12.75" customHeight="1">
      <c r="A95" s="1033">
        <v>5113000</v>
      </c>
      <c r="B95" s="1033" t="s">
        <v>2726</v>
      </c>
      <c r="C95" s="1034" t="str">
        <f t="shared" si="0"/>
        <v/>
      </c>
      <c r="D95" s="1033"/>
      <c r="E95" s="1033"/>
      <c r="F95" s="1034" t="str">
        <f t="shared" si="1"/>
        <v/>
      </c>
      <c r="G95" s="1033"/>
      <c r="H95" s="1033"/>
      <c r="I95" s="1034" t="str">
        <f t="shared" si="2"/>
        <v/>
      </c>
      <c r="J95" s="1033"/>
      <c r="K95" s="1033"/>
      <c r="L95" s="1034" t="str">
        <f t="shared" si="3"/>
        <v/>
      </c>
      <c r="M95" s="1035"/>
      <c r="N95" s="1035"/>
      <c r="O95" s="1036" t="str">
        <f t="shared" si="4"/>
        <v/>
      </c>
      <c r="P95" s="1033"/>
      <c r="Q95" s="1033"/>
      <c r="R95" s="1034" t="str">
        <f t="shared" si="5"/>
        <v/>
      </c>
      <c r="S95" s="1035"/>
      <c r="T95" s="1035"/>
      <c r="U95" s="1034" t="str">
        <f t="shared" si="6"/>
        <v/>
      </c>
      <c r="V95" s="1035"/>
      <c r="W95" s="1035"/>
      <c r="X95" s="1037" t="str">
        <f t="shared" si="12"/>
        <v>131</v>
      </c>
      <c r="Y95" s="1035">
        <v>13</v>
      </c>
      <c r="Z95" s="1035">
        <f t="shared" si="13"/>
        <v>1</v>
      </c>
      <c r="AA95" s="1033" t="s">
        <v>2998</v>
      </c>
      <c r="AB95" s="1033" t="s">
        <v>2999</v>
      </c>
      <c r="AC95" s="1021">
        <v>110504</v>
      </c>
      <c r="AD95" s="1021" t="s">
        <v>1478</v>
      </c>
      <c r="AE95" s="1022">
        <f>VLOOKUP(AC95,[5]Hoja1!$A$10:$K$1393,11,0)</f>
        <v>74295146706</v>
      </c>
      <c r="AF95" s="1022">
        <v>0</v>
      </c>
      <c r="AG95" s="1022">
        <f t="shared" si="14"/>
        <v>74295146706</v>
      </c>
      <c r="AH95" s="1022">
        <f t="shared" si="15"/>
        <v>74295147</v>
      </c>
      <c r="AI95" s="1053" t="s">
        <v>1805</v>
      </c>
      <c r="AJ95" s="445"/>
      <c r="AK95" s="448"/>
      <c r="AL95" s="445"/>
    </row>
    <row r="96" spans="1:38" s="467" customFormat="1" ht="12.75" customHeight="1">
      <c r="A96" s="1033">
        <v>5113000</v>
      </c>
      <c r="B96" s="1033" t="s">
        <v>2726</v>
      </c>
      <c r="C96" s="1034" t="str">
        <f t="shared" si="0"/>
        <v/>
      </c>
      <c r="D96" s="1033"/>
      <c r="E96" s="1033"/>
      <c r="F96" s="1034" t="str">
        <f t="shared" si="1"/>
        <v/>
      </c>
      <c r="G96" s="1033"/>
      <c r="H96" s="1033"/>
      <c r="I96" s="1034" t="str">
        <f t="shared" si="2"/>
        <v/>
      </c>
      <c r="J96" s="1033"/>
      <c r="K96" s="1033"/>
      <c r="L96" s="1034" t="str">
        <f t="shared" si="3"/>
        <v/>
      </c>
      <c r="M96" s="1035"/>
      <c r="N96" s="1035"/>
      <c r="O96" s="1036" t="str">
        <f t="shared" si="4"/>
        <v/>
      </c>
      <c r="P96" s="1033"/>
      <c r="Q96" s="1033"/>
      <c r="R96" s="1034" t="str">
        <f t="shared" si="5"/>
        <v/>
      </c>
      <c r="S96" s="1035"/>
      <c r="T96" s="1035"/>
      <c r="U96" s="1034" t="str">
        <f t="shared" si="6"/>
        <v/>
      </c>
      <c r="V96" s="1035"/>
      <c r="W96" s="1035"/>
      <c r="X96" s="1037" t="str">
        <f t="shared" si="12"/>
        <v>131</v>
      </c>
      <c r="Y96" s="1035">
        <v>13</v>
      </c>
      <c r="Z96" s="1035">
        <f t="shared" si="13"/>
        <v>1</v>
      </c>
      <c r="AA96" s="1035"/>
      <c r="AB96" s="1035"/>
      <c r="AC96" s="1021">
        <v>110505</v>
      </c>
      <c r="AD96" s="1021" t="s">
        <v>1943</v>
      </c>
      <c r="AE96" s="1022">
        <f>VLOOKUP(AC96,[5]Hoja1!$A$10:$K$1393,11,0)</f>
        <v>595323872430</v>
      </c>
      <c r="AF96" s="1188">
        <f>-1756278228</f>
        <v>-1756278228</v>
      </c>
      <c r="AG96" s="1022">
        <f t="shared" si="14"/>
        <v>593567594202</v>
      </c>
      <c r="AH96" s="1022">
        <f t="shared" si="15"/>
        <v>593567594</v>
      </c>
      <c r="AK96" s="448"/>
      <c r="AL96" s="445"/>
    </row>
    <row r="97" spans="1:38" s="467" customFormat="1" ht="12.75" customHeight="1">
      <c r="A97" s="1033">
        <v>5113000</v>
      </c>
      <c r="B97" s="1033" t="s">
        <v>2726</v>
      </c>
      <c r="C97" s="1034" t="str">
        <f t="shared" si="0"/>
        <v/>
      </c>
      <c r="D97" s="1033"/>
      <c r="E97" s="1033"/>
      <c r="F97" s="1034" t="str">
        <f t="shared" si="1"/>
        <v/>
      </c>
      <c r="G97" s="1033"/>
      <c r="H97" s="1033"/>
      <c r="I97" s="1034" t="str">
        <f t="shared" si="2"/>
        <v/>
      </c>
      <c r="J97" s="1033"/>
      <c r="K97" s="1033"/>
      <c r="L97" s="1034" t="str">
        <f t="shared" si="3"/>
        <v/>
      </c>
      <c r="M97" s="1035"/>
      <c r="N97" s="1035"/>
      <c r="O97" s="1036" t="str">
        <f t="shared" si="4"/>
        <v/>
      </c>
      <c r="P97" s="1033"/>
      <c r="Q97" s="1033"/>
      <c r="R97" s="1034" t="str">
        <f t="shared" si="5"/>
        <v/>
      </c>
      <c r="S97" s="1035"/>
      <c r="T97" s="1035"/>
      <c r="U97" s="1034" t="str">
        <f t="shared" si="6"/>
        <v/>
      </c>
      <c r="V97" s="1035"/>
      <c r="W97" s="1035"/>
      <c r="X97" s="1037" t="str">
        <f t="shared" si="12"/>
        <v>131</v>
      </c>
      <c r="Y97" s="1035">
        <v>13</v>
      </c>
      <c r="Z97" s="1035">
        <f t="shared" si="13"/>
        <v>1</v>
      </c>
      <c r="AA97" s="1033" t="s">
        <v>2998</v>
      </c>
      <c r="AB97" s="1033" t="s">
        <v>2999</v>
      </c>
      <c r="AC97" s="1021">
        <v>110506</v>
      </c>
      <c r="AD97" s="1021" t="s">
        <v>1400</v>
      </c>
      <c r="AE97" s="1022">
        <f>VLOOKUP(AC97,[5]Hoja1!$A$10:$K$1393,11,0)</f>
        <v>2442902894</v>
      </c>
      <c r="AF97" s="1022">
        <v>0</v>
      </c>
      <c r="AG97" s="1022">
        <f t="shared" si="14"/>
        <v>2442902894</v>
      </c>
      <c r="AH97" s="1022">
        <f t="shared" si="15"/>
        <v>2442903</v>
      </c>
      <c r="AK97" s="448"/>
      <c r="AL97" s="445"/>
    </row>
    <row r="98" spans="1:38" s="467" customFormat="1" ht="12.75" customHeight="1">
      <c r="A98" s="1033">
        <v>5113000</v>
      </c>
      <c r="B98" s="1033" t="s">
        <v>2726</v>
      </c>
      <c r="C98" s="1034" t="str">
        <f t="shared" si="0"/>
        <v/>
      </c>
      <c r="D98" s="1033"/>
      <c r="E98" s="1033"/>
      <c r="F98" s="1034" t="str">
        <f t="shared" si="1"/>
        <v/>
      </c>
      <c r="G98" s="1033"/>
      <c r="H98" s="1033"/>
      <c r="I98" s="1034" t="str">
        <f t="shared" si="2"/>
        <v/>
      </c>
      <c r="J98" s="1033"/>
      <c r="K98" s="1033"/>
      <c r="L98" s="1034" t="str">
        <f t="shared" si="3"/>
        <v/>
      </c>
      <c r="M98" s="1035"/>
      <c r="N98" s="1035"/>
      <c r="O98" s="1036" t="str">
        <f t="shared" si="4"/>
        <v/>
      </c>
      <c r="P98" s="1033"/>
      <c r="Q98" s="1033"/>
      <c r="R98" s="1034" t="str">
        <f t="shared" si="5"/>
        <v/>
      </c>
      <c r="S98" s="1035"/>
      <c r="T98" s="1035"/>
      <c r="U98" s="1034" t="str">
        <f t="shared" si="6"/>
        <v/>
      </c>
      <c r="V98" s="1035"/>
      <c r="W98" s="1035"/>
      <c r="X98" s="1037" t="str">
        <f t="shared" si="12"/>
        <v>131</v>
      </c>
      <c r="Y98" s="1035">
        <v>13</v>
      </c>
      <c r="Z98" s="1035">
        <f t="shared" si="13"/>
        <v>1</v>
      </c>
      <c r="AA98" s="1035"/>
      <c r="AB98" s="1035"/>
      <c r="AC98" s="1021">
        <v>110507</v>
      </c>
      <c r="AD98" s="1021" t="s">
        <v>1401</v>
      </c>
      <c r="AE98" s="1022">
        <f>VLOOKUP(AC98,[5]Hoja1!$A$10:$K$1393,11,0)</f>
        <v>302797341527</v>
      </c>
      <c r="AF98" s="1022">
        <v>0</v>
      </c>
      <c r="AG98" s="1022">
        <f t="shared" si="14"/>
        <v>302797341527</v>
      </c>
      <c r="AH98" s="1187">
        <f t="shared" si="15"/>
        <v>302797342</v>
      </c>
      <c r="AK98" s="448"/>
      <c r="AL98" s="445"/>
    </row>
    <row r="99" spans="1:38" s="467" customFormat="1" ht="12.75" customHeight="1">
      <c r="A99" s="1033">
        <v>5113000</v>
      </c>
      <c r="B99" s="1033" t="s">
        <v>2726</v>
      </c>
      <c r="C99" s="1034" t="str">
        <f t="shared" si="0"/>
        <v/>
      </c>
      <c r="D99" s="1033"/>
      <c r="E99" s="1033"/>
      <c r="F99" s="1034" t="str">
        <f t="shared" si="1"/>
        <v/>
      </c>
      <c r="G99" s="1033"/>
      <c r="H99" s="1033"/>
      <c r="I99" s="1034" t="str">
        <f t="shared" si="2"/>
        <v/>
      </c>
      <c r="J99" s="1033"/>
      <c r="K99" s="1033"/>
      <c r="L99" s="1034" t="str">
        <f t="shared" si="3"/>
        <v/>
      </c>
      <c r="M99" s="1035"/>
      <c r="N99" s="1035"/>
      <c r="O99" s="1036" t="str">
        <f t="shared" si="4"/>
        <v/>
      </c>
      <c r="P99" s="1033"/>
      <c r="Q99" s="1033"/>
      <c r="R99" s="1034" t="str">
        <f t="shared" si="5"/>
        <v/>
      </c>
      <c r="S99" s="1035"/>
      <c r="T99" s="1035"/>
      <c r="U99" s="1034" t="str">
        <f t="shared" si="6"/>
        <v/>
      </c>
      <c r="V99" s="1035"/>
      <c r="W99" s="1035"/>
      <c r="X99" s="1037" t="str">
        <f t="shared" si="12"/>
        <v>131</v>
      </c>
      <c r="Y99" s="1035">
        <v>13</v>
      </c>
      <c r="Z99" s="1035">
        <f t="shared" si="13"/>
        <v>1</v>
      </c>
      <c r="AA99" s="1035"/>
      <c r="AB99" s="1035"/>
      <c r="AC99" s="1021">
        <v>110508</v>
      </c>
      <c r="AD99" s="1021" t="s">
        <v>1402</v>
      </c>
      <c r="AE99" s="1022">
        <f>VLOOKUP(AC99,[5]Hoja1!$A$10:$K$1393,11,0)</f>
        <v>101613807</v>
      </c>
      <c r="AF99" s="1022">
        <v>0</v>
      </c>
      <c r="AG99" s="1022">
        <f t="shared" si="14"/>
        <v>101613807</v>
      </c>
      <c r="AH99" s="1189">
        <f t="shared" si="15"/>
        <v>101614</v>
      </c>
      <c r="AJ99" s="445"/>
      <c r="AK99" s="448"/>
      <c r="AL99" s="445"/>
    </row>
    <row r="100" spans="1:38" s="467" customFormat="1" ht="12.75" customHeight="1">
      <c r="A100" s="1033">
        <v>5113000</v>
      </c>
      <c r="B100" s="1033" t="s">
        <v>2726</v>
      </c>
      <c r="C100" s="1034" t="str">
        <f t="shared" si="0"/>
        <v/>
      </c>
      <c r="D100" s="1033"/>
      <c r="E100" s="1033"/>
      <c r="F100" s="1034" t="str">
        <f t="shared" si="1"/>
        <v/>
      </c>
      <c r="G100" s="1033"/>
      <c r="H100" s="1033"/>
      <c r="I100" s="1034" t="str">
        <f t="shared" si="2"/>
        <v/>
      </c>
      <c r="J100" s="1033"/>
      <c r="K100" s="1033"/>
      <c r="L100" s="1034" t="str">
        <f t="shared" si="3"/>
        <v/>
      </c>
      <c r="M100" s="1035"/>
      <c r="N100" s="1035"/>
      <c r="O100" s="1036" t="str">
        <f t="shared" si="4"/>
        <v/>
      </c>
      <c r="P100" s="1033"/>
      <c r="Q100" s="1033"/>
      <c r="R100" s="1034" t="str">
        <f t="shared" si="5"/>
        <v/>
      </c>
      <c r="S100" s="1035"/>
      <c r="T100" s="1035"/>
      <c r="U100" s="1034" t="str">
        <f t="shared" si="6"/>
        <v/>
      </c>
      <c r="V100" s="1035"/>
      <c r="W100" s="1035"/>
      <c r="X100" s="1037" t="str">
        <f t="shared" si="12"/>
        <v>131</v>
      </c>
      <c r="Y100" s="1035">
        <v>13</v>
      </c>
      <c r="Z100" s="1035">
        <f t="shared" si="13"/>
        <v>1</v>
      </c>
      <c r="AA100" s="1035"/>
      <c r="AB100" s="1035"/>
      <c r="AC100" s="1021">
        <v>110509</v>
      </c>
      <c r="AD100" s="1021" t="s">
        <v>76</v>
      </c>
      <c r="AE100" s="1022">
        <f>VLOOKUP(AC100,[5]Hoja1!$A$10:$K$1393,11,0)</f>
        <v>475986005</v>
      </c>
      <c r="AF100" s="1022">
        <v>0</v>
      </c>
      <c r="AG100" s="1022">
        <f t="shared" si="14"/>
        <v>475986005</v>
      </c>
      <c r="AH100" s="1189">
        <f t="shared" si="15"/>
        <v>475986</v>
      </c>
      <c r="AI100" s="445"/>
      <c r="AK100" s="448"/>
      <c r="AL100" s="445"/>
    </row>
    <row r="101" spans="1:38" s="467" customFormat="1" ht="12.75" customHeight="1">
      <c r="A101" s="1033">
        <v>5113000</v>
      </c>
      <c r="B101" s="1033" t="s">
        <v>2726</v>
      </c>
      <c r="C101" s="1034" t="str">
        <f t="shared" si="0"/>
        <v/>
      </c>
      <c r="D101" s="1033"/>
      <c r="E101" s="1033"/>
      <c r="F101" s="1034" t="str">
        <f t="shared" si="1"/>
        <v/>
      </c>
      <c r="G101" s="1033"/>
      <c r="H101" s="1033"/>
      <c r="I101" s="1034" t="str">
        <f t="shared" si="2"/>
        <v/>
      </c>
      <c r="J101" s="1033"/>
      <c r="K101" s="1033"/>
      <c r="L101" s="1034" t="str">
        <f t="shared" si="3"/>
        <v/>
      </c>
      <c r="M101" s="1035"/>
      <c r="N101" s="1035"/>
      <c r="O101" s="1036" t="str">
        <f t="shared" si="4"/>
        <v/>
      </c>
      <c r="P101" s="1033"/>
      <c r="Q101" s="1033"/>
      <c r="R101" s="1034" t="str">
        <f t="shared" si="5"/>
        <v/>
      </c>
      <c r="S101" s="1035"/>
      <c r="T101" s="1035"/>
      <c r="U101" s="1034" t="str">
        <f t="shared" si="6"/>
        <v/>
      </c>
      <c r="V101" s="1035"/>
      <c r="W101" s="1035"/>
      <c r="X101" s="1037" t="str">
        <f t="shared" si="12"/>
        <v>131</v>
      </c>
      <c r="Y101" s="1035">
        <v>13</v>
      </c>
      <c r="Z101" s="1035">
        <f t="shared" si="13"/>
        <v>1</v>
      </c>
      <c r="AA101" s="1035"/>
      <c r="AB101" s="1035"/>
      <c r="AC101" s="1021">
        <v>110510</v>
      </c>
      <c r="AD101" s="1021" t="s">
        <v>1944</v>
      </c>
      <c r="AE101" s="1022">
        <f>VLOOKUP(AC101,[5]Hoja1!$A$10:$K$1393,11,0)</f>
        <v>446517962</v>
      </c>
      <c r="AF101" s="1022"/>
      <c r="AG101" s="1022">
        <f t="shared" si="14"/>
        <v>446517962</v>
      </c>
      <c r="AH101" s="1189">
        <f t="shared" si="15"/>
        <v>446518</v>
      </c>
      <c r="AI101" s="445"/>
      <c r="AK101" s="448"/>
      <c r="AL101" s="445"/>
    </row>
    <row r="102" spans="1:38" s="467" customFormat="1" ht="12.75" customHeight="1">
      <c r="A102" s="1033">
        <v>5113000</v>
      </c>
      <c r="B102" s="1033" t="s">
        <v>2726</v>
      </c>
      <c r="C102" s="1034" t="str">
        <f t="shared" si="0"/>
        <v/>
      </c>
      <c r="D102" s="1033"/>
      <c r="E102" s="1033"/>
      <c r="F102" s="1034" t="str">
        <f t="shared" si="1"/>
        <v/>
      </c>
      <c r="G102" s="1033"/>
      <c r="H102" s="1033"/>
      <c r="I102" s="1034" t="str">
        <f t="shared" si="2"/>
        <v/>
      </c>
      <c r="J102" s="1033"/>
      <c r="K102" s="1033"/>
      <c r="L102" s="1034" t="str">
        <f t="shared" si="3"/>
        <v/>
      </c>
      <c r="M102" s="1035"/>
      <c r="N102" s="1035"/>
      <c r="O102" s="1036" t="str">
        <f t="shared" si="4"/>
        <v/>
      </c>
      <c r="P102" s="1033"/>
      <c r="Q102" s="1033"/>
      <c r="R102" s="1034" t="str">
        <f t="shared" si="5"/>
        <v/>
      </c>
      <c r="S102" s="1035"/>
      <c r="T102" s="1035"/>
      <c r="U102" s="1034" t="str">
        <f t="shared" si="6"/>
        <v/>
      </c>
      <c r="V102" s="1035"/>
      <c r="W102" s="1035"/>
      <c r="X102" s="1037" t="str">
        <f t="shared" si="12"/>
        <v>131</v>
      </c>
      <c r="Y102" s="1035">
        <v>13</v>
      </c>
      <c r="Z102" s="1035">
        <f t="shared" si="13"/>
        <v>1</v>
      </c>
      <c r="AA102" s="1035"/>
      <c r="AB102" s="1035"/>
      <c r="AC102" s="1021">
        <v>110511</v>
      </c>
      <c r="AD102" s="1021" t="s">
        <v>194</v>
      </c>
      <c r="AE102" s="1022">
        <f>VLOOKUP(AC102,[5]Hoja1!$A$10:$K$1393,11,0)</f>
        <v>46426580032</v>
      </c>
      <c r="AF102" s="1191">
        <v>1592934885</v>
      </c>
      <c r="AG102" s="1022">
        <f t="shared" si="14"/>
        <v>48019514917</v>
      </c>
      <c r="AH102" s="1189">
        <f t="shared" si="15"/>
        <v>48019515</v>
      </c>
      <c r="AK102" s="448"/>
      <c r="AL102" s="445"/>
    </row>
    <row r="103" spans="1:38" s="467" customFormat="1" ht="12.75" customHeight="1">
      <c r="A103" s="1033">
        <v>5122000</v>
      </c>
      <c r="B103" s="1033" t="s">
        <v>2735</v>
      </c>
      <c r="C103" s="1034" t="str">
        <f t="shared" si="0"/>
        <v/>
      </c>
      <c r="D103" s="1033"/>
      <c r="E103" s="1033"/>
      <c r="F103" s="1034" t="str">
        <f t="shared" si="1"/>
        <v/>
      </c>
      <c r="G103" s="1033"/>
      <c r="H103" s="1033"/>
      <c r="I103" s="1034" t="str">
        <f t="shared" si="2"/>
        <v/>
      </c>
      <c r="J103" s="1033"/>
      <c r="K103" s="1033"/>
      <c r="L103" s="1034" t="str">
        <f t="shared" si="3"/>
        <v/>
      </c>
      <c r="M103" s="1035"/>
      <c r="N103" s="1035"/>
      <c r="O103" s="1036" t="str">
        <f t="shared" si="4"/>
        <v/>
      </c>
      <c r="P103" s="1033"/>
      <c r="Q103" s="1033"/>
      <c r="R103" s="1034" t="str">
        <f t="shared" si="5"/>
        <v/>
      </c>
      <c r="S103" s="1035"/>
      <c r="T103" s="1035"/>
      <c r="U103" s="1034" t="str">
        <f t="shared" si="6"/>
        <v/>
      </c>
      <c r="V103" s="1035"/>
      <c r="W103" s="1035"/>
      <c r="X103" s="1037" t="str">
        <f t="shared" si="12"/>
        <v>81</v>
      </c>
      <c r="Y103" s="1035">
        <v>8</v>
      </c>
      <c r="Z103" s="1035">
        <f t="shared" si="13"/>
        <v>1</v>
      </c>
      <c r="AA103" s="1035"/>
      <c r="AB103" s="1035"/>
      <c r="AC103" s="1021">
        <v>110512</v>
      </c>
      <c r="AD103" s="1021" t="s">
        <v>828</v>
      </c>
      <c r="AE103" s="1022">
        <f>VLOOKUP(AC103,[5]Hoja1!$A$10:$K$1393,11,0)</f>
        <v>115304106535</v>
      </c>
      <c r="AF103" s="1022">
        <v>0</v>
      </c>
      <c r="AG103" s="1022">
        <f t="shared" si="14"/>
        <v>115304106535</v>
      </c>
      <c r="AH103" s="1022">
        <f t="shared" si="15"/>
        <v>115304107</v>
      </c>
      <c r="AK103" s="448"/>
      <c r="AL103" s="445"/>
    </row>
    <row r="104" spans="1:38" s="467" customFormat="1" ht="12.75" customHeight="1">
      <c r="A104" s="1033">
        <v>5113000</v>
      </c>
      <c r="B104" s="1033" t="s">
        <v>2726</v>
      </c>
      <c r="C104" s="1034" t="str">
        <f t="shared" si="0"/>
        <v/>
      </c>
      <c r="D104" s="1033"/>
      <c r="E104" s="1033"/>
      <c r="F104" s="1034" t="str">
        <f t="shared" si="1"/>
        <v/>
      </c>
      <c r="G104" s="1033"/>
      <c r="H104" s="1033"/>
      <c r="I104" s="1034" t="str">
        <f t="shared" si="2"/>
        <v/>
      </c>
      <c r="J104" s="1033"/>
      <c r="K104" s="1033"/>
      <c r="L104" s="1034" t="str">
        <f t="shared" si="3"/>
        <v/>
      </c>
      <c r="M104" s="1035"/>
      <c r="N104" s="1035"/>
      <c r="O104" s="1036" t="str">
        <f t="shared" si="4"/>
        <v/>
      </c>
      <c r="P104" s="1033"/>
      <c r="Q104" s="1033"/>
      <c r="R104" s="1034" t="str">
        <f t="shared" si="5"/>
        <v/>
      </c>
      <c r="S104" s="1035"/>
      <c r="T104" s="1035"/>
      <c r="U104" s="1034" t="str">
        <f t="shared" si="6"/>
        <v/>
      </c>
      <c r="V104" s="1035"/>
      <c r="W104" s="1035"/>
      <c r="X104" s="1037"/>
      <c r="Y104" s="1035"/>
      <c r="Z104" s="1035">
        <f t="shared" si="13"/>
        <v>1</v>
      </c>
      <c r="AA104" s="1033" t="s">
        <v>2998</v>
      </c>
      <c r="AB104" s="1033" t="s">
        <v>2999</v>
      </c>
      <c r="AC104" s="1021">
        <v>110513</v>
      </c>
      <c r="AD104" s="1021" t="s">
        <v>195</v>
      </c>
      <c r="AE104" s="1022">
        <f>VLOOKUP(AC104,[5]Hoja1!$A$10:$K$1393,11,0)</f>
        <v>0</v>
      </c>
      <c r="AF104" s="1428">
        <f>-AF105</f>
        <v>39872664288</v>
      </c>
      <c r="AG104" s="1022">
        <f t="shared" si="14"/>
        <v>39872664288</v>
      </c>
      <c r="AH104" s="1022">
        <f t="shared" si="15"/>
        <v>39872664</v>
      </c>
      <c r="AJ104" s="1221" t="s">
        <v>1805</v>
      </c>
      <c r="AK104" s="448"/>
      <c r="AL104" s="445"/>
    </row>
    <row r="105" spans="1:38" s="467" customFormat="1" ht="12.75" customHeight="1">
      <c r="A105" s="1033">
        <v>5113000</v>
      </c>
      <c r="B105" s="1033" t="s">
        <v>2726</v>
      </c>
      <c r="C105" s="1034" t="str">
        <f t="shared" ref="C105:C219" si="16">+D105&amp;E105</f>
        <v/>
      </c>
      <c r="D105" s="1033"/>
      <c r="E105" s="1033"/>
      <c r="F105" s="1034" t="str">
        <f t="shared" ref="F105:F219" si="17">+G105&amp;H105</f>
        <v/>
      </c>
      <c r="G105" s="1033"/>
      <c r="H105" s="1033"/>
      <c r="I105" s="1034" t="str">
        <f t="shared" ref="I105:I219" si="18">+J105&amp;K105</f>
        <v/>
      </c>
      <c r="J105" s="1033"/>
      <c r="K105" s="1033"/>
      <c r="L105" s="1034" t="str">
        <f t="shared" ref="L105:L219" si="19">+M105&amp;N105</f>
        <v/>
      </c>
      <c r="M105" s="1035"/>
      <c r="N105" s="1035"/>
      <c r="O105" s="1036" t="str">
        <f t="shared" ref="O105:O219" si="20">+P105&amp;Q105</f>
        <v/>
      </c>
      <c r="P105" s="1033"/>
      <c r="Q105" s="1033"/>
      <c r="R105" s="1034" t="str">
        <f t="shared" ref="R105:R219" si="21">+S105&amp;T105</f>
        <v/>
      </c>
      <c r="S105" s="1035"/>
      <c r="T105" s="1035"/>
      <c r="U105" s="1034" t="str">
        <f t="shared" ref="U105:U219" si="22">+V105&amp;W105</f>
        <v/>
      </c>
      <c r="V105" s="1035"/>
      <c r="W105" s="1035"/>
      <c r="X105" s="1037" t="str">
        <f t="shared" ref="X105:X110" si="23">+Y105&amp;Z105</f>
        <v>1</v>
      </c>
      <c r="Y105" s="1035"/>
      <c r="Z105" s="1035">
        <f t="shared" si="13"/>
        <v>1</v>
      </c>
      <c r="AA105" s="1035"/>
      <c r="AB105" s="1035"/>
      <c r="AC105" s="1021">
        <v>110514</v>
      </c>
      <c r="AD105" s="1021" t="s">
        <v>1945</v>
      </c>
      <c r="AE105" s="1022">
        <f>VLOOKUP(AC105,[5]Hoja1!$A$10:$K$1393,11,0)</f>
        <v>128406776119</v>
      </c>
      <c r="AF105" s="1188">
        <v>-39872664288</v>
      </c>
      <c r="AG105" s="1022">
        <f t="shared" si="14"/>
        <v>88534111831</v>
      </c>
      <c r="AH105" s="1022">
        <f t="shared" si="15"/>
        <v>88534112</v>
      </c>
      <c r="AI105" s="445"/>
      <c r="AK105" s="448"/>
      <c r="AL105" s="445"/>
    </row>
    <row r="106" spans="1:38" s="467" customFormat="1" ht="12.75" customHeight="1">
      <c r="A106" s="1033">
        <v>5113000</v>
      </c>
      <c r="B106" s="1033" t="s">
        <v>2726</v>
      </c>
      <c r="C106" s="1034" t="str">
        <f t="shared" si="16"/>
        <v/>
      </c>
      <c r="D106" s="1033"/>
      <c r="E106" s="1033"/>
      <c r="F106" s="1034" t="str">
        <f t="shared" si="17"/>
        <v/>
      </c>
      <c r="G106" s="1033"/>
      <c r="H106" s="1033"/>
      <c r="I106" s="1034" t="str">
        <f t="shared" si="18"/>
        <v/>
      </c>
      <c r="J106" s="1033"/>
      <c r="K106" s="1033"/>
      <c r="L106" s="1034" t="str">
        <f t="shared" si="19"/>
        <v/>
      </c>
      <c r="M106" s="1035"/>
      <c r="N106" s="1035"/>
      <c r="O106" s="1036" t="str">
        <f t="shared" si="20"/>
        <v/>
      </c>
      <c r="P106" s="1033"/>
      <c r="Q106" s="1033"/>
      <c r="R106" s="1034" t="str">
        <f t="shared" si="21"/>
        <v/>
      </c>
      <c r="S106" s="1035"/>
      <c r="T106" s="1035"/>
      <c r="U106" s="1034" t="str">
        <f t="shared" si="22"/>
        <v/>
      </c>
      <c r="V106" s="1035"/>
      <c r="W106" s="1035"/>
      <c r="X106" s="1037" t="str">
        <f t="shared" si="23"/>
        <v>301</v>
      </c>
      <c r="Y106" s="1035">
        <v>30</v>
      </c>
      <c r="Z106" s="1035">
        <f t="shared" si="13"/>
        <v>1</v>
      </c>
      <c r="AA106" s="1035"/>
      <c r="AB106" s="1035"/>
      <c r="AC106" s="1021">
        <v>110515</v>
      </c>
      <c r="AD106" s="1021" t="s">
        <v>1752</v>
      </c>
      <c r="AE106" s="1022">
        <f>VLOOKUP(AC106,[5]Hoja1!$A$10:$K$1393,11,0)</f>
        <v>11520380112</v>
      </c>
      <c r="AF106" s="1022">
        <v>0</v>
      </c>
      <c r="AG106" s="1022">
        <f t="shared" si="14"/>
        <v>11520380112</v>
      </c>
      <c r="AH106" s="1022">
        <f t="shared" si="15"/>
        <v>11520380</v>
      </c>
      <c r="AI106" s="445"/>
      <c r="AK106" s="448"/>
      <c r="AL106" s="445"/>
    </row>
    <row r="107" spans="1:38" s="467" customFormat="1" ht="12.75" customHeight="1">
      <c r="A107" s="1033">
        <v>5114100</v>
      </c>
      <c r="B107" s="1033" t="s">
        <v>2727</v>
      </c>
      <c r="C107" s="1034" t="str">
        <f t="shared" si="16"/>
        <v/>
      </c>
      <c r="D107" s="1033"/>
      <c r="E107" s="1033"/>
      <c r="F107" s="1034" t="str">
        <f t="shared" si="17"/>
        <v/>
      </c>
      <c r="G107" s="1033"/>
      <c r="H107" s="1033"/>
      <c r="I107" s="1034" t="str">
        <f t="shared" si="18"/>
        <v/>
      </c>
      <c r="J107" s="1033"/>
      <c r="K107" s="1033"/>
      <c r="L107" s="1034" t="str">
        <f t="shared" si="19"/>
        <v/>
      </c>
      <c r="M107" s="1035"/>
      <c r="N107" s="1035"/>
      <c r="O107" s="1036" t="str">
        <f t="shared" si="20"/>
        <v/>
      </c>
      <c r="P107" s="1033"/>
      <c r="Q107" s="1033"/>
      <c r="R107" s="1034" t="str">
        <f t="shared" si="21"/>
        <v/>
      </c>
      <c r="S107" s="1035"/>
      <c r="T107" s="1035"/>
      <c r="U107" s="1034" t="str">
        <f t="shared" si="22"/>
        <v/>
      </c>
      <c r="V107" s="1035"/>
      <c r="W107" s="1035"/>
      <c r="X107" s="1037" t="str">
        <f t="shared" si="23"/>
        <v>1</v>
      </c>
      <c r="Y107" s="1035"/>
      <c r="Z107" s="1035">
        <f t="shared" si="13"/>
        <v>1</v>
      </c>
      <c r="AA107" s="1035"/>
      <c r="AB107" s="1035"/>
      <c r="AC107" s="1021">
        <v>110516</v>
      </c>
      <c r="AD107" s="1021" t="s">
        <v>1753</v>
      </c>
      <c r="AE107" s="1022">
        <f>VLOOKUP(AC107,[5]Hoja1!$A$10:$K$1393,11,0)</f>
        <v>3332716513</v>
      </c>
      <c r="AF107" s="1022"/>
      <c r="AG107" s="1022">
        <f t="shared" si="14"/>
        <v>3332716513</v>
      </c>
      <c r="AH107" s="1022">
        <f t="shared" si="15"/>
        <v>3332717</v>
      </c>
      <c r="AK107" s="448"/>
      <c r="AL107" s="445"/>
    </row>
    <row r="108" spans="1:38" s="467" customFormat="1" ht="12.75" customHeight="1">
      <c r="A108" s="1033">
        <v>5113000</v>
      </c>
      <c r="B108" s="1033" t="s">
        <v>2726</v>
      </c>
      <c r="C108" s="1034" t="str">
        <f t="shared" si="16"/>
        <v/>
      </c>
      <c r="D108" s="1033"/>
      <c r="E108" s="1033"/>
      <c r="F108" s="1034" t="str">
        <f t="shared" si="17"/>
        <v/>
      </c>
      <c r="G108" s="1033"/>
      <c r="H108" s="1033"/>
      <c r="I108" s="1034" t="str">
        <f t="shared" si="18"/>
        <v/>
      </c>
      <c r="J108" s="1033"/>
      <c r="K108" s="1033"/>
      <c r="L108" s="1034" t="str">
        <f t="shared" si="19"/>
        <v/>
      </c>
      <c r="M108" s="1035"/>
      <c r="N108" s="1035"/>
      <c r="O108" s="1036" t="str">
        <f t="shared" si="20"/>
        <v/>
      </c>
      <c r="P108" s="1033"/>
      <c r="Q108" s="1033"/>
      <c r="R108" s="1034" t="str">
        <f t="shared" si="21"/>
        <v/>
      </c>
      <c r="S108" s="1035"/>
      <c r="T108" s="1035"/>
      <c r="U108" s="1034" t="str">
        <f t="shared" si="22"/>
        <v/>
      </c>
      <c r="V108" s="1035"/>
      <c r="W108" s="1035"/>
      <c r="X108" s="1037" t="str">
        <f t="shared" si="23"/>
        <v>131</v>
      </c>
      <c r="Y108" s="1035">
        <v>13</v>
      </c>
      <c r="Z108" s="1035">
        <f t="shared" si="13"/>
        <v>1</v>
      </c>
      <c r="AA108" s="1035"/>
      <c r="AB108" s="1035"/>
      <c r="AC108" s="1021">
        <v>110517</v>
      </c>
      <c r="AD108" s="1021" t="s">
        <v>1754</v>
      </c>
      <c r="AE108" s="1022">
        <f>VLOOKUP(AC108,[5]Hoja1!$A$10:$K$1393,11,0)</f>
        <v>57113184413</v>
      </c>
      <c r="AF108" s="1191">
        <v>-1019157265</v>
      </c>
      <c r="AG108" s="1022">
        <f t="shared" si="14"/>
        <v>56094027148</v>
      </c>
      <c r="AH108" s="1022">
        <f t="shared" si="15"/>
        <v>56094027</v>
      </c>
      <c r="AI108" s="1221" t="s">
        <v>1805</v>
      </c>
      <c r="AJ108" s="445"/>
      <c r="AK108" s="448"/>
      <c r="AL108" s="445"/>
    </row>
    <row r="109" spans="1:38" s="467" customFormat="1" ht="12.75" customHeight="1">
      <c r="A109" s="1033">
        <v>5113000</v>
      </c>
      <c r="B109" s="1033" t="s">
        <v>2726</v>
      </c>
      <c r="C109" s="1034" t="str">
        <f t="shared" si="16"/>
        <v/>
      </c>
      <c r="D109" s="1033"/>
      <c r="E109" s="1033"/>
      <c r="F109" s="1034" t="str">
        <f t="shared" si="17"/>
        <v/>
      </c>
      <c r="G109" s="1033"/>
      <c r="H109" s="1033"/>
      <c r="I109" s="1034" t="str">
        <f t="shared" si="18"/>
        <v/>
      </c>
      <c r="J109" s="1033"/>
      <c r="K109" s="1033"/>
      <c r="L109" s="1034" t="str">
        <f t="shared" si="19"/>
        <v/>
      </c>
      <c r="M109" s="1035"/>
      <c r="N109" s="1035"/>
      <c r="O109" s="1036" t="str">
        <f t="shared" si="20"/>
        <v/>
      </c>
      <c r="P109" s="1033"/>
      <c r="Q109" s="1033"/>
      <c r="R109" s="1034" t="str">
        <f t="shared" si="21"/>
        <v/>
      </c>
      <c r="S109" s="1035"/>
      <c r="T109" s="1035"/>
      <c r="U109" s="1034" t="str">
        <f t="shared" si="22"/>
        <v/>
      </c>
      <c r="V109" s="1035"/>
      <c r="W109" s="1035"/>
      <c r="X109" s="1037" t="str">
        <f t="shared" si="23"/>
        <v>131</v>
      </c>
      <c r="Y109" s="1035">
        <v>13</v>
      </c>
      <c r="Z109" s="1035">
        <f t="shared" si="13"/>
        <v>1</v>
      </c>
      <c r="AA109" s="1035"/>
      <c r="AB109" s="1035"/>
      <c r="AC109" s="1021">
        <v>110518</v>
      </c>
      <c r="AD109" s="1021" t="s">
        <v>1215</v>
      </c>
      <c r="AE109" s="1022">
        <f>VLOOKUP(AC109,[5]Hoja1!$A$10:$K$1393,11,0)</f>
        <v>11244416850</v>
      </c>
      <c r="AF109" s="1191">
        <f>-AF630</f>
        <v>30783870441</v>
      </c>
      <c r="AG109" s="1022">
        <f t="shared" si="14"/>
        <v>42028287291</v>
      </c>
      <c r="AH109" s="1022">
        <f t="shared" si="15"/>
        <v>42028287</v>
      </c>
      <c r="AK109" s="448"/>
      <c r="AL109" s="445"/>
    </row>
    <row r="110" spans="1:38" s="467" customFormat="1" ht="12.75" customHeight="1">
      <c r="A110" s="1033">
        <v>5113000</v>
      </c>
      <c r="B110" s="1033" t="s">
        <v>2726</v>
      </c>
      <c r="C110" s="1034" t="str">
        <f>+D110&amp;E110</f>
        <v/>
      </c>
      <c r="D110" s="1033"/>
      <c r="E110" s="1033"/>
      <c r="F110" s="1034" t="str">
        <f>+G110&amp;H110</f>
        <v/>
      </c>
      <c r="G110" s="1033"/>
      <c r="H110" s="1033"/>
      <c r="I110" s="1034" t="str">
        <f>+J110&amp;K110</f>
        <v/>
      </c>
      <c r="J110" s="1033"/>
      <c r="K110" s="1033"/>
      <c r="L110" s="1034" t="str">
        <f>+M110&amp;N110</f>
        <v/>
      </c>
      <c r="M110" s="1035"/>
      <c r="N110" s="1035"/>
      <c r="O110" s="1036" t="str">
        <f>+P110&amp;Q110</f>
        <v/>
      </c>
      <c r="P110" s="1033"/>
      <c r="Q110" s="1033"/>
      <c r="R110" s="1034" t="str">
        <f>+S110&amp;T110</f>
        <v/>
      </c>
      <c r="S110" s="1035"/>
      <c r="T110" s="1035"/>
      <c r="U110" s="1034" t="str">
        <f>+V110&amp;W110</f>
        <v/>
      </c>
      <c r="V110" s="1035"/>
      <c r="W110" s="1035"/>
      <c r="X110" s="1037" t="str">
        <f t="shared" si="23"/>
        <v>301</v>
      </c>
      <c r="Y110" s="1035">
        <v>30</v>
      </c>
      <c r="Z110" s="1035">
        <f t="shared" si="13"/>
        <v>1</v>
      </c>
      <c r="AA110" s="1035"/>
      <c r="AB110" s="1035"/>
      <c r="AC110" s="1021">
        <v>110519</v>
      </c>
      <c r="AD110" s="1021" t="s">
        <v>1946</v>
      </c>
      <c r="AE110" s="1022">
        <f>VLOOKUP(AC110,[5]Hoja1!$A$10:$K$1393,11,0)</f>
        <v>49066343994</v>
      </c>
      <c r="AF110" s="1022">
        <v>0</v>
      </c>
      <c r="AG110" s="1022">
        <f t="shared" si="14"/>
        <v>49066343994</v>
      </c>
      <c r="AH110" s="1022">
        <f t="shared" si="15"/>
        <v>49066344</v>
      </c>
      <c r="AK110" s="448"/>
      <c r="AL110" s="445"/>
    </row>
    <row r="111" spans="1:38" s="467" customFormat="1" ht="12.75" customHeight="1">
      <c r="A111" s="1033"/>
      <c r="B111" s="1033"/>
      <c r="C111" s="1034"/>
      <c r="D111" s="1033"/>
      <c r="E111" s="1033"/>
      <c r="F111" s="1034"/>
      <c r="G111" s="1033"/>
      <c r="H111" s="1033"/>
      <c r="I111" s="1034"/>
      <c r="J111" s="1033"/>
      <c r="K111" s="1033"/>
      <c r="L111" s="1034"/>
      <c r="M111" s="1035"/>
      <c r="N111" s="1035"/>
      <c r="O111" s="1036"/>
      <c r="P111" s="1033"/>
      <c r="Q111" s="1033"/>
      <c r="R111" s="1034"/>
      <c r="S111" s="1035"/>
      <c r="T111" s="1035"/>
      <c r="U111" s="1034"/>
      <c r="V111" s="1035"/>
      <c r="W111" s="1035"/>
      <c r="X111" s="1037"/>
      <c r="Y111" s="1035"/>
      <c r="Z111" s="1035">
        <f t="shared" si="13"/>
        <v>1</v>
      </c>
      <c r="AA111" s="1035"/>
      <c r="AB111" s="1035"/>
      <c r="AC111" s="1021">
        <v>110520</v>
      </c>
      <c r="AD111" s="1021" t="s">
        <v>728</v>
      </c>
      <c r="AE111" s="1022">
        <f>VLOOKUP(AC111,[5]Hoja1!$A$10:$K$1393,11,0)</f>
        <v>0</v>
      </c>
      <c r="AF111" s="1022"/>
      <c r="AG111" s="1022">
        <f t="shared" si="14"/>
        <v>0</v>
      </c>
      <c r="AH111" s="1022">
        <f t="shared" si="15"/>
        <v>0</v>
      </c>
      <c r="AK111" s="448"/>
      <c r="AL111" s="445"/>
    </row>
    <row r="112" spans="1:38" s="467" customFormat="1" ht="12.75" customHeight="1">
      <c r="A112" s="1033"/>
      <c r="B112" s="1033"/>
      <c r="C112" s="1034"/>
      <c r="D112" s="1033"/>
      <c r="E112" s="1033"/>
      <c r="F112" s="1034"/>
      <c r="G112" s="1033"/>
      <c r="H112" s="1033"/>
      <c r="I112" s="1034"/>
      <c r="J112" s="1033"/>
      <c r="K112" s="1033"/>
      <c r="L112" s="1034"/>
      <c r="M112" s="1035"/>
      <c r="N112" s="1035"/>
      <c r="O112" s="1036"/>
      <c r="P112" s="1033"/>
      <c r="Q112" s="1033"/>
      <c r="R112" s="1034"/>
      <c r="S112" s="1035"/>
      <c r="T112" s="1035"/>
      <c r="U112" s="1034"/>
      <c r="V112" s="1035"/>
      <c r="W112" s="1035"/>
      <c r="X112" s="1037"/>
      <c r="Y112" s="1035"/>
      <c r="Z112" s="1035">
        <f t="shared" si="13"/>
        <v>1</v>
      </c>
      <c r="AA112" s="1035"/>
      <c r="AB112" s="1035"/>
      <c r="AC112" s="1021">
        <v>110521</v>
      </c>
      <c r="AD112" s="1021" t="s">
        <v>1947</v>
      </c>
      <c r="AE112" s="1022">
        <v>0</v>
      </c>
      <c r="AF112" s="1022"/>
      <c r="AG112" s="1022">
        <f t="shared" si="14"/>
        <v>0</v>
      </c>
      <c r="AH112" s="1022">
        <f t="shared" si="15"/>
        <v>0</v>
      </c>
      <c r="AK112" s="448"/>
      <c r="AL112" s="445"/>
    </row>
    <row r="113" spans="1:38" s="467" customFormat="1" ht="12.75" customHeight="1">
      <c r="A113" s="1033"/>
      <c r="B113" s="1033"/>
      <c r="C113" s="1034"/>
      <c r="D113" s="1033"/>
      <c r="E113" s="1033"/>
      <c r="F113" s="1034"/>
      <c r="G113" s="1033"/>
      <c r="H113" s="1033"/>
      <c r="I113" s="1034"/>
      <c r="J113" s="1033"/>
      <c r="K113" s="1033"/>
      <c r="L113" s="1034"/>
      <c r="M113" s="1035"/>
      <c r="N113" s="1035"/>
      <c r="O113" s="1036"/>
      <c r="P113" s="1033"/>
      <c r="Q113" s="1033"/>
      <c r="R113" s="1034"/>
      <c r="S113" s="1035"/>
      <c r="T113" s="1035"/>
      <c r="U113" s="1034"/>
      <c r="V113" s="1035"/>
      <c r="W113" s="1035"/>
      <c r="X113" s="1037"/>
      <c r="Y113" s="1035"/>
      <c r="Z113" s="1035">
        <f t="shared" si="13"/>
        <v>1</v>
      </c>
      <c r="AA113" s="1035"/>
      <c r="AB113" s="1035"/>
      <c r="AC113" s="1021">
        <v>110522</v>
      </c>
      <c r="AD113" s="1021" t="s">
        <v>1948</v>
      </c>
      <c r="AE113" s="1022">
        <f>VLOOKUP(AC113,[5]Hoja1!$A$10:$K$1393,11,0)</f>
        <v>0</v>
      </c>
      <c r="AF113" s="1022"/>
      <c r="AG113" s="1022">
        <f t="shared" si="14"/>
        <v>0</v>
      </c>
      <c r="AH113" s="1022">
        <f t="shared" si="15"/>
        <v>0</v>
      </c>
      <c r="AK113" s="448"/>
      <c r="AL113" s="445"/>
    </row>
    <row r="114" spans="1:38" s="467" customFormat="1" ht="12.75" customHeight="1">
      <c r="A114" s="1033"/>
      <c r="B114" s="1033"/>
      <c r="C114" s="1034"/>
      <c r="D114" s="1033"/>
      <c r="E114" s="1033"/>
      <c r="F114" s="1034"/>
      <c r="G114" s="1033"/>
      <c r="H114" s="1033"/>
      <c r="I114" s="1034"/>
      <c r="J114" s="1033"/>
      <c r="K114" s="1033"/>
      <c r="L114" s="1034"/>
      <c r="M114" s="1035"/>
      <c r="N114" s="1035"/>
      <c r="O114" s="1036"/>
      <c r="P114" s="1033"/>
      <c r="Q114" s="1033"/>
      <c r="R114" s="1034"/>
      <c r="S114" s="1035"/>
      <c r="T114" s="1035"/>
      <c r="U114" s="1034"/>
      <c r="V114" s="1035"/>
      <c r="W114" s="1035"/>
      <c r="X114" s="1037"/>
      <c r="Y114" s="1035"/>
      <c r="Z114" s="1035">
        <f t="shared" si="13"/>
        <v>1</v>
      </c>
      <c r="AA114" s="1035"/>
      <c r="AB114" s="1035"/>
      <c r="AC114" s="1021">
        <v>110523</v>
      </c>
      <c r="AD114" s="1021" t="s">
        <v>1949</v>
      </c>
      <c r="AE114" s="1022">
        <v>0</v>
      </c>
      <c r="AF114" s="1022"/>
      <c r="AG114" s="1022">
        <f t="shared" si="14"/>
        <v>0</v>
      </c>
      <c r="AH114" s="1022">
        <f t="shared" si="15"/>
        <v>0</v>
      </c>
      <c r="AK114" s="448"/>
      <c r="AL114" s="445"/>
    </row>
    <row r="115" spans="1:38" s="467" customFormat="1" ht="12.75" customHeight="1">
      <c r="A115" s="1033">
        <v>5115000</v>
      </c>
      <c r="B115" s="1033" t="s">
        <v>2729</v>
      </c>
      <c r="C115" s="1034" t="str">
        <f>+D115&amp;E115</f>
        <v/>
      </c>
      <c r="D115" s="1033"/>
      <c r="E115" s="1033"/>
      <c r="F115" s="1034" t="str">
        <f>+G115&amp;H115</f>
        <v/>
      </c>
      <c r="G115" s="1033"/>
      <c r="H115" s="1033"/>
      <c r="I115" s="1034" t="str">
        <f>+J115&amp;K115</f>
        <v/>
      </c>
      <c r="J115" s="1033"/>
      <c r="K115" s="1033"/>
      <c r="L115" s="1034" t="str">
        <f>+M115&amp;N115</f>
        <v/>
      </c>
      <c r="M115" s="1035"/>
      <c r="N115" s="1035"/>
      <c r="O115" s="1036" t="str">
        <f>+P115&amp;Q115</f>
        <v/>
      </c>
      <c r="P115" s="1033"/>
      <c r="Q115" s="1033"/>
      <c r="R115" s="1034" t="str">
        <f>+S115&amp;T115</f>
        <v/>
      </c>
      <c r="S115" s="1035"/>
      <c r="T115" s="1035"/>
      <c r="U115" s="1034" t="str">
        <f>+V115&amp;W115</f>
        <v/>
      </c>
      <c r="V115" s="1035"/>
      <c r="W115" s="1035"/>
      <c r="X115" s="1037"/>
      <c r="Y115" s="1035"/>
      <c r="Z115" s="1035">
        <f t="shared" si="13"/>
        <v>1</v>
      </c>
      <c r="AA115" s="1035"/>
      <c r="AB115" s="1035"/>
      <c r="AC115" s="1021">
        <v>110524</v>
      </c>
      <c r="AD115" s="1021" t="s">
        <v>1950</v>
      </c>
      <c r="AE115" s="1022">
        <f>VLOOKUP(AC115,[5]Hoja1!$A$10:$K$1393,11,0)</f>
        <v>0</v>
      </c>
      <c r="AF115" s="1022"/>
      <c r="AG115" s="1022">
        <f t="shared" si="14"/>
        <v>0</v>
      </c>
      <c r="AH115" s="1022">
        <f t="shared" si="15"/>
        <v>0</v>
      </c>
      <c r="AK115" s="448"/>
      <c r="AL115" s="445"/>
    </row>
    <row r="116" spans="1:38" s="467" customFormat="1" ht="12.75" customHeight="1">
      <c r="A116" s="1033">
        <v>5113000</v>
      </c>
      <c r="B116" s="1033" t="s">
        <v>2726</v>
      </c>
      <c r="C116" s="1034"/>
      <c r="D116" s="1033"/>
      <c r="E116" s="1033"/>
      <c r="F116" s="1034"/>
      <c r="G116" s="1033"/>
      <c r="H116" s="1033"/>
      <c r="I116" s="1034"/>
      <c r="J116" s="1033"/>
      <c r="K116" s="1033"/>
      <c r="L116" s="1034"/>
      <c r="M116" s="1035"/>
      <c r="N116" s="1035"/>
      <c r="O116" s="1036"/>
      <c r="P116" s="1033"/>
      <c r="Q116" s="1033"/>
      <c r="R116" s="1034"/>
      <c r="S116" s="1035"/>
      <c r="T116" s="1035"/>
      <c r="U116" s="1034"/>
      <c r="V116" s="1035"/>
      <c r="W116" s="1035"/>
      <c r="X116" s="1037"/>
      <c r="Y116" s="1035"/>
      <c r="Z116" s="1035">
        <f t="shared" si="13"/>
        <v>1</v>
      </c>
      <c r="AA116" s="1035"/>
      <c r="AB116" s="1035"/>
      <c r="AC116" s="1021">
        <v>110525</v>
      </c>
      <c r="AD116" s="1021" t="s">
        <v>987</v>
      </c>
      <c r="AE116" s="1022">
        <f>VLOOKUP(AC116,[5]Hoja1!$A$10:$K$1393,11,0)</f>
        <v>0</v>
      </c>
      <c r="AF116" s="1022">
        <v>0</v>
      </c>
      <c r="AG116" s="1022">
        <f t="shared" si="14"/>
        <v>0</v>
      </c>
      <c r="AH116" s="1022">
        <f t="shared" si="15"/>
        <v>0</v>
      </c>
      <c r="AK116" s="448"/>
      <c r="AL116" s="445"/>
    </row>
    <row r="117" spans="1:38" s="467" customFormat="1" ht="12.75" customHeight="1">
      <c r="A117" s="1033">
        <v>5111000</v>
      </c>
      <c r="B117" s="1033" t="s">
        <v>2724</v>
      </c>
      <c r="C117" s="1034" t="str">
        <f>+D117&amp;E117</f>
        <v/>
      </c>
      <c r="D117" s="1033"/>
      <c r="E117" s="1033"/>
      <c r="F117" s="1034" t="str">
        <f>+G117&amp;H117</f>
        <v/>
      </c>
      <c r="G117" s="1033"/>
      <c r="H117" s="1033"/>
      <c r="I117" s="1034" t="str">
        <f>+J117&amp;K117</f>
        <v/>
      </c>
      <c r="J117" s="1035"/>
      <c r="K117" s="1035"/>
      <c r="L117" s="1034" t="str">
        <f>+M117&amp;N117</f>
        <v/>
      </c>
      <c r="M117" s="1035"/>
      <c r="N117" s="1035"/>
      <c r="O117" s="1036" t="str">
        <f>+P117&amp;Q117</f>
        <v/>
      </c>
      <c r="P117" s="1035"/>
      <c r="Q117" s="1033"/>
      <c r="R117" s="1034" t="str">
        <f>+S117&amp;T117</f>
        <v/>
      </c>
      <c r="S117" s="1035"/>
      <c r="T117" s="1035"/>
      <c r="U117" s="1034" t="str">
        <f>+V117&amp;W117</f>
        <v/>
      </c>
      <c r="V117" s="1035"/>
      <c r="W117" s="1035"/>
      <c r="X117" s="1037" t="str">
        <f>+Y117&amp;Z117</f>
        <v xml:space="preserve"> 1</v>
      </c>
      <c r="Y117" s="1035" t="s">
        <v>1805</v>
      </c>
      <c r="Z117" s="1035">
        <f t="shared" si="13"/>
        <v>1</v>
      </c>
      <c r="AA117" s="1035"/>
      <c r="AB117" s="1035"/>
      <c r="AC117" s="1021">
        <v>110526</v>
      </c>
      <c r="AD117" s="1021" t="s">
        <v>1951</v>
      </c>
      <c r="AE117" s="1022">
        <f>VLOOKUP(AC117,[5]Hoja1!$A$10:$K$1393,11,0)</f>
        <v>369732566</v>
      </c>
      <c r="AF117" s="1022"/>
      <c r="AG117" s="1022">
        <f t="shared" si="14"/>
        <v>369732566</v>
      </c>
      <c r="AH117" s="1022">
        <f t="shared" si="15"/>
        <v>369733</v>
      </c>
      <c r="AK117" s="448"/>
      <c r="AL117" s="445"/>
    </row>
    <row r="118" spans="1:38" s="467" customFormat="1" ht="12.75" customHeight="1">
      <c r="A118" s="1033"/>
      <c r="B118" s="1033"/>
      <c r="C118" s="1034" t="str">
        <f>+D118&amp;E118</f>
        <v/>
      </c>
      <c r="D118" s="1033"/>
      <c r="E118" s="1033"/>
      <c r="F118" s="1034" t="str">
        <f>+G118&amp;H118</f>
        <v/>
      </c>
      <c r="G118" s="1033"/>
      <c r="H118" s="1033"/>
      <c r="I118" s="1034" t="str">
        <f>+J118&amp;K118</f>
        <v/>
      </c>
      <c r="J118" s="1033"/>
      <c r="K118" s="1033"/>
      <c r="L118" s="1034" t="str">
        <f>+M118&amp;N118</f>
        <v/>
      </c>
      <c r="M118" s="1035"/>
      <c r="N118" s="1035"/>
      <c r="O118" s="1036" t="str">
        <f>+P118&amp;Q118</f>
        <v/>
      </c>
      <c r="P118" s="1033"/>
      <c r="Q118" s="1033"/>
      <c r="R118" s="1034" t="str">
        <f>+S118&amp;T118</f>
        <v/>
      </c>
      <c r="S118" s="1035"/>
      <c r="T118" s="1035"/>
      <c r="U118" s="1034" t="str">
        <f>+V118&amp;W118</f>
        <v/>
      </c>
      <c r="V118" s="1035"/>
      <c r="W118" s="1035"/>
      <c r="X118" s="1037" t="str">
        <f>+Y118&amp;Z118</f>
        <v>221</v>
      </c>
      <c r="Y118" s="1035">
        <v>22</v>
      </c>
      <c r="Z118" s="1035">
        <f t="shared" si="13"/>
        <v>1</v>
      </c>
      <c r="AA118" s="1035"/>
      <c r="AB118" s="1035"/>
      <c r="AC118" s="1021">
        <v>110527</v>
      </c>
      <c r="AD118" s="1021" t="s">
        <v>1952</v>
      </c>
      <c r="AE118" s="1022">
        <f>VLOOKUP(AC118,[5]Hoja1!$A$10:$K$1393,11,0)</f>
        <v>0</v>
      </c>
      <c r="AF118" s="1022"/>
      <c r="AG118" s="1022">
        <f t="shared" si="14"/>
        <v>0</v>
      </c>
      <c r="AH118" s="1022">
        <f t="shared" si="15"/>
        <v>0</v>
      </c>
      <c r="AK118" s="448"/>
      <c r="AL118" s="445"/>
    </row>
    <row r="119" spans="1:38" s="467" customFormat="1" ht="12.75" customHeight="1">
      <c r="A119" s="1033">
        <v>5113000</v>
      </c>
      <c r="B119" s="1033" t="s">
        <v>2726</v>
      </c>
      <c r="C119" s="1034"/>
      <c r="D119" s="1033"/>
      <c r="E119" s="1033"/>
      <c r="F119" s="1034"/>
      <c r="G119" s="1033"/>
      <c r="H119" s="1033"/>
      <c r="I119" s="1034"/>
      <c r="J119" s="1035"/>
      <c r="K119" s="1035"/>
      <c r="L119" s="1034"/>
      <c r="M119" s="1035"/>
      <c r="N119" s="1035"/>
      <c r="O119" s="1036"/>
      <c r="P119" s="1035"/>
      <c r="Q119" s="1033"/>
      <c r="R119" s="1034"/>
      <c r="S119" s="1035"/>
      <c r="T119" s="1035"/>
      <c r="U119" s="1034"/>
      <c r="V119" s="1035"/>
      <c r="W119" s="1035"/>
      <c r="X119" s="1037"/>
      <c r="Y119" s="1035"/>
      <c r="Z119" s="1035">
        <f t="shared" si="13"/>
        <v>1</v>
      </c>
      <c r="AA119" s="1035"/>
      <c r="AB119" s="1035"/>
      <c r="AC119" s="1021">
        <v>110528</v>
      </c>
      <c r="AD119" s="1021" t="s">
        <v>1953</v>
      </c>
      <c r="AE119" s="1022">
        <f>VLOOKUP(AC119,[5]Hoja1!$A$10:$K$1393,11,0)</f>
        <v>6559171581</v>
      </c>
      <c r="AF119" s="1022"/>
      <c r="AG119" s="1022">
        <f t="shared" si="14"/>
        <v>6559171581</v>
      </c>
      <c r="AH119" s="1022">
        <f t="shared" si="15"/>
        <v>6559172</v>
      </c>
      <c r="AK119" s="448"/>
      <c r="AL119" s="445"/>
    </row>
    <row r="120" spans="1:38" s="467" customFormat="1" ht="12.75" customHeight="1">
      <c r="A120" s="1033">
        <v>5113000</v>
      </c>
      <c r="B120" s="1033" t="s">
        <v>2726</v>
      </c>
      <c r="C120" s="1034" t="str">
        <f t="shared" si="16"/>
        <v/>
      </c>
      <c r="D120" s="1033"/>
      <c r="E120" s="1033"/>
      <c r="F120" s="1034" t="str">
        <f t="shared" si="17"/>
        <v/>
      </c>
      <c r="G120" s="1033"/>
      <c r="H120" s="1033"/>
      <c r="I120" s="1034" t="str">
        <f t="shared" si="18"/>
        <v/>
      </c>
      <c r="J120" s="1033"/>
      <c r="K120" s="1033"/>
      <c r="L120" s="1034" t="str">
        <f t="shared" si="19"/>
        <v/>
      </c>
      <c r="M120" s="1035"/>
      <c r="N120" s="1035"/>
      <c r="O120" s="1036" t="str">
        <f t="shared" si="20"/>
        <v/>
      </c>
      <c r="P120" s="1033"/>
      <c r="Q120" s="1033"/>
      <c r="R120" s="1034" t="str">
        <f t="shared" si="21"/>
        <v/>
      </c>
      <c r="S120" s="1035"/>
      <c r="T120" s="1035"/>
      <c r="U120" s="1034" t="str">
        <f t="shared" si="22"/>
        <v/>
      </c>
      <c r="V120" s="1035"/>
      <c r="W120" s="1035"/>
      <c r="X120" s="1037" t="str">
        <f t="shared" ref="X120:X129" si="24">+Y120&amp;Z120</f>
        <v>131</v>
      </c>
      <c r="Y120" s="1035">
        <v>13</v>
      </c>
      <c r="Z120" s="1035">
        <f t="shared" si="13"/>
        <v>1</v>
      </c>
      <c r="AA120" s="1035"/>
      <c r="AB120" s="1035"/>
      <c r="AC120" s="1021">
        <v>110550</v>
      </c>
      <c r="AD120" s="1021" t="s">
        <v>1755</v>
      </c>
      <c r="AE120" s="1022">
        <f>VLOOKUP(AC120,[5]Hoja1!$A$10:$K$1393,11,0)</f>
        <v>-6535387178</v>
      </c>
      <c r="AF120" s="1022">
        <v>0</v>
      </c>
      <c r="AG120" s="1022">
        <f t="shared" si="14"/>
        <v>-6535387178</v>
      </c>
      <c r="AH120" s="1187">
        <f t="shared" si="15"/>
        <v>-6535387</v>
      </c>
      <c r="AK120" s="448"/>
      <c r="AL120" s="445"/>
    </row>
    <row r="121" spans="1:38" s="467" customFormat="1" ht="12.75" customHeight="1">
      <c r="A121" s="1033">
        <v>5113000</v>
      </c>
      <c r="B121" s="1033" t="s">
        <v>2726</v>
      </c>
      <c r="C121" s="1034" t="str">
        <f t="shared" si="16"/>
        <v/>
      </c>
      <c r="D121" s="1035"/>
      <c r="E121" s="1035"/>
      <c r="F121" s="1034" t="str">
        <f t="shared" si="17"/>
        <v/>
      </c>
      <c r="G121" s="1033"/>
      <c r="H121" s="1033"/>
      <c r="I121" s="1034" t="str">
        <f t="shared" si="18"/>
        <v/>
      </c>
      <c r="J121" s="1033"/>
      <c r="K121" s="1033"/>
      <c r="L121" s="1034" t="str">
        <f t="shared" si="19"/>
        <v/>
      </c>
      <c r="M121" s="1035"/>
      <c r="N121" s="1035"/>
      <c r="O121" s="1036" t="str">
        <f t="shared" si="20"/>
        <v/>
      </c>
      <c r="P121" s="1033"/>
      <c r="Q121" s="1033"/>
      <c r="R121" s="1034" t="str">
        <f t="shared" si="21"/>
        <v/>
      </c>
      <c r="S121" s="1035"/>
      <c r="T121" s="1035"/>
      <c r="U121" s="1034" t="str">
        <f t="shared" si="22"/>
        <v/>
      </c>
      <c r="V121" s="1035"/>
      <c r="W121" s="1035"/>
      <c r="X121" s="1037" t="str">
        <f t="shared" si="24"/>
        <v>221</v>
      </c>
      <c r="Y121" s="1035">
        <v>22</v>
      </c>
      <c r="Z121" s="1035">
        <f t="shared" si="13"/>
        <v>1</v>
      </c>
      <c r="AA121" s="1035"/>
      <c r="AB121" s="1035"/>
      <c r="AC121" s="1021">
        <v>110551</v>
      </c>
      <c r="AD121" s="1021" t="s">
        <v>1954</v>
      </c>
      <c r="AE121" s="1022">
        <f>VLOOKUP(AC121,[5]Hoja1!$A$10:$K$1393,11,0)</f>
        <v>-595455873</v>
      </c>
      <c r="AF121" s="1022"/>
      <c r="AG121" s="1022">
        <f t="shared" si="14"/>
        <v>-595455873</v>
      </c>
      <c r="AH121" s="1022">
        <f t="shared" si="15"/>
        <v>-595456</v>
      </c>
      <c r="AK121" s="448"/>
      <c r="AL121" s="445"/>
    </row>
    <row r="122" spans="1:38" s="467" customFormat="1" ht="12.75" customHeight="1">
      <c r="A122" s="1033">
        <v>5122000</v>
      </c>
      <c r="B122" s="1033" t="s">
        <v>2735</v>
      </c>
      <c r="C122" s="1034" t="str">
        <f>+D122&amp;E122</f>
        <v/>
      </c>
      <c r="D122" s="1033"/>
      <c r="E122" s="1033"/>
      <c r="F122" s="1034" t="str">
        <f>+G122&amp;H122</f>
        <v/>
      </c>
      <c r="G122" s="1033"/>
      <c r="H122" s="1033"/>
      <c r="I122" s="1034" t="str">
        <f>+J122&amp;K122</f>
        <v/>
      </c>
      <c r="J122" s="1033"/>
      <c r="K122" s="1033"/>
      <c r="L122" s="1034" t="str">
        <f>+M122&amp;N122</f>
        <v/>
      </c>
      <c r="M122" s="1035"/>
      <c r="N122" s="1035"/>
      <c r="O122" s="1036" t="str">
        <f>+P122&amp;Q122</f>
        <v/>
      </c>
      <c r="P122" s="1033"/>
      <c r="Q122" s="1033"/>
      <c r="R122" s="1034" t="str">
        <f>+S122&amp;T122</f>
        <v/>
      </c>
      <c r="S122" s="1035"/>
      <c r="T122" s="1035"/>
      <c r="U122" s="1034" t="str">
        <f>+V122&amp;W122</f>
        <v/>
      </c>
      <c r="V122" s="1035"/>
      <c r="W122" s="1035"/>
      <c r="X122" s="1037" t="str">
        <f t="shared" si="24"/>
        <v>81</v>
      </c>
      <c r="Y122" s="1035">
        <v>8</v>
      </c>
      <c r="Z122" s="1035">
        <f t="shared" si="13"/>
        <v>1</v>
      </c>
      <c r="AA122" s="1035"/>
      <c r="AB122" s="1035"/>
      <c r="AC122" s="1021">
        <v>110559</v>
      </c>
      <c r="AD122" s="1021" t="s">
        <v>1588</v>
      </c>
      <c r="AE122" s="1022">
        <f>VLOOKUP(AC122,[5]Hoja1!$A$10:$K$1393,11,0)</f>
        <v>0</v>
      </c>
      <c r="AF122" s="1022">
        <v>0</v>
      </c>
      <c r="AG122" s="1022">
        <f t="shared" si="14"/>
        <v>0</v>
      </c>
      <c r="AH122" s="1022">
        <f t="shared" si="15"/>
        <v>0</v>
      </c>
      <c r="AK122" s="448"/>
      <c r="AL122" s="445"/>
    </row>
    <row r="123" spans="1:38" s="467" customFormat="1" ht="12.75" customHeight="1">
      <c r="A123" s="1033">
        <v>5122000</v>
      </c>
      <c r="B123" s="1033" t="s">
        <v>2735</v>
      </c>
      <c r="C123" s="1034" t="str">
        <f t="shared" si="16"/>
        <v/>
      </c>
      <c r="D123" s="1033"/>
      <c r="E123" s="1033"/>
      <c r="F123" s="1034" t="str">
        <f t="shared" si="17"/>
        <v/>
      </c>
      <c r="G123" s="1033"/>
      <c r="H123" s="1033"/>
      <c r="I123" s="1034" t="str">
        <f t="shared" si="18"/>
        <v/>
      </c>
      <c r="J123" s="1033"/>
      <c r="K123" s="1033"/>
      <c r="L123" s="1034" t="str">
        <f t="shared" si="19"/>
        <v/>
      </c>
      <c r="M123" s="1035"/>
      <c r="N123" s="1035"/>
      <c r="O123" s="1036" t="str">
        <f t="shared" si="20"/>
        <v/>
      </c>
      <c r="P123" s="1033"/>
      <c r="Q123" s="1033"/>
      <c r="R123" s="1034" t="str">
        <f t="shared" si="21"/>
        <v/>
      </c>
      <c r="S123" s="1035"/>
      <c r="T123" s="1035"/>
      <c r="U123" s="1034" t="str">
        <f t="shared" si="22"/>
        <v/>
      </c>
      <c r="V123" s="1035"/>
      <c r="W123" s="1035"/>
      <c r="X123" s="1037" t="str">
        <f t="shared" si="24"/>
        <v>81</v>
      </c>
      <c r="Y123" s="1035">
        <v>8</v>
      </c>
      <c r="Z123" s="1035">
        <f t="shared" si="13"/>
        <v>1</v>
      </c>
      <c r="AA123" s="1035"/>
      <c r="AB123" s="1035"/>
      <c r="AC123" s="1021">
        <v>110560</v>
      </c>
      <c r="AD123" s="1021" t="s">
        <v>1955</v>
      </c>
      <c r="AE123" s="1022">
        <f>VLOOKUP(AC123,[5]Hoja1!$A$10:$K$1393,11,0)</f>
        <v>-612651483</v>
      </c>
      <c r="AF123" s="1022">
        <v>0</v>
      </c>
      <c r="AG123" s="1022">
        <f t="shared" si="14"/>
        <v>-612651483</v>
      </c>
      <c r="AH123" s="1022">
        <f t="shared" si="15"/>
        <v>-612651</v>
      </c>
      <c r="AK123" s="448"/>
      <c r="AL123" s="445"/>
    </row>
    <row r="124" spans="1:38" s="467" customFormat="1" ht="12.75" customHeight="1">
      <c r="A124" s="1033">
        <v>5113000</v>
      </c>
      <c r="B124" s="1033" t="s">
        <v>2726</v>
      </c>
      <c r="C124" s="1034" t="str">
        <f t="shared" si="16"/>
        <v/>
      </c>
      <c r="D124" s="1033"/>
      <c r="E124" s="1033"/>
      <c r="F124" s="1034" t="str">
        <f t="shared" si="17"/>
        <v/>
      </c>
      <c r="G124" s="1033"/>
      <c r="H124" s="1033"/>
      <c r="I124" s="1034" t="str">
        <f t="shared" si="18"/>
        <v/>
      </c>
      <c r="J124" s="1033"/>
      <c r="K124" s="1033"/>
      <c r="L124" s="1034" t="str">
        <f t="shared" si="19"/>
        <v/>
      </c>
      <c r="M124" s="1035"/>
      <c r="N124" s="1035"/>
      <c r="O124" s="1036" t="str">
        <f t="shared" si="20"/>
        <v/>
      </c>
      <c r="P124" s="1033"/>
      <c r="Q124" s="1033"/>
      <c r="R124" s="1034" t="str">
        <f t="shared" si="21"/>
        <v/>
      </c>
      <c r="S124" s="1035"/>
      <c r="T124" s="1035"/>
      <c r="U124" s="1034" t="str">
        <f t="shared" si="22"/>
        <v/>
      </c>
      <c r="V124" s="1035"/>
      <c r="W124" s="1035"/>
      <c r="X124" s="1037" t="str">
        <f t="shared" si="24"/>
        <v>131</v>
      </c>
      <c r="Y124" s="1035">
        <v>13</v>
      </c>
      <c r="Z124" s="1035">
        <f t="shared" si="13"/>
        <v>1</v>
      </c>
      <c r="AA124" s="1035"/>
      <c r="AB124" s="1035"/>
      <c r="AC124" s="1021">
        <v>110561</v>
      </c>
      <c r="AD124" s="1021" t="s">
        <v>1756</v>
      </c>
      <c r="AE124" s="1022">
        <f>VLOOKUP(AC124,[5]Hoja1!$A$10:$K$1393,11,0)</f>
        <v>1485931650</v>
      </c>
      <c r="AF124" s="1022">
        <v>0</v>
      </c>
      <c r="AG124" s="1022">
        <f t="shared" si="14"/>
        <v>1485931650</v>
      </c>
      <c r="AH124" s="1189">
        <f t="shared" si="15"/>
        <v>1485932</v>
      </c>
      <c r="AK124" s="448"/>
      <c r="AL124" s="445"/>
    </row>
    <row r="125" spans="1:38" s="467" customFormat="1" ht="12.75" customHeight="1">
      <c r="A125" s="1033">
        <v>5112000</v>
      </c>
      <c r="B125" s="1033" t="s">
        <v>2725</v>
      </c>
      <c r="C125" s="1034" t="str">
        <f t="shared" si="16"/>
        <v/>
      </c>
      <c r="D125" s="1033"/>
      <c r="E125" s="1033"/>
      <c r="F125" s="1034" t="str">
        <f t="shared" si="17"/>
        <v/>
      </c>
      <c r="G125" s="1033"/>
      <c r="H125" s="1033"/>
      <c r="I125" s="1034" t="str">
        <f t="shared" si="18"/>
        <v/>
      </c>
      <c r="J125" s="1033"/>
      <c r="K125" s="1033"/>
      <c r="L125" s="1034" t="str">
        <f t="shared" si="19"/>
        <v/>
      </c>
      <c r="M125" s="1035"/>
      <c r="N125" s="1035"/>
      <c r="O125" s="1036" t="str">
        <f t="shared" si="20"/>
        <v/>
      </c>
      <c r="P125" s="1033"/>
      <c r="Q125" s="1033"/>
      <c r="R125" s="1034" t="str">
        <f t="shared" si="21"/>
        <v/>
      </c>
      <c r="S125" s="1035"/>
      <c r="T125" s="1035"/>
      <c r="U125" s="1034" t="str">
        <f t="shared" si="22"/>
        <v/>
      </c>
      <c r="V125" s="1035"/>
      <c r="W125" s="1035"/>
      <c r="X125" s="1037" t="str">
        <f t="shared" si="24"/>
        <v>1</v>
      </c>
      <c r="Y125" s="1035"/>
      <c r="Z125" s="1035">
        <f t="shared" si="13"/>
        <v>1</v>
      </c>
      <c r="AA125" s="1035"/>
      <c r="AB125" s="1035"/>
      <c r="AC125" s="1021">
        <v>110562</v>
      </c>
      <c r="AD125" s="1021" t="s">
        <v>1956</v>
      </c>
      <c r="AE125" s="1022">
        <f>VLOOKUP(AC125,[5]Hoja1!$A$10:$K$1393,11,0)</f>
        <v>-6</v>
      </c>
      <c r="AF125" s="1022">
        <v>0</v>
      </c>
      <c r="AG125" s="1022">
        <f t="shared" si="14"/>
        <v>-6</v>
      </c>
      <c r="AH125" s="1022">
        <f t="shared" si="15"/>
        <v>0</v>
      </c>
      <c r="AK125" s="448"/>
      <c r="AL125" s="445"/>
    </row>
    <row r="126" spans="1:38" s="467" customFormat="1" ht="12.75" customHeight="1">
      <c r="A126" s="1033">
        <v>5112000</v>
      </c>
      <c r="B126" s="1033" t="s">
        <v>2725</v>
      </c>
      <c r="C126" s="1034" t="str">
        <f t="shared" si="16"/>
        <v/>
      </c>
      <c r="D126" s="1033"/>
      <c r="E126" s="1033"/>
      <c r="F126" s="1034" t="str">
        <f t="shared" si="17"/>
        <v/>
      </c>
      <c r="G126" s="1033"/>
      <c r="H126" s="1033"/>
      <c r="I126" s="1034" t="str">
        <f t="shared" si="18"/>
        <v/>
      </c>
      <c r="J126" s="1033"/>
      <c r="K126" s="1033"/>
      <c r="L126" s="1034" t="str">
        <f t="shared" si="19"/>
        <v/>
      </c>
      <c r="M126" s="1035"/>
      <c r="N126" s="1035"/>
      <c r="O126" s="1036" t="str">
        <f t="shared" si="20"/>
        <v/>
      </c>
      <c r="P126" s="1033"/>
      <c r="Q126" s="1033"/>
      <c r="R126" s="1034" t="str">
        <f t="shared" si="21"/>
        <v/>
      </c>
      <c r="S126" s="1035"/>
      <c r="T126" s="1035"/>
      <c r="U126" s="1034" t="str">
        <f t="shared" si="22"/>
        <v/>
      </c>
      <c r="V126" s="1035"/>
      <c r="W126" s="1035"/>
      <c r="X126" s="1037" t="str">
        <f t="shared" si="24"/>
        <v>1</v>
      </c>
      <c r="Y126" s="1035"/>
      <c r="Z126" s="1035">
        <f t="shared" si="13"/>
        <v>1</v>
      </c>
      <c r="AA126" s="1035"/>
      <c r="AB126" s="1035"/>
      <c r="AC126" s="1021">
        <v>110563</v>
      </c>
      <c r="AD126" s="1021" t="s">
        <v>1957</v>
      </c>
      <c r="AE126" s="1022">
        <f>VLOOKUP(AC126,[5]Hoja1!$A$10:$K$1393,11,0)</f>
        <v>0</v>
      </c>
      <c r="AF126" s="1022">
        <v>0</v>
      </c>
      <c r="AG126" s="1022">
        <f t="shared" si="14"/>
        <v>0</v>
      </c>
      <c r="AH126" s="1022">
        <f t="shared" si="15"/>
        <v>0</v>
      </c>
      <c r="AJ126" s="491"/>
      <c r="AK126" s="448"/>
      <c r="AL126" s="445"/>
    </row>
    <row r="127" spans="1:38" s="467" customFormat="1" ht="12.75" customHeight="1">
      <c r="A127" s="1033">
        <v>5113000</v>
      </c>
      <c r="B127" s="1033" t="s">
        <v>2726</v>
      </c>
      <c r="C127" s="1034" t="str">
        <f t="shared" si="16"/>
        <v/>
      </c>
      <c r="D127" s="1033"/>
      <c r="E127" s="1033"/>
      <c r="F127" s="1034" t="str">
        <f t="shared" si="17"/>
        <v/>
      </c>
      <c r="G127" s="1033"/>
      <c r="H127" s="1033"/>
      <c r="I127" s="1034" t="str">
        <f t="shared" si="18"/>
        <v/>
      </c>
      <c r="J127" s="1033"/>
      <c r="K127" s="1033"/>
      <c r="L127" s="1034" t="str">
        <f t="shared" si="19"/>
        <v/>
      </c>
      <c r="M127" s="1035"/>
      <c r="N127" s="1035"/>
      <c r="O127" s="1036" t="str">
        <f t="shared" si="20"/>
        <v/>
      </c>
      <c r="P127" s="1033"/>
      <c r="Q127" s="1033"/>
      <c r="R127" s="1034" t="str">
        <f t="shared" si="21"/>
        <v/>
      </c>
      <c r="S127" s="1035"/>
      <c r="T127" s="1035"/>
      <c r="U127" s="1034" t="str">
        <f t="shared" si="22"/>
        <v/>
      </c>
      <c r="V127" s="1035"/>
      <c r="W127" s="1035"/>
      <c r="X127" s="1037" t="str">
        <f t="shared" si="24"/>
        <v>301</v>
      </c>
      <c r="Y127" s="1035">
        <v>30</v>
      </c>
      <c r="Z127" s="1035">
        <f t="shared" si="13"/>
        <v>1</v>
      </c>
      <c r="AA127" s="1035"/>
      <c r="AB127" s="1035"/>
      <c r="AC127" s="1021">
        <v>110564</v>
      </c>
      <c r="AD127" s="1021" t="s">
        <v>1958</v>
      </c>
      <c r="AE127" s="1022">
        <f>VLOOKUP(AC127,[5]Hoja1!$A$10:$K$1393,11,0)</f>
        <v>0</v>
      </c>
      <c r="AF127" s="1022">
        <v>0</v>
      </c>
      <c r="AG127" s="1022">
        <f t="shared" si="14"/>
        <v>0</v>
      </c>
      <c r="AH127" s="1022">
        <f t="shared" si="15"/>
        <v>0</v>
      </c>
      <c r="AK127" s="448"/>
      <c r="AL127" s="445"/>
    </row>
    <row r="128" spans="1:38" s="467" customFormat="1" ht="12.75" customHeight="1">
      <c r="A128" s="1033">
        <v>5113000</v>
      </c>
      <c r="B128" s="1033" t="s">
        <v>2726</v>
      </c>
      <c r="C128" s="1034" t="str">
        <f t="shared" si="16"/>
        <v/>
      </c>
      <c r="D128" s="1033"/>
      <c r="E128" s="1033"/>
      <c r="F128" s="1034" t="str">
        <f t="shared" si="17"/>
        <v/>
      </c>
      <c r="G128" s="1033"/>
      <c r="H128" s="1033"/>
      <c r="I128" s="1034" t="str">
        <f t="shared" si="18"/>
        <v/>
      </c>
      <c r="J128" s="1033"/>
      <c r="K128" s="1033"/>
      <c r="L128" s="1034" t="str">
        <f t="shared" si="19"/>
        <v/>
      </c>
      <c r="M128" s="1035"/>
      <c r="N128" s="1035"/>
      <c r="O128" s="1036" t="str">
        <f t="shared" si="20"/>
        <v/>
      </c>
      <c r="P128" s="1033"/>
      <c r="Q128" s="1033"/>
      <c r="R128" s="1034" t="str">
        <f t="shared" si="21"/>
        <v/>
      </c>
      <c r="S128" s="1035"/>
      <c r="T128" s="1035"/>
      <c r="U128" s="1034" t="str">
        <f t="shared" si="22"/>
        <v/>
      </c>
      <c r="V128" s="1035"/>
      <c r="W128" s="1035"/>
      <c r="X128" s="1037" t="str">
        <f t="shared" si="24"/>
        <v>131</v>
      </c>
      <c r="Y128" s="1035">
        <v>13</v>
      </c>
      <c r="Z128" s="1035">
        <f t="shared" si="13"/>
        <v>1</v>
      </c>
      <c r="AA128" s="1035"/>
      <c r="AB128" s="1035"/>
      <c r="AC128" s="1021">
        <v>110565</v>
      </c>
      <c r="AD128" s="1021" t="s">
        <v>759</v>
      </c>
      <c r="AE128" s="1022">
        <f>VLOOKUP(AC128,[5]Hoja1!$A$10:$K$1393,11,0)</f>
        <v>0</v>
      </c>
      <c r="AF128" s="1022">
        <v>0</v>
      </c>
      <c r="AG128" s="1022">
        <f t="shared" si="14"/>
        <v>0</v>
      </c>
      <c r="AH128" s="1022">
        <f t="shared" si="15"/>
        <v>0</v>
      </c>
      <c r="AJ128" s="491"/>
      <c r="AK128" s="448"/>
      <c r="AL128" s="445"/>
    </row>
    <row r="129" spans="1:38" s="467" customFormat="1" ht="12.75" customHeight="1">
      <c r="A129" s="1033">
        <v>5113000</v>
      </c>
      <c r="B129" s="1033" t="s">
        <v>2726</v>
      </c>
      <c r="C129" s="1034"/>
      <c r="D129" s="1033"/>
      <c r="E129" s="1033"/>
      <c r="F129" s="1034"/>
      <c r="G129" s="1033"/>
      <c r="H129" s="1033"/>
      <c r="I129" s="1034"/>
      <c r="J129" s="1033"/>
      <c r="K129" s="1033"/>
      <c r="L129" s="1034"/>
      <c r="M129" s="1035"/>
      <c r="N129" s="1035"/>
      <c r="O129" s="1036"/>
      <c r="P129" s="1033"/>
      <c r="Q129" s="1033"/>
      <c r="R129" s="1034"/>
      <c r="S129" s="1035"/>
      <c r="T129" s="1035"/>
      <c r="U129" s="1034"/>
      <c r="V129" s="1035"/>
      <c r="W129" s="1035"/>
      <c r="X129" s="1037" t="str">
        <f t="shared" si="24"/>
        <v>131</v>
      </c>
      <c r="Y129" s="1035">
        <v>13</v>
      </c>
      <c r="Z129" s="1035">
        <f t="shared" si="13"/>
        <v>1</v>
      </c>
      <c r="AA129" s="1035"/>
      <c r="AB129" s="1035"/>
      <c r="AC129" s="1021">
        <v>110566</v>
      </c>
      <c r="AD129" s="1021" t="s">
        <v>1959</v>
      </c>
      <c r="AE129" s="1022">
        <f>VLOOKUP(AC129,[5]Hoja1!$A$10:$K$1393,11,0)</f>
        <v>4865273244</v>
      </c>
      <c r="AF129" s="1022">
        <v>0</v>
      </c>
      <c r="AG129" s="1022">
        <f t="shared" si="14"/>
        <v>4865273244</v>
      </c>
      <c r="AH129" s="1189">
        <f t="shared" si="15"/>
        <v>4865273</v>
      </c>
      <c r="AI129" s="467">
        <v>8133865</v>
      </c>
      <c r="AJ129" s="491"/>
      <c r="AK129" s="448"/>
      <c r="AL129" s="445"/>
    </row>
    <row r="130" spans="1:38" s="467" customFormat="1" ht="12.75" customHeight="1">
      <c r="A130" s="1033">
        <v>5113000</v>
      </c>
      <c r="B130" s="1033" t="s">
        <v>2726</v>
      </c>
      <c r="C130" s="1034"/>
      <c r="D130" s="1033"/>
      <c r="E130" s="1033"/>
      <c r="F130" s="1034"/>
      <c r="G130" s="1033"/>
      <c r="H130" s="1033"/>
      <c r="I130" s="1034"/>
      <c r="J130" s="1033"/>
      <c r="K130" s="1033"/>
      <c r="L130" s="1034"/>
      <c r="M130" s="1035"/>
      <c r="N130" s="1035"/>
      <c r="O130" s="1036"/>
      <c r="P130" s="1033"/>
      <c r="Q130" s="1033"/>
      <c r="R130" s="1034"/>
      <c r="S130" s="1035"/>
      <c r="T130" s="1035"/>
      <c r="U130" s="1034"/>
      <c r="V130" s="1035"/>
      <c r="W130" s="1035"/>
      <c r="X130" s="1037"/>
      <c r="Y130" s="1035"/>
      <c r="Z130" s="1035">
        <f t="shared" si="13"/>
        <v>1</v>
      </c>
      <c r="AA130" s="1035"/>
      <c r="AB130" s="1035"/>
      <c r="AC130" s="1021">
        <v>110567</v>
      </c>
      <c r="AD130" s="1021" t="s">
        <v>1541</v>
      </c>
      <c r="AE130" s="1022">
        <f>VLOOKUP(AC130,[5]Hoja1!$A$10:$K$1393,11,0)</f>
        <v>16398632954</v>
      </c>
      <c r="AF130" s="1022">
        <v>0</v>
      </c>
      <c r="AG130" s="1022">
        <f t="shared" si="14"/>
        <v>16398632954</v>
      </c>
      <c r="AH130" s="1022">
        <f t="shared" si="15"/>
        <v>16398633</v>
      </c>
      <c r="AJ130" s="491"/>
      <c r="AK130" s="448"/>
      <c r="AL130" s="445"/>
    </row>
    <row r="131" spans="1:38" s="467" customFormat="1" ht="12.75" customHeight="1">
      <c r="A131" s="1033">
        <v>5113000</v>
      </c>
      <c r="B131" s="1033" t="s">
        <v>2726</v>
      </c>
      <c r="C131" s="1034"/>
      <c r="D131" s="1033"/>
      <c r="E131" s="1033"/>
      <c r="F131" s="1034"/>
      <c r="G131" s="1033"/>
      <c r="H131" s="1033"/>
      <c r="I131" s="1034"/>
      <c r="J131" s="1033"/>
      <c r="K131" s="1033"/>
      <c r="L131" s="1034"/>
      <c r="M131" s="1035"/>
      <c r="N131" s="1035"/>
      <c r="O131" s="1036"/>
      <c r="P131" s="1033"/>
      <c r="Q131" s="1033"/>
      <c r="R131" s="1034"/>
      <c r="S131" s="1035"/>
      <c r="T131" s="1035"/>
      <c r="U131" s="1034"/>
      <c r="V131" s="1035"/>
      <c r="W131" s="1035"/>
      <c r="X131" s="1037" t="str">
        <f>+Y131&amp;Z131</f>
        <v>131</v>
      </c>
      <c r="Y131" s="1035">
        <v>13</v>
      </c>
      <c r="Z131" s="1035">
        <f t="shared" si="13"/>
        <v>1</v>
      </c>
      <c r="AA131" s="1035"/>
      <c r="AB131" s="1035"/>
      <c r="AC131" s="1021">
        <v>110568</v>
      </c>
      <c r="AD131" s="1021" t="s">
        <v>1280</v>
      </c>
      <c r="AE131" s="1022">
        <f>VLOOKUP(AC131,[5]Hoja1!$A$10:$K$1393,11,0)</f>
        <v>0</v>
      </c>
      <c r="AF131" s="1022">
        <v>0</v>
      </c>
      <c r="AG131" s="1022">
        <f t="shared" si="14"/>
        <v>0</v>
      </c>
      <c r="AH131" s="1189">
        <f t="shared" si="15"/>
        <v>0</v>
      </c>
      <c r="AJ131" s="491"/>
      <c r="AK131" s="448"/>
      <c r="AL131" s="445"/>
    </row>
    <row r="132" spans="1:38" s="467" customFormat="1" ht="12.75" customHeight="1">
      <c r="A132" s="1033">
        <v>5113000</v>
      </c>
      <c r="B132" s="1033" t="s">
        <v>2726</v>
      </c>
      <c r="C132" s="1034" t="str">
        <f>+D132&amp;E132</f>
        <v/>
      </c>
      <c r="D132" s="1033"/>
      <c r="E132" s="1033"/>
      <c r="F132" s="1034" t="str">
        <f>+G132&amp;H132</f>
        <v/>
      </c>
      <c r="G132" s="1033"/>
      <c r="H132" s="1033"/>
      <c r="I132" s="1034" t="str">
        <f>+J132&amp;K132</f>
        <v/>
      </c>
      <c r="J132" s="1033"/>
      <c r="K132" s="1033"/>
      <c r="L132" s="1034" t="str">
        <f>+M132&amp;N132</f>
        <v/>
      </c>
      <c r="M132" s="1035"/>
      <c r="N132" s="1035"/>
      <c r="O132" s="1036" t="str">
        <f>+P132&amp;Q132</f>
        <v/>
      </c>
      <c r="P132" s="1033"/>
      <c r="Q132" s="1033"/>
      <c r="R132" s="1034" t="str">
        <f>+S132&amp;T132</f>
        <v/>
      </c>
      <c r="S132" s="1035"/>
      <c r="T132" s="1035"/>
      <c r="U132" s="1034" t="str">
        <f>+V132&amp;W132</f>
        <v/>
      </c>
      <c r="V132" s="1035"/>
      <c r="W132" s="1035"/>
      <c r="X132" s="1037" t="str">
        <f>+Y132&amp;Z132</f>
        <v>131</v>
      </c>
      <c r="Y132" s="1035">
        <v>13</v>
      </c>
      <c r="Z132" s="1035">
        <f t="shared" si="13"/>
        <v>1</v>
      </c>
      <c r="AA132" s="1035"/>
      <c r="AB132" s="1035"/>
      <c r="AC132" s="1021">
        <v>110569</v>
      </c>
      <c r="AD132" s="1021" t="s">
        <v>1960</v>
      </c>
      <c r="AE132" s="1022">
        <f>VLOOKUP(AC132,[5]Hoja1!$A$10:$K$1393,11,0)</f>
        <v>9015496187</v>
      </c>
      <c r="AF132" s="1022">
        <v>0</v>
      </c>
      <c r="AG132" s="1022">
        <f t="shared" si="14"/>
        <v>9015496187</v>
      </c>
      <c r="AH132" s="1022">
        <f t="shared" si="15"/>
        <v>9015496</v>
      </c>
      <c r="AJ132" s="491"/>
      <c r="AK132" s="448"/>
      <c r="AL132" s="445"/>
    </row>
    <row r="133" spans="1:38" s="467" customFormat="1" ht="12.75" customHeight="1">
      <c r="A133" s="1033">
        <v>5113000</v>
      </c>
      <c r="B133" s="1033" t="s">
        <v>2726</v>
      </c>
      <c r="C133" s="1034" t="str">
        <f>+D133&amp;E133</f>
        <v/>
      </c>
      <c r="D133" s="1033"/>
      <c r="E133" s="1033"/>
      <c r="F133" s="1034" t="str">
        <f>+G133&amp;H133</f>
        <v/>
      </c>
      <c r="G133" s="1033"/>
      <c r="H133" s="1033"/>
      <c r="I133" s="1034" t="str">
        <f>+J133&amp;K133</f>
        <v/>
      </c>
      <c r="J133" s="1033"/>
      <c r="K133" s="1033"/>
      <c r="L133" s="1034" t="str">
        <f>+M133&amp;N133</f>
        <v/>
      </c>
      <c r="M133" s="1035"/>
      <c r="N133" s="1035"/>
      <c r="O133" s="1036" t="str">
        <f>+P133&amp;Q133</f>
        <v/>
      </c>
      <c r="P133" s="1033"/>
      <c r="Q133" s="1033"/>
      <c r="R133" s="1034" t="str">
        <f>+S133&amp;T133</f>
        <v/>
      </c>
      <c r="S133" s="1035"/>
      <c r="T133" s="1035"/>
      <c r="U133" s="1034" t="str">
        <f>+V133&amp;W133</f>
        <v/>
      </c>
      <c r="V133" s="1035"/>
      <c r="W133" s="1035"/>
      <c r="X133" s="1037" t="str">
        <f>+Y133&amp;Z133</f>
        <v>131</v>
      </c>
      <c r="Y133" s="1035">
        <v>13</v>
      </c>
      <c r="Z133" s="1035">
        <f t="shared" si="13"/>
        <v>1</v>
      </c>
      <c r="AA133" s="1035"/>
      <c r="AB133" s="1035"/>
      <c r="AC133" s="1021">
        <v>110570</v>
      </c>
      <c r="AD133" s="1021" t="s">
        <v>1961</v>
      </c>
      <c r="AE133" s="1022">
        <f>VLOOKUP(AC133,[5]Hoja1!$A$10:$K$1393,11,0)</f>
        <v>0</v>
      </c>
      <c r="AF133" s="1022">
        <v>0</v>
      </c>
      <c r="AG133" s="1022">
        <f t="shared" si="14"/>
        <v>0</v>
      </c>
      <c r="AH133" s="1189">
        <f t="shared" si="15"/>
        <v>0</v>
      </c>
      <c r="AJ133" s="491"/>
      <c r="AK133" s="448"/>
      <c r="AL133" s="445"/>
    </row>
    <row r="134" spans="1:38" s="467" customFormat="1" ht="12.75" customHeight="1">
      <c r="A134" s="1033">
        <v>5112000</v>
      </c>
      <c r="B134" s="1033" t="s">
        <v>2725</v>
      </c>
      <c r="C134" s="1034"/>
      <c r="D134" s="1033"/>
      <c r="E134" s="1033"/>
      <c r="F134" s="1034"/>
      <c r="G134" s="1033"/>
      <c r="H134" s="1033"/>
      <c r="I134" s="1034"/>
      <c r="J134" s="1033"/>
      <c r="K134" s="1033"/>
      <c r="L134" s="1034"/>
      <c r="M134" s="1035"/>
      <c r="N134" s="1035"/>
      <c r="O134" s="1036"/>
      <c r="P134" s="1033"/>
      <c r="Q134" s="1033"/>
      <c r="R134" s="1034"/>
      <c r="S134" s="1035"/>
      <c r="T134" s="1035"/>
      <c r="U134" s="1034"/>
      <c r="V134" s="1035"/>
      <c r="W134" s="1035"/>
      <c r="X134" s="1037"/>
      <c r="Y134" s="1035"/>
      <c r="Z134" s="1035">
        <f t="shared" si="13"/>
        <v>1</v>
      </c>
      <c r="AA134" s="1035"/>
      <c r="AB134" s="1035"/>
      <c r="AC134" s="1023">
        <v>110573</v>
      </c>
      <c r="AD134" s="1021" t="s">
        <v>2666</v>
      </c>
      <c r="AE134" s="1022">
        <f>VLOOKUP(AC134,[5]Hoja1!$A$10:$K$1393,11,0)</f>
        <v>223975618</v>
      </c>
      <c r="AF134" s="1022">
        <v>0</v>
      </c>
      <c r="AG134" s="1022">
        <f t="shared" si="14"/>
        <v>223975618</v>
      </c>
      <c r="AH134" s="1190">
        <f t="shared" si="15"/>
        <v>223976</v>
      </c>
      <c r="AJ134" s="491"/>
      <c r="AK134" s="448"/>
      <c r="AL134" s="445"/>
    </row>
    <row r="135" spans="1:38" s="467" customFormat="1" ht="12.75" customHeight="1">
      <c r="A135" s="1033">
        <v>5112000</v>
      </c>
      <c r="B135" s="1033" t="s">
        <v>2725</v>
      </c>
      <c r="C135" s="1034"/>
      <c r="D135" s="1033"/>
      <c r="E135" s="1033"/>
      <c r="F135" s="1034"/>
      <c r="G135" s="1033"/>
      <c r="H135" s="1033"/>
      <c r="I135" s="1034"/>
      <c r="J135" s="1033"/>
      <c r="K135" s="1033"/>
      <c r="L135" s="1034"/>
      <c r="M135" s="1035"/>
      <c r="N135" s="1035"/>
      <c r="O135" s="1036"/>
      <c r="P135" s="1033"/>
      <c r="Q135" s="1033"/>
      <c r="R135" s="1034"/>
      <c r="S135" s="1035"/>
      <c r="T135" s="1035"/>
      <c r="U135" s="1034"/>
      <c r="V135" s="1035"/>
      <c r="W135" s="1035"/>
      <c r="X135" s="1037"/>
      <c r="Y135" s="1035"/>
      <c r="Z135" s="1035">
        <f t="shared" si="13"/>
        <v>1</v>
      </c>
      <c r="AA135" s="1035"/>
      <c r="AB135" s="1035"/>
      <c r="AC135" s="1023">
        <v>110574</v>
      </c>
      <c r="AD135" s="1021" t="s">
        <v>2667</v>
      </c>
      <c r="AE135" s="1022">
        <f>VLOOKUP(AC135,[5]Hoja1!$A$10:$K$1393,11,0)</f>
        <v>223215030</v>
      </c>
      <c r="AF135" s="1022"/>
      <c r="AG135" s="1022">
        <f t="shared" si="14"/>
        <v>223215030</v>
      </c>
      <c r="AH135" s="1200">
        <f t="shared" si="15"/>
        <v>223215</v>
      </c>
      <c r="AJ135" s="491"/>
      <c r="AK135" s="448"/>
      <c r="AL135" s="445"/>
    </row>
    <row r="136" spans="1:38" s="467" customFormat="1" ht="12.75" customHeight="1">
      <c r="A136" s="1033">
        <v>5112000</v>
      </c>
      <c r="B136" s="1033" t="s">
        <v>2725</v>
      </c>
      <c r="C136" s="1034"/>
      <c r="D136" s="1033"/>
      <c r="E136" s="1033"/>
      <c r="F136" s="1034"/>
      <c r="G136" s="1033"/>
      <c r="H136" s="1033"/>
      <c r="I136" s="1034"/>
      <c r="J136" s="1033"/>
      <c r="K136" s="1033"/>
      <c r="L136" s="1034"/>
      <c r="M136" s="1035"/>
      <c r="N136" s="1035"/>
      <c r="O136" s="1036"/>
      <c r="P136" s="1033"/>
      <c r="Q136" s="1033"/>
      <c r="R136" s="1034"/>
      <c r="S136" s="1035"/>
      <c r="T136" s="1035"/>
      <c r="U136" s="1034"/>
      <c r="V136" s="1035"/>
      <c r="W136" s="1035"/>
      <c r="X136" s="1037"/>
      <c r="Y136" s="1035"/>
      <c r="Z136" s="1035">
        <f t="shared" si="13"/>
        <v>1</v>
      </c>
      <c r="AA136" s="1035"/>
      <c r="AB136" s="1035"/>
      <c r="AC136" s="1023">
        <v>110575</v>
      </c>
      <c r="AD136" s="1021" t="s">
        <v>2668</v>
      </c>
      <c r="AE136" s="1022">
        <f>VLOOKUP(AC136,[5]Hoja1!$A$10:$K$1393,11,0)</f>
        <v>569319946</v>
      </c>
      <c r="AF136" s="1191">
        <v>2209255</v>
      </c>
      <c r="AG136" s="1022">
        <f t="shared" si="14"/>
        <v>571529201</v>
      </c>
      <c r="AH136" s="1187">
        <f t="shared" si="15"/>
        <v>571529</v>
      </c>
      <c r="AJ136" s="491"/>
      <c r="AK136" s="448"/>
      <c r="AL136" s="445"/>
    </row>
    <row r="137" spans="1:38" s="467" customFormat="1" ht="12.75" customHeight="1">
      <c r="A137" s="1033">
        <v>5112000</v>
      </c>
      <c r="B137" s="1033" t="s">
        <v>2725</v>
      </c>
      <c r="C137" s="1034"/>
      <c r="D137" s="1033"/>
      <c r="E137" s="1033"/>
      <c r="F137" s="1034"/>
      <c r="G137" s="1033"/>
      <c r="H137" s="1033"/>
      <c r="I137" s="1034"/>
      <c r="J137" s="1033"/>
      <c r="K137" s="1033"/>
      <c r="L137" s="1034"/>
      <c r="M137" s="1035"/>
      <c r="N137" s="1035"/>
      <c r="O137" s="1036"/>
      <c r="P137" s="1033"/>
      <c r="Q137" s="1033"/>
      <c r="R137" s="1034"/>
      <c r="S137" s="1035"/>
      <c r="T137" s="1035"/>
      <c r="U137" s="1034"/>
      <c r="V137" s="1035"/>
      <c r="W137" s="1035"/>
      <c r="X137" s="1037"/>
      <c r="Y137" s="1035"/>
      <c r="Z137" s="1035">
        <f t="shared" si="13"/>
        <v>1</v>
      </c>
      <c r="AA137" s="1035"/>
      <c r="AB137" s="1035"/>
      <c r="AC137" s="1023">
        <v>110576</v>
      </c>
      <c r="AD137" s="1021" t="s">
        <v>2669</v>
      </c>
      <c r="AE137" s="1022">
        <f>VLOOKUP(AC137,[5]Hoja1!$A$10:$K$1393,11,0)</f>
        <v>62638708</v>
      </c>
      <c r="AF137" s="1022"/>
      <c r="AG137" s="1022">
        <f t="shared" si="14"/>
        <v>62638708</v>
      </c>
      <c r="AH137" s="1195">
        <f t="shared" si="15"/>
        <v>62639</v>
      </c>
      <c r="AJ137" s="491"/>
      <c r="AK137" s="448"/>
      <c r="AL137" s="445"/>
    </row>
    <row r="138" spans="1:38" s="467" customFormat="1" ht="12.75" customHeight="1">
      <c r="A138" s="1033">
        <v>5112000</v>
      </c>
      <c r="B138" s="1033" t="s">
        <v>2725</v>
      </c>
      <c r="C138" s="1034"/>
      <c r="D138" s="1033"/>
      <c r="E138" s="1033"/>
      <c r="F138" s="1034"/>
      <c r="G138" s="1033"/>
      <c r="H138" s="1033"/>
      <c r="I138" s="1034"/>
      <c r="J138" s="1033"/>
      <c r="K138" s="1033"/>
      <c r="L138" s="1034"/>
      <c r="M138" s="1035"/>
      <c r="N138" s="1035"/>
      <c r="O138" s="1036"/>
      <c r="P138" s="1033"/>
      <c r="Q138" s="1033"/>
      <c r="R138" s="1034"/>
      <c r="S138" s="1035"/>
      <c r="T138" s="1035"/>
      <c r="U138" s="1034"/>
      <c r="V138" s="1035"/>
      <c r="W138" s="1035"/>
      <c r="X138" s="1037"/>
      <c r="Y138" s="1035"/>
      <c r="Z138" s="1035">
        <f t="shared" si="13"/>
        <v>1</v>
      </c>
      <c r="AA138" s="1035"/>
      <c r="AB138" s="1035"/>
      <c r="AC138" s="1023">
        <v>110577</v>
      </c>
      <c r="AD138" s="1021" t="s">
        <v>2670</v>
      </c>
      <c r="AE138" s="1022">
        <f>VLOOKUP(AC138,[5]Hoja1!$A$10:$K$1393,11,0)</f>
        <v>6498602194</v>
      </c>
      <c r="AF138" s="1022">
        <v>0</v>
      </c>
      <c r="AG138" s="1022">
        <f t="shared" si="14"/>
        <v>6498602194</v>
      </c>
      <c r="AH138" s="1188">
        <f t="shared" si="15"/>
        <v>6498602</v>
      </c>
      <c r="AJ138" s="491"/>
      <c r="AK138" s="448"/>
      <c r="AL138" s="445"/>
    </row>
    <row r="139" spans="1:38" s="467" customFormat="1" ht="12.75" customHeight="1">
      <c r="A139" s="1033">
        <v>5112000</v>
      </c>
      <c r="B139" s="1033" t="s">
        <v>2725</v>
      </c>
      <c r="C139" s="1034"/>
      <c r="D139" s="1033"/>
      <c r="E139" s="1033"/>
      <c r="F139" s="1034"/>
      <c r="G139" s="1033"/>
      <c r="H139" s="1033"/>
      <c r="I139" s="1034"/>
      <c r="J139" s="1033"/>
      <c r="K139" s="1033"/>
      <c r="L139" s="1034"/>
      <c r="M139" s="1035"/>
      <c r="N139" s="1035"/>
      <c r="O139" s="1036"/>
      <c r="P139" s="1033"/>
      <c r="Q139" s="1033"/>
      <c r="R139" s="1034"/>
      <c r="S139" s="1035"/>
      <c r="T139" s="1035"/>
      <c r="U139" s="1034"/>
      <c r="V139" s="1035"/>
      <c r="W139" s="1035"/>
      <c r="X139" s="1037"/>
      <c r="Y139" s="1035"/>
      <c r="Z139" s="1035">
        <f t="shared" ref="Z139:Z202" si="25">VALUE(LEFT(AC139,1))</f>
        <v>1</v>
      </c>
      <c r="AA139" s="1035"/>
      <c r="AB139" s="1035"/>
      <c r="AC139" s="1023">
        <v>110578</v>
      </c>
      <c r="AD139" s="1021" t="s">
        <v>2671</v>
      </c>
      <c r="AE139" s="1022">
        <f>VLOOKUP(AC139,[5]Hoja1!$A$10:$K$1393,11,0)</f>
        <v>332748871</v>
      </c>
      <c r="AF139" s="1022">
        <v>0</v>
      </c>
      <c r="AG139" s="1022">
        <f t="shared" ref="AG139:AG202" si="26">AE139+AF139</f>
        <v>332748871</v>
      </c>
      <c r="AH139" s="1189">
        <f t="shared" ref="AH139:AH202" si="27">ROUND((AE139+AF139)/$AH$2,0)</f>
        <v>332749</v>
      </c>
      <c r="AJ139" s="491"/>
      <c r="AK139" s="448"/>
      <c r="AL139" s="445"/>
    </row>
    <row r="140" spans="1:38" s="467" customFormat="1" ht="12.75" customHeight="1">
      <c r="A140" s="1033">
        <v>5112000</v>
      </c>
      <c r="B140" s="1033" t="s">
        <v>2725</v>
      </c>
      <c r="C140" s="1034"/>
      <c r="D140" s="1033"/>
      <c r="E140" s="1033"/>
      <c r="F140" s="1034"/>
      <c r="G140" s="1033"/>
      <c r="H140" s="1033"/>
      <c r="I140" s="1034"/>
      <c r="J140" s="1033"/>
      <c r="K140" s="1033"/>
      <c r="L140" s="1034"/>
      <c r="M140" s="1035"/>
      <c r="N140" s="1035"/>
      <c r="O140" s="1036"/>
      <c r="P140" s="1033"/>
      <c r="Q140" s="1033"/>
      <c r="R140" s="1034"/>
      <c r="S140" s="1035"/>
      <c r="T140" s="1035"/>
      <c r="U140" s="1034"/>
      <c r="V140" s="1035"/>
      <c r="W140" s="1035"/>
      <c r="X140" s="1037"/>
      <c r="Y140" s="1035"/>
      <c r="Z140" s="1035">
        <f t="shared" si="25"/>
        <v>1</v>
      </c>
      <c r="AA140" s="1035"/>
      <c r="AB140" s="1035"/>
      <c r="AC140" s="1023">
        <v>110579</v>
      </c>
      <c r="AD140" s="1021" t="s">
        <v>2672</v>
      </c>
      <c r="AE140" s="1022">
        <f>VLOOKUP(AC140,[5]Hoja1!$A$10:$K$1393,11,0)</f>
        <v>4685531</v>
      </c>
      <c r="AF140" s="1022"/>
      <c r="AG140" s="1022">
        <f t="shared" si="26"/>
        <v>4685531</v>
      </c>
      <c r="AH140" s="1200">
        <f t="shared" si="27"/>
        <v>4686</v>
      </c>
      <c r="AJ140" s="491"/>
      <c r="AK140" s="448"/>
      <c r="AL140" s="445"/>
    </row>
    <row r="141" spans="1:38" s="467" customFormat="1" ht="12.75" customHeight="1">
      <c r="A141" s="1033">
        <v>5112000</v>
      </c>
      <c r="B141" s="1033" t="s">
        <v>2725</v>
      </c>
      <c r="C141" s="1034"/>
      <c r="D141" s="1033"/>
      <c r="E141" s="1033"/>
      <c r="F141" s="1034"/>
      <c r="G141" s="1033"/>
      <c r="H141" s="1033"/>
      <c r="I141" s="1034"/>
      <c r="J141" s="1033"/>
      <c r="K141" s="1033"/>
      <c r="L141" s="1034"/>
      <c r="M141" s="1035"/>
      <c r="N141" s="1035"/>
      <c r="O141" s="1036"/>
      <c r="P141" s="1033"/>
      <c r="Q141" s="1033"/>
      <c r="R141" s="1034"/>
      <c r="S141" s="1035"/>
      <c r="T141" s="1035"/>
      <c r="U141" s="1034"/>
      <c r="V141" s="1035"/>
      <c r="W141" s="1035"/>
      <c r="X141" s="1037"/>
      <c r="Y141" s="1035"/>
      <c r="Z141" s="1035">
        <f t="shared" si="25"/>
        <v>1</v>
      </c>
      <c r="AA141" s="1035"/>
      <c r="AB141" s="1035"/>
      <c r="AC141" s="1023">
        <v>110580</v>
      </c>
      <c r="AD141" s="1021" t="s">
        <v>2673</v>
      </c>
      <c r="AE141" s="1022">
        <f>VLOOKUP(AC141,[5]Hoja1!$A$10:$K$1393,11,0)</f>
        <v>751484582</v>
      </c>
      <c r="AF141" s="1022"/>
      <c r="AG141" s="1022">
        <f t="shared" si="26"/>
        <v>751484582</v>
      </c>
      <c r="AH141" s="1187">
        <f t="shared" si="27"/>
        <v>751485</v>
      </c>
      <c r="AJ141" s="491"/>
      <c r="AK141" s="448"/>
      <c r="AL141" s="445"/>
    </row>
    <row r="142" spans="1:38" s="467" customFormat="1" ht="12.75" customHeight="1">
      <c r="A142" s="1033">
        <v>5112000</v>
      </c>
      <c r="B142" s="1033" t="s">
        <v>2725</v>
      </c>
      <c r="C142" s="1034"/>
      <c r="D142" s="1033"/>
      <c r="E142" s="1033"/>
      <c r="F142" s="1034"/>
      <c r="G142" s="1033"/>
      <c r="H142" s="1033"/>
      <c r="I142" s="1034"/>
      <c r="J142" s="1033"/>
      <c r="K142" s="1033"/>
      <c r="L142" s="1034"/>
      <c r="M142" s="1035"/>
      <c r="N142" s="1035"/>
      <c r="O142" s="1036"/>
      <c r="P142" s="1033"/>
      <c r="Q142" s="1033"/>
      <c r="R142" s="1034"/>
      <c r="S142" s="1035"/>
      <c r="T142" s="1035"/>
      <c r="U142" s="1034"/>
      <c r="V142" s="1035"/>
      <c r="W142" s="1035"/>
      <c r="X142" s="1037"/>
      <c r="Y142" s="1035"/>
      <c r="Z142" s="1035">
        <f t="shared" si="25"/>
        <v>1</v>
      </c>
      <c r="AA142" s="1035"/>
      <c r="AB142" s="1035"/>
      <c r="AC142" s="1023">
        <v>110581</v>
      </c>
      <c r="AD142" s="1021" t="s">
        <v>2674</v>
      </c>
      <c r="AE142" s="1022">
        <f>VLOOKUP(AC142,[5]Hoja1!$A$10:$K$1393,11,0)</f>
        <v>682452101</v>
      </c>
      <c r="AF142" s="1022"/>
      <c r="AG142" s="1022">
        <f t="shared" si="26"/>
        <v>682452101</v>
      </c>
      <c r="AH142" s="1187">
        <f t="shared" si="27"/>
        <v>682452</v>
      </c>
      <c r="AJ142" s="491"/>
      <c r="AK142" s="448"/>
      <c r="AL142" s="445"/>
    </row>
    <row r="143" spans="1:38" s="467" customFormat="1" ht="12.75" customHeight="1">
      <c r="A143" s="1033">
        <v>5112000</v>
      </c>
      <c r="B143" s="1033" t="s">
        <v>2725</v>
      </c>
      <c r="C143" s="1034"/>
      <c r="D143" s="1033"/>
      <c r="E143" s="1033"/>
      <c r="F143" s="1034"/>
      <c r="G143" s="1033"/>
      <c r="H143" s="1033"/>
      <c r="I143" s="1034"/>
      <c r="J143" s="1033"/>
      <c r="K143" s="1033"/>
      <c r="L143" s="1034"/>
      <c r="M143" s="1035"/>
      <c r="N143" s="1035"/>
      <c r="O143" s="1036"/>
      <c r="P143" s="1033"/>
      <c r="Q143" s="1033"/>
      <c r="R143" s="1034"/>
      <c r="S143" s="1035"/>
      <c r="T143" s="1035"/>
      <c r="U143" s="1034"/>
      <c r="V143" s="1035"/>
      <c r="W143" s="1035"/>
      <c r="X143" s="1037"/>
      <c r="Y143" s="1035"/>
      <c r="Z143" s="1035">
        <f t="shared" si="25"/>
        <v>1</v>
      </c>
      <c r="AA143" s="1035"/>
      <c r="AB143" s="1035"/>
      <c r="AC143" s="1023">
        <v>110582</v>
      </c>
      <c r="AD143" s="1021" t="s">
        <v>2675</v>
      </c>
      <c r="AE143" s="1022">
        <f>VLOOKUP(AC143,[5]Hoja1!$A$10:$K$1393,11,0)</f>
        <v>0</v>
      </c>
      <c r="AF143" s="1022">
        <v>0</v>
      </c>
      <c r="AG143" s="1022">
        <f t="shared" si="26"/>
        <v>0</v>
      </c>
      <c r="AH143" s="1187">
        <f t="shared" si="27"/>
        <v>0</v>
      </c>
      <c r="AJ143" s="491"/>
      <c r="AK143" s="448"/>
      <c r="AL143" s="445"/>
    </row>
    <row r="144" spans="1:38" s="467" customFormat="1" ht="12.75" customHeight="1">
      <c r="A144" s="1033"/>
      <c r="B144" s="1033"/>
      <c r="C144" s="1034"/>
      <c r="D144" s="1033"/>
      <c r="E144" s="1033"/>
      <c r="F144" s="1034"/>
      <c r="G144" s="1033"/>
      <c r="H144" s="1033"/>
      <c r="I144" s="1034"/>
      <c r="J144" s="1033"/>
      <c r="K144" s="1033"/>
      <c r="L144" s="1034"/>
      <c r="M144" s="1035"/>
      <c r="N144" s="1035"/>
      <c r="O144" s="1036"/>
      <c r="P144" s="1033"/>
      <c r="Q144" s="1033"/>
      <c r="R144" s="1034"/>
      <c r="S144" s="1035"/>
      <c r="T144" s="1035"/>
      <c r="U144" s="1034"/>
      <c r="V144" s="1035"/>
      <c r="W144" s="1035"/>
      <c r="X144" s="1037"/>
      <c r="Y144" s="1035"/>
      <c r="Z144" s="1035">
        <f t="shared" si="25"/>
        <v>1</v>
      </c>
      <c r="AA144" s="1035"/>
      <c r="AB144" s="1035"/>
      <c r="AC144" s="1023">
        <v>110587</v>
      </c>
      <c r="AD144" s="1021" t="s">
        <v>2676</v>
      </c>
      <c r="AE144" s="1022">
        <f>VLOOKUP(AC144,[5]Hoja1!$A$10:$K$1393,11,0)</f>
        <v>0</v>
      </c>
      <c r="AF144" s="1022"/>
      <c r="AG144" s="1022">
        <f t="shared" si="26"/>
        <v>0</v>
      </c>
      <c r="AH144" s="1022">
        <f t="shared" si="27"/>
        <v>0</v>
      </c>
      <c r="AJ144" s="491"/>
      <c r="AK144" s="448"/>
      <c r="AL144" s="445"/>
    </row>
    <row r="145" spans="1:38" s="467" customFormat="1" ht="12.75" customHeight="1">
      <c r="A145" s="1033">
        <v>5112000</v>
      </c>
      <c r="B145" s="1033" t="s">
        <v>2725</v>
      </c>
      <c r="C145" s="1034" t="str">
        <f t="shared" si="16"/>
        <v/>
      </c>
      <c r="D145" s="1033"/>
      <c r="E145" s="1033"/>
      <c r="F145" s="1034" t="str">
        <f t="shared" si="17"/>
        <v/>
      </c>
      <c r="G145" s="1033"/>
      <c r="H145" s="1033"/>
      <c r="I145" s="1034" t="str">
        <f t="shared" si="18"/>
        <v/>
      </c>
      <c r="J145" s="1033"/>
      <c r="K145" s="1033"/>
      <c r="L145" s="1034" t="str">
        <f t="shared" si="19"/>
        <v/>
      </c>
      <c r="M145" s="1035"/>
      <c r="N145" s="1035"/>
      <c r="O145" s="1036" t="str">
        <f t="shared" si="20"/>
        <v/>
      </c>
      <c r="P145" s="1033"/>
      <c r="Q145" s="1033"/>
      <c r="R145" s="1034" t="str">
        <f t="shared" si="21"/>
        <v/>
      </c>
      <c r="S145" s="1035"/>
      <c r="T145" s="1035"/>
      <c r="U145" s="1034" t="str">
        <f t="shared" si="22"/>
        <v/>
      </c>
      <c r="V145" s="1035"/>
      <c r="W145" s="1035"/>
      <c r="X145" s="1037" t="str">
        <f t="shared" ref="X145:X150" si="28">+Y145&amp;Z145</f>
        <v>221</v>
      </c>
      <c r="Y145" s="1035">
        <v>22</v>
      </c>
      <c r="Z145" s="1035">
        <f t="shared" si="25"/>
        <v>1</v>
      </c>
      <c r="AA145" s="1035"/>
      <c r="AB145" s="1035"/>
      <c r="AC145" s="1021">
        <v>110601</v>
      </c>
      <c r="AD145" s="1021" t="s">
        <v>1962</v>
      </c>
      <c r="AE145" s="1022">
        <f>VLOOKUP(AC145,[5]Hoja1!$A$10:$K$1393,11,0)</f>
        <v>46421005787</v>
      </c>
      <c r="AF145" s="1022">
        <v>0</v>
      </c>
      <c r="AG145" s="1022">
        <f t="shared" si="26"/>
        <v>46421005787</v>
      </c>
      <c r="AH145" s="1194">
        <f t="shared" si="27"/>
        <v>46421006</v>
      </c>
      <c r="AK145" s="448"/>
      <c r="AL145" s="445"/>
    </row>
    <row r="146" spans="1:38" s="467" customFormat="1" ht="12.75" customHeight="1">
      <c r="A146" s="1033">
        <v>5112000</v>
      </c>
      <c r="B146" s="1033" t="s">
        <v>2725</v>
      </c>
      <c r="C146" s="1034" t="str">
        <f t="shared" si="16"/>
        <v/>
      </c>
      <c r="D146" s="1033"/>
      <c r="E146" s="1033"/>
      <c r="F146" s="1034" t="str">
        <f t="shared" si="17"/>
        <v/>
      </c>
      <c r="G146" s="1033"/>
      <c r="H146" s="1033"/>
      <c r="I146" s="1034" t="str">
        <f t="shared" si="18"/>
        <v/>
      </c>
      <c r="J146" s="1033"/>
      <c r="K146" s="1033"/>
      <c r="L146" s="1034" t="str">
        <f t="shared" si="19"/>
        <v/>
      </c>
      <c r="M146" s="1035"/>
      <c r="N146" s="1035"/>
      <c r="O146" s="1036" t="str">
        <f t="shared" si="20"/>
        <v/>
      </c>
      <c r="P146" s="1035"/>
      <c r="Q146" s="1033"/>
      <c r="R146" s="1034" t="str">
        <f t="shared" si="21"/>
        <v/>
      </c>
      <c r="S146" s="1035"/>
      <c r="T146" s="1035"/>
      <c r="U146" s="1034" t="str">
        <f t="shared" si="22"/>
        <v/>
      </c>
      <c r="V146" s="1035"/>
      <c r="W146" s="1035"/>
      <c r="X146" s="1037" t="str">
        <f t="shared" si="28"/>
        <v>221</v>
      </c>
      <c r="Y146" s="1035">
        <v>22</v>
      </c>
      <c r="Z146" s="1035">
        <f t="shared" si="25"/>
        <v>1</v>
      </c>
      <c r="AA146" s="1035"/>
      <c r="AB146" s="1035"/>
      <c r="AC146" s="1021">
        <v>110602</v>
      </c>
      <c r="AD146" s="1021" t="s">
        <v>1963</v>
      </c>
      <c r="AE146" s="1022">
        <f>VLOOKUP(AC146,[5]Hoja1!$A$10:$K$1393,11,0)</f>
        <v>3253941464</v>
      </c>
      <c r="AF146" s="1022">
        <v>0</v>
      </c>
      <c r="AG146" s="1022">
        <f t="shared" si="26"/>
        <v>3253941464</v>
      </c>
      <c r="AH146" s="1194">
        <f t="shared" si="27"/>
        <v>3253941</v>
      </c>
      <c r="AK146" s="448"/>
      <c r="AL146" s="445"/>
    </row>
    <row r="147" spans="1:38" s="467" customFormat="1" ht="12.75" customHeight="1">
      <c r="A147" s="1033">
        <v>5112000</v>
      </c>
      <c r="B147" s="1033" t="s">
        <v>2725</v>
      </c>
      <c r="C147" s="1034" t="str">
        <f t="shared" si="16"/>
        <v/>
      </c>
      <c r="D147" s="1033"/>
      <c r="E147" s="1033"/>
      <c r="F147" s="1034" t="str">
        <f t="shared" si="17"/>
        <v/>
      </c>
      <c r="G147" s="1033"/>
      <c r="H147" s="1033"/>
      <c r="I147" s="1034" t="str">
        <f t="shared" si="18"/>
        <v/>
      </c>
      <c r="J147" s="1033"/>
      <c r="K147" s="1033"/>
      <c r="L147" s="1034" t="str">
        <f t="shared" si="19"/>
        <v/>
      </c>
      <c r="M147" s="1035"/>
      <c r="N147" s="1035"/>
      <c r="O147" s="1036" t="str">
        <f t="shared" si="20"/>
        <v/>
      </c>
      <c r="P147" s="1035"/>
      <c r="Q147" s="1033"/>
      <c r="R147" s="1034" t="str">
        <f t="shared" si="21"/>
        <v/>
      </c>
      <c r="S147" s="1035"/>
      <c r="T147" s="1035"/>
      <c r="U147" s="1034" t="str">
        <f t="shared" si="22"/>
        <v/>
      </c>
      <c r="V147" s="1035"/>
      <c r="W147" s="1035"/>
      <c r="X147" s="1037" t="str">
        <f t="shared" si="28"/>
        <v>221</v>
      </c>
      <c r="Y147" s="1035">
        <v>22</v>
      </c>
      <c r="Z147" s="1035">
        <f t="shared" si="25"/>
        <v>1</v>
      </c>
      <c r="AA147" s="1035"/>
      <c r="AB147" s="1035"/>
      <c r="AC147" s="1021">
        <v>110603</v>
      </c>
      <c r="AD147" s="1021" t="s">
        <v>1964</v>
      </c>
      <c r="AE147" s="1022">
        <f>VLOOKUP(AC147,[5]Hoja1!$A$10:$K$1393,11,0)</f>
        <v>33560959157</v>
      </c>
      <c r="AF147" s="1427">
        <v>-3483781807</v>
      </c>
      <c r="AG147" s="1022">
        <f t="shared" si="26"/>
        <v>30077177350</v>
      </c>
      <c r="AH147" s="1191">
        <f t="shared" si="27"/>
        <v>30077177</v>
      </c>
      <c r="AI147" s="445">
        <f>+AH147+AH148+AH521+AH525+AH530+AH531+AH532+AH533+AH534+AH535</f>
        <v>39707582</v>
      </c>
      <c r="AJ147" s="467">
        <v>27748916</v>
      </c>
      <c r="AK147" s="448"/>
      <c r="AL147" s="445"/>
    </row>
    <row r="148" spans="1:38" s="467" customFormat="1" ht="12.75" customHeight="1">
      <c r="A148" s="1033">
        <v>5112000</v>
      </c>
      <c r="B148" s="1033" t="s">
        <v>2725</v>
      </c>
      <c r="C148" s="1034" t="str">
        <f t="shared" si="16"/>
        <v/>
      </c>
      <c r="D148" s="1033"/>
      <c r="E148" s="1033"/>
      <c r="F148" s="1034" t="str">
        <f t="shared" si="17"/>
        <v/>
      </c>
      <c r="G148" s="1033"/>
      <c r="H148" s="1033"/>
      <c r="I148" s="1034" t="str">
        <f t="shared" si="18"/>
        <v/>
      </c>
      <c r="J148" s="1033"/>
      <c r="K148" s="1033"/>
      <c r="L148" s="1034" t="str">
        <f t="shared" si="19"/>
        <v/>
      </c>
      <c r="M148" s="1035"/>
      <c r="N148" s="1035"/>
      <c r="O148" s="1036" t="str">
        <f t="shared" si="20"/>
        <v/>
      </c>
      <c r="P148" s="1033"/>
      <c r="Q148" s="1033"/>
      <c r="R148" s="1034" t="str">
        <f t="shared" si="21"/>
        <v/>
      </c>
      <c r="S148" s="1035"/>
      <c r="T148" s="1035"/>
      <c r="U148" s="1034" t="str">
        <f t="shared" si="22"/>
        <v/>
      </c>
      <c r="V148" s="1035"/>
      <c r="W148" s="1035"/>
      <c r="X148" s="1037" t="str">
        <f t="shared" si="28"/>
        <v>221</v>
      </c>
      <c r="Y148" s="1035">
        <v>22</v>
      </c>
      <c r="Z148" s="1035">
        <f t="shared" si="25"/>
        <v>1</v>
      </c>
      <c r="AA148" s="1035"/>
      <c r="AB148" s="1035"/>
      <c r="AC148" s="1021">
        <v>110604</v>
      </c>
      <c r="AD148" s="1021" t="s">
        <v>1965</v>
      </c>
      <c r="AE148" s="1022">
        <f>VLOOKUP(AC148,[5]Hoja1!$A$10:$K$1393,11,0)</f>
        <v>8912413754</v>
      </c>
      <c r="AF148" s="1022">
        <v>0</v>
      </c>
      <c r="AG148" s="1022">
        <f t="shared" si="26"/>
        <v>8912413754</v>
      </c>
      <c r="AH148" s="1191">
        <f t="shared" si="27"/>
        <v>8912414</v>
      </c>
      <c r="AK148" s="448"/>
      <c r="AL148" s="445"/>
    </row>
    <row r="149" spans="1:38" s="467" customFormat="1" ht="12.75" customHeight="1">
      <c r="A149" s="1033">
        <v>5112000</v>
      </c>
      <c r="B149" s="1033" t="s">
        <v>2725</v>
      </c>
      <c r="C149" s="1034" t="str">
        <f t="shared" si="16"/>
        <v/>
      </c>
      <c r="D149" s="1033"/>
      <c r="E149" s="1033"/>
      <c r="F149" s="1034" t="str">
        <f t="shared" si="17"/>
        <v/>
      </c>
      <c r="G149" s="1033"/>
      <c r="H149" s="1033"/>
      <c r="I149" s="1034" t="str">
        <f t="shared" si="18"/>
        <v/>
      </c>
      <c r="J149" s="1033"/>
      <c r="K149" s="1033"/>
      <c r="L149" s="1034" t="str">
        <f t="shared" si="19"/>
        <v/>
      </c>
      <c r="M149" s="1035"/>
      <c r="N149" s="1035"/>
      <c r="O149" s="1036" t="str">
        <f t="shared" si="20"/>
        <v/>
      </c>
      <c r="P149" s="1035"/>
      <c r="Q149" s="1033"/>
      <c r="R149" s="1034" t="str">
        <f t="shared" si="21"/>
        <v/>
      </c>
      <c r="S149" s="1035"/>
      <c r="T149" s="1035"/>
      <c r="U149" s="1034" t="str">
        <f t="shared" si="22"/>
        <v/>
      </c>
      <c r="V149" s="1035"/>
      <c r="W149" s="1035"/>
      <c r="X149" s="1037" t="str">
        <f t="shared" si="28"/>
        <v>221</v>
      </c>
      <c r="Y149" s="1035">
        <v>22</v>
      </c>
      <c r="Z149" s="1035">
        <f t="shared" si="25"/>
        <v>1</v>
      </c>
      <c r="AA149" s="1035"/>
      <c r="AB149" s="1035"/>
      <c r="AC149" s="1021">
        <v>110605</v>
      </c>
      <c r="AD149" s="1021" t="s">
        <v>1966</v>
      </c>
      <c r="AE149" s="1022">
        <f>VLOOKUP(AC149,[5]Hoja1!$A$10:$K$1393,11,0)</f>
        <v>84417114</v>
      </c>
      <c r="AF149" s="1022">
        <v>0</v>
      </c>
      <c r="AG149" s="1022">
        <f t="shared" si="26"/>
        <v>84417114</v>
      </c>
      <c r="AH149" s="1022">
        <f t="shared" si="27"/>
        <v>84417</v>
      </c>
      <c r="AK149" s="448"/>
      <c r="AL149" s="445"/>
    </row>
    <row r="150" spans="1:38" s="467" customFormat="1" ht="12.75" customHeight="1">
      <c r="A150" s="1033"/>
      <c r="B150" s="1033"/>
      <c r="C150" s="1034" t="str">
        <f>+D150&amp;E150</f>
        <v/>
      </c>
      <c r="D150" s="1033"/>
      <c r="E150" s="1033"/>
      <c r="F150" s="1034" t="str">
        <f>+G150&amp;H150</f>
        <v/>
      </c>
      <c r="G150" s="1033"/>
      <c r="H150" s="1033"/>
      <c r="I150" s="1034" t="str">
        <f>+J150&amp;K150</f>
        <v/>
      </c>
      <c r="J150" s="1033"/>
      <c r="K150" s="1033"/>
      <c r="L150" s="1034" t="str">
        <f>+M150&amp;N150</f>
        <v/>
      </c>
      <c r="M150" s="1035"/>
      <c r="N150" s="1035"/>
      <c r="O150" s="1036" t="str">
        <f>+P150&amp;Q150</f>
        <v/>
      </c>
      <c r="P150" s="1035"/>
      <c r="Q150" s="1033"/>
      <c r="R150" s="1034" t="str">
        <f>+S150&amp;T150</f>
        <v/>
      </c>
      <c r="S150" s="1035"/>
      <c r="T150" s="1035"/>
      <c r="U150" s="1034" t="str">
        <f>+V150&amp;W150</f>
        <v/>
      </c>
      <c r="V150" s="1035"/>
      <c r="W150" s="1035"/>
      <c r="X150" s="1037" t="str">
        <f t="shared" si="28"/>
        <v>221</v>
      </c>
      <c r="Y150" s="1035">
        <v>22</v>
      </c>
      <c r="Z150" s="1035">
        <f t="shared" si="25"/>
        <v>1</v>
      </c>
      <c r="AA150" s="1035"/>
      <c r="AB150" s="1035"/>
      <c r="AC150" s="1021">
        <v>110606</v>
      </c>
      <c r="AD150" s="1021" t="s">
        <v>2550</v>
      </c>
      <c r="AE150" s="1022">
        <f>VLOOKUP(AC150,[5]Hoja1!$A$10:$K$1393,11,0)</f>
        <v>0</v>
      </c>
      <c r="AF150" s="1022"/>
      <c r="AG150" s="1022">
        <f t="shared" si="26"/>
        <v>0</v>
      </c>
      <c r="AH150" s="1022">
        <f t="shared" si="27"/>
        <v>0</v>
      </c>
      <c r="AK150" s="448"/>
      <c r="AL150" s="445"/>
    </row>
    <row r="151" spans="1:38" s="467" customFormat="1" ht="12.75" customHeight="1">
      <c r="A151" s="1033">
        <v>5112000</v>
      </c>
      <c r="B151" s="1033" t="s">
        <v>2725</v>
      </c>
      <c r="C151" s="1034" t="str">
        <f t="shared" si="16"/>
        <v/>
      </c>
      <c r="D151" s="1033"/>
      <c r="E151" s="1033"/>
      <c r="F151" s="1034" t="str">
        <f t="shared" si="17"/>
        <v/>
      </c>
      <c r="G151" s="1033"/>
      <c r="H151" s="1033"/>
      <c r="I151" s="1034" t="str">
        <f t="shared" si="18"/>
        <v/>
      </c>
      <c r="J151" s="1033"/>
      <c r="K151" s="1033"/>
      <c r="L151" s="1034" t="str">
        <f t="shared" si="19"/>
        <v/>
      </c>
      <c r="M151" s="1035"/>
      <c r="N151" s="1035"/>
      <c r="O151" s="1036" t="str">
        <f t="shared" si="20"/>
        <v/>
      </c>
      <c r="P151" s="1035"/>
      <c r="Q151" s="1033"/>
      <c r="R151" s="1034" t="str">
        <f t="shared" si="21"/>
        <v/>
      </c>
      <c r="S151" s="1035"/>
      <c r="T151" s="1035"/>
      <c r="U151" s="1034" t="str">
        <f t="shared" si="22"/>
        <v/>
      </c>
      <c r="V151" s="1035"/>
      <c r="W151" s="1035"/>
      <c r="X151" s="1037" t="s">
        <v>1805</v>
      </c>
      <c r="Y151" s="1035" t="s">
        <v>1805</v>
      </c>
      <c r="Z151" s="1035">
        <f t="shared" si="25"/>
        <v>1</v>
      </c>
      <c r="AA151" s="1035"/>
      <c r="AB151" s="1035"/>
      <c r="AC151" s="1021">
        <v>110607</v>
      </c>
      <c r="AD151" s="1024" t="s">
        <v>1967</v>
      </c>
      <c r="AE151" s="1022">
        <f>VLOOKUP(AC151,[5]Hoja1!$A$10:$K$1393,11,0)</f>
        <v>11828025823</v>
      </c>
      <c r="AF151" s="1022">
        <v>0</v>
      </c>
      <c r="AG151" s="1022">
        <f t="shared" si="26"/>
        <v>11828025823</v>
      </c>
      <c r="AH151" s="1022">
        <f t="shared" si="27"/>
        <v>11828026</v>
      </c>
      <c r="AK151" s="448"/>
      <c r="AL151" s="445"/>
    </row>
    <row r="152" spans="1:38" s="467" customFormat="1" ht="12.75" customHeight="1">
      <c r="A152" s="1033">
        <v>5112000</v>
      </c>
      <c r="B152" s="1033" t="s">
        <v>2725</v>
      </c>
      <c r="C152" s="1034" t="str">
        <f t="shared" si="16"/>
        <v/>
      </c>
      <c r="D152" s="1033"/>
      <c r="E152" s="1033"/>
      <c r="F152" s="1034" t="str">
        <f t="shared" si="17"/>
        <v/>
      </c>
      <c r="G152" s="1033"/>
      <c r="H152" s="1033"/>
      <c r="I152" s="1034" t="str">
        <f t="shared" si="18"/>
        <v/>
      </c>
      <c r="J152" s="1033"/>
      <c r="K152" s="1033"/>
      <c r="L152" s="1034" t="str">
        <f t="shared" si="19"/>
        <v/>
      </c>
      <c r="M152" s="1035"/>
      <c r="N152" s="1035"/>
      <c r="O152" s="1036" t="str">
        <f t="shared" si="20"/>
        <v/>
      </c>
      <c r="P152" s="1035"/>
      <c r="Q152" s="1033"/>
      <c r="R152" s="1034" t="str">
        <f t="shared" si="21"/>
        <v/>
      </c>
      <c r="S152" s="1035"/>
      <c r="T152" s="1035"/>
      <c r="U152" s="1034" t="str">
        <f t="shared" si="22"/>
        <v/>
      </c>
      <c r="V152" s="1035"/>
      <c r="W152" s="1035"/>
      <c r="X152" s="1037" t="str">
        <f t="shared" ref="X152:X157" si="29">+Y152&amp;Z152</f>
        <v>1</v>
      </c>
      <c r="Y152" s="1035"/>
      <c r="Z152" s="1035">
        <f t="shared" si="25"/>
        <v>1</v>
      </c>
      <c r="AA152" s="1035"/>
      <c r="AB152" s="1035"/>
      <c r="AC152" s="1021">
        <v>110607</v>
      </c>
      <c r="AD152" s="1024" t="s">
        <v>1967</v>
      </c>
      <c r="AE152" s="1022">
        <v>0</v>
      </c>
      <c r="AF152" s="1022">
        <v>0</v>
      </c>
      <c r="AG152" s="1022">
        <f t="shared" si="26"/>
        <v>0</v>
      </c>
      <c r="AH152" s="1022">
        <f t="shared" si="27"/>
        <v>0</v>
      </c>
      <c r="AK152" s="448"/>
      <c r="AL152" s="445"/>
    </row>
    <row r="153" spans="1:38" s="467" customFormat="1" ht="12.75" customHeight="1">
      <c r="A153" s="1033"/>
      <c r="B153" s="1033"/>
      <c r="C153" s="1034" t="str">
        <f t="shared" si="16"/>
        <v/>
      </c>
      <c r="D153" s="1033"/>
      <c r="E153" s="1033"/>
      <c r="F153" s="1034" t="str">
        <f t="shared" si="17"/>
        <v/>
      </c>
      <c r="G153" s="1033"/>
      <c r="H153" s="1033"/>
      <c r="I153" s="1034" t="str">
        <f t="shared" si="18"/>
        <v/>
      </c>
      <c r="J153" s="1033"/>
      <c r="K153" s="1033"/>
      <c r="L153" s="1034" t="str">
        <f t="shared" si="19"/>
        <v/>
      </c>
      <c r="M153" s="1035"/>
      <c r="N153" s="1035"/>
      <c r="O153" s="1036" t="str">
        <f t="shared" si="20"/>
        <v/>
      </c>
      <c r="P153" s="1035"/>
      <c r="Q153" s="1033"/>
      <c r="R153" s="1034" t="str">
        <f t="shared" si="21"/>
        <v/>
      </c>
      <c r="S153" s="1035"/>
      <c r="T153" s="1035"/>
      <c r="U153" s="1034" t="str">
        <f t="shared" si="22"/>
        <v/>
      </c>
      <c r="V153" s="1035"/>
      <c r="W153" s="1035"/>
      <c r="X153" s="1037" t="str">
        <f t="shared" si="29"/>
        <v>221</v>
      </c>
      <c r="Y153" s="1035">
        <v>22</v>
      </c>
      <c r="Z153" s="1035">
        <f t="shared" si="25"/>
        <v>1</v>
      </c>
      <c r="AA153" s="1035"/>
      <c r="AB153" s="1035"/>
      <c r="AC153" s="1021">
        <v>110608</v>
      </c>
      <c r="AD153" s="1021" t="s">
        <v>1968</v>
      </c>
      <c r="AE153" s="1022">
        <v>0</v>
      </c>
      <c r="AF153" s="1022"/>
      <c r="AG153" s="1022">
        <f t="shared" si="26"/>
        <v>0</v>
      </c>
      <c r="AH153" s="1022">
        <f t="shared" si="27"/>
        <v>0</v>
      </c>
      <c r="AK153" s="448"/>
      <c r="AL153" s="445"/>
    </row>
    <row r="154" spans="1:38" s="467" customFormat="1" ht="12.75" customHeight="1">
      <c r="A154" s="1033">
        <v>5112000</v>
      </c>
      <c r="B154" s="1033" t="s">
        <v>2725</v>
      </c>
      <c r="C154" s="1034" t="str">
        <f t="shared" si="16"/>
        <v/>
      </c>
      <c r="D154" s="1033"/>
      <c r="E154" s="1033"/>
      <c r="F154" s="1034" t="str">
        <f t="shared" si="17"/>
        <v/>
      </c>
      <c r="G154" s="1033"/>
      <c r="H154" s="1033"/>
      <c r="I154" s="1034" t="str">
        <f t="shared" si="18"/>
        <v/>
      </c>
      <c r="J154" s="1033"/>
      <c r="K154" s="1033"/>
      <c r="L154" s="1034" t="str">
        <f t="shared" si="19"/>
        <v/>
      </c>
      <c r="M154" s="1035"/>
      <c r="N154" s="1035"/>
      <c r="O154" s="1036" t="str">
        <f t="shared" si="20"/>
        <v/>
      </c>
      <c r="P154" s="1035"/>
      <c r="Q154" s="1033"/>
      <c r="R154" s="1034" t="str">
        <f t="shared" si="21"/>
        <v/>
      </c>
      <c r="S154" s="1035"/>
      <c r="T154" s="1035"/>
      <c r="U154" s="1034" t="str">
        <f t="shared" si="22"/>
        <v/>
      </c>
      <c r="V154" s="1035"/>
      <c r="W154" s="1035"/>
      <c r="X154" s="1037" t="str">
        <f t="shared" si="29"/>
        <v>1</v>
      </c>
      <c r="Y154" s="1035"/>
      <c r="Z154" s="1035">
        <f t="shared" si="25"/>
        <v>1</v>
      </c>
      <c r="AA154" s="1035"/>
      <c r="AB154" s="1035"/>
      <c r="AC154" s="1021">
        <v>110609</v>
      </c>
      <c r="AD154" s="1021" t="s">
        <v>1969</v>
      </c>
      <c r="AE154" s="1022">
        <f>VLOOKUP(AC154,[5]Hoja1!$A$10:$K$1393,11,0)</f>
        <v>80647800</v>
      </c>
      <c r="AF154" s="1022">
        <v>0</v>
      </c>
      <c r="AG154" s="1022">
        <f t="shared" si="26"/>
        <v>80647800</v>
      </c>
      <c r="AH154" s="1022">
        <f t="shared" si="27"/>
        <v>80648</v>
      </c>
      <c r="AK154" s="448"/>
      <c r="AL154" s="445"/>
    </row>
    <row r="155" spans="1:38" s="467" customFormat="1" ht="12.75" customHeight="1">
      <c r="A155" s="1033"/>
      <c r="B155" s="1033"/>
      <c r="C155" s="1034" t="str">
        <f t="shared" si="16"/>
        <v/>
      </c>
      <c r="D155" s="1033"/>
      <c r="E155" s="1033"/>
      <c r="F155" s="1034" t="str">
        <f t="shared" si="17"/>
        <v/>
      </c>
      <c r="G155" s="1033"/>
      <c r="H155" s="1033"/>
      <c r="I155" s="1034" t="str">
        <f t="shared" si="18"/>
        <v/>
      </c>
      <c r="J155" s="1033"/>
      <c r="K155" s="1033"/>
      <c r="L155" s="1034" t="str">
        <f t="shared" si="19"/>
        <v/>
      </c>
      <c r="M155" s="1035"/>
      <c r="N155" s="1035"/>
      <c r="O155" s="1036" t="str">
        <f t="shared" si="20"/>
        <v/>
      </c>
      <c r="P155" s="1035"/>
      <c r="Q155" s="1033"/>
      <c r="R155" s="1034" t="str">
        <f t="shared" si="21"/>
        <v/>
      </c>
      <c r="S155" s="1035"/>
      <c r="T155" s="1035"/>
      <c r="U155" s="1034" t="str">
        <f t="shared" si="22"/>
        <v/>
      </c>
      <c r="V155" s="1035"/>
      <c r="W155" s="1035"/>
      <c r="X155" s="1037" t="str">
        <f t="shared" si="29"/>
        <v>1</v>
      </c>
      <c r="Y155" s="1035"/>
      <c r="Z155" s="1035">
        <f t="shared" si="25"/>
        <v>1</v>
      </c>
      <c r="AA155" s="1035"/>
      <c r="AB155" s="1035"/>
      <c r="AC155" s="1021">
        <v>110610</v>
      </c>
      <c r="AD155" s="1021" t="s">
        <v>930</v>
      </c>
      <c r="AE155" s="1022">
        <v>0</v>
      </c>
      <c r="AF155" s="1022"/>
      <c r="AG155" s="1022">
        <f t="shared" si="26"/>
        <v>0</v>
      </c>
      <c r="AH155" s="1022">
        <f t="shared" si="27"/>
        <v>0</v>
      </c>
      <c r="AK155" s="448"/>
      <c r="AL155" s="445"/>
    </row>
    <row r="156" spans="1:38" s="467" customFormat="1" ht="12.75" customHeight="1">
      <c r="A156" s="1033"/>
      <c r="B156" s="1033"/>
      <c r="C156" s="1034" t="str">
        <f t="shared" si="16"/>
        <v/>
      </c>
      <c r="D156" s="1033"/>
      <c r="E156" s="1033"/>
      <c r="F156" s="1034" t="str">
        <f t="shared" si="17"/>
        <v/>
      </c>
      <c r="G156" s="1033"/>
      <c r="H156" s="1033"/>
      <c r="I156" s="1034" t="str">
        <f t="shared" si="18"/>
        <v/>
      </c>
      <c r="J156" s="1033"/>
      <c r="K156" s="1033"/>
      <c r="L156" s="1034" t="str">
        <f t="shared" si="19"/>
        <v/>
      </c>
      <c r="M156" s="1035"/>
      <c r="N156" s="1035"/>
      <c r="O156" s="1036" t="str">
        <f t="shared" si="20"/>
        <v/>
      </c>
      <c r="P156" s="1035"/>
      <c r="Q156" s="1033"/>
      <c r="R156" s="1034" t="str">
        <f t="shared" si="21"/>
        <v/>
      </c>
      <c r="S156" s="1035"/>
      <c r="T156" s="1035"/>
      <c r="U156" s="1034" t="str">
        <f t="shared" si="22"/>
        <v/>
      </c>
      <c r="V156" s="1035"/>
      <c r="W156" s="1035"/>
      <c r="X156" s="1037" t="str">
        <f t="shared" si="29"/>
        <v>1</v>
      </c>
      <c r="Y156" s="1035"/>
      <c r="Z156" s="1035">
        <f t="shared" si="25"/>
        <v>1</v>
      </c>
      <c r="AA156" s="1035"/>
      <c r="AB156" s="1035"/>
      <c r="AC156" s="1021">
        <v>110611</v>
      </c>
      <c r="AD156" s="1021" t="s">
        <v>1970</v>
      </c>
      <c r="AE156" s="1022">
        <v>0</v>
      </c>
      <c r="AF156" s="1022"/>
      <c r="AG156" s="1022">
        <f t="shared" si="26"/>
        <v>0</v>
      </c>
      <c r="AH156" s="1022">
        <f t="shared" si="27"/>
        <v>0</v>
      </c>
      <c r="AK156" s="448"/>
      <c r="AL156" s="445"/>
    </row>
    <row r="157" spans="1:38" s="467" customFormat="1" ht="12.75" customHeight="1">
      <c r="A157" s="1033"/>
      <c r="B157" s="1033"/>
      <c r="C157" s="1034" t="str">
        <f t="shared" si="16"/>
        <v/>
      </c>
      <c r="D157" s="1033"/>
      <c r="E157" s="1033"/>
      <c r="F157" s="1034" t="str">
        <f t="shared" si="17"/>
        <v/>
      </c>
      <c r="G157" s="1033"/>
      <c r="H157" s="1033"/>
      <c r="I157" s="1034" t="str">
        <f t="shared" si="18"/>
        <v/>
      </c>
      <c r="J157" s="1033"/>
      <c r="K157" s="1033"/>
      <c r="L157" s="1034" t="str">
        <f t="shared" si="19"/>
        <v/>
      </c>
      <c r="M157" s="1035"/>
      <c r="N157" s="1035"/>
      <c r="O157" s="1036" t="str">
        <f t="shared" si="20"/>
        <v/>
      </c>
      <c r="P157" s="1035"/>
      <c r="Q157" s="1033"/>
      <c r="R157" s="1034" t="str">
        <f t="shared" si="21"/>
        <v/>
      </c>
      <c r="S157" s="1035"/>
      <c r="T157" s="1035"/>
      <c r="U157" s="1034" t="str">
        <f t="shared" si="22"/>
        <v/>
      </c>
      <c r="V157" s="1035"/>
      <c r="W157" s="1035"/>
      <c r="X157" s="1037" t="str">
        <f t="shared" si="29"/>
        <v>1</v>
      </c>
      <c r="Y157" s="1035"/>
      <c r="Z157" s="1035">
        <f t="shared" si="25"/>
        <v>1</v>
      </c>
      <c r="AA157" s="1035"/>
      <c r="AB157" s="1035"/>
      <c r="AC157" s="1021">
        <v>110612</v>
      </c>
      <c r="AD157" s="1021" t="s">
        <v>931</v>
      </c>
      <c r="AE157" s="1022">
        <v>0</v>
      </c>
      <c r="AF157" s="1022"/>
      <c r="AG157" s="1022">
        <f t="shared" si="26"/>
        <v>0</v>
      </c>
      <c r="AH157" s="1022">
        <f t="shared" si="27"/>
        <v>0</v>
      </c>
      <c r="AK157" s="448"/>
      <c r="AL157" s="445"/>
    </row>
    <row r="158" spans="1:38" s="467" customFormat="1" ht="12.75" customHeight="1">
      <c r="A158" s="1033"/>
      <c r="B158" s="1033"/>
      <c r="C158" s="1034"/>
      <c r="D158" s="1033"/>
      <c r="E158" s="1033"/>
      <c r="F158" s="1034"/>
      <c r="G158" s="1033"/>
      <c r="H158" s="1033"/>
      <c r="I158" s="1034"/>
      <c r="J158" s="1033"/>
      <c r="K158" s="1033"/>
      <c r="L158" s="1034"/>
      <c r="M158" s="1035"/>
      <c r="N158" s="1035"/>
      <c r="O158" s="1036"/>
      <c r="P158" s="1035"/>
      <c r="Q158" s="1033"/>
      <c r="R158" s="1034"/>
      <c r="S158" s="1035"/>
      <c r="T158" s="1035"/>
      <c r="U158" s="1034"/>
      <c r="V158" s="1035"/>
      <c r="W158" s="1035"/>
      <c r="X158" s="1037"/>
      <c r="Y158" s="1035"/>
      <c r="Z158" s="1035">
        <f t="shared" si="25"/>
        <v>1</v>
      </c>
      <c r="AA158" s="1035"/>
      <c r="AB158" s="1035"/>
      <c r="AC158" s="1021">
        <v>110613</v>
      </c>
      <c r="AD158" s="1021" t="s">
        <v>1971</v>
      </c>
      <c r="AE158" s="1022">
        <v>0</v>
      </c>
      <c r="AF158" s="1022"/>
      <c r="AG158" s="1022">
        <f t="shared" si="26"/>
        <v>0</v>
      </c>
      <c r="AH158" s="1022">
        <f t="shared" si="27"/>
        <v>0</v>
      </c>
      <c r="AK158" s="448"/>
      <c r="AL158" s="445"/>
    </row>
    <row r="159" spans="1:38" s="467" customFormat="1" ht="12.75" customHeight="1">
      <c r="A159" s="1033"/>
      <c r="B159" s="1033"/>
      <c r="C159" s="1034"/>
      <c r="D159" s="1033"/>
      <c r="E159" s="1033"/>
      <c r="F159" s="1034"/>
      <c r="G159" s="1033"/>
      <c r="H159" s="1033"/>
      <c r="I159" s="1034"/>
      <c r="J159" s="1033"/>
      <c r="K159" s="1033"/>
      <c r="L159" s="1034"/>
      <c r="M159" s="1035"/>
      <c r="N159" s="1035"/>
      <c r="O159" s="1036"/>
      <c r="P159" s="1035"/>
      <c r="Q159" s="1033"/>
      <c r="R159" s="1034"/>
      <c r="S159" s="1035"/>
      <c r="T159" s="1035"/>
      <c r="U159" s="1034"/>
      <c r="V159" s="1035"/>
      <c r="W159" s="1035"/>
      <c r="X159" s="1037"/>
      <c r="Y159" s="1035"/>
      <c r="Z159" s="1035">
        <f t="shared" si="25"/>
        <v>1</v>
      </c>
      <c r="AA159" s="1035"/>
      <c r="AB159" s="1035"/>
      <c r="AC159" s="1021">
        <v>110614</v>
      </c>
      <c r="AD159" s="1021" t="s">
        <v>1972</v>
      </c>
      <c r="AE159" s="1022">
        <v>0</v>
      </c>
      <c r="AF159" s="1022"/>
      <c r="AG159" s="1022">
        <f t="shared" si="26"/>
        <v>0</v>
      </c>
      <c r="AH159" s="1022">
        <f t="shared" si="27"/>
        <v>0</v>
      </c>
      <c r="AK159" s="448"/>
      <c r="AL159" s="445"/>
    </row>
    <row r="160" spans="1:38" s="467" customFormat="1" ht="12.75" customHeight="1">
      <c r="A160" s="1033">
        <v>5115000</v>
      </c>
      <c r="B160" s="1033" t="s">
        <v>2729</v>
      </c>
      <c r="C160" s="1034" t="str">
        <f t="shared" si="16"/>
        <v/>
      </c>
      <c r="D160" s="1033"/>
      <c r="E160" s="1033"/>
      <c r="F160" s="1034" t="str">
        <f t="shared" si="17"/>
        <v/>
      </c>
      <c r="G160" s="1033"/>
      <c r="H160" s="1033"/>
      <c r="I160" s="1034" t="str">
        <f t="shared" si="18"/>
        <v/>
      </c>
      <c r="J160" s="1033"/>
      <c r="K160" s="1033"/>
      <c r="L160" s="1034" t="str">
        <f t="shared" si="19"/>
        <v/>
      </c>
      <c r="M160" s="1035"/>
      <c r="N160" s="1035"/>
      <c r="O160" s="1036" t="str">
        <f t="shared" si="20"/>
        <v/>
      </c>
      <c r="P160" s="1035"/>
      <c r="Q160" s="1033"/>
      <c r="R160" s="1034" t="str">
        <f t="shared" si="21"/>
        <v/>
      </c>
      <c r="S160" s="1035"/>
      <c r="T160" s="1035"/>
      <c r="U160" s="1034" t="str">
        <f t="shared" si="22"/>
        <v/>
      </c>
      <c r="V160" s="1035"/>
      <c r="W160" s="1035"/>
      <c r="X160" s="1037" t="str">
        <f>+Y160&amp;Z160</f>
        <v>1</v>
      </c>
      <c r="Y160" s="1035"/>
      <c r="Z160" s="1035">
        <f t="shared" si="25"/>
        <v>1</v>
      </c>
      <c r="AA160" s="1035"/>
      <c r="AB160" s="1035"/>
      <c r="AC160" s="1021">
        <v>110615</v>
      </c>
      <c r="AD160" s="1021" t="s">
        <v>587</v>
      </c>
      <c r="AE160" s="1022">
        <f>VLOOKUP(AC160,[5]Hoja1!$A$10:$K$1393,11,0)</f>
        <v>0</v>
      </c>
      <c r="AF160" s="1022"/>
      <c r="AG160" s="1022">
        <f t="shared" si="26"/>
        <v>0</v>
      </c>
      <c r="AH160" s="1022">
        <f t="shared" si="27"/>
        <v>0</v>
      </c>
      <c r="AK160" s="448"/>
      <c r="AL160" s="445"/>
    </row>
    <row r="161" spans="1:38" s="467" customFormat="1" ht="12.75" customHeight="1">
      <c r="A161" s="1033">
        <v>5112000</v>
      </c>
      <c r="B161" s="1033" t="s">
        <v>2725</v>
      </c>
      <c r="C161" s="1034" t="str">
        <f t="shared" si="16"/>
        <v/>
      </c>
      <c r="D161" s="1033"/>
      <c r="E161" s="1033"/>
      <c r="F161" s="1034" t="str">
        <f t="shared" si="17"/>
        <v/>
      </c>
      <c r="G161" s="1033"/>
      <c r="H161" s="1033"/>
      <c r="I161" s="1034" t="str">
        <f t="shared" si="18"/>
        <v/>
      </c>
      <c r="J161" s="1033"/>
      <c r="K161" s="1033"/>
      <c r="L161" s="1034" t="str">
        <f t="shared" si="19"/>
        <v/>
      </c>
      <c r="M161" s="1035"/>
      <c r="N161" s="1035"/>
      <c r="O161" s="1036" t="str">
        <f t="shared" si="20"/>
        <v/>
      </c>
      <c r="P161" s="1035"/>
      <c r="Q161" s="1033"/>
      <c r="R161" s="1034" t="str">
        <f t="shared" si="21"/>
        <v/>
      </c>
      <c r="S161" s="1035"/>
      <c r="T161" s="1035"/>
      <c r="U161" s="1034" t="str">
        <f t="shared" si="22"/>
        <v/>
      </c>
      <c r="V161" s="1035"/>
      <c r="W161" s="1035"/>
      <c r="X161" s="1037"/>
      <c r="Y161" s="1035"/>
      <c r="Z161" s="1035">
        <f t="shared" si="25"/>
        <v>1</v>
      </c>
      <c r="AA161" s="1035"/>
      <c r="AB161" s="1035"/>
      <c r="AC161" s="1021">
        <v>110616</v>
      </c>
      <c r="AD161" s="1021" t="s">
        <v>817</v>
      </c>
      <c r="AE161" s="1022">
        <f>VLOOKUP(AC161,[5]Hoja1!$A$10:$K$1393,11,0)</f>
        <v>0</v>
      </c>
      <c r="AF161" s="1022">
        <v>0</v>
      </c>
      <c r="AG161" s="1022">
        <f t="shared" si="26"/>
        <v>0</v>
      </c>
      <c r="AH161" s="1192">
        <f t="shared" si="27"/>
        <v>0</v>
      </c>
      <c r="AK161" s="448"/>
      <c r="AL161" s="445"/>
    </row>
    <row r="162" spans="1:38" s="467" customFormat="1" ht="12.75" customHeight="1">
      <c r="A162" s="1033">
        <v>5112000</v>
      </c>
      <c r="B162" s="1033" t="s">
        <v>2725</v>
      </c>
      <c r="C162" s="1034" t="str">
        <f t="shared" si="16"/>
        <v/>
      </c>
      <c r="D162" s="1033"/>
      <c r="E162" s="1033"/>
      <c r="F162" s="1034" t="str">
        <f t="shared" si="17"/>
        <v/>
      </c>
      <c r="G162" s="1033"/>
      <c r="H162" s="1033"/>
      <c r="I162" s="1034" t="str">
        <f t="shared" si="18"/>
        <v/>
      </c>
      <c r="J162" s="1033"/>
      <c r="K162" s="1033"/>
      <c r="L162" s="1034" t="str">
        <f t="shared" si="19"/>
        <v/>
      </c>
      <c r="M162" s="1035"/>
      <c r="N162" s="1035"/>
      <c r="O162" s="1036" t="str">
        <f t="shared" si="20"/>
        <v/>
      </c>
      <c r="P162" s="1035"/>
      <c r="Q162" s="1033"/>
      <c r="R162" s="1034" t="str">
        <f t="shared" si="21"/>
        <v/>
      </c>
      <c r="S162" s="1035"/>
      <c r="T162" s="1035"/>
      <c r="U162" s="1034" t="str">
        <f t="shared" si="22"/>
        <v/>
      </c>
      <c r="V162" s="1035"/>
      <c r="W162" s="1035"/>
      <c r="X162" s="1037"/>
      <c r="Y162" s="1035"/>
      <c r="Z162" s="1035">
        <f t="shared" si="25"/>
        <v>1</v>
      </c>
      <c r="AA162" s="1035"/>
      <c r="AB162" s="1035"/>
      <c r="AC162" s="1021">
        <v>110617</v>
      </c>
      <c r="AD162" s="1021" t="s">
        <v>818</v>
      </c>
      <c r="AE162" s="1022">
        <f>VLOOKUP(AC162,[5]Hoja1!$A$10:$K$1393,11,0)</f>
        <v>-1</v>
      </c>
      <c r="AF162" s="1022"/>
      <c r="AG162" s="1022">
        <f t="shared" si="26"/>
        <v>-1</v>
      </c>
      <c r="AH162" s="1192">
        <f t="shared" si="27"/>
        <v>0</v>
      </c>
      <c r="AK162" s="448"/>
      <c r="AL162" s="445"/>
    </row>
    <row r="163" spans="1:38" s="467" customFormat="1" ht="12.75" customHeight="1">
      <c r="A163" s="1033">
        <v>5112000</v>
      </c>
      <c r="B163" s="1033" t="s">
        <v>2725</v>
      </c>
      <c r="C163" s="1034"/>
      <c r="D163" s="1033"/>
      <c r="E163" s="1033"/>
      <c r="F163" s="1034"/>
      <c r="G163" s="1033"/>
      <c r="H163" s="1033"/>
      <c r="I163" s="1034"/>
      <c r="J163" s="1033"/>
      <c r="K163" s="1033"/>
      <c r="L163" s="1034"/>
      <c r="M163" s="1035"/>
      <c r="N163" s="1035"/>
      <c r="O163" s="1036"/>
      <c r="P163" s="1035"/>
      <c r="Q163" s="1033"/>
      <c r="R163" s="1034"/>
      <c r="S163" s="1035"/>
      <c r="T163" s="1035"/>
      <c r="U163" s="1034"/>
      <c r="V163" s="1035"/>
      <c r="W163" s="1035"/>
      <c r="X163" s="1037"/>
      <c r="Y163" s="1035"/>
      <c r="Z163" s="1035">
        <f t="shared" si="25"/>
        <v>1</v>
      </c>
      <c r="AA163" s="1035"/>
      <c r="AB163" s="1035"/>
      <c r="AC163" s="1021">
        <v>110618</v>
      </c>
      <c r="AD163" s="1021" t="s">
        <v>26</v>
      </c>
      <c r="AE163" s="1022">
        <f>VLOOKUP(AC163,[5]Hoja1!$A$10:$K$1393,11,0)</f>
        <v>6525582547</v>
      </c>
      <c r="AF163" s="1188">
        <f>-AF147</f>
        <v>3483781807</v>
      </c>
      <c r="AG163" s="1022">
        <f t="shared" si="26"/>
        <v>10009364354</v>
      </c>
      <c r="AH163" s="1196">
        <f t="shared" si="27"/>
        <v>10009364</v>
      </c>
      <c r="AK163" s="448"/>
      <c r="AL163" s="445"/>
    </row>
    <row r="164" spans="1:38" s="467" customFormat="1" ht="12.75" customHeight="1">
      <c r="A164" s="1033">
        <v>5112000</v>
      </c>
      <c r="B164" s="1033" t="s">
        <v>2725</v>
      </c>
      <c r="C164" s="1034"/>
      <c r="D164" s="1033"/>
      <c r="E164" s="1033"/>
      <c r="F164" s="1034"/>
      <c r="G164" s="1033"/>
      <c r="H164" s="1033"/>
      <c r="I164" s="1034"/>
      <c r="J164" s="1033"/>
      <c r="K164" s="1033"/>
      <c r="L164" s="1034"/>
      <c r="M164" s="1035"/>
      <c r="N164" s="1035"/>
      <c r="O164" s="1036"/>
      <c r="P164" s="1035"/>
      <c r="Q164" s="1033"/>
      <c r="R164" s="1034"/>
      <c r="S164" s="1035"/>
      <c r="T164" s="1035"/>
      <c r="U164" s="1034"/>
      <c r="V164" s="1035"/>
      <c r="W164" s="1035"/>
      <c r="X164" s="1037"/>
      <c r="Y164" s="1035"/>
      <c r="Z164" s="1035">
        <f t="shared" si="25"/>
        <v>1</v>
      </c>
      <c r="AA164" s="1035"/>
      <c r="AB164" s="1035"/>
      <c r="AC164" s="1021">
        <v>110619</v>
      </c>
      <c r="AD164" s="1021" t="s">
        <v>27</v>
      </c>
      <c r="AE164" s="1022">
        <f>VLOOKUP(AC164,[5]Hoja1!$A$10:$K$1393,11,0)</f>
        <v>20433099</v>
      </c>
      <c r="AF164" s="1022">
        <v>0</v>
      </c>
      <c r="AG164" s="1022">
        <f t="shared" si="26"/>
        <v>20433099</v>
      </c>
      <c r="AH164" s="1196">
        <f t="shared" si="27"/>
        <v>20433</v>
      </c>
      <c r="AK164" s="448"/>
      <c r="AL164" s="445"/>
    </row>
    <row r="165" spans="1:38" s="467" customFormat="1" ht="12.75" customHeight="1">
      <c r="A165" s="1033"/>
      <c r="B165" s="1033"/>
      <c r="C165" s="1034" t="str">
        <f t="shared" si="16"/>
        <v/>
      </c>
      <c r="D165" s="1033"/>
      <c r="E165" s="1033"/>
      <c r="F165" s="1034" t="str">
        <f t="shared" si="17"/>
        <v/>
      </c>
      <c r="G165" s="1033"/>
      <c r="H165" s="1033"/>
      <c r="I165" s="1034" t="str">
        <f t="shared" si="18"/>
        <v/>
      </c>
      <c r="J165" s="1033"/>
      <c r="K165" s="1033"/>
      <c r="L165" s="1034" t="str">
        <f t="shared" si="19"/>
        <v/>
      </c>
      <c r="M165" s="1035"/>
      <c r="N165" s="1035"/>
      <c r="O165" s="1036" t="str">
        <f t="shared" si="20"/>
        <v/>
      </c>
      <c r="P165" s="1035"/>
      <c r="Q165" s="1033"/>
      <c r="R165" s="1034" t="str">
        <f t="shared" si="21"/>
        <v/>
      </c>
      <c r="S165" s="1035"/>
      <c r="T165" s="1035"/>
      <c r="U165" s="1034" t="str">
        <f t="shared" si="22"/>
        <v/>
      </c>
      <c r="V165" s="1035"/>
      <c r="W165" s="1035"/>
      <c r="X165" s="1037" t="str">
        <f>+Y165&amp;Z165</f>
        <v>1</v>
      </c>
      <c r="Y165" s="1035"/>
      <c r="Z165" s="1035">
        <f t="shared" si="25"/>
        <v>1</v>
      </c>
      <c r="AA165" s="1035"/>
      <c r="AB165" s="1035"/>
      <c r="AC165" s="1021">
        <v>110620</v>
      </c>
      <c r="AD165" s="1021" t="s">
        <v>1350</v>
      </c>
      <c r="AE165" s="1022">
        <v>0</v>
      </c>
      <c r="AF165" s="1022"/>
      <c r="AG165" s="1022">
        <f t="shared" si="26"/>
        <v>0</v>
      </c>
      <c r="AH165" s="1022">
        <f t="shared" si="27"/>
        <v>0</v>
      </c>
      <c r="AK165" s="448"/>
      <c r="AL165" s="445"/>
    </row>
    <row r="166" spans="1:38" s="467" customFormat="1" ht="12.75" customHeight="1">
      <c r="A166" s="1033">
        <v>5112000</v>
      </c>
      <c r="B166" s="1033" t="s">
        <v>2725</v>
      </c>
      <c r="C166" s="1034"/>
      <c r="D166" s="1033"/>
      <c r="E166" s="1033"/>
      <c r="F166" s="1034"/>
      <c r="G166" s="1033"/>
      <c r="H166" s="1033"/>
      <c r="I166" s="1034"/>
      <c r="J166" s="1033"/>
      <c r="K166" s="1033"/>
      <c r="L166" s="1034"/>
      <c r="M166" s="1035"/>
      <c r="N166" s="1035"/>
      <c r="O166" s="1036"/>
      <c r="P166" s="1035"/>
      <c r="Q166" s="1033"/>
      <c r="R166" s="1034"/>
      <c r="S166" s="1035"/>
      <c r="T166" s="1035"/>
      <c r="U166" s="1034"/>
      <c r="V166" s="1035"/>
      <c r="W166" s="1035"/>
      <c r="X166" s="1037"/>
      <c r="Y166" s="1035"/>
      <c r="Z166" s="1035">
        <f t="shared" si="25"/>
        <v>1</v>
      </c>
      <c r="AA166" s="1035"/>
      <c r="AB166" s="1035"/>
      <c r="AC166" s="1021">
        <v>110621</v>
      </c>
      <c r="AD166" s="1021" t="s">
        <v>1866</v>
      </c>
      <c r="AE166" s="1022">
        <f>VLOOKUP(AC166,[5]Hoja1!$A$10:$K$1393,11,0)</f>
        <v>40637021833</v>
      </c>
      <c r="AF166" s="1022">
        <v>0</v>
      </c>
      <c r="AG166" s="1022">
        <f t="shared" si="26"/>
        <v>40637021833</v>
      </c>
      <c r="AH166" s="1198">
        <f t="shared" si="27"/>
        <v>40637022</v>
      </c>
      <c r="AK166" s="448"/>
      <c r="AL166" s="445"/>
    </row>
    <row r="167" spans="1:38" s="467" customFormat="1" ht="12.75" customHeight="1">
      <c r="A167" s="1033">
        <v>5112000</v>
      </c>
      <c r="B167" s="1033" t="s">
        <v>2725</v>
      </c>
      <c r="C167" s="1034"/>
      <c r="D167" s="1033"/>
      <c r="E167" s="1033"/>
      <c r="F167" s="1034"/>
      <c r="G167" s="1033"/>
      <c r="H167" s="1033"/>
      <c r="I167" s="1034"/>
      <c r="J167" s="1033"/>
      <c r="K167" s="1033"/>
      <c r="L167" s="1034"/>
      <c r="M167" s="1035"/>
      <c r="N167" s="1035"/>
      <c r="O167" s="1036"/>
      <c r="P167" s="1035"/>
      <c r="Q167" s="1033"/>
      <c r="R167" s="1034"/>
      <c r="S167" s="1035"/>
      <c r="T167" s="1035"/>
      <c r="U167" s="1034"/>
      <c r="V167" s="1035"/>
      <c r="W167" s="1035"/>
      <c r="X167" s="1037"/>
      <c r="Y167" s="1035"/>
      <c r="Z167" s="1035">
        <f t="shared" si="25"/>
        <v>1</v>
      </c>
      <c r="AA167" s="1035"/>
      <c r="AB167" s="1035"/>
      <c r="AC167" s="1021">
        <v>110622</v>
      </c>
      <c r="AD167" s="1021" t="s">
        <v>1867</v>
      </c>
      <c r="AE167" s="1022">
        <f>VLOOKUP(AC167,[5]Hoja1!$A$10:$K$1393,11,0)</f>
        <v>459060827</v>
      </c>
      <c r="AF167" s="1022">
        <v>0</v>
      </c>
      <c r="AG167" s="1022">
        <f t="shared" si="26"/>
        <v>459060827</v>
      </c>
      <c r="AH167" s="1198">
        <f t="shared" si="27"/>
        <v>459061</v>
      </c>
      <c r="AK167" s="448"/>
      <c r="AL167" s="445"/>
    </row>
    <row r="168" spans="1:38" s="467" customFormat="1" ht="12.75" customHeight="1">
      <c r="A168" s="1033"/>
      <c r="B168" s="1033"/>
      <c r="C168" s="1034"/>
      <c r="D168" s="1033"/>
      <c r="E168" s="1033"/>
      <c r="F168" s="1034"/>
      <c r="G168" s="1033"/>
      <c r="H168" s="1033"/>
      <c r="I168" s="1034"/>
      <c r="J168" s="1033"/>
      <c r="K168" s="1033"/>
      <c r="L168" s="1034"/>
      <c r="M168" s="1035"/>
      <c r="N168" s="1035"/>
      <c r="O168" s="1036"/>
      <c r="P168" s="1035"/>
      <c r="Q168" s="1033"/>
      <c r="R168" s="1034"/>
      <c r="S168" s="1035"/>
      <c r="T168" s="1035"/>
      <c r="U168" s="1034"/>
      <c r="V168" s="1035"/>
      <c r="W168" s="1035"/>
      <c r="X168" s="1037"/>
      <c r="Y168" s="1035"/>
      <c r="Z168" s="1035">
        <f t="shared" si="25"/>
        <v>1</v>
      </c>
      <c r="AA168" s="1035"/>
      <c r="AB168" s="1035"/>
      <c r="AC168" s="1021">
        <v>110623</v>
      </c>
      <c r="AD168" s="1021" t="s">
        <v>1973</v>
      </c>
      <c r="AE168" s="1022">
        <v>0</v>
      </c>
      <c r="AF168" s="1022"/>
      <c r="AG168" s="1022">
        <f t="shared" si="26"/>
        <v>0</v>
      </c>
      <c r="AH168" s="1022">
        <f t="shared" si="27"/>
        <v>0</v>
      </c>
      <c r="AK168" s="448"/>
      <c r="AL168" s="445"/>
    </row>
    <row r="169" spans="1:38" s="467" customFormat="1" ht="12.75" customHeight="1">
      <c r="A169" s="1033"/>
      <c r="B169" s="1033"/>
      <c r="C169" s="1034"/>
      <c r="D169" s="1033"/>
      <c r="E169" s="1033"/>
      <c r="F169" s="1034"/>
      <c r="G169" s="1033"/>
      <c r="H169" s="1033"/>
      <c r="I169" s="1034"/>
      <c r="J169" s="1033"/>
      <c r="K169" s="1033"/>
      <c r="L169" s="1034"/>
      <c r="M169" s="1035"/>
      <c r="N169" s="1035"/>
      <c r="O169" s="1036"/>
      <c r="P169" s="1035"/>
      <c r="Q169" s="1033"/>
      <c r="R169" s="1034"/>
      <c r="S169" s="1035"/>
      <c r="T169" s="1035"/>
      <c r="U169" s="1034"/>
      <c r="V169" s="1035"/>
      <c r="W169" s="1035"/>
      <c r="X169" s="1037"/>
      <c r="Y169" s="1035"/>
      <c r="Z169" s="1035">
        <f t="shared" si="25"/>
        <v>1</v>
      </c>
      <c r="AA169" s="1035"/>
      <c r="AB169" s="1035"/>
      <c r="AC169" s="1021">
        <v>110624</v>
      </c>
      <c r="AD169" s="1021" t="s">
        <v>800</v>
      </c>
      <c r="AE169" s="1022">
        <v>0</v>
      </c>
      <c r="AF169" s="1022"/>
      <c r="AG169" s="1022">
        <f t="shared" si="26"/>
        <v>0</v>
      </c>
      <c r="AH169" s="1022">
        <f t="shared" si="27"/>
        <v>0</v>
      </c>
      <c r="AK169" s="448"/>
      <c r="AL169" s="445"/>
    </row>
    <row r="170" spans="1:38" s="467" customFormat="1" ht="12.75" customHeight="1">
      <c r="A170" s="1033"/>
      <c r="B170" s="1033"/>
      <c r="C170" s="1034"/>
      <c r="D170" s="1033"/>
      <c r="E170" s="1033"/>
      <c r="F170" s="1034"/>
      <c r="G170" s="1033"/>
      <c r="H170" s="1033"/>
      <c r="I170" s="1034"/>
      <c r="J170" s="1033"/>
      <c r="K170" s="1033"/>
      <c r="L170" s="1034"/>
      <c r="M170" s="1035"/>
      <c r="N170" s="1035"/>
      <c r="O170" s="1036"/>
      <c r="P170" s="1035"/>
      <c r="Q170" s="1033"/>
      <c r="R170" s="1034"/>
      <c r="S170" s="1035"/>
      <c r="T170" s="1035"/>
      <c r="U170" s="1034"/>
      <c r="V170" s="1035"/>
      <c r="W170" s="1035"/>
      <c r="X170" s="1037"/>
      <c r="Y170" s="1035"/>
      <c r="Z170" s="1035">
        <f t="shared" si="25"/>
        <v>1</v>
      </c>
      <c r="AA170" s="1035"/>
      <c r="AB170" s="1035"/>
      <c r="AC170" s="1021">
        <v>110625</v>
      </c>
      <c r="AD170" s="1021" t="s">
        <v>801</v>
      </c>
      <c r="AE170" s="1022">
        <f>VLOOKUP(AC170,[5]Hoja1!$A$10:$K$1393,11,0)</f>
        <v>0</v>
      </c>
      <c r="AF170" s="1022"/>
      <c r="AG170" s="1022">
        <f t="shared" si="26"/>
        <v>0</v>
      </c>
      <c r="AH170" s="1022">
        <f t="shared" si="27"/>
        <v>0</v>
      </c>
      <c r="AK170" s="448"/>
      <c r="AL170" s="445"/>
    </row>
    <row r="171" spans="1:38" s="467" customFormat="1" ht="12.75" customHeight="1">
      <c r="A171" s="1033"/>
      <c r="B171" s="1033"/>
      <c r="C171" s="1034"/>
      <c r="D171" s="1033"/>
      <c r="E171" s="1033"/>
      <c r="F171" s="1034"/>
      <c r="G171" s="1033"/>
      <c r="H171" s="1033"/>
      <c r="I171" s="1034"/>
      <c r="J171" s="1033"/>
      <c r="K171" s="1033"/>
      <c r="L171" s="1034"/>
      <c r="M171" s="1035"/>
      <c r="N171" s="1035"/>
      <c r="O171" s="1036"/>
      <c r="P171" s="1035"/>
      <c r="Q171" s="1033"/>
      <c r="R171" s="1034"/>
      <c r="S171" s="1035"/>
      <c r="T171" s="1035"/>
      <c r="U171" s="1034"/>
      <c r="V171" s="1035"/>
      <c r="W171" s="1035"/>
      <c r="X171" s="1037"/>
      <c r="Y171" s="1035"/>
      <c r="Z171" s="1035">
        <f t="shared" si="25"/>
        <v>1</v>
      </c>
      <c r="AA171" s="1035"/>
      <c r="AB171" s="1035"/>
      <c r="AC171" s="1021">
        <v>110626</v>
      </c>
      <c r="AD171" s="1021" t="s">
        <v>802</v>
      </c>
      <c r="AE171" s="1022">
        <v>0</v>
      </c>
      <c r="AF171" s="1022"/>
      <c r="AG171" s="1022">
        <f t="shared" si="26"/>
        <v>0</v>
      </c>
      <c r="AH171" s="1022">
        <f t="shared" si="27"/>
        <v>0</v>
      </c>
      <c r="AK171" s="448"/>
      <c r="AL171" s="445"/>
    </row>
    <row r="172" spans="1:38" s="467" customFormat="1" ht="12.75" customHeight="1">
      <c r="A172" s="1033"/>
      <c r="B172" s="1033"/>
      <c r="C172" s="1034"/>
      <c r="D172" s="1033"/>
      <c r="E172" s="1033"/>
      <c r="F172" s="1034"/>
      <c r="G172" s="1033"/>
      <c r="H172" s="1033"/>
      <c r="I172" s="1034"/>
      <c r="J172" s="1033"/>
      <c r="K172" s="1033"/>
      <c r="L172" s="1034"/>
      <c r="M172" s="1035"/>
      <c r="N172" s="1035"/>
      <c r="O172" s="1036"/>
      <c r="P172" s="1035"/>
      <c r="Q172" s="1033"/>
      <c r="R172" s="1034"/>
      <c r="S172" s="1035"/>
      <c r="T172" s="1035"/>
      <c r="U172" s="1034"/>
      <c r="V172" s="1035"/>
      <c r="W172" s="1035"/>
      <c r="X172" s="1037"/>
      <c r="Y172" s="1035"/>
      <c r="Z172" s="1035">
        <f t="shared" si="25"/>
        <v>1</v>
      </c>
      <c r="AA172" s="1035"/>
      <c r="AB172" s="1035"/>
      <c r="AC172" s="1021">
        <v>110627</v>
      </c>
      <c r="AD172" s="1021" t="s">
        <v>803</v>
      </c>
      <c r="AE172" s="1022">
        <v>0</v>
      </c>
      <c r="AF172" s="1022"/>
      <c r="AG172" s="1022">
        <f t="shared" si="26"/>
        <v>0</v>
      </c>
      <c r="AH172" s="1022">
        <f t="shared" si="27"/>
        <v>0</v>
      </c>
      <c r="AK172" s="448"/>
      <c r="AL172" s="445"/>
    </row>
    <row r="173" spans="1:38" s="467" customFormat="1" ht="12.75" customHeight="1">
      <c r="A173" s="1033"/>
      <c r="B173" s="1033"/>
      <c r="C173" s="1034"/>
      <c r="D173" s="1033"/>
      <c r="E173" s="1033"/>
      <c r="F173" s="1034"/>
      <c r="G173" s="1033"/>
      <c r="H173" s="1033"/>
      <c r="I173" s="1034"/>
      <c r="J173" s="1033"/>
      <c r="K173" s="1033"/>
      <c r="L173" s="1034"/>
      <c r="M173" s="1035"/>
      <c r="N173" s="1035"/>
      <c r="O173" s="1036"/>
      <c r="P173" s="1035"/>
      <c r="Q173" s="1033"/>
      <c r="R173" s="1034"/>
      <c r="S173" s="1035"/>
      <c r="T173" s="1035"/>
      <c r="U173" s="1034"/>
      <c r="V173" s="1035"/>
      <c r="W173" s="1035"/>
      <c r="X173" s="1037"/>
      <c r="Y173" s="1035"/>
      <c r="Z173" s="1035">
        <f t="shared" si="25"/>
        <v>1</v>
      </c>
      <c r="AA173" s="1035"/>
      <c r="AB173" s="1035"/>
      <c r="AC173" s="1021">
        <v>110628</v>
      </c>
      <c r="AD173" s="1021" t="s">
        <v>992</v>
      </c>
      <c r="AE173" s="1022">
        <v>0</v>
      </c>
      <c r="AF173" s="1022"/>
      <c r="AG173" s="1022">
        <f t="shared" si="26"/>
        <v>0</v>
      </c>
      <c r="AH173" s="1022">
        <f t="shared" si="27"/>
        <v>0</v>
      </c>
      <c r="AK173" s="448"/>
      <c r="AL173" s="445"/>
    </row>
    <row r="174" spans="1:38" s="467" customFormat="1" ht="12.75" customHeight="1">
      <c r="A174" s="1033">
        <v>5115000</v>
      </c>
      <c r="B174" s="1033" t="s">
        <v>2729</v>
      </c>
      <c r="C174" s="1034"/>
      <c r="D174" s="1033"/>
      <c r="E174" s="1033"/>
      <c r="F174" s="1034"/>
      <c r="G174" s="1033"/>
      <c r="H174" s="1033"/>
      <c r="I174" s="1034"/>
      <c r="J174" s="1033"/>
      <c r="K174" s="1033"/>
      <c r="L174" s="1034"/>
      <c r="M174" s="1035"/>
      <c r="N174" s="1035"/>
      <c r="O174" s="1036"/>
      <c r="P174" s="1035"/>
      <c r="Q174" s="1033"/>
      <c r="R174" s="1034"/>
      <c r="S174" s="1035"/>
      <c r="T174" s="1035"/>
      <c r="U174" s="1034"/>
      <c r="V174" s="1035"/>
      <c r="W174" s="1035"/>
      <c r="X174" s="1037"/>
      <c r="Y174" s="1035"/>
      <c r="Z174" s="1035">
        <f t="shared" si="25"/>
        <v>1</v>
      </c>
      <c r="AA174" s="1035"/>
      <c r="AB174" s="1035"/>
      <c r="AC174" s="1021">
        <v>110629</v>
      </c>
      <c r="AD174" s="1021" t="s">
        <v>1281</v>
      </c>
      <c r="AE174" s="1022">
        <f>VLOOKUP(AC174,[5]Hoja1!$A$10:$K$1393,11,0)</f>
        <v>0</v>
      </c>
      <c r="AF174" s="1022"/>
      <c r="AG174" s="1022">
        <f t="shared" si="26"/>
        <v>0</v>
      </c>
      <c r="AH174" s="1022">
        <f t="shared" si="27"/>
        <v>0</v>
      </c>
      <c r="AK174" s="448"/>
      <c r="AL174" s="445"/>
    </row>
    <row r="175" spans="1:38" s="467" customFormat="1" ht="12.75" customHeight="1">
      <c r="A175" s="1033">
        <v>5115000</v>
      </c>
      <c r="B175" s="1033" t="s">
        <v>2729</v>
      </c>
      <c r="C175" s="1034" t="str">
        <f t="shared" si="16"/>
        <v/>
      </c>
      <c r="D175" s="1033"/>
      <c r="E175" s="1033"/>
      <c r="F175" s="1034" t="str">
        <f t="shared" si="17"/>
        <v/>
      </c>
      <c r="G175" s="1033"/>
      <c r="H175" s="1033"/>
      <c r="I175" s="1034" t="str">
        <f t="shared" si="18"/>
        <v/>
      </c>
      <c r="J175" s="1033"/>
      <c r="K175" s="1033"/>
      <c r="L175" s="1034" t="str">
        <f t="shared" si="19"/>
        <v/>
      </c>
      <c r="M175" s="1035"/>
      <c r="N175" s="1035"/>
      <c r="O175" s="1036" t="str">
        <f t="shared" si="20"/>
        <v/>
      </c>
      <c r="P175" s="1035"/>
      <c r="Q175" s="1033"/>
      <c r="R175" s="1034" t="str">
        <f t="shared" si="21"/>
        <v/>
      </c>
      <c r="S175" s="1035"/>
      <c r="T175" s="1035"/>
      <c r="U175" s="1034" t="str">
        <f t="shared" si="22"/>
        <v/>
      </c>
      <c r="V175" s="1035"/>
      <c r="W175" s="1035"/>
      <c r="X175" s="1037" t="str">
        <f t="shared" ref="X175:X190" si="30">+Y175&amp;Z175</f>
        <v>1</v>
      </c>
      <c r="Y175" s="1035"/>
      <c r="Z175" s="1035">
        <f t="shared" si="25"/>
        <v>1</v>
      </c>
      <c r="AA175" s="1035"/>
      <c r="AB175" s="1035"/>
      <c r="AC175" s="1021">
        <v>110630</v>
      </c>
      <c r="AD175" s="1021" t="s">
        <v>1351</v>
      </c>
      <c r="AE175" s="1022">
        <f>VLOOKUP(AC175,[5]Hoja1!$A$10:$K$1393,11,0)</f>
        <v>0</v>
      </c>
      <c r="AF175" s="1022"/>
      <c r="AG175" s="1022">
        <f t="shared" si="26"/>
        <v>0</v>
      </c>
      <c r="AH175" s="1022">
        <f t="shared" si="27"/>
        <v>0</v>
      </c>
      <c r="AJ175" s="467">
        <v>435</v>
      </c>
      <c r="AK175" s="448"/>
      <c r="AL175" s="445"/>
    </row>
    <row r="176" spans="1:38" s="467" customFormat="1" ht="12.75" customHeight="1">
      <c r="A176" s="1033"/>
      <c r="B176" s="1033"/>
      <c r="C176" s="1034" t="str">
        <f t="shared" si="16"/>
        <v/>
      </c>
      <c r="D176" s="1033"/>
      <c r="E176" s="1033"/>
      <c r="F176" s="1034" t="str">
        <f t="shared" si="17"/>
        <v/>
      </c>
      <c r="G176" s="1033"/>
      <c r="H176" s="1033"/>
      <c r="I176" s="1034" t="str">
        <f t="shared" si="18"/>
        <v/>
      </c>
      <c r="J176" s="1033"/>
      <c r="K176" s="1033"/>
      <c r="L176" s="1034" t="str">
        <f t="shared" si="19"/>
        <v/>
      </c>
      <c r="M176" s="1035"/>
      <c r="N176" s="1035"/>
      <c r="O176" s="1036" t="str">
        <f t="shared" si="20"/>
        <v/>
      </c>
      <c r="P176" s="1035"/>
      <c r="Q176" s="1033"/>
      <c r="R176" s="1034" t="str">
        <f t="shared" si="21"/>
        <v/>
      </c>
      <c r="S176" s="1035"/>
      <c r="T176" s="1035"/>
      <c r="U176" s="1034" t="str">
        <f t="shared" si="22"/>
        <v/>
      </c>
      <c r="V176" s="1035"/>
      <c r="W176" s="1035"/>
      <c r="X176" s="1037" t="str">
        <f t="shared" si="30"/>
        <v>1</v>
      </c>
      <c r="Y176" s="1035"/>
      <c r="Z176" s="1035">
        <f t="shared" si="25"/>
        <v>1</v>
      </c>
      <c r="AA176" s="1035"/>
      <c r="AB176" s="1035"/>
      <c r="AC176" s="1021">
        <v>110631</v>
      </c>
      <c r="AD176" s="1021" t="s">
        <v>1352</v>
      </c>
      <c r="AE176" s="1022">
        <v>0</v>
      </c>
      <c r="AF176" s="1022"/>
      <c r="AG176" s="1022">
        <f t="shared" si="26"/>
        <v>0</v>
      </c>
      <c r="AH176" s="1022">
        <f t="shared" si="27"/>
        <v>0</v>
      </c>
      <c r="AK176" s="448"/>
      <c r="AL176" s="445"/>
    </row>
    <row r="177" spans="1:38" s="467" customFormat="1" ht="12.75" customHeight="1">
      <c r="A177" s="1033">
        <v>5115000</v>
      </c>
      <c r="B177" s="1033" t="s">
        <v>2729</v>
      </c>
      <c r="C177" s="1034" t="str">
        <f t="shared" si="16"/>
        <v/>
      </c>
      <c r="D177" s="1033"/>
      <c r="E177" s="1033"/>
      <c r="F177" s="1034" t="str">
        <f t="shared" si="17"/>
        <v/>
      </c>
      <c r="G177" s="1033"/>
      <c r="H177" s="1033"/>
      <c r="I177" s="1034" t="str">
        <f t="shared" si="18"/>
        <v/>
      </c>
      <c r="J177" s="1033"/>
      <c r="K177" s="1033"/>
      <c r="L177" s="1034" t="str">
        <f t="shared" si="19"/>
        <v/>
      </c>
      <c r="M177" s="1035"/>
      <c r="N177" s="1035"/>
      <c r="O177" s="1036" t="str">
        <f t="shared" si="20"/>
        <v/>
      </c>
      <c r="P177" s="1035"/>
      <c r="Q177" s="1033"/>
      <c r="R177" s="1034" t="str">
        <f t="shared" si="21"/>
        <v/>
      </c>
      <c r="S177" s="1035"/>
      <c r="T177" s="1035"/>
      <c r="U177" s="1034" t="str">
        <f t="shared" si="22"/>
        <v/>
      </c>
      <c r="V177" s="1035"/>
      <c r="W177" s="1035"/>
      <c r="X177" s="1037" t="str">
        <f t="shared" si="30"/>
        <v>1</v>
      </c>
      <c r="Y177" s="1035"/>
      <c r="Z177" s="1035">
        <f t="shared" si="25"/>
        <v>1</v>
      </c>
      <c r="AA177" s="1035"/>
      <c r="AB177" s="1035"/>
      <c r="AC177" s="1021">
        <v>110632</v>
      </c>
      <c r="AD177" s="1021" t="s">
        <v>1353</v>
      </c>
      <c r="AE177" s="1022">
        <v>0</v>
      </c>
      <c r="AF177" s="1022"/>
      <c r="AG177" s="1022">
        <f t="shared" si="26"/>
        <v>0</v>
      </c>
      <c r="AH177" s="1022">
        <f t="shared" si="27"/>
        <v>0</v>
      </c>
      <c r="AK177" s="448"/>
      <c r="AL177" s="445"/>
    </row>
    <row r="178" spans="1:38" s="467" customFormat="1" ht="12.75" customHeight="1">
      <c r="A178" s="1033"/>
      <c r="B178" s="1033"/>
      <c r="C178" s="1034" t="str">
        <f t="shared" si="16"/>
        <v/>
      </c>
      <c r="D178" s="1033"/>
      <c r="E178" s="1033"/>
      <c r="F178" s="1034" t="str">
        <f t="shared" si="17"/>
        <v/>
      </c>
      <c r="G178" s="1033"/>
      <c r="H178" s="1033"/>
      <c r="I178" s="1034" t="str">
        <f t="shared" si="18"/>
        <v/>
      </c>
      <c r="J178" s="1033"/>
      <c r="K178" s="1033"/>
      <c r="L178" s="1034" t="str">
        <f t="shared" si="19"/>
        <v/>
      </c>
      <c r="M178" s="1035"/>
      <c r="N178" s="1035"/>
      <c r="O178" s="1036" t="str">
        <f t="shared" si="20"/>
        <v/>
      </c>
      <c r="P178" s="1035"/>
      <c r="Q178" s="1033"/>
      <c r="R178" s="1034" t="str">
        <f t="shared" si="21"/>
        <v/>
      </c>
      <c r="S178" s="1035"/>
      <c r="T178" s="1035"/>
      <c r="U178" s="1034" t="str">
        <f t="shared" si="22"/>
        <v/>
      </c>
      <c r="V178" s="1035"/>
      <c r="W178" s="1035"/>
      <c r="X178" s="1037" t="str">
        <f t="shared" si="30"/>
        <v>1</v>
      </c>
      <c r="Y178" s="1035"/>
      <c r="Z178" s="1035">
        <f t="shared" si="25"/>
        <v>1</v>
      </c>
      <c r="AA178" s="1035"/>
      <c r="AB178" s="1035"/>
      <c r="AC178" s="1021">
        <v>110633</v>
      </c>
      <c r="AD178" s="1021" t="s">
        <v>1354</v>
      </c>
      <c r="AE178" s="1022">
        <v>0</v>
      </c>
      <c r="AF178" s="1022"/>
      <c r="AG178" s="1022">
        <f t="shared" si="26"/>
        <v>0</v>
      </c>
      <c r="AH178" s="1022">
        <f t="shared" si="27"/>
        <v>0</v>
      </c>
      <c r="AK178" s="448"/>
      <c r="AL178" s="445"/>
    </row>
    <row r="179" spans="1:38" s="467" customFormat="1" ht="12.75" customHeight="1">
      <c r="A179" s="1033"/>
      <c r="B179" s="1033"/>
      <c r="C179" s="1034" t="str">
        <f t="shared" si="16"/>
        <v/>
      </c>
      <c r="D179" s="1033"/>
      <c r="E179" s="1033"/>
      <c r="F179" s="1034" t="str">
        <f t="shared" si="17"/>
        <v/>
      </c>
      <c r="G179" s="1033"/>
      <c r="H179" s="1033"/>
      <c r="I179" s="1034" t="str">
        <f t="shared" si="18"/>
        <v/>
      </c>
      <c r="J179" s="1033"/>
      <c r="K179" s="1033"/>
      <c r="L179" s="1034" t="str">
        <f t="shared" si="19"/>
        <v/>
      </c>
      <c r="M179" s="1035"/>
      <c r="N179" s="1035"/>
      <c r="O179" s="1036" t="str">
        <f t="shared" si="20"/>
        <v/>
      </c>
      <c r="P179" s="1035"/>
      <c r="Q179" s="1033"/>
      <c r="R179" s="1034" t="str">
        <f t="shared" si="21"/>
        <v/>
      </c>
      <c r="S179" s="1035"/>
      <c r="T179" s="1035"/>
      <c r="U179" s="1034" t="str">
        <f t="shared" si="22"/>
        <v/>
      </c>
      <c r="V179" s="1035"/>
      <c r="W179" s="1035"/>
      <c r="X179" s="1037" t="str">
        <f t="shared" si="30"/>
        <v>1</v>
      </c>
      <c r="Y179" s="1035"/>
      <c r="Z179" s="1035">
        <f t="shared" si="25"/>
        <v>1</v>
      </c>
      <c r="AA179" s="1035"/>
      <c r="AB179" s="1035"/>
      <c r="AC179" s="1021">
        <v>110634</v>
      </c>
      <c r="AD179" s="1021" t="s">
        <v>1355</v>
      </c>
      <c r="AE179" s="1022">
        <v>0</v>
      </c>
      <c r="AF179" s="1022"/>
      <c r="AG179" s="1022">
        <f t="shared" si="26"/>
        <v>0</v>
      </c>
      <c r="AH179" s="1022">
        <f t="shared" si="27"/>
        <v>0</v>
      </c>
      <c r="AK179" s="448"/>
      <c r="AL179" s="445"/>
    </row>
    <row r="180" spans="1:38" s="467" customFormat="1" ht="12.75" customHeight="1">
      <c r="A180" s="1033"/>
      <c r="B180" s="1033"/>
      <c r="C180" s="1034" t="str">
        <f t="shared" si="16"/>
        <v/>
      </c>
      <c r="D180" s="1033"/>
      <c r="E180" s="1033"/>
      <c r="F180" s="1034" t="str">
        <f t="shared" si="17"/>
        <v/>
      </c>
      <c r="G180" s="1033"/>
      <c r="H180" s="1033"/>
      <c r="I180" s="1034" t="str">
        <f t="shared" si="18"/>
        <v/>
      </c>
      <c r="J180" s="1033"/>
      <c r="K180" s="1033"/>
      <c r="L180" s="1034" t="str">
        <f t="shared" si="19"/>
        <v/>
      </c>
      <c r="M180" s="1035"/>
      <c r="N180" s="1035"/>
      <c r="O180" s="1036" t="str">
        <f t="shared" si="20"/>
        <v/>
      </c>
      <c r="P180" s="1035"/>
      <c r="Q180" s="1033"/>
      <c r="R180" s="1034" t="str">
        <f t="shared" si="21"/>
        <v/>
      </c>
      <c r="S180" s="1035"/>
      <c r="T180" s="1035"/>
      <c r="U180" s="1034" t="str">
        <f t="shared" si="22"/>
        <v/>
      </c>
      <c r="V180" s="1035"/>
      <c r="W180" s="1035"/>
      <c r="X180" s="1037" t="str">
        <f t="shared" si="30"/>
        <v>1</v>
      </c>
      <c r="Y180" s="1035"/>
      <c r="Z180" s="1035">
        <f t="shared" si="25"/>
        <v>1</v>
      </c>
      <c r="AA180" s="1035"/>
      <c r="AB180" s="1035"/>
      <c r="AC180" s="1021">
        <v>110635</v>
      </c>
      <c r="AD180" s="1021" t="s">
        <v>957</v>
      </c>
      <c r="AE180" s="1022">
        <v>0</v>
      </c>
      <c r="AF180" s="1022"/>
      <c r="AG180" s="1022">
        <f t="shared" si="26"/>
        <v>0</v>
      </c>
      <c r="AH180" s="1022">
        <f t="shared" si="27"/>
        <v>0</v>
      </c>
      <c r="AK180" s="448"/>
      <c r="AL180" s="445"/>
    </row>
    <row r="181" spans="1:38" s="467" customFormat="1" ht="12.75" customHeight="1">
      <c r="A181" s="1033"/>
      <c r="B181" s="1033"/>
      <c r="C181" s="1034" t="str">
        <f t="shared" si="16"/>
        <v/>
      </c>
      <c r="D181" s="1033"/>
      <c r="E181" s="1033"/>
      <c r="F181" s="1034" t="str">
        <f t="shared" si="17"/>
        <v/>
      </c>
      <c r="G181" s="1033"/>
      <c r="H181" s="1033"/>
      <c r="I181" s="1034" t="str">
        <f t="shared" si="18"/>
        <v/>
      </c>
      <c r="J181" s="1033"/>
      <c r="K181" s="1033"/>
      <c r="L181" s="1034" t="str">
        <f t="shared" si="19"/>
        <v/>
      </c>
      <c r="M181" s="1035"/>
      <c r="N181" s="1035"/>
      <c r="O181" s="1036" t="str">
        <f t="shared" si="20"/>
        <v/>
      </c>
      <c r="P181" s="1035"/>
      <c r="Q181" s="1033"/>
      <c r="R181" s="1034" t="str">
        <f t="shared" si="21"/>
        <v/>
      </c>
      <c r="S181" s="1035"/>
      <c r="T181" s="1035"/>
      <c r="U181" s="1034" t="str">
        <f t="shared" si="22"/>
        <v/>
      </c>
      <c r="V181" s="1035"/>
      <c r="W181" s="1035"/>
      <c r="X181" s="1037" t="str">
        <f t="shared" si="30"/>
        <v>1</v>
      </c>
      <c r="Y181" s="1035"/>
      <c r="Z181" s="1035">
        <f t="shared" si="25"/>
        <v>1</v>
      </c>
      <c r="AA181" s="1035"/>
      <c r="AB181" s="1035"/>
      <c r="AC181" s="1021">
        <v>110636</v>
      </c>
      <c r="AD181" s="1021" t="s">
        <v>958</v>
      </c>
      <c r="AE181" s="1022">
        <v>0</v>
      </c>
      <c r="AF181" s="1022"/>
      <c r="AG181" s="1022">
        <f t="shared" si="26"/>
        <v>0</v>
      </c>
      <c r="AH181" s="1022">
        <f t="shared" si="27"/>
        <v>0</v>
      </c>
      <c r="AK181" s="448"/>
      <c r="AL181" s="445"/>
    </row>
    <row r="182" spans="1:38" s="467" customFormat="1" ht="12.75" customHeight="1">
      <c r="A182" s="1033"/>
      <c r="B182" s="1033"/>
      <c r="C182" s="1034" t="str">
        <f t="shared" si="16"/>
        <v/>
      </c>
      <c r="D182" s="1033"/>
      <c r="E182" s="1033"/>
      <c r="F182" s="1034" t="str">
        <f t="shared" si="17"/>
        <v/>
      </c>
      <c r="G182" s="1033"/>
      <c r="H182" s="1033"/>
      <c r="I182" s="1034" t="str">
        <f t="shared" si="18"/>
        <v/>
      </c>
      <c r="J182" s="1033"/>
      <c r="K182" s="1033"/>
      <c r="L182" s="1034" t="str">
        <f t="shared" si="19"/>
        <v/>
      </c>
      <c r="M182" s="1035"/>
      <c r="N182" s="1035"/>
      <c r="O182" s="1036" t="str">
        <f t="shared" si="20"/>
        <v/>
      </c>
      <c r="P182" s="1035"/>
      <c r="Q182" s="1033"/>
      <c r="R182" s="1034" t="str">
        <f t="shared" si="21"/>
        <v/>
      </c>
      <c r="S182" s="1035"/>
      <c r="T182" s="1035"/>
      <c r="U182" s="1034" t="str">
        <f t="shared" si="22"/>
        <v/>
      </c>
      <c r="V182" s="1035"/>
      <c r="W182" s="1035"/>
      <c r="X182" s="1037" t="str">
        <f t="shared" si="30"/>
        <v>1</v>
      </c>
      <c r="Y182" s="1035"/>
      <c r="Z182" s="1035">
        <f t="shared" si="25"/>
        <v>1</v>
      </c>
      <c r="AA182" s="1035"/>
      <c r="AB182" s="1035"/>
      <c r="AC182" s="1021">
        <v>110637</v>
      </c>
      <c r="AD182" s="1021" t="s">
        <v>1974</v>
      </c>
      <c r="AE182" s="1022">
        <v>0</v>
      </c>
      <c r="AF182" s="1022"/>
      <c r="AG182" s="1022">
        <f t="shared" si="26"/>
        <v>0</v>
      </c>
      <c r="AH182" s="1022">
        <f t="shared" si="27"/>
        <v>0</v>
      </c>
      <c r="AK182" s="448"/>
      <c r="AL182" s="445"/>
    </row>
    <row r="183" spans="1:38" s="467" customFormat="1" ht="12.75" customHeight="1">
      <c r="A183" s="1033"/>
      <c r="B183" s="1033"/>
      <c r="C183" s="1034" t="str">
        <f t="shared" si="16"/>
        <v/>
      </c>
      <c r="D183" s="1033"/>
      <c r="E183" s="1033"/>
      <c r="F183" s="1034" t="str">
        <f t="shared" si="17"/>
        <v/>
      </c>
      <c r="G183" s="1033"/>
      <c r="H183" s="1033"/>
      <c r="I183" s="1034" t="str">
        <f t="shared" si="18"/>
        <v/>
      </c>
      <c r="J183" s="1033"/>
      <c r="K183" s="1033"/>
      <c r="L183" s="1034" t="str">
        <f t="shared" si="19"/>
        <v/>
      </c>
      <c r="M183" s="1035"/>
      <c r="N183" s="1035"/>
      <c r="O183" s="1036" t="str">
        <f t="shared" si="20"/>
        <v/>
      </c>
      <c r="P183" s="1035"/>
      <c r="Q183" s="1033"/>
      <c r="R183" s="1034" t="str">
        <f t="shared" si="21"/>
        <v/>
      </c>
      <c r="S183" s="1035"/>
      <c r="T183" s="1035"/>
      <c r="U183" s="1034" t="str">
        <f t="shared" si="22"/>
        <v/>
      </c>
      <c r="V183" s="1035"/>
      <c r="W183" s="1035"/>
      <c r="X183" s="1037" t="str">
        <f t="shared" si="30"/>
        <v>1</v>
      </c>
      <c r="Y183" s="1035"/>
      <c r="Z183" s="1035">
        <f t="shared" si="25"/>
        <v>1</v>
      </c>
      <c r="AA183" s="1035"/>
      <c r="AB183" s="1035"/>
      <c r="AC183" s="1021">
        <v>110638</v>
      </c>
      <c r="AD183" s="1021" t="s">
        <v>510</v>
      </c>
      <c r="AE183" s="1022">
        <v>0</v>
      </c>
      <c r="AF183" s="1022"/>
      <c r="AG183" s="1022">
        <f t="shared" si="26"/>
        <v>0</v>
      </c>
      <c r="AH183" s="1022">
        <f t="shared" si="27"/>
        <v>0</v>
      </c>
      <c r="AK183" s="448"/>
      <c r="AL183" s="445"/>
    </row>
    <row r="184" spans="1:38" s="467" customFormat="1" ht="12.75" customHeight="1">
      <c r="A184" s="1033"/>
      <c r="B184" s="1033"/>
      <c r="C184" s="1034" t="str">
        <f t="shared" si="16"/>
        <v/>
      </c>
      <c r="D184" s="1033"/>
      <c r="E184" s="1033"/>
      <c r="F184" s="1034" t="str">
        <f t="shared" si="17"/>
        <v/>
      </c>
      <c r="G184" s="1033"/>
      <c r="H184" s="1033"/>
      <c r="I184" s="1034" t="str">
        <f t="shared" si="18"/>
        <v/>
      </c>
      <c r="J184" s="1033"/>
      <c r="K184" s="1033"/>
      <c r="L184" s="1034" t="str">
        <f t="shared" si="19"/>
        <v/>
      </c>
      <c r="M184" s="1035"/>
      <c r="N184" s="1035"/>
      <c r="O184" s="1036" t="str">
        <f t="shared" si="20"/>
        <v/>
      </c>
      <c r="P184" s="1035"/>
      <c r="Q184" s="1033"/>
      <c r="R184" s="1034" t="str">
        <f t="shared" si="21"/>
        <v/>
      </c>
      <c r="S184" s="1035"/>
      <c r="T184" s="1035"/>
      <c r="U184" s="1034" t="str">
        <f t="shared" si="22"/>
        <v/>
      </c>
      <c r="V184" s="1035"/>
      <c r="W184" s="1035"/>
      <c r="X184" s="1037" t="str">
        <f t="shared" si="30"/>
        <v>1</v>
      </c>
      <c r="Y184" s="1035"/>
      <c r="Z184" s="1035">
        <f t="shared" si="25"/>
        <v>1</v>
      </c>
      <c r="AA184" s="1035"/>
      <c r="AB184" s="1035"/>
      <c r="AC184" s="1021">
        <v>110639</v>
      </c>
      <c r="AD184" s="1021" t="s">
        <v>511</v>
      </c>
      <c r="AE184" s="1022">
        <v>0</v>
      </c>
      <c r="AF184" s="1022"/>
      <c r="AG184" s="1022">
        <f t="shared" si="26"/>
        <v>0</v>
      </c>
      <c r="AH184" s="1022">
        <f t="shared" si="27"/>
        <v>0</v>
      </c>
      <c r="AK184" s="448"/>
      <c r="AL184" s="445"/>
    </row>
    <row r="185" spans="1:38" s="467" customFormat="1" ht="12.75" customHeight="1">
      <c r="A185" s="1033"/>
      <c r="B185" s="1033"/>
      <c r="C185" s="1034" t="str">
        <f t="shared" si="16"/>
        <v/>
      </c>
      <c r="D185" s="1033"/>
      <c r="E185" s="1033"/>
      <c r="F185" s="1034" t="str">
        <f t="shared" si="17"/>
        <v/>
      </c>
      <c r="G185" s="1033"/>
      <c r="H185" s="1033"/>
      <c r="I185" s="1034" t="str">
        <f t="shared" si="18"/>
        <v/>
      </c>
      <c r="J185" s="1033"/>
      <c r="K185" s="1033"/>
      <c r="L185" s="1034" t="str">
        <f t="shared" si="19"/>
        <v/>
      </c>
      <c r="M185" s="1035"/>
      <c r="N185" s="1035"/>
      <c r="O185" s="1036" t="str">
        <f t="shared" si="20"/>
        <v/>
      </c>
      <c r="P185" s="1035"/>
      <c r="Q185" s="1033"/>
      <c r="R185" s="1034" t="str">
        <f t="shared" si="21"/>
        <v/>
      </c>
      <c r="S185" s="1035"/>
      <c r="T185" s="1035"/>
      <c r="U185" s="1034" t="str">
        <f t="shared" si="22"/>
        <v/>
      </c>
      <c r="V185" s="1035"/>
      <c r="W185" s="1035"/>
      <c r="X185" s="1037" t="str">
        <f t="shared" si="30"/>
        <v>1</v>
      </c>
      <c r="Y185" s="1035"/>
      <c r="Z185" s="1035">
        <f t="shared" si="25"/>
        <v>1</v>
      </c>
      <c r="AA185" s="1035"/>
      <c r="AB185" s="1035"/>
      <c r="AC185" s="1021">
        <v>110640</v>
      </c>
      <c r="AD185" s="1021" t="s">
        <v>1975</v>
      </c>
      <c r="AE185" s="1022">
        <v>0</v>
      </c>
      <c r="AF185" s="1022"/>
      <c r="AG185" s="1022">
        <f t="shared" si="26"/>
        <v>0</v>
      </c>
      <c r="AH185" s="1022">
        <f t="shared" si="27"/>
        <v>0</v>
      </c>
      <c r="AK185" s="448"/>
      <c r="AL185" s="445"/>
    </row>
    <row r="186" spans="1:38" s="467" customFormat="1" ht="12.75" customHeight="1">
      <c r="A186" s="1033">
        <v>5115000</v>
      </c>
      <c r="B186" s="1033" t="s">
        <v>2729</v>
      </c>
      <c r="C186" s="1034" t="str">
        <f t="shared" si="16"/>
        <v/>
      </c>
      <c r="D186" s="1033"/>
      <c r="E186" s="1033"/>
      <c r="F186" s="1034" t="str">
        <f t="shared" si="17"/>
        <v/>
      </c>
      <c r="G186" s="1033"/>
      <c r="H186" s="1033"/>
      <c r="I186" s="1034" t="str">
        <f t="shared" si="18"/>
        <v/>
      </c>
      <c r="J186" s="1033"/>
      <c r="K186" s="1033"/>
      <c r="L186" s="1034" t="str">
        <f t="shared" si="19"/>
        <v/>
      </c>
      <c r="M186" s="1035"/>
      <c r="N186" s="1035"/>
      <c r="O186" s="1036" t="str">
        <f t="shared" si="20"/>
        <v/>
      </c>
      <c r="P186" s="1035"/>
      <c r="Q186" s="1033"/>
      <c r="R186" s="1034" t="str">
        <f t="shared" si="21"/>
        <v/>
      </c>
      <c r="S186" s="1035"/>
      <c r="T186" s="1035"/>
      <c r="U186" s="1034" t="str">
        <f t="shared" si="22"/>
        <v/>
      </c>
      <c r="V186" s="1035"/>
      <c r="W186" s="1035"/>
      <c r="X186" s="1037" t="str">
        <f t="shared" si="30"/>
        <v>1</v>
      </c>
      <c r="Y186" s="1035"/>
      <c r="Z186" s="1035">
        <f t="shared" si="25"/>
        <v>1</v>
      </c>
      <c r="AA186" s="1035"/>
      <c r="AB186" s="1035"/>
      <c r="AC186" s="1021">
        <v>110641</v>
      </c>
      <c r="AD186" s="1021" t="s">
        <v>512</v>
      </c>
      <c r="AE186" s="1022">
        <f>VLOOKUP(AC186,[5]Hoja1!$A$10:$K$1393,11,0)</f>
        <v>0</v>
      </c>
      <c r="AF186" s="1022">
        <v>0</v>
      </c>
      <c r="AG186" s="1022">
        <f t="shared" si="26"/>
        <v>0</v>
      </c>
      <c r="AH186" s="1022">
        <f t="shared" si="27"/>
        <v>0</v>
      </c>
      <c r="AI186" s="445">
        <f>+AH186+AH225</f>
        <v>362018</v>
      </c>
      <c r="AJ186" s="467">
        <v>8120</v>
      </c>
      <c r="AK186" s="448"/>
      <c r="AL186" s="445"/>
    </row>
    <row r="187" spans="1:38" s="467" customFormat="1" ht="12.75" customHeight="1">
      <c r="A187" s="1033"/>
      <c r="B187" s="1033"/>
      <c r="C187" s="1034" t="str">
        <f t="shared" si="16"/>
        <v/>
      </c>
      <c r="D187" s="1033"/>
      <c r="E187" s="1033"/>
      <c r="F187" s="1034" t="str">
        <f t="shared" si="17"/>
        <v/>
      </c>
      <c r="G187" s="1033"/>
      <c r="H187" s="1033"/>
      <c r="I187" s="1034" t="str">
        <f t="shared" si="18"/>
        <v/>
      </c>
      <c r="J187" s="1033"/>
      <c r="K187" s="1033"/>
      <c r="L187" s="1034" t="str">
        <f t="shared" si="19"/>
        <v/>
      </c>
      <c r="M187" s="1035"/>
      <c r="N187" s="1035"/>
      <c r="O187" s="1036" t="str">
        <f t="shared" si="20"/>
        <v/>
      </c>
      <c r="P187" s="1035"/>
      <c r="Q187" s="1033"/>
      <c r="R187" s="1034" t="str">
        <f t="shared" si="21"/>
        <v/>
      </c>
      <c r="S187" s="1035"/>
      <c r="T187" s="1035"/>
      <c r="U187" s="1034" t="str">
        <f t="shared" si="22"/>
        <v/>
      </c>
      <c r="V187" s="1035"/>
      <c r="W187" s="1035"/>
      <c r="X187" s="1037" t="str">
        <f t="shared" si="30"/>
        <v>1</v>
      </c>
      <c r="Y187" s="1035"/>
      <c r="Z187" s="1035">
        <f t="shared" si="25"/>
        <v>1</v>
      </c>
      <c r="AA187" s="1035"/>
      <c r="AB187" s="1035"/>
      <c r="AC187" s="1021">
        <v>110642</v>
      </c>
      <c r="AD187" s="1021" t="s">
        <v>513</v>
      </c>
      <c r="AE187" s="1022">
        <v>0</v>
      </c>
      <c r="AF187" s="1022">
        <v>0</v>
      </c>
      <c r="AG187" s="1022">
        <f t="shared" si="26"/>
        <v>0</v>
      </c>
      <c r="AH187" s="1022">
        <f t="shared" si="27"/>
        <v>0</v>
      </c>
      <c r="AK187" s="448"/>
      <c r="AL187" s="445"/>
    </row>
    <row r="188" spans="1:38" s="467" customFormat="1" ht="12.75" customHeight="1">
      <c r="A188" s="1033"/>
      <c r="B188" s="1033"/>
      <c r="C188" s="1034" t="str">
        <f t="shared" si="16"/>
        <v/>
      </c>
      <c r="D188" s="1033"/>
      <c r="E188" s="1033"/>
      <c r="F188" s="1034" t="str">
        <f t="shared" si="17"/>
        <v/>
      </c>
      <c r="G188" s="1033"/>
      <c r="H188" s="1033"/>
      <c r="I188" s="1034" t="str">
        <f t="shared" si="18"/>
        <v/>
      </c>
      <c r="J188" s="1033"/>
      <c r="K188" s="1033"/>
      <c r="L188" s="1034" t="str">
        <f t="shared" si="19"/>
        <v/>
      </c>
      <c r="M188" s="1035"/>
      <c r="N188" s="1035"/>
      <c r="O188" s="1036" t="str">
        <f t="shared" si="20"/>
        <v/>
      </c>
      <c r="P188" s="1035"/>
      <c r="Q188" s="1033"/>
      <c r="R188" s="1034" t="str">
        <f t="shared" si="21"/>
        <v/>
      </c>
      <c r="S188" s="1035"/>
      <c r="T188" s="1035"/>
      <c r="U188" s="1034" t="str">
        <f t="shared" si="22"/>
        <v/>
      </c>
      <c r="V188" s="1035"/>
      <c r="W188" s="1035"/>
      <c r="X188" s="1037" t="str">
        <f t="shared" si="30"/>
        <v>1</v>
      </c>
      <c r="Y188" s="1035"/>
      <c r="Z188" s="1035">
        <f t="shared" si="25"/>
        <v>1</v>
      </c>
      <c r="AA188" s="1035"/>
      <c r="AB188" s="1035"/>
      <c r="AC188" s="1021">
        <v>110643</v>
      </c>
      <c r="AD188" s="1021" t="s">
        <v>984</v>
      </c>
      <c r="AE188" s="1022">
        <v>0</v>
      </c>
      <c r="AF188" s="1022"/>
      <c r="AG188" s="1022">
        <f t="shared" si="26"/>
        <v>0</v>
      </c>
      <c r="AH188" s="1022">
        <f t="shared" si="27"/>
        <v>0</v>
      </c>
      <c r="AK188" s="448"/>
      <c r="AL188" s="445"/>
    </row>
    <row r="189" spans="1:38" s="467" customFormat="1" ht="12.75" customHeight="1">
      <c r="A189" s="1033"/>
      <c r="B189" s="1033"/>
      <c r="C189" s="1034" t="str">
        <f t="shared" si="16"/>
        <v/>
      </c>
      <c r="D189" s="1033"/>
      <c r="E189" s="1033"/>
      <c r="F189" s="1034" t="str">
        <f t="shared" si="17"/>
        <v/>
      </c>
      <c r="G189" s="1033"/>
      <c r="H189" s="1033"/>
      <c r="I189" s="1034" t="str">
        <f t="shared" si="18"/>
        <v/>
      </c>
      <c r="J189" s="1033"/>
      <c r="K189" s="1033"/>
      <c r="L189" s="1034" t="str">
        <f t="shared" si="19"/>
        <v/>
      </c>
      <c r="M189" s="1035"/>
      <c r="N189" s="1035"/>
      <c r="O189" s="1036" t="str">
        <f t="shared" si="20"/>
        <v/>
      </c>
      <c r="P189" s="1035"/>
      <c r="Q189" s="1033"/>
      <c r="R189" s="1034" t="str">
        <f t="shared" si="21"/>
        <v/>
      </c>
      <c r="S189" s="1035"/>
      <c r="T189" s="1035"/>
      <c r="U189" s="1034" t="str">
        <f t="shared" si="22"/>
        <v/>
      </c>
      <c r="V189" s="1035"/>
      <c r="W189" s="1035"/>
      <c r="X189" s="1037" t="str">
        <f t="shared" si="30"/>
        <v>1</v>
      </c>
      <c r="Y189" s="1035"/>
      <c r="Z189" s="1035">
        <f t="shared" si="25"/>
        <v>1</v>
      </c>
      <c r="AA189" s="1035"/>
      <c r="AB189" s="1035"/>
      <c r="AC189" s="1021">
        <v>110644</v>
      </c>
      <c r="AD189" s="1021" t="s">
        <v>985</v>
      </c>
      <c r="AE189" s="1022">
        <v>0</v>
      </c>
      <c r="AF189" s="1022"/>
      <c r="AG189" s="1022">
        <f t="shared" si="26"/>
        <v>0</v>
      </c>
      <c r="AH189" s="1022">
        <f t="shared" si="27"/>
        <v>0</v>
      </c>
      <c r="AK189" s="448"/>
      <c r="AL189" s="445"/>
    </row>
    <row r="190" spans="1:38" s="467" customFormat="1" ht="12.75" customHeight="1">
      <c r="A190" s="1033"/>
      <c r="B190" s="1033"/>
      <c r="C190" s="1034" t="str">
        <f t="shared" si="16"/>
        <v/>
      </c>
      <c r="D190" s="1033"/>
      <c r="E190" s="1033"/>
      <c r="F190" s="1034" t="str">
        <f t="shared" si="17"/>
        <v/>
      </c>
      <c r="G190" s="1033"/>
      <c r="H190" s="1033"/>
      <c r="I190" s="1034" t="str">
        <f t="shared" si="18"/>
        <v/>
      </c>
      <c r="J190" s="1033"/>
      <c r="K190" s="1033"/>
      <c r="L190" s="1034" t="str">
        <f t="shared" si="19"/>
        <v/>
      </c>
      <c r="M190" s="1035"/>
      <c r="N190" s="1035"/>
      <c r="O190" s="1036" t="str">
        <f t="shared" si="20"/>
        <v/>
      </c>
      <c r="P190" s="1035"/>
      <c r="Q190" s="1033"/>
      <c r="R190" s="1034" t="str">
        <f t="shared" si="21"/>
        <v/>
      </c>
      <c r="S190" s="1035"/>
      <c r="T190" s="1035"/>
      <c r="U190" s="1034" t="str">
        <f t="shared" si="22"/>
        <v/>
      </c>
      <c r="V190" s="1035"/>
      <c r="W190" s="1035"/>
      <c r="X190" s="1037" t="str">
        <f t="shared" si="30"/>
        <v>1</v>
      </c>
      <c r="Y190" s="1035"/>
      <c r="Z190" s="1035">
        <f t="shared" si="25"/>
        <v>1</v>
      </c>
      <c r="AA190" s="1035"/>
      <c r="AB190" s="1035"/>
      <c r="AC190" s="1021">
        <v>110645</v>
      </c>
      <c r="AD190" s="1021" t="s">
        <v>1976</v>
      </c>
      <c r="AE190" s="1022">
        <f>VLOOKUP(AC190,[5]Hoja1!$A$10:$K$1393,11,0)</f>
        <v>0</v>
      </c>
      <c r="AF190" s="1022"/>
      <c r="AG190" s="1022">
        <f t="shared" si="26"/>
        <v>0</v>
      </c>
      <c r="AH190" s="1022">
        <f t="shared" si="27"/>
        <v>0</v>
      </c>
      <c r="AK190" s="448"/>
      <c r="AL190" s="445"/>
    </row>
    <row r="191" spans="1:38" s="467" customFormat="1" ht="12.75" customHeight="1">
      <c r="A191" s="1033"/>
      <c r="B191" s="1033"/>
      <c r="C191" s="1034"/>
      <c r="D191" s="1033"/>
      <c r="E191" s="1033"/>
      <c r="F191" s="1034"/>
      <c r="G191" s="1033"/>
      <c r="H191" s="1033"/>
      <c r="I191" s="1034"/>
      <c r="J191" s="1033"/>
      <c r="K191" s="1033"/>
      <c r="L191" s="1034"/>
      <c r="M191" s="1035"/>
      <c r="N191" s="1035"/>
      <c r="O191" s="1036"/>
      <c r="P191" s="1035"/>
      <c r="Q191" s="1033"/>
      <c r="R191" s="1034"/>
      <c r="S191" s="1035"/>
      <c r="T191" s="1035"/>
      <c r="U191" s="1034"/>
      <c r="V191" s="1035"/>
      <c r="W191" s="1035"/>
      <c r="X191" s="1037"/>
      <c r="Y191" s="1035"/>
      <c r="Z191" s="1035">
        <f t="shared" si="25"/>
        <v>1</v>
      </c>
      <c r="AA191" s="1035"/>
      <c r="AB191" s="1035"/>
      <c r="AC191" s="1021">
        <v>110646</v>
      </c>
      <c r="AD191" s="1021" t="s">
        <v>1977</v>
      </c>
      <c r="AE191" s="1022">
        <v>0</v>
      </c>
      <c r="AF191" s="1022"/>
      <c r="AG191" s="1022">
        <f t="shared" si="26"/>
        <v>0</v>
      </c>
      <c r="AH191" s="1022">
        <f t="shared" si="27"/>
        <v>0</v>
      </c>
      <c r="AK191" s="448"/>
      <c r="AL191" s="445"/>
    </row>
    <row r="192" spans="1:38" s="467" customFormat="1" ht="12.75" customHeight="1">
      <c r="A192" s="1033"/>
      <c r="B192" s="1033"/>
      <c r="C192" s="1034"/>
      <c r="D192" s="1033"/>
      <c r="E192" s="1033"/>
      <c r="F192" s="1034"/>
      <c r="G192" s="1033"/>
      <c r="H192" s="1033"/>
      <c r="I192" s="1034"/>
      <c r="J192" s="1033"/>
      <c r="K192" s="1033"/>
      <c r="L192" s="1034"/>
      <c r="M192" s="1035"/>
      <c r="N192" s="1035"/>
      <c r="O192" s="1036"/>
      <c r="P192" s="1035"/>
      <c r="Q192" s="1033"/>
      <c r="R192" s="1034"/>
      <c r="S192" s="1035"/>
      <c r="T192" s="1035"/>
      <c r="U192" s="1034"/>
      <c r="V192" s="1035"/>
      <c r="W192" s="1035"/>
      <c r="X192" s="1037"/>
      <c r="Y192" s="1035"/>
      <c r="Z192" s="1035">
        <f t="shared" si="25"/>
        <v>1</v>
      </c>
      <c r="AA192" s="1035"/>
      <c r="AB192" s="1035"/>
      <c r="AC192" s="1021">
        <v>110647</v>
      </c>
      <c r="AD192" s="1021" t="s">
        <v>993</v>
      </c>
      <c r="AE192" s="1022">
        <v>0</v>
      </c>
      <c r="AF192" s="1022"/>
      <c r="AG192" s="1022">
        <f t="shared" si="26"/>
        <v>0</v>
      </c>
      <c r="AH192" s="1022">
        <f t="shared" si="27"/>
        <v>0</v>
      </c>
      <c r="AK192" s="448"/>
      <c r="AL192" s="445"/>
    </row>
    <row r="193" spans="1:38" s="467" customFormat="1" ht="12.75" customHeight="1">
      <c r="A193" s="1033"/>
      <c r="B193" s="1033"/>
      <c r="C193" s="1034"/>
      <c r="D193" s="1033"/>
      <c r="E193" s="1033"/>
      <c r="F193" s="1034"/>
      <c r="G193" s="1033"/>
      <c r="H193" s="1033"/>
      <c r="I193" s="1034"/>
      <c r="J193" s="1033"/>
      <c r="K193" s="1033"/>
      <c r="L193" s="1034"/>
      <c r="M193" s="1035"/>
      <c r="N193" s="1035"/>
      <c r="O193" s="1036"/>
      <c r="P193" s="1035"/>
      <c r="Q193" s="1033"/>
      <c r="R193" s="1034"/>
      <c r="S193" s="1035"/>
      <c r="T193" s="1035"/>
      <c r="U193" s="1034"/>
      <c r="V193" s="1035"/>
      <c r="W193" s="1035"/>
      <c r="X193" s="1037"/>
      <c r="Y193" s="1035"/>
      <c r="Z193" s="1035">
        <f t="shared" si="25"/>
        <v>1</v>
      </c>
      <c r="AA193" s="1035"/>
      <c r="AB193" s="1035"/>
      <c r="AC193" s="1021">
        <v>110648</v>
      </c>
      <c r="AD193" s="1021" t="s">
        <v>994</v>
      </c>
      <c r="AE193" s="1022">
        <v>0</v>
      </c>
      <c r="AF193" s="1022"/>
      <c r="AG193" s="1022">
        <f t="shared" si="26"/>
        <v>0</v>
      </c>
      <c r="AH193" s="1022">
        <f t="shared" si="27"/>
        <v>0</v>
      </c>
      <c r="AK193" s="448"/>
      <c r="AL193" s="445"/>
    </row>
    <row r="194" spans="1:38" s="467" customFormat="1" ht="12.75" customHeight="1">
      <c r="A194" s="1033"/>
      <c r="B194" s="1033"/>
      <c r="C194" s="1034"/>
      <c r="D194" s="1033"/>
      <c r="E194" s="1033"/>
      <c r="F194" s="1034"/>
      <c r="G194" s="1033"/>
      <c r="H194" s="1033"/>
      <c r="I194" s="1034"/>
      <c r="J194" s="1033"/>
      <c r="K194" s="1033"/>
      <c r="L194" s="1034"/>
      <c r="M194" s="1035"/>
      <c r="N194" s="1035"/>
      <c r="O194" s="1036"/>
      <c r="P194" s="1035"/>
      <c r="Q194" s="1033"/>
      <c r="R194" s="1034"/>
      <c r="S194" s="1035"/>
      <c r="T194" s="1035"/>
      <c r="U194" s="1034"/>
      <c r="V194" s="1035"/>
      <c r="W194" s="1035"/>
      <c r="X194" s="1037"/>
      <c r="Y194" s="1035"/>
      <c r="Z194" s="1035">
        <f t="shared" si="25"/>
        <v>1</v>
      </c>
      <c r="AA194" s="1035"/>
      <c r="AB194" s="1035"/>
      <c r="AC194" s="1021">
        <v>110649</v>
      </c>
      <c r="AD194" s="1021" t="s">
        <v>995</v>
      </c>
      <c r="AE194" s="1022">
        <v>0</v>
      </c>
      <c r="AF194" s="1022"/>
      <c r="AG194" s="1022">
        <f t="shared" si="26"/>
        <v>0</v>
      </c>
      <c r="AH194" s="1022">
        <f t="shared" si="27"/>
        <v>0</v>
      </c>
      <c r="AK194" s="448"/>
      <c r="AL194" s="445"/>
    </row>
    <row r="195" spans="1:38" s="467" customFormat="1" ht="12.75" customHeight="1">
      <c r="A195" s="1033"/>
      <c r="B195" s="1033"/>
      <c r="C195" s="1034" t="str">
        <f t="shared" si="16"/>
        <v/>
      </c>
      <c r="D195" s="1033"/>
      <c r="E195" s="1033"/>
      <c r="F195" s="1034" t="str">
        <f t="shared" si="17"/>
        <v/>
      </c>
      <c r="G195" s="1033"/>
      <c r="H195" s="1033"/>
      <c r="I195" s="1034" t="str">
        <f t="shared" si="18"/>
        <v/>
      </c>
      <c r="J195" s="1033"/>
      <c r="K195" s="1033"/>
      <c r="L195" s="1034" t="str">
        <f t="shared" si="19"/>
        <v/>
      </c>
      <c r="M195" s="1035"/>
      <c r="N195" s="1035"/>
      <c r="O195" s="1036" t="str">
        <f t="shared" si="20"/>
        <v/>
      </c>
      <c r="P195" s="1035"/>
      <c r="Q195" s="1033"/>
      <c r="R195" s="1034" t="str">
        <f t="shared" si="21"/>
        <v/>
      </c>
      <c r="S195" s="1035"/>
      <c r="T195" s="1035"/>
      <c r="U195" s="1034" t="str">
        <f t="shared" si="22"/>
        <v/>
      </c>
      <c r="V195" s="1035"/>
      <c r="W195" s="1035"/>
      <c r="X195" s="1037" t="str">
        <f t="shared" ref="X195:X206" si="31">+Y195&amp;Z195</f>
        <v>1</v>
      </c>
      <c r="Y195" s="1035"/>
      <c r="Z195" s="1035">
        <f t="shared" si="25"/>
        <v>1</v>
      </c>
      <c r="AA195" s="1035"/>
      <c r="AB195" s="1035"/>
      <c r="AC195" s="1021">
        <v>110650</v>
      </c>
      <c r="AD195" s="1021" t="s">
        <v>1978</v>
      </c>
      <c r="AE195" s="1022">
        <v>0</v>
      </c>
      <c r="AF195" s="1022"/>
      <c r="AG195" s="1022">
        <f t="shared" si="26"/>
        <v>0</v>
      </c>
      <c r="AH195" s="1022">
        <f t="shared" si="27"/>
        <v>0</v>
      </c>
      <c r="AK195" s="448"/>
      <c r="AL195" s="445"/>
    </row>
    <row r="196" spans="1:38" s="467" customFormat="1" ht="12.75" customHeight="1">
      <c r="A196" s="1033"/>
      <c r="B196" s="1033"/>
      <c r="C196" s="1034" t="str">
        <f t="shared" si="16"/>
        <v/>
      </c>
      <c r="D196" s="1033"/>
      <c r="E196" s="1033"/>
      <c r="F196" s="1034" t="str">
        <f t="shared" si="17"/>
        <v/>
      </c>
      <c r="G196" s="1033"/>
      <c r="H196" s="1033"/>
      <c r="I196" s="1034" t="str">
        <f t="shared" si="18"/>
        <v/>
      </c>
      <c r="J196" s="1033"/>
      <c r="K196" s="1033"/>
      <c r="L196" s="1034" t="str">
        <f t="shared" si="19"/>
        <v/>
      </c>
      <c r="M196" s="1035"/>
      <c r="N196" s="1035"/>
      <c r="O196" s="1036" t="str">
        <f t="shared" si="20"/>
        <v/>
      </c>
      <c r="P196" s="1035"/>
      <c r="Q196" s="1033"/>
      <c r="R196" s="1034" t="str">
        <f t="shared" si="21"/>
        <v/>
      </c>
      <c r="S196" s="1035"/>
      <c r="T196" s="1035"/>
      <c r="U196" s="1034" t="str">
        <f t="shared" si="22"/>
        <v/>
      </c>
      <c r="V196" s="1035"/>
      <c r="W196" s="1035"/>
      <c r="X196" s="1037" t="str">
        <f t="shared" si="31"/>
        <v>1</v>
      </c>
      <c r="Y196" s="1035"/>
      <c r="Z196" s="1035">
        <f t="shared" si="25"/>
        <v>1</v>
      </c>
      <c r="AA196" s="1035"/>
      <c r="AB196" s="1035"/>
      <c r="AC196" s="1021">
        <v>110651</v>
      </c>
      <c r="AD196" s="1021" t="s">
        <v>1979</v>
      </c>
      <c r="AE196" s="1022">
        <v>0</v>
      </c>
      <c r="AF196" s="1022"/>
      <c r="AG196" s="1022">
        <f t="shared" si="26"/>
        <v>0</v>
      </c>
      <c r="AH196" s="1022">
        <f t="shared" si="27"/>
        <v>0</v>
      </c>
      <c r="AK196" s="448"/>
      <c r="AL196" s="445"/>
    </row>
    <row r="197" spans="1:38" s="467" customFormat="1" ht="12.75" customHeight="1">
      <c r="A197" s="1033"/>
      <c r="B197" s="1033"/>
      <c r="C197" s="1034" t="str">
        <f t="shared" si="16"/>
        <v/>
      </c>
      <c r="D197" s="1033"/>
      <c r="E197" s="1033"/>
      <c r="F197" s="1034" t="str">
        <f t="shared" si="17"/>
        <v/>
      </c>
      <c r="G197" s="1033"/>
      <c r="H197" s="1033"/>
      <c r="I197" s="1034" t="str">
        <f t="shared" si="18"/>
        <v/>
      </c>
      <c r="J197" s="1033"/>
      <c r="K197" s="1033"/>
      <c r="L197" s="1034" t="str">
        <f t="shared" si="19"/>
        <v/>
      </c>
      <c r="M197" s="1035"/>
      <c r="N197" s="1035"/>
      <c r="O197" s="1036" t="str">
        <f t="shared" si="20"/>
        <v/>
      </c>
      <c r="P197" s="1035"/>
      <c r="Q197" s="1033"/>
      <c r="R197" s="1034" t="str">
        <f t="shared" si="21"/>
        <v/>
      </c>
      <c r="S197" s="1035"/>
      <c r="T197" s="1035"/>
      <c r="U197" s="1034" t="str">
        <f t="shared" si="22"/>
        <v/>
      </c>
      <c r="V197" s="1035"/>
      <c r="W197" s="1035"/>
      <c r="X197" s="1037" t="str">
        <f t="shared" si="31"/>
        <v>1</v>
      </c>
      <c r="Y197" s="1035"/>
      <c r="Z197" s="1035">
        <f t="shared" si="25"/>
        <v>1</v>
      </c>
      <c r="AA197" s="1035"/>
      <c r="AB197" s="1035"/>
      <c r="AC197" s="1021">
        <v>110652</v>
      </c>
      <c r="AD197" s="1021" t="s">
        <v>1980</v>
      </c>
      <c r="AE197" s="1022">
        <v>0</v>
      </c>
      <c r="AF197" s="1022"/>
      <c r="AG197" s="1022">
        <f t="shared" si="26"/>
        <v>0</v>
      </c>
      <c r="AH197" s="1022">
        <f t="shared" si="27"/>
        <v>0</v>
      </c>
      <c r="AK197" s="448"/>
      <c r="AL197" s="445"/>
    </row>
    <row r="198" spans="1:38" s="467" customFormat="1" ht="12.75" customHeight="1">
      <c r="A198" s="1033"/>
      <c r="B198" s="1033"/>
      <c r="C198" s="1034" t="str">
        <f t="shared" si="16"/>
        <v/>
      </c>
      <c r="D198" s="1033"/>
      <c r="E198" s="1033"/>
      <c r="F198" s="1034" t="str">
        <f t="shared" si="17"/>
        <v/>
      </c>
      <c r="G198" s="1033"/>
      <c r="H198" s="1033"/>
      <c r="I198" s="1034" t="str">
        <f t="shared" si="18"/>
        <v/>
      </c>
      <c r="J198" s="1033"/>
      <c r="K198" s="1033"/>
      <c r="L198" s="1034" t="str">
        <f t="shared" si="19"/>
        <v/>
      </c>
      <c r="M198" s="1035"/>
      <c r="N198" s="1035"/>
      <c r="O198" s="1036" t="str">
        <f t="shared" si="20"/>
        <v/>
      </c>
      <c r="P198" s="1035"/>
      <c r="Q198" s="1033"/>
      <c r="R198" s="1034" t="str">
        <f t="shared" si="21"/>
        <v/>
      </c>
      <c r="S198" s="1035"/>
      <c r="T198" s="1035"/>
      <c r="U198" s="1034" t="str">
        <f t="shared" si="22"/>
        <v/>
      </c>
      <c r="V198" s="1035"/>
      <c r="W198" s="1035"/>
      <c r="X198" s="1037" t="str">
        <f t="shared" si="31"/>
        <v>1</v>
      </c>
      <c r="Y198" s="1035"/>
      <c r="Z198" s="1035">
        <f t="shared" si="25"/>
        <v>1</v>
      </c>
      <c r="AA198" s="1035"/>
      <c r="AB198" s="1035"/>
      <c r="AC198" s="1021">
        <v>110653</v>
      </c>
      <c r="AD198" s="1021" t="s">
        <v>1981</v>
      </c>
      <c r="AE198" s="1022">
        <v>0</v>
      </c>
      <c r="AF198" s="1022"/>
      <c r="AG198" s="1022">
        <f t="shared" si="26"/>
        <v>0</v>
      </c>
      <c r="AH198" s="1022">
        <f t="shared" si="27"/>
        <v>0</v>
      </c>
      <c r="AK198" s="448"/>
      <c r="AL198" s="445"/>
    </row>
    <row r="199" spans="1:38" s="467" customFormat="1" ht="12.75" customHeight="1">
      <c r="A199" s="1033"/>
      <c r="B199" s="1033"/>
      <c r="C199" s="1034" t="str">
        <f t="shared" si="16"/>
        <v/>
      </c>
      <c r="D199" s="1033"/>
      <c r="E199" s="1033"/>
      <c r="F199" s="1034" t="str">
        <f t="shared" si="17"/>
        <v/>
      </c>
      <c r="G199" s="1033"/>
      <c r="H199" s="1033"/>
      <c r="I199" s="1034" t="str">
        <f t="shared" si="18"/>
        <v/>
      </c>
      <c r="J199" s="1033"/>
      <c r="K199" s="1033"/>
      <c r="L199" s="1034" t="str">
        <f t="shared" si="19"/>
        <v/>
      </c>
      <c r="M199" s="1035"/>
      <c r="N199" s="1035"/>
      <c r="O199" s="1036" t="str">
        <f t="shared" si="20"/>
        <v/>
      </c>
      <c r="P199" s="1035"/>
      <c r="Q199" s="1033"/>
      <c r="R199" s="1034" t="str">
        <f t="shared" si="21"/>
        <v/>
      </c>
      <c r="S199" s="1035"/>
      <c r="T199" s="1035"/>
      <c r="U199" s="1034" t="str">
        <f t="shared" si="22"/>
        <v/>
      </c>
      <c r="V199" s="1035"/>
      <c r="W199" s="1035"/>
      <c r="X199" s="1037" t="str">
        <f t="shared" si="31"/>
        <v>1</v>
      </c>
      <c r="Y199" s="1035"/>
      <c r="Z199" s="1035">
        <f t="shared" si="25"/>
        <v>1</v>
      </c>
      <c r="AA199" s="1035"/>
      <c r="AB199" s="1035"/>
      <c r="AC199" s="1021">
        <v>110654</v>
      </c>
      <c r="AD199" s="1021" t="s">
        <v>1490</v>
      </c>
      <c r="AE199" s="1022">
        <v>0</v>
      </c>
      <c r="AF199" s="1022"/>
      <c r="AG199" s="1022">
        <f t="shared" si="26"/>
        <v>0</v>
      </c>
      <c r="AH199" s="1022">
        <f t="shared" si="27"/>
        <v>0</v>
      </c>
      <c r="AK199" s="448"/>
      <c r="AL199" s="445"/>
    </row>
    <row r="200" spans="1:38" s="467" customFormat="1" ht="12.75" customHeight="1">
      <c r="A200" s="1033"/>
      <c r="B200" s="1033"/>
      <c r="C200" s="1034" t="str">
        <f t="shared" si="16"/>
        <v/>
      </c>
      <c r="D200" s="1033"/>
      <c r="E200" s="1033"/>
      <c r="F200" s="1034" t="str">
        <f t="shared" si="17"/>
        <v/>
      </c>
      <c r="G200" s="1033"/>
      <c r="H200" s="1033"/>
      <c r="I200" s="1034" t="str">
        <f t="shared" si="18"/>
        <v/>
      </c>
      <c r="J200" s="1033"/>
      <c r="K200" s="1033"/>
      <c r="L200" s="1034" t="str">
        <f t="shared" si="19"/>
        <v/>
      </c>
      <c r="M200" s="1035"/>
      <c r="N200" s="1035"/>
      <c r="O200" s="1036" t="str">
        <f t="shared" si="20"/>
        <v/>
      </c>
      <c r="P200" s="1035"/>
      <c r="Q200" s="1033"/>
      <c r="R200" s="1034" t="str">
        <f t="shared" si="21"/>
        <v/>
      </c>
      <c r="S200" s="1035"/>
      <c r="T200" s="1035"/>
      <c r="U200" s="1034" t="str">
        <f t="shared" si="22"/>
        <v/>
      </c>
      <c r="V200" s="1035"/>
      <c r="W200" s="1035"/>
      <c r="X200" s="1037" t="str">
        <f t="shared" si="31"/>
        <v>1</v>
      </c>
      <c r="Y200" s="1035"/>
      <c r="Z200" s="1035">
        <f t="shared" si="25"/>
        <v>1</v>
      </c>
      <c r="AA200" s="1035"/>
      <c r="AB200" s="1035"/>
      <c r="AC200" s="1021">
        <v>110655</v>
      </c>
      <c r="AD200" s="1021" t="s">
        <v>1491</v>
      </c>
      <c r="AE200" s="1022">
        <v>0</v>
      </c>
      <c r="AF200" s="1022"/>
      <c r="AG200" s="1022">
        <f t="shared" si="26"/>
        <v>0</v>
      </c>
      <c r="AH200" s="1022">
        <f t="shared" si="27"/>
        <v>0</v>
      </c>
      <c r="AK200" s="448"/>
      <c r="AL200" s="445"/>
    </row>
    <row r="201" spans="1:38" s="467" customFormat="1" ht="12.75" customHeight="1">
      <c r="A201" s="1033"/>
      <c r="B201" s="1033"/>
      <c r="C201" s="1034" t="str">
        <f t="shared" si="16"/>
        <v/>
      </c>
      <c r="D201" s="1033"/>
      <c r="E201" s="1033"/>
      <c r="F201" s="1034" t="str">
        <f t="shared" si="17"/>
        <v/>
      </c>
      <c r="G201" s="1033"/>
      <c r="H201" s="1033"/>
      <c r="I201" s="1034" t="str">
        <f t="shared" si="18"/>
        <v/>
      </c>
      <c r="J201" s="1033"/>
      <c r="K201" s="1033"/>
      <c r="L201" s="1034" t="str">
        <f t="shared" si="19"/>
        <v/>
      </c>
      <c r="M201" s="1035"/>
      <c r="N201" s="1035"/>
      <c r="O201" s="1036" t="str">
        <f t="shared" si="20"/>
        <v/>
      </c>
      <c r="P201" s="1035"/>
      <c r="Q201" s="1033"/>
      <c r="R201" s="1034" t="str">
        <f t="shared" si="21"/>
        <v/>
      </c>
      <c r="S201" s="1035"/>
      <c r="T201" s="1035"/>
      <c r="U201" s="1034" t="str">
        <f t="shared" si="22"/>
        <v/>
      </c>
      <c r="V201" s="1035"/>
      <c r="W201" s="1035"/>
      <c r="X201" s="1037" t="str">
        <f t="shared" si="31"/>
        <v>1</v>
      </c>
      <c r="Y201" s="1035"/>
      <c r="Z201" s="1035">
        <f t="shared" si="25"/>
        <v>1</v>
      </c>
      <c r="AA201" s="1035"/>
      <c r="AB201" s="1035"/>
      <c r="AC201" s="1021">
        <v>110656</v>
      </c>
      <c r="AD201" s="1021" t="s">
        <v>1982</v>
      </c>
      <c r="AE201" s="1022">
        <v>0</v>
      </c>
      <c r="AF201" s="1022"/>
      <c r="AG201" s="1022">
        <f t="shared" si="26"/>
        <v>0</v>
      </c>
      <c r="AH201" s="1022">
        <f t="shared" si="27"/>
        <v>0</v>
      </c>
      <c r="AK201" s="448"/>
      <c r="AL201" s="445"/>
    </row>
    <row r="202" spans="1:38" s="467" customFormat="1" ht="12.75" customHeight="1">
      <c r="A202" s="1033"/>
      <c r="B202" s="1033"/>
      <c r="C202" s="1034" t="str">
        <f t="shared" si="16"/>
        <v/>
      </c>
      <c r="D202" s="1033"/>
      <c r="E202" s="1033"/>
      <c r="F202" s="1034" t="str">
        <f t="shared" si="17"/>
        <v/>
      </c>
      <c r="G202" s="1033"/>
      <c r="H202" s="1033"/>
      <c r="I202" s="1034" t="str">
        <f t="shared" si="18"/>
        <v/>
      </c>
      <c r="J202" s="1033"/>
      <c r="K202" s="1033"/>
      <c r="L202" s="1034" t="str">
        <f t="shared" si="19"/>
        <v/>
      </c>
      <c r="M202" s="1035"/>
      <c r="N202" s="1035"/>
      <c r="O202" s="1036" t="str">
        <f t="shared" si="20"/>
        <v/>
      </c>
      <c r="P202" s="1035"/>
      <c r="Q202" s="1033"/>
      <c r="R202" s="1034" t="str">
        <f t="shared" si="21"/>
        <v/>
      </c>
      <c r="S202" s="1035"/>
      <c r="T202" s="1035"/>
      <c r="U202" s="1034" t="str">
        <f t="shared" si="22"/>
        <v/>
      </c>
      <c r="V202" s="1035"/>
      <c r="W202" s="1035"/>
      <c r="X202" s="1037" t="str">
        <f t="shared" si="31"/>
        <v>1</v>
      </c>
      <c r="Y202" s="1035"/>
      <c r="Z202" s="1035">
        <f t="shared" si="25"/>
        <v>1</v>
      </c>
      <c r="AA202" s="1035"/>
      <c r="AB202" s="1035"/>
      <c r="AC202" s="1021">
        <v>110657</v>
      </c>
      <c r="AD202" s="1021" t="s">
        <v>1983</v>
      </c>
      <c r="AE202" s="1022">
        <v>0</v>
      </c>
      <c r="AF202" s="1022"/>
      <c r="AG202" s="1022">
        <f t="shared" si="26"/>
        <v>0</v>
      </c>
      <c r="AH202" s="1022">
        <f t="shared" si="27"/>
        <v>0</v>
      </c>
      <c r="AK202" s="448"/>
      <c r="AL202" s="445"/>
    </row>
    <row r="203" spans="1:38" s="467" customFormat="1" ht="12.75" customHeight="1">
      <c r="A203" s="1033"/>
      <c r="B203" s="1033"/>
      <c r="C203" s="1034" t="str">
        <f t="shared" si="16"/>
        <v/>
      </c>
      <c r="D203" s="1033"/>
      <c r="E203" s="1033"/>
      <c r="F203" s="1034" t="str">
        <f t="shared" si="17"/>
        <v/>
      </c>
      <c r="G203" s="1033"/>
      <c r="H203" s="1033"/>
      <c r="I203" s="1034" t="str">
        <f t="shared" si="18"/>
        <v/>
      </c>
      <c r="J203" s="1033"/>
      <c r="K203" s="1033"/>
      <c r="L203" s="1034" t="str">
        <f t="shared" si="19"/>
        <v/>
      </c>
      <c r="M203" s="1035"/>
      <c r="N203" s="1035"/>
      <c r="O203" s="1036" t="str">
        <f t="shared" si="20"/>
        <v/>
      </c>
      <c r="P203" s="1035"/>
      <c r="Q203" s="1033"/>
      <c r="R203" s="1034" t="str">
        <f t="shared" si="21"/>
        <v/>
      </c>
      <c r="S203" s="1035"/>
      <c r="T203" s="1035"/>
      <c r="U203" s="1034" t="str">
        <f t="shared" si="22"/>
        <v/>
      </c>
      <c r="V203" s="1035"/>
      <c r="W203" s="1035"/>
      <c r="X203" s="1037" t="str">
        <f t="shared" si="31"/>
        <v>1</v>
      </c>
      <c r="Y203" s="1035"/>
      <c r="Z203" s="1035">
        <f t="shared" ref="Z203:Z267" si="32">VALUE(LEFT(AC203,1))</f>
        <v>1</v>
      </c>
      <c r="AA203" s="1035"/>
      <c r="AB203" s="1035"/>
      <c r="AC203" s="1021">
        <v>110658</v>
      </c>
      <c r="AD203" s="1021" t="s">
        <v>1984</v>
      </c>
      <c r="AE203" s="1022">
        <v>0</v>
      </c>
      <c r="AF203" s="1022"/>
      <c r="AG203" s="1022">
        <f t="shared" ref="AG203:AG267" si="33">AE203+AF203</f>
        <v>0</v>
      </c>
      <c r="AH203" s="1022">
        <f t="shared" ref="AH203:AH267" si="34">ROUND((AE203+AF203)/$AH$2,0)</f>
        <v>0</v>
      </c>
      <c r="AK203" s="448"/>
      <c r="AL203" s="445"/>
    </row>
    <row r="204" spans="1:38" s="467" customFormat="1" ht="12.75" customHeight="1">
      <c r="A204" s="1033"/>
      <c r="B204" s="1033"/>
      <c r="C204" s="1034" t="str">
        <f t="shared" si="16"/>
        <v/>
      </c>
      <c r="D204" s="1033"/>
      <c r="E204" s="1033"/>
      <c r="F204" s="1034" t="str">
        <f t="shared" si="17"/>
        <v/>
      </c>
      <c r="G204" s="1033"/>
      <c r="H204" s="1033"/>
      <c r="I204" s="1034" t="str">
        <f t="shared" si="18"/>
        <v/>
      </c>
      <c r="J204" s="1033"/>
      <c r="K204" s="1033"/>
      <c r="L204" s="1034" t="str">
        <f t="shared" si="19"/>
        <v/>
      </c>
      <c r="M204" s="1035"/>
      <c r="N204" s="1035"/>
      <c r="O204" s="1036" t="str">
        <f t="shared" si="20"/>
        <v/>
      </c>
      <c r="P204" s="1035"/>
      <c r="Q204" s="1033"/>
      <c r="R204" s="1034" t="str">
        <f t="shared" si="21"/>
        <v/>
      </c>
      <c r="S204" s="1035"/>
      <c r="T204" s="1035"/>
      <c r="U204" s="1034" t="str">
        <f t="shared" si="22"/>
        <v/>
      </c>
      <c r="V204" s="1035"/>
      <c r="W204" s="1035"/>
      <c r="X204" s="1037" t="str">
        <f t="shared" si="31"/>
        <v>1</v>
      </c>
      <c r="Y204" s="1035"/>
      <c r="Z204" s="1035">
        <f t="shared" si="32"/>
        <v>1</v>
      </c>
      <c r="AA204" s="1035"/>
      <c r="AB204" s="1035"/>
      <c r="AC204" s="1021">
        <v>110660</v>
      </c>
      <c r="AD204" s="1021" t="s">
        <v>1361</v>
      </c>
      <c r="AE204" s="1022">
        <v>0</v>
      </c>
      <c r="AF204" s="1022"/>
      <c r="AG204" s="1022">
        <f t="shared" si="33"/>
        <v>0</v>
      </c>
      <c r="AH204" s="1022">
        <f t="shared" si="34"/>
        <v>0</v>
      </c>
      <c r="AK204" s="448"/>
      <c r="AL204" s="445"/>
    </row>
    <row r="205" spans="1:38" s="467" customFormat="1" ht="12.75" customHeight="1">
      <c r="A205" s="1033"/>
      <c r="B205" s="1033"/>
      <c r="C205" s="1034" t="str">
        <f t="shared" si="16"/>
        <v/>
      </c>
      <c r="D205" s="1033"/>
      <c r="E205" s="1033"/>
      <c r="F205" s="1034" t="str">
        <f t="shared" si="17"/>
        <v/>
      </c>
      <c r="G205" s="1033"/>
      <c r="H205" s="1033"/>
      <c r="I205" s="1034" t="str">
        <f t="shared" si="18"/>
        <v/>
      </c>
      <c r="J205" s="1033"/>
      <c r="K205" s="1033"/>
      <c r="L205" s="1034" t="str">
        <f t="shared" si="19"/>
        <v/>
      </c>
      <c r="M205" s="1035"/>
      <c r="N205" s="1035"/>
      <c r="O205" s="1036" t="str">
        <f t="shared" si="20"/>
        <v/>
      </c>
      <c r="P205" s="1035"/>
      <c r="Q205" s="1033"/>
      <c r="R205" s="1034" t="str">
        <f t="shared" si="21"/>
        <v/>
      </c>
      <c r="S205" s="1035"/>
      <c r="T205" s="1035"/>
      <c r="U205" s="1034" t="str">
        <f t="shared" si="22"/>
        <v/>
      </c>
      <c r="V205" s="1035"/>
      <c r="W205" s="1035"/>
      <c r="X205" s="1037" t="str">
        <f t="shared" si="31"/>
        <v>1</v>
      </c>
      <c r="Y205" s="1035"/>
      <c r="Z205" s="1035">
        <f t="shared" si="32"/>
        <v>1</v>
      </c>
      <c r="AA205" s="1035"/>
      <c r="AB205" s="1035"/>
      <c r="AC205" s="1021">
        <v>110661</v>
      </c>
      <c r="AD205" s="1021" t="s">
        <v>1362</v>
      </c>
      <c r="AE205" s="1022">
        <v>0</v>
      </c>
      <c r="AF205" s="1022"/>
      <c r="AG205" s="1022">
        <f t="shared" si="33"/>
        <v>0</v>
      </c>
      <c r="AH205" s="1022">
        <f t="shared" si="34"/>
        <v>0</v>
      </c>
      <c r="AK205" s="448"/>
      <c r="AL205" s="445"/>
    </row>
    <row r="206" spans="1:38" s="467" customFormat="1" ht="12.75" customHeight="1">
      <c r="A206" s="1033"/>
      <c r="B206" s="1033"/>
      <c r="C206" s="1034" t="str">
        <f t="shared" si="16"/>
        <v/>
      </c>
      <c r="D206" s="1033"/>
      <c r="E206" s="1033"/>
      <c r="F206" s="1034" t="str">
        <f t="shared" si="17"/>
        <v/>
      </c>
      <c r="G206" s="1033"/>
      <c r="H206" s="1033"/>
      <c r="I206" s="1034" t="str">
        <f t="shared" si="18"/>
        <v/>
      </c>
      <c r="J206" s="1033"/>
      <c r="K206" s="1033"/>
      <c r="L206" s="1034" t="str">
        <f t="shared" si="19"/>
        <v/>
      </c>
      <c r="M206" s="1035"/>
      <c r="N206" s="1035"/>
      <c r="O206" s="1036" t="str">
        <f t="shared" si="20"/>
        <v/>
      </c>
      <c r="P206" s="1035"/>
      <c r="Q206" s="1033"/>
      <c r="R206" s="1034" t="str">
        <f t="shared" si="21"/>
        <v/>
      </c>
      <c r="S206" s="1035"/>
      <c r="T206" s="1035"/>
      <c r="U206" s="1034" t="str">
        <f t="shared" si="22"/>
        <v/>
      </c>
      <c r="V206" s="1035"/>
      <c r="W206" s="1035"/>
      <c r="X206" s="1037" t="str">
        <f t="shared" si="31"/>
        <v>1</v>
      </c>
      <c r="Y206" s="1035"/>
      <c r="Z206" s="1035">
        <f t="shared" si="32"/>
        <v>1</v>
      </c>
      <c r="AA206" s="1035"/>
      <c r="AB206" s="1035"/>
      <c r="AC206" s="1021">
        <v>110662</v>
      </c>
      <c r="AD206" s="1021" t="s">
        <v>1363</v>
      </c>
      <c r="AE206" s="1022">
        <v>0</v>
      </c>
      <c r="AF206" s="1022"/>
      <c r="AG206" s="1022">
        <f t="shared" si="33"/>
        <v>0</v>
      </c>
      <c r="AH206" s="1022">
        <f t="shared" si="34"/>
        <v>0</v>
      </c>
      <c r="AK206" s="448"/>
      <c r="AL206" s="445"/>
    </row>
    <row r="207" spans="1:38" s="467" customFormat="1" ht="12.75" customHeight="1">
      <c r="A207" s="1033"/>
      <c r="B207" s="1033"/>
      <c r="C207" s="1034"/>
      <c r="D207" s="1033"/>
      <c r="E207" s="1033"/>
      <c r="F207" s="1034"/>
      <c r="G207" s="1033"/>
      <c r="H207" s="1033"/>
      <c r="I207" s="1034"/>
      <c r="J207" s="1033"/>
      <c r="K207" s="1033"/>
      <c r="L207" s="1034"/>
      <c r="M207" s="1035"/>
      <c r="N207" s="1035"/>
      <c r="O207" s="1036"/>
      <c r="P207" s="1035"/>
      <c r="Q207" s="1033"/>
      <c r="R207" s="1034"/>
      <c r="S207" s="1035"/>
      <c r="T207" s="1035"/>
      <c r="U207" s="1034"/>
      <c r="V207" s="1035"/>
      <c r="W207" s="1035"/>
      <c r="X207" s="1037"/>
      <c r="Y207" s="1035"/>
      <c r="Z207" s="1035">
        <f t="shared" si="32"/>
        <v>1</v>
      </c>
      <c r="AA207" s="1035"/>
      <c r="AB207" s="1035"/>
      <c r="AC207" s="1021">
        <v>110663</v>
      </c>
      <c r="AD207" s="1021" t="s">
        <v>996</v>
      </c>
      <c r="AE207" s="1022">
        <v>0</v>
      </c>
      <c r="AF207" s="1022"/>
      <c r="AG207" s="1022">
        <f t="shared" si="33"/>
        <v>0</v>
      </c>
      <c r="AH207" s="1022">
        <f t="shared" si="34"/>
        <v>0</v>
      </c>
      <c r="AK207" s="448"/>
      <c r="AL207" s="445"/>
    </row>
    <row r="208" spans="1:38" s="467" customFormat="1" ht="12.75" customHeight="1">
      <c r="A208" s="1033"/>
      <c r="B208" s="1033"/>
      <c r="C208" s="1034"/>
      <c r="D208" s="1033"/>
      <c r="E208" s="1033"/>
      <c r="F208" s="1034"/>
      <c r="G208" s="1033"/>
      <c r="H208" s="1033"/>
      <c r="I208" s="1034"/>
      <c r="J208" s="1033"/>
      <c r="K208" s="1033"/>
      <c r="L208" s="1034"/>
      <c r="M208" s="1035"/>
      <c r="N208" s="1035"/>
      <c r="O208" s="1036"/>
      <c r="P208" s="1035"/>
      <c r="Q208" s="1033"/>
      <c r="R208" s="1034"/>
      <c r="S208" s="1035"/>
      <c r="T208" s="1035"/>
      <c r="U208" s="1034"/>
      <c r="V208" s="1035"/>
      <c r="W208" s="1035"/>
      <c r="X208" s="1037"/>
      <c r="Y208" s="1035"/>
      <c r="Z208" s="1035">
        <f t="shared" si="32"/>
        <v>1</v>
      </c>
      <c r="AA208" s="1035"/>
      <c r="AB208" s="1035"/>
      <c r="AC208" s="1021">
        <v>110664</v>
      </c>
      <c r="AD208" s="1021" t="s">
        <v>538</v>
      </c>
      <c r="AE208" s="1022">
        <v>0</v>
      </c>
      <c r="AF208" s="1022"/>
      <c r="AG208" s="1022">
        <f t="shared" si="33"/>
        <v>0</v>
      </c>
      <c r="AH208" s="1022">
        <f t="shared" si="34"/>
        <v>0</v>
      </c>
      <c r="AK208" s="448"/>
      <c r="AL208" s="445"/>
    </row>
    <row r="209" spans="1:38" s="467" customFormat="1" ht="12.75" customHeight="1">
      <c r="A209" s="1033">
        <v>5115000</v>
      </c>
      <c r="B209" s="1033" t="s">
        <v>2729</v>
      </c>
      <c r="C209" s="1034" t="str">
        <f t="shared" si="16"/>
        <v/>
      </c>
      <c r="D209" s="1033"/>
      <c r="E209" s="1033"/>
      <c r="F209" s="1034" t="str">
        <f t="shared" si="17"/>
        <v/>
      </c>
      <c r="G209" s="1033"/>
      <c r="H209" s="1033"/>
      <c r="I209" s="1034" t="str">
        <f t="shared" si="18"/>
        <v/>
      </c>
      <c r="J209" s="1033"/>
      <c r="K209" s="1033"/>
      <c r="L209" s="1034" t="str">
        <f t="shared" si="19"/>
        <v/>
      </c>
      <c r="M209" s="1035"/>
      <c r="N209" s="1035"/>
      <c r="O209" s="1036" t="str">
        <f t="shared" si="20"/>
        <v/>
      </c>
      <c r="P209" s="1035"/>
      <c r="Q209" s="1033"/>
      <c r="R209" s="1034" t="str">
        <f t="shared" si="21"/>
        <v/>
      </c>
      <c r="S209" s="1035"/>
      <c r="T209" s="1035"/>
      <c r="U209" s="1034" t="str">
        <f t="shared" si="22"/>
        <v/>
      </c>
      <c r="V209" s="1035"/>
      <c r="W209" s="1035"/>
      <c r="X209" s="1037" t="str">
        <f>+Y209&amp;Z209</f>
        <v>1</v>
      </c>
      <c r="Y209" s="1035"/>
      <c r="Z209" s="1035">
        <f t="shared" si="32"/>
        <v>1</v>
      </c>
      <c r="AA209" s="1035"/>
      <c r="AB209" s="1035"/>
      <c r="AC209" s="1021">
        <v>110665</v>
      </c>
      <c r="AD209" s="1021" t="s">
        <v>1364</v>
      </c>
      <c r="AE209" s="1022">
        <f>VLOOKUP(AC209,[5]Hoja1!$A$10:$K$1393,11,0)</f>
        <v>12800595898</v>
      </c>
      <c r="AF209" s="1022">
        <v>0</v>
      </c>
      <c r="AG209" s="1022">
        <f t="shared" si="33"/>
        <v>12800595898</v>
      </c>
      <c r="AH209" s="1201">
        <f t="shared" si="34"/>
        <v>12800596</v>
      </c>
      <c r="AJ209" s="467">
        <v>1388236</v>
      </c>
      <c r="AK209" s="448"/>
      <c r="AL209" s="445"/>
    </row>
    <row r="210" spans="1:38" s="467" customFormat="1" ht="12.75" customHeight="1">
      <c r="A210" s="1033">
        <v>5115000</v>
      </c>
      <c r="B210" s="1033" t="s">
        <v>2729</v>
      </c>
      <c r="C210" s="1034"/>
      <c r="D210" s="1033"/>
      <c r="E210" s="1033"/>
      <c r="F210" s="1034"/>
      <c r="G210" s="1033"/>
      <c r="H210" s="1033"/>
      <c r="I210" s="1034"/>
      <c r="J210" s="1033"/>
      <c r="K210" s="1033"/>
      <c r="L210" s="1034"/>
      <c r="M210" s="1035"/>
      <c r="N210" s="1035"/>
      <c r="O210" s="1036"/>
      <c r="P210" s="1035"/>
      <c r="Q210" s="1033"/>
      <c r="R210" s="1034"/>
      <c r="S210" s="1035"/>
      <c r="T210" s="1035"/>
      <c r="U210" s="1034"/>
      <c r="V210" s="1035"/>
      <c r="W210" s="1035"/>
      <c r="X210" s="1037"/>
      <c r="Y210" s="1035"/>
      <c r="Z210" s="1035">
        <f t="shared" si="32"/>
        <v>1</v>
      </c>
      <c r="AA210" s="1035"/>
      <c r="AB210" s="1035"/>
      <c r="AC210" s="1021">
        <v>110666</v>
      </c>
      <c r="AD210" s="1021" t="s">
        <v>539</v>
      </c>
      <c r="AE210" s="1022">
        <f>VLOOKUP(AC210,[5]Hoja1!$A$10:$K$1393,11,0)</f>
        <v>0</v>
      </c>
      <c r="AF210" s="1022">
        <v>0</v>
      </c>
      <c r="AG210" s="1022">
        <f t="shared" si="33"/>
        <v>0</v>
      </c>
      <c r="AH210" s="1022">
        <f t="shared" si="34"/>
        <v>0</v>
      </c>
      <c r="AK210" s="448"/>
      <c r="AL210" s="445"/>
    </row>
    <row r="211" spans="1:38" s="467" customFormat="1" ht="12.75" customHeight="1">
      <c r="A211" s="1033">
        <v>5115000</v>
      </c>
      <c r="B211" s="1033" t="s">
        <v>2729</v>
      </c>
      <c r="C211" s="1034"/>
      <c r="D211" s="1033"/>
      <c r="E211" s="1033"/>
      <c r="F211" s="1034"/>
      <c r="G211" s="1033"/>
      <c r="H211" s="1033"/>
      <c r="I211" s="1034"/>
      <c r="J211" s="1033"/>
      <c r="K211" s="1033"/>
      <c r="L211" s="1034"/>
      <c r="M211" s="1035"/>
      <c r="N211" s="1035"/>
      <c r="O211" s="1036"/>
      <c r="P211" s="1035"/>
      <c r="Q211" s="1033"/>
      <c r="R211" s="1034"/>
      <c r="S211" s="1035"/>
      <c r="T211" s="1035"/>
      <c r="U211" s="1034"/>
      <c r="V211" s="1035"/>
      <c r="W211" s="1035"/>
      <c r="X211" s="1037"/>
      <c r="Y211" s="1035"/>
      <c r="Z211" s="1035">
        <f t="shared" si="32"/>
        <v>1</v>
      </c>
      <c r="AA211" s="1035"/>
      <c r="AB211" s="1035"/>
      <c r="AC211" s="1021">
        <v>110667</v>
      </c>
      <c r="AD211" s="1021" t="s">
        <v>1985</v>
      </c>
      <c r="AE211" s="1022">
        <f>VLOOKUP(AC211,[5]Hoja1!$A$10:$K$1393,11,0)</f>
        <v>1742986293</v>
      </c>
      <c r="AF211" s="1022"/>
      <c r="AG211" s="1022">
        <f t="shared" si="33"/>
        <v>1742986293</v>
      </c>
      <c r="AH211" s="1022">
        <f t="shared" si="34"/>
        <v>1742986</v>
      </c>
      <c r="AK211" s="448"/>
      <c r="AL211" s="445"/>
    </row>
    <row r="212" spans="1:38" s="467" customFormat="1" ht="12.75" customHeight="1">
      <c r="A212" s="1033"/>
      <c r="B212" s="1033"/>
      <c r="C212" s="1034"/>
      <c r="D212" s="1033"/>
      <c r="E212" s="1033"/>
      <c r="F212" s="1034"/>
      <c r="G212" s="1033"/>
      <c r="H212" s="1033"/>
      <c r="I212" s="1034"/>
      <c r="J212" s="1033"/>
      <c r="K212" s="1033"/>
      <c r="L212" s="1034"/>
      <c r="M212" s="1035"/>
      <c r="N212" s="1035"/>
      <c r="O212" s="1036"/>
      <c r="P212" s="1035"/>
      <c r="Q212" s="1033"/>
      <c r="R212" s="1034"/>
      <c r="S212" s="1035"/>
      <c r="T212" s="1035"/>
      <c r="U212" s="1034"/>
      <c r="V212" s="1035"/>
      <c r="W212" s="1035"/>
      <c r="X212" s="1037"/>
      <c r="Y212" s="1035"/>
      <c r="Z212" s="1035">
        <f t="shared" si="32"/>
        <v>1</v>
      </c>
      <c r="AA212" s="1035"/>
      <c r="AB212" s="1035"/>
      <c r="AC212" s="1021">
        <v>110668</v>
      </c>
      <c r="AD212" s="1021" t="s">
        <v>540</v>
      </c>
      <c r="AE212" s="1022">
        <v>0</v>
      </c>
      <c r="AF212" s="1022"/>
      <c r="AG212" s="1022">
        <f t="shared" si="33"/>
        <v>0</v>
      </c>
      <c r="AH212" s="1022">
        <f t="shared" si="34"/>
        <v>0</v>
      </c>
      <c r="AK212" s="448"/>
      <c r="AL212" s="445"/>
    </row>
    <row r="213" spans="1:38" s="467" customFormat="1" ht="12.75" customHeight="1">
      <c r="A213" s="1033"/>
      <c r="B213" s="1033"/>
      <c r="C213" s="1034"/>
      <c r="D213" s="1033"/>
      <c r="E213" s="1033"/>
      <c r="F213" s="1034"/>
      <c r="G213" s="1033"/>
      <c r="H213" s="1033"/>
      <c r="I213" s="1034"/>
      <c r="J213" s="1033"/>
      <c r="K213" s="1033"/>
      <c r="L213" s="1034"/>
      <c r="M213" s="1035"/>
      <c r="N213" s="1035"/>
      <c r="O213" s="1036"/>
      <c r="P213" s="1035"/>
      <c r="Q213" s="1033"/>
      <c r="R213" s="1034"/>
      <c r="S213" s="1035"/>
      <c r="T213" s="1035"/>
      <c r="U213" s="1034"/>
      <c r="V213" s="1035"/>
      <c r="W213" s="1035"/>
      <c r="X213" s="1037"/>
      <c r="Y213" s="1035"/>
      <c r="Z213" s="1035">
        <f t="shared" si="32"/>
        <v>1</v>
      </c>
      <c r="AA213" s="1035"/>
      <c r="AB213" s="1035"/>
      <c r="AC213" s="1021">
        <v>110669</v>
      </c>
      <c r="AD213" s="1021" t="s">
        <v>1334</v>
      </c>
      <c r="AE213" s="1022">
        <v>0</v>
      </c>
      <c r="AF213" s="1022"/>
      <c r="AG213" s="1022">
        <f t="shared" si="33"/>
        <v>0</v>
      </c>
      <c r="AH213" s="1022">
        <f t="shared" si="34"/>
        <v>0</v>
      </c>
      <c r="AK213" s="448"/>
      <c r="AL213" s="445"/>
    </row>
    <row r="214" spans="1:38" s="467" customFormat="1" ht="12.75" customHeight="1">
      <c r="A214" s="1033">
        <v>5115000</v>
      </c>
      <c r="B214" s="1033" t="s">
        <v>2729</v>
      </c>
      <c r="C214" s="1034" t="str">
        <f t="shared" si="16"/>
        <v/>
      </c>
      <c r="D214" s="1033"/>
      <c r="E214" s="1033"/>
      <c r="F214" s="1034" t="str">
        <f t="shared" si="17"/>
        <v/>
      </c>
      <c r="G214" s="1033"/>
      <c r="H214" s="1033"/>
      <c r="I214" s="1034" t="str">
        <f t="shared" si="18"/>
        <v/>
      </c>
      <c r="J214" s="1033"/>
      <c r="K214" s="1033"/>
      <c r="L214" s="1034" t="str">
        <f t="shared" si="19"/>
        <v/>
      </c>
      <c r="M214" s="1035"/>
      <c r="N214" s="1035"/>
      <c r="O214" s="1036" t="str">
        <f t="shared" si="20"/>
        <v/>
      </c>
      <c r="P214" s="1035"/>
      <c r="Q214" s="1033"/>
      <c r="R214" s="1034" t="str">
        <f t="shared" si="21"/>
        <v/>
      </c>
      <c r="S214" s="1035"/>
      <c r="T214" s="1035"/>
      <c r="U214" s="1034" t="str">
        <f t="shared" si="22"/>
        <v/>
      </c>
      <c r="V214" s="1035"/>
      <c r="W214" s="1035"/>
      <c r="X214" s="1037" t="str">
        <f t="shared" ref="X214:X229" si="35">+Y214&amp;Z214</f>
        <v>1</v>
      </c>
      <c r="Y214" s="1035"/>
      <c r="Z214" s="1035">
        <f t="shared" si="32"/>
        <v>1</v>
      </c>
      <c r="AA214" s="1035"/>
      <c r="AB214" s="1035"/>
      <c r="AC214" s="1021">
        <v>110670</v>
      </c>
      <c r="AD214" s="1021" t="s">
        <v>270</v>
      </c>
      <c r="AE214" s="1022">
        <f>VLOOKUP(AC214,[5]Hoja1!$A$10:$K$1393,11,0)</f>
        <v>293499215</v>
      </c>
      <c r="AF214" s="1022">
        <v>0</v>
      </c>
      <c r="AG214" s="1022">
        <f t="shared" si="33"/>
        <v>293499215</v>
      </c>
      <c r="AH214" s="1187">
        <f t="shared" si="34"/>
        <v>293499</v>
      </c>
      <c r="AI214" s="467" t="s">
        <v>1449</v>
      </c>
      <c r="AJ214" s="467">
        <v>1378730</v>
      </c>
      <c r="AK214" s="448"/>
      <c r="AL214" s="445"/>
    </row>
    <row r="215" spans="1:38" s="467" customFormat="1" ht="12.75" customHeight="1">
      <c r="A215" s="1033">
        <v>5115000</v>
      </c>
      <c r="B215" s="1033" t="s">
        <v>2729</v>
      </c>
      <c r="C215" s="1034" t="str">
        <f t="shared" si="16"/>
        <v/>
      </c>
      <c r="D215" s="1033"/>
      <c r="E215" s="1033"/>
      <c r="F215" s="1034" t="str">
        <f t="shared" si="17"/>
        <v/>
      </c>
      <c r="G215" s="1033"/>
      <c r="H215" s="1033"/>
      <c r="I215" s="1034" t="str">
        <f t="shared" si="18"/>
        <v/>
      </c>
      <c r="J215" s="1033"/>
      <c r="K215" s="1033"/>
      <c r="L215" s="1034" t="str">
        <f t="shared" si="19"/>
        <v/>
      </c>
      <c r="M215" s="1035"/>
      <c r="N215" s="1035"/>
      <c r="O215" s="1036" t="str">
        <f t="shared" si="20"/>
        <v/>
      </c>
      <c r="P215" s="1035"/>
      <c r="Q215" s="1033"/>
      <c r="R215" s="1034" t="str">
        <f t="shared" si="21"/>
        <v/>
      </c>
      <c r="S215" s="1035"/>
      <c r="T215" s="1035"/>
      <c r="U215" s="1034" t="str">
        <f t="shared" si="22"/>
        <v/>
      </c>
      <c r="V215" s="1035"/>
      <c r="W215" s="1035"/>
      <c r="X215" s="1037" t="str">
        <f t="shared" si="35"/>
        <v>1</v>
      </c>
      <c r="Y215" s="1035"/>
      <c r="Z215" s="1035">
        <f t="shared" si="32"/>
        <v>1</v>
      </c>
      <c r="AA215" s="1033"/>
      <c r="AB215" s="1033"/>
      <c r="AC215" s="1021">
        <v>110671</v>
      </c>
      <c r="AD215" s="1021" t="s">
        <v>271</v>
      </c>
      <c r="AE215" s="1022">
        <f>VLOOKUP(AC215,[5]Hoja1!$A$10:$K$1393,11,0)</f>
        <v>0</v>
      </c>
      <c r="AF215" s="1022"/>
      <c r="AG215" s="1022">
        <f t="shared" si="33"/>
        <v>0</v>
      </c>
      <c r="AH215" s="1022">
        <f t="shared" si="34"/>
        <v>0</v>
      </c>
      <c r="AK215" s="448"/>
      <c r="AL215" s="445"/>
    </row>
    <row r="216" spans="1:38" s="467" customFormat="1" ht="12.75" customHeight="1">
      <c r="A216" s="1033">
        <v>5115000</v>
      </c>
      <c r="B216" s="1033" t="s">
        <v>2729</v>
      </c>
      <c r="C216" s="1034" t="str">
        <f t="shared" si="16"/>
        <v/>
      </c>
      <c r="D216" s="1033"/>
      <c r="E216" s="1033"/>
      <c r="F216" s="1034" t="str">
        <f t="shared" si="17"/>
        <v/>
      </c>
      <c r="G216" s="1033"/>
      <c r="H216" s="1033"/>
      <c r="I216" s="1034" t="str">
        <f t="shared" si="18"/>
        <v/>
      </c>
      <c r="J216" s="1033"/>
      <c r="K216" s="1033"/>
      <c r="L216" s="1034" t="str">
        <f t="shared" si="19"/>
        <v/>
      </c>
      <c r="M216" s="1035"/>
      <c r="N216" s="1035"/>
      <c r="O216" s="1036" t="str">
        <f t="shared" si="20"/>
        <v/>
      </c>
      <c r="P216" s="1035"/>
      <c r="Q216" s="1033"/>
      <c r="R216" s="1034" t="str">
        <f t="shared" si="21"/>
        <v/>
      </c>
      <c r="S216" s="1035"/>
      <c r="T216" s="1035"/>
      <c r="U216" s="1034" t="str">
        <f t="shared" si="22"/>
        <v/>
      </c>
      <c r="V216" s="1035"/>
      <c r="W216" s="1035"/>
      <c r="X216" s="1037" t="str">
        <f t="shared" si="35"/>
        <v>1</v>
      </c>
      <c r="Y216" s="1035"/>
      <c r="Z216" s="1035">
        <f t="shared" si="32"/>
        <v>1</v>
      </c>
      <c r="AA216" s="1035"/>
      <c r="AB216" s="1035"/>
      <c r="AC216" s="1021">
        <v>110672</v>
      </c>
      <c r="AD216" s="1021" t="s">
        <v>272</v>
      </c>
      <c r="AE216" s="1022">
        <f>VLOOKUP(AC216,[5]Hoja1!$A$10:$K$1393,11,0)</f>
        <v>4088882240</v>
      </c>
      <c r="AF216" s="1022">
        <v>0</v>
      </c>
      <c r="AG216" s="1022">
        <f t="shared" si="33"/>
        <v>4088882240</v>
      </c>
      <c r="AH216" s="1195">
        <f t="shared" si="34"/>
        <v>4088882</v>
      </c>
      <c r="AI216" s="445">
        <f>+AH216+AH214+AH209+AH175</f>
        <v>17182977</v>
      </c>
      <c r="AK216" s="448"/>
      <c r="AL216" s="445"/>
    </row>
    <row r="217" spans="1:38" s="467" customFormat="1" ht="12.75" customHeight="1">
      <c r="A217" s="1033"/>
      <c r="B217" s="1033"/>
      <c r="C217" s="1034" t="str">
        <f t="shared" si="16"/>
        <v/>
      </c>
      <c r="D217" s="1033"/>
      <c r="E217" s="1033"/>
      <c r="F217" s="1034" t="str">
        <f t="shared" si="17"/>
        <v/>
      </c>
      <c r="G217" s="1033"/>
      <c r="H217" s="1033"/>
      <c r="I217" s="1034" t="str">
        <f t="shared" si="18"/>
        <v/>
      </c>
      <c r="J217" s="1033"/>
      <c r="K217" s="1033"/>
      <c r="L217" s="1034" t="str">
        <f t="shared" si="19"/>
        <v/>
      </c>
      <c r="M217" s="1035"/>
      <c r="N217" s="1035"/>
      <c r="O217" s="1036" t="str">
        <f t="shared" si="20"/>
        <v/>
      </c>
      <c r="P217" s="1035"/>
      <c r="Q217" s="1033"/>
      <c r="R217" s="1034" t="str">
        <f t="shared" si="21"/>
        <v/>
      </c>
      <c r="S217" s="1035"/>
      <c r="T217" s="1035"/>
      <c r="U217" s="1034" t="str">
        <f t="shared" si="22"/>
        <v/>
      </c>
      <c r="V217" s="1035"/>
      <c r="W217" s="1035"/>
      <c r="X217" s="1037" t="str">
        <f t="shared" si="35"/>
        <v>1</v>
      </c>
      <c r="Y217" s="1035"/>
      <c r="Z217" s="1035">
        <f t="shared" si="32"/>
        <v>1</v>
      </c>
      <c r="AA217" s="1035"/>
      <c r="AB217" s="1035"/>
      <c r="AC217" s="1021">
        <v>110673</v>
      </c>
      <c r="AD217" s="1021" t="s">
        <v>1492</v>
      </c>
      <c r="AE217" s="1022">
        <v>0</v>
      </c>
      <c r="AF217" s="1022">
        <v>0</v>
      </c>
      <c r="AG217" s="1022">
        <f t="shared" si="33"/>
        <v>0</v>
      </c>
      <c r="AH217" s="1022">
        <f t="shared" si="34"/>
        <v>0</v>
      </c>
      <c r="AK217" s="448"/>
      <c r="AL217" s="445"/>
    </row>
    <row r="218" spans="1:38" s="467" customFormat="1" ht="12.75" customHeight="1">
      <c r="A218" s="1033">
        <v>5115000</v>
      </c>
      <c r="B218" s="1033" t="s">
        <v>2729</v>
      </c>
      <c r="C218" s="1034" t="str">
        <f t="shared" si="16"/>
        <v/>
      </c>
      <c r="D218" s="1033"/>
      <c r="E218" s="1033"/>
      <c r="F218" s="1034" t="str">
        <f t="shared" si="17"/>
        <v/>
      </c>
      <c r="G218" s="1033"/>
      <c r="H218" s="1033"/>
      <c r="I218" s="1034" t="str">
        <f t="shared" si="18"/>
        <v/>
      </c>
      <c r="J218" s="1033"/>
      <c r="K218" s="1033"/>
      <c r="L218" s="1034" t="str">
        <f t="shared" si="19"/>
        <v/>
      </c>
      <c r="M218" s="1035"/>
      <c r="N218" s="1035"/>
      <c r="O218" s="1036" t="str">
        <f t="shared" si="20"/>
        <v/>
      </c>
      <c r="P218" s="1035"/>
      <c r="Q218" s="1033"/>
      <c r="R218" s="1034" t="str">
        <f t="shared" si="21"/>
        <v/>
      </c>
      <c r="S218" s="1035"/>
      <c r="T218" s="1035"/>
      <c r="U218" s="1034" t="str">
        <f t="shared" si="22"/>
        <v/>
      </c>
      <c r="V218" s="1035"/>
      <c r="W218" s="1035"/>
      <c r="X218" s="1037" t="str">
        <f t="shared" si="35"/>
        <v>1</v>
      </c>
      <c r="Y218" s="1035"/>
      <c r="Z218" s="1035">
        <f t="shared" si="32"/>
        <v>1</v>
      </c>
      <c r="AA218" s="1035"/>
      <c r="AB218" s="1035"/>
      <c r="AC218" s="1021">
        <v>110674</v>
      </c>
      <c r="AD218" s="1021" t="s">
        <v>705</v>
      </c>
      <c r="AE218" s="1022">
        <f>VLOOKUP(AC218,[5]Hoja1!$A$10:$K$1393,11,0)</f>
        <v>3822710687</v>
      </c>
      <c r="AF218" s="1022">
        <v>0</v>
      </c>
      <c r="AG218" s="1022">
        <f t="shared" si="33"/>
        <v>3822710687</v>
      </c>
      <c r="AH218" s="1188">
        <f t="shared" si="34"/>
        <v>3822711</v>
      </c>
      <c r="AI218" s="467" t="s">
        <v>1449</v>
      </c>
      <c r="AJ218" s="467">
        <v>3601337</v>
      </c>
      <c r="AK218" s="448"/>
      <c r="AL218" s="445"/>
    </row>
    <row r="219" spans="1:38" s="467" customFormat="1" ht="12.75" customHeight="1">
      <c r="A219" s="1033"/>
      <c r="B219" s="1033"/>
      <c r="C219" s="1034" t="str">
        <f t="shared" si="16"/>
        <v/>
      </c>
      <c r="D219" s="1033"/>
      <c r="E219" s="1033"/>
      <c r="F219" s="1034" t="str">
        <f t="shared" si="17"/>
        <v/>
      </c>
      <c r="G219" s="1033"/>
      <c r="H219" s="1033"/>
      <c r="I219" s="1034" t="str">
        <f t="shared" si="18"/>
        <v/>
      </c>
      <c r="J219" s="1033"/>
      <c r="K219" s="1033"/>
      <c r="L219" s="1034" t="str">
        <f t="shared" si="19"/>
        <v/>
      </c>
      <c r="M219" s="1035"/>
      <c r="N219" s="1035"/>
      <c r="O219" s="1036" t="str">
        <f t="shared" si="20"/>
        <v/>
      </c>
      <c r="P219" s="1035"/>
      <c r="Q219" s="1033"/>
      <c r="R219" s="1034" t="str">
        <f t="shared" si="21"/>
        <v/>
      </c>
      <c r="S219" s="1035"/>
      <c r="T219" s="1035"/>
      <c r="U219" s="1034" t="str">
        <f t="shared" si="22"/>
        <v/>
      </c>
      <c r="V219" s="1035"/>
      <c r="W219" s="1035"/>
      <c r="X219" s="1037" t="str">
        <f t="shared" si="35"/>
        <v>1</v>
      </c>
      <c r="Y219" s="1035"/>
      <c r="Z219" s="1035">
        <f t="shared" si="32"/>
        <v>1</v>
      </c>
      <c r="AA219" s="1035"/>
      <c r="AB219" s="1035"/>
      <c r="AC219" s="1021">
        <v>110675</v>
      </c>
      <c r="AD219" s="1021" t="s">
        <v>706</v>
      </c>
      <c r="AE219" s="1022">
        <v>0</v>
      </c>
      <c r="AF219" s="1022"/>
      <c r="AG219" s="1022">
        <f t="shared" si="33"/>
        <v>0</v>
      </c>
      <c r="AH219" s="1022">
        <f t="shared" si="34"/>
        <v>0</v>
      </c>
      <c r="AK219" s="448"/>
      <c r="AL219" s="445"/>
    </row>
    <row r="220" spans="1:38" s="467" customFormat="1" ht="12.75" customHeight="1">
      <c r="A220" s="1033">
        <v>5115000</v>
      </c>
      <c r="B220" s="1033" t="s">
        <v>2729</v>
      </c>
      <c r="C220" s="1034" t="str">
        <f t="shared" ref="C220:C329" si="36">+D220&amp;E220</f>
        <v/>
      </c>
      <c r="D220" s="1033"/>
      <c r="E220" s="1033"/>
      <c r="F220" s="1034" t="str">
        <f t="shared" ref="F220:F329" si="37">+G220&amp;H220</f>
        <v/>
      </c>
      <c r="G220" s="1033"/>
      <c r="H220" s="1033"/>
      <c r="I220" s="1034" t="str">
        <f t="shared" ref="I220:I329" si="38">+J220&amp;K220</f>
        <v/>
      </c>
      <c r="J220" s="1033"/>
      <c r="K220" s="1033"/>
      <c r="L220" s="1034" t="str">
        <f t="shared" ref="L220:L329" si="39">+M220&amp;N220</f>
        <v/>
      </c>
      <c r="M220" s="1035"/>
      <c r="N220" s="1035"/>
      <c r="O220" s="1036" t="str">
        <f t="shared" ref="O220:O329" si="40">+P220&amp;Q220</f>
        <v/>
      </c>
      <c r="P220" s="1035"/>
      <c r="Q220" s="1033"/>
      <c r="R220" s="1034" t="str">
        <f t="shared" ref="R220:R329" si="41">+S220&amp;T220</f>
        <v/>
      </c>
      <c r="S220" s="1035"/>
      <c r="T220" s="1035"/>
      <c r="U220" s="1034" t="str">
        <f t="shared" ref="U220:U329" si="42">+V220&amp;W220</f>
        <v/>
      </c>
      <c r="V220" s="1035"/>
      <c r="W220" s="1035"/>
      <c r="X220" s="1037" t="str">
        <f t="shared" si="35"/>
        <v>1</v>
      </c>
      <c r="Y220" s="1035"/>
      <c r="Z220" s="1035">
        <f t="shared" si="32"/>
        <v>1</v>
      </c>
      <c r="AA220" s="1035"/>
      <c r="AB220" s="1035"/>
      <c r="AC220" s="1021">
        <v>110676</v>
      </c>
      <c r="AD220" s="1021" t="s">
        <v>707</v>
      </c>
      <c r="AE220" s="1022">
        <f>VLOOKUP(AC220,[5]Hoja1!$A$10:$K$1393,11,0)</f>
        <v>0</v>
      </c>
      <c r="AF220" s="1022"/>
      <c r="AG220" s="1022">
        <f t="shared" si="33"/>
        <v>0</v>
      </c>
      <c r="AH220" s="1022">
        <f t="shared" si="34"/>
        <v>0</v>
      </c>
      <c r="AJ220" s="467">
        <v>116861</v>
      </c>
      <c r="AK220" s="448"/>
      <c r="AL220" s="445"/>
    </row>
    <row r="221" spans="1:38" s="467" customFormat="1" ht="12.75" customHeight="1">
      <c r="A221" s="1033"/>
      <c r="B221" s="1033"/>
      <c r="C221" s="1034" t="str">
        <f t="shared" si="36"/>
        <v/>
      </c>
      <c r="D221" s="1033"/>
      <c r="E221" s="1033"/>
      <c r="F221" s="1034" t="str">
        <f t="shared" si="37"/>
        <v/>
      </c>
      <c r="G221" s="1033"/>
      <c r="H221" s="1033"/>
      <c r="I221" s="1034" t="str">
        <f t="shared" si="38"/>
        <v/>
      </c>
      <c r="J221" s="1033"/>
      <c r="K221" s="1033"/>
      <c r="L221" s="1034" t="str">
        <f t="shared" si="39"/>
        <v/>
      </c>
      <c r="M221" s="1035"/>
      <c r="N221" s="1035"/>
      <c r="O221" s="1036" t="str">
        <f t="shared" si="40"/>
        <v/>
      </c>
      <c r="P221" s="1035"/>
      <c r="Q221" s="1033"/>
      <c r="R221" s="1034" t="str">
        <f t="shared" si="41"/>
        <v/>
      </c>
      <c r="S221" s="1035"/>
      <c r="T221" s="1035"/>
      <c r="U221" s="1034" t="str">
        <f t="shared" si="42"/>
        <v/>
      </c>
      <c r="V221" s="1035"/>
      <c r="W221" s="1035"/>
      <c r="X221" s="1037" t="str">
        <f t="shared" si="35"/>
        <v>1</v>
      </c>
      <c r="Y221" s="1035"/>
      <c r="Z221" s="1035">
        <f t="shared" si="32"/>
        <v>1</v>
      </c>
      <c r="AA221" s="1035"/>
      <c r="AB221" s="1035"/>
      <c r="AC221" s="1021">
        <v>110677</v>
      </c>
      <c r="AD221" s="1021" t="s">
        <v>1986</v>
      </c>
      <c r="AE221" s="1022">
        <v>0</v>
      </c>
      <c r="AF221" s="1022"/>
      <c r="AG221" s="1022">
        <f t="shared" si="33"/>
        <v>0</v>
      </c>
      <c r="AH221" s="1022">
        <f t="shared" si="34"/>
        <v>0</v>
      </c>
      <c r="AK221" s="448"/>
      <c r="AL221" s="445"/>
    </row>
    <row r="222" spans="1:38" s="467" customFormat="1" ht="12.75" customHeight="1">
      <c r="A222" s="1033">
        <v>5115000</v>
      </c>
      <c r="B222" s="1033" t="s">
        <v>2729</v>
      </c>
      <c r="C222" s="1034" t="str">
        <f t="shared" si="36"/>
        <v/>
      </c>
      <c r="D222" s="1033"/>
      <c r="E222" s="1033"/>
      <c r="F222" s="1034" t="str">
        <f t="shared" si="37"/>
        <v/>
      </c>
      <c r="G222" s="1033"/>
      <c r="H222" s="1033"/>
      <c r="I222" s="1034" t="str">
        <f t="shared" si="38"/>
        <v/>
      </c>
      <c r="J222" s="1033"/>
      <c r="K222" s="1033"/>
      <c r="L222" s="1034" t="str">
        <f t="shared" si="39"/>
        <v/>
      </c>
      <c r="M222" s="1035"/>
      <c r="N222" s="1035"/>
      <c r="O222" s="1036" t="str">
        <f t="shared" si="40"/>
        <v/>
      </c>
      <c r="P222" s="1035"/>
      <c r="Q222" s="1033"/>
      <c r="R222" s="1034" t="str">
        <f t="shared" si="41"/>
        <v/>
      </c>
      <c r="S222" s="1035"/>
      <c r="T222" s="1035"/>
      <c r="U222" s="1034" t="str">
        <f t="shared" si="42"/>
        <v/>
      </c>
      <c r="V222" s="1035"/>
      <c r="W222" s="1035"/>
      <c r="X222" s="1037" t="str">
        <f t="shared" si="35"/>
        <v>1</v>
      </c>
      <c r="Y222" s="1035"/>
      <c r="Z222" s="1035">
        <f t="shared" si="32"/>
        <v>1</v>
      </c>
      <c r="AA222" s="1035"/>
      <c r="AB222" s="1035"/>
      <c r="AC222" s="1021">
        <v>110678</v>
      </c>
      <c r="AD222" s="1021" t="s">
        <v>708</v>
      </c>
      <c r="AE222" s="1022">
        <f>VLOOKUP(AC222,[5]Hoja1!$A$10:$K$1393,11,0)</f>
        <v>210831144</v>
      </c>
      <c r="AF222" s="1022">
        <v>0</v>
      </c>
      <c r="AG222" s="1022">
        <f t="shared" si="33"/>
        <v>210831144</v>
      </c>
      <c r="AH222" s="1199">
        <f t="shared" si="34"/>
        <v>210831</v>
      </c>
      <c r="AK222" s="448"/>
      <c r="AL222" s="445"/>
    </row>
    <row r="223" spans="1:38" s="467" customFormat="1" ht="12.75" customHeight="1">
      <c r="A223" s="1033">
        <v>5115000</v>
      </c>
      <c r="B223" s="1033" t="s">
        <v>2729</v>
      </c>
      <c r="C223" s="1034" t="str">
        <f t="shared" si="36"/>
        <v/>
      </c>
      <c r="D223" s="1033"/>
      <c r="E223" s="1033"/>
      <c r="F223" s="1034" t="str">
        <f t="shared" si="37"/>
        <v/>
      </c>
      <c r="G223" s="1033"/>
      <c r="H223" s="1033"/>
      <c r="I223" s="1034" t="str">
        <f t="shared" si="38"/>
        <v/>
      </c>
      <c r="J223" s="1033"/>
      <c r="K223" s="1033"/>
      <c r="L223" s="1034" t="str">
        <f t="shared" si="39"/>
        <v/>
      </c>
      <c r="M223" s="1035"/>
      <c r="N223" s="1035"/>
      <c r="O223" s="1036" t="str">
        <f t="shared" si="40"/>
        <v/>
      </c>
      <c r="P223" s="1035"/>
      <c r="Q223" s="1033"/>
      <c r="R223" s="1034" t="str">
        <f t="shared" si="41"/>
        <v/>
      </c>
      <c r="S223" s="1035"/>
      <c r="T223" s="1035"/>
      <c r="U223" s="1034" t="str">
        <f t="shared" si="42"/>
        <v/>
      </c>
      <c r="V223" s="1035"/>
      <c r="W223" s="1035"/>
      <c r="X223" s="1037" t="str">
        <f t="shared" si="35"/>
        <v>1</v>
      </c>
      <c r="Y223" s="1035"/>
      <c r="Z223" s="1035">
        <f t="shared" si="32"/>
        <v>1</v>
      </c>
      <c r="AA223" s="1035"/>
      <c r="AB223" s="1035"/>
      <c r="AC223" s="1021">
        <v>110679</v>
      </c>
      <c r="AD223" s="1021" t="s">
        <v>709</v>
      </c>
      <c r="AE223" s="1022">
        <f>VLOOKUP(AC223,[5]Hoja1!$A$10:$K$1393,11,0)</f>
        <v>3650445641</v>
      </c>
      <c r="AF223" s="1022"/>
      <c r="AG223" s="1022">
        <f t="shared" si="33"/>
        <v>3650445641</v>
      </c>
      <c r="AH223" s="1199">
        <f t="shared" si="34"/>
        <v>3650446</v>
      </c>
      <c r="AI223" s="445">
        <f>+AH225+AH186</f>
        <v>362018</v>
      </c>
      <c r="AK223" s="448"/>
      <c r="AL223" s="445"/>
    </row>
    <row r="224" spans="1:38" s="467" customFormat="1" ht="12.75" customHeight="1">
      <c r="A224" s="1033"/>
      <c r="B224" s="1033"/>
      <c r="C224" s="1034" t="str">
        <f t="shared" si="36"/>
        <v/>
      </c>
      <c r="D224" s="1033"/>
      <c r="E224" s="1033"/>
      <c r="F224" s="1034" t="str">
        <f t="shared" si="37"/>
        <v/>
      </c>
      <c r="G224" s="1033"/>
      <c r="H224" s="1033"/>
      <c r="I224" s="1034" t="str">
        <f t="shared" si="38"/>
        <v/>
      </c>
      <c r="J224" s="1033"/>
      <c r="K224" s="1033"/>
      <c r="L224" s="1034" t="str">
        <f t="shared" si="39"/>
        <v/>
      </c>
      <c r="M224" s="1035"/>
      <c r="N224" s="1035"/>
      <c r="O224" s="1036" t="str">
        <f t="shared" si="40"/>
        <v/>
      </c>
      <c r="P224" s="1035"/>
      <c r="Q224" s="1033"/>
      <c r="R224" s="1034" t="str">
        <f t="shared" si="41"/>
        <v/>
      </c>
      <c r="S224" s="1035"/>
      <c r="T224" s="1035"/>
      <c r="U224" s="1034" t="str">
        <f t="shared" si="42"/>
        <v/>
      </c>
      <c r="V224" s="1035"/>
      <c r="W224" s="1035"/>
      <c r="X224" s="1037" t="str">
        <f t="shared" si="35"/>
        <v>1</v>
      </c>
      <c r="Y224" s="1035"/>
      <c r="Z224" s="1035">
        <f t="shared" si="32"/>
        <v>1</v>
      </c>
      <c r="AA224" s="1035"/>
      <c r="AB224" s="1035"/>
      <c r="AC224" s="1021">
        <v>110680</v>
      </c>
      <c r="AD224" s="1021" t="s">
        <v>1987</v>
      </c>
      <c r="AE224" s="1022">
        <v>0</v>
      </c>
      <c r="AF224" s="1022"/>
      <c r="AG224" s="1022">
        <f t="shared" si="33"/>
        <v>0</v>
      </c>
      <c r="AH224" s="1022">
        <f t="shared" si="34"/>
        <v>0</v>
      </c>
      <c r="AK224" s="448"/>
      <c r="AL224" s="445"/>
    </row>
    <row r="225" spans="1:38" s="467" customFormat="1" ht="12.75" customHeight="1">
      <c r="A225" s="1033">
        <v>5115000</v>
      </c>
      <c r="B225" s="1033" t="s">
        <v>2729</v>
      </c>
      <c r="C225" s="1034" t="str">
        <f t="shared" si="36"/>
        <v/>
      </c>
      <c r="D225" s="1033"/>
      <c r="E225" s="1033"/>
      <c r="F225" s="1034" t="str">
        <f t="shared" si="37"/>
        <v/>
      </c>
      <c r="G225" s="1033"/>
      <c r="H225" s="1033"/>
      <c r="I225" s="1034" t="str">
        <f t="shared" si="38"/>
        <v/>
      </c>
      <c r="J225" s="1033"/>
      <c r="K225" s="1033"/>
      <c r="L225" s="1034" t="str">
        <f t="shared" si="39"/>
        <v/>
      </c>
      <c r="M225" s="1035"/>
      <c r="N225" s="1035"/>
      <c r="O225" s="1036" t="str">
        <f t="shared" si="40"/>
        <v/>
      </c>
      <c r="P225" s="1035"/>
      <c r="Q225" s="1033"/>
      <c r="R225" s="1034" t="str">
        <f t="shared" si="41"/>
        <v/>
      </c>
      <c r="S225" s="1035"/>
      <c r="T225" s="1035"/>
      <c r="U225" s="1034" t="str">
        <f t="shared" si="42"/>
        <v/>
      </c>
      <c r="V225" s="1035"/>
      <c r="W225" s="1035"/>
      <c r="X225" s="1037" t="str">
        <f t="shared" si="35"/>
        <v>1</v>
      </c>
      <c r="Y225" s="1035"/>
      <c r="Z225" s="1035">
        <f t="shared" si="32"/>
        <v>1</v>
      </c>
      <c r="AA225" s="1035"/>
      <c r="AB225" s="1035"/>
      <c r="AC225" s="1021">
        <v>110681</v>
      </c>
      <c r="AD225" s="1021" t="s">
        <v>710</v>
      </c>
      <c r="AE225" s="1022">
        <f>VLOOKUP(AC225,[5]Hoja1!$A$10:$K$1393,11,0)</f>
        <v>362017796</v>
      </c>
      <c r="AF225" s="1022">
        <v>0</v>
      </c>
      <c r="AG225" s="1022">
        <f t="shared" si="33"/>
        <v>362017796</v>
      </c>
      <c r="AH225" s="1199">
        <f t="shared" si="34"/>
        <v>362018</v>
      </c>
      <c r="AI225" s="445"/>
      <c r="AJ225" s="445">
        <f>+AH225+AH210</f>
        <v>362018</v>
      </c>
      <c r="AK225" s="448"/>
      <c r="AL225" s="445"/>
    </row>
    <row r="226" spans="1:38" s="467" customFormat="1" ht="12.75" customHeight="1">
      <c r="A226" s="1033"/>
      <c r="B226" s="1033"/>
      <c r="C226" s="1034" t="str">
        <f t="shared" si="36"/>
        <v/>
      </c>
      <c r="D226" s="1033"/>
      <c r="E226" s="1033"/>
      <c r="F226" s="1034" t="str">
        <f t="shared" si="37"/>
        <v/>
      </c>
      <c r="G226" s="1033"/>
      <c r="H226" s="1033"/>
      <c r="I226" s="1034" t="str">
        <f t="shared" si="38"/>
        <v/>
      </c>
      <c r="J226" s="1033"/>
      <c r="K226" s="1033"/>
      <c r="L226" s="1034" t="str">
        <f t="shared" si="39"/>
        <v/>
      </c>
      <c r="M226" s="1035"/>
      <c r="N226" s="1035"/>
      <c r="O226" s="1036" t="str">
        <f t="shared" si="40"/>
        <v/>
      </c>
      <c r="P226" s="1035"/>
      <c r="Q226" s="1033"/>
      <c r="R226" s="1034" t="str">
        <f t="shared" si="41"/>
        <v/>
      </c>
      <c r="S226" s="1035"/>
      <c r="T226" s="1035"/>
      <c r="U226" s="1034" t="str">
        <f t="shared" si="42"/>
        <v/>
      </c>
      <c r="V226" s="1035"/>
      <c r="W226" s="1035"/>
      <c r="X226" s="1037" t="str">
        <f t="shared" si="35"/>
        <v>1</v>
      </c>
      <c r="Y226" s="1035"/>
      <c r="Z226" s="1035">
        <f t="shared" si="32"/>
        <v>1</v>
      </c>
      <c r="AA226" s="1035"/>
      <c r="AB226" s="1035"/>
      <c r="AC226" s="1021">
        <v>110682</v>
      </c>
      <c r="AD226" s="1021" t="s">
        <v>711</v>
      </c>
      <c r="AE226" s="1022">
        <v>0</v>
      </c>
      <c r="AF226" s="1022"/>
      <c r="AG226" s="1022">
        <f t="shared" si="33"/>
        <v>0</v>
      </c>
      <c r="AH226" s="1022">
        <f t="shared" si="34"/>
        <v>0</v>
      </c>
      <c r="AJ226" s="445">
        <v>7788919</v>
      </c>
      <c r="AK226" s="448"/>
      <c r="AL226" s="445"/>
    </row>
    <row r="227" spans="1:38" s="467" customFormat="1" ht="12.75" customHeight="1">
      <c r="A227" s="1033">
        <v>5115000</v>
      </c>
      <c r="B227" s="1033" t="s">
        <v>2729</v>
      </c>
      <c r="C227" s="1034" t="str">
        <f t="shared" si="36"/>
        <v/>
      </c>
      <c r="D227" s="1033"/>
      <c r="E227" s="1033"/>
      <c r="F227" s="1034" t="str">
        <f t="shared" si="37"/>
        <v/>
      </c>
      <c r="G227" s="1033"/>
      <c r="H227" s="1033"/>
      <c r="I227" s="1034" t="str">
        <f t="shared" si="38"/>
        <v/>
      </c>
      <c r="J227" s="1033"/>
      <c r="K227" s="1033"/>
      <c r="L227" s="1034" t="str">
        <f t="shared" si="39"/>
        <v/>
      </c>
      <c r="M227" s="1035"/>
      <c r="N227" s="1035"/>
      <c r="O227" s="1036" t="str">
        <f t="shared" si="40"/>
        <v/>
      </c>
      <c r="P227" s="1035"/>
      <c r="Q227" s="1033"/>
      <c r="R227" s="1034" t="str">
        <f t="shared" si="41"/>
        <v/>
      </c>
      <c r="S227" s="1035"/>
      <c r="T227" s="1035"/>
      <c r="U227" s="1034" t="str">
        <f t="shared" si="42"/>
        <v/>
      </c>
      <c r="V227" s="1035"/>
      <c r="W227" s="1035"/>
      <c r="X227" s="1037" t="str">
        <f t="shared" si="35"/>
        <v>1</v>
      </c>
      <c r="Y227" s="1035"/>
      <c r="Z227" s="1035">
        <f t="shared" si="32"/>
        <v>1</v>
      </c>
      <c r="AA227" s="1035"/>
      <c r="AB227" s="1035"/>
      <c r="AC227" s="1021">
        <v>110683</v>
      </c>
      <c r="AD227" s="1021" t="s">
        <v>1988</v>
      </c>
      <c r="AE227" s="1022">
        <f>VLOOKUP(AC227,[5]Hoja1!$A$10:$K$1393,11,0)</f>
        <v>0</v>
      </c>
      <c r="AF227" s="1022">
        <v>0</v>
      </c>
      <c r="AG227" s="1022">
        <f t="shared" si="33"/>
        <v>0</v>
      </c>
      <c r="AH227" s="1022">
        <f t="shared" si="34"/>
        <v>0</v>
      </c>
      <c r="AJ227" s="445">
        <f>+AJ226-AJ225</f>
        <v>7426901</v>
      </c>
      <c r="AK227" s="448"/>
      <c r="AL227" s="445"/>
    </row>
    <row r="228" spans="1:38" s="467" customFormat="1" ht="12.75" customHeight="1">
      <c r="A228" s="1033"/>
      <c r="B228" s="1033"/>
      <c r="C228" s="1034" t="str">
        <f t="shared" si="36"/>
        <v/>
      </c>
      <c r="D228" s="1033"/>
      <c r="E228" s="1033"/>
      <c r="F228" s="1034" t="str">
        <f t="shared" si="37"/>
        <v/>
      </c>
      <c r="G228" s="1033"/>
      <c r="H228" s="1033"/>
      <c r="I228" s="1034" t="str">
        <f t="shared" si="38"/>
        <v/>
      </c>
      <c r="J228" s="1033"/>
      <c r="K228" s="1033"/>
      <c r="L228" s="1034" t="str">
        <f t="shared" si="39"/>
        <v/>
      </c>
      <c r="M228" s="1035"/>
      <c r="N228" s="1035"/>
      <c r="O228" s="1036" t="str">
        <f t="shared" si="40"/>
        <v/>
      </c>
      <c r="P228" s="1035"/>
      <c r="Q228" s="1033"/>
      <c r="R228" s="1034" t="str">
        <f t="shared" si="41"/>
        <v/>
      </c>
      <c r="S228" s="1035"/>
      <c r="T228" s="1035"/>
      <c r="U228" s="1034" t="str">
        <f t="shared" si="42"/>
        <v/>
      </c>
      <c r="V228" s="1035"/>
      <c r="W228" s="1035"/>
      <c r="X228" s="1037" t="str">
        <f t="shared" si="35"/>
        <v>1</v>
      </c>
      <c r="Y228" s="1035"/>
      <c r="Z228" s="1035">
        <f t="shared" si="32"/>
        <v>1</v>
      </c>
      <c r="AA228" s="1035"/>
      <c r="AB228" s="1035"/>
      <c r="AC228" s="1021">
        <v>110684</v>
      </c>
      <c r="AD228" s="1021" t="s">
        <v>713</v>
      </c>
      <c r="AE228" s="1022">
        <v>0</v>
      </c>
      <c r="AF228" s="1022"/>
      <c r="AG228" s="1022">
        <f t="shared" si="33"/>
        <v>0</v>
      </c>
      <c r="AH228" s="1022">
        <f t="shared" si="34"/>
        <v>0</v>
      </c>
      <c r="AK228" s="448"/>
      <c r="AL228" s="445"/>
    </row>
    <row r="229" spans="1:38" s="467" customFormat="1" ht="12.75" customHeight="1">
      <c r="A229" s="1033">
        <v>5115000</v>
      </c>
      <c r="B229" s="1033" t="s">
        <v>2729</v>
      </c>
      <c r="C229" s="1034" t="str">
        <f t="shared" si="36"/>
        <v/>
      </c>
      <c r="D229" s="1033"/>
      <c r="E229" s="1033"/>
      <c r="F229" s="1034" t="str">
        <f t="shared" si="37"/>
        <v/>
      </c>
      <c r="G229" s="1033"/>
      <c r="H229" s="1033"/>
      <c r="I229" s="1034" t="str">
        <f t="shared" si="38"/>
        <v/>
      </c>
      <c r="J229" s="1033"/>
      <c r="K229" s="1033"/>
      <c r="L229" s="1034" t="str">
        <f t="shared" si="39"/>
        <v/>
      </c>
      <c r="M229" s="1035"/>
      <c r="N229" s="1035"/>
      <c r="O229" s="1036" t="str">
        <f t="shared" si="40"/>
        <v/>
      </c>
      <c r="P229" s="1035"/>
      <c r="Q229" s="1033"/>
      <c r="R229" s="1034" t="str">
        <f t="shared" si="41"/>
        <v/>
      </c>
      <c r="S229" s="1035"/>
      <c r="T229" s="1035"/>
      <c r="U229" s="1034" t="str">
        <f t="shared" si="42"/>
        <v/>
      </c>
      <c r="V229" s="1035"/>
      <c r="W229" s="1035"/>
      <c r="X229" s="1037" t="str">
        <f t="shared" si="35"/>
        <v>1</v>
      </c>
      <c r="Y229" s="1035"/>
      <c r="Z229" s="1035">
        <f t="shared" si="32"/>
        <v>1</v>
      </c>
      <c r="AA229" s="1035"/>
      <c r="AB229" s="1035"/>
      <c r="AC229" s="1021">
        <v>110685</v>
      </c>
      <c r="AD229" s="1021" t="s">
        <v>1989</v>
      </c>
      <c r="AE229" s="1022">
        <f>VLOOKUP(AC229,[5]Hoja1!$A$10:$K$1393,11,0)</f>
        <v>0</v>
      </c>
      <c r="AF229" s="1022">
        <v>0</v>
      </c>
      <c r="AG229" s="1022">
        <f t="shared" si="33"/>
        <v>0</v>
      </c>
      <c r="AH229" s="1022">
        <f t="shared" si="34"/>
        <v>0</v>
      </c>
      <c r="AI229" s="445" t="s">
        <v>1449</v>
      </c>
      <c r="AJ229" s="467">
        <v>553882</v>
      </c>
      <c r="AK229" s="448"/>
      <c r="AL229" s="445"/>
    </row>
    <row r="230" spans="1:38" s="467" customFormat="1" ht="12.75" customHeight="1">
      <c r="A230" s="1033"/>
      <c r="B230" s="1033"/>
      <c r="C230" s="1034"/>
      <c r="D230" s="1033"/>
      <c r="E230" s="1033"/>
      <c r="F230" s="1034"/>
      <c r="G230" s="1033"/>
      <c r="H230" s="1033"/>
      <c r="I230" s="1034"/>
      <c r="J230" s="1033"/>
      <c r="K230" s="1033"/>
      <c r="L230" s="1034"/>
      <c r="M230" s="1035"/>
      <c r="N230" s="1035"/>
      <c r="O230" s="1036"/>
      <c r="P230" s="1035"/>
      <c r="Q230" s="1033"/>
      <c r="R230" s="1034"/>
      <c r="S230" s="1035"/>
      <c r="T230" s="1035"/>
      <c r="U230" s="1034"/>
      <c r="V230" s="1035"/>
      <c r="W230" s="1035"/>
      <c r="X230" s="1037"/>
      <c r="Y230" s="1035"/>
      <c r="Z230" s="1035">
        <f t="shared" si="32"/>
        <v>1</v>
      </c>
      <c r="AA230" s="1035"/>
      <c r="AB230" s="1035"/>
      <c r="AC230" s="1021">
        <v>110686</v>
      </c>
      <c r="AD230" s="1021" t="s">
        <v>1990</v>
      </c>
      <c r="AE230" s="1022">
        <v>0</v>
      </c>
      <c r="AF230" s="1022"/>
      <c r="AG230" s="1022">
        <f t="shared" si="33"/>
        <v>0</v>
      </c>
      <c r="AH230" s="1022">
        <f t="shared" si="34"/>
        <v>0</v>
      </c>
      <c r="AI230" s="445"/>
      <c r="AK230" s="448"/>
      <c r="AL230" s="445"/>
    </row>
    <row r="231" spans="1:38" s="467" customFormat="1" ht="12.75" customHeight="1">
      <c r="A231" s="1033"/>
      <c r="B231" s="1033"/>
      <c r="C231" s="1034"/>
      <c r="D231" s="1033"/>
      <c r="E231" s="1033"/>
      <c r="F231" s="1034"/>
      <c r="G231" s="1033"/>
      <c r="H231" s="1033"/>
      <c r="I231" s="1034"/>
      <c r="J231" s="1033"/>
      <c r="K231" s="1033"/>
      <c r="L231" s="1034"/>
      <c r="M231" s="1035"/>
      <c r="N231" s="1035"/>
      <c r="O231" s="1036"/>
      <c r="P231" s="1035"/>
      <c r="Q231" s="1033"/>
      <c r="R231" s="1034"/>
      <c r="S231" s="1035"/>
      <c r="T231" s="1035"/>
      <c r="U231" s="1034"/>
      <c r="V231" s="1035"/>
      <c r="W231" s="1035"/>
      <c r="X231" s="1037"/>
      <c r="Y231" s="1035"/>
      <c r="Z231" s="1035">
        <f t="shared" si="32"/>
        <v>1</v>
      </c>
      <c r="AA231" s="1035"/>
      <c r="AB231" s="1035"/>
      <c r="AC231" s="1021">
        <v>110687</v>
      </c>
      <c r="AD231" s="1021" t="s">
        <v>1991</v>
      </c>
      <c r="AE231" s="1022">
        <v>0</v>
      </c>
      <c r="AF231" s="1022"/>
      <c r="AG231" s="1022">
        <f t="shared" si="33"/>
        <v>0</v>
      </c>
      <c r="AH231" s="1022">
        <f t="shared" si="34"/>
        <v>0</v>
      </c>
      <c r="AI231" s="445"/>
      <c r="AK231" s="448"/>
      <c r="AL231" s="445"/>
    </row>
    <row r="232" spans="1:38" s="467" customFormat="1" ht="12.75" customHeight="1">
      <c r="A232" s="1033">
        <v>5115000</v>
      </c>
      <c r="B232" s="1033" t="s">
        <v>2729</v>
      </c>
      <c r="C232" s="1034"/>
      <c r="D232" s="1033"/>
      <c r="E232" s="1033"/>
      <c r="F232" s="1034"/>
      <c r="G232" s="1033"/>
      <c r="H232" s="1033"/>
      <c r="I232" s="1034"/>
      <c r="J232" s="1033"/>
      <c r="K232" s="1033"/>
      <c r="L232" s="1034"/>
      <c r="M232" s="1035"/>
      <c r="N232" s="1035"/>
      <c r="O232" s="1036"/>
      <c r="P232" s="1035"/>
      <c r="Q232" s="1033"/>
      <c r="R232" s="1034"/>
      <c r="S232" s="1035"/>
      <c r="T232" s="1035"/>
      <c r="U232" s="1034"/>
      <c r="V232" s="1035"/>
      <c r="W232" s="1035"/>
      <c r="X232" s="1037"/>
      <c r="Y232" s="1035"/>
      <c r="Z232" s="1035">
        <f t="shared" si="32"/>
        <v>1</v>
      </c>
      <c r="AA232" s="1035"/>
      <c r="AB232" s="1035"/>
      <c r="AC232" s="1021">
        <v>110688</v>
      </c>
      <c r="AD232" s="1021" t="s">
        <v>1992</v>
      </c>
      <c r="AE232" s="1022">
        <f>VLOOKUP(AC232,[5]Hoja1!$A$10:$K$1393,11,0)</f>
        <v>0</v>
      </c>
      <c r="AF232" s="1022"/>
      <c r="AG232" s="1022">
        <f t="shared" si="33"/>
        <v>0</v>
      </c>
      <c r="AH232" s="1022">
        <f t="shared" si="34"/>
        <v>0</v>
      </c>
      <c r="AI232" s="445" t="s">
        <v>1449</v>
      </c>
      <c r="AK232" s="448"/>
      <c r="AL232" s="445"/>
    </row>
    <row r="233" spans="1:38" s="467" customFormat="1" ht="12.75" customHeight="1">
      <c r="A233" s="1033">
        <v>5115000</v>
      </c>
      <c r="B233" s="1033" t="s">
        <v>2729</v>
      </c>
      <c r="C233" s="1034"/>
      <c r="D233" s="1033"/>
      <c r="E233" s="1033"/>
      <c r="F233" s="1034"/>
      <c r="G233" s="1033"/>
      <c r="H233" s="1033"/>
      <c r="I233" s="1034"/>
      <c r="J233" s="1033"/>
      <c r="K233" s="1033"/>
      <c r="L233" s="1034"/>
      <c r="M233" s="1035"/>
      <c r="N233" s="1035"/>
      <c r="O233" s="1036"/>
      <c r="P233" s="1035"/>
      <c r="Q233" s="1033"/>
      <c r="R233" s="1034"/>
      <c r="S233" s="1035"/>
      <c r="T233" s="1035"/>
      <c r="U233" s="1034"/>
      <c r="V233" s="1035"/>
      <c r="W233" s="1035"/>
      <c r="X233" s="1037"/>
      <c r="Y233" s="1035"/>
      <c r="Z233" s="1035">
        <f t="shared" si="32"/>
        <v>1</v>
      </c>
      <c r="AA233" s="1035"/>
      <c r="AB233" s="1035"/>
      <c r="AC233" s="1021">
        <v>110689</v>
      </c>
      <c r="AD233" s="1021" t="s">
        <v>1993</v>
      </c>
      <c r="AE233" s="1022">
        <f>VLOOKUP(AC233,[5]Hoja1!$A$10:$K$1393,11,0)</f>
        <v>0</v>
      </c>
      <c r="AF233" s="1022">
        <v>0</v>
      </c>
      <c r="AG233" s="1022">
        <f t="shared" si="33"/>
        <v>0</v>
      </c>
      <c r="AH233" s="1022">
        <f t="shared" si="34"/>
        <v>0</v>
      </c>
      <c r="AI233" s="445"/>
      <c r="AK233" s="448"/>
      <c r="AL233" s="445"/>
    </row>
    <row r="234" spans="1:38" s="467" customFormat="1" ht="12.75" customHeight="1">
      <c r="A234" s="1033">
        <v>5115000</v>
      </c>
      <c r="B234" s="1033" t="s">
        <v>2729</v>
      </c>
      <c r="C234" s="1034" t="str">
        <f t="shared" si="36"/>
        <v/>
      </c>
      <c r="D234" s="1033"/>
      <c r="E234" s="1033"/>
      <c r="F234" s="1034" t="str">
        <f t="shared" si="37"/>
        <v/>
      </c>
      <c r="G234" s="1033"/>
      <c r="H234" s="1033"/>
      <c r="I234" s="1034" t="str">
        <f t="shared" si="38"/>
        <v/>
      </c>
      <c r="J234" s="1033"/>
      <c r="K234" s="1033"/>
      <c r="L234" s="1034" t="str">
        <f t="shared" si="39"/>
        <v/>
      </c>
      <c r="M234" s="1035"/>
      <c r="N234" s="1035"/>
      <c r="O234" s="1036" t="str">
        <f t="shared" si="40"/>
        <v/>
      </c>
      <c r="P234" s="1035"/>
      <c r="Q234" s="1033"/>
      <c r="R234" s="1034" t="str">
        <f t="shared" si="41"/>
        <v/>
      </c>
      <c r="S234" s="1035"/>
      <c r="T234" s="1035"/>
      <c r="U234" s="1034" t="str">
        <f t="shared" si="42"/>
        <v/>
      </c>
      <c r="V234" s="1035"/>
      <c r="W234" s="1035"/>
      <c r="X234" s="1037" t="str">
        <f t="shared" ref="X234:X254" si="43">+Y234&amp;Z234</f>
        <v>1</v>
      </c>
      <c r="Y234" s="1035"/>
      <c r="Z234" s="1035">
        <f t="shared" si="32"/>
        <v>1</v>
      </c>
      <c r="AA234" s="1035"/>
      <c r="AB234" s="1035"/>
      <c r="AC234" s="1021">
        <v>110690</v>
      </c>
      <c r="AD234" s="1021" t="s">
        <v>1994</v>
      </c>
      <c r="AE234" s="1022">
        <f>VLOOKUP(AC234,[5]Hoja1!$A$10:$K$1393,11,0)</f>
        <v>5359455174</v>
      </c>
      <c r="AF234" s="1022">
        <v>0</v>
      </c>
      <c r="AG234" s="1022">
        <f t="shared" si="33"/>
        <v>5359455174</v>
      </c>
      <c r="AH234" s="1191">
        <f t="shared" si="34"/>
        <v>5359455</v>
      </c>
      <c r="AI234" s="467" t="s">
        <v>1449</v>
      </c>
      <c r="AJ234" s="467">
        <v>3304601</v>
      </c>
      <c r="AK234" s="448"/>
      <c r="AL234" s="445"/>
    </row>
    <row r="235" spans="1:38" s="467" customFormat="1" ht="12.75" customHeight="1">
      <c r="A235" s="1033">
        <v>5115000</v>
      </c>
      <c r="B235" s="1033" t="s">
        <v>2729</v>
      </c>
      <c r="C235" s="1034" t="str">
        <f t="shared" si="36"/>
        <v/>
      </c>
      <c r="D235" s="1033"/>
      <c r="E235" s="1033"/>
      <c r="F235" s="1034" t="str">
        <f t="shared" si="37"/>
        <v/>
      </c>
      <c r="G235" s="1033"/>
      <c r="H235" s="1033"/>
      <c r="I235" s="1034" t="str">
        <f t="shared" si="38"/>
        <v/>
      </c>
      <c r="J235" s="1033"/>
      <c r="K235" s="1033"/>
      <c r="L235" s="1034" t="str">
        <f t="shared" si="39"/>
        <v/>
      </c>
      <c r="M235" s="1035"/>
      <c r="N235" s="1035"/>
      <c r="O235" s="1036" t="str">
        <f t="shared" si="40"/>
        <v/>
      </c>
      <c r="P235" s="1035"/>
      <c r="Q235" s="1033"/>
      <c r="R235" s="1034" t="str">
        <f t="shared" si="41"/>
        <v/>
      </c>
      <c r="S235" s="1035"/>
      <c r="T235" s="1035"/>
      <c r="U235" s="1034" t="str">
        <f t="shared" si="42"/>
        <v/>
      </c>
      <c r="V235" s="1035"/>
      <c r="W235" s="1035"/>
      <c r="X235" s="1037" t="str">
        <f t="shared" si="43"/>
        <v>1</v>
      </c>
      <c r="Y235" s="1035"/>
      <c r="Z235" s="1035">
        <f t="shared" si="32"/>
        <v>1</v>
      </c>
      <c r="AA235" s="1035"/>
      <c r="AB235" s="1035"/>
      <c r="AC235" s="1021">
        <v>110691</v>
      </c>
      <c r="AD235" s="1021" t="s">
        <v>1995</v>
      </c>
      <c r="AE235" s="1022">
        <f>VLOOKUP(AC235,[5]Hoja1!$A$10:$K$1393,11,0)</f>
        <v>-94584627</v>
      </c>
      <c r="AF235" s="1022"/>
      <c r="AG235" s="1022">
        <f t="shared" si="33"/>
        <v>-94584627</v>
      </c>
      <c r="AH235" s="1191">
        <f t="shared" si="34"/>
        <v>-94585</v>
      </c>
      <c r="AI235" s="467" t="s">
        <v>1449</v>
      </c>
      <c r="AK235" s="448"/>
      <c r="AL235" s="445"/>
    </row>
    <row r="236" spans="1:38" s="467" customFormat="1" ht="12.75" customHeight="1">
      <c r="A236" s="1033"/>
      <c r="B236" s="1033"/>
      <c r="C236" s="1034" t="str">
        <f t="shared" si="36"/>
        <v/>
      </c>
      <c r="D236" s="1033"/>
      <c r="E236" s="1033"/>
      <c r="F236" s="1034" t="str">
        <f t="shared" si="37"/>
        <v/>
      </c>
      <c r="G236" s="1033"/>
      <c r="H236" s="1033"/>
      <c r="I236" s="1034" t="str">
        <f t="shared" si="38"/>
        <v/>
      </c>
      <c r="J236" s="1033"/>
      <c r="K236" s="1033"/>
      <c r="L236" s="1034" t="str">
        <f t="shared" si="39"/>
        <v/>
      </c>
      <c r="M236" s="1035"/>
      <c r="N236" s="1035"/>
      <c r="O236" s="1036" t="str">
        <f t="shared" si="40"/>
        <v/>
      </c>
      <c r="P236" s="1033"/>
      <c r="Q236" s="1033"/>
      <c r="R236" s="1034" t="str">
        <f t="shared" si="41"/>
        <v/>
      </c>
      <c r="S236" s="1035"/>
      <c r="T236" s="1035"/>
      <c r="U236" s="1034" t="str">
        <f t="shared" si="42"/>
        <v/>
      </c>
      <c r="V236" s="1035"/>
      <c r="W236" s="1035"/>
      <c r="X236" s="1037" t="str">
        <f t="shared" si="43"/>
        <v>1</v>
      </c>
      <c r="Y236" s="1035"/>
      <c r="Z236" s="1035">
        <f t="shared" si="32"/>
        <v>1</v>
      </c>
      <c r="AA236" s="1035"/>
      <c r="AB236" s="1035"/>
      <c r="AC236" s="1021">
        <v>110692</v>
      </c>
      <c r="AD236" s="1021" t="s">
        <v>1996</v>
      </c>
      <c r="AE236" s="1022">
        <v>0</v>
      </c>
      <c r="AF236" s="1022"/>
      <c r="AG236" s="1022">
        <f t="shared" si="33"/>
        <v>0</v>
      </c>
      <c r="AH236" s="1022">
        <f t="shared" si="34"/>
        <v>0</v>
      </c>
      <c r="AK236" s="448"/>
      <c r="AL236" s="445"/>
    </row>
    <row r="237" spans="1:38" s="467" customFormat="1" ht="12.75" customHeight="1">
      <c r="A237" s="1033"/>
      <c r="B237" s="1033"/>
      <c r="C237" s="1034" t="str">
        <f t="shared" si="36"/>
        <v/>
      </c>
      <c r="D237" s="1033"/>
      <c r="E237" s="1033"/>
      <c r="F237" s="1034" t="str">
        <f t="shared" si="37"/>
        <v/>
      </c>
      <c r="G237" s="1033"/>
      <c r="H237" s="1033"/>
      <c r="I237" s="1034" t="str">
        <f t="shared" si="38"/>
        <v/>
      </c>
      <c r="J237" s="1033"/>
      <c r="K237" s="1033"/>
      <c r="L237" s="1034" t="str">
        <f t="shared" si="39"/>
        <v/>
      </c>
      <c r="M237" s="1035"/>
      <c r="N237" s="1035"/>
      <c r="O237" s="1036" t="str">
        <f t="shared" si="40"/>
        <v/>
      </c>
      <c r="P237" s="1033"/>
      <c r="Q237" s="1033"/>
      <c r="R237" s="1034" t="str">
        <f t="shared" si="41"/>
        <v/>
      </c>
      <c r="S237" s="1035"/>
      <c r="T237" s="1035"/>
      <c r="U237" s="1034" t="str">
        <f t="shared" si="42"/>
        <v/>
      </c>
      <c r="V237" s="1035"/>
      <c r="W237" s="1035"/>
      <c r="X237" s="1037" t="str">
        <f t="shared" si="43"/>
        <v>1</v>
      </c>
      <c r="Y237" s="1035"/>
      <c r="Z237" s="1035">
        <f t="shared" si="32"/>
        <v>1</v>
      </c>
      <c r="AA237" s="1035"/>
      <c r="AB237" s="1035"/>
      <c r="AC237" s="1021">
        <v>110693</v>
      </c>
      <c r="AD237" s="1021" t="s">
        <v>1997</v>
      </c>
      <c r="AE237" s="1022">
        <v>0</v>
      </c>
      <c r="AF237" s="1022"/>
      <c r="AG237" s="1022">
        <f t="shared" si="33"/>
        <v>0</v>
      </c>
      <c r="AH237" s="1022">
        <f t="shared" si="34"/>
        <v>0</v>
      </c>
      <c r="AK237" s="448"/>
      <c r="AL237" s="445"/>
    </row>
    <row r="238" spans="1:38" s="467" customFormat="1" ht="12.75" customHeight="1">
      <c r="A238" s="1033">
        <v>5115000</v>
      </c>
      <c r="B238" s="1033" t="s">
        <v>2729</v>
      </c>
      <c r="C238" s="1034" t="str">
        <f t="shared" si="36"/>
        <v/>
      </c>
      <c r="D238" s="1033"/>
      <c r="E238" s="1033"/>
      <c r="F238" s="1034" t="str">
        <f t="shared" si="37"/>
        <v/>
      </c>
      <c r="G238" s="1033"/>
      <c r="H238" s="1033"/>
      <c r="I238" s="1034" t="str">
        <f t="shared" si="38"/>
        <v/>
      </c>
      <c r="J238" s="1033"/>
      <c r="K238" s="1033"/>
      <c r="L238" s="1034" t="str">
        <f t="shared" si="39"/>
        <v/>
      </c>
      <c r="M238" s="1035"/>
      <c r="N238" s="1035"/>
      <c r="O238" s="1036" t="str">
        <f t="shared" si="40"/>
        <v/>
      </c>
      <c r="P238" s="1033"/>
      <c r="Q238" s="1033"/>
      <c r="R238" s="1034" t="str">
        <f t="shared" si="41"/>
        <v/>
      </c>
      <c r="S238" s="1035"/>
      <c r="T238" s="1035"/>
      <c r="U238" s="1034" t="str">
        <f t="shared" si="42"/>
        <v/>
      </c>
      <c r="V238" s="1035"/>
      <c r="W238" s="1035"/>
      <c r="X238" s="1037" t="str">
        <f t="shared" si="43"/>
        <v>1</v>
      </c>
      <c r="Y238" s="1035"/>
      <c r="Z238" s="1035">
        <f t="shared" si="32"/>
        <v>1</v>
      </c>
      <c r="AA238" s="1035"/>
      <c r="AB238" s="1035"/>
      <c r="AC238" s="1021">
        <v>110694</v>
      </c>
      <c r="AD238" s="1021" t="s">
        <v>714</v>
      </c>
      <c r="AE238" s="1022">
        <f>VLOOKUP(AC238,[5]Hoja1!$A$10:$K$1393,11,0)</f>
        <v>540048378</v>
      </c>
      <c r="AF238" s="1022"/>
      <c r="AG238" s="1022">
        <f t="shared" si="33"/>
        <v>540048378</v>
      </c>
      <c r="AH238" s="1189">
        <f t="shared" si="34"/>
        <v>540048</v>
      </c>
      <c r="AI238" s="445">
        <f>+AE238+AF238</f>
        <v>540048378</v>
      </c>
      <c r="AK238" s="448"/>
      <c r="AL238" s="445"/>
    </row>
    <row r="239" spans="1:38" s="467" customFormat="1" ht="12.75" customHeight="1">
      <c r="A239" s="1033"/>
      <c r="B239" s="1033"/>
      <c r="C239" s="1034" t="str">
        <f t="shared" si="36"/>
        <v/>
      </c>
      <c r="D239" s="1033"/>
      <c r="E239" s="1033"/>
      <c r="F239" s="1034" t="str">
        <f t="shared" si="37"/>
        <v/>
      </c>
      <c r="G239" s="1033"/>
      <c r="H239" s="1033"/>
      <c r="I239" s="1034" t="str">
        <f t="shared" si="38"/>
        <v/>
      </c>
      <c r="J239" s="1033"/>
      <c r="K239" s="1033"/>
      <c r="L239" s="1034" t="str">
        <f t="shared" si="39"/>
        <v/>
      </c>
      <c r="M239" s="1035"/>
      <c r="N239" s="1035"/>
      <c r="O239" s="1036" t="str">
        <f t="shared" si="40"/>
        <v/>
      </c>
      <c r="P239" s="1033"/>
      <c r="Q239" s="1033"/>
      <c r="R239" s="1034" t="str">
        <f t="shared" si="41"/>
        <v/>
      </c>
      <c r="S239" s="1035"/>
      <c r="T239" s="1035"/>
      <c r="U239" s="1034" t="str">
        <f t="shared" si="42"/>
        <v/>
      </c>
      <c r="V239" s="1035"/>
      <c r="W239" s="1035"/>
      <c r="X239" s="1037" t="str">
        <f t="shared" si="43"/>
        <v>1</v>
      </c>
      <c r="Y239" s="1035"/>
      <c r="Z239" s="1035">
        <f t="shared" si="32"/>
        <v>1</v>
      </c>
      <c r="AA239" s="1035"/>
      <c r="AB239" s="1035"/>
      <c r="AC239" s="1021">
        <v>110695</v>
      </c>
      <c r="AD239" s="1021" t="s">
        <v>715</v>
      </c>
      <c r="AE239" s="1022">
        <v>0</v>
      </c>
      <c r="AF239" s="1022"/>
      <c r="AG239" s="1022">
        <f t="shared" si="33"/>
        <v>0</v>
      </c>
      <c r="AH239" s="1022">
        <f t="shared" si="34"/>
        <v>0</v>
      </c>
      <c r="AK239" s="448"/>
      <c r="AL239" s="445"/>
    </row>
    <row r="240" spans="1:38" s="467" customFormat="1" ht="12.75" customHeight="1">
      <c r="A240" s="1033"/>
      <c r="B240" s="1033"/>
      <c r="C240" s="1034" t="str">
        <f t="shared" si="36"/>
        <v/>
      </c>
      <c r="D240" s="1033"/>
      <c r="E240" s="1033"/>
      <c r="F240" s="1034" t="str">
        <f t="shared" si="37"/>
        <v/>
      </c>
      <c r="G240" s="1033"/>
      <c r="H240" s="1033"/>
      <c r="I240" s="1034" t="str">
        <f t="shared" si="38"/>
        <v/>
      </c>
      <c r="J240" s="1033"/>
      <c r="K240" s="1033"/>
      <c r="L240" s="1034" t="str">
        <f t="shared" si="39"/>
        <v/>
      </c>
      <c r="M240" s="1035"/>
      <c r="N240" s="1035"/>
      <c r="O240" s="1036" t="str">
        <f t="shared" si="40"/>
        <v/>
      </c>
      <c r="P240" s="1033"/>
      <c r="Q240" s="1033"/>
      <c r="R240" s="1034" t="str">
        <f t="shared" si="41"/>
        <v/>
      </c>
      <c r="S240" s="1035"/>
      <c r="T240" s="1035"/>
      <c r="U240" s="1034" t="str">
        <f t="shared" si="42"/>
        <v/>
      </c>
      <c r="V240" s="1035"/>
      <c r="W240" s="1035"/>
      <c r="X240" s="1037" t="str">
        <f t="shared" si="43"/>
        <v>1</v>
      </c>
      <c r="Y240" s="1035"/>
      <c r="Z240" s="1035">
        <f t="shared" si="32"/>
        <v>1</v>
      </c>
      <c r="AA240" s="1035"/>
      <c r="AB240" s="1035"/>
      <c r="AC240" s="1021">
        <v>110696</v>
      </c>
      <c r="AD240" s="1021" t="s">
        <v>1998</v>
      </c>
      <c r="AE240" s="1022">
        <v>0</v>
      </c>
      <c r="AF240" s="1022"/>
      <c r="AG240" s="1022">
        <f t="shared" si="33"/>
        <v>0</v>
      </c>
      <c r="AH240" s="1022">
        <f t="shared" si="34"/>
        <v>0</v>
      </c>
      <c r="AK240" s="448"/>
      <c r="AL240" s="445"/>
    </row>
    <row r="241" spans="1:38" s="467" customFormat="1" ht="12.75" customHeight="1">
      <c r="A241" s="1033"/>
      <c r="B241" s="1033"/>
      <c r="C241" s="1034" t="str">
        <f t="shared" si="36"/>
        <v/>
      </c>
      <c r="D241" s="1033"/>
      <c r="E241" s="1033"/>
      <c r="F241" s="1034" t="str">
        <f t="shared" si="37"/>
        <v/>
      </c>
      <c r="G241" s="1033"/>
      <c r="H241" s="1033"/>
      <c r="I241" s="1034" t="str">
        <f t="shared" si="38"/>
        <v/>
      </c>
      <c r="J241" s="1033"/>
      <c r="K241" s="1033"/>
      <c r="L241" s="1034" t="str">
        <f t="shared" si="39"/>
        <v/>
      </c>
      <c r="M241" s="1035"/>
      <c r="N241" s="1035"/>
      <c r="O241" s="1036" t="str">
        <f t="shared" si="40"/>
        <v/>
      </c>
      <c r="P241" s="1033"/>
      <c r="Q241" s="1033"/>
      <c r="R241" s="1034" t="str">
        <f t="shared" si="41"/>
        <v/>
      </c>
      <c r="S241" s="1035"/>
      <c r="T241" s="1035"/>
      <c r="U241" s="1034" t="str">
        <f t="shared" si="42"/>
        <v/>
      </c>
      <c r="V241" s="1035"/>
      <c r="W241" s="1035"/>
      <c r="X241" s="1037" t="str">
        <f t="shared" si="43"/>
        <v>1</v>
      </c>
      <c r="Y241" s="1035"/>
      <c r="Z241" s="1035">
        <f t="shared" si="32"/>
        <v>1</v>
      </c>
      <c r="AA241" s="1035"/>
      <c r="AB241" s="1035"/>
      <c r="AC241" s="1021">
        <v>110697</v>
      </c>
      <c r="AD241" s="1021" t="s">
        <v>1999</v>
      </c>
      <c r="AE241" s="1022">
        <v>0</v>
      </c>
      <c r="AF241" s="1022"/>
      <c r="AG241" s="1022">
        <f t="shared" si="33"/>
        <v>0</v>
      </c>
      <c r="AH241" s="1022">
        <f t="shared" si="34"/>
        <v>0</v>
      </c>
      <c r="AK241" s="448"/>
      <c r="AL241" s="445"/>
    </row>
    <row r="242" spans="1:38" s="467" customFormat="1" ht="12.75" customHeight="1">
      <c r="A242" s="1033"/>
      <c r="B242" s="1033"/>
      <c r="C242" s="1034" t="str">
        <f t="shared" si="36"/>
        <v/>
      </c>
      <c r="D242" s="1033"/>
      <c r="E242" s="1033"/>
      <c r="F242" s="1034" t="str">
        <f t="shared" si="37"/>
        <v/>
      </c>
      <c r="G242" s="1033"/>
      <c r="H242" s="1033"/>
      <c r="I242" s="1034" t="str">
        <f t="shared" si="38"/>
        <v/>
      </c>
      <c r="J242" s="1033"/>
      <c r="K242" s="1033"/>
      <c r="L242" s="1034" t="str">
        <f t="shared" si="39"/>
        <v/>
      </c>
      <c r="M242" s="1035"/>
      <c r="N242" s="1035"/>
      <c r="O242" s="1036" t="str">
        <f t="shared" si="40"/>
        <v/>
      </c>
      <c r="P242" s="1033"/>
      <c r="Q242" s="1033"/>
      <c r="R242" s="1034" t="str">
        <f t="shared" si="41"/>
        <v/>
      </c>
      <c r="S242" s="1035"/>
      <c r="T242" s="1035"/>
      <c r="U242" s="1034" t="str">
        <f t="shared" si="42"/>
        <v/>
      </c>
      <c r="V242" s="1035"/>
      <c r="W242" s="1035"/>
      <c r="X242" s="1037" t="str">
        <f t="shared" si="43"/>
        <v>1</v>
      </c>
      <c r="Y242" s="1035"/>
      <c r="Z242" s="1035">
        <f t="shared" si="32"/>
        <v>1</v>
      </c>
      <c r="AA242" s="1035"/>
      <c r="AB242" s="1035"/>
      <c r="AC242" s="1021">
        <v>110698</v>
      </c>
      <c r="AD242" s="1021" t="s">
        <v>2000</v>
      </c>
      <c r="AE242" s="1022">
        <v>0</v>
      </c>
      <c r="AF242" s="1022"/>
      <c r="AG242" s="1022">
        <f t="shared" si="33"/>
        <v>0</v>
      </c>
      <c r="AH242" s="1022">
        <f t="shared" si="34"/>
        <v>0</v>
      </c>
      <c r="AJ242" s="445"/>
      <c r="AK242" s="448"/>
      <c r="AL242" s="445"/>
    </row>
    <row r="243" spans="1:38" s="467" customFormat="1" ht="12.75" customHeight="1">
      <c r="A243" s="1033">
        <v>5112000</v>
      </c>
      <c r="B243" s="1033" t="s">
        <v>2725</v>
      </c>
      <c r="C243" s="1034" t="str">
        <f t="shared" si="36"/>
        <v/>
      </c>
      <c r="D243" s="1033"/>
      <c r="E243" s="1033"/>
      <c r="F243" s="1034" t="str">
        <f t="shared" si="37"/>
        <v/>
      </c>
      <c r="G243" s="1033"/>
      <c r="H243" s="1033"/>
      <c r="I243" s="1034" t="str">
        <f t="shared" si="38"/>
        <v/>
      </c>
      <c r="J243" s="1033"/>
      <c r="K243" s="1033"/>
      <c r="L243" s="1034" t="str">
        <f t="shared" si="39"/>
        <v/>
      </c>
      <c r="M243" s="1035"/>
      <c r="N243" s="1035"/>
      <c r="O243" s="1036" t="str">
        <f t="shared" si="40"/>
        <v/>
      </c>
      <c r="P243" s="1033"/>
      <c r="Q243" s="1033"/>
      <c r="R243" s="1034" t="str">
        <f t="shared" si="41"/>
        <v/>
      </c>
      <c r="S243" s="1035"/>
      <c r="T243" s="1035"/>
      <c r="U243" s="1034" t="str">
        <f t="shared" si="42"/>
        <v/>
      </c>
      <c r="V243" s="1035"/>
      <c r="W243" s="1035"/>
      <c r="X243" s="1037" t="str">
        <f t="shared" si="43"/>
        <v>1</v>
      </c>
      <c r="Y243" s="1035"/>
      <c r="Z243" s="1035">
        <f t="shared" si="32"/>
        <v>1</v>
      </c>
      <c r="AA243" s="1035"/>
      <c r="AB243" s="1035"/>
      <c r="AC243" s="1021">
        <v>110699</v>
      </c>
      <c r="AD243" s="1021" t="s">
        <v>2977</v>
      </c>
      <c r="AE243" s="1022">
        <f>VLOOKUP(AC243,[5]Hoja1!$A$10:$K$1393,11,0)</f>
        <v>1482830000</v>
      </c>
      <c r="AF243" s="1022"/>
      <c r="AG243" s="1022">
        <f t="shared" si="33"/>
        <v>1482830000</v>
      </c>
      <c r="AH243" s="1195">
        <f t="shared" si="34"/>
        <v>1482830</v>
      </c>
      <c r="AK243" s="448"/>
      <c r="AL243" s="445"/>
    </row>
    <row r="244" spans="1:38" s="467" customFormat="1" ht="12.75" customHeight="1">
      <c r="A244" s="1033"/>
      <c r="B244" s="1033"/>
      <c r="C244" s="1034" t="str">
        <f t="shared" si="36"/>
        <v/>
      </c>
      <c r="D244" s="1033"/>
      <c r="E244" s="1033"/>
      <c r="F244" s="1034" t="str">
        <f t="shared" si="37"/>
        <v/>
      </c>
      <c r="G244" s="1033"/>
      <c r="H244" s="1033"/>
      <c r="I244" s="1034" t="str">
        <f t="shared" si="38"/>
        <v/>
      </c>
      <c r="J244" s="1033"/>
      <c r="K244" s="1033"/>
      <c r="L244" s="1034" t="str">
        <f t="shared" si="39"/>
        <v/>
      </c>
      <c r="M244" s="1035"/>
      <c r="N244" s="1035"/>
      <c r="O244" s="1036" t="str">
        <f t="shared" si="40"/>
        <v/>
      </c>
      <c r="P244" s="1033"/>
      <c r="Q244" s="1033"/>
      <c r="R244" s="1034" t="str">
        <f t="shared" si="41"/>
        <v/>
      </c>
      <c r="S244" s="1035"/>
      <c r="T244" s="1035"/>
      <c r="U244" s="1034" t="str">
        <f t="shared" si="42"/>
        <v/>
      </c>
      <c r="V244" s="1035"/>
      <c r="W244" s="1035"/>
      <c r="X244" s="1037" t="str">
        <f t="shared" si="43"/>
        <v>221</v>
      </c>
      <c r="Y244" s="1035">
        <v>22</v>
      </c>
      <c r="Z244" s="1035">
        <f t="shared" si="32"/>
        <v>1</v>
      </c>
      <c r="AA244" s="1035"/>
      <c r="AB244" s="1035"/>
      <c r="AC244" s="1021">
        <v>110700</v>
      </c>
      <c r="AD244" s="1021" t="s">
        <v>2001</v>
      </c>
      <c r="AE244" s="1022">
        <v>0</v>
      </c>
      <c r="AF244" s="1022"/>
      <c r="AG244" s="1022">
        <f t="shared" si="33"/>
        <v>0</v>
      </c>
      <c r="AH244" s="1022">
        <f t="shared" si="34"/>
        <v>0</v>
      </c>
      <c r="AK244" s="448"/>
      <c r="AL244" s="445"/>
    </row>
    <row r="245" spans="1:38" s="467" customFormat="1" ht="12.75" customHeight="1">
      <c r="A245" s="1033"/>
      <c r="B245" s="1033"/>
      <c r="C245" s="1034" t="str">
        <f t="shared" si="36"/>
        <v/>
      </c>
      <c r="D245" s="1033"/>
      <c r="E245" s="1033"/>
      <c r="F245" s="1034" t="str">
        <f t="shared" si="37"/>
        <v/>
      </c>
      <c r="G245" s="1033"/>
      <c r="H245" s="1033"/>
      <c r="I245" s="1034" t="str">
        <f t="shared" si="38"/>
        <v/>
      </c>
      <c r="J245" s="1033"/>
      <c r="K245" s="1033"/>
      <c r="L245" s="1034" t="str">
        <f t="shared" si="39"/>
        <v/>
      </c>
      <c r="M245" s="1035"/>
      <c r="N245" s="1035"/>
      <c r="O245" s="1036" t="str">
        <f t="shared" si="40"/>
        <v/>
      </c>
      <c r="P245" s="1033"/>
      <c r="Q245" s="1033"/>
      <c r="R245" s="1034" t="str">
        <f t="shared" si="41"/>
        <v/>
      </c>
      <c r="S245" s="1035"/>
      <c r="T245" s="1035"/>
      <c r="U245" s="1034" t="str">
        <f t="shared" si="42"/>
        <v/>
      </c>
      <c r="V245" s="1035"/>
      <c r="W245" s="1035"/>
      <c r="X245" s="1037" t="str">
        <f t="shared" si="43"/>
        <v>1</v>
      </c>
      <c r="Y245" s="1035"/>
      <c r="Z245" s="1035">
        <f t="shared" si="32"/>
        <v>1</v>
      </c>
      <c r="AA245" s="1035"/>
      <c r="AB245" s="1035"/>
      <c r="AC245" s="1021">
        <v>110701</v>
      </c>
      <c r="AD245" s="1021" t="s">
        <v>829</v>
      </c>
      <c r="AE245" s="1022">
        <v>0</v>
      </c>
      <c r="AF245" s="1022"/>
      <c r="AG245" s="1022">
        <f t="shared" si="33"/>
        <v>0</v>
      </c>
      <c r="AH245" s="1022">
        <f t="shared" si="34"/>
        <v>0</v>
      </c>
      <c r="AK245" s="448"/>
      <c r="AL245" s="445"/>
    </row>
    <row r="246" spans="1:38" s="467" customFormat="1" ht="12.75" customHeight="1">
      <c r="A246" s="1033"/>
      <c r="B246" s="1033"/>
      <c r="C246" s="1034" t="str">
        <f t="shared" si="36"/>
        <v/>
      </c>
      <c r="D246" s="1033"/>
      <c r="E246" s="1033"/>
      <c r="F246" s="1034" t="str">
        <f t="shared" si="37"/>
        <v/>
      </c>
      <c r="G246" s="1033"/>
      <c r="H246" s="1033"/>
      <c r="I246" s="1034" t="str">
        <f t="shared" si="38"/>
        <v/>
      </c>
      <c r="J246" s="1033"/>
      <c r="K246" s="1033"/>
      <c r="L246" s="1034" t="str">
        <f t="shared" si="39"/>
        <v/>
      </c>
      <c r="M246" s="1035"/>
      <c r="N246" s="1035"/>
      <c r="O246" s="1036" t="str">
        <f t="shared" si="40"/>
        <v/>
      </c>
      <c r="P246" s="1033"/>
      <c r="Q246" s="1033"/>
      <c r="R246" s="1034" t="str">
        <f t="shared" si="41"/>
        <v/>
      </c>
      <c r="S246" s="1035"/>
      <c r="T246" s="1035"/>
      <c r="U246" s="1034" t="str">
        <f t="shared" si="42"/>
        <v/>
      </c>
      <c r="V246" s="1035"/>
      <c r="W246" s="1035"/>
      <c r="X246" s="1037" t="str">
        <f t="shared" si="43"/>
        <v>1</v>
      </c>
      <c r="Y246" s="1035"/>
      <c r="Z246" s="1035">
        <f t="shared" si="32"/>
        <v>1</v>
      </c>
      <c r="AA246" s="1035"/>
      <c r="AB246" s="1035"/>
      <c r="AC246" s="1021">
        <v>110702</v>
      </c>
      <c r="AD246" s="1021" t="s">
        <v>830</v>
      </c>
      <c r="AE246" s="1022">
        <v>0</v>
      </c>
      <c r="AF246" s="1022"/>
      <c r="AG246" s="1022">
        <f t="shared" si="33"/>
        <v>0</v>
      </c>
      <c r="AH246" s="1022">
        <f t="shared" si="34"/>
        <v>0</v>
      </c>
      <c r="AK246" s="448"/>
      <c r="AL246" s="445"/>
    </row>
    <row r="247" spans="1:38" s="467" customFormat="1" ht="12.75" customHeight="1">
      <c r="A247" s="1033"/>
      <c r="B247" s="1033"/>
      <c r="C247" s="1034" t="str">
        <f t="shared" si="36"/>
        <v/>
      </c>
      <c r="D247" s="1033"/>
      <c r="E247" s="1033"/>
      <c r="F247" s="1034" t="str">
        <f t="shared" si="37"/>
        <v/>
      </c>
      <c r="G247" s="1033"/>
      <c r="H247" s="1033"/>
      <c r="I247" s="1034" t="str">
        <f t="shared" si="38"/>
        <v/>
      </c>
      <c r="J247" s="1033"/>
      <c r="K247" s="1033"/>
      <c r="L247" s="1034" t="str">
        <f t="shared" si="39"/>
        <v/>
      </c>
      <c r="M247" s="1035"/>
      <c r="N247" s="1035"/>
      <c r="O247" s="1036" t="str">
        <f t="shared" si="40"/>
        <v/>
      </c>
      <c r="P247" s="1033"/>
      <c r="Q247" s="1033"/>
      <c r="R247" s="1034" t="str">
        <f t="shared" si="41"/>
        <v/>
      </c>
      <c r="S247" s="1035"/>
      <c r="T247" s="1035"/>
      <c r="U247" s="1034" t="str">
        <f t="shared" si="42"/>
        <v/>
      </c>
      <c r="V247" s="1035"/>
      <c r="W247" s="1035"/>
      <c r="X247" s="1037" t="str">
        <f t="shared" si="43"/>
        <v>1</v>
      </c>
      <c r="Y247" s="1035"/>
      <c r="Z247" s="1035">
        <f t="shared" si="32"/>
        <v>1</v>
      </c>
      <c r="AA247" s="1035"/>
      <c r="AB247" s="1035"/>
      <c r="AC247" s="1021">
        <v>110703</v>
      </c>
      <c r="AD247" s="1021" t="s">
        <v>1777</v>
      </c>
      <c r="AE247" s="1022">
        <v>0</v>
      </c>
      <c r="AF247" s="1022"/>
      <c r="AG247" s="1022">
        <f t="shared" si="33"/>
        <v>0</v>
      </c>
      <c r="AH247" s="1022">
        <f t="shared" si="34"/>
        <v>0</v>
      </c>
      <c r="AK247" s="448"/>
      <c r="AL247" s="445"/>
    </row>
    <row r="248" spans="1:38" s="467" customFormat="1" ht="12.75" customHeight="1">
      <c r="A248" s="1033"/>
      <c r="B248" s="1033"/>
      <c r="C248" s="1034" t="str">
        <f t="shared" si="36"/>
        <v/>
      </c>
      <c r="D248" s="1033"/>
      <c r="E248" s="1033"/>
      <c r="F248" s="1034" t="str">
        <f t="shared" si="37"/>
        <v/>
      </c>
      <c r="G248" s="1033"/>
      <c r="H248" s="1033"/>
      <c r="I248" s="1034" t="str">
        <f t="shared" si="38"/>
        <v/>
      </c>
      <c r="J248" s="1033"/>
      <c r="K248" s="1033"/>
      <c r="L248" s="1034" t="str">
        <f t="shared" si="39"/>
        <v/>
      </c>
      <c r="M248" s="1035"/>
      <c r="N248" s="1035"/>
      <c r="O248" s="1036" t="str">
        <f t="shared" si="40"/>
        <v/>
      </c>
      <c r="P248" s="1033"/>
      <c r="Q248" s="1033"/>
      <c r="R248" s="1034" t="str">
        <f t="shared" si="41"/>
        <v/>
      </c>
      <c r="S248" s="1035"/>
      <c r="T248" s="1035"/>
      <c r="U248" s="1034" t="str">
        <f t="shared" si="42"/>
        <v/>
      </c>
      <c r="V248" s="1035"/>
      <c r="W248" s="1035"/>
      <c r="X248" s="1037" t="str">
        <f t="shared" si="43"/>
        <v>1</v>
      </c>
      <c r="Y248" s="1035"/>
      <c r="Z248" s="1035">
        <f t="shared" si="32"/>
        <v>1</v>
      </c>
      <c r="AA248" s="1035"/>
      <c r="AB248" s="1035"/>
      <c r="AC248" s="1021">
        <v>110704</v>
      </c>
      <c r="AD248" s="1021" t="s">
        <v>1778</v>
      </c>
      <c r="AE248" s="1022">
        <v>0</v>
      </c>
      <c r="AF248" s="1022"/>
      <c r="AG248" s="1022">
        <f t="shared" si="33"/>
        <v>0</v>
      </c>
      <c r="AH248" s="1022">
        <f t="shared" si="34"/>
        <v>0</v>
      </c>
      <c r="AK248" s="448"/>
      <c r="AL248" s="445"/>
    </row>
    <row r="249" spans="1:38" s="467" customFormat="1" ht="12.75" customHeight="1">
      <c r="A249" s="1033"/>
      <c r="B249" s="1033"/>
      <c r="C249" s="1034" t="str">
        <f t="shared" si="36"/>
        <v/>
      </c>
      <c r="D249" s="1033"/>
      <c r="E249" s="1033"/>
      <c r="F249" s="1034" t="str">
        <f t="shared" si="37"/>
        <v/>
      </c>
      <c r="G249" s="1033"/>
      <c r="H249" s="1033"/>
      <c r="I249" s="1034" t="str">
        <f t="shared" si="38"/>
        <v/>
      </c>
      <c r="J249" s="1033"/>
      <c r="K249" s="1033"/>
      <c r="L249" s="1034" t="str">
        <f t="shared" si="39"/>
        <v/>
      </c>
      <c r="M249" s="1035"/>
      <c r="N249" s="1035"/>
      <c r="O249" s="1036" t="str">
        <f t="shared" si="40"/>
        <v/>
      </c>
      <c r="P249" s="1033"/>
      <c r="Q249" s="1033"/>
      <c r="R249" s="1034" t="str">
        <f t="shared" si="41"/>
        <v/>
      </c>
      <c r="S249" s="1035"/>
      <c r="T249" s="1035"/>
      <c r="U249" s="1034" t="str">
        <f t="shared" si="42"/>
        <v/>
      </c>
      <c r="V249" s="1035"/>
      <c r="W249" s="1035"/>
      <c r="X249" s="1037" t="str">
        <f t="shared" si="43"/>
        <v>1</v>
      </c>
      <c r="Y249" s="1035"/>
      <c r="Z249" s="1035">
        <f t="shared" si="32"/>
        <v>1</v>
      </c>
      <c r="AA249" s="1035"/>
      <c r="AB249" s="1035"/>
      <c r="AC249" s="1021">
        <v>110705</v>
      </c>
      <c r="AD249" s="1021" t="s">
        <v>1779</v>
      </c>
      <c r="AE249" s="1022">
        <v>0</v>
      </c>
      <c r="AF249" s="1022"/>
      <c r="AG249" s="1022">
        <f t="shared" si="33"/>
        <v>0</v>
      </c>
      <c r="AH249" s="1022">
        <f t="shared" si="34"/>
        <v>0</v>
      </c>
      <c r="AK249" s="448"/>
      <c r="AL249" s="445"/>
    </row>
    <row r="250" spans="1:38" s="467" customFormat="1" ht="12.75" customHeight="1">
      <c r="A250" s="1033"/>
      <c r="B250" s="1033"/>
      <c r="C250" s="1034" t="str">
        <f t="shared" si="36"/>
        <v/>
      </c>
      <c r="D250" s="1033"/>
      <c r="E250" s="1033"/>
      <c r="F250" s="1034" t="str">
        <f t="shared" si="37"/>
        <v/>
      </c>
      <c r="G250" s="1033"/>
      <c r="H250" s="1033"/>
      <c r="I250" s="1034" t="str">
        <f t="shared" si="38"/>
        <v/>
      </c>
      <c r="J250" s="1033"/>
      <c r="K250" s="1033"/>
      <c r="L250" s="1034" t="str">
        <f t="shared" si="39"/>
        <v/>
      </c>
      <c r="M250" s="1035"/>
      <c r="N250" s="1035"/>
      <c r="O250" s="1036" t="str">
        <f t="shared" si="40"/>
        <v/>
      </c>
      <c r="P250" s="1033"/>
      <c r="Q250" s="1033"/>
      <c r="R250" s="1034" t="str">
        <f t="shared" si="41"/>
        <v/>
      </c>
      <c r="S250" s="1035"/>
      <c r="T250" s="1035"/>
      <c r="U250" s="1034" t="str">
        <f t="shared" si="42"/>
        <v/>
      </c>
      <c r="V250" s="1035"/>
      <c r="W250" s="1035"/>
      <c r="X250" s="1037" t="str">
        <f t="shared" si="43"/>
        <v>1</v>
      </c>
      <c r="Y250" s="1035"/>
      <c r="Z250" s="1035">
        <f t="shared" si="32"/>
        <v>1</v>
      </c>
      <c r="AA250" s="1035"/>
      <c r="AB250" s="1035"/>
      <c r="AC250" s="1021">
        <v>110706</v>
      </c>
      <c r="AD250" s="1021" t="s">
        <v>1780</v>
      </c>
      <c r="AE250" s="1022">
        <v>0</v>
      </c>
      <c r="AF250" s="1022"/>
      <c r="AG250" s="1022">
        <f t="shared" si="33"/>
        <v>0</v>
      </c>
      <c r="AH250" s="1022">
        <f t="shared" si="34"/>
        <v>0</v>
      </c>
      <c r="AK250" s="448"/>
      <c r="AL250" s="445"/>
    </row>
    <row r="251" spans="1:38" s="467" customFormat="1" ht="12.75" customHeight="1">
      <c r="A251" s="1033"/>
      <c r="B251" s="1033"/>
      <c r="C251" s="1034" t="str">
        <f t="shared" si="36"/>
        <v/>
      </c>
      <c r="D251" s="1033"/>
      <c r="E251" s="1033"/>
      <c r="F251" s="1034" t="str">
        <f t="shared" si="37"/>
        <v/>
      </c>
      <c r="G251" s="1033"/>
      <c r="H251" s="1033"/>
      <c r="I251" s="1034" t="str">
        <f t="shared" si="38"/>
        <v/>
      </c>
      <c r="J251" s="1033"/>
      <c r="K251" s="1033"/>
      <c r="L251" s="1034" t="str">
        <f t="shared" si="39"/>
        <v/>
      </c>
      <c r="M251" s="1035"/>
      <c r="N251" s="1035"/>
      <c r="O251" s="1036" t="str">
        <f t="shared" si="40"/>
        <v/>
      </c>
      <c r="P251" s="1033"/>
      <c r="Q251" s="1033"/>
      <c r="R251" s="1034" t="str">
        <f t="shared" si="41"/>
        <v/>
      </c>
      <c r="S251" s="1035"/>
      <c r="T251" s="1035"/>
      <c r="U251" s="1034" t="str">
        <f t="shared" si="42"/>
        <v/>
      </c>
      <c r="V251" s="1035"/>
      <c r="W251" s="1035"/>
      <c r="X251" s="1037" t="str">
        <f t="shared" si="43"/>
        <v>1</v>
      </c>
      <c r="Y251" s="1035"/>
      <c r="Z251" s="1035">
        <f t="shared" si="32"/>
        <v>1</v>
      </c>
      <c r="AA251" s="1035"/>
      <c r="AB251" s="1035"/>
      <c r="AC251" s="1021">
        <v>110707</v>
      </c>
      <c r="AD251" s="1021" t="s">
        <v>2002</v>
      </c>
      <c r="AE251" s="1022">
        <v>0</v>
      </c>
      <c r="AF251" s="1022"/>
      <c r="AG251" s="1022">
        <f t="shared" si="33"/>
        <v>0</v>
      </c>
      <c r="AH251" s="1022">
        <f t="shared" si="34"/>
        <v>0</v>
      </c>
      <c r="AK251" s="448"/>
      <c r="AL251" s="445"/>
    </row>
    <row r="252" spans="1:38" s="467" customFormat="1" ht="12.75" customHeight="1">
      <c r="A252" s="1033"/>
      <c r="B252" s="1033"/>
      <c r="C252" s="1034" t="str">
        <f t="shared" si="36"/>
        <v/>
      </c>
      <c r="D252" s="1033"/>
      <c r="E252" s="1033"/>
      <c r="F252" s="1034" t="str">
        <f t="shared" si="37"/>
        <v/>
      </c>
      <c r="G252" s="1033"/>
      <c r="H252" s="1033"/>
      <c r="I252" s="1034" t="str">
        <f t="shared" si="38"/>
        <v/>
      </c>
      <c r="J252" s="1033"/>
      <c r="K252" s="1033"/>
      <c r="L252" s="1034" t="str">
        <f t="shared" si="39"/>
        <v/>
      </c>
      <c r="M252" s="1035"/>
      <c r="N252" s="1035"/>
      <c r="O252" s="1036" t="str">
        <f t="shared" si="40"/>
        <v/>
      </c>
      <c r="P252" s="1033"/>
      <c r="Q252" s="1033"/>
      <c r="R252" s="1034" t="str">
        <f t="shared" si="41"/>
        <v/>
      </c>
      <c r="S252" s="1035"/>
      <c r="T252" s="1035"/>
      <c r="U252" s="1034" t="str">
        <f t="shared" si="42"/>
        <v/>
      </c>
      <c r="V252" s="1035"/>
      <c r="W252" s="1035"/>
      <c r="X252" s="1037" t="str">
        <f t="shared" si="43"/>
        <v>1</v>
      </c>
      <c r="Y252" s="1035"/>
      <c r="Z252" s="1035">
        <f t="shared" si="32"/>
        <v>1</v>
      </c>
      <c r="AA252" s="1035"/>
      <c r="AB252" s="1035"/>
      <c r="AC252" s="1021">
        <v>110708</v>
      </c>
      <c r="AD252" s="1021" t="s">
        <v>1718</v>
      </c>
      <c r="AE252" s="1022">
        <v>0</v>
      </c>
      <c r="AF252" s="1022"/>
      <c r="AG252" s="1022">
        <f t="shared" si="33"/>
        <v>0</v>
      </c>
      <c r="AH252" s="1022">
        <f t="shared" si="34"/>
        <v>0</v>
      </c>
      <c r="AJ252" s="491"/>
      <c r="AK252" s="448"/>
      <c r="AL252" s="445"/>
    </row>
    <row r="253" spans="1:38" s="467" customFormat="1" ht="12.75" customHeight="1">
      <c r="A253" s="1033"/>
      <c r="B253" s="1033"/>
      <c r="C253" s="1034" t="str">
        <f t="shared" si="36"/>
        <v/>
      </c>
      <c r="D253" s="1033"/>
      <c r="E253" s="1033"/>
      <c r="F253" s="1034" t="str">
        <f t="shared" si="37"/>
        <v/>
      </c>
      <c r="G253" s="1033"/>
      <c r="H253" s="1033"/>
      <c r="I253" s="1034" t="str">
        <f t="shared" si="38"/>
        <v/>
      </c>
      <c r="J253" s="1033"/>
      <c r="K253" s="1033"/>
      <c r="L253" s="1034" t="str">
        <f t="shared" si="39"/>
        <v/>
      </c>
      <c r="M253" s="1035"/>
      <c r="N253" s="1035"/>
      <c r="O253" s="1036" t="str">
        <f t="shared" si="40"/>
        <v/>
      </c>
      <c r="P253" s="1033"/>
      <c r="Q253" s="1033"/>
      <c r="R253" s="1034" t="str">
        <f t="shared" si="41"/>
        <v/>
      </c>
      <c r="S253" s="1035"/>
      <c r="T253" s="1035"/>
      <c r="U253" s="1034" t="str">
        <f t="shared" si="42"/>
        <v/>
      </c>
      <c r="V253" s="1035"/>
      <c r="W253" s="1035"/>
      <c r="X253" s="1037" t="str">
        <f t="shared" si="43"/>
        <v>1</v>
      </c>
      <c r="Y253" s="1035"/>
      <c r="Z253" s="1035">
        <f t="shared" si="32"/>
        <v>1</v>
      </c>
      <c r="AA253" s="1035"/>
      <c r="AB253" s="1035"/>
      <c r="AC253" s="1021">
        <v>110709</v>
      </c>
      <c r="AD253" s="1021" t="s">
        <v>1440</v>
      </c>
      <c r="AE253" s="1022">
        <v>0</v>
      </c>
      <c r="AF253" s="1022"/>
      <c r="AG253" s="1022">
        <f t="shared" si="33"/>
        <v>0</v>
      </c>
      <c r="AH253" s="1022">
        <f t="shared" si="34"/>
        <v>0</v>
      </c>
      <c r="AJ253" s="491"/>
      <c r="AK253" s="448"/>
      <c r="AL253" s="445"/>
    </row>
    <row r="254" spans="1:38" s="467" customFormat="1" ht="12.75" customHeight="1">
      <c r="A254" s="1033"/>
      <c r="B254" s="1033"/>
      <c r="C254" s="1034" t="str">
        <f>+D254&amp;E254</f>
        <v/>
      </c>
      <c r="D254" s="1033"/>
      <c r="E254" s="1033"/>
      <c r="F254" s="1034" t="str">
        <f>+G254&amp;H254</f>
        <v/>
      </c>
      <c r="G254" s="1033"/>
      <c r="H254" s="1033"/>
      <c r="I254" s="1034" t="str">
        <f>+J254&amp;K254</f>
        <v/>
      </c>
      <c r="J254" s="1033"/>
      <c r="K254" s="1033"/>
      <c r="L254" s="1034" t="str">
        <f>+M254&amp;N254</f>
        <v/>
      </c>
      <c r="M254" s="1035"/>
      <c r="N254" s="1035"/>
      <c r="O254" s="1036" t="str">
        <f>+P254&amp;Q254</f>
        <v/>
      </c>
      <c r="P254" s="1033"/>
      <c r="Q254" s="1033"/>
      <c r="R254" s="1034" t="str">
        <f>+S254&amp;T254</f>
        <v/>
      </c>
      <c r="S254" s="1035"/>
      <c r="T254" s="1035"/>
      <c r="U254" s="1034" t="str">
        <f>+V254&amp;W254</f>
        <v/>
      </c>
      <c r="V254" s="1035"/>
      <c r="W254" s="1035"/>
      <c r="X254" s="1037" t="str">
        <f t="shared" si="43"/>
        <v>221</v>
      </c>
      <c r="Y254" s="1035">
        <v>22</v>
      </c>
      <c r="Z254" s="1035">
        <f t="shared" si="32"/>
        <v>1</v>
      </c>
      <c r="AA254" s="1035"/>
      <c r="AB254" s="1035"/>
      <c r="AC254" s="1021">
        <v>110710</v>
      </c>
      <c r="AD254" s="1021" t="s">
        <v>222</v>
      </c>
      <c r="AE254" s="1022">
        <f>VLOOKUP(AC254,[5]Hoja1!$A$10:$K$1393,11,0)</f>
        <v>0</v>
      </c>
      <c r="AF254" s="1022"/>
      <c r="AG254" s="1022">
        <f t="shared" si="33"/>
        <v>0</v>
      </c>
      <c r="AH254" s="1022">
        <f t="shared" si="34"/>
        <v>0</v>
      </c>
      <c r="AK254" s="448"/>
      <c r="AL254" s="445"/>
    </row>
    <row r="255" spans="1:38" s="467" customFormat="1" ht="12.75" customHeight="1">
      <c r="A255" s="1033"/>
      <c r="B255" s="1033"/>
      <c r="C255" s="1034"/>
      <c r="D255" s="1033"/>
      <c r="E255" s="1033"/>
      <c r="F255" s="1034"/>
      <c r="G255" s="1033"/>
      <c r="H255" s="1033"/>
      <c r="I255" s="1034"/>
      <c r="J255" s="1033"/>
      <c r="K255" s="1033"/>
      <c r="L255" s="1034"/>
      <c r="M255" s="1035"/>
      <c r="N255" s="1035"/>
      <c r="O255" s="1036"/>
      <c r="P255" s="1033"/>
      <c r="Q255" s="1033"/>
      <c r="R255" s="1034"/>
      <c r="S255" s="1035"/>
      <c r="T255" s="1035"/>
      <c r="U255" s="1034"/>
      <c r="V255" s="1035"/>
      <c r="W255" s="1035"/>
      <c r="X255" s="1037"/>
      <c r="Y255" s="1035"/>
      <c r="Z255" s="1035">
        <f t="shared" si="32"/>
        <v>1</v>
      </c>
      <c r="AA255" s="1035"/>
      <c r="AB255" s="1035"/>
      <c r="AC255" s="1021">
        <v>110715</v>
      </c>
      <c r="AD255" s="1021" t="s">
        <v>2003</v>
      </c>
      <c r="AE255" s="1022">
        <v>0</v>
      </c>
      <c r="AF255" s="1022"/>
      <c r="AG255" s="1022">
        <f t="shared" si="33"/>
        <v>0</v>
      </c>
      <c r="AH255" s="1022">
        <f t="shared" si="34"/>
        <v>0</v>
      </c>
      <c r="AK255" s="448"/>
      <c r="AL255" s="445"/>
    </row>
    <row r="256" spans="1:38" s="467" customFormat="1" ht="12.75" customHeight="1">
      <c r="A256" s="1033"/>
      <c r="B256" s="1033"/>
      <c r="C256" s="1034"/>
      <c r="D256" s="1033"/>
      <c r="E256" s="1033"/>
      <c r="F256" s="1034"/>
      <c r="G256" s="1033"/>
      <c r="H256" s="1033"/>
      <c r="I256" s="1034"/>
      <c r="J256" s="1033"/>
      <c r="K256" s="1033"/>
      <c r="L256" s="1034"/>
      <c r="M256" s="1035"/>
      <c r="N256" s="1035"/>
      <c r="O256" s="1036"/>
      <c r="P256" s="1033"/>
      <c r="Q256" s="1033"/>
      <c r="R256" s="1034"/>
      <c r="S256" s="1035"/>
      <c r="T256" s="1035"/>
      <c r="U256" s="1034"/>
      <c r="V256" s="1035"/>
      <c r="W256" s="1035"/>
      <c r="X256" s="1037"/>
      <c r="Y256" s="1035"/>
      <c r="Z256" s="1035">
        <f t="shared" si="32"/>
        <v>1</v>
      </c>
      <c r="AA256" s="1035"/>
      <c r="AB256" s="1035"/>
      <c r="AC256" s="1021">
        <v>110730</v>
      </c>
      <c r="AD256" s="1021" t="s">
        <v>910</v>
      </c>
      <c r="AE256" s="1022">
        <v>0</v>
      </c>
      <c r="AF256" s="1022"/>
      <c r="AG256" s="1022">
        <f t="shared" si="33"/>
        <v>0</v>
      </c>
      <c r="AH256" s="1022">
        <f t="shared" si="34"/>
        <v>0</v>
      </c>
      <c r="AK256" s="448"/>
      <c r="AL256" s="445"/>
    </row>
    <row r="257" spans="1:38" s="467" customFormat="1" ht="12.75" customHeight="1">
      <c r="A257" s="1033"/>
      <c r="B257" s="1033"/>
      <c r="C257" s="1034"/>
      <c r="D257" s="1033"/>
      <c r="E257" s="1033"/>
      <c r="F257" s="1034"/>
      <c r="G257" s="1033"/>
      <c r="H257" s="1033"/>
      <c r="I257" s="1034"/>
      <c r="J257" s="1033"/>
      <c r="K257" s="1033"/>
      <c r="L257" s="1034"/>
      <c r="M257" s="1035"/>
      <c r="N257" s="1035"/>
      <c r="O257" s="1036"/>
      <c r="P257" s="1033"/>
      <c r="Q257" s="1033"/>
      <c r="R257" s="1034"/>
      <c r="S257" s="1035"/>
      <c r="T257" s="1035"/>
      <c r="U257" s="1034"/>
      <c r="V257" s="1035"/>
      <c r="W257" s="1035"/>
      <c r="X257" s="1037"/>
      <c r="Y257" s="1035"/>
      <c r="Z257" s="1035">
        <f t="shared" si="32"/>
        <v>1</v>
      </c>
      <c r="AA257" s="1035"/>
      <c r="AB257" s="1035"/>
      <c r="AC257" s="1021">
        <v>110731</v>
      </c>
      <c r="AD257" s="1021" t="s">
        <v>911</v>
      </c>
      <c r="AE257" s="1022">
        <v>0</v>
      </c>
      <c r="AF257" s="1022"/>
      <c r="AG257" s="1022">
        <f t="shared" si="33"/>
        <v>0</v>
      </c>
      <c r="AH257" s="1022">
        <f t="shared" si="34"/>
        <v>0</v>
      </c>
      <c r="AK257" s="448"/>
      <c r="AL257" s="445"/>
    </row>
    <row r="258" spans="1:38" s="467" customFormat="1" ht="12.75" customHeight="1">
      <c r="A258" s="1033">
        <v>5115000</v>
      </c>
      <c r="B258" s="1033" t="s">
        <v>2729</v>
      </c>
      <c r="C258" s="1034"/>
      <c r="D258" s="1033"/>
      <c r="E258" s="1033"/>
      <c r="F258" s="1034"/>
      <c r="G258" s="1033"/>
      <c r="H258" s="1033"/>
      <c r="I258" s="1034"/>
      <c r="J258" s="1033"/>
      <c r="K258" s="1033"/>
      <c r="L258" s="1034"/>
      <c r="M258" s="1035"/>
      <c r="N258" s="1035"/>
      <c r="O258" s="1036"/>
      <c r="P258" s="1033"/>
      <c r="Q258" s="1033"/>
      <c r="R258" s="1034"/>
      <c r="S258" s="1035"/>
      <c r="T258" s="1035"/>
      <c r="U258" s="1034"/>
      <c r="V258" s="1035"/>
      <c r="W258" s="1035"/>
      <c r="X258" s="1037"/>
      <c r="Y258" s="1035"/>
      <c r="Z258" s="1035">
        <f t="shared" si="32"/>
        <v>1</v>
      </c>
      <c r="AA258" s="1035"/>
      <c r="AB258" s="1035"/>
      <c r="AC258" s="1021">
        <v>110751</v>
      </c>
      <c r="AD258" s="1021" t="s">
        <v>2004</v>
      </c>
      <c r="AE258" s="1022">
        <f>VLOOKUP(AC258,[5]Hoja1!$A$10:$K$1393,11,0)</f>
        <v>0</v>
      </c>
      <c r="AF258" s="1022">
        <v>0</v>
      </c>
      <c r="AG258" s="1022">
        <f t="shared" si="33"/>
        <v>0</v>
      </c>
      <c r="AH258" s="1189">
        <f t="shared" si="34"/>
        <v>0</v>
      </c>
      <c r="AK258" s="448"/>
      <c r="AL258" s="445"/>
    </row>
    <row r="259" spans="1:38" s="467" customFormat="1" ht="12.75" customHeight="1">
      <c r="A259" s="1033">
        <v>5115000</v>
      </c>
      <c r="B259" s="1033" t="s">
        <v>2729</v>
      </c>
      <c r="C259" s="1034"/>
      <c r="D259" s="1033"/>
      <c r="E259" s="1033"/>
      <c r="F259" s="1034"/>
      <c r="G259" s="1033"/>
      <c r="H259" s="1033"/>
      <c r="I259" s="1034"/>
      <c r="J259" s="1033"/>
      <c r="K259" s="1033"/>
      <c r="L259" s="1034"/>
      <c r="M259" s="1035"/>
      <c r="N259" s="1035"/>
      <c r="O259" s="1036"/>
      <c r="P259" s="1033"/>
      <c r="Q259" s="1033"/>
      <c r="R259" s="1034"/>
      <c r="S259" s="1035"/>
      <c r="T259" s="1035"/>
      <c r="U259" s="1034"/>
      <c r="V259" s="1035"/>
      <c r="W259" s="1035"/>
      <c r="X259" s="1037"/>
      <c r="Y259" s="1035"/>
      <c r="Z259" s="1035">
        <f t="shared" si="32"/>
        <v>1</v>
      </c>
      <c r="AA259" s="1035"/>
      <c r="AB259" s="1035"/>
      <c r="AC259" s="1021">
        <v>110752</v>
      </c>
      <c r="AD259" s="1021" t="s">
        <v>2005</v>
      </c>
      <c r="AE259" s="1022">
        <f>VLOOKUP(AC259,[5]Hoja1!$A$10:$K$1393,11,0)</f>
        <v>0</v>
      </c>
      <c r="AF259" s="1022"/>
      <c r="AG259" s="1022">
        <f t="shared" si="33"/>
        <v>0</v>
      </c>
      <c r="AH259" s="1189">
        <f t="shared" si="34"/>
        <v>0</v>
      </c>
      <c r="AK259" s="448"/>
      <c r="AL259" s="445"/>
    </row>
    <row r="260" spans="1:38" s="467" customFormat="1" ht="12.75" customHeight="1">
      <c r="A260" s="1033">
        <v>5115000</v>
      </c>
      <c r="B260" s="1033" t="s">
        <v>2729</v>
      </c>
      <c r="C260" s="1034"/>
      <c r="D260" s="1033"/>
      <c r="E260" s="1033"/>
      <c r="F260" s="1034"/>
      <c r="G260" s="1033"/>
      <c r="H260" s="1033"/>
      <c r="I260" s="1034"/>
      <c r="J260" s="1033"/>
      <c r="K260" s="1033"/>
      <c r="L260" s="1034"/>
      <c r="M260" s="1035"/>
      <c r="N260" s="1035"/>
      <c r="O260" s="1036"/>
      <c r="P260" s="1033"/>
      <c r="Q260" s="1033"/>
      <c r="R260" s="1034"/>
      <c r="S260" s="1035"/>
      <c r="T260" s="1035"/>
      <c r="U260" s="1034"/>
      <c r="V260" s="1035"/>
      <c r="W260" s="1035"/>
      <c r="X260" s="1037"/>
      <c r="Y260" s="1035"/>
      <c r="Z260" s="1035">
        <f t="shared" si="32"/>
        <v>1</v>
      </c>
      <c r="AA260" s="1035"/>
      <c r="AB260" s="1035"/>
      <c r="AC260" s="1021">
        <v>110753</v>
      </c>
      <c r="AD260" s="1021" t="s">
        <v>2006</v>
      </c>
      <c r="AE260" s="1022">
        <f>VLOOKUP(AC260,[5]Hoja1!$A$10:$K$1393,11,0)</f>
        <v>0</v>
      </c>
      <c r="AF260" s="1022"/>
      <c r="AG260" s="1022">
        <f t="shared" si="33"/>
        <v>0</v>
      </c>
      <c r="AH260" s="1189">
        <f t="shared" si="34"/>
        <v>0</v>
      </c>
      <c r="AK260" s="448"/>
      <c r="AL260" s="445"/>
    </row>
    <row r="261" spans="1:38" s="467" customFormat="1" ht="12.75" customHeight="1">
      <c r="A261" s="1033">
        <v>5112000</v>
      </c>
      <c r="B261" s="1033" t="s">
        <v>2725</v>
      </c>
      <c r="C261" s="1034"/>
      <c r="D261" s="1033"/>
      <c r="E261" s="1033"/>
      <c r="F261" s="1034"/>
      <c r="G261" s="1033"/>
      <c r="H261" s="1033"/>
      <c r="I261" s="1034"/>
      <c r="J261" s="1033"/>
      <c r="K261" s="1033"/>
      <c r="L261" s="1034"/>
      <c r="M261" s="1035"/>
      <c r="N261" s="1035"/>
      <c r="O261" s="1036"/>
      <c r="P261" s="1033"/>
      <c r="Q261" s="1033"/>
      <c r="R261" s="1034"/>
      <c r="S261" s="1035"/>
      <c r="T261" s="1035"/>
      <c r="U261" s="1034"/>
      <c r="V261" s="1035"/>
      <c r="W261" s="1035"/>
      <c r="X261" s="1037"/>
      <c r="Y261" s="1035"/>
      <c r="Z261" s="1035">
        <f t="shared" si="32"/>
        <v>1</v>
      </c>
      <c r="AA261" s="1035"/>
      <c r="AB261" s="1035"/>
      <c r="AC261" s="1021">
        <v>110754</v>
      </c>
      <c r="AD261" s="27" t="s">
        <v>2976</v>
      </c>
      <c r="AE261" s="1022">
        <f>VLOOKUP(AC261,[5]Hoja1!$A$10:$K$1393,11,0)</f>
        <v>-25192752</v>
      </c>
      <c r="AF261" s="1022"/>
      <c r="AG261" s="1022">
        <f t="shared" si="33"/>
        <v>-25192752</v>
      </c>
      <c r="AH261" s="1195">
        <f t="shared" si="34"/>
        <v>-25193</v>
      </c>
      <c r="AK261" s="448"/>
      <c r="AL261" s="445"/>
    </row>
    <row r="262" spans="1:38" s="467" customFormat="1" ht="12.75" customHeight="1">
      <c r="A262" s="1033">
        <v>5112000</v>
      </c>
      <c r="B262" s="1033" t="s">
        <v>2725</v>
      </c>
      <c r="C262" s="1034"/>
      <c r="D262" s="1033"/>
      <c r="E262" s="1033"/>
      <c r="F262" s="1034"/>
      <c r="G262" s="1033"/>
      <c r="H262" s="1033"/>
      <c r="I262" s="1034"/>
      <c r="J262" s="1033"/>
      <c r="K262" s="1033"/>
      <c r="L262" s="1034"/>
      <c r="M262" s="1035"/>
      <c r="N262" s="1035"/>
      <c r="O262" s="1036"/>
      <c r="P262" s="1033"/>
      <c r="Q262" s="1033"/>
      <c r="R262" s="1034"/>
      <c r="S262" s="1035"/>
      <c r="T262" s="1035"/>
      <c r="U262" s="1034"/>
      <c r="V262" s="1035"/>
      <c r="W262" s="1035"/>
      <c r="X262" s="1037"/>
      <c r="Y262" s="1035"/>
      <c r="Z262" s="1035">
        <f t="shared" si="32"/>
        <v>1</v>
      </c>
      <c r="AA262" s="1035"/>
      <c r="AB262" s="1035"/>
      <c r="AC262" s="1021">
        <v>110755</v>
      </c>
      <c r="AD262" s="27" t="s">
        <v>3521</v>
      </c>
      <c r="AE262" s="1022">
        <f>VLOOKUP(AC262,[5]Hoja1!$A$10:$K$1393,11,0)</f>
        <v>112895800</v>
      </c>
      <c r="AF262" s="1022"/>
      <c r="AG262" s="1022">
        <f t="shared" ref="AG262" si="44">AE262+AF262</f>
        <v>112895800</v>
      </c>
      <c r="AH262" s="1195">
        <f t="shared" ref="AH262" si="45">ROUND((AE262+AF262)/$AH$2,0)</f>
        <v>112896</v>
      </c>
      <c r="AK262" s="448"/>
      <c r="AL262" s="445"/>
    </row>
    <row r="263" spans="1:38" s="467" customFormat="1" ht="12.75" customHeight="1">
      <c r="A263" s="1033"/>
      <c r="B263" s="1033"/>
      <c r="C263" s="1034" t="str">
        <f t="shared" si="36"/>
        <v/>
      </c>
      <c r="D263" s="1033"/>
      <c r="E263" s="1033"/>
      <c r="F263" s="1034" t="str">
        <f t="shared" si="37"/>
        <v/>
      </c>
      <c r="G263" s="1033"/>
      <c r="H263" s="1033"/>
      <c r="I263" s="1034" t="str">
        <f t="shared" si="38"/>
        <v/>
      </c>
      <c r="J263" s="1033"/>
      <c r="K263" s="1033"/>
      <c r="L263" s="1034" t="str">
        <f t="shared" si="39"/>
        <v/>
      </c>
      <c r="M263" s="1035"/>
      <c r="N263" s="1035"/>
      <c r="O263" s="1036" t="str">
        <f t="shared" si="40"/>
        <v/>
      </c>
      <c r="P263" s="1033"/>
      <c r="Q263" s="1033"/>
      <c r="R263" s="1034" t="str">
        <f t="shared" si="41"/>
        <v/>
      </c>
      <c r="S263" s="1035"/>
      <c r="T263" s="1035"/>
      <c r="U263" s="1034" t="str">
        <f t="shared" si="42"/>
        <v/>
      </c>
      <c r="V263" s="1035"/>
      <c r="W263" s="1035"/>
      <c r="X263" s="1037" t="str">
        <f t="shared" ref="X263:X284" si="46">+Y263&amp;Z263</f>
        <v>1</v>
      </c>
      <c r="Y263" s="1035"/>
      <c r="Z263" s="1035">
        <f t="shared" si="32"/>
        <v>1</v>
      </c>
      <c r="AA263" s="1035"/>
      <c r="AB263" s="1035"/>
      <c r="AC263" s="1021">
        <v>110801</v>
      </c>
      <c r="AD263" s="1021" t="s">
        <v>1719</v>
      </c>
      <c r="AE263" s="1022">
        <f>VLOOKUP(AC263,[5]Hoja1!$A$10:$K$1393,11,0)</f>
        <v>0</v>
      </c>
      <c r="AF263" s="1022"/>
      <c r="AG263" s="1022">
        <f t="shared" si="33"/>
        <v>0</v>
      </c>
      <c r="AH263" s="1022">
        <f t="shared" si="34"/>
        <v>0</v>
      </c>
      <c r="AK263" s="448"/>
      <c r="AL263" s="445"/>
    </row>
    <row r="264" spans="1:38" s="467" customFormat="1" ht="12.75" customHeight="1">
      <c r="A264" s="1033">
        <v>5141100</v>
      </c>
      <c r="B264" s="1033" t="s">
        <v>2742</v>
      </c>
      <c r="C264" s="1034" t="str">
        <f t="shared" si="36"/>
        <v/>
      </c>
      <c r="D264" s="1033"/>
      <c r="E264" s="1033"/>
      <c r="F264" s="1034" t="str">
        <f t="shared" si="37"/>
        <v/>
      </c>
      <c r="G264" s="1033"/>
      <c r="H264" s="1033"/>
      <c r="I264" s="1034" t="str">
        <f t="shared" si="38"/>
        <v/>
      </c>
      <c r="J264" s="1033"/>
      <c r="K264" s="1033"/>
      <c r="L264" s="1034" t="str">
        <f t="shared" si="39"/>
        <v/>
      </c>
      <c r="M264" s="1035"/>
      <c r="N264" s="1035"/>
      <c r="O264" s="1036" t="str">
        <f t="shared" si="40"/>
        <v/>
      </c>
      <c r="P264" s="1033"/>
      <c r="Q264" s="1033"/>
      <c r="R264" s="1034" t="str">
        <f t="shared" si="41"/>
        <v/>
      </c>
      <c r="S264" s="1035"/>
      <c r="T264" s="1035"/>
      <c r="U264" s="1034" t="str">
        <f t="shared" si="42"/>
        <v/>
      </c>
      <c r="V264" s="1035"/>
      <c r="W264" s="1035"/>
      <c r="X264" s="1037" t="str">
        <f t="shared" si="46"/>
        <v>1</v>
      </c>
      <c r="Y264" s="1035"/>
      <c r="Z264" s="1035">
        <f t="shared" si="32"/>
        <v>1</v>
      </c>
      <c r="AA264" s="1035"/>
      <c r="AB264" s="1035"/>
      <c r="AC264" s="1021">
        <v>110802</v>
      </c>
      <c r="AD264" s="1021" t="s">
        <v>2007</v>
      </c>
      <c r="AE264" s="1022">
        <f>VLOOKUP(AC264,[5]Hoja1!$A$10:$K$1393,11,0)</f>
        <v>21500232</v>
      </c>
      <c r="AF264" s="1022"/>
      <c r="AG264" s="1022">
        <f t="shared" si="33"/>
        <v>21500232</v>
      </c>
      <c r="AH264" s="1022">
        <f t="shared" si="34"/>
        <v>21500</v>
      </c>
      <c r="AK264" s="448"/>
      <c r="AL264" s="445"/>
    </row>
    <row r="265" spans="1:38" s="467" customFormat="1" ht="12.75" customHeight="1">
      <c r="A265" s="1033"/>
      <c r="B265" s="1033"/>
      <c r="C265" s="1034" t="str">
        <f t="shared" si="36"/>
        <v/>
      </c>
      <c r="D265" s="1033"/>
      <c r="E265" s="1033"/>
      <c r="F265" s="1034" t="str">
        <f t="shared" si="37"/>
        <v/>
      </c>
      <c r="G265" s="1033"/>
      <c r="H265" s="1033"/>
      <c r="I265" s="1034" t="str">
        <f t="shared" si="38"/>
        <v/>
      </c>
      <c r="J265" s="1033"/>
      <c r="K265" s="1033"/>
      <c r="L265" s="1034" t="str">
        <f t="shared" si="39"/>
        <v/>
      </c>
      <c r="M265" s="1035"/>
      <c r="N265" s="1035"/>
      <c r="O265" s="1036" t="str">
        <f t="shared" si="40"/>
        <v/>
      </c>
      <c r="P265" s="1033"/>
      <c r="Q265" s="1033"/>
      <c r="R265" s="1034" t="str">
        <f t="shared" si="41"/>
        <v/>
      </c>
      <c r="S265" s="1035"/>
      <c r="T265" s="1035"/>
      <c r="U265" s="1034" t="str">
        <f t="shared" si="42"/>
        <v/>
      </c>
      <c r="V265" s="1035"/>
      <c r="W265" s="1035"/>
      <c r="X265" s="1037" t="str">
        <f t="shared" si="46"/>
        <v>1</v>
      </c>
      <c r="Y265" s="1035"/>
      <c r="Z265" s="1035">
        <f t="shared" si="32"/>
        <v>1</v>
      </c>
      <c r="AA265" s="1035"/>
      <c r="AB265" s="1035"/>
      <c r="AC265" s="1021">
        <v>110803</v>
      </c>
      <c r="AD265" s="1021" t="s">
        <v>630</v>
      </c>
      <c r="AE265" s="1022">
        <f>VLOOKUP(AC265,[5]Hoja1!$A$10:$K$1393,11,0)</f>
        <v>0</v>
      </c>
      <c r="AF265" s="1022"/>
      <c r="AG265" s="1022">
        <f t="shared" si="33"/>
        <v>0</v>
      </c>
      <c r="AH265" s="1022">
        <f t="shared" si="34"/>
        <v>0</v>
      </c>
      <c r="AK265" s="448"/>
      <c r="AL265" s="445"/>
    </row>
    <row r="266" spans="1:38" s="467" customFormat="1" ht="12.75" customHeight="1">
      <c r="A266" s="1033">
        <v>5141100</v>
      </c>
      <c r="B266" s="1033" t="s">
        <v>2742</v>
      </c>
      <c r="C266" s="1034" t="str">
        <f t="shared" si="36"/>
        <v/>
      </c>
      <c r="D266" s="1033"/>
      <c r="E266" s="1033"/>
      <c r="F266" s="1034" t="str">
        <f t="shared" si="37"/>
        <v/>
      </c>
      <c r="G266" s="1033"/>
      <c r="H266" s="1033"/>
      <c r="I266" s="1034" t="str">
        <f t="shared" si="38"/>
        <v/>
      </c>
      <c r="J266" s="1033"/>
      <c r="K266" s="1033"/>
      <c r="L266" s="1034" t="str">
        <f t="shared" si="39"/>
        <v/>
      </c>
      <c r="M266" s="1035"/>
      <c r="N266" s="1035"/>
      <c r="O266" s="1036" t="str">
        <f t="shared" si="40"/>
        <v/>
      </c>
      <c r="P266" s="1033"/>
      <c r="Q266" s="1033"/>
      <c r="R266" s="1034" t="str">
        <f t="shared" si="41"/>
        <v/>
      </c>
      <c r="S266" s="1035"/>
      <c r="T266" s="1035"/>
      <c r="U266" s="1034" t="str">
        <f t="shared" si="42"/>
        <v/>
      </c>
      <c r="V266" s="1035"/>
      <c r="W266" s="1035"/>
      <c r="X266" s="1037" t="str">
        <f t="shared" si="46"/>
        <v>1</v>
      </c>
      <c r="Y266" s="1035"/>
      <c r="Z266" s="1035">
        <f t="shared" si="32"/>
        <v>1</v>
      </c>
      <c r="AA266" s="1035"/>
      <c r="AB266" s="1035"/>
      <c r="AC266" s="1021">
        <v>110804</v>
      </c>
      <c r="AD266" s="1021" t="s">
        <v>2008</v>
      </c>
      <c r="AE266" s="1022">
        <f>VLOOKUP(AC266,[5]Hoja1!$A$10:$K$1393,11,0)</f>
        <v>0</v>
      </c>
      <c r="AF266" s="1022"/>
      <c r="AG266" s="1022">
        <f t="shared" si="33"/>
        <v>0</v>
      </c>
      <c r="AH266" s="1022">
        <f t="shared" si="34"/>
        <v>0</v>
      </c>
      <c r="AK266" s="448"/>
      <c r="AL266" s="445"/>
    </row>
    <row r="267" spans="1:38" s="467" customFormat="1" ht="12.75" customHeight="1">
      <c r="A267" s="1033">
        <v>5141100</v>
      </c>
      <c r="B267" s="1033" t="s">
        <v>2742</v>
      </c>
      <c r="C267" s="1034" t="str">
        <f t="shared" si="36"/>
        <v/>
      </c>
      <c r="D267" s="1033"/>
      <c r="E267" s="1033"/>
      <c r="F267" s="1034" t="str">
        <f t="shared" si="37"/>
        <v/>
      </c>
      <c r="G267" s="1033"/>
      <c r="H267" s="1033"/>
      <c r="I267" s="1034" t="str">
        <f t="shared" si="38"/>
        <v/>
      </c>
      <c r="J267" s="1033"/>
      <c r="K267" s="1033"/>
      <c r="L267" s="1034" t="str">
        <f t="shared" si="39"/>
        <v/>
      </c>
      <c r="M267" s="1035"/>
      <c r="N267" s="1035"/>
      <c r="O267" s="1036" t="str">
        <f t="shared" si="40"/>
        <v/>
      </c>
      <c r="P267" s="1033"/>
      <c r="Q267" s="1033"/>
      <c r="R267" s="1034" t="str">
        <f t="shared" si="41"/>
        <v/>
      </c>
      <c r="S267" s="1035"/>
      <c r="T267" s="1035"/>
      <c r="U267" s="1034" t="str">
        <f t="shared" si="42"/>
        <v/>
      </c>
      <c r="V267" s="1035"/>
      <c r="W267" s="1035"/>
      <c r="X267" s="1037" t="str">
        <f t="shared" si="46"/>
        <v>1</v>
      </c>
      <c r="Y267" s="1035"/>
      <c r="Z267" s="1035">
        <f t="shared" si="32"/>
        <v>1</v>
      </c>
      <c r="AA267" s="1035"/>
      <c r="AB267" s="1035"/>
      <c r="AC267" s="1021">
        <v>110805</v>
      </c>
      <c r="AD267" s="1021" t="s">
        <v>631</v>
      </c>
      <c r="AE267" s="1022">
        <f>VLOOKUP(AC267,[5]Hoja1!$A$10:$K$1393,11,0)</f>
        <v>175184545</v>
      </c>
      <c r="AF267" s="1022"/>
      <c r="AG267" s="1022">
        <f t="shared" si="33"/>
        <v>175184545</v>
      </c>
      <c r="AH267" s="1022">
        <f t="shared" si="34"/>
        <v>175185</v>
      </c>
      <c r="AK267" s="448"/>
      <c r="AL267" s="445"/>
    </row>
    <row r="268" spans="1:38" s="467" customFormat="1" ht="12.75" customHeight="1">
      <c r="A268" s="1033">
        <v>5141100</v>
      </c>
      <c r="B268" s="1033" t="s">
        <v>2742</v>
      </c>
      <c r="C268" s="1034" t="str">
        <f t="shared" si="36"/>
        <v/>
      </c>
      <c r="D268" s="1033"/>
      <c r="E268" s="1033"/>
      <c r="F268" s="1034" t="str">
        <f t="shared" si="37"/>
        <v/>
      </c>
      <c r="G268" s="1033"/>
      <c r="H268" s="1033"/>
      <c r="I268" s="1034" t="str">
        <f t="shared" si="38"/>
        <v/>
      </c>
      <c r="J268" s="1033"/>
      <c r="K268" s="1033"/>
      <c r="L268" s="1034" t="str">
        <f t="shared" si="39"/>
        <v/>
      </c>
      <c r="M268" s="1035"/>
      <c r="N268" s="1035"/>
      <c r="O268" s="1036" t="str">
        <f t="shared" si="40"/>
        <v/>
      </c>
      <c r="P268" s="1033"/>
      <c r="Q268" s="1033"/>
      <c r="R268" s="1034" t="str">
        <f t="shared" si="41"/>
        <v/>
      </c>
      <c r="S268" s="1035"/>
      <c r="T268" s="1035"/>
      <c r="U268" s="1034" t="str">
        <f t="shared" si="42"/>
        <v/>
      </c>
      <c r="V268" s="1035"/>
      <c r="W268" s="1035"/>
      <c r="X268" s="1037" t="str">
        <f t="shared" si="46"/>
        <v>1</v>
      </c>
      <c r="Y268" s="1035"/>
      <c r="Z268" s="1035">
        <f t="shared" ref="Z268:Z333" si="47">VALUE(LEFT(AC268,1))</f>
        <v>1</v>
      </c>
      <c r="AA268" s="1035"/>
      <c r="AB268" s="1035"/>
      <c r="AC268" s="1021">
        <v>110806</v>
      </c>
      <c r="AD268" s="1021" t="s">
        <v>2009</v>
      </c>
      <c r="AE268" s="1022">
        <f>VLOOKUP(AC268,[5]Hoja1!$A$10:$K$1393,11,0)</f>
        <v>584632256</v>
      </c>
      <c r="AF268" s="1022"/>
      <c r="AG268" s="1022">
        <f t="shared" ref="AG268:AG333" si="48">AE268+AF268</f>
        <v>584632256</v>
      </c>
      <c r="AH268" s="1022">
        <f t="shared" ref="AH268:AH333" si="49">ROUND((AE268+AF268)/$AH$2,0)</f>
        <v>584632</v>
      </c>
      <c r="AK268" s="448"/>
      <c r="AL268" s="445"/>
    </row>
    <row r="269" spans="1:38" s="467" customFormat="1" ht="12.75" customHeight="1">
      <c r="A269" s="1033">
        <v>5141100</v>
      </c>
      <c r="B269" s="1033" t="s">
        <v>2742</v>
      </c>
      <c r="C269" s="1034" t="str">
        <f t="shared" si="36"/>
        <v/>
      </c>
      <c r="D269" s="1033"/>
      <c r="E269" s="1033"/>
      <c r="F269" s="1034" t="str">
        <f t="shared" si="37"/>
        <v/>
      </c>
      <c r="G269" s="1033"/>
      <c r="H269" s="1033"/>
      <c r="I269" s="1034" t="str">
        <f t="shared" si="38"/>
        <v/>
      </c>
      <c r="J269" s="1033"/>
      <c r="K269" s="1033"/>
      <c r="L269" s="1034" t="str">
        <f t="shared" si="39"/>
        <v/>
      </c>
      <c r="M269" s="1035"/>
      <c r="N269" s="1035"/>
      <c r="O269" s="1036" t="str">
        <f t="shared" si="40"/>
        <v/>
      </c>
      <c r="P269" s="1033"/>
      <c r="Q269" s="1033"/>
      <c r="R269" s="1034" t="str">
        <f t="shared" si="41"/>
        <v/>
      </c>
      <c r="S269" s="1035"/>
      <c r="T269" s="1035"/>
      <c r="U269" s="1034" t="str">
        <f t="shared" si="42"/>
        <v/>
      </c>
      <c r="V269" s="1035"/>
      <c r="W269" s="1035"/>
      <c r="X269" s="1037" t="str">
        <f t="shared" si="46"/>
        <v>1</v>
      </c>
      <c r="Y269" s="1035"/>
      <c r="Z269" s="1035">
        <f t="shared" si="47"/>
        <v>1</v>
      </c>
      <c r="AA269" s="1035"/>
      <c r="AB269" s="1035"/>
      <c r="AC269" s="1021">
        <v>110807</v>
      </c>
      <c r="AD269" s="1021" t="s">
        <v>1807</v>
      </c>
      <c r="AE269" s="1022">
        <f>VLOOKUP(AC269,[5]Hoja1!$A$10:$K$1393,11,0)</f>
        <v>0</v>
      </c>
      <c r="AF269" s="1022"/>
      <c r="AG269" s="1022">
        <f t="shared" si="48"/>
        <v>0</v>
      </c>
      <c r="AH269" s="1022">
        <f t="shared" si="49"/>
        <v>0</v>
      </c>
      <c r="AK269" s="448"/>
      <c r="AL269" s="445"/>
    </row>
    <row r="270" spans="1:38" s="467" customFormat="1" ht="12.75" customHeight="1">
      <c r="A270" s="1033">
        <v>5141100</v>
      </c>
      <c r="B270" s="1033" t="s">
        <v>2742</v>
      </c>
      <c r="C270" s="1034" t="str">
        <f t="shared" si="36"/>
        <v/>
      </c>
      <c r="D270" s="1033"/>
      <c r="E270" s="1033"/>
      <c r="F270" s="1034" t="str">
        <f t="shared" si="37"/>
        <v/>
      </c>
      <c r="G270" s="1033"/>
      <c r="H270" s="1033"/>
      <c r="I270" s="1034" t="str">
        <f t="shared" si="38"/>
        <v/>
      </c>
      <c r="J270" s="1033"/>
      <c r="K270" s="1033"/>
      <c r="L270" s="1034" t="str">
        <f t="shared" si="39"/>
        <v/>
      </c>
      <c r="M270" s="1035"/>
      <c r="N270" s="1035"/>
      <c r="O270" s="1036" t="str">
        <f t="shared" si="40"/>
        <v/>
      </c>
      <c r="P270" s="1033"/>
      <c r="Q270" s="1033"/>
      <c r="R270" s="1034" t="str">
        <f t="shared" si="41"/>
        <v/>
      </c>
      <c r="S270" s="1035"/>
      <c r="T270" s="1035"/>
      <c r="U270" s="1034" t="str">
        <f t="shared" si="42"/>
        <v/>
      </c>
      <c r="V270" s="1035"/>
      <c r="W270" s="1035"/>
      <c r="X270" s="1037" t="str">
        <f t="shared" si="46"/>
        <v>1</v>
      </c>
      <c r="Y270" s="1035"/>
      <c r="Z270" s="1035">
        <f t="shared" si="47"/>
        <v>1</v>
      </c>
      <c r="AA270" s="1035"/>
      <c r="AB270" s="1035"/>
      <c r="AC270" s="1021">
        <v>110808</v>
      </c>
      <c r="AD270" s="1021" t="s">
        <v>1728</v>
      </c>
      <c r="AE270" s="1022">
        <f>VLOOKUP(AC270,[5]Hoja1!$A$10:$K$1393,11,0)</f>
        <v>-142209046</v>
      </c>
      <c r="AF270" s="1022"/>
      <c r="AG270" s="1022">
        <f t="shared" si="48"/>
        <v>-142209046</v>
      </c>
      <c r="AH270" s="1022">
        <f t="shared" si="49"/>
        <v>-142209</v>
      </c>
      <c r="AK270" s="448"/>
      <c r="AL270" s="445"/>
    </row>
    <row r="271" spans="1:38" s="467" customFormat="1" ht="12.75" customHeight="1">
      <c r="A271" s="1033">
        <v>5141100</v>
      </c>
      <c r="B271" s="1033" t="s">
        <v>2742</v>
      </c>
      <c r="C271" s="1034" t="str">
        <f t="shared" si="36"/>
        <v/>
      </c>
      <c r="D271" s="1033"/>
      <c r="E271" s="1033"/>
      <c r="F271" s="1034" t="str">
        <f t="shared" si="37"/>
        <v/>
      </c>
      <c r="G271" s="1033"/>
      <c r="H271" s="1033"/>
      <c r="I271" s="1034" t="str">
        <f t="shared" si="38"/>
        <v/>
      </c>
      <c r="J271" s="1033"/>
      <c r="K271" s="1033"/>
      <c r="L271" s="1034" t="str">
        <f t="shared" si="39"/>
        <v/>
      </c>
      <c r="M271" s="1035"/>
      <c r="N271" s="1035"/>
      <c r="O271" s="1036" t="str">
        <f t="shared" si="40"/>
        <v/>
      </c>
      <c r="P271" s="1033"/>
      <c r="Q271" s="1033"/>
      <c r="R271" s="1034" t="str">
        <f t="shared" si="41"/>
        <v/>
      </c>
      <c r="S271" s="1035"/>
      <c r="T271" s="1035"/>
      <c r="U271" s="1034" t="str">
        <f t="shared" si="42"/>
        <v/>
      </c>
      <c r="V271" s="1035"/>
      <c r="W271" s="1035"/>
      <c r="X271" s="1037" t="str">
        <f t="shared" si="46"/>
        <v>1</v>
      </c>
      <c r="Y271" s="1035"/>
      <c r="Z271" s="1035">
        <f t="shared" si="47"/>
        <v>1</v>
      </c>
      <c r="AA271" s="1035"/>
      <c r="AB271" s="1035"/>
      <c r="AC271" s="1021">
        <v>110809</v>
      </c>
      <c r="AD271" s="1021" t="s">
        <v>1806</v>
      </c>
      <c r="AE271" s="1022">
        <f>VLOOKUP(AC271,[5]Hoja1!$A$10:$K$1393,11,0)</f>
        <v>0</v>
      </c>
      <c r="AF271" s="1022"/>
      <c r="AG271" s="1022">
        <f t="shared" si="48"/>
        <v>0</v>
      </c>
      <c r="AH271" s="1022">
        <f t="shared" si="49"/>
        <v>0</v>
      </c>
      <c r="AK271" s="448"/>
      <c r="AL271" s="445"/>
    </row>
    <row r="272" spans="1:38" s="467" customFormat="1" ht="12.75" customHeight="1">
      <c r="A272" s="1033">
        <v>5141100</v>
      </c>
      <c r="B272" s="1033" t="s">
        <v>2742</v>
      </c>
      <c r="C272" s="1034" t="str">
        <f t="shared" si="36"/>
        <v/>
      </c>
      <c r="D272" s="1033"/>
      <c r="E272" s="1033"/>
      <c r="F272" s="1034" t="str">
        <f t="shared" si="37"/>
        <v/>
      </c>
      <c r="G272" s="1033"/>
      <c r="H272" s="1033"/>
      <c r="I272" s="1034" t="str">
        <f t="shared" si="38"/>
        <v/>
      </c>
      <c r="J272" s="1033"/>
      <c r="K272" s="1033"/>
      <c r="L272" s="1034" t="str">
        <f t="shared" si="39"/>
        <v/>
      </c>
      <c r="M272" s="1035"/>
      <c r="N272" s="1035"/>
      <c r="O272" s="1036" t="str">
        <f t="shared" si="40"/>
        <v/>
      </c>
      <c r="P272" s="1033"/>
      <c r="Q272" s="1033"/>
      <c r="R272" s="1034" t="str">
        <f t="shared" si="41"/>
        <v/>
      </c>
      <c r="S272" s="1035"/>
      <c r="T272" s="1035"/>
      <c r="U272" s="1034" t="str">
        <f t="shared" si="42"/>
        <v/>
      </c>
      <c r="V272" s="1035"/>
      <c r="W272" s="1035"/>
      <c r="X272" s="1037" t="str">
        <f t="shared" si="46"/>
        <v>1</v>
      </c>
      <c r="Y272" s="1035"/>
      <c r="Z272" s="1035">
        <f t="shared" si="47"/>
        <v>1</v>
      </c>
      <c r="AA272" s="1035"/>
      <c r="AB272" s="1035"/>
      <c r="AC272" s="1021">
        <v>110810</v>
      </c>
      <c r="AD272" s="1021" t="s">
        <v>2010</v>
      </c>
      <c r="AE272" s="1022">
        <f>VLOOKUP(AC272,[5]Hoja1!$A$10:$K$1393,11,0)</f>
        <v>0</v>
      </c>
      <c r="AF272" s="1022"/>
      <c r="AG272" s="1022">
        <f t="shared" si="48"/>
        <v>0</v>
      </c>
      <c r="AH272" s="1022">
        <f t="shared" si="49"/>
        <v>0</v>
      </c>
      <c r="AK272" s="448"/>
      <c r="AL272" s="445"/>
    </row>
    <row r="273" spans="1:38" s="467" customFormat="1" ht="12.75" customHeight="1">
      <c r="A273" s="1033"/>
      <c r="B273" s="1033"/>
      <c r="C273" s="1034" t="str">
        <f t="shared" si="36"/>
        <v/>
      </c>
      <c r="D273" s="1033"/>
      <c r="E273" s="1033"/>
      <c r="F273" s="1034" t="str">
        <f t="shared" si="37"/>
        <v/>
      </c>
      <c r="G273" s="1033"/>
      <c r="H273" s="1033"/>
      <c r="I273" s="1034" t="str">
        <f t="shared" si="38"/>
        <v/>
      </c>
      <c r="J273" s="1033"/>
      <c r="K273" s="1033"/>
      <c r="L273" s="1034" t="str">
        <f t="shared" si="39"/>
        <v/>
      </c>
      <c r="M273" s="1035"/>
      <c r="N273" s="1035"/>
      <c r="O273" s="1036" t="str">
        <f t="shared" si="40"/>
        <v/>
      </c>
      <c r="P273" s="1033"/>
      <c r="Q273" s="1033"/>
      <c r="R273" s="1034" t="str">
        <f t="shared" si="41"/>
        <v/>
      </c>
      <c r="S273" s="1035"/>
      <c r="T273" s="1035"/>
      <c r="U273" s="1034" t="str">
        <f t="shared" si="42"/>
        <v/>
      </c>
      <c r="V273" s="1035"/>
      <c r="W273" s="1035"/>
      <c r="X273" s="1037" t="str">
        <f t="shared" si="46"/>
        <v>1</v>
      </c>
      <c r="Y273" s="1035"/>
      <c r="Z273" s="1035">
        <f t="shared" si="47"/>
        <v>1</v>
      </c>
      <c r="AA273" s="1035"/>
      <c r="AB273" s="1035"/>
      <c r="AC273" s="1021">
        <v>110811</v>
      </c>
      <c r="AD273" s="1021" t="s">
        <v>223</v>
      </c>
      <c r="AE273" s="1022">
        <v>0</v>
      </c>
      <c r="AF273" s="1022"/>
      <c r="AG273" s="1022">
        <f t="shared" si="48"/>
        <v>0</v>
      </c>
      <c r="AH273" s="1022">
        <f t="shared" si="49"/>
        <v>0</v>
      </c>
      <c r="AK273" s="448"/>
      <c r="AL273" s="445"/>
    </row>
    <row r="274" spans="1:38" s="467" customFormat="1" ht="12.75" customHeight="1">
      <c r="A274" s="1033">
        <v>5141100</v>
      </c>
      <c r="B274" s="1033" t="s">
        <v>2742</v>
      </c>
      <c r="C274" s="1034" t="str">
        <f t="shared" si="36"/>
        <v/>
      </c>
      <c r="D274" s="1033"/>
      <c r="E274" s="1033"/>
      <c r="F274" s="1034" t="str">
        <f t="shared" si="37"/>
        <v/>
      </c>
      <c r="G274" s="1033"/>
      <c r="H274" s="1033"/>
      <c r="I274" s="1034" t="str">
        <f t="shared" si="38"/>
        <v/>
      </c>
      <c r="J274" s="1033"/>
      <c r="K274" s="1033"/>
      <c r="L274" s="1034" t="str">
        <f t="shared" si="39"/>
        <v/>
      </c>
      <c r="M274" s="1035"/>
      <c r="N274" s="1035"/>
      <c r="O274" s="1036" t="str">
        <f t="shared" si="40"/>
        <v/>
      </c>
      <c r="P274" s="1033"/>
      <c r="Q274" s="1033"/>
      <c r="R274" s="1034" t="str">
        <f t="shared" si="41"/>
        <v/>
      </c>
      <c r="S274" s="1035"/>
      <c r="T274" s="1035"/>
      <c r="U274" s="1034" t="str">
        <f t="shared" si="42"/>
        <v/>
      </c>
      <c r="V274" s="1035"/>
      <c r="W274" s="1035"/>
      <c r="X274" s="1037" t="str">
        <f t="shared" si="46"/>
        <v>1</v>
      </c>
      <c r="Y274" s="1035"/>
      <c r="Z274" s="1035">
        <f t="shared" si="47"/>
        <v>1</v>
      </c>
      <c r="AA274" s="1035"/>
      <c r="AB274" s="1035"/>
      <c r="AC274" s="1021">
        <v>110812</v>
      </c>
      <c r="AD274" s="1021" t="s">
        <v>2011</v>
      </c>
      <c r="AE274" s="1022">
        <f>VLOOKUP(AC274,[5]Hoja1!$A$10:$K$1393,11,0)</f>
        <v>1430354338</v>
      </c>
      <c r="AF274" s="1022"/>
      <c r="AG274" s="1022">
        <f t="shared" si="48"/>
        <v>1430354338</v>
      </c>
      <c r="AH274" s="1022">
        <f t="shared" si="49"/>
        <v>1430354</v>
      </c>
      <c r="AK274" s="448"/>
      <c r="AL274" s="445"/>
    </row>
    <row r="275" spans="1:38" s="467" customFormat="1" ht="12.75" customHeight="1">
      <c r="A275" s="1033">
        <v>5141100</v>
      </c>
      <c r="B275" s="1033" t="s">
        <v>2742</v>
      </c>
      <c r="C275" s="1034" t="str">
        <f t="shared" si="36"/>
        <v/>
      </c>
      <c r="D275" s="1033"/>
      <c r="E275" s="1033"/>
      <c r="F275" s="1034" t="str">
        <f t="shared" si="37"/>
        <v/>
      </c>
      <c r="G275" s="1033"/>
      <c r="H275" s="1033"/>
      <c r="I275" s="1034" t="str">
        <f t="shared" si="38"/>
        <v/>
      </c>
      <c r="J275" s="1033"/>
      <c r="K275" s="1033"/>
      <c r="L275" s="1034" t="str">
        <f t="shared" si="39"/>
        <v/>
      </c>
      <c r="M275" s="1035"/>
      <c r="N275" s="1035"/>
      <c r="O275" s="1036" t="str">
        <f t="shared" si="40"/>
        <v/>
      </c>
      <c r="P275" s="1035"/>
      <c r="Q275" s="1033"/>
      <c r="R275" s="1034" t="str">
        <f t="shared" si="41"/>
        <v/>
      </c>
      <c r="S275" s="1035"/>
      <c r="T275" s="1035"/>
      <c r="U275" s="1034" t="str">
        <f t="shared" si="42"/>
        <v/>
      </c>
      <c r="V275" s="1035"/>
      <c r="W275" s="1035"/>
      <c r="X275" s="1037" t="str">
        <f t="shared" si="46"/>
        <v>1</v>
      </c>
      <c r="Y275" s="1035"/>
      <c r="Z275" s="1035">
        <f t="shared" si="47"/>
        <v>1</v>
      </c>
      <c r="AA275" s="1035"/>
      <c r="AB275" s="1035"/>
      <c r="AC275" s="1021">
        <v>110813</v>
      </c>
      <c r="AD275" s="1021" t="s">
        <v>2012</v>
      </c>
      <c r="AE275" s="1022">
        <f>VLOOKUP(AC275,[5]Hoja1!$A$10:$K$1393,11,0)</f>
        <v>0</v>
      </c>
      <c r="AF275" s="1022"/>
      <c r="AG275" s="1022">
        <f t="shared" si="48"/>
        <v>0</v>
      </c>
      <c r="AH275" s="1022">
        <f t="shared" si="49"/>
        <v>0</v>
      </c>
      <c r="AI275" s="491"/>
      <c r="AJ275" s="445"/>
      <c r="AK275" s="448"/>
      <c r="AL275" s="445"/>
    </row>
    <row r="276" spans="1:38" s="467" customFormat="1" ht="12.75" customHeight="1">
      <c r="A276" s="1033">
        <v>5141100</v>
      </c>
      <c r="B276" s="1033" t="s">
        <v>2742</v>
      </c>
      <c r="C276" s="1034" t="str">
        <f t="shared" si="36"/>
        <v/>
      </c>
      <c r="D276" s="1033"/>
      <c r="E276" s="1033"/>
      <c r="F276" s="1034" t="str">
        <f t="shared" si="37"/>
        <v/>
      </c>
      <c r="G276" s="1033"/>
      <c r="H276" s="1033"/>
      <c r="I276" s="1034" t="str">
        <f t="shared" si="38"/>
        <v/>
      </c>
      <c r="J276" s="1033"/>
      <c r="K276" s="1033"/>
      <c r="L276" s="1034" t="str">
        <f t="shared" si="39"/>
        <v/>
      </c>
      <c r="M276" s="1035"/>
      <c r="N276" s="1035"/>
      <c r="O276" s="1036" t="str">
        <f t="shared" si="40"/>
        <v/>
      </c>
      <c r="P276" s="1033"/>
      <c r="Q276" s="1033"/>
      <c r="R276" s="1034" t="str">
        <f t="shared" si="41"/>
        <v/>
      </c>
      <c r="S276" s="1035"/>
      <c r="T276" s="1035"/>
      <c r="U276" s="1034" t="str">
        <f t="shared" si="42"/>
        <v/>
      </c>
      <c r="V276" s="1035"/>
      <c r="W276" s="1035"/>
      <c r="X276" s="1037" t="str">
        <f t="shared" si="46"/>
        <v>1</v>
      </c>
      <c r="Y276" s="1035"/>
      <c r="Z276" s="1035">
        <f t="shared" si="47"/>
        <v>1</v>
      </c>
      <c r="AA276" s="1035"/>
      <c r="AB276" s="1035"/>
      <c r="AC276" s="1021">
        <v>110814</v>
      </c>
      <c r="AD276" s="1021" t="s">
        <v>224</v>
      </c>
      <c r="AE276" s="1022">
        <f>VLOOKUP(AC276,[5]Hoja1!$A$10:$K$1393,11,0)</f>
        <v>11289580</v>
      </c>
      <c r="AF276" s="1022"/>
      <c r="AG276" s="1022">
        <f t="shared" si="48"/>
        <v>11289580</v>
      </c>
      <c r="AH276" s="1022">
        <f t="shared" si="49"/>
        <v>11290</v>
      </c>
      <c r="AK276" s="448"/>
      <c r="AL276" s="445"/>
    </row>
    <row r="277" spans="1:38" s="467" customFormat="1" ht="12.75" customHeight="1">
      <c r="A277" s="1033">
        <v>5141100</v>
      </c>
      <c r="B277" s="1033" t="s">
        <v>2742</v>
      </c>
      <c r="C277" s="1034" t="str">
        <f t="shared" si="36"/>
        <v/>
      </c>
      <c r="D277" s="1033"/>
      <c r="E277" s="1033"/>
      <c r="F277" s="1034" t="str">
        <f t="shared" si="37"/>
        <v/>
      </c>
      <c r="G277" s="1033"/>
      <c r="H277" s="1033"/>
      <c r="I277" s="1034" t="str">
        <f t="shared" si="38"/>
        <v/>
      </c>
      <c r="J277" s="1033"/>
      <c r="K277" s="1033"/>
      <c r="L277" s="1034" t="str">
        <f t="shared" si="39"/>
        <v/>
      </c>
      <c r="M277" s="1035"/>
      <c r="N277" s="1035"/>
      <c r="O277" s="1036" t="str">
        <f t="shared" si="40"/>
        <v/>
      </c>
      <c r="P277" s="1033"/>
      <c r="Q277" s="1033"/>
      <c r="R277" s="1034" t="str">
        <f t="shared" si="41"/>
        <v/>
      </c>
      <c r="S277" s="1035"/>
      <c r="T277" s="1035"/>
      <c r="U277" s="1034" t="str">
        <f t="shared" si="42"/>
        <v/>
      </c>
      <c r="V277" s="1035"/>
      <c r="W277" s="1035"/>
      <c r="X277" s="1037" t="str">
        <f t="shared" si="46"/>
        <v>1</v>
      </c>
      <c r="Y277" s="1035"/>
      <c r="Z277" s="1035">
        <f t="shared" si="47"/>
        <v>1</v>
      </c>
      <c r="AA277" s="1035"/>
      <c r="AB277" s="1035"/>
      <c r="AC277" s="1021">
        <v>110815</v>
      </c>
      <c r="AD277" s="1021" t="s">
        <v>2013</v>
      </c>
      <c r="AE277" s="1022">
        <f>VLOOKUP(AC277,[5]Hoja1!$A$10:$K$1393,11,0)</f>
        <v>-24293</v>
      </c>
      <c r="AF277" s="1022"/>
      <c r="AG277" s="1022">
        <f t="shared" si="48"/>
        <v>-24293</v>
      </c>
      <c r="AH277" s="1022">
        <f t="shared" si="49"/>
        <v>-24</v>
      </c>
      <c r="AK277" s="448"/>
      <c r="AL277" s="445"/>
    </row>
    <row r="278" spans="1:38" s="467" customFormat="1" ht="12.75" customHeight="1">
      <c r="A278" s="1033">
        <v>5141100</v>
      </c>
      <c r="B278" s="1033" t="s">
        <v>2742</v>
      </c>
      <c r="C278" s="1034" t="str">
        <f t="shared" si="36"/>
        <v/>
      </c>
      <c r="D278" s="1033"/>
      <c r="E278" s="1033"/>
      <c r="F278" s="1034" t="str">
        <f t="shared" si="37"/>
        <v/>
      </c>
      <c r="G278" s="1033"/>
      <c r="H278" s="1033"/>
      <c r="I278" s="1034" t="str">
        <f t="shared" si="38"/>
        <v/>
      </c>
      <c r="J278" s="1033"/>
      <c r="K278" s="1033"/>
      <c r="L278" s="1034" t="str">
        <f t="shared" si="39"/>
        <v/>
      </c>
      <c r="M278" s="1035"/>
      <c r="N278" s="1035"/>
      <c r="O278" s="1036" t="str">
        <f t="shared" si="40"/>
        <v/>
      </c>
      <c r="P278" s="1033"/>
      <c r="Q278" s="1033"/>
      <c r="R278" s="1034" t="str">
        <f t="shared" si="41"/>
        <v/>
      </c>
      <c r="S278" s="1035"/>
      <c r="T278" s="1035"/>
      <c r="U278" s="1034" t="str">
        <f t="shared" si="42"/>
        <v/>
      </c>
      <c r="V278" s="1035"/>
      <c r="W278" s="1035"/>
      <c r="X278" s="1037" t="str">
        <f t="shared" si="46"/>
        <v>1</v>
      </c>
      <c r="Y278" s="1035"/>
      <c r="Z278" s="1035">
        <f t="shared" si="47"/>
        <v>1</v>
      </c>
      <c r="AA278" s="1035"/>
      <c r="AB278" s="1035"/>
      <c r="AC278" s="1021">
        <v>110816</v>
      </c>
      <c r="AD278" s="1021" t="s">
        <v>225</v>
      </c>
      <c r="AE278" s="1022">
        <f>VLOOKUP(AC278,[5]Hoja1!$A$10:$K$1393,11,0)</f>
        <v>0</v>
      </c>
      <c r="AF278" s="1022"/>
      <c r="AG278" s="1022">
        <f t="shared" si="48"/>
        <v>0</v>
      </c>
      <c r="AH278" s="1022">
        <f t="shared" si="49"/>
        <v>0</v>
      </c>
      <c r="AK278" s="448"/>
      <c r="AL278" s="445"/>
    </row>
    <row r="279" spans="1:38" s="467" customFormat="1" ht="12.75" customHeight="1">
      <c r="A279" s="1033">
        <v>5141100</v>
      </c>
      <c r="B279" s="1033" t="s">
        <v>2742</v>
      </c>
      <c r="C279" s="1034" t="str">
        <f t="shared" si="36"/>
        <v/>
      </c>
      <c r="D279" s="1033"/>
      <c r="E279" s="1033"/>
      <c r="F279" s="1034" t="str">
        <f t="shared" si="37"/>
        <v/>
      </c>
      <c r="G279" s="1033"/>
      <c r="H279" s="1033"/>
      <c r="I279" s="1034" t="str">
        <f t="shared" si="38"/>
        <v/>
      </c>
      <c r="J279" s="1033"/>
      <c r="K279" s="1033"/>
      <c r="L279" s="1034" t="str">
        <f t="shared" si="39"/>
        <v/>
      </c>
      <c r="M279" s="1035"/>
      <c r="N279" s="1035"/>
      <c r="O279" s="1036" t="str">
        <f t="shared" si="40"/>
        <v/>
      </c>
      <c r="P279" s="1033"/>
      <c r="Q279" s="1033"/>
      <c r="R279" s="1034" t="str">
        <f t="shared" si="41"/>
        <v/>
      </c>
      <c r="S279" s="1035"/>
      <c r="T279" s="1035"/>
      <c r="U279" s="1034" t="str">
        <f t="shared" si="42"/>
        <v/>
      </c>
      <c r="V279" s="1035"/>
      <c r="W279" s="1035"/>
      <c r="X279" s="1037" t="str">
        <f t="shared" si="46"/>
        <v>1</v>
      </c>
      <c r="Y279" s="1035"/>
      <c r="Z279" s="1035">
        <f t="shared" si="47"/>
        <v>1</v>
      </c>
      <c r="AA279" s="1035"/>
      <c r="AB279" s="1035"/>
      <c r="AC279" s="1021">
        <v>110817</v>
      </c>
      <c r="AD279" s="1021" t="s">
        <v>2014</v>
      </c>
      <c r="AE279" s="1022">
        <f>VLOOKUP(AC279,[5]Hoja1!$A$10:$K$1393,11,0)</f>
        <v>0</v>
      </c>
      <c r="AF279" s="1022"/>
      <c r="AG279" s="1022">
        <f t="shared" si="48"/>
        <v>0</v>
      </c>
      <c r="AH279" s="1022">
        <f t="shared" si="49"/>
        <v>0</v>
      </c>
      <c r="AK279" s="448"/>
      <c r="AL279" s="445"/>
    </row>
    <row r="280" spans="1:38" s="467" customFormat="1" ht="12.75" customHeight="1">
      <c r="A280" s="1033">
        <v>5141100</v>
      </c>
      <c r="B280" s="1033" t="s">
        <v>2742</v>
      </c>
      <c r="C280" s="1034" t="str">
        <f t="shared" si="36"/>
        <v/>
      </c>
      <c r="D280" s="1033"/>
      <c r="E280" s="1033"/>
      <c r="F280" s="1034" t="str">
        <f t="shared" si="37"/>
        <v/>
      </c>
      <c r="G280" s="1033"/>
      <c r="H280" s="1033"/>
      <c r="I280" s="1034" t="str">
        <f t="shared" si="38"/>
        <v/>
      </c>
      <c r="J280" s="1033"/>
      <c r="K280" s="1033"/>
      <c r="L280" s="1034" t="str">
        <f t="shared" si="39"/>
        <v/>
      </c>
      <c r="M280" s="1035"/>
      <c r="N280" s="1035"/>
      <c r="O280" s="1036" t="str">
        <f t="shared" si="40"/>
        <v/>
      </c>
      <c r="P280" s="1033"/>
      <c r="Q280" s="1033"/>
      <c r="R280" s="1034" t="str">
        <f t="shared" si="41"/>
        <v/>
      </c>
      <c r="S280" s="1035"/>
      <c r="T280" s="1035"/>
      <c r="U280" s="1034" t="str">
        <f t="shared" si="42"/>
        <v/>
      </c>
      <c r="V280" s="1035"/>
      <c r="W280" s="1035"/>
      <c r="X280" s="1037" t="str">
        <f t="shared" si="46"/>
        <v>1</v>
      </c>
      <c r="Y280" s="1035"/>
      <c r="Z280" s="1035">
        <f t="shared" si="47"/>
        <v>1</v>
      </c>
      <c r="AA280" s="1035"/>
      <c r="AB280" s="1035"/>
      <c r="AC280" s="1021">
        <v>110818</v>
      </c>
      <c r="AD280" s="1021" t="s">
        <v>2015</v>
      </c>
      <c r="AE280" s="1022">
        <f>VLOOKUP(AC280,[5]Hoja1!$A$10:$K$1393,11,0)</f>
        <v>0</v>
      </c>
      <c r="AF280" s="1022"/>
      <c r="AG280" s="1022">
        <f t="shared" si="48"/>
        <v>0</v>
      </c>
      <c r="AH280" s="1022">
        <f t="shared" si="49"/>
        <v>0</v>
      </c>
      <c r="AK280" s="448"/>
      <c r="AL280" s="445"/>
    </row>
    <row r="281" spans="1:38" s="467" customFormat="1" ht="12.75" customHeight="1">
      <c r="A281" s="1033">
        <v>5141100</v>
      </c>
      <c r="B281" s="1033" t="s">
        <v>2742</v>
      </c>
      <c r="C281" s="1034" t="str">
        <f t="shared" si="36"/>
        <v/>
      </c>
      <c r="D281" s="1033"/>
      <c r="E281" s="1033"/>
      <c r="F281" s="1034" t="str">
        <f t="shared" si="37"/>
        <v/>
      </c>
      <c r="G281" s="1033"/>
      <c r="H281" s="1033"/>
      <c r="I281" s="1034" t="str">
        <f t="shared" si="38"/>
        <v/>
      </c>
      <c r="J281" s="1033"/>
      <c r="K281" s="1033"/>
      <c r="L281" s="1034" t="str">
        <f t="shared" si="39"/>
        <v/>
      </c>
      <c r="M281" s="1035"/>
      <c r="N281" s="1035"/>
      <c r="O281" s="1036" t="str">
        <f t="shared" si="40"/>
        <v/>
      </c>
      <c r="P281" s="1033"/>
      <c r="Q281" s="1033"/>
      <c r="R281" s="1034" t="str">
        <f t="shared" si="41"/>
        <v/>
      </c>
      <c r="S281" s="1035"/>
      <c r="T281" s="1035"/>
      <c r="U281" s="1034" t="str">
        <f t="shared" si="42"/>
        <v/>
      </c>
      <c r="V281" s="1035"/>
      <c r="W281" s="1035"/>
      <c r="X281" s="1037" t="str">
        <f t="shared" si="46"/>
        <v>1</v>
      </c>
      <c r="Y281" s="1035"/>
      <c r="Z281" s="1035">
        <f t="shared" si="47"/>
        <v>1</v>
      </c>
      <c r="AA281" s="1035"/>
      <c r="AB281" s="1035"/>
      <c r="AC281" s="1021">
        <v>110819</v>
      </c>
      <c r="AD281" s="1021" t="s">
        <v>2016</v>
      </c>
      <c r="AE281" s="1022">
        <f>VLOOKUP(AC281,[5]Hoja1!$A$10:$K$1393,11,0)</f>
        <v>0</v>
      </c>
      <c r="AF281" s="1022"/>
      <c r="AG281" s="1022">
        <f t="shared" si="48"/>
        <v>0</v>
      </c>
      <c r="AH281" s="1022">
        <f t="shared" si="49"/>
        <v>0</v>
      </c>
      <c r="AK281" s="448"/>
      <c r="AL281" s="445"/>
    </row>
    <row r="282" spans="1:38" s="467" customFormat="1" ht="12.75" customHeight="1">
      <c r="A282" s="1033">
        <v>5141100</v>
      </c>
      <c r="B282" s="1033" t="s">
        <v>2742</v>
      </c>
      <c r="C282" s="1034" t="str">
        <f t="shared" si="36"/>
        <v/>
      </c>
      <c r="D282" s="1033"/>
      <c r="E282" s="1033"/>
      <c r="F282" s="1034" t="str">
        <f t="shared" si="37"/>
        <v/>
      </c>
      <c r="G282" s="1033"/>
      <c r="H282" s="1033"/>
      <c r="I282" s="1034" t="str">
        <f t="shared" si="38"/>
        <v/>
      </c>
      <c r="J282" s="1033"/>
      <c r="K282" s="1033"/>
      <c r="L282" s="1034" t="str">
        <f t="shared" si="39"/>
        <v/>
      </c>
      <c r="M282" s="1035"/>
      <c r="N282" s="1035"/>
      <c r="O282" s="1036" t="str">
        <f t="shared" si="40"/>
        <v/>
      </c>
      <c r="P282" s="1033"/>
      <c r="Q282" s="1033"/>
      <c r="R282" s="1034" t="str">
        <f t="shared" si="41"/>
        <v/>
      </c>
      <c r="S282" s="1035"/>
      <c r="T282" s="1035"/>
      <c r="U282" s="1034" t="str">
        <f t="shared" si="42"/>
        <v/>
      </c>
      <c r="V282" s="1035"/>
      <c r="W282" s="1035"/>
      <c r="X282" s="1037" t="str">
        <f t="shared" si="46"/>
        <v>1</v>
      </c>
      <c r="Y282" s="1035"/>
      <c r="Z282" s="1035">
        <f t="shared" si="47"/>
        <v>1</v>
      </c>
      <c r="AA282" s="1035"/>
      <c r="AB282" s="1035"/>
      <c r="AC282" s="1021">
        <v>110820</v>
      </c>
      <c r="AD282" s="1021" t="s">
        <v>2017</v>
      </c>
      <c r="AE282" s="1022">
        <f>VLOOKUP(AC282,[5]Hoja1!$A$10:$K$1393,11,0)</f>
        <v>531648692</v>
      </c>
      <c r="AF282" s="1022"/>
      <c r="AG282" s="1022">
        <f t="shared" si="48"/>
        <v>531648692</v>
      </c>
      <c r="AH282" s="1022">
        <f t="shared" si="49"/>
        <v>531649</v>
      </c>
      <c r="AK282" s="448"/>
      <c r="AL282" s="445"/>
    </row>
    <row r="283" spans="1:38" s="467" customFormat="1" ht="12.75" customHeight="1">
      <c r="A283" s="1033">
        <v>5141100</v>
      </c>
      <c r="B283" s="1033" t="s">
        <v>2742</v>
      </c>
      <c r="C283" s="1034" t="str">
        <f t="shared" si="36"/>
        <v/>
      </c>
      <c r="D283" s="1033"/>
      <c r="E283" s="1033"/>
      <c r="F283" s="1034" t="str">
        <f t="shared" si="37"/>
        <v/>
      </c>
      <c r="G283" s="1033"/>
      <c r="H283" s="1033"/>
      <c r="I283" s="1034" t="str">
        <f t="shared" si="38"/>
        <v/>
      </c>
      <c r="J283" s="1033"/>
      <c r="K283" s="1033"/>
      <c r="L283" s="1034" t="str">
        <f t="shared" si="39"/>
        <v/>
      </c>
      <c r="M283" s="1035"/>
      <c r="N283" s="1035"/>
      <c r="O283" s="1036" t="str">
        <f t="shared" si="40"/>
        <v/>
      </c>
      <c r="P283" s="1033"/>
      <c r="Q283" s="1033"/>
      <c r="R283" s="1034" t="str">
        <f t="shared" si="41"/>
        <v/>
      </c>
      <c r="S283" s="1035"/>
      <c r="T283" s="1035"/>
      <c r="U283" s="1034" t="str">
        <f t="shared" si="42"/>
        <v/>
      </c>
      <c r="V283" s="1035"/>
      <c r="W283" s="1035"/>
      <c r="X283" s="1037" t="str">
        <f t="shared" si="46"/>
        <v>1</v>
      </c>
      <c r="Y283" s="1035"/>
      <c r="Z283" s="1035">
        <f t="shared" si="47"/>
        <v>1</v>
      </c>
      <c r="AA283" s="1035"/>
      <c r="AB283" s="1035"/>
      <c r="AC283" s="1021">
        <v>110821</v>
      </c>
      <c r="AD283" s="1021" t="s">
        <v>2018</v>
      </c>
      <c r="AE283" s="1022">
        <f>VLOOKUP(AC283,[5]Hoja1!$A$10:$K$1393,11,0)</f>
        <v>6645981745</v>
      </c>
      <c r="AF283" s="1022"/>
      <c r="AG283" s="1022">
        <f t="shared" si="48"/>
        <v>6645981745</v>
      </c>
      <c r="AH283" s="1022">
        <f t="shared" si="49"/>
        <v>6645982</v>
      </c>
      <c r="AK283" s="448"/>
      <c r="AL283" s="445"/>
    </row>
    <row r="284" spans="1:38" s="467" customFormat="1" ht="12.75" customHeight="1">
      <c r="A284" s="1033">
        <v>5141100</v>
      </c>
      <c r="B284" s="1033" t="s">
        <v>2742</v>
      </c>
      <c r="C284" s="1034" t="str">
        <f t="shared" si="36"/>
        <v/>
      </c>
      <c r="D284" s="1033"/>
      <c r="E284" s="1033"/>
      <c r="F284" s="1034" t="str">
        <f t="shared" si="37"/>
        <v/>
      </c>
      <c r="G284" s="1033"/>
      <c r="H284" s="1033"/>
      <c r="I284" s="1034" t="str">
        <f t="shared" si="38"/>
        <v/>
      </c>
      <c r="J284" s="1033"/>
      <c r="K284" s="1033"/>
      <c r="L284" s="1034" t="str">
        <f t="shared" si="39"/>
        <v/>
      </c>
      <c r="M284" s="1035"/>
      <c r="N284" s="1035"/>
      <c r="O284" s="1036" t="str">
        <f t="shared" si="40"/>
        <v/>
      </c>
      <c r="P284" s="1033"/>
      <c r="Q284" s="1033"/>
      <c r="R284" s="1034" t="str">
        <f t="shared" si="41"/>
        <v/>
      </c>
      <c r="S284" s="1035"/>
      <c r="T284" s="1035"/>
      <c r="U284" s="1034" t="str">
        <f t="shared" si="42"/>
        <v/>
      </c>
      <c r="V284" s="1035"/>
      <c r="W284" s="1035"/>
      <c r="X284" s="1037" t="str">
        <f t="shared" si="46"/>
        <v>1</v>
      </c>
      <c r="Y284" s="1035"/>
      <c r="Z284" s="1035">
        <f t="shared" si="47"/>
        <v>1</v>
      </c>
      <c r="AA284" s="1035"/>
      <c r="AB284" s="1035"/>
      <c r="AC284" s="1021">
        <v>110822</v>
      </c>
      <c r="AD284" s="1021" t="s">
        <v>2019</v>
      </c>
      <c r="AE284" s="1022">
        <f>VLOOKUP(AC284,[5]Hoja1!$A$10:$K$1393,11,0)</f>
        <v>0</v>
      </c>
      <c r="AF284" s="1022"/>
      <c r="AG284" s="1022">
        <f t="shared" si="48"/>
        <v>0</v>
      </c>
      <c r="AH284" s="1022">
        <f t="shared" si="49"/>
        <v>0</v>
      </c>
      <c r="AK284" s="448"/>
      <c r="AL284" s="445"/>
    </row>
    <row r="285" spans="1:38" s="467" customFormat="1" ht="12.75" customHeight="1">
      <c r="A285" s="1033"/>
      <c r="B285" s="1033"/>
      <c r="C285" s="1034"/>
      <c r="D285" s="1033"/>
      <c r="E285" s="1033"/>
      <c r="F285" s="1034"/>
      <c r="G285" s="1033"/>
      <c r="H285" s="1033"/>
      <c r="I285" s="1034"/>
      <c r="J285" s="1033"/>
      <c r="K285" s="1033"/>
      <c r="L285" s="1034"/>
      <c r="M285" s="1035"/>
      <c r="N285" s="1035"/>
      <c r="O285" s="1036"/>
      <c r="P285" s="1033"/>
      <c r="Q285" s="1033"/>
      <c r="R285" s="1034"/>
      <c r="S285" s="1035"/>
      <c r="T285" s="1035"/>
      <c r="U285" s="1034"/>
      <c r="V285" s="1035"/>
      <c r="W285" s="1035"/>
      <c r="X285" s="1037"/>
      <c r="Y285" s="1035"/>
      <c r="Z285" s="1035">
        <f t="shared" si="47"/>
        <v>1</v>
      </c>
      <c r="AA285" s="1035"/>
      <c r="AB285" s="1035"/>
      <c r="AC285" s="1021">
        <v>110823</v>
      </c>
      <c r="AD285" s="1021" t="s">
        <v>729</v>
      </c>
      <c r="AE285" s="1022">
        <v>0</v>
      </c>
      <c r="AF285" s="1022"/>
      <c r="AG285" s="1022">
        <f t="shared" si="48"/>
        <v>0</v>
      </c>
      <c r="AH285" s="1022">
        <f t="shared" si="49"/>
        <v>0</v>
      </c>
      <c r="AK285" s="448"/>
      <c r="AL285" s="445"/>
    </row>
    <row r="286" spans="1:38" s="467" customFormat="1" ht="12.75" customHeight="1">
      <c r="A286" s="1033"/>
      <c r="B286" s="1033"/>
      <c r="C286" s="1034"/>
      <c r="D286" s="1033"/>
      <c r="E286" s="1033"/>
      <c r="F286" s="1034"/>
      <c r="G286" s="1033"/>
      <c r="H286" s="1033"/>
      <c r="I286" s="1034"/>
      <c r="J286" s="1033"/>
      <c r="K286" s="1033"/>
      <c r="L286" s="1034"/>
      <c r="M286" s="1035"/>
      <c r="N286" s="1035"/>
      <c r="O286" s="1036"/>
      <c r="P286" s="1033"/>
      <c r="Q286" s="1033"/>
      <c r="R286" s="1034"/>
      <c r="S286" s="1035"/>
      <c r="T286" s="1035"/>
      <c r="U286" s="1034"/>
      <c r="V286" s="1035"/>
      <c r="W286" s="1035"/>
      <c r="X286" s="1037"/>
      <c r="Y286" s="1035"/>
      <c r="Z286" s="1035">
        <f t="shared" si="47"/>
        <v>1</v>
      </c>
      <c r="AA286" s="1035"/>
      <c r="AB286" s="1035"/>
      <c r="AC286" s="1021">
        <v>110824</v>
      </c>
      <c r="AD286" s="1021" t="s">
        <v>730</v>
      </c>
      <c r="AE286" s="1022">
        <v>0</v>
      </c>
      <c r="AF286" s="1022"/>
      <c r="AG286" s="1022">
        <f t="shared" si="48"/>
        <v>0</v>
      </c>
      <c r="AH286" s="1022">
        <f t="shared" si="49"/>
        <v>0</v>
      </c>
      <c r="AK286" s="448"/>
      <c r="AL286" s="445"/>
    </row>
    <row r="287" spans="1:38" s="467" customFormat="1" ht="12.75" customHeight="1">
      <c r="A287" s="1033">
        <v>5153500</v>
      </c>
      <c r="B287" s="1033" t="s">
        <v>1457</v>
      </c>
      <c r="C287" s="1034"/>
      <c r="D287" s="1033"/>
      <c r="E287" s="1033"/>
      <c r="F287" s="1034"/>
      <c r="G287" s="1033"/>
      <c r="H287" s="1033"/>
      <c r="I287" s="1034"/>
      <c r="J287" s="1033"/>
      <c r="K287" s="1033"/>
      <c r="L287" s="1034"/>
      <c r="M287" s="1035"/>
      <c r="N287" s="1035"/>
      <c r="O287" s="1036"/>
      <c r="P287" s="1033"/>
      <c r="Q287" s="1033"/>
      <c r="R287" s="1034"/>
      <c r="S287" s="1035"/>
      <c r="T287" s="1035"/>
      <c r="U287" s="1034"/>
      <c r="V287" s="1035"/>
      <c r="W287" s="1035"/>
      <c r="X287" s="1037"/>
      <c r="Y287" s="1035"/>
      <c r="Z287" s="1035">
        <f t="shared" si="47"/>
        <v>1</v>
      </c>
      <c r="AA287" s="1033" t="s">
        <v>2886</v>
      </c>
      <c r="AB287" s="1033" t="s">
        <v>2876</v>
      </c>
      <c r="AC287" s="1021">
        <v>110825</v>
      </c>
      <c r="AD287" s="1021" t="s">
        <v>2020</v>
      </c>
      <c r="AE287" s="1022">
        <f>VLOOKUP(AC287,[5]Hoja1!$A$10:$K$1393,11,0)</f>
        <v>-3983940</v>
      </c>
      <c r="AF287" s="1022"/>
      <c r="AG287" s="1022">
        <f t="shared" si="48"/>
        <v>-3983940</v>
      </c>
      <c r="AH287" s="1022">
        <f t="shared" si="49"/>
        <v>-3984</v>
      </c>
      <c r="AK287" s="448"/>
      <c r="AL287" s="445"/>
    </row>
    <row r="288" spans="1:38" s="467" customFormat="1" ht="12.75" customHeight="1">
      <c r="A288" s="1033">
        <v>5141100</v>
      </c>
      <c r="B288" s="1033" t="s">
        <v>2742</v>
      </c>
      <c r="C288" s="1034"/>
      <c r="D288" s="1033"/>
      <c r="E288" s="1033"/>
      <c r="F288" s="1034"/>
      <c r="G288" s="1033"/>
      <c r="H288" s="1033"/>
      <c r="I288" s="1034"/>
      <c r="J288" s="1033"/>
      <c r="K288" s="1033"/>
      <c r="L288" s="1034"/>
      <c r="M288" s="1035"/>
      <c r="N288" s="1035"/>
      <c r="O288" s="1036"/>
      <c r="P288" s="1033"/>
      <c r="Q288" s="1033"/>
      <c r="R288" s="1034"/>
      <c r="S288" s="1035"/>
      <c r="T288" s="1035"/>
      <c r="U288" s="1034"/>
      <c r="V288" s="1035"/>
      <c r="W288" s="1035"/>
      <c r="X288" s="1037"/>
      <c r="Y288" s="1035"/>
      <c r="Z288" s="1035">
        <f t="shared" si="47"/>
        <v>1</v>
      </c>
      <c r="AA288" s="1035"/>
      <c r="AB288" s="1035"/>
      <c r="AC288" s="1021">
        <v>110827</v>
      </c>
      <c r="AD288" s="1021" t="s">
        <v>1519</v>
      </c>
      <c r="AE288" s="1022">
        <f>VLOOKUP(AC288,[5]Hoja1!$A$10:$K$1393,11,0)</f>
        <v>0</v>
      </c>
      <c r="AF288" s="1022"/>
      <c r="AG288" s="1022">
        <f t="shared" si="48"/>
        <v>0</v>
      </c>
      <c r="AH288" s="1022">
        <f t="shared" si="49"/>
        <v>0</v>
      </c>
      <c r="AK288" s="448"/>
      <c r="AL288" s="445"/>
    </row>
    <row r="289" spans="1:38" s="467" customFormat="1" ht="12.75" customHeight="1">
      <c r="A289" s="1033">
        <v>5141100</v>
      </c>
      <c r="B289" s="1033" t="s">
        <v>2742</v>
      </c>
      <c r="C289" s="1034"/>
      <c r="D289" s="1033"/>
      <c r="E289" s="1033"/>
      <c r="F289" s="1034"/>
      <c r="G289" s="1033"/>
      <c r="H289" s="1033"/>
      <c r="I289" s="1034"/>
      <c r="J289" s="1033"/>
      <c r="K289" s="1033"/>
      <c r="L289" s="1034"/>
      <c r="M289" s="1035"/>
      <c r="N289" s="1035"/>
      <c r="O289" s="1036"/>
      <c r="P289" s="1033"/>
      <c r="Q289" s="1033"/>
      <c r="R289" s="1034"/>
      <c r="S289" s="1035"/>
      <c r="T289" s="1035"/>
      <c r="U289" s="1034"/>
      <c r="V289" s="1035"/>
      <c r="W289" s="1035"/>
      <c r="X289" s="1037"/>
      <c r="Y289" s="1035"/>
      <c r="Z289" s="1035">
        <f t="shared" si="47"/>
        <v>1</v>
      </c>
      <c r="AA289" s="1035"/>
      <c r="AB289" s="1035"/>
      <c r="AC289" s="1021">
        <v>110829</v>
      </c>
      <c r="AD289" s="1021" t="s">
        <v>2021</v>
      </c>
      <c r="AE289" s="1022">
        <f>VLOOKUP(AC289,[5]Hoja1!$A$10:$K$1393,11,0)</f>
        <v>-93134593</v>
      </c>
      <c r="AF289" s="1022"/>
      <c r="AG289" s="1022">
        <f t="shared" si="48"/>
        <v>-93134593</v>
      </c>
      <c r="AH289" s="1022">
        <f t="shared" si="49"/>
        <v>-93135</v>
      </c>
      <c r="AK289" s="448"/>
      <c r="AL289" s="445"/>
    </row>
    <row r="290" spans="1:38" s="467" customFormat="1" ht="12.75" customHeight="1">
      <c r="A290" s="1033">
        <v>5141100</v>
      </c>
      <c r="B290" s="1033" t="s">
        <v>2742</v>
      </c>
      <c r="C290" s="1034"/>
      <c r="D290" s="1033"/>
      <c r="E290" s="1033"/>
      <c r="F290" s="1034"/>
      <c r="G290" s="1033"/>
      <c r="H290" s="1033"/>
      <c r="I290" s="1034"/>
      <c r="J290" s="1033"/>
      <c r="K290" s="1033"/>
      <c r="L290" s="1034"/>
      <c r="M290" s="1035"/>
      <c r="N290" s="1035"/>
      <c r="O290" s="1036"/>
      <c r="P290" s="1033"/>
      <c r="Q290" s="1033"/>
      <c r="R290" s="1034"/>
      <c r="S290" s="1035"/>
      <c r="T290" s="1035"/>
      <c r="U290" s="1034"/>
      <c r="V290" s="1035"/>
      <c r="W290" s="1035"/>
      <c r="X290" s="1037"/>
      <c r="Y290" s="1035"/>
      <c r="Z290" s="1035">
        <f t="shared" si="47"/>
        <v>1</v>
      </c>
      <c r="AA290" s="1035"/>
      <c r="AB290" s="1035"/>
      <c r="AC290" s="1021">
        <v>110830</v>
      </c>
      <c r="AD290" s="1021" t="s">
        <v>1548</v>
      </c>
      <c r="AE290" s="1022">
        <v>0</v>
      </c>
      <c r="AF290" s="1022"/>
      <c r="AG290" s="1022">
        <f t="shared" si="48"/>
        <v>0</v>
      </c>
      <c r="AH290" s="1022">
        <f t="shared" si="49"/>
        <v>0</v>
      </c>
      <c r="AK290" s="448"/>
      <c r="AL290" s="445"/>
    </row>
    <row r="291" spans="1:38" s="467" customFormat="1" ht="12.75" customHeight="1">
      <c r="A291" s="1033">
        <v>5141100</v>
      </c>
      <c r="B291" s="1033" t="s">
        <v>2742</v>
      </c>
      <c r="C291" s="1034"/>
      <c r="D291" s="1033"/>
      <c r="E291" s="1033"/>
      <c r="F291" s="1034"/>
      <c r="G291" s="1033"/>
      <c r="H291" s="1033"/>
      <c r="I291" s="1034"/>
      <c r="J291" s="1033"/>
      <c r="K291" s="1033"/>
      <c r="L291" s="1034"/>
      <c r="M291" s="1035"/>
      <c r="N291" s="1035"/>
      <c r="O291" s="1036"/>
      <c r="P291" s="1033"/>
      <c r="Q291" s="1033"/>
      <c r="R291" s="1034"/>
      <c r="S291" s="1035"/>
      <c r="T291" s="1035"/>
      <c r="U291" s="1034"/>
      <c r="V291" s="1035"/>
      <c r="W291" s="1035"/>
      <c r="X291" s="1037"/>
      <c r="Y291" s="1035"/>
      <c r="Z291" s="1035">
        <f t="shared" si="47"/>
        <v>1</v>
      </c>
      <c r="AA291" s="1035"/>
      <c r="AB291" s="1035"/>
      <c r="AC291" s="1021">
        <v>110831</v>
      </c>
      <c r="AD291" s="1021" t="s">
        <v>1096</v>
      </c>
      <c r="AE291" s="1022">
        <v>0</v>
      </c>
      <c r="AF291" s="1022"/>
      <c r="AG291" s="1022">
        <f t="shared" si="48"/>
        <v>0</v>
      </c>
      <c r="AH291" s="1022">
        <f t="shared" si="49"/>
        <v>0</v>
      </c>
      <c r="AK291" s="448"/>
      <c r="AL291" s="445"/>
    </row>
    <row r="292" spans="1:38" s="467" customFormat="1" ht="12.75" customHeight="1">
      <c r="A292" s="1033"/>
      <c r="B292" s="1033"/>
      <c r="C292" s="1034"/>
      <c r="D292" s="1033"/>
      <c r="E292" s="1033"/>
      <c r="F292" s="1034"/>
      <c r="G292" s="1033"/>
      <c r="H292" s="1033"/>
      <c r="I292" s="1034"/>
      <c r="J292" s="1033"/>
      <c r="K292" s="1033"/>
      <c r="L292" s="1034"/>
      <c r="M292" s="1035"/>
      <c r="N292" s="1035"/>
      <c r="O292" s="1036"/>
      <c r="P292" s="1033"/>
      <c r="Q292" s="1033"/>
      <c r="R292" s="1034"/>
      <c r="S292" s="1035"/>
      <c r="T292" s="1035"/>
      <c r="U292" s="1034"/>
      <c r="V292" s="1035"/>
      <c r="W292" s="1035"/>
      <c r="X292" s="1037"/>
      <c r="Y292" s="1035"/>
      <c r="Z292" s="1035">
        <f t="shared" si="47"/>
        <v>1</v>
      </c>
      <c r="AA292" s="1035"/>
      <c r="AB292" s="1035"/>
      <c r="AC292" s="1021">
        <v>110832</v>
      </c>
      <c r="AD292" s="1021" t="s">
        <v>2604</v>
      </c>
      <c r="AE292" s="1022">
        <f>VLOOKUP(AC292,[5]Hoja1!$A$10:$K$1393,11,0)</f>
        <v>0</v>
      </c>
      <c r="AF292" s="1022"/>
      <c r="AG292" s="1022">
        <f t="shared" si="48"/>
        <v>0</v>
      </c>
      <c r="AH292" s="1022">
        <f t="shared" si="49"/>
        <v>0</v>
      </c>
      <c r="AK292" s="448"/>
      <c r="AL292" s="445"/>
    </row>
    <row r="293" spans="1:38" s="467" customFormat="1" ht="12.75" customHeight="1">
      <c r="A293" s="1033">
        <v>5141100</v>
      </c>
      <c r="B293" s="1033" t="s">
        <v>2742</v>
      </c>
      <c r="C293" s="1034"/>
      <c r="D293" s="1033"/>
      <c r="E293" s="1033"/>
      <c r="F293" s="1034"/>
      <c r="G293" s="1033"/>
      <c r="H293" s="1033"/>
      <c r="I293" s="1034"/>
      <c r="J293" s="1033"/>
      <c r="K293" s="1033"/>
      <c r="L293" s="1034"/>
      <c r="M293" s="1035"/>
      <c r="N293" s="1035"/>
      <c r="O293" s="1036"/>
      <c r="P293" s="1033"/>
      <c r="Q293" s="1033"/>
      <c r="R293" s="1034"/>
      <c r="S293" s="1035"/>
      <c r="T293" s="1035"/>
      <c r="U293" s="1034"/>
      <c r="V293" s="1035"/>
      <c r="W293" s="1035"/>
      <c r="X293" s="1037"/>
      <c r="Y293" s="1035"/>
      <c r="Z293" s="1035">
        <f t="shared" si="47"/>
        <v>1</v>
      </c>
      <c r="AA293" s="1035"/>
      <c r="AB293" s="1035"/>
      <c r="AC293" s="1021">
        <v>110834</v>
      </c>
      <c r="AD293" s="1021" t="s">
        <v>3522</v>
      </c>
      <c r="AE293" s="1022">
        <f>VLOOKUP(AC293,[5]Hoja1!$A$10:$K$1393,11,0)</f>
        <v>1323974205</v>
      </c>
      <c r="AF293" s="1022"/>
      <c r="AG293" s="1022">
        <f t="shared" ref="AG293" si="50">AE293+AF293</f>
        <v>1323974205</v>
      </c>
      <c r="AH293" s="1022">
        <f t="shared" ref="AH293" si="51">ROUND((AE293+AF293)/$AH$2,0)</f>
        <v>1323974</v>
      </c>
      <c r="AK293" s="448"/>
      <c r="AL293" s="445"/>
    </row>
    <row r="294" spans="1:38" s="467" customFormat="1" ht="12.75" customHeight="1">
      <c r="A294" s="1033">
        <v>5214260</v>
      </c>
      <c r="B294" s="1033" t="s">
        <v>2794</v>
      </c>
      <c r="C294" s="1034"/>
      <c r="D294" s="1033"/>
      <c r="E294" s="1033"/>
      <c r="F294" s="1034"/>
      <c r="G294" s="1033"/>
      <c r="H294" s="1033"/>
      <c r="I294" s="1034"/>
      <c r="J294" s="1033"/>
      <c r="K294" s="1033"/>
      <c r="L294" s="1034"/>
      <c r="M294" s="1035"/>
      <c r="N294" s="1035"/>
      <c r="O294" s="1036"/>
      <c r="P294" s="1033"/>
      <c r="Q294" s="1033"/>
      <c r="R294" s="1034"/>
      <c r="S294" s="1035"/>
      <c r="T294" s="1035"/>
      <c r="U294" s="1034"/>
      <c r="V294" s="1035"/>
      <c r="W294" s="1035"/>
      <c r="X294" s="1037"/>
      <c r="Y294" s="1035"/>
      <c r="Z294" s="1035">
        <f t="shared" si="47"/>
        <v>1</v>
      </c>
      <c r="AA294" s="1033" t="s">
        <v>2906</v>
      </c>
      <c r="AB294" s="1033" t="s">
        <v>2880</v>
      </c>
      <c r="AC294" s="1021">
        <v>110840</v>
      </c>
      <c r="AD294" s="1021" t="s">
        <v>731</v>
      </c>
      <c r="AE294" s="1022">
        <f>VLOOKUP(AC294,[5]Hoja1!$A$10:$K$1393,11,0)</f>
        <v>-16302813</v>
      </c>
      <c r="AF294" s="1022"/>
      <c r="AG294" s="1022">
        <f t="shared" si="48"/>
        <v>-16302813</v>
      </c>
      <c r="AH294" s="1022">
        <f t="shared" si="49"/>
        <v>-16303</v>
      </c>
      <c r="AK294" s="448"/>
      <c r="AL294" s="445"/>
    </row>
    <row r="295" spans="1:38" s="467" customFormat="1" ht="12.75" customHeight="1">
      <c r="A295" s="1033">
        <v>5214260</v>
      </c>
      <c r="B295" s="1033" t="s">
        <v>2794</v>
      </c>
      <c r="C295" s="1034"/>
      <c r="D295" s="1033"/>
      <c r="E295" s="1033"/>
      <c r="F295" s="1034"/>
      <c r="G295" s="1033"/>
      <c r="H295" s="1033"/>
      <c r="I295" s="1034"/>
      <c r="J295" s="1033"/>
      <c r="K295" s="1033"/>
      <c r="L295" s="1034"/>
      <c r="M295" s="1035"/>
      <c r="N295" s="1035"/>
      <c r="O295" s="1036"/>
      <c r="P295" s="1033"/>
      <c r="Q295" s="1033"/>
      <c r="R295" s="1034"/>
      <c r="S295" s="1035"/>
      <c r="T295" s="1035"/>
      <c r="U295" s="1034"/>
      <c r="V295" s="1035"/>
      <c r="W295" s="1035"/>
      <c r="X295" s="1037"/>
      <c r="Y295" s="1035"/>
      <c r="Z295" s="1035">
        <f t="shared" si="47"/>
        <v>1</v>
      </c>
      <c r="AA295" s="1033" t="s">
        <v>2906</v>
      </c>
      <c r="AB295" s="1033" t="s">
        <v>2880</v>
      </c>
      <c r="AC295" s="1021">
        <v>110841</v>
      </c>
      <c r="AD295" s="1021" t="s">
        <v>732</v>
      </c>
      <c r="AE295" s="1022">
        <f>VLOOKUP(AC295,[5]Hoja1!$A$10:$K$1393,11,0)</f>
        <v>-11100116</v>
      </c>
      <c r="AF295" s="1022"/>
      <c r="AG295" s="1022">
        <f t="shared" si="48"/>
        <v>-11100116</v>
      </c>
      <c r="AH295" s="1022">
        <f t="shared" si="49"/>
        <v>-11100</v>
      </c>
      <c r="AK295" s="448"/>
      <c r="AL295" s="445"/>
    </row>
    <row r="296" spans="1:38" s="467" customFormat="1" ht="12.75" customHeight="1">
      <c r="A296" s="1033">
        <v>5141100</v>
      </c>
      <c r="B296" s="1033" t="s">
        <v>2742</v>
      </c>
      <c r="C296" s="1034"/>
      <c r="D296" s="1033"/>
      <c r="E296" s="1033"/>
      <c r="F296" s="1034"/>
      <c r="G296" s="1033"/>
      <c r="H296" s="1033"/>
      <c r="I296" s="1034"/>
      <c r="J296" s="1033"/>
      <c r="K296" s="1033"/>
      <c r="L296" s="1034"/>
      <c r="M296" s="1035"/>
      <c r="N296" s="1035"/>
      <c r="O296" s="1036"/>
      <c r="P296" s="1033"/>
      <c r="Q296" s="1033"/>
      <c r="R296" s="1034"/>
      <c r="S296" s="1035"/>
      <c r="T296" s="1035"/>
      <c r="U296" s="1034"/>
      <c r="V296" s="1035"/>
      <c r="W296" s="1035"/>
      <c r="X296" s="1037"/>
      <c r="Y296" s="1035"/>
      <c r="Z296" s="1035">
        <f t="shared" si="47"/>
        <v>1</v>
      </c>
      <c r="AA296" s="1035"/>
      <c r="AB296" s="1035"/>
      <c r="AC296" s="1021">
        <v>110842</v>
      </c>
      <c r="AD296" s="1021" t="s">
        <v>1304</v>
      </c>
      <c r="AE296" s="1022">
        <f>VLOOKUP(AC296,[5]Hoja1!$A$10:$K$1393,11,0)</f>
        <v>0</v>
      </c>
      <c r="AF296" s="1022"/>
      <c r="AG296" s="1022">
        <f t="shared" si="48"/>
        <v>0</v>
      </c>
      <c r="AH296" s="1022">
        <f t="shared" si="49"/>
        <v>0</v>
      </c>
      <c r="AK296" s="448"/>
      <c r="AL296" s="445"/>
    </row>
    <row r="297" spans="1:38" s="467" customFormat="1" ht="12.75" customHeight="1">
      <c r="A297" s="1033">
        <v>5214260</v>
      </c>
      <c r="B297" s="1033" t="s">
        <v>2794</v>
      </c>
      <c r="C297" s="1034"/>
      <c r="D297" s="1033"/>
      <c r="E297" s="1033"/>
      <c r="F297" s="1034"/>
      <c r="G297" s="1033"/>
      <c r="H297" s="1033"/>
      <c r="I297" s="1034"/>
      <c r="J297" s="1033"/>
      <c r="K297" s="1033"/>
      <c r="L297" s="1034"/>
      <c r="M297" s="1035"/>
      <c r="N297" s="1035"/>
      <c r="O297" s="1036"/>
      <c r="P297" s="1033"/>
      <c r="Q297" s="1033"/>
      <c r="R297" s="1034"/>
      <c r="S297" s="1035"/>
      <c r="T297" s="1035"/>
      <c r="U297" s="1034"/>
      <c r="V297" s="1035"/>
      <c r="W297" s="1035"/>
      <c r="X297" s="1037"/>
      <c r="Y297" s="1035"/>
      <c r="Z297" s="1035">
        <f t="shared" si="47"/>
        <v>1</v>
      </c>
      <c r="AA297" s="1033" t="s">
        <v>2906</v>
      </c>
      <c r="AB297" s="1033" t="s">
        <v>2880</v>
      </c>
      <c r="AC297" s="1021">
        <v>110843</v>
      </c>
      <c r="AD297" s="1021" t="s">
        <v>1305</v>
      </c>
      <c r="AE297" s="1022">
        <f>VLOOKUP(AC297,[5]Hoja1!$A$10:$K$1393,11,0)</f>
        <v>-6852422</v>
      </c>
      <c r="AF297" s="1022"/>
      <c r="AG297" s="1022">
        <f t="shared" si="48"/>
        <v>-6852422</v>
      </c>
      <c r="AH297" s="1022">
        <f t="shared" si="49"/>
        <v>-6852</v>
      </c>
      <c r="AK297" s="448"/>
      <c r="AL297" s="445"/>
    </row>
    <row r="298" spans="1:38" s="467" customFormat="1" ht="12.75" customHeight="1">
      <c r="A298" s="1033">
        <v>5141100</v>
      </c>
      <c r="B298" s="1033" t="s">
        <v>2742</v>
      </c>
      <c r="C298" s="1034"/>
      <c r="D298" s="1033"/>
      <c r="E298" s="1033"/>
      <c r="F298" s="1034"/>
      <c r="G298" s="1033"/>
      <c r="H298" s="1033"/>
      <c r="I298" s="1034"/>
      <c r="J298" s="1033"/>
      <c r="K298" s="1033"/>
      <c r="L298" s="1034"/>
      <c r="M298" s="1035"/>
      <c r="N298" s="1035"/>
      <c r="O298" s="1036"/>
      <c r="P298" s="1033"/>
      <c r="Q298" s="1033"/>
      <c r="R298" s="1034"/>
      <c r="S298" s="1035"/>
      <c r="T298" s="1035"/>
      <c r="U298" s="1034"/>
      <c r="V298" s="1035"/>
      <c r="W298" s="1035"/>
      <c r="X298" s="1037"/>
      <c r="Y298" s="1035"/>
      <c r="Z298" s="1035">
        <f t="shared" si="47"/>
        <v>1</v>
      </c>
      <c r="AA298" s="1035"/>
      <c r="AB298" s="1035"/>
      <c r="AC298" s="1021">
        <v>110845</v>
      </c>
      <c r="AD298" s="1021" t="s">
        <v>2022</v>
      </c>
      <c r="AE298" s="1022">
        <f>VLOOKUP(AC298,[5]Hoja1!$A$10:$K$1393,11,0)</f>
        <v>0</v>
      </c>
      <c r="AF298" s="1022"/>
      <c r="AG298" s="1022">
        <f t="shared" si="48"/>
        <v>0</v>
      </c>
      <c r="AH298" s="1022">
        <f t="shared" si="49"/>
        <v>0</v>
      </c>
      <c r="AK298" s="448"/>
      <c r="AL298" s="445"/>
    </row>
    <row r="299" spans="1:38" s="467" customFormat="1" ht="12.75" customHeight="1">
      <c r="A299" s="1033">
        <v>5214260</v>
      </c>
      <c r="B299" s="1033" t="s">
        <v>2794</v>
      </c>
      <c r="C299" s="1034"/>
      <c r="D299" s="1033"/>
      <c r="E299" s="1033"/>
      <c r="F299" s="1034"/>
      <c r="G299" s="1033"/>
      <c r="H299" s="1033"/>
      <c r="I299" s="1034"/>
      <c r="J299" s="1033"/>
      <c r="K299" s="1033"/>
      <c r="L299" s="1034"/>
      <c r="M299" s="1035"/>
      <c r="N299" s="1035"/>
      <c r="O299" s="1036"/>
      <c r="P299" s="1033"/>
      <c r="Q299" s="1033"/>
      <c r="R299" s="1034"/>
      <c r="S299" s="1035"/>
      <c r="T299" s="1035"/>
      <c r="U299" s="1034"/>
      <c r="V299" s="1035"/>
      <c r="W299" s="1035"/>
      <c r="X299" s="1037"/>
      <c r="Y299" s="1035"/>
      <c r="Z299" s="1035">
        <f t="shared" si="47"/>
        <v>1</v>
      </c>
      <c r="AA299" s="1033" t="s">
        <v>2906</v>
      </c>
      <c r="AB299" s="1033" t="s">
        <v>2880</v>
      </c>
      <c r="AC299" s="1021">
        <v>110846</v>
      </c>
      <c r="AD299" s="1021" t="s">
        <v>2023</v>
      </c>
      <c r="AE299" s="1022">
        <f>VLOOKUP(AC299,[5]Hoja1!$A$10:$K$1393,11,0)</f>
        <v>-94458</v>
      </c>
      <c r="AF299" s="1022"/>
      <c r="AG299" s="1022">
        <f t="shared" si="48"/>
        <v>-94458</v>
      </c>
      <c r="AH299" s="1022">
        <f t="shared" si="49"/>
        <v>-94</v>
      </c>
      <c r="AK299" s="448"/>
      <c r="AL299" s="445"/>
    </row>
    <row r="300" spans="1:38" s="467" customFormat="1" ht="12.75" customHeight="1">
      <c r="A300" s="1033">
        <v>5141100</v>
      </c>
      <c r="B300" s="1033" t="s">
        <v>2742</v>
      </c>
      <c r="C300" s="1034"/>
      <c r="D300" s="1033"/>
      <c r="E300" s="1033"/>
      <c r="F300" s="1034"/>
      <c r="G300" s="1033"/>
      <c r="H300" s="1033"/>
      <c r="I300" s="1034"/>
      <c r="J300" s="1033"/>
      <c r="K300" s="1033"/>
      <c r="L300" s="1034"/>
      <c r="M300" s="1035"/>
      <c r="N300" s="1035"/>
      <c r="O300" s="1036"/>
      <c r="P300" s="1033"/>
      <c r="Q300" s="1033"/>
      <c r="R300" s="1034"/>
      <c r="S300" s="1035"/>
      <c r="T300" s="1035"/>
      <c r="U300" s="1034"/>
      <c r="V300" s="1035"/>
      <c r="W300" s="1035"/>
      <c r="X300" s="1037"/>
      <c r="Y300" s="1035"/>
      <c r="Z300" s="1035">
        <f t="shared" si="47"/>
        <v>1</v>
      </c>
      <c r="AA300" s="1035"/>
      <c r="AB300" s="1035"/>
      <c r="AC300" s="1021">
        <v>110848</v>
      </c>
      <c r="AD300" s="1021" t="s">
        <v>2024</v>
      </c>
      <c r="AE300" s="1022">
        <v>0</v>
      </c>
      <c r="AF300" s="1022"/>
      <c r="AG300" s="1022">
        <f t="shared" si="48"/>
        <v>0</v>
      </c>
      <c r="AH300" s="1022">
        <f t="shared" si="49"/>
        <v>0</v>
      </c>
      <c r="AK300" s="448"/>
      <c r="AL300" s="445"/>
    </row>
    <row r="301" spans="1:38" s="467" customFormat="1" ht="12.75" customHeight="1">
      <c r="A301" s="1033">
        <v>5141100</v>
      </c>
      <c r="B301" s="1033" t="s">
        <v>2742</v>
      </c>
      <c r="C301" s="1034"/>
      <c r="D301" s="1033"/>
      <c r="E301" s="1033"/>
      <c r="F301" s="1034"/>
      <c r="G301" s="1033"/>
      <c r="H301" s="1033"/>
      <c r="I301" s="1034"/>
      <c r="J301" s="1033"/>
      <c r="K301" s="1033"/>
      <c r="L301" s="1034"/>
      <c r="M301" s="1035"/>
      <c r="N301" s="1035"/>
      <c r="O301" s="1036"/>
      <c r="P301" s="1033"/>
      <c r="Q301" s="1033"/>
      <c r="R301" s="1034"/>
      <c r="S301" s="1035"/>
      <c r="T301" s="1035"/>
      <c r="U301" s="1034"/>
      <c r="V301" s="1035"/>
      <c r="W301" s="1035"/>
      <c r="X301" s="1037"/>
      <c r="Y301" s="1035"/>
      <c r="Z301" s="1035">
        <f t="shared" si="47"/>
        <v>1</v>
      </c>
      <c r="AA301" s="1035"/>
      <c r="AB301" s="1035"/>
      <c r="AC301" s="1021">
        <v>110849</v>
      </c>
      <c r="AD301" s="1021" t="s">
        <v>2025</v>
      </c>
      <c r="AE301" s="1022">
        <f>VLOOKUP(AC301,[5]Hoja1!$A$10:$K$1393,11,0)</f>
        <v>0</v>
      </c>
      <c r="AF301" s="1022"/>
      <c r="AG301" s="1022">
        <f t="shared" si="48"/>
        <v>0</v>
      </c>
      <c r="AH301" s="1022">
        <f t="shared" si="49"/>
        <v>0</v>
      </c>
      <c r="AK301" s="448"/>
      <c r="AL301" s="445"/>
    </row>
    <row r="302" spans="1:38" s="467" customFormat="1" ht="12.75" customHeight="1">
      <c r="A302" s="1033">
        <v>5141100</v>
      </c>
      <c r="B302" s="1033" t="s">
        <v>2742</v>
      </c>
      <c r="C302" s="1034"/>
      <c r="D302" s="1033"/>
      <c r="E302" s="1033"/>
      <c r="F302" s="1034"/>
      <c r="G302" s="1033"/>
      <c r="H302" s="1033"/>
      <c r="I302" s="1034"/>
      <c r="J302" s="1033"/>
      <c r="K302" s="1033"/>
      <c r="L302" s="1034"/>
      <c r="M302" s="1035"/>
      <c r="N302" s="1035"/>
      <c r="O302" s="1036"/>
      <c r="P302" s="1033"/>
      <c r="Q302" s="1033"/>
      <c r="R302" s="1034"/>
      <c r="S302" s="1035"/>
      <c r="T302" s="1035"/>
      <c r="U302" s="1034"/>
      <c r="V302" s="1035"/>
      <c r="W302" s="1035"/>
      <c r="X302" s="1037"/>
      <c r="Y302" s="1035"/>
      <c r="Z302" s="1035">
        <f t="shared" si="47"/>
        <v>1</v>
      </c>
      <c r="AA302" s="1035"/>
      <c r="AB302" s="1035"/>
      <c r="AC302" s="1021">
        <v>110851</v>
      </c>
      <c r="AD302" s="1021" t="s">
        <v>1897</v>
      </c>
      <c r="AE302" s="1022">
        <f>VLOOKUP(AC302,[5]Hoja1!$A$10:$K$1393,11,0)</f>
        <v>0</v>
      </c>
      <c r="AF302" s="1022"/>
      <c r="AG302" s="1022">
        <f t="shared" si="48"/>
        <v>0</v>
      </c>
      <c r="AH302" s="1022">
        <f t="shared" si="49"/>
        <v>0</v>
      </c>
      <c r="AK302" s="448"/>
      <c r="AL302" s="445"/>
    </row>
    <row r="303" spans="1:38" s="467" customFormat="1" ht="12.75" customHeight="1">
      <c r="A303" s="1033">
        <v>5141100</v>
      </c>
      <c r="B303" s="1033" t="s">
        <v>2742</v>
      </c>
      <c r="C303" s="1034"/>
      <c r="D303" s="1033"/>
      <c r="E303" s="1033"/>
      <c r="F303" s="1034"/>
      <c r="G303" s="1033"/>
      <c r="H303" s="1033"/>
      <c r="I303" s="1034"/>
      <c r="J303" s="1033"/>
      <c r="K303" s="1033"/>
      <c r="L303" s="1034"/>
      <c r="M303" s="1035"/>
      <c r="N303" s="1035"/>
      <c r="O303" s="1036"/>
      <c r="P303" s="1033"/>
      <c r="Q303" s="1033"/>
      <c r="R303" s="1034"/>
      <c r="S303" s="1035"/>
      <c r="T303" s="1035"/>
      <c r="U303" s="1034"/>
      <c r="V303" s="1035"/>
      <c r="W303" s="1035"/>
      <c r="X303" s="1037"/>
      <c r="Y303" s="1035"/>
      <c r="Z303" s="1035">
        <f t="shared" si="47"/>
        <v>1</v>
      </c>
      <c r="AA303" s="1035"/>
      <c r="AB303" s="1035"/>
      <c r="AC303" s="1021">
        <v>110852</v>
      </c>
      <c r="AD303" s="1021" t="s">
        <v>1898</v>
      </c>
      <c r="AE303" s="1022">
        <f>VLOOKUP(AC303,[5]Hoja1!$A$10:$K$1393,11,0)</f>
        <v>0</v>
      </c>
      <c r="AF303" s="1022"/>
      <c r="AG303" s="1022">
        <f t="shared" si="48"/>
        <v>0</v>
      </c>
      <c r="AH303" s="1022">
        <f t="shared" si="49"/>
        <v>0</v>
      </c>
      <c r="AK303" s="448"/>
      <c r="AL303" s="445"/>
    </row>
    <row r="304" spans="1:38" s="467" customFormat="1" ht="12.75" customHeight="1">
      <c r="A304" s="1033"/>
      <c r="B304" s="1033"/>
      <c r="C304" s="1034"/>
      <c r="D304" s="1033"/>
      <c r="E304" s="1033"/>
      <c r="F304" s="1034"/>
      <c r="G304" s="1033"/>
      <c r="H304" s="1033"/>
      <c r="I304" s="1034"/>
      <c r="J304" s="1033"/>
      <c r="K304" s="1033"/>
      <c r="L304" s="1034"/>
      <c r="M304" s="1035"/>
      <c r="N304" s="1035"/>
      <c r="O304" s="1036"/>
      <c r="P304" s="1033"/>
      <c r="Q304" s="1033"/>
      <c r="R304" s="1034"/>
      <c r="S304" s="1035"/>
      <c r="T304" s="1035"/>
      <c r="U304" s="1034"/>
      <c r="V304" s="1035"/>
      <c r="W304" s="1035"/>
      <c r="X304" s="1037"/>
      <c r="Y304" s="1035"/>
      <c r="Z304" s="1035">
        <f t="shared" si="47"/>
        <v>1</v>
      </c>
      <c r="AA304" s="1035"/>
      <c r="AB304" s="1035"/>
      <c r="AC304" s="1021">
        <v>110853</v>
      </c>
      <c r="AD304" s="1021" t="s">
        <v>1899</v>
      </c>
      <c r="AE304" s="1022">
        <f>VLOOKUP(AC304,[5]Hoja1!$A$10:$K$1393,11,0)</f>
        <v>0</v>
      </c>
      <c r="AF304" s="1022"/>
      <c r="AG304" s="1022">
        <f t="shared" si="48"/>
        <v>0</v>
      </c>
      <c r="AH304" s="1022">
        <f t="shared" si="49"/>
        <v>0</v>
      </c>
      <c r="AK304" s="448"/>
      <c r="AL304" s="445"/>
    </row>
    <row r="305" spans="1:38" s="467" customFormat="1" ht="12.75" customHeight="1">
      <c r="A305" s="1033"/>
      <c r="B305" s="1033"/>
      <c r="C305" s="1034"/>
      <c r="D305" s="1033"/>
      <c r="E305" s="1033"/>
      <c r="F305" s="1034"/>
      <c r="G305" s="1033"/>
      <c r="H305" s="1033"/>
      <c r="I305" s="1034"/>
      <c r="J305" s="1033"/>
      <c r="K305" s="1033"/>
      <c r="L305" s="1034"/>
      <c r="M305" s="1035"/>
      <c r="N305" s="1035"/>
      <c r="O305" s="1036"/>
      <c r="P305" s="1033"/>
      <c r="Q305" s="1033"/>
      <c r="R305" s="1034"/>
      <c r="S305" s="1035"/>
      <c r="T305" s="1035"/>
      <c r="U305" s="1034"/>
      <c r="V305" s="1035"/>
      <c r="W305" s="1035"/>
      <c r="X305" s="1037"/>
      <c r="Y305" s="1035"/>
      <c r="Z305" s="1035">
        <f t="shared" si="47"/>
        <v>1</v>
      </c>
      <c r="AA305" s="1035"/>
      <c r="AB305" s="1035"/>
      <c r="AC305" s="1023">
        <v>110869</v>
      </c>
      <c r="AD305" s="1021" t="s">
        <v>2677</v>
      </c>
      <c r="AE305" s="1022">
        <f>VLOOKUP(AC305,[5]Hoja1!$A$10:$K$1393,11,0)</f>
        <v>0</v>
      </c>
      <c r="AF305" s="1022"/>
      <c r="AG305" s="1022">
        <f t="shared" si="48"/>
        <v>0</v>
      </c>
      <c r="AH305" s="1022">
        <f t="shared" si="49"/>
        <v>0</v>
      </c>
      <c r="AK305" s="448"/>
      <c r="AL305" s="445"/>
    </row>
    <row r="306" spans="1:38" s="467" customFormat="1" ht="12.75" customHeight="1">
      <c r="A306" s="1033">
        <v>5214260</v>
      </c>
      <c r="B306" s="1033" t="s">
        <v>2794</v>
      </c>
      <c r="C306" s="1034"/>
      <c r="D306" s="1033"/>
      <c r="E306" s="1033"/>
      <c r="F306" s="1034"/>
      <c r="G306" s="1033"/>
      <c r="H306" s="1033"/>
      <c r="I306" s="1034"/>
      <c r="J306" s="1033"/>
      <c r="K306" s="1033"/>
      <c r="L306" s="1034"/>
      <c r="M306" s="1035"/>
      <c r="N306" s="1035"/>
      <c r="O306" s="1036"/>
      <c r="P306" s="1033"/>
      <c r="Q306" s="1033"/>
      <c r="R306" s="1034"/>
      <c r="S306" s="1035"/>
      <c r="T306" s="1035"/>
      <c r="U306" s="1034"/>
      <c r="V306" s="1035"/>
      <c r="W306" s="1035"/>
      <c r="X306" s="1037"/>
      <c r="Y306" s="1035"/>
      <c r="Z306" s="1035">
        <f t="shared" si="47"/>
        <v>1</v>
      </c>
      <c r="AA306" s="1033" t="s">
        <v>2906</v>
      </c>
      <c r="AB306" s="1033" t="s">
        <v>2880</v>
      </c>
      <c r="AC306" s="1023">
        <v>110870</v>
      </c>
      <c r="AD306" s="1021" t="s">
        <v>3062</v>
      </c>
      <c r="AE306" s="1022">
        <f>VLOOKUP(AC306,[5]Hoja1!$A$10:$K$1393,11,0)</f>
        <v>0</v>
      </c>
      <c r="AF306" s="1022"/>
      <c r="AG306" s="1022">
        <f t="shared" si="48"/>
        <v>0</v>
      </c>
      <c r="AH306" s="1022">
        <f t="shared" si="49"/>
        <v>0</v>
      </c>
      <c r="AK306" s="448"/>
      <c r="AL306" s="445"/>
    </row>
    <row r="307" spans="1:38" s="467" customFormat="1" ht="12.75" customHeight="1">
      <c r="A307" s="1033">
        <v>5142500</v>
      </c>
      <c r="B307" s="1033" t="s">
        <v>2758</v>
      </c>
      <c r="C307" s="1034" t="str">
        <f t="shared" si="36"/>
        <v/>
      </c>
      <c r="D307" s="1033"/>
      <c r="E307" s="1033"/>
      <c r="F307" s="1034" t="str">
        <f t="shared" si="37"/>
        <v/>
      </c>
      <c r="G307" s="1033"/>
      <c r="H307" s="1033"/>
      <c r="I307" s="1034" t="str">
        <f t="shared" si="38"/>
        <v/>
      </c>
      <c r="J307" s="1033"/>
      <c r="K307" s="1033"/>
      <c r="L307" s="1034" t="str">
        <f t="shared" si="39"/>
        <v/>
      </c>
      <c r="M307" s="1035"/>
      <c r="N307" s="1035"/>
      <c r="O307" s="1036" t="str">
        <f t="shared" si="40"/>
        <v>6352120202</v>
      </c>
      <c r="P307" s="1033">
        <v>6352120</v>
      </c>
      <c r="Q307" s="1033">
        <v>202</v>
      </c>
      <c r="R307" s="1034" t="str">
        <f t="shared" si="41"/>
        <v/>
      </c>
      <c r="S307" s="1035"/>
      <c r="T307" s="1035"/>
      <c r="U307" s="1034" t="str">
        <f t="shared" si="42"/>
        <v/>
      </c>
      <c r="V307" s="1035"/>
      <c r="W307" s="1035"/>
      <c r="X307" s="1037" t="str">
        <f t="shared" ref="X307:X312" si="52">+Y307&amp;Z307</f>
        <v>221</v>
      </c>
      <c r="Y307" s="1035">
        <v>22</v>
      </c>
      <c r="Z307" s="1035">
        <f t="shared" si="47"/>
        <v>1</v>
      </c>
      <c r="AA307" s="1035"/>
      <c r="AB307" s="1035"/>
      <c r="AC307" s="1021">
        <v>110901</v>
      </c>
      <c r="AD307" s="1021" t="s">
        <v>1729</v>
      </c>
      <c r="AE307" s="1022">
        <f>VLOOKUP(AC307,[5]Hoja1!$A$10:$K$1393,11,0)</f>
        <v>831591366</v>
      </c>
      <c r="AF307" s="1025"/>
      <c r="AG307" s="1022">
        <f t="shared" si="48"/>
        <v>831591366</v>
      </c>
      <c r="AH307" s="1022">
        <f t="shared" si="49"/>
        <v>831591</v>
      </c>
      <c r="AK307" s="448"/>
      <c r="AL307" s="445"/>
    </row>
    <row r="308" spans="1:38" s="467" customFormat="1" ht="12.75" customHeight="1">
      <c r="A308" s="1033">
        <v>5141210</v>
      </c>
      <c r="B308" s="1033" t="s">
        <v>70</v>
      </c>
      <c r="C308" s="1034" t="str">
        <f t="shared" si="36"/>
        <v/>
      </c>
      <c r="D308" s="1033"/>
      <c r="E308" s="1033"/>
      <c r="F308" s="1034" t="str">
        <f t="shared" si="37"/>
        <v/>
      </c>
      <c r="G308" s="1033"/>
      <c r="H308" s="1033"/>
      <c r="I308" s="1034" t="str">
        <f t="shared" si="38"/>
        <v/>
      </c>
      <c r="J308" s="1033"/>
      <c r="K308" s="1033"/>
      <c r="L308" s="1034" t="str">
        <f t="shared" si="39"/>
        <v/>
      </c>
      <c r="M308" s="1035"/>
      <c r="N308" s="1035"/>
      <c r="O308" s="1036" t="str">
        <f t="shared" si="40"/>
        <v/>
      </c>
      <c r="P308" s="1033"/>
      <c r="Q308" s="1033"/>
      <c r="R308" s="1034" t="str">
        <f t="shared" si="41"/>
        <v/>
      </c>
      <c r="S308" s="1035"/>
      <c r="T308" s="1035"/>
      <c r="U308" s="1034" t="str">
        <f t="shared" si="42"/>
        <v/>
      </c>
      <c r="V308" s="1035"/>
      <c r="W308" s="1035"/>
      <c r="X308" s="1037" t="str">
        <f t="shared" si="52"/>
        <v>221</v>
      </c>
      <c r="Y308" s="1035">
        <v>22</v>
      </c>
      <c r="Z308" s="1035">
        <f t="shared" si="47"/>
        <v>1</v>
      </c>
      <c r="AA308" s="1035"/>
      <c r="AB308" s="1035"/>
      <c r="AC308" s="1021">
        <v>111001</v>
      </c>
      <c r="AD308" s="1021" t="s">
        <v>1169</v>
      </c>
      <c r="AE308" s="1022">
        <f>VLOOKUP(AC308,[5]Hoja1!$A$10:$K$1393,11,0)</f>
        <v>1292930653</v>
      </c>
      <c r="AF308" s="1022"/>
      <c r="AG308" s="1022">
        <f t="shared" si="48"/>
        <v>1292930653</v>
      </c>
      <c r="AH308" s="1022">
        <f t="shared" si="49"/>
        <v>1292931</v>
      </c>
      <c r="AK308" s="448"/>
      <c r="AL308" s="445"/>
    </row>
    <row r="309" spans="1:38" s="467" customFormat="1" ht="12.75" customHeight="1">
      <c r="A309" s="1033">
        <v>5141240</v>
      </c>
      <c r="B309" s="1033" t="s">
        <v>2856</v>
      </c>
      <c r="C309" s="1034" t="str">
        <f t="shared" si="36"/>
        <v/>
      </c>
      <c r="D309" s="1033"/>
      <c r="E309" s="1033"/>
      <c r="F309" s="1034" t="str">
        <f t="shared" si="37"/>
        <v/>
      </c>
      <c r="G309" s="1033"/>
      <c r="H309" s="1033"/>
      <c r="I309" s="1034" t="str">
        <f t="shared" si="38"/>
        <v/>
      </c>
      <c r="J309" s="1033"/>
      <c r="K309" s="1033"/>
      <c r="L309" s="1034" t="str">
        <f t="shared" si="39"/>
        <v/>
      </c>
      <c r="M309" s="1035"/>
      <c r="N309" s="1035"/>
      <c r="O309" s="1036" t="str">
        <f t="shared" si="40"/>
        <v/>
      </c>
      <c r="P309" s="1033"/>
      <c r="Q309" s="1033"/>
      <c r="R309" s="1034" t="str">
        <f t="shared" si="41"/>
        <v/>
      </c>
      <c r="S309" s="1035"/>
      <c r="T309" s="1035"/>
      <c r="U309" s="1034" t="str">
        <f t="shared" si="42"/>
        <v/>
      </c>
      <c r="V309" s="1035"/>
      <c r="W309" s="1035"/>
      <c r="X309" s="1037" t="str">
        <f t="shared" si="52"/>
        <v>221</v>
      </c>
      <c r="Y309" s="1035">
        <v>22</v>
      </c>
      <c r="Z309" s="1035">
        <f t="shared" si="47"/>
        <v>1</v>
      </c>
      <c r="AA309" s="1035"/>
      <c r="AB309" s="1035"/>
      <c r="AC309" s="1021">
        <v>111002</v>
      </c>
      <c r="AD309" s="1021" t="s">
        <v>838</v>
      </c>
      <c r="AE309" s="1022">
        <f>VLOOKUP(AC309,[5]Hoja1!$A$10:$K$1393,11,0)</f>
        <v>452548233</v>
      </c>
      <c r="AF309" s="1022"/>
      <c r="AG309" s="1022">
        <f t="shared" si="48"/>
        <v>452548233</v>
      </c>
      <c r="AH309" s="1022">
        <f t="shared" si="49"/>
        <v>452548</v>
      </c>
      <c r="AK309" s="448"/>
      <c r="AL309" s="445"/>
    </row>
    <row r="310" spans="1:38" s="467" customFormat="1" ht="12.75" customHeight="1">
      <c r="A310" s="1033">
        <v>5141210</v>
      </c>
      <c r="B310" s="1033" t="s">
        <v>70</v>
      </c>
      <c r="C310" s="1034" t="str">
        <f t="shared" si="36"/>
        <v/>
      </c>
      <c r="D310" s="1033"/>
      <c r="E310" s="1033"/>
      <c r="F310" s="1034" t="str">
        <f t="shared" si="37"/>
        <v/>
      </c>
      <c r="G310" s="1033"/>
      <c r="H310" s="1033"/>
      <c r="I310" s="1034" t="str">
        <f t="shared" si="38"/>
        <v/>
      </c>
      <c r="J310" s="1033"/>
      <c r="K310" s="1033"/>
      <c r="L310" s="1034" t="str">
        <f t="shared" si="39"/>
        <v/>
      </c>
      <c r="M310" s="1035"/>
      <c r="N310" s="1035"/>
      <c r="O310" s="1036" t="str">
        <f t="shared" si="40"/>
        <v/>
      </c>
      <c r="P310" s="1033"/>
      <c r="Q310" s="1033"/>
      <c r="R310" s="1034" t="str">
        <f t="shared" si="41"/>
        <v/>
      </c>
      <c r="S310" s="1035"/>
      <c r="T310" s="1035"/>
      <c r="U310" s="1034" t="str">
        <f t="shared" si="42"/>
        <v/>
      </c>
      <c r="V310" s="1035"/>
      <c r="W310" s="1035"/>
      <c r="X310" s="1037" t="str">
        <f t="shared" si="52"/>
        <v>221</v>
      </c>
      <c r="Y310" s="1035">
        <v>22</v>
      </c>
      <c r="Z310" s="1035">
        <f t="shared" si="47"/>
        <v>1</v>
      </c>
      <c r="AA310" s="1035"/>
      <c r="AB310" s="1035"/>
      <c r="AC310" s="1021">
        <v>111003</v>
      </c>
      <c r="AD310" s="1021" t="s">
        <v>2026</v>
      </c>
      <c r="AE310" s="1022">
        <f>VLOOKUP(AC310,[5]Hoja1!$A$10:$K$1393,11,0)</f>
        <v>0</v>
      </c>
      <c r="AF310" s="1022"/>
      <c r="AG310" s="1022">
        <f t="shared" si="48"/>
        <v>0</v>
      </c>
      <c r="AH310" s="1022">
        <f t="shared" si="49"/>
        <v>0</v>
      </c>
      <c r="AK310" s="448"/>
      <c r="AL310" s="445"/>
    </row>
    <row r="311" spans="1:38" s="467" customFormat="1" ht="12.75" customHeight="1">
      <c r="A311" s="1033">
        <v>5141240</v>
      </c>
      <c r="B311" s="1033" t="s">
        <v>2856</v>
      </c>
      <c r="C311" s="1034" t="str">
        <f t="shared" si="36"/>
        <v/>
      </c>
      <c r="D311" s="1033"/>
      <c r="E311" s="1033"/>
      <c r="F311" s="1034" t="str">
        <f t="shared" si="37"/>
        <v/>
      </c>
      <c r="G311" s="1033"/>
      <c r="H311" s="1033"/>
      <c r="I311" s="1034" t="str">
        <f t="shared" si="38"/>
        <v/>
      </c>
      <c r="J311" s="1033"/>
      <c r="K311" s="1033"/>
      <c r="L311" s="1034" t="str">
        <f t="shared" si="39"/>
        <v/>
      </c>
      <c r="M311" s="1035"/>
      <c r="N311" s="1035"/>
      <c r="O311" s="1036" t="str">
        <f t="shared" si="40"/>
        <v/>
      </c>
      <c r="P311" s="1033"/>
      <c r="Q311" s="1033"/>
      <c r="R311" s="1034" t="str">
        <f t="shared" si="41"/>
        <v/>
      </c>
      <c r="S311" s="1035"/>
      <c r="T311" s="1035"/>
      <c r="U311" s="1034" t="str">
        <f t="shared" si="42"/>
        <v/>
      </c>
      <c r="V311" s="1035"/>
      <c r="W311" s="1035"/>
      <c r="X311" s="1037" t="str">
        <f t="shared" si="52"/>
        <v>221</v>
      </c>
      <c r="Y311" s="1035">
        <v>22</v>
      </c>
      <c r="Z311" s="1035">
        <f t="shared" si="47"/>
        <v>1</v>
      </c>
      <c r="AA311" s="1035"/>
      <c r="AB311" s="1035"/>
      <c r="AC311" s="1021">
        <v>111101</v>
      </c>
      <c r="AD311" s="1021" t="s">
        <v>2027</v>
      </c>
      <c r="AE311" s="1022">
        <f>VLOOKUP(AC311,[5]Hoja1!$A$10:$K$1393,11,0)</f>
        <v>336860294</v>
      </c>
      <c r="AF311" s="1022"/>
      <c r="AG311" s="1022">
        <f t="shared" si="48"/>
        <v>336860294</v>
      </c>
      <c r="AH311" s="1022">
        <f t="shared" si="49"/>
        <v>336860</v>
      </c>
      <c r="AK311" s="448"/>
      <c r="AL311" s="445"/>
    </row>
    <row r="312" spans="1:38" s="467" customFormat="1" ht="12.75" customHeight="1">
      <c r="A312" s="1033">
        <v>5141240</v>
      </c>
      <c r="B312" s="1033" t="s">
        <v>2856</v>
      </c>
      <c r="C312" s="1034"/>
      <c r="D312" s="1033"/>
      <c r="E312" s="1033"/>
      <c r="F312" s="1034"/>
      <c r="G312" s="1033"/>
      <c r="H312" s="1033"/>
      <c r="I312" s="1034"/>
      <c r="J312" s="1033"/>
      <c r="K312" s="1033"/>
      <c r="L312" s="1034"/>
      <c r="M312" s="1035"/>
      <c r="N312" s="1035"/>
      <c r="O312" s="1036"/>
      <c r="P312" s="1033"/>
      <c r="Q312" s="1033"/>
      <c r="R312" s="1034"/>
      <c r="S312" s="1035"/>
      <c r="T312" s="1035"/>
      <c r="U312" s="1034"/>
      <c r="V312" s="1035"/>
      <c r="W312" s="1035"/>
      <c r="X312" s="1037" t="str">
        <f t="shared" si="52"/>
        <v>221</v>
      </c>
      <c r="Y312" s="1035">
        <v>22</v>
      </c>
      <c r="Z312" s="1035">
        <f t="shared" si="47"/>
        <v>1</v>
      </c>
      <c r="AA312" s="1035"/>
      <c r="AB312" s="1035"/>
      <c r="AC312" s="1021">
        <v>111102</v>
      </c>
      <c r="AD312" s="1021" t="s">
        <v>2028</v>
      </c>
      <c r="AE312" s="1022">
        <f>VLOOKUP(AC312,[5]Hoja1!$A$10:$K$1393,11,0)</f>
        <v>-94084650</v>
      </c>
      <c r="AF312" s="1022"/>
      <c r="AG312" s="1022">
        <f t="shared" si="48"/>
        <v>-94084650</v>
      </c>
      <c r="AH312" s="1022">
        <f t="shared" si="49"/>
        <v>-94085</v>
      </c>
      <c r="AK312" s="448"/>
      <c r="AL312" s="445"/>
    </row>
    <row r="313" spans="1:38" s="467" customFormat="1" ht="12.75" customHeight="1">
      <c r="A313" s="1033">
        <v>5142100</v>
      </c>
      <c r="B313" s="1033" t="s">
        <v>2752</v>
      </c>
      <c r="C313" s="1034"/>
      <c r="D313" s="1033"/>
      <c r="E313" s="1033"/>
      <c r="F313" s="1034"/>
      <c r="G313" s="1033"/>
      <c r="H313" s="1033"/>
      <c r="I313" s="1034"/>
      <c r="J313" s="1033"/>
      <c r="K313" s="1033"/>
      <c r="L313" s="1034"/>
      <c r="M313" s="1035"/>
      <c r="N313" s="1035"/>
      <c r="O313" s="1036"/>
      <c r="P313" s="1033"/>
      <c r="Q313" s="1033"/>
      <c r="R313" s="1034"/>
      <c r="S313" s="1035"/>
      <c r="T313" s="1035"/>
      <c r="U313" s="1034"/>
      <c r="V313" s="1035"/>
      <c r="W313" s="1035"/>
      <c r="X313" s="1037"/>
      <c r="Y313" s="1035"/>
      <c r="Z313" s="1035">
        <f t="shared" si="47"/>
        <v>1</v>
      </c>
      <c r="AA313" s="1035"/>
      <c r="AB313" s="1035"/>
      <c r="AC313" s="1023">
        <v>111103</v>
      </c>
      <c r="AD313" s="1021" t="s">
        <v>2718</v>
      </c>
      <c r="AE313" s="1022">
        <f>VLOOKUP(AC313,[5]Hoja1!$A$10:$K$1393,11,0)</f>
        <v>175727266</v>
      </c>
      <c r="AF313" s="1022"/>
      <c r="AG313" s="1022">
        <f t="shared" si="48"/>
        <v>175727266</v>
      </c>
      <c r="AH313" s="1022">
        <f t="shared" si="49"/>
        <v>175727</v>
      </c>
      <c r="AK313" s="448"/>
      <c r="AL313" s="445"/>
    </row>
    <row r="314" spans="1:38" s="467" customFormat="1" ht="12.75" customHeight="1">
      <c r="A314" s="1033">
        <v>5142210</v>
      </c>
      <c r="B314" s="1033" t="s">
        <v>2754</v>
      </c>
      <c r="C314" s="1034"/>
      <c r="D314" s="1033"/>
      <c r="E314" s="1033"/>
      <c r="F314" s="1034"/>
      <c r="G314" s="1033"/>
      <c r="H314" s="1033"/>
      <c r="I314" s="1034"/>
      <c r="J314" s="1033"/>
      <c r="K314" s="1033"/>
      <c r="L314" s="1034"/>
      <c r="M314" s="1035"/>
      <c r="N314" s="1035"/>
      <c r="O314" s="1036"/>
      <c r="P314" s="1033"/>
      <c r="Q314" s="1033"/>
      <c r="R314" s="1034"/>
      <c r="S314" s="1035"/>
      <c r="T314" s="1035"/>
      <c r="U314" s="1034"/>
      <c r="V314" s="1035"/>
      <c r="W314" s="1035"/>
      <c r="X314" s="1037"/>
      <c r="Y314" s="1035"/>
      <c r="Z314" s="1035">
        <f t="shared" si="47"/>
        <v>1</v>
      </c>
      <c r="AA314" s="1035"/>
      <c r="AB314" s="1035"/>
      <c r="AC314" s="1023">
        <v>111104</v>
      </c>
      <c r="AD314" s="1021" t="s">
        <v>2717</v>
      </c>
      <c r="AE314" s="1022">
        <f>VLOOKUP(AC314,[5]Hoja1!$A$10:$K$1393,11,0)</f>
        <v>6635660175</v>
      </c>
      <c r="AF314" s="1191">
        <v>-539109959</v>
      </c>
      <c r="AG314" s="1022">
        <f t="shared" si="48"/>
        <v>6096550216</v>
      </c>
      <c r="AH314" s="1022">
        <f t="shared" si="49"/>
        <v>6096550</v>
      </c>
      <c r="AK314" s="448"/>
      <c r="AL314" s="445"/>
    </row>
    <row r="315" spans="1:38" s="467" customFormat="1" ht="12.75" customHeight="1">
      <c r="A315" s="1033">
        <v>5142220</v>
      </c>
      <c r="B315" s="1033" t="s">
        <v>2755</v>
      </c>
      <c r="C315" s="1034"/>
      <c r="D315" s="1033"/>
      <c r="E315" s="1033"/>
      <c r="F315" s="1034"/>
      <c r="G315" s="1033"/>
      <c r="H315" s="1033"/>
      <c r="I315" s="1034"/>
      <c r="J315" s="1033"/>
      <c r="K315" s="1033"/>
      <c r="L315" s="1034"/>
      <c r="M315" s="1035"/>
      <c r="N315" s="1035"/>
      <c r="O315" s="1036"/>
      <c r="P315" s="1033"/>
      <c r="Q315" s="1033"/>
      <c r="R315" s="1034"/>
      <c r="S315" s="1035"/>
      <c r="T315" s="1035"/>
      <c r="U315" s="1034"/>
      <c r="V315" s="1035"/>
      <c r="W315" s="1035"/>
      <c r="X315" s="1037"/>
      <c r="Y315" s="1035"/>
      <c r="Z315" s="1035">
        <f t="shared" si="47"/>
        <v>1</v>
      </c>
      <c r="AA315" s="1035"/>
      <c r="AB315" s="1035"/>
      <c r="AC315" s="1023">
        <v>111105</v>
      </c>
      <c r="AD315" s="1021" t="s">
        <v>2716</v>
      </c>
      <c r="AE315" s="1022">
        <v>0</v>
      </c>
      <c r="AF315" s="1022"/>
      <c r="AG315" s="1022">
        <f t="shared" si="48"/>
        <v>0</v>
      </c>
      <c r="AH315" s="1022">
        <f t="shared" si="49"/>
        <v>0</v>
      </c>
      <c r="AK315" s="448"/>
      <c r="AL315" s="445"/>
    </row>
    <row r="316" spans="1:38" s="467" customFormat="1" ht="12.75" customHeight="1">
      <c r="A316" s="1033">
        <v>5142300</v>
      </c>
      <c r="B316" s="1033" t="s">
        <v>2756</v>
      </c>
      <c r="C316" s="1034"/>
      <c r="D316" s="1033"/>
      <c r="E316" s="1033"/>
      <c r="F316" s="1034"/>
      <c r="G316" s="1033"/>
      <c r="H316" s="1033"/>
      <c r="I316" s="1034"/>
      <c r="J316" s="1033"/>
      <c r="K316" s="1033"/>
      <c r="L316" s="1034"/>
      <c r="M316" s="1035"/>
      <c r="N316" s="1035"/>
      <c r="O316" s="1036"/>
      <c r="P316" s="1033"/>
      <c r="Q316" s="1033"/>
      <c r="R316" s="1034"/>
      <c r="S316" s="1035"/>
      <c r="T316" s="1035"/>
      <c r="U316" s="1034"/>
      <c r="V316" s="1035"/>
      <c r="W316" s="1035"/>
      <c r="X316" s="1037"/>
      <c r="Y316" s="1035"/>
      <c r="Z316" s="1035">
        <f t="shared" si="47"/>
        <v>1</v>
      </c>
      <c r="AA316" s="1035"/>
      <c r="AB316" s="1035"/>
      <c r="AC316" s="1023">
        <v>111106</v>
      </c>
      <c r="AD316" s="1021" t="s">
        <v>2715</v>
      </c>
      <c r="AE316" s="1022">
        <f>VLOOKUP(AC316,[5]Hoja1!$A$10:$K$1393,11,0)</f>
        <v>534363755</v>
      </c>
      <c r="AF316" s="1022"/>
      <c r="AG316" s="1022">
        <f t="shared" si="48"/>
        <v>534363755</v>
      </c>
      <c r="AH316" s="1022">
        <f t="shared" si="49"/>
        <v>534364</v>
      </c>
      <c r="AK316" s="448"/>
      <c r="AL316" s="445"/>
    </row>
    <row r="317" spans="1:38" s="467" customFormat="1" ht="12.75" customHeight="1">
      <c r="A317" s="1033">
        <v>5142500</v>
      </c>
      <c r="B317" s="1033" t="s">
        <v>2758</v>
      </c>
      <c r="C317" s="1034"/>
      <c r="D317" s="1033"/>
      <c r="E317" s="1033"/>
      <c r="F317" s="1034"/>
      <c r="G317" s="1033"/>
      <c r="H317" s="1033"/>
      <c r="I317" s="1034"/>
      <c r="J317" s="1033"/>
      <c r="K317" s="1033"/>
      <c r="L317" s="1034"/>
      <c r="M317" s="1035"/>
      <c r="N317" s="1035"/>
      <c r="O317" s="1036"/>
      <c r="P317" s="1033">
        <v>6352300</v>
      </c>
      <c r="Q317" s="1033"/>
      <c r="R317" s="1034"/>
      <c r="S317" s="1035"/>
      <c r="T317" s="1035"/>
      <c r="U317" s="1034"/>
      <c r="V317" s="1035"/>
      <c r="W317" s="1035"/>
      <c r="X317" s="1037"/>
      <c r="Y317" s="1035"/>
      <c r="Z317" s="1035">
        <f t="shared" si="47"/>
        <v>1</v>
      </c>
      <c r="AA317" s="1035"/>
      <c r="AB317" s="1035"/>
      <c r="AC317" s="1023">
        <v>111108</v>
      </c>
      <c r="AD317" s="1021" t="s">
        <v>2859</v>
      </c>
      <c r="AE317" s="1022">
        <f>VLOOKUP(AC317,[5]Hoja1!$A$10:$K$1393,11,0)</f>
        <v>108098961</v>
      </c>
      <c r="AF317" s="1022"/>
      <c r="AG317" s="1022">
        <f t="shared" si="48"/>
        <v>108098961</v>
      </c>
      <c r="AH317" s="1022">
        <f t="shared" si="49"/>
        <v>108099</v>
      </c>
      <c r="AK317" s="448"/>
      <c r="AL317" s="445"/>
    </row>
    <row r="318" spans="1:38" s="467" customFormat="1" ht="12.75" customHeight="1">
      <c r="A318" s="1033"/>
      <c r="B318" s="1033"/>
      <c r="C318" s="1034" t="str">
        <f t="shared" si="36"/>
        <v/>
      </c>
      <c r="D318" s="1033"/>
      <c r="E318" s="1033"/>
      <c r="F318" s="1034" t="str">
        <f t="shared" si="37"/>
        <v/>
      </c>
      <c r="G318" s="1033"/>
      <c r="H318" s="1033"/>
      <c r="I318" s="1034" t="str">
        <f t="shared" si="38"/>
        <v/>
      </c>
      <c r="J318" s="1033"/>
      <c r="K318" s="1033"/>
      <c r="L318" s="1034" t="str">
        <f t="shared" si="39"/>
        <v/>
      </c>
      <c r="M318" s="1035"/>
      <c r="N318" s="1035"/>
      <c r="O318" s="1036" t="str">
        <f t="shared" si="40"/>
        <v/>
      </c>
      <c r="P318" s="1033"/>
      <c r="Q318" s="1033"/>
      <c r="R318" s="1034" t="str">
        <f t="shared" si="41"/>
        <v/>
      </c>
      <c r="S318" s="1035"/>
      <c r="T318" s="1035"/>
      <c r="U318" s="1034" t="str">
        <f t="shared" si="42"/>
        <v/>
      </c>
      <c r="V318" s="1035"/>
      <c r="W318" s="1035"/>
      <c r="X318" s="1037" t="str">
        <f t="shared" ref="X318:X327" si="53">+Y318&amp;Z318</f>
        <v>221</v>
      </c>
      <c r="Y318" s="1035">
        <v>22</v>
      </c>
      <c r="Z318" s="1035">
        <f t="shared" si="47"/>
        <v>1</v>
      </c>
      <c r="AA318" s="1035"/>
      <c r="AB318" s="1035"/>
      <c r="AC318" s="1021">
        <v>111201</v>
      </c>
      <c r="AD318" s="1021" t="s">
        <v>405</v>
      </c>
      <c r="AE318" s="1022">
        <f>VLOOKUP(AC318,[5]Hoja1!$A$10:$K$1393,11,0)</f>
        <v>0</v>
      </c>
      <c r="AF318" s="1022"/>
      <c r="AG318" s="1022">
        <f t="shared" si="48"/>
        <v>0</v>
      </c>
      <c r="AH318" s="1022">
        <f t="shared" si="49"/>
        <v>0</v>
      </c>
      <c r="AK318" s="448"/>
      <c r="AL318" s="445"/>
    </row>
    <row r="319" spans="1:38" s="467" customFormat="1" ht="12.75" customHeight="1">
      <c r="A319" s="1033"/>
      <c r="B319" s="1033"/>
      <c r="C319" s="1034" t="str">
        <f t="shared" si="36"/>
        <v/>
      </c>
      <c r="D319" s="1033"/>
      <c r="E319" s="1033"/>
      <c r="F319" s="1034" t="str">
        <f t="shared" si="37"/>
        <v/>
      </c>
      <c r="G319" s="1033"/>
      <c r="H319" s="1033"/>
      <c r="I319" s="1034" t="str">
        <f t="shared" si="38"/>
        <v/>
      </c>
      <c r="J319" s="1033"/>
      <c r="K319" s="1033"/>
      <c r="L319" s="1034" t="str">
        <f t="shared" si="39"/>
        <v/>
      </c>
      <c r="M319" s="1035"/>
      <c r="N319" s="1035"/>
      <c r="O319" s="1036" t="str">
        <f t="shared" si="40"/>
        <v/>
      </c>
      <c r="P319" s="1033"/>
      <c r="Q319" s="1033"/>
      <c r="R319" s="1034" t="str">
        <f t="shared" si="41"/>
        <v/>
      </c>
      <c r="S319" s="1035"/>
      <c r="T319" s="1035"/>
      <c r="U319" s="1034" t="str">
        <f t="shared" si="42"/>
        <v/>
      </c>
      <c r="V319" s="1035"/>
      <c r="W319" s="1035"/>
      <c r="X319" s="1037" t="str">
        <f t="shared" si="53"/>
        <v>1</v>
      </c>
      <c r="Y319" s="1035"/>
      <c r="Z319" s="1035">
        <f t="shared" si="47"/>
        <v>1</v>
      </c>
      <c r="AA319" s="1035"/>
      <c r="AB319" s="1035"/>
      <c r="AC319" s="1021">
        <v>111202</v>
      </c>
      <c r="AD319" s="1021" t="s">
        <v>1730</v>
      </c>
      <c r="AE319" s="1022">
        <f>VLOOKUP(AC319,[5]Hoja1!$A$10:$K$1393,11,0)</f>
        <v>0</v>
      </c>
      <c r="AF319" s="1022"/>
      <c r="AG319" s="1022">
        <f t="shared" si="48"/>
        <v>0</v>
      </c>
      <c r="AH319" s="1022">
        <f t="shared" si="49"/>
        <v>0</v>
      </c>
      <c r="AK319" s="448"/>
      <c r="AL319" s="445"/>
    </row>
    <row r="320" spans="1:38" s="467" customFormat="1" ht="12.75" customHeight="1">
      <c r="A320" s="1033">
        <v>5153500</v>
      </c>
      <c r="B320" s="1033" t="s">
        <v>1457</v>
      </c>
      <c r="C320" s="1034" t="str">
        <f t="shared" si="36"/>
        <v/>
      </c>
      <c r="D320" s="1033"/>
      <c r="E320" s="1033"/>
      <c r="F320" s="1034" t="str">
        <f t="shared" si="37"/>
        <v/>
      </c>
      <c r="G320" s="1033"/>
      <c r="H320" s="1033"/>
      <c r="I320" s="1034" t="str">
        <f t="shared" si="38"/>
        <v/>
      </c>
      <c r="J320" s="1033"/>
      <c r="K320" s="1033"/>
      <c r="L320" s="1034" t="str">
        <f t="shared" si="39"/>
        <v/>
      </c>
      <c r="M320" s="1035"/>
      <c r="N320" s="1035"/>
      <c r="O320" s="1036" t="str">
        <f t="shared" si="40"/>
        <v/>
      </c>
      <c r="P320" s="1033"/>
      <c r="Q320" s="1033"/>
      <c r="R320" s="1034" t="str">
        <f t="shared" si="41"/>
        <v/>
      </c>
      <c r="S320" s="1035"/>
      <c r="T320" s="1035"/>
      <c r="U320" s="1034" t="str">
        <f t="shared" si="42"/>
        <v/>
      </c>
      <c r="V320" s="1035"/>
      <c r="W320" s="1035"/>
      <c r="X320" s="1037" t="str">
        <f t="shared" si="53"/>
        <v>221</v>
      </c>
      <c r="Y320" s="1035">
        <v>22</v>
      </c>
      <c r="Z320" s="1035">
        <f t="shared" si="47"/>
        <v>1</v>
      </c>
      <c r="AA320" s="1033" t="s">
        <v>2886</v>
      </c>
      <c r="AB320" s="1033" t="s">
        <v>2881</v>
      </c>
      <c r="AC320" s="1021">
        <v>111203</v>
      </c>
      <c r="AD320" s="1021" t="s">
        <v>1731</v>
      </c>
      <c r="AE320" s="1022">
        <f>VLOOKUP(AC320,[5]Hoja1!$A$10:$K$1393,11,0)</f>
        <v>88819538</v>
      </c>
      <c r="AF320" s="1022"/>
      <c r="AG320" s="1022">
        <f t="shared" si="48"/>
        <v>88819538</v>
      </c>
      <c r="AH320" s="1022">
        <f t="shared" si="49"/>
        <v>88820</v>
      </c>
      <c r="AI320" s="445">
        <f>+AH320+AH323+AH347+AH349+AH350+AH352+AH355+AH358+AH364+AH365+AH373+AH376+AH380+AH382+AH381+AH383+AH388+AH389+AH395+AH400+AH407+AH411+AH414+AH415+AH416+AH418+AH419+AH421+AH449+AH459+AH526+AH555+AH570+AH584+AH603+AH624+AH631+AH639+AH640+AH643+AH654+AH660+AH904+AH957</f>
        <v>11351483</v>
      </c>
      <c r="AK320" s="448"/>
      <c r="AL320" s="445"/>
    </row>
    <row r="321" spans="1:38" s="467" customFormat="1" ht="12.75" customHeight="1">
      <c r="A321" s="1033"/>
      <c r="B321" s="1033"/>
      <c r="C321" s="1034" t="str">
        <f t="shared" si="36"/>
        <v/>
      </c>
      <c r="D321" s="1033"/>
      <c r="E321" s="1033"/>
      <c r="F321" s="1034" t="str">
        <f t="shared" si="37"/>
        <v/>
      </c>
      <c r="G321" s="1033"/>
      <c r="H321" s="1033"/>
      <c r="I321" s="1034" t="str">
        <f t="shared" si="38"/>
        <v/>
      </c>
      <c r="J321" s="1033"/>
      <c r="K321" s="1033"/>
      <c r="L321" s="1034" t="str">
        <f t="shared" si="39"/>
        <v/>
      </c>
      <c r="M321" s="1035"/>
      <c r="N321" s="1035"/>
      <c r="O321" s="1036" t="str">
        <f t="shared" si="40"/>
        <v/>
      </c>
      <c r="P321" s="1033"/>
      <c r="Q321" s="1033"/>
      <c r="R321" s="1034" t="str">
        <f t="shared" si="41"/>
        <v/>
      </c>
      <c r="S321" s="1035"/>
      <c r="T321" s="1035"/>
      <c r="U321" s="1034" t="str">
        <f t="shared" si="42"/>
        <v/>
      </c>
      <c r="V321" s="1035"/>
      <c r="W321" s="1035"/>
      <c r="X321" s="1037" t="str">
        <f t="shared" si="53"/>
        <v>1</v>
      </c>
      <c r="Y321" s="1035"/>
      <c r="Z321" s="1035">
        <f t="shared" si="47"/>
        <v>1</v>
      </c>
      <c r="AA321" s="1035"/>
      <c r="AB321" s="1035"/>
      <c r="AC321" s="1021">
        <v>111204</v>
      </c>
      <c r="AD321" s="1021" t="s">
        <v>607</v>
      </c>
      <c r="AE321" s="1022">
        <v>0</v>
      </c>
      <c r="AF321" s="1022"/>
      <c r="AG321" s="1022">
        <f t="shared" si="48"/>
        <v>0</v>
      </c>
      <c r="AH321" s="1022">
        <f t="shared" si="49"/>
        <v>0</v>
      </c>
      <c r="AK321" s="448"/>
      <c r="AL321" s="445"/>
    </row>
    <row r="322" spans="1:38" s="467" customFormat="1" ht="12.75" customHeight="1">
      <c r="A322" s="1033">
        <v>5153500</v>
      </c>
      <c r="B322" s="1033" t="s">
        <v>1457</v>
      </c>
      <c r="C322" s="1034" t="str">
        <f t="shared" si="36"/>
        <v/>
      </c>
      <c r="D322" s="1033"/>
      <c r="E322" s="1033"/>
      <c r="F322" s="1034" t="str">
        <f t="shared" si="37"/>
        <v/>
      </c>
      <c r="G322" s="1033"/>
      <c r="H322" s="1033"/>
      <c r="I322" s="1034" t="str">
        <f t="shared" si="38"/>
        <v/>
      </c>
      <c r="J322" s="1033"/>
      <c r="K322" s="1033"/>
      <c r="L322" s="1034" t="str">
        <f t="shared" si="39"/>
        <v/>
      </c>
      <c r="M322" s="1035"/>
      <c r="N322" s="1035"/>
      <c r="O322" s="1036" t="str">
        <f t="shared" si="40"/>
        <v/>
      </c>
      <c r="P322" s="1033"/>
      <c r="Q322" s="1033"/>
      <c r="R322" s="1034" t="str">
        <f t="shared" si="41"/>
        <v/>
      </c>
      <c r="S322" s="1035"/>
      <c r="T322" s="1035"/>
      <c r="U322" s="1034" t="str">
        <f t="shared" si="42"/>
        <v/>
      </c>
      <c r="V322" s="1035"/>
      <c r="W322" s="1035"/>
      <c r="X322" s="1037" t="str">
        <f t="shared" si="53"/>
        <v>221</v>
      </c>
      <c r="Y322" s="1035">
        <v>22</v>
      </c>
      <c r="Z322" s="1035">
        <f t="shared" si="47"/>
        <v>1</v>
      </c>
      <c r="AA322" s="1033" t="s">
        <v>2886</v>
      </c>
      <c r="AB322" s="1033" t="s">
        <v>2879</v>
      </c>
      <c r="AC322" s="1021">
        <v>111205</v>
      </c>
      <c r="AD322" s="1021" t="s">
        <v>879</v>
      </c>
      <c r="AE322" s="1022">
        <f>VLOOKUP(AC322,[5]Hoja1!$A$10:$K$1393,11,0)</f>
        <v>90585585</v>
      </c>
      <c r="AF322" s="1191">
        <f>-AE322</f>
        <v>-90585585</v>
      </c>
      <c r="AG322" s="1022">
        <f t="shared" si="48"/>
        <v>0</v>
      </c>
      <c r="AH322" s="1022">
        <f t="shared" si="49"/>
        <v>0</v>
      </c>
      <c r="AI322" s="467" t="s">
        <v>474</v>
      </c>
      <c r="AK322" s="448"/>
      <c r="AL322" s="445"/>
    </row>
    <row r="323" spans="1:38" s="467" customFormat="1" ht="12.75" customHeight="1">
      <c r="A323" s="1033">
        <v>5153500</v>
      </c>
      <c r="B323" s="1033" t="s">
        <v>1457</v>
      </c>
      <c r="C323" s="1034" t="str">
        <f t="shared" si="36"/>
        <v/>
      </c>
      <c r="D323" s="1033"/>
      <c r="E323" s="1033"/>
      <c r="F323" s="1034" t="str">
        <f t="shared" si="37"/>
        <v/>
      </c>
      <c r="G323" s="1033"/>
      <c r="H323" s="1033"/>
      <c r="I323" s="1034" t="str">
        <f t="shared" si="38"/>
        <v/>
      </c>
      <c r="J323" s="1033"/>
      <c r="K323" s="1033"/>
      <c r="L323" s="1034" t="str">
        <f t="shared" si="39"/>
        <v/>
      </c>
      <c r="M323" s="1035"/>
      <c r="N323" s="1035"/>
      <c r="O323" s="1036" t="str">
        <f t="shared" si="40"/>
        <v/>
      </c>
      <c r="P323" s="1033"/>
      <c r="Q323" s="1033"/>
      <c r="R323" s="1034" t="str">
        <f t="shared" si="41"/>
        <v/>
      </c>
      <c r="S323" s="1035"/>
      <c r="T323" s="1035"/>
      <c r="U323" s="1034" t="str">
        <f t="shared" si="42"/>
        <v/>
      </c>
      <c r="V323" s="1035"/>
      <c r="W323" s="1035"/>
      <c r="X323" s="1037" t="str">
        <f t="shared" si="53"/>
        <v>221</v>
      </c>
      <c r="Y323" s="1035">
        <v>22</v>
      </c>
      <c r="Z323" s="1035">
        <f t="shared" si="47"/>
        <v>1</v>
      </c>
      <c r="AA323" s="1033" t="s">
        <v>2886</v>
      </c>
      <c r="AB323" s="1033" t="s">
        <v>2882</v>
      </c>
      <c r="AC323" s="1021">
        <v>111206</v>
      </c>
      <c r="AD323" s="1021" t="s">
        <v>2029</v>
      </c>
      <c r="AE323" s="1022">
        <f>VLOOKUP(AC323,[5]Hoja1!$A$10:$K$1393,11,0)</f>
        <v>0</v>
      </c>
      <c r="AF323" s="1191">
        <v>179696463</v>
      </c>
      <c r="AG323" s="1022">
        <f t="shared" si="48"/>
        <v>179696463</v>
      </c>
      <c r="AH323" s="1022">
        <f t="shared" si="49"/>
        <v>179696</v>
      </c>
      <c r="AK323" s="448"/>
      <c r="AL323" s="445"/>
    </row>
    <row r="324" spans="1:38" s="467" customFormat="1" ht="12.75" customHeight="1">
      <c r="A324" s="1033">
        <v>5153500</v>
      </c>
      <c r="B324" s="1033" t="s">
        <v>1457</v>
      </c>
      <c r="C324" s="1034"/>
      <c r="D324" s="1033"/>
      <c r="E324" s="1033"/>
      <c r="F324" s="1034"/>
      <c r="G324" s="1033"/>
      <c r="H324" s="1033"/>
      <c r="I324" s="1034"/>
      <c r="J324" s="1033"/>
      <c r="K324" s="1033"/>
      <c r="L324" s="1034"/>
      <c r="M324" s="1035"/>
      <c r="N324" s="1035"/>
      <c r="O324" s="1036"/>
      <c r="P324" s="1033"/>
      <c r="Q324" s="1033"/>
      <c r="R324" s="1034"/>
      <c r="S324" s="1035"/>
      <c r="T324" s="1035"/>
      <c r="U324" s="1034"/>
      <c r="V324" s="1035"/>
      <c r="W324" s="1035"/>
      <c r="X324" s="1037" t="str">
        <f t="shared" si="53"/>
        <v>221</v>
      </c>
      <c r="Y324" s="1035">
        <v>22</v>
      </c>
      <c r="Z324" s="1035">
        <f t="shared" si="47"/>
        <v>1</v>
      </c>
      <c r="AA324" s="1033" t="s">
        <v>2886</v>
      </c>
      <c r="AB324" s="1033" t="s">
        <v>2882</v>
      </c>
      <c r="AC324" s="1021">
        <v>111207</v>
      </c>
      <c r="AD324" s="1021" t="s">
        <v>2030</v>
      </c>
      <c r="AE324" s="1022">
        <f>VLOOKUP(AC324,[5]Hoja1!$A$10:$K$1393,11,0)</f>
        <v>5846197</v>
      </c>
      <c r="AF324" s="1191">
        <f>-AE324</f>
        <v>-5846197</v>
      </c>
      <c r="AG324" s="1022">
        <f t="shared" si="48"/>
        <v>0</v>
      </c>
      <c r="AH324" s="1022">
        <f t="shared" si="49"/>
        <v>0</v>
      </c>
      <c r="AK324" s="448"/>
      <c r="AL324" s="445"/>
    </row>
    <row r="325" spans="1:38" s="467" customFormat="1" ht="12.75" customHeight="1">
      <c r="A325" s="1033">
        <v>5153500</v>
      </c>
      <c r="B325" s="1033" t="s">
        <v>1457</v>
      </c>
      <c r="C325" s="1034"/>
      <c r="D325" s="1033"/>
      <c r="E325" s="1033"/>
      <c r="F325" s="1034"/>
      <c r="G325" s="1033"/>
      <c r="H325" s="1033"/>
      <c r="I325" s="1034"/>
      <c r="J325" s="1033"/>
      <c r="K325" s="1033"/>
      <c r="L325" s="1034"/>
      <c r="M325" s="1035"/>
      <c r="N325" s="1035"/>
      <c r="O325" s="1036"/>
      <c r="P325" s="1033"/>
      <c r="Q325" s="1033"/>
      <c r="R325" s="1034"/>
      <c r="S325" s="1035"/>
      <c r="T325" s="1035"/>
      <c r="U325" s="1034"/>
      <c r="V325" s="1035"/>
      <c r="W325" s="1035"/>
      <c r="X325" s="1037" t="str">
        <f t="shared" si="53"/>
        <v>221</v>
      </c>
      <c r="Y325" s="1035">
        <v>22</v>
      </c>
      <c r="Z325" s="1035">
        <f t="shared" si="47"/>
        <v>1</v>
      </c>
      <c r="AA325" s="1033" t="s">
        <v>2886</v>
      </c>
      <c r="AB325" s="1033" t="s">
        <v>2882</v>
      </c>
      <c r="AC325" s="1021">
        <v>111208</v>
      </c>
      <c r="AD325" s="1021" t="s">
        <v>1520</v>
      </c>
      <c r="AE325" s="1022">
        <f>VLOOKUP(AC325,[5]Hoja1!$A$10:$K$1393,11,0)</f>
        <v>49003585</v>
      </c>
      <c r="AF325" s="1191">
        <f>-AE325</f>
        <v>-49003585</v>
      </c>
      <c r="AG325" s="1022">
        <f t="shared" si="48"/>
        <v>0</v>
      </c>
      <c r="AH325" s="1022">
        <f t="shared" si="49"/>
        <v>0</v>
      </c>
      <c r="AK325" s="448"/>
      <c r="AL325" s="445"/>
    </row>
    <row r="326" spans="1:38" s="467" customFormat="1" ht="12.75" customHeight="1">
      <c r="A326" s="1033">
        <v>5153500</v>
      </c>
      <c r="B326" s="1033" t="s">
        <v>1457</v>
      </c>
      <c r="C326" s="1034"/>
      <c r="D326" s="1033"/>
      <c r="E326" s="1033"/>
      <c r="F326" s="1034"/>
      <c r="G326" s="1033"/>
      <c r="H326" s="1033"/>
      <c r="I326" s="1034"/>
      <c r="J326" s="1033"/>
      <c r="K326" s="1033"/>
      <c r="L326" s="1034"/>
      <c r="M326" s="1035"/>
      <c r="N326" s="1035"/>
      <c r="O326" s="1036"/>
      <c r="P326" s="1033"/>
      <c r="Q326" s="1033"/>
      <c r="R326" s="1034"/>
      <c r="S326" s="1035"/>
      <c r="T326" s="1035"/>
      <c r="U326" s="1034"/>
      <c r="V326" s="1035"/>
      <c r="W326" s="1035"/>
      <c r="X326" s="1037" t="str">
        <f t="shared" si="53"/>
        <v>221</v>
      </c>
      <c r="Y326" s="1035">
        <v>22</v>
      </c>
      <c r="Z326" s="1035">
        <f t="shared" si="47"/>
        <v>1</v>
      </c>
      <c r="AA326" s="1033" t="s">
        <v>2886</v>
      </c>
      <c r="AB326" s="1033" t="s">
        <v>2882</v>
      </c>
      <c r="AC326" s="1021">
        <v>111209</v>
      </c>
      <c r="AD326" s="1021" t="s">
        <v>2031</v>
      </c>
      <c r="AE326" s="1022">
        <f>VLOOKUP(AC326,[5]Hoja1!$A$10:$K$1393,11,0)</f>
        <v>17717670</v>
      </c>
      <c r="AF326" s="1191">
        <v>-17717670</v>
      </c>
      <c r="AG326" s="1022">
        <f t="shared" si="48"/>
        <v>0</v>
      </c>
      <c r="AH326" s="1022">
        <f t="shared" si="49"/>
        <v>0</v>
      </c>
      <c r="AI326" s="467">
        <v>-17717670</v>
      </c>
      <c r="AK326" s="448"/>
      <c r="AL326" s="445"/>
    </row>
    <row r="327" spans="1:38" s="467" customFormat="1" ht="12.75" customHeight="1">
      <c r="A327" s="1033">
        <v>5153500</v>
      </c>
      <c r="B327" s="1033" t="s">
        <v>1457</v>
      </c>
      <c r="C327" s="1034"/>
      <c r="D327" s="1033"/>
      <c r="E327" s="1033"/>
      <c r="F327" s="1034"/>
      <c r="G327" s="1033"/>
      <c r="H327" s="1033"/>
      <c r="I327" s="1034"/>
      <c r="J327" s="1033"/>
      <c r="K327" s="1033"/>
      <c r="L327" s="1034"/>
      <c r="M327" s="1035"/>
      <c r="N327" s="1035"/>
      <c r="O327" s="1036"/>
      <c r="P327" s="1033"/>
      <c r="Q327" s="1033"/>
      <c r="R327" s="1034"/>
      <c r="S327" s="1035"/>
      <c r="T327" s="1035"/>
      <c r="U327" s="1034"/>
      <c r="V327" s="1035"/>
      <c r="W327" s="1035"/>
      <c r="X327" s="1037" t="str">
        <f t="shared" si="53"/>
        <v>221</v>
      </c>
      <c r="Y327" s="1035">
        <v>22</v>
      </c>
      <c r="Z327" s="1035">
        <f t="shared" si="47"/>
        <v>1</v>
      </c>
      <c r="AA327" s="1033" t="s">
        <v>2886</v>
      </c>
      <c r="AB327" s="1033" t="s">
        <v>2882</v>
      </c>
      <c r="AC327" s="1021">
        <v>111213</v>
      </c>
      <c r="AD327" s="1021" t="s">
        <v>719</v>
      </c>
      <c r="AE327" s="1022">
        <f>VLOOKUP(AC327,[5]Hoja1!$A$10:$K$1393,11,0)</f>
        <v>0</v>
      </c>
      <c r="AF327" s="1020"/>
      <c r="AG327" s="1022">
        <f t="shared" si="48"/>
        <v>0</v>
      </c>
      <c r="AH327" s="1022">
        <f t="shared" si="49"/>
        <v>0</v>
      </c>
      <c r="AK327" s="448"/>
      <c r="AL327" s="445"/>
    </row>
    <row r="328" spans="1:38" s="467" customFormat="1" ht="12.75" customHeight="1">
      <c r="A328" s="1033">
        <v>5153500</v>
      </c>
      <c r="B328" s="1033" t="s">
        <v>1457</v>
      </c>
      <c r="C328" s="1034"/>
      <c r="D328" s="1033"/>
      <c r="E328" s="1033"/>
      <c r="F328" s="1034"/>
      <c r="G328" s="1033"/>
      <c r="H328" s="1033"/>
      <c r="I328" s="1034"/>
      <c r="J328" s="1033"/>
      <c r="K328" s="1033"/>
      <c r="L328" s="1034"/>
      <c r="M328" s="1035"/>
      <c r="N328" s="1035"/>
      <c r="O328" s="1036"/>
      <c r="P328" s="1033"/>
      <c r="Q328" s="1033"/>
      <c r="R328" s="1034"/>
      <c r="S328" s="1035"/>
      <c r="T328" s="1035"/>
      <c r="U328" s="1034"/>
      <c r="V328" s="1035"/>
      <c r="W328" s="1035"/>
      <c r="X328" s="1037"/>
      <c r="Y328" s="1035"/>
      <c r="Z328" s="1035">
        <f t="shared" si="47"/>
        <v>1</v>
      </c>
      <c r="AA328" s="1033" t="s">
        <v>2886</v>
      </c>
      <c r="AB328" s="1033" t="s">
        <v>2881</v>
      </c>
      <c r="AC328" s="1023">
        <v>111214</v>
      </c>
      <c r="AD328" s="1021" t="s">
        <v>2889</v>
      </c>
      <c r="AE328" s="1022">
        <f>VLOOKUP(AC328,[5]Hoja1!$A$10:$K$1393,11,0)</f>
        <v>-50147106</v>
      </c>
      <c r="AF328" s="1020"/>
      <c r="AG328" s="1022">
        <f t="shared" si="48"/>
        <v>-50147106</v>
      </c>
      <c r="AH328" s="1022">
        <f t="shared" si="49"/>
        <v>-50147</v>
      </c>
      <c r="AK328" s="448"/>
      <c r="AL328" s="445"/>
    </row>
    <row r="329" spans="1:38" s="467" customFormat="1" ht="12.75" customHeight="1">
      <c r="A329" s="1033">
        <v>5153500</v>
      </c>
      <c r="B329" s="1033" t="s">
        <v>1457</v>
      </c>
      <c r="C329" s="1034" t="str">
        <f t="shared" si="36"/>
        <v/>
      </c>
      <c r="D329" s="1033"/>
      <c r="E329" s="1033"/>
      <c r="F329" s="1034" t="str">
        <f t="shared" si="37"/>
        <v/>
      </c>
      <c r="G329" s="1033"/>
      <c r="H329" s="1033"/>
      <c r="I329" s="1034" t="str">
        <f t="shared" si="38"/>
        <v/>
      </c>
      <c r="J329" s="1033"/>
      <c r="K329" s="1033"/>
      <c r="L329" s="1034" t="str">
        <f t="shared" si="39"/>
        <v/>
      </c>
      <c r="M329" s="1035"/>
      <c r="N329" s="1035"/>
      <c r="O329" s="1036" t="str">
        <f t="shared" si="40"/>
        <v/>
      </c>
      <c r="P329" s="1033"/>
      <c r="Q329" s="1033"/>
      <c r="R329" s="1034" t="str">
        <f t="shared" si="41"/>
        <v/>
      </c>
      <c r="S329" s="1035"/>
      <c r="T329" s="1035"/>
      <c r="U329" s="1034" t="str">
        <f t="shared" si="42"/>
        <v/>
      </c>
      <c r="V329" s="1035"/>
      <c r="W329" s="1035"/>
      <c r="X329" s="1037" t="str">
        <f t="shared" ref="X329:X337" si="54">+Y329&amp;Z329</f>
        <v>221</v>
      </c>
      <c r="Y329" s="1035">
        <v>22</v>
      </c>
      <c r="Z329" s="1035">
        <f t="shared" si="47"/>
        <v>1</v>
      </c>
      <c r="AA329" s="1033" t="s">
        <v>2886</v>
      </c>
      <c r="AB329" s="1033" t="s">
        <v>2879</v>
      </c>
      <c r="AC329" s="1021">
        <v>111301</v>
      </c>
      <c r="AD329" s="1021" t="s">
        <v>880</v>
      </c>
      <c r="AE329" s="1022">
        <f>VLOOKUP(AC329,[5]Hoja1!$A$10:$K$1393,11,0)</f>
        <v>181537421</v>
      </c>
      <c r="AF329" s="1022"/>
      <c r="AG329" s="1022">
        <f t="shared" si="48"/>
        <v>181537421</v>
      </c>
      <c r="AH329" s="1022">
        <f t="shared" si="49"/>
        <v>181537</v>
      </c>
      <c r="AK329" s="448"/>
      <c r="AL329" s="445"/>
    </row>
    <row r="330" spans="1:38" s="467" customFormat="1" ht="12.75" customHeight="1">
      <c r="A330" s="1033">
        <v>5153500</v>
      </c>
      <c r="B330" s="1033" t="s">
        <v>1457</v>
      </c>
      <c r="C330" s="1034" t="str">
        <f t="shared" ref="C330:C456" si="55">+D330&amp;E330</f>
        <v/>
      </c>
      <c r="D330" s="1033"/>
      <c r="E330" s="1033"/>
      <c r="F330" s="1034" t="str">
        <f t="shared" ref="F330:F456" si="56">+G330&amp;H330</f>
        <v/>
      </c>
      <c r="G330" s="1033"/>
      <c r="H330" s="1033"/>
      <c r="I330" s="1034" t="str">
        <f t="shared" ref="I330:I456" si="57">+J330&amp;K330</f>
        <v/>
      </c>
      <c r="J330" s="1033"/>
      <c r="K330" s="1033"/>
      <c r="L330" s="1034" t="str">
        <f t="shared" ref="L330:L456" si="58">+M330&amp;N330</f>
        <v/>
      </c>
      <c r="M330" s="1035"/>
      <c r="N330" s="1035"/>
      <c r="O330" s="1036" t="str">
        <f t="shared" ref="O330:O456" si="59">+P330&amp;Q330</f>
        <v/>
      </c>
      <c r="P330" s="1033"/>
      <c r="Q330" s="1033"/>
      <c r="R330" s="1034" t="str">
        <f t="shared" ref="R330:R456" si="60">+S330&amp;T330</f>
        <v/>
      </c>
      <c r="S330" s="1035"/>
      <c r="T330" s="1035"/>
      <c r="U330" s="1034" t="str">
        <f t="shared" ref="U330:U456" si="61">+V330&amp;W330</f>
        <v/>
      </c>
      <c r="V330" s="1035"/>
      <c r="W330" s="1035"/>
      <c r="X330" s="1037" t="str">
        <f t="shared" si="54"/>
        <v>221</v>
      </c>
      <c r="Y330" s="1035">
        <v>22</v>
      </c>
      <c r="Z330" s="1035">
        <f t="shared" si="47"/>
        <v>1</v>
      </c>
      <c r="AA330" s="1033" t="s">
        <v>2886</v>
      </c>
      <c r="AB330" s="1033" t="s">
        <v>2879</v>
      </c>
      <c r="AC330" s="1021">
        <v>111302</v>
      </c>
      <c r="AD330" s="1021" t="s">
        <v>2032</v>
      </c>
      <c r="AE330" s="1022">
        <f>VLOOKUP(AC330,[5]Hoja1!$A$10:$K$1393,11,0)</f>
        <v>228350837</v>
      </c>
      <c r="AF330" s="1191">
        <v>-228350837</v>
      </c>
      <c r="AG330" s="1022">
        <f t="shared" si="48"/>
        <v>0</v>
      </c>
      <c r="AH330" s="1022">
        <f t="shared" si="49"/>
        <v>0</v>
      </c>
      <c r="AK330" s="448"/>
      <c r="AL330" s="445"/>
    </row>
    <row r="331" spans="1:38" s="467" customFormat="1" ht="12.75" customHeight="1">
      <c r="A331" s="1033">
        <v>5153500</v>
      </c>
      <c r="B331" s="1033" t="s">
        <v>1457</v>
      </c>
      <c r="C331" s="1034" t="str">
        <f t="shared" si="55"/>
        <v/>
      </c>
      <c r="D331" s="1033"/>
      <c r="E331" s="1033"/>
      <c r="F331" s="1034" t="str">
        <f t="shared" si="56"/>
        <v/>
      </c>
      <c r="G331" s="1033"/>
      <c r="H331" s="1033"/>
      <c r="I331" s="1034" t="str">
        <f t="shared" si="57"/>
        <v/>
      </c>
      <c r="J331" s="1033"/>
      <c r="K331" s="1033"/>
      <c r="L331" s="1034" t="str">
        <f t="shared" si="58"/>
        <v/>
      </c>
      <c r="M331" s="1035"/>
      <c r="N331" s="1035"/>
      <c r="O331" s="1036" t="str">
        <f t="shared" si="59"/>
        <v/>
      </c>
      <c r="P331" s="1033"/>
      <c r="Q331" s="1033"/>
      <c r="R331" s="1034" t="str">
        <f t="shared" si="60"/>
        <v/>
      </c>
      <c r="S331" s="1035"/>
      <c r="T331" s="1035"/>
      <c r="U331" s="1034" t="str">
        <f t="shared" si="61"/>
        <v/>
      </c>
      <c r="V331" s="1035"/>
      <c r="W331" s="1035"/>
      <c r="X331" s="1037" t="str">
        <f t="shared" si="54"/>
        <v>221</v>
      </c>
      <c r="Y331" s="1035">
        <v>22</v>
      </c>
      <c r="Z331" s="1035">
        <f t="shared" si="47"/>
        <v>1</v>
      </c>
      <c r="AA331" s="1033" t="s">
        <v>2886</v>
      </c>
      <c r="AB331" s="1033" t="s">
        <v>2879</v>
      </c>
      <c r="AC331" s="1021">
        <v>111303</v>
      </c>
      <c r="AD331" s="1021" t="s">
        <v>608</v>
      </c>
      <c r="AE331" s="1022">
        <f>VLOOKUP(AC331,[5]Hoja1!$A$10:$K$1393,11,0)</f>
        <v>-14242941</v>
      </c>
      <c r="AF331" s="1022"/>
      <c r="AG331" s="1022">
        <f t="shared" si="48"/>
        <v>-14242941</v>
      </c>
      <c r="AH331" s="1022">
        <f t="shared" si="49"/>
        <v>-14243</v>
      </c>
      <c r="AK331" s="448"/>
      <c r="AL331" s="445"/>
    </row>
    <row r="332" spans="1:38" s="467" customFormat="1" ht="12.75" customHeight="1">
      <c r="A332" s="1033"/>
      <c r="B332" s="1033"/>
      <c r="C332" s="1034" t="str">
        <f t="shared" si="55"/>
        <v/>
      </c>
      <c r="D332" s="1033"/>
      <c r="E332" s="1033"/>
      <c r="F332" s="1034" t="str">
        <f t="shared" si="56"/>
        <v/>
      </c>
      <c r="G332" s="1033"/>
      <c r="H332" s="1033"/>
      <c r="I332" s="1034" t="str">
        <f t="shared" si="57"/>
        <v/>
      </c>
      <c r="J332" s="1033"/>
      <c r="K332" s="1033"/>
      <c r="L332" s="1034" t="str">
        <f t="shared" si="58"/>
        <v/>
      </c>
      <c r="M332" s="1035"/>
      <c r="N332" s="1035"/>
      <c r="O332" s="1036" t="str">
        <f t="shared" si="59"/>
        <v/>
      </c>
      <c r="P332" s="1033"/>
      <c r="Q332" s="1033"/>
      <c r="R332" s="1034" t="str">
        <f t="shared" si="60"/>
        <v/>
      </c>
      <c r="S332" s="1035"/>
      <c r="T332" s="1035"/>
      <c r="U332" s="1034" t="str">
        <f t="shared" si="61"/>
        <v/>
      </c>
      <c r="V332" s="1035"/>
      <c r="W332" s="1035"/>
      <c r="X332" s="1037" t="str">
        <f t="shared" si="54"/>
        <v>221</v>
      </c>
      <c r="Y332" s="1035">
        <v>22</v>
      </c>
      <c r="Z332" s="1035">
        <f t="shared" si="47"/>
        <v>1</v>
      </c>
      <c r="AA332" s="1035"/>
      <c r="AB332" s="1035"/>
      <c r="AC332" s="1021">
        <v>111304</v>
      </c>
      <c r="AD332" s="1021" t="s">
        <v>832</v>
      </c>
      <c r="AE332" s="1022">
        <v>0</v>
      </c>
      <c r="AF332" s="1022">
        <f>-AE332</f>
        <v>0</v>
      </c>
      <c r="AG332" s="1022">
        <f t="shared" si="48"/>
        <v>0</v>
      </c>
      <c r="AH332" s="1022">
        <f t="shared" si="49"/>
        <v>0</v>
      </c>
      <c r="AK332" s="448"/>
      <c r="AL332" s="445"/>
    </row>
    <row r="333" spans="1:38" s="467" customFormat="1" ht="12.75" customHeight="1">
      <c r="A333" s="1033">
        <v>5153500</v>
      </c>
      <c r="B333" s="1033" t="s">
        <v>1457</v>
      </c>
      <c r="C333" s="1034" t="str">
        <f t="shared" si="55"/>
        <v/>
      </c>
      <c r="D333" s="1033"/>
      <c r="E333" s="1033"/>
      <c r="F333" s="1034" t="str">
        <f t="shared" si="56"/>
        <v/>
      </c>
      <c r="G333" s="1033"/>
      <c r="H333" s="1033"/>
      <c r="I333" s="1034" t="str">
        <f t="shared" si="57"/>
        <v/>
      </c>
      <c r="J333" s="1033"/>
      <c r="K333" s="1033"/>
      <c r="L333" s="1034" t="str">
        <f t="shared" si="58"/>
        <v/>
      </c>
      <c r="M333" s="1035"/>
      <c r="N333" s="1035"/>
      <c r="O333" s="1036" t="str">
        <f t="shared" si="59"/>
        <v/>
      </c>
      <c r="P333" s="1033"/>
      <c r="Q333" s="1033"/>
      <c r="R333" s="1034" t="str">
        <f t="shared" si="60"/>
        <v/>
      </c>
      <c r="S333" s="1035"/>
      <c r="T333" s="1035"/>
      <c r="U333" s="1034" t="str">
        <f t="shared" si="61"/>
        <v/>
      </c>
      <c r="V333" s="1035"/>
      <c r="W333" s="1035"/>
      <c r="X333" s="1037" t="str">
        <f t="shared" si="54"/>
        <v>221</v>
      </c>
      <c r="Y333" s="1035">
        <v>22</v>
      </c>
      <c r="Z333" s="1035">
        <f t="shared" si="47"/>
        <v>1</v>
      </c>
      <c r="AA333" s="1033" t="s">
        <v>2886</v>
      </c>
      <c r="AB333" s="1033" t="s">
        <v>2879</v>
      </c>
      <c r="AC333" s="1021">
        <v>111305</v>
      </c>
      <c r="AD333" s="1021" t="s">
        <v>833</v>
      </c>
      <c r="AE333" s="1022">
        <f>VLOOKUP(AC333,[5]Hoja1!$A$10:$K$1393,11,0)</f>
        <v>0</v>
      </c>
      <c r="AF333" s="1022"/>
      <c r="AG333" s="1022">
        <f t="shared" si="48"/>
        <v>0</v>
      </c>
      <c r="AH333" s="1022">
        <f t="shared" si="49"/>
        <v>0</v>
      </c>
      <c r="AK333" s="448"/>
      <c r="AL333" s="445"/>
    </row>
    <row r="334" spans="1:38" s="467" customFormat="1" ht="12.75" customHeight="1">
      <c r="A334" s="1033"/>
      <c r="B334" s="1033"/>
      <c r="C334" s="1034" t="str">
        <f t="shared" si="55"/>
        <v/>
      </c>
      <c r="D334" s="1033"/>
      <c r="E334" s="1033"/>
      <c r="F334" s="1034" t="str">
        <f t="shared" si="56"/>
        <v/>
      </c>
      <c r="G334" s="1033"/>
      <c r="H334" s="1033"/>
      <c r="I334" s="1034" t="str">
        <f t="shared" si="57"/>
        <v/>
      </c>
      <c r="J334" s="1033"/>
      <c r="K334" s="1033"/>
      <c r="L334" s="1034" t="str">
        <f t="shared" si="58"/>
        <v/>
      </c>
      <c r="M334" s="1035"/>
      <c r="N334" s="1035"/>
      <c r="O334" s="1036" t="str">
        <f t="shared" si="59"/>
        <v/>
      </c>
      <c r="P334" s="1033"/>
      <c r="Q334" s="1033"/>
      <c r="R334" s="1034" t="str">
        <f t="shared" si="60"/>
        <v/>
      </c>
      <c r="S334" s="1035"/>
      <c r="T334" s="1035"/>
      <c r="U334" s="1034" t="str">
        <f t="shared" si="61"/>
        <v/>
      </c>
      <c r="V334" s="1035"/>
      <c r="W334" s="1035"/>
      <c r="X334" s="1037" t="str">
        <f t="shared" si="54"/>
        <v>1</v>
      </c>
      <c r="Y334" s="1035"/>
      <c r="Z334" s="1035">
        <f t="shared" ref="Z334:Z398" si="62">VALUE(LEFT(AC334,1))</f>
        <v>1</v>
      </c>
      <c r="AA334" s="1035"/>
      <c r="AB334" s="1035"/>
      <c r="AC334" s="1021">
        <v>111306</v>
      </c>
      <c r="AD334" s="1021" t="s">
        <v>2033</v>
      </c>
      <c r="AE334" s="1022">
        <v>0</v>
      </c>
      <c r="AF334" s="1022"/>
      <c r="AG334" s="1022">
        <f t="shared" ref="AG334:AG398" si="63">AE334+AF334</f>
        <v>0</v>
      </c>
      <c r="AH334" s="1022">
        <f t="shared" ref="AH334:AH398" si="64">ROUND((AE334+AF334)/$AH$2,0)</f>
        <v>0</v>
      </c>
      <c r="AK334" s="448"/>
      <c r="AL334" s="445"/>
    </row>
    <row r="335" spans="1:38" s="467" customFormat="1" ht="12.75" customHeight="1">
      <c r="A335" s="1033">
        <v>5153500</v>
      </c>
      <c r="B335" s="1033" t="s">
        <v>1457</v>
      </c>
      <c r="C335" s="1034" t="str">
        <f t="shared" si="55"/>
        <v/>
      </c>
      <c r="D335" s="1033"/>
      <c r="E335" s="1033"/>
      <c r="F335" s="1034" t="str">
        <f t="shared" si="56"/>
        <v/>
      </c>
      <c r="G335" s="1033"/>
      <c r="H335" s="1033"/>
      <c r="I335" s="1034" t="str">
        <f t="shared" si="57"/>
        <v/>
      </c>
      <c r="J335" s="1033"/>
      <c r="K335" s="1033"/>
      <c r="L335" s="1034" t="str">
        <f t="shared" si="58"/>
        <v/>
      </c>
      <c r="M335" s="1035"/>
      <c r="N335" s="1035"/>
      <c r="O335" s="1036" t="str">
        <f t="shared" si="59"/>
        <v/>
      </c>
      <c r="P335" s="1033"/>
      <c r="Q335" s="1033"/>
      <c r="R335" s="1034" t="str">
        <f t="shared" si="60"/>
        <v/>
      </c>
      <c r="S335" s="1035"/>
      <c r="T335" s="1035"/>
      <c r="U335" s="1034" t="str">
        <f t="shared" si="61"/>
        <v/>
      </c>
      <c r="V335" s="1035"/>
      <c r="W335" s="1035"/>
      <c r="X335" s="1037" t="str">
        <f t="shared" si="54"/>
        <v>221</v>
      </c>
      <c r="Y335" s="1035">
        <v>22</v>
      </c>
      <c r="Z335" s="1035">
        <f t="shared" si="62"/>
        <v>1</v>
      </c>
      <c r="AA335" s="1033" t="s">
        <v>2886</v>
      </c>
      <c r="AB335" s="1033" t="s">
        <v>2879</v>
      </c>
      <c r="AC335" s="1021">
        <v>111307</v>
      </c>
      <c r="AD335" s="1021" t="s">
        <v>192</v>
      </c>
      <c r="AE335" s="1022">
        <f>VLOOKUP(AC335,[5]Hoja1!$A$10:$K$1393,11,0)</f>
        <v>2882250</v>
      </c>
      <c r="AF335" s="1022"/>
      <c r="AG335" s="1022">
        <f t="shared" si="63"/>
        <v>2882250</v>
      </c>
      <c r="AH335" s="1022">
        <f t="shared" si="64"/>
        <v>2882</v>
      </c>
      <c r="AK335" s="448"/>
      <c r="AL335" s="445"/>
    </row>
    <row r="336" spans="1:38" s="467" customFormat="1" ht="12.75" customHeight="1">
      <c r="A336" s="1033"/>
      <c r="B336" s="1033"/>
      <c r="C336" s="1034" t="str">
        <f t="shared" si="55"/>
        <v/>
      </c>
      <c r="D336" s="1033"/>
      <c r="E336" s="1033"/>
      <c r="F336" s="1034" t="str">
        <f t="shared" si="56"/>
        <v/>
      </c>
      <c r="G336" s="1033"/>
      <c r="H336" s="1033"/>
      <c r="I336" s="1034" t="str">
        <f t="shared" si="57"/>
        <v/>
      </c>
      <c r="J336" s="1033"/>
      <c r="K336" s="1033"/>
      <c r="L336" s="1034" t="str">
        <f t="shared" si="58"/>
        <v/>
      </c>
      <c r="M336" s="1035"/>
      <c r="N336" s="1035"/>
      <c r="O336" s="1036" t="str">
        <f t="shared" si="59"/>
        <v/>
      </c>
      <c r="P336" s="1033"/>
      <c r="Q336" s="1033"/>
      <c r="R336" s="1034" t="str">
        <f t="shared" si="60"/>
        <v/>
      </c>
      <c r="S336" s="1035"/>
      <c r="T336" s="1035"/>
      <c r="U336" s="1034" t="str">
        <f t="shared" si="61"/>
        <v/>
      </c>
      <c r="V336" s="1035"/>
      <c r="W336" s="1035"/>
      <c r="X336" s="1037" t="str">
        <f t="shared" si="54"/>
        <v>221</v>
      </c>
      <c r="Y336" s="1035">
        <v>22</v>
      </c>
      <c r="Z336" s="1035">
        <f t="shared" si="62"/>
        <v>1</v>
      </c>
      <c r="AA336" s="1035"/>
      <c r="AB336" s="1035"/>
      <c r="AC336" s="1021">
        <v>111308</v>
      </c>
      <c r="AD336" s="1021" t="s">
        <v>193</v>
      </c>
      <c r="AE336" s="1022">
        <f>VLOOKUP(AC336,[5]Hoja1!$A$10:$K$1393,11,0)</f>
        <v>0</v>
      </c>
      <c r="AF336" s="1022"/>
      <c r="AG336" s="1022">
        <f t="shared" si="63"/>
        <v>0</v>
      </c>
      <c r="AH336" s="1022">
        <f t="shared" si="64"/>
        <v>0</v>
      </c>
      <c r="AK336" s="448"/>
      <c r="AL336" s="445"/>
    </row>
    <row r="337" spans="1:38" s="467" customFormat="1" ht="12.75" customHeight="1">
      <c r="A337" s="1033"/>
      <c r="B337" s="1033"/>
      <c r="C337" s="1034" t="str">
        <f t="shared" si="55"/>
        <v/>
      </c>
      <c r="D337" s="1033"/>
      <c r="E337" s="1033"/>
      <c r="F337" s="1034" t="str">
        <f t="shared" si="56"/>
        <v/>
      </c>
      <c r="G337" s="1033"/>
      <c r="H337" s="1033"/>
      <c r="I337" s="1034" t="str">
        <f t="shared" si="57"/>
        <v/>
      </c>
      <c r="J337" s="1033"/>
      <c r="K337" s="1033"/>
      <c r="L337" s="1034" t="str">
        <f t="shared" si="58"/>
        <v/>
      </c>
      <c r="M337" s="1035"/>
      <c r="N337" s="1035"/>
      <c r="O337" s="1036" t="str">
        <f t="shared" si="59"/>
        <v/>
      </c>
      <c r="P337" s="1033"/>
      <c r="Q337" s="1033"/>
      <c r="R337" s="1034" t="str">
        <f t="shared" si="60"/>
        <v/>
      </c>
      <c r="S337" s="1035"/>
      <c r="T337" s="1035"/>
      <c r="U337" s="1034" t="str">
        <f t="shared" si="61"/>
        <v/>
      </c>
      <c r="V337" s="1035"/>
      <c r="W337" s="1035"/>
      <c r="X337" s="1037" t="str">
        <f t="shared" si="54"/>
        <v>221</v>
      </c>
      <c r="Y337" s="1035">
        <v>22</v>
      </c>
      <c r="Z337" s="1035">
        <f t="shared" si="62"/>
        <v>1</v>
      </c>
      <c r="AA337" s="1035"/>
      <c r="AB337" s="1035"/>
      <c r="AC337" s="1021">
        <v>111309</v>
      </c>
      <c r="AD337" s="1021" t="s">
        <v>2034</v>
      </c>
      <c r="AE337" s="1022">
        <f>VLOOKUP(AC337,[5]Hoja1!$A$10:$K$1393,11,0)</f>
        <v>0</v>
      </c>
      <c r="AF337" s="1022"/>
      <c r="AG337" s="1022">
        <f t="shared" si="63"/>
        <v>0</v>
      </c>
      <c r="AH337" s="1022">
        <f t="shared" si="64"/>
        <v>0</v>
      </c>
      <c r="AK337" s="448"/>
      <c r="AL337" s="445"/>
    </row>
    <row r="338" spans="1:38" s="467" customFormat="1" ht="12.75" customHeight="1">
      <c r="A338" s="1033"/>
      <c r="B338" s="1033"/>
      <c r="C338" s="1034"/>
      <c r="D338" s="1033"/>
      <c r="E338" s="1033"/>
      <c r="F338" s="1034"/>
      <c r="G338" s="1033"/>
      <c r="H338" s="1033"/>
      <c r="I338" s="1034"/>
      <c r="J338" s="1033"/>
      <c r="K338" s="1033"/>
      <c r="L338" s="1034"/>
      <c r="M338" s="1035"/>
      <c r="N338" s="1035"/>
      <c r="O338" s="1036"/>
      <c r="P338" s="1033"/>
      <c r="Q338" s="1033"/>
      <c r="R338" s="1034"/>
      <c r="S338" s="1035"/>
      <c r="T338" s="1035"/>
      <c r="U338" s="1034"/>
      <c r="V338" s="1035"/>
      <c r="W338" s="1035"/>
      <c r="X338" s="1037"/>
      <c r="Y338" s="1035"/>
      <c r="Z338" s="1035">
        <f t="shared" si="62"/>
        <v>1</v>
      </c>
      <c r="AA338" s="1035"/>
      <c r="AB338" s="1035"/>
      <c r="AC338" s="1021">
        <v>111310</v>
      </c>
      <c r="AD338" s="1021" t="s">
        <v>2035</v>
      </c>
      <c r="AE338" s="1022">
        <v>0</v>
      </c>
      <c r="AF338" s="1022"/>
      <c r="AG338" s="1022">
        <f t="shared" si="63"/>
        <v>0</v>
      </c>
      <c r="AH338" s="1022">
        <f t="shared" si="64"/>
        <v>0</v>
      </c>
      <c r="AK338" s="448"/>
      <c r="AL338" s="445"/>
    </row>
    <row r="339" spans="1:38" s="467" customFormat="1" ht="12.75" customHeight="1">
      <c r="A339" s="1033">
        <v>5152100</v>
      </c>
      <c r="B339" s="1033" t="s">
        <v>2765</v>
      </c>
      <c r="C339" s="1034"/>
      <c r="D339" s="1033"/>
      <c r="E339" s="1033"/>
      <c r="F339" s="1034"/>
      <c r="G339" s="1033"/>
      <c r="H339" s="1033"/>
      <c r="I339" s="1034"/>
      <c r="J339" s="1033"/>
      <c r="K339" s="1033"/>
      <c r="L339" s="1034"/>
      <c r="M339" s="1035"/>
      <c r="N339" s="1035"/>
      <c r="O339" s="1036"/>
      <c r="P339" s="1033"/>
      <c r="Q339" s="1033"/>
      <c r="R339" s="1034"/>
      <c r="S339" s="1035"/>
      <c r="T339" s="1035"/>
      <c r="U339" s="1034"/>
      <c r="V339" s="1035"/>
      <c r="W339" s="1035"/>
      <c r="X339" s="1037"/>
      <c r="Y339" s="1035"/>
      <c r="Z339" s="1035">
        <f t="shared" si="62"/>
        <v>1</v>
      </c>
      <c r="AA339" s="1033" t="s">
        <v>2870</v>
      </c>
      <c r="AB339" s="1033" t="s">
        <v>2863</v>
      </c>
      <c r="AC339" s="1021">
        <v>111311</v>
      </c>
      <c r="AD339" s="1021" t="s">
        <v>2036</v>
      </c>
      <c r="AE339" s="1022">
        <f>VLOOKUP(AC339,[5]Hoja1!$A$10:$K$1393,11,0)</f>
        <v>0</v>
      </c>
      <c r="AF339" s="1022"/>
      <c r="AG339" s="1022">
        <f t="shared" si="63"/>
        <v>0</v>
      </c>
      <c r="AH339" s="1022">
        <f t="shared" si="64"/>
        <v>0</v>
      </c>
      <c r="AK339" s="448"/>
      <c r="AL339" s="445"/>
    </row>
    <row r="340" spans="1:38" s="467" customFormat="1" ht="12.75" customHeight="1">
      <c r="A340" s="1033">
        <v>5153500</v>
      </c>
      <c r="B340" s="1033" t="s">
        <v>1457</v>
      </c>
      <c r="C340" s="1034"/>
      <c r="D340" s="1033"/>
      <c r="E340" s="1033"/>
      <c r="F340" s="1034"/>
      <c r="G340" s="1033"/>
      <c r="H340" s="1033"/>
      <c r="I340" s="1034"/>
      <c r="J340" s="1033"/>
      <c r="K340" s="1033"/>
      <c r="L340" s="1034"/>
      <c r="M340" s="1035"/>
      <c r="N340" s="1035"/>
      <c r="O340" s="1036"/>
      <c r="P340" s="1033"/>
      <c r="Q340" s="1033"/>
      <c r="R340" s="1034"/>
      <c r="S340" s="1035"/>
      <c r="T340" s="1035"/>
      <c r="U340" s="1034"/>
      <c r="V340" s="1035"/>
      <c r="W340" s="1035"/>
      <c r="X340" s="1037"/>
      <c r="Y340" s="1035"/>
      <c r="Z340" s="1035">
        <f t="shared" si="62"/>
        <v>1</v>
      </c>
      <c r="AA340" s="1033" t="s">
        <v>2886</v>
      </c>
      <c r="AB340" s="1033" t="s">
        <v>2879</v>
      </c>
      <c r="AC340" s="1021">
        <v>111312</v>
      </c>
      <c r="AD340" s="1021" t="s">
        <v>3084</v>
      </c>
      <c r="AE340" s="1022">
        <f>VLOOKUP(AC340,[5]Hoja1!$A$10:$K$1393,11,0)</f>
        <v>29373619</v>
      </c>
      <c r="AF340" s="1022"/>
      <c r="AG340" s="1022">
        <f t="shared" ref="AG340" si="65">AE340+AF340</f>
        <v>29373619</v>
      </c>
      <c r="AH340" s="1022">
        <f t="shared" ref="AH340" si="66">ROUND((AE340+AF340)/$AH$2,0)</f>
        <v>29374</v>
      </c>
      <c r="AK340" s="448"/>
      <c r="AL340" s="445"/>
    </row>
    <row r="341" spans="1:38" s="467" customFormat="1" ht="12.75" customHeight="1">
      <c r="A341" s="1033">
        <v>5153500</v>
      </c>
      <c r="B341" s="1033" t="s">
        <v>1457</v>
      </c>
      <c r="C341" s="1034"/>
      <c r="D341" s="1033"/>
      <c r="E341" s="1033"/>
      <c r="F341" s="1034"/>
      <c r="G341" s="1033"/>
      <c r="H341" s="1033"/>
      <c r="I341" s="1034"/>
      <c r="J341" s="1033"/>
      <c r="K341" s="1033"/>
      <c r="L341" s="1034"/>
      <c r="M341" s="1035"/>
      <c r="N341" s="1035"/>
      <c r="O341" s="1036"/>
      <c r="P341" s="1033"/>
      <c r="Q341" s="1033"/>
      <c r="R341" s="1034"/>
      <c r="S341" s="1035"/>
      <c r="T341" s="1035"/>
      <c r="U341" s="1034"/>
      <c r="V341" s="1035"/>
      <c r="W341" s="1035"/>
      <c r="X341" s="1037" t="str">
        <f t="shared" ref="X341:X365" si="67">+Y341&amp;Z341</f>
        <v>221</v>
      </c>
      <c r="Y341" s="1035">
        <v>22</v>
      </c>
      <c r="Z341" s="1035">
        <f t="shared" si="62"/>
        <v>1</v>
      </c>
      <c r="AA341" s="1033" t="s">
        <v>2886</v>
      </c>
      <c r="AB341" s="1033" t="s">
        <v>2879</v>
      </c>
      <c r="AC341" s="1021">
        <v>111313</v>
      </c>
      <c r="AD341" s="1021" t="s">
        <v>2037</v>
      </c>
      <c r="AE341" s="1022">
        <f>VLOOKUP(AC341,[5]Hoja1!$A$10:$K$1393,11,0)</f>
        <v>-5417982</v>
      </c>
      <c r="AF341" s="1022"/>
      <c r="AG341" s="1022">
        <f t="shared" si="63"/>
        <v>-5417982</v>
      </c>
      <c r="AH341" s="1022">
        <f t="shared" si="64"/>
        <v>-5418</v>
      </c>
      <c r="AK341" s="448"/>
      <c r="AL341" s="445"/>
    </row>
    <row r="342" spans="1:38" s="467" customFormat="1" ht="12.75" customHeight="1">
      <c r="A342" s="1033">
        <v>5153500</v>
      </c>
      <c r="B342" s="1033" t="s">
        <v>1457</v>
      </c>
      <c r="C342" s="1034"/>
      <c r="D342" s="1033"/>
      <c r="E342" s="1033"/>
      <c r="F342" s="1034"/>
      <c r="G342" s="1033"/>
      <c r="H342" s="1033"/>
      <c r="I342" s="1034"/>
      <c r="J342" s="1033"/>
      <c r="K342" s="1033"/>
      <c r="L342" s="1034"/>
      <c r="M342" s="1035"/>
      <c r="N342" s="1035"/>
      <c r="O342" s="1036"/>
      <c r="P342" s="1033"/>
      <c r="Q342" s="1033"/>
      <c r="R342" s="1034"/>
      <c r="S342" s="1035"/>
      <c r="T342" s="1035"/>
      <c r="U342" s="1034"/>
      <c r="V342" s="1035"/>
      <c r="W342" s="1035"/>
      <c r="X342" s="1037" t="str">
        <f t="shared" si="67"/>
        <v>221</v>
      </c>
      <c r="Y342" s="1035">
        <v>22</v>
      </c>
      <c r="Z342" s="1035">
        <f t="shared" si="62"/>
        <v>1</v>
      </c>
      <c r="AA342" s="1033" t="s">
        <v>2886</v>
      </c>
      <c r="AB342" s="1033" t="s">
        <v>2879</v>
      </c>
      <c r="AC342" s="1021">
        <v>111314</v>
      </c>
      <c r="AD342" s="1021" t="s">
        <v>2038</v>
      </c>
      <c r="AE342" s="1022">
        <f>VLOOKUP(AC342,[5]Hoja1!$A$10:$K$1393,11,0)</f>
        <v>95419</v>
      </c>
      <c r="AF342" s="1022"/>
      <c r="AG342" s="1022">
        <f t="shared" si="63"/>
        <v>95419</v>
      </c>
      <c r="AH342" s="1022">
        <f t="shared" si="64"/>
        <v>95</v>
      </c>
      <c r="AK342" s="448"/>
      <c r="AL342" s="445"/>
    </row>
    <row r="343" spans="1:38" s="467" customFormat="1" ht="12.75" customHeight="1">
      <c r="A343" s="1033">
        <v>5153500</v>
      </c>
      <c r="B343" s="1033" t="s">
        <v>1457</v>
      </c>
      <c r="C343" s="1034"/>
      <c r="D343" s="1033"/>
      <c r="E343" s="1033"/>
      <c r="F343" s="1034"/>
      <c r="G343" s="1033"/>
      <c r="H343" s="1033"/>
      <c r="I343" s="1034"/>
      <c r="J343" s="1033"/>
      <c r="K343" s="1033"/>
      <c r="L343" s="1034"/>
      <c r="M343" s="1035"/>
      <c r="N343" s="1035"/>
      <c r="O343" s="1036"/>
      <c r="P343" s="1033"/>
      <c r="Q343" s="1033"/>
      <c r="R343" s="1034"/>
      <c r="S343" s="1035"/>
      <c r="T343" s="1035"/>
      <c r="U343" s="1034"/>
      <c r="V343" s="1035"/>
      <c r="W343" s="1035"/>
      <c r="X343" s="1037" t="str">
        <f t="shared" si="67"/>
        <v>221</v>
      </c>
      <c r="Y343" s="1035">
        <v>22</v>
      </c>
      <c r="Z343" s="1035">
        <f t="shared" si="62"/>
        <v>1</v>
      </c>
      <c r="AA343" s="1033" t="s">
        <v>2886</v>
      </c>
      <c r="AB343" s="1033" t="s">
        <v>2879</v>
      </c>
      <c r="AC343" s="1021">
        <v>111315</v>
      </c>
      <c r="AD343" s="1021" t="s">
        <v>1904</v>
      </c>
      <c r="AE343" s="1022">
        <f>VLOOKUP(AC343,[5]Hoja1!$A$10:$K$1393,11,0)</f>
        <v>0</v>
      </c>
      <c r="AF343" s="1022"/>
      <c r="AG343" s="1022">
        <f t="shared" si="63"/>
        <v>0</v>
      </c>
      <c r="AH343" s="1022">
        <f t="shared" si="64"/>
        <v>0</v>
      </c>
      <c r="AK343" s="448"/>
      <c r="AL343" s="445"/>
    </row>
    <row r="344" spans="1:38" s="467" customFormat="1" ht="12.75" customHeight="1">
      <c r="A344" s="1033">
        <v>5153500</v>
      </c>
      <c r="B344" s="1033" t="s">
        <v>1457</v>
      </c>
      <c r="C344" s="1034"/>
      <c r="D344" s="1033"/>
      <c r="E344" s="1033"/>
      <c r="F344" s="1034"/>
      <c r="G344" s="1033"/>
      <c r="H344" s="1033"/>
      <c r="I344" s="1034"/>
      <c r="J344" s="1033"/>
      <c r="K344" s="1033"/>
      <c r="L344" s="1034"/>
      <c r="M344" s="1035"/>
      <c r="N344" s="1035"/>
      <c r="O344" s="1036"/>
      <c r="P344" s="1033"/>
      <c r="Q344" s="1033"/>
      <c r="R344" s="1034"/>
      <c r="S344" s="1035"/>
      <c r="T344" s="1035"/>
      <c r="U344" s="1034"/>
      <c r="V344" s="1035"/>
      <c r="W344" s="1035"/>
      <c r="X344" s="1037" t="str">
        <f t="shared" si="67"/>
        <v>221</v>
      </c>
      <c r="Y344" s="1035">
        <v>22</v>
      </c>
      <c r="Z344" s="1035">
        <f t="shared" si="62"/>
        <v>1</v>
      </c>
      <c r="AA344" s="1033" t="s">
        <v>2886</v>
      </c>
      <c r="AB344" s="1033" t="s">
        <v>2879</v>
      </c>
      <c r="AC344" s="1021">
        <v>111316</v>
      </c>
      <c r="AD344" s="1021" t="s">
        <v>2039</v>
      </c>
      <c r="AE344" s="1022">
        <f>VLOOKUP(AC344,[5]Hoja1!$A$10:$K$1393,11,0)</f>
        <v>9831249</v>
      </c>
      <c r="AF344" s="1022"/>
      <c r="AG344" s="1022">
        <f t="shared" si="63"/>
        <v>9831249</v>
      </c>
      <c r="AH344" s="1022">
        <f t="shared" si="64"/>
        <v>9831</v>
      </c>
      <c r="AK344" s="448"/>
      <c r="AL344" s="445"/>
    </row>
    <row r="345" spans="1:38" s="467" customFormat="1" ht="12.75" customHeight="1">
      <c r="A345" s="1033">
        <v>5153500</v>
      </c>
      <c r="B345" s="1033" t="s">
        <v>1457</v>
      </c>
      <c r="C345" s="1034"/>
      <c r="D345" s="1033"/>
      <c r="E345" s="1033"/>
      <c r="F345" s="1034"/>
      <c r="G345" s="1033"/>
      <c r="H345" s="1033"/>
      <c r="I345" s="1034"/>
      <c r="J345" s="1033"/>
      <c r="K345" s="1033"/>
      <c r="L345" s="1034"/>
      <c r="M345" s="1035"/>
      <c r="N345" s="1035"/>
      <c r="O345" s="1036"/>
      <c r="P345" s="1033"/>
      <c r="Q345" s="1033"/>
      <c r="R345" s="1034"/>
      <c r="S345" s="1035"/>
      <c r="T345" s="1035"/>
      <c r="U345" s="1034"/>
      <c r="V345" s="1035"/>
      <c r="W345" s="1035"/>
      <c r="X345" s="1037" t="str">
        <f t="shared" si="67"/>
        <v>221</v>
      </c>
      <c r="Y345" s="1035">
        <v>22</v>
      </c>
      <c r="Z345" s="1035">
        <f t="shared" si="62"/>
        <v>1</v>
      </c>
      <c r="AA345" s="1033" t="s">
        <v>2886</v>
      </c>
      <c r="AB345" s="1033" t="s">
        <v>2879</v>
      </c>
      <c r="AC345" s="1021">
        <v>111317</v>
      </c>
      <c r="AD345" s="1021" t="s">
        <v>1521</v>
      </c>
      <c r="AE345" s="1022">
        <f>VLOOKUP(AC345,[5]Hoja1!$A$10:$K$1393,11,0)</f>
        <v>0</v>
      </c>
      <c r="AF345" s="1022"/>
      <c r="AG345" s="1022">
        <f t="shared" si="63"/>
        <v>0</v>
      </c>
      <c r="AH345" s="1022">
        <f t="shared" si="64"/>
        <v>0</v>
      </c>
      <c r="AK345" s="448"/>
      <c r="AL345" s="445"/>
    </row>
    <row r="346" spans="1:38" s="467" customFormat="1" ht="12.75" customHeight="1">
      <c r="A346" s="1033">
        <v>5153500</v>
      </c>
      <c r="B346" s="1033" t="s">
        <v>1457</v>
      </c>
      <c r="C346" s="1034"/>
      <c r="D346" s="1033"/>
      <c r="E346" s="1033"/>
      <c r="F346" s="1034"/>
      <c r="G346" s="1033"/>
      <c r="H346" s="1033"/>
      <c r="I346" s="1034"/>
      <c r="J346" s="1033"/>
      <c r="K346" s="1033"/>
      <c r="L346" s="1034"/>
      <c r="M346" s="1035"/>
      <c r="N346" s="1035"/>
      <c r="O346" s="1036"/>
      <c r="P346" s="1033"/>
      <c r="Q346" s="1033"/>
      <c r="R346" s="1034"/>
      <c r="S346" s="1035"/>
      <c r="T346" s="1035"/>
      <c r="U346" s="1034"/>
      <c r="V346" s="1035"/>
      <c r="W346" s="1035"/>
      <c r="X346" s="1037" t="str">
        <f t="shared" si="67"/>
        <v>221</v>
      </c>
      <c r="Y346" s="1035">
        <v>22</v>
      </c>
      <c r="Z346" s="1035">
        <f t="shared" si="62"/>
        <v>1</v>
      </c>
      <c r="AA346" s="1033" t="s">
        <v>2886</v>
      </c>
      <c r="AB346" s="1033" t="s">
        <v>2879</v>
      </c>
      <c r="AC346" s="1021">
        <v>111318</v>
      </c>
      <c r="AD346" s="1021" t="s">
        <v>1085</v>
      </c>
      <c r="AE346" s="1022">
        <f>VLOOKUP(AC346,[5]Hoja1!$A$10:$K$1393,11,0)</f>
        <v>-25537</v>
      </c>
      <c r="AF346" s="1022"/>
      <c r="AG346" s="1022">
        <f t="shared" si="63"/>
        <v>-25537</v>
      </c>
      <c r="AH346" s="1022">
        <f t="shared" si="64"/>
        <v>-26</v>
      </c>
      <c r="AK346" s="448"/>
      <c r="AL346" s="445"/>
    </row>
    <row r="347" spans="1:38" s="467" customFormat="1" ht="12.75" customHeight="1">
      <c r="A347" s="1033">
        <v>5153500</v>
      </c>
      <c r="B347" s="1033" t="s">
        <v>1457</v>
      </c>
      <c r="C347" s="1034"/>
      <c r="D347" s="1033"/>
      <c r="E347" s="1033"/>
      <c r="F347" s="1034"/>
      <c r="G347" s="1033"/>
      <c r="H347" s="1033"/>
      <c r="I347" s="1034"/>
      <c r="J347" s="1033"/>
      <c r="K347" s="1033"/>
      <c r="L347" s="1034"/>
      <c r="M347" s="1035"/>
      <c r="N347" s="1035"/>
      <c r="O347" s="1036"/>
      <c r="P347" s="1033"/>
      <c r="Q347" s="1033"/>
      <c r="R347" s="1034"/>
      <c r="S347" s="1035"/>
      <c r="T347" s="1035"/>
      <c r="U347" s="1034"/>
      <c r="V347" s="1035"/>
      <c r="W347" s="1035"/>
      <c r="X347" s="1037" t="str">
        <f t="shared" si="67"/>
        <v>221</v>
      </c>
      <c r="Y347" s="1035">
        <v>22</v>
      </c>
      <c r="Z347" s="1035">
        <f t="shared" si="62"/>
        <v>1</v>
      </c>
      <c r="AA347" s="1033" t="s">
        <v>2886</v>
      </c>
      <c r="AB347" s="1033" t="s">
        <v>2879</v>
      </c>
      <c r="AC347" s="1021">
        <v>111319</v>
      </c>
      <c r="AD347" s="1021" t="s">
        <v>2635</v>
      </c>
      <c r="AE347" s="1022">
        <f>VLOOKUP(AC347,[5]Hoja1!$A$10:$K$1393,11,0)</f>
        <v>149133874</v>
      </c>
      <c r="AF347" s="1022"/>
      <c r="AG347" s="1022">
        <f t="shared" si="63"/>
        <v>149133874</v>
      </c>
      <c r="AH347" s="1022">
        <f t="shared" si="64"/>
        <v>149134</v>
      </c>
      <c r="AK347" s="448"/>
      <c r="AL347" s="445"/>
    </row>
    <row r="348" spans="1:38" s="467" customFormat="1" ht="12.75" customHeight="1">
      <c r="A348" s="1033">
        <v>5114200</v>
      </c>
      <c r="B348" s="1033" t="s">
        <v>2728</v>
      </c>
      <c r="C348" s="1034" t="str">
        <f>+D348&amp;E348</f>
        <v/>
      </c>
      <c r="D348" s="1033"/>
      <c r="E348" s="1033"/>
      <c r="F348" s="1034" t="str">
        <f>+G348&amp;H348</f>
        <v/>
      </c>
      <c r="G348" s="1033"/>
      <c r="H348" s="1033"/>
      <c r="I348" s="1034" t="str">
        <f>+J348&amp;K348</f>
        <v/>
      </c>
      <c r="J348" s="1033"/>
      <c r="K348" s="1033"/>
      <c r="L348" s="1034" t="str">
        <f>+M348&amp;N348</f>
        <v/>
      </c>
      <c r="M348" s="1035"/>
      <c r="N348" s="1035"/>
      <c r="O348" s="1036" t="str">
        <f>+P348&amp;Q348</f>
        <v/>
      </c>
      <c r="P348" s="1033"/>
      <c r="Q348" s="1033"/>
      <c r="R348" s="1034" t="str">
        <f>+S348&amp;T348</f>
        <v/>
      </c>
      <c r="S348" s="1035"/>
      <c r="T348" s="1035"/>
      <c r="U348" s="1034" t="str">
        <f>+V348&amp;W348</f>
        <v/>
      </c>
      <c r="V348" s="1035"/>
      <c r="W348" s="1035"/>
      <c r="X348" s="1037" t="str">
        <f t="shared" si="67"/>
        <v>301</v>
      </c>
      <c r="Y348" s="1035">
        <v>30</v>
      </c>
      <c r="Z348" s="1035">
        <f t="shared" si="62"/>
        <v>1</v>
      </c>
      <c r="AA348" s="1035"/>
      <c r="AB348" s="1035"/>
      <c r="AC348" s="1021">
        <v>111401</v>
      </c>
      <c r="AD348" s="1021" t="s">
        <v>785</v>
      </c>
      <c r="AE348" s="1022">
        <f>VLOOKUP(AC348,[5]Hoja1!$A$10:$K$1393,11,0)</f>
        <v>781926964</v>
      </c>
      <c r="AF348" s="1022">
        <v>0</v>
      </c>
      <c r="AG348" s="1022">
        <f t="shared" si="63"/>
        <v>781926964</v>
      </c>
      <c r="AH348" s="1022">
        <f t="shared" si="64"/>
        <v>781927</v>
      </c>
      <c r="AK348" s="448"/>
      <c r="AL348" s="445"/>
    </row>
    <row r="349" spans="1:38" s="467" customFormat="1" ht="12.75" customHeight="1">
      <c r="A349" s="1033">
        <v>5153500</v>
      </c>
      <c r="B349" s="1033" t="s">
        <v>1457</v>
      </c>
      <c r="C349" s="1034" t="str">
        <f t="shared" si="55"/>
        <v/>
      </c>
      <c r="D349" s="1033"/>
      <c r="E349" s="1033"/>
      <c r="F349" s="1034" t="str">
        <f t="shared" si="56"/>
        <v/>
      </c>
      <c r="G349" s="1033"/>
      <c r="H349" s="1033"/>
      <c r="I349" s="1034" t="str">
        <f t="shared" si="57"/>
        <v/>
      </c>
      <c r="J349" s="1033"/>
      <c r="K349" s="1033"/>
      <c r="L349" s="1034" t="str">
        <f t="shared" si="58"/>
        <v/>
      </c>
      <c r="M349" s="1035"/>
      <c r="N349" s="1035"/>
      <c r="O349" s="1036" t="str">
        <f t="shared" si="59"/>
        <v/>
      </c>
      <c r="P349" s="1033"/>
      <c r="Q349" s="1033"/>
      <c r="R349" s="1034" t="str">
        <f t="shared" si="60"/>
        <v/>
      </c>
      <c r="S349" s="1035"/>
      <c r="T349" s="1035"/>
      <c r="U349" s="1034" t="str">
        <f t="shared" si="61"/>
        <v/>
      </c>
      <c r="V349" s="1035"/>
      <c r="W349" s="1035"/>
      <c r="X349" s="1037" t="str">
        <f t="shared" si="67"/>
        <v>221</v>
      </c>
      <c r="Y349" s="1035">
        <v>22</v>
      </c>
      <c r="Z349" s="1035">
        <f t="shared" si="62"/>
        <v>1</v>
      </c>
      <c r="AA349" s="1033" t="s">
        <v>2886</v>
      </c>
      <c r="AB349" s="1033" t="s">
        <v>2879</v>
      </c>
      <c r="AC349" s="1021">
        <v>111402</v>
      </c>
      <c r="AD349" s="1021" t="s">
        <v>2040</v>
      </c>
      <c r="AE349" s="1022">
        <f>VLOOKUP(AC349,[5]Hoja1!$A$10:$K$1393,11,0)</f>
        <v>115660634</v>
      </c>
      <c r="AF349" s="1022"/>
      <c r="AG349" s="1022">
        <f t="shared" si="63"/>
        <v>115660634</v>
      </c>
      <c r="AH349" s="1022">
        <f t="shared" si="64"/>
        <v>115661</v>
      </c>
      <c r="AK349" s="448"/>
      <c r="AL349" s="445"/>
    </row>
    <row r="350" spans="1:38" s="467" customFormat="1" ht="12.75" customHeight="1">
      <c r="A350" s="1033">
        <v>5153500</v>
      </c>
      <c r="B350" s="1033" t="s">
        <v>1457</v>
      </c>
      <c r="C350" s="1034" t="str">
        <f t="shared" si="55"/>
        <v/>
      </c>
      <c r="D350" s="1033"/>
      <c r="E350" s="1033"/>
      <c r="F350" s="1034" t="str">
        <f t="shared" si="56"/>
        <v/>
      </c>
      <c r="G350" s="1033"/>
      <c r="H350" s="1033"/>
      <c r="I350" s="1034" t="str">
        <f t="shared" si="57"/>
        <v/>
      </c>
      <c r="J350" s="1033"/>
      <c r="K350" s="1033"/>
      <c r="L350" s="1034" t="str">
        <f t="shared" si="58"/>
        <v/>
      </c>
      <c r="M350" s="1035"/>
      <c r="N350" s="1035"/>
      <c r="O350" s="1036" t="str">
        <f t="shared" si="59"/>
        <v/>
      </c>
      <c r="P350" s="1033"/>
      <c r="Q350" s="1033"/>
      <c r="R350" s="1034" t="str">
        <f t="shared" si="60"/>
        <v/>
      </c>
      <c r="S350" s="1035"/>
      <c r="T350" s="1035"/>
      <c r="U350" s="1034" t="str">
        <f t="shared" si="61"/>
        <v/>
      </c>
      <c r="V350" s="1035"/>
      <c r="W350" s="1035"/>
      <c r="X350" s="1037" t="str">
        <f t="shared" si="67"/>
        <v>221</v>
      </c>
      <c r="Y350" s="1035">
        <v>22</v>
      </c>
      <c r="Z350" s="1035">
        <f t="shared" si="62"/>
        <v>1</v>
      </c>
      <c r="AA350" s="1033" t="s">
        <v>2886</v>
      </c>
      <c r="AB350" s="1033" t="s">
        <v>2879</v>
      </c>
      <c r="AC350" s="1021">
        <v>111403</v>
      </c>
      <c r="AD350" s="1021" t="s">
        <v>786</v>
      </c>
      <c r="AE350" s="1022">
        <f>VLOOKUP(AC350,[5]Hoja1!$A$10:$K$1393,11,0)</f>
        <v>3529991</v>
      </c>
      <c r="AF350" s="1022"/>
      <c r="AG350" s="1022">
        <f t="shared" si="63"/>
        <v>3529991</v>
      </c>
      <c r="AH350" s="1022">
        <f t="shared" si="64"/>
        <v>3530</v>
      </c>
      <c r="AK350" s="448"/>
      <c r="AL350" s="445"/>
    </row>
    <row r="351" spans="1:38" s="467" customFormat="1" ht="12.75" customHeight="1">
      <c r="A351" s="1033">
        <v>5114200</v>
      </c>
      <c r="B351" s="1033" t="s">
        <v>2728</v>
      </c>
      <c r="C351" s="1034" t="str">
        <f t="shared" si="55"/>
        <v/>
      </c>
      <c r="D351" s="1033"/>
      <c r="E351" s="1033"/>
      <c r="F351" s="1034" t="str">
        <f t="shared" si="56"/>
        <v/>
      </c>
      <c r="G351" s="1033"/>
      <c r="H351" s="1033"/>
      <c r="I351" s="1034" t="str">
        <f t="shared" si="57"/>
        <v/>
      </c>
      <c r="J351" s="1033"/>
      <c r="K351" s="1033"/>
      <c r="L351" s="1034" t="str">
        <f t="shared" si="58"/>
        <v/>
      </c>
      <c r="M351" s="1035"/>
      <c r="N351" s="1035"/>
      <c r="O351" s="1036" t="str">
        <f t="shared" si="59"/>
        <v/>
      </c>
      <c r="P351" s="1033"/>
      <c r="Q351" s="1033"/>
      <c r="R351" s="1034" t="str">
        <f t="shared" si="60"/>
        <v/>
      </c>
      <c r="S351" s="1035"/>
      <c r="T351" s="1035"/>
      <c r="U351" s="1034" t="str">
        <f t="shared" si="61"/>
        <v/>
      </c>
      <c r="V351" s="1035"/>
      <c r="W351" s="1035"/>
      <c r="X351" s="1037" t="str">
        <f t="shared" si="67"/>
        <v>301</v>
      </c>
      <c r="Y351" s="1035">
        <v>30</v>
      </c>
      <c r="Z351" s="1035">
        <f t="shared" si="62"/>
        <v>1</v>
      </c>
      <c r="AA351" s="1035"/>
      <c r="AB351" s="1035"/>
      <c r="AC351" s="1021">
        <v>111404</v>
      </c>
      <c r="AD351" s="1021" t="s">
        <v>387</v>
      </c>
      <c r="AE351" s="1022">
        <f>VLOOKUP(AC351,[5]Hoja1!$A$10:$K$1393,11,0)</f>
        <v>23420474804</v>
      </c>
      <c r="AF351" s="1022">
        <v>0</v>
      </c>
      <c r="AG351" s="1022">
        <f t="shared" si="63"/>
        <v>23420474804</v>
      </c>
      <c r="AH351" s="1022">
        <f t="shared" si="64"/>
        <v>23420475</v>
      </c>
      <c r="AK351" s="448"/>
      <c r="AL351" s="445"/>
    </row>
    <row r="352" spans="1:38" s="467" customFormat="1" ht="12.75" customHeight="1">
      <c r="A352" s="1033">
        <v>5114200</v>
      </c>
      <c r="B352" s="1033" t="s">
        <v>2728</v>
      </c>
      <c r="C352" s="1034" t="str">
        <f t="shared" si="55"/>
        <v/>
      </c>
      <c r="D352" s="1033"/>
      <c r="E352" s="1033"/>
      <c r="F352" s="1034" t="str">
        <f t="shared" si="56"/>
        <v/>
      </c>
      <c r="G352" s="1033"/>
      <c r="H352" s="1033"/>
      <c r="I352" s="1034" t="str">
        <f t="shared" si="57"/>
        <v/>
      </c>
      <c r="J352" s="1033"/>
      <c r="K352" s="1033"/>
      <c r="L352" s="1034" t="str">
        <f t="shared" si="58"/>
        <v/>
      </c>
      <c r="M352" s="1035"/>
      <c r="N352" s="1035"/>
      <c r="O352" s="1036" t="str">
        <f t="shared" si="59"/>
        <v/>
      </c>
      <c r="P352" s="1033"/>
      <c r="Q352" s="1033"/>
      <c r="R352" s="1034" t="str">
        <f t="shared" si="60"/>
        <v/>
      </c>
      <c r="S352" s="1035"/>
      <c r="T352" s="1035"/>
      <c r="U352" s="1034" t="str">
        <f t="shared" si="61"/>
        <v/>
      </c>
      <c r="V352" s="1035"/>
      <c r="W352" s="1035"/>
      <c r="X352" s="1037" t="str">
        <f t="shared" si="67"/>
        <v>21</v>
      </c>
      <c r="Y352" s="1035">
        <v>2</v>
      </c>
      <c r="Z352" s="1035">
        <f t="shared" si="62"/>
        <v>1</v>
      </c>
      <c r="AA352" s="1033"/>
      <c r="AB352" s="1035"/>
      <c r="AC352" s="1021">
        <v>111405</v>
      </c>
      <c r="AD352" s="1021" t="s">
        <v>373</v>
      </c>
      <c r="AE352" s="1022">
        <f>VLOOKUP(AC352,[5]Hoja1!$A$10:$K$1393,11,0)</f>
        <v>7379062</v>
      </c>
      <c r="AF352" s="1022"/>
      <c r="AG352" s="1022">
        <f t="shared" si="63"/>
        <v>7379062</v>
      </c>
      <c r="AH352" s="1022">
        <f t="shared" si="64"/>
        <v>7379</v>
      </c>
      <c r="AK352" s="448"/>
      <c r="AL352" s="445"/>
    </row>
    <row r="353" spans="1:38" s="467" customFormat="1" ht="12.75" customHeight="1">
      <c r="A353" s="1033">
        <v>5114200</v>
      </c>
      <c r="B353" s="1033" t="s">
        <v>2728</v>
      </c>
      <c r="C353" s="1034" t="str">
        <f>+D353&amp;E353</f>
        <v/>
      </c>
      <c r="D353" s="1033"/>
      <c r="E353" s="1033"/>
      <c r="F353" s="1034" t="str">
        <f>+G353&amp;H353</f>
        <v/>
      </c>
      <c r="G353" s="1033"/>
      <c r="H353" s="1033"/>
      <c r="I353" s="1034" t="str">
        <f>+J353&amp;K353</f>
        <v/>
      </c>
      <c r="J353" s="1033"/>
      <c r="K353" s="1033"/>
      <c r="L353" s="1034" t="str">
        <f>+M353&amp;N353</f>
        <v/>
      </c>
      <c r="M353" s="1035"/>
      <c r="N353" s="1035"/>
      <c r="O353" s="1036" t="str">
        <f>+P353&amp;Q353</f>
        <v/>
      </c>
      <c r="P353" s="1033"/>
      <c r="Q353" s="1033"/>
      <c r="R353" s="1034" t="str">
        <f>+S353&amp;T353</f>
        <v/>
      </c>
      <c r="S353" s="1035"/>
      <c r="T353" s="1035"/>
      <c r="U353" s="1034" t="str">
        <f>+V353&amp;W353</f>
        <v/>
      </c>
      <c r="V353" s="1035"/>
      <c r="W353" s="1035"/>
      <c r="X353" s="1037" t="str">
        <f t="shared" si="67"/>
        <v>301</v>
      </c>
      <c r="Y353" s="1035">
        <v>30</v>
      </c>
      <c r="Z353" s="1035">
        <f t="shared" si="62"/>
        <v>1</v>
      </c>
      <c r="AA353" s="1035"/>
      <c r="AB353" s="1035"/>
      <c r="AC353" s="1021">
        <v>111406</v>
      </c>
      <c r="AD353" s="1021" t="s">
        <v>388</v>
      </c>
      <c r="AE353" s="1022">
        <f>VLOOKUP(AC353,[5]Hoja1!$A$10:$K$1393,11,0)</f>
        <v>51552160</v>
      </c>
      <c r="AF353" s="1022"/>
      <c r="AG353" s="1022">
        <f t="shared" si="63"/>
        <v>51552160</v>
      </c>
      <c r="AH353" s="1022">
        <f t="shared" si="64"/>
        <v>51552</v>
      </c>
      <c r="AK353" s="448"/>
      <c r="AL353" s="445"/>
    </row>
    <row r="354" spans="1:38" s="467" customFormat="1" ht="12.75" customHeight="1">
      <c r="A354" s="1033">
        <v>5114200</v>
      </c>
      <c r="B354" s="1033" t="s">
        <v>2728</v>
      </c>
      <c r="C354" s="1034" t="str">
        <f t="shared" si="55"/>
        <v/>
      </c>
      <c r="D354" s="1033"/>
      <c r="E354" s="1033"/>
      <c r="F354" s="1034" t="str">
        <f t="shared" si="56"/>
        <v/>
      </c>
      <c r="G354" s="1033"/>
      <c r="H354" s="1033"/>
      <c r="I354" s="1034" t="str">
        <f t="shared" si="57"/>
        <v/>
      </c>
      <c r="J354" s="1033"/>
      <c r="K354" s="1033"/>
      <c r="L354" s="1034" t="str">
        <f t="shared" si="58"/>
        <v/>
      </c>
      <c r="M354" s="1035"/>
      <c r="N354" s="1035"/>
      <c r="O354" s="1036" t="str">
        <f t="shared" si="59"/>
        <v/>
      </c>
      <c r="P354" s="1033"/>
      <c r="Q354" s="1033"/>
      <c r="R354" s="1034" t="str">
        <f t="shared" si="60"/>
        <v/>
      </c>
      <c r="S354" s="1035"/>
      <c r="T354" s="1035"/>
      <c r="U354" s="1034" t="str">
        <f t="shared" si="61"/>
        <v/>
      </c>
      <c r="V354" s="1035"/>
      <c r="W354" s="1035"/>
      <c r="X354" s="1037" t="str">
        <f t="shared" si="67"/>
        <v>301</v>
      </c>
      <c r="Y354" s="1035">
        <v>30</v>
      </c>
      <c r="Z354" s="1035">
        <f t="shared" si="62"/>
        <v>1</v>
      </c>
      <c r="AA354" s="1035"/>
      <c r="AB354" s="1035"/>
      <c r="AC354" s="1021">
        <v>111407</v>
      </c>
      <c r="AD354" s="1021" t="s">
        <v>374</v>
      </c>
      <c r="AE354" s="1022">
        <f>VLOOKUP(AC354,[5]Hoja1!$A$10:$K$1393,11,0)</f>
        <v>-1664498067</v>
      </c>
      <c r="AF354" s="1022"/>
      <c r="AG354" s="1022">
        <f t="shared" si="63"/>
        <v>-1664498067</v>
      </c>
      <c r="AH354" s="1022">
        <f t="shared" si="64"/>
        <v>-1664498</v>
      </c>
      <c r="AK354" s="448"/>
      <c r="AL354" s="445"/>
    </row>
    <row r="355" spans="1:38" s="467" customFormat="1" ht="12.75" customHeight="1">
      <c r="A355" s="1033">
        <v>5114200</v>
      </c>
      <c r="B355" s="1033" t="s">
        <v>2728</v>
      </c>
      <c r="C355" s="1034" t="str">
        <f t="shared" si="55"/>
        <v/>
      </c>
      <c r="D355" s="1033"/>
      <c r="E355" s="1033"/>
      <c r="F355" s="1034" t="str">
        <f t="shared" si="56"/>
        <v/>
      </c>
      <c r="G355" s="1033"/>
      <c r="H355" s="1033"/>
      <c r="I355" s="1034" t="str">
        <f t="shared" si="57"/>
        <v/>
      </c>
      <c r="J355" s="1033"/>
      <c r="K355" s="1033"/>
      <c r="L355" s="1034" t="str">
        <f t="shared" si="58"/>
        <v/>
      </c>
      <c r="M355" s="1035"/>
      <c r="N355" s="1035"/>
      <c r="O355" s="1036" t="str">
        <f t="shared" si="59"/>
        <v/>
      </c>
      <c r="P355" s="1033"/>
      <c r="Q355" s="1033"/>
      <c r="R355" s="1034" t="str">
        <f t="shared" si="60"/>
        <v/>
      </c>
      <c r="S355" s="1035"/>
      <c r="T355" s="1035"/>
      <c r="U355" s="1034" t="str">
        <f t="shared" si="61"/>
        <v/>
      </c>
      <c r="V355" s="1035"/>
      <c r="W355" s="1035"/>
      <c r="X355" s="1037" t="str">
        <f t="shared" si="67"/>
        <v>21</v>
      </c>
      <c r="Y355" s="1035">
        <v>2</v>
      </c>
      <c r="Z355" s="1035">
        <f t="shared" si="62"/>
        <v>1</v>
      </c>
      <c r="AA355" s="1035"/>
      <c r="AB355" s="1035"/>
      <c r="AC355" s="1021">
        <v>111408</v>
      </c>
      <c r="AD355" s="1021" t="s">
        <v>776</v>
      </c>
      <c r="AE355" s="1022">
        <f>VLOOKUP(AC355,[5]Hoja1!$A$10:$K$1393,11,0)</f>
        <v>9356656</v>
      </c>
      <c r="AF355" s="1022"/>
      <c r="AG355" s="1022">
        <f t="shared" si="63"/>
        <v>9356656</v>
      </c>
      <c r="AH355" s="1022">
        <f t="shared" si="64"/>
        <v>9357</v>
      </c>
      <c r="AK355" s="448"/>
      <c r="AL355" s="445"/>
    </row>
    <row r="356" spans="1:38" s="467" customFormat="1" ht="12.75" customHeight="1">
      <c r="A356" s="1033">
        <v>5153500</v>
      </c>
      <c r="B356" s="1033" t="s">
        <v>1457</v>
      </c>
      <c r="C356" s="1034" t="str">
        <f t="shared" si="55"/>
        <v/>
      </c>
      <c r="D356" s="1033"/>
      <c r="E356" s="1033"/>
      <c r="F356" s="1034" t="str">
        <f t="shared" si="56"/>
        <v/>
      </c>
      <c r="G356" s="1033"/>
      <c r="H356" s="1033"/>
      <c r="I356" s="1034" t="str">
        <f t="shared" si="57"/>
        <v/>
      </c>
      <c r="J356" s="1033"/>
      <c r="K356" s="1033"/>
      <c r="L356" s="1034" t="str">
        <f t="shared" si="58"/>
        <v/>
      </c>
      <c r="M356" s="1035"/>
      <c r="N356" s="1035"/>
      <c r="O356" s="1036" t="str">
        <f t="shared" si="59"/>
        <v/>
      </c>
      <c r="P356" s="1033"/>
      <c r="Q356" s="1033"/>
      <c r="R356" s="1034" t="str">
        <f t="shared" si="60"/>
        <v/>
      </c>
      <c r="S356" s="1035"/>
      <c r="T356" s="1035"/>
      <c r="U356" s="1034" t="str">
        <f t="shared" si="61"/>
        <v/>
      </c>
      <c r="V356" s="1035"/>
      <c r="W356" s="1035"/>
      <c r="X356" s="1037" t="str">
        <f t="shared" si="67"/>
        <v>221</v>
      </c>
      <c r="Y356" s="1035">
        <v>22</v>
      </c>
      <c r="Z356" s="1035">
        <f t="shared" si="62"/>
        <v>1</v>
      </c>
      <c r="AA356" s="1033" t="s">
        <v>2886</v>
      </c>
      <c r="AB356" s="1033" t="s">
        <v>2879</v>
      </c>
      <c r="AC356" s="1021">
        <v>111409</v>
      </c>
      <c r="AD356" s="1021" t="s">
        <v>777</v>
      </c>
      <c r="AE356" s="1022">
        <f>VLOOKUP(AC356,[5]Hoja1!$A$10:$K$1393,11,0)</f>
        <v>86768</v>
      </c>
      <c r="AF356" s="1022"/>
      <c r="AG356" s="1022">
        <f t="shared" si="63"/>
        <v>86768</v>
      </c>
      <c r="AH356" s="1022">
        <f t="shared" si="64"/>
        <v>87</v>
      </c>
      <c r="AK356" s="448"/>
      <c r="AL356" s="445"/>
    </row>
    <row r="357" spans="1:38" s="467" customFormat="1" ht="12.75" customHeight="1">
      <c r="A357" s="1033">
        <v>5114200</v>
      </c>
      <c r="B357" s="1033" t="s">
        <v>2728</v>
      </c>
      <c r="C357" s="1034" t="str">
        <f t="shared" si="55"/>
        <v/>
      </c>
      <c r="D357" s="1033"/>
      <c r="E357" s="1033"/>
      <c r="F357" s="1034" t="str">
        <f t="shared" si="56"/>
        <v/>
      </c>
      <c r="G357" s="1033"/>
      <c r="H357" s="1033"/>
      <c r="I357" s="1034" t="str">
        <f t="shared" si="57"/>
        <v/>
      </c>
      <c r="J357" s="1033"/>
      <c r="K357" s="1033"/>
      <c r="L357" s="1034" t="str">
        <f t="shared" si="58"/>
        <v/>
      </c>
      <c r="M357" s="1035"/>
      <c r="N357" s="1035"/>
      <c r="O357" s="1036" t="str">
        <f t="shared" si="59"/>
        <v/>
      </c>
      <c r="P357" s="1033"/>
      <c r="Q357" s="1033"/>
      <c r="R357" s="1034" t="str">
        <f t="shared" si="60"/>
        <v/>
      </c>
      <c r="S357" s="1035"/>
      <c r="T357" s="1035"/>
      <c r="U357" s="1034" t="str">
        <f t="shared" si="61"/>
        <v/>
      </c>
      <c r="V357" s="1035"/>
      <c r="W357" s="1035"/>
      <c r="X357" s="1037" t="str">
        <f t="shared" si="67"/>
        <v>301</v>
      </c>
      <c r="Y357" s="1035">
        <v>30</v>
      </c>
      <c r="Z357" s="1035">
        <f t="shared" si="62"/>
        <v>1</v>
      </c>
      <c r="AA357" s="1035"/>
      <c r="AB357" s="1035"/>
      <c r="AC357" s="1021">
        <v>111410</v>
      </c>
      <c r="AD357" s="1021" t="s">
        <v>2041</v>
      </c>
      <c r="AE357" s="1022">
        <f>VLOOKUP(AC357,[5]Hoja1!$A$10:$K$1393,11,0)</f>
        <v>10989203549</v>
      </c>
      <c r="AF357" s="1022"/>
      <c r="AG357" s="1022">
        <f t="shared" si="63"/>
        <v>10989203549</v>
      </c>
      <c r="AH357" s="1022">
        <f t="shared" si="64"/>
        <v>10989204</v>
      </c>
      <c r="AK357" s="448"/>
      <c r="AL357" s="445"/>
    </row>
    <row r="358" spans="1:38" s="467" customFormat="1" ht="12.75" customHeight="1">
      <c r="A358" s="1033">
        <v>5114200</v>
      </c>
      <c r="B358" s="1033" t="s">
        <v>2728</v>
      </c>
      <c r="C358" s="1034" t="str">
        <f t="shared" si="55"/>
        <v/>
      </c>
      <c r="D358" s="1033"/>
      <c r="E358" s="1033"/>
      <c r="F358" s="1034" t="str">
        <f t="shared" si="56"/>
        <v/>
      </c>
      <c r="G358" s="1033"/>
      <c r="H358" s="1033"/>
      <c r="I358" s="1034" t="str">
        <f t="shared" si="57"/>
        <v/>
      </c>
      <c r="J358" s="1033"/>
      <c r="K358" s="1033"/>
      <c r="L358" s="1034" t="str">
        <f t="shared" si="58"/>
        <v/>
      </c>
      <c r="M358" s="1035"/>
      <c r="N358" s="1035"/>
      <c r="O358" s="1036" t="str">
        <f t="shared" si="59"/>
        <v/>
      </c>
      <c r="P358" s="1033"/>
      <c r="Q358" s="1033"/>
      <c r="R358" s="1034" t="str">
        <f t="shared" si="60"/>
        <v/>
      </c>
      <c r="S358" s="1035"/>
      <c r="T358" s="1035"/>
      <c r="U358" s="1034" t="str">
        <f t="shared" si="61"/>
        <v/>
      </c>
      <c r="V358" s="1035"/>
      <c r="W358" s="1035"/>
      <c r="X358" s="1037" t="str">
        <f t="shared" si="67"/>
        <v>221</v>
      </c>
      <c r="Y358" s="1035">
        <v>22</v>
      </c>
      <c r="Z358" s="1035">
        <f t="shared" si="62"/>
        <v>1</v>
      </c>
      <c r="AA358" s="1033"/>
      <c r="AB358" s="1035"/>
      <c r="AC358" s="1021">
        <v>111411</v>
      </c>
      <c r="AD358" s="1021" t="s">
        <v>2042</v>
      </c>
      <c r="AE358" s="1022">
        <f>VLOOKUP(AC358,[5]Hoja1!$A$10:$K$1393,11,0)</f>
        <v>87401649</v>
      </c>
      <c r="AF358" s="1022"/>
      <c r="AG358" s="1022">
        <f t="shared" si="63"/>
        <v>87401649</v>
      </c>
      <c r="AH358" s="1022">
        <f t="shared" si="64"/>
        <v>87402</v>
      </c>
      <c r="AJ358" s="467" t="s">
        <v>1479</v>
      </c>
      <c r="AK358" s="448"/>
      <c r="AL358" s="445"/>
    </row>
    <row r="359" spans="1:38" s="467" customFormat="1" ht="12.75" customHeight="1">
      <c r="A359" s="1033">
        <v>5114200</v>
      </c>
      <c r="B359" s="1033" t="s">
        <v>2728</v>
      </c>
      <c r="C359" s="1034"/>
      <c r="D359" s="1033"/>
      <c r="E359" s="1033"/>
      <c r="F359" s="1034"/>
      <c r="G359" s="1033"/>
      <c r="H359" s="1033"/>
      <c r="I359" s="1034"/>
      <c r="J359" s="1033"/>
      <c r="K359" s="1033"/>
      <c r="L359" s="1034"/>
      <c r="M359" s="1035"/>
      <c r="N359" s="1035"/>
      <c r="O359" s="1036"/>
      <c r="P359" s="1033"/>
      <c r="Q359" s="1033"/>
      <c r="R359" s="1034"/>
      <c r="S359" s="1035"/>
      <c r="T359" s="1035"/>
      <c r="U359" s="1034"/>
      <c r="V359" s="1035"/>
      <c r="W359" s="1035"/>
      <c r="X359" s="1037" t="str">
        <f t="shared" si="67"/>
        <v>301</v>
      </c>
      <c r="Y359" s="1035">
        <v>30</v>
      </c>
      <c r="Z359" s="1035">
        <f t="shared" si="62"/>
        <v>1</v>
      </c>
      <c r="AA359" s="1035"/>
      <c r="AB359" s="1035"/>
      <c r="AC359" s="1021">
        <v>111412</v>
      </c>
      <c r="AD359" s="1021" t="s">
        <v>375</v>
      </c>
      <c r="AE359" s="1022">
        <f>VLOOKUP(AC359,[5]Hoja1!$A$10:$K$1393,11,0)</f>
        <v>-853980713</v>
      </c>
      <c r="AF359" s="1022"/>
      <c r="AG359" s="1022">
        <f t="shared" si="63"/>
        <v>-853980713</v>
      </c>
      <c r="AH359" s="1022">
        <f t="shared" si="64"/>
        <v>-853981</v>
      </c>
      <c r="AJ359" s="445">
        <f>+AH357+AH359</f>
        <v>10135223</v>
      </c>
      <c r="AK359" s="448"/>
      <c r="AL359" s="445"/>
    </row>
    <row r="360" spans="1:38" s="467" customFormat="1" ht="12.75" customHeight="1">
      <c r="A360" s="1033"/>
      <c r="B360" s="1033"/>
      <c r="C360" s="1034"/>
      <c r="D360" s="1033"/>
      <c r="E360" s="1033"/>
      <c r="F360" s="1034"/>
      <c r="G360" s="1033"/>
      <c r="H360" s="1033"/>
      <c r="I360" s="1034"/>
      <c r="J360" s="1033"/>
      <c r="K360" s="1033"/>
      <c r="L360" s="1034"/>
      <c r="M360" s="1035"/>
      <c r="N360" s="1035"/>
      <c r="O360" s="1036"/>
      <c r="P360" s="1033"/>
      <c r="Q360" s="1033"/>
      <c r="R360" s="1034"/>
      <c r="S360" s="1035"/>
      <c r="T360" s="1035"/>
      <c r="U360" s="1034"/>
      <c r="V360" s="1035"/>
      <c r="W360" s="1035"/>
      <c r="X360" s="1037" t="str">
        <f t="shared" si="67"/>
        <v>221</v>
      </c>
      <c r="Y360" s="1035">
        <v>22</v>
      </c>
      <c r="Z360" s="1035">
        <f t="shared" si="62"/>
        <v>1</v>
      </c>
      <c r="AA360" s="1035"/>
      <c r="AB360" s="1035"/>
      <c r="AC360" s="1021">
        <v>111413</v>
      </c>
      <c r="AD360" s="1021" t="s">
        <v>2043</v>
      </c>
      <c r="AE360" s="1022">
        <f>VLOOKUP(AC360,[5]Hoja1!$A$10:$K$1393,11,0)</f>
        <v>0</v>
      </c>
      <c r="AF360" s="1022"/>
      <c r="AG360" s="1022">
        <f t="shared" si="63"/>
        <v>0</v>
      </c>
      <c r="AH360" s="1022">
        <f t="shared" si="64"/>
        <v>0</v>
      </c>
      <c r="AJ360" s="445"/>
      <c r="AK360" s="448"/>
      <c r="AL360" s="445"/>
    </row>
    <row r="361" spans="1:38" s="467" customFormat="1" ht="12.75" customHeight="1">
      <c r="A361" s="1033">
        <v>5114200</v>
      </c>
      <c r="B361" s="1033" t="s">
        <v>2728</v>
      </c>
      <c r="C361" s="1034"/>
      <c r="D361" s="1033"/>
      <c r="E361" s="1033"/>
      <c r="F361" s="1034"/>
      <c r="G361" s="1033"/>
      <c r="H361" s="1033"/>
      <c r="I361" s="1034"/>
      <c r="J361" s="1033"/>
      <c r="K361" s="1033"/>
      <c r="L361" s="1034"/>
      <c r="M361" s="1035"/>
      <c r="N361" s="1035"/>
      <c r="O361" s="1036"/>
      <c r="P361" s="1033"/>
      <c r="Q361" s="1033"/>
      <c r="R361" s="1034"/>
      <c r="S361" s="1035"/>
      <c r="T361" s="1035"/>
      <c r="U361" s="1034"/>
      <c r="V361" s="1035"/>
      <c r="W361" s="1035"/>
      <c r="X361" s="1037" t="str">
        <f t="shared" si="67"/>
        <v>301</v>
      </c>
      <c r="Y361" s="1035">
        <v>30</v>
      </c>
      <c r="Z361" s="1035">
        <f t="shared" si="62"/>
        <v>1</v>
      </c>
      <c r="AA361" s="1035"/>
      <c r="AB361" s="1035"/>
      <c r="AC361" s="1021">
        <v>111414</v>
      </c>
      <c r="AD361" s="1021" t="s">
        <v>1522</v>
      </c>
      <c r="AE361" s="1022">
        <f>VLOOKUP(AC361,[5]Hoja1!$A$10:$K$1393,11,0)</f>
        <v>118482771</v>
      </c>
      <c r="AF361" s="1022"/>
      <c r="AG361" s="1022">
        <f t="shared" si="63"/>
        <v>118482771</v>
      </c>
      <c r="AH361" s="1022">
        <f t="shared" si="64"/>
        <v>118483</v>
      </c>
      <c r="AJ361" s="445"/>
      <c r="AK361" s="448"/>
      <c r="AL361" s="445"/>
    </row>
    <row r="362" spans="1:38" s="467" customFormat="1" ht="12.75" customHeight="1">
      <c r="A362" s="1033">
        <v>5114200</v>
      </c>
      <c r="B362" s="1033" t="s">
        <v>2728</v>
      </c>
      <c r="C362" s="1034"/>
      <c r="D362" s="1033"/>
      <c r="E362" s="1033"/>
      <c r="F362" s="1034"/>
      <c r="G362" s="1033"/>
      <c r="H362" s="1033"/>
      <c r="I362" s="1034"/>
      <c r="J362" s="1033"/>
      <c r="K362" s="1033"/>
      <c r="L362" s="1034"/>
      <c r="M362" s="1035"/>
      <c r="N362" s="1035"/>
      <c r="O362" s="1036"/>
      <c r="P362" s="1033"/>
      <c r="Q362" s="1033"/>
      <c r="R362" s="1034"/>
      <c r="S362" s="1035"/>
      <c r="T362" s="1035"/>
      <c r="U362" s="1034"/>
      <c r="V362" s="1035"/>
      <c r="W362" s="1035"/>
      <c r="X362" s="1037" t="str">
        <f t="shared" si="67"/>
        <v>301</v>
      </c>
      <c r="Y362" s="1035">
        <v>30</v>
      </c>
      <c r="Z362" s="1035">
        <f t="shared" si="62"/>
        <v>1</v>
      </c>
      <c r="AA362" s="1035"/>
      <c r="AB362" s="1035"/>
      <c r="AC362" s="1021">
        <v>111415</v>
      </c>
      <c r="AD362" s="1021" t="s">
        <v>2044</v>
      </c>
      <c r="AE362" s="1022">
        <f>VLOOKUP(AC362,[5]Hoja1!$A$10:$K$1393,11,0)</f>
        <v>6386058</v>
      </c>
      <c r="AF362" s="1022"/>
      <c r="AG362" s="1022">
        <f t="shared" si="63"/>
        <v>6386058</v>
      </c>
      <c r="AH362" s="1022">
        <f t="shared" si="64"/>
        <v>6386</v>
      </c>
      <c r="AJ362" s="445"/>
      <c r="AK362" s="448"/>
      <c r="AL362" s="445"/>
    </row>
    <row r="363" spans="1:38" s="467" customFormat="1" ht="12.75" customHeight="1">
      <c r="A363" s="1033">
        <v>5114200</v>
      </c>
      <c r="B363" s="1033" t="s">
        <v>2728</v>
      </c>
      <c r="C363" s="1038"/>
      <c r="D363" s="1038"/>
      <c r="E363" s="1038"/>
      <c r="F363" s="1038"/>
      <c r="G363" s="1038"/>
      <c r="H363" s="1038"/>
      <c r="I363" s="1038"/>
      <c r="J363" s="1038"/>
      <c r="K363" s="1038"/>
      <c r="L363" s="1038"/>
      <c r="M363" s="1038"/>
      <c r="N363" s="1038"/>
      <c r="O363" s="1038"/>
      <c r="P363" s="1038"/>
      <c r="Q363" s="1038"/>
      <c r="R363" s="1038"/>
      <c r="S363" s="1038"/>
      <c r="T363" s="1038"/>
      <c r="U363" s="1038"/>
      <c r="V363" s="1038"/>
      <c r="W363" s="1038"/>
      <c r="X363" s="1037" t="str">
        <f t="shared" si="67"/>
        <v>301</v>
      </c>
      <c r="Y363" s="1035">
        <v>30</v>
      </c>
      <c r="Z363" s="1035">
        <f t="shared" si="62"/>
        <v>1</v>
      </c>
      <c r="AA363" s="1035"/>
      <c r="AB363" s="1035"/>
      <c r="AC363" s="1021">
        <v>111416</v>
      </c>
      <c r="AD363" s="1021" t="s">
        <v>2045</v>
      </c>
      <c r="AE363" s="1022">
        <f>VLOOKUP(AC363,[5]Hoja1!$A$10:$K$1393,11,0)</f>
        <v>-6808536</v>
      </c>
      <c r="AF363" s="1022"/>
      <c r="AG363" s="1022">
        <f t="shared" si="63"/>
        <v>-6808536</v>
      </c>
      <c r="AH363" s="1022">
        <f t="shared" si="64"/>
        <v>-6809</v>
      </c>
      <c r="AJ363" s="445"/>
      <c r="AK363" s="448"/>
      <c r="AL363" s="445"/>
    </row>
    <row r="364" spans="1:38" s="467" customFormat="1" ht="12.75" customHeight="1">
      <c r="A364" s="1033">
        <v>5153500</v>
      </c>
      <c r="B364" s="1033" t="s">
        <v>1457</v>
      </c>
      <c r="C364" s="1038"/>
      <c r="D364" s="1038"/>
      <c r="E364" s="1038"/>
      <c r="F364" s="1038"/>
      <c r="G364" s="1038"/>
      <c r="H364" s="1038"/>
      <c r="I364" s="1038"/>
      <c r="J364" s="1038"/>
      <c r="K364" s="1038"/>
      <c r="L364" s="1038"/>
      <c r="M364" s="1038"/>
      <c r="N364" s="1038"/>
      <c r="O364" s="1038"/>
      <c r="P364" s="1038"/>
      <c r="Q364" s="1038"/>
      <c r="R364" s="1038"/>
      <c r="S364" s="1038"/>
      <c r="T364" s="1038"/>
      <c r="U364" s="1038"/>
      <c r="V364" s="1038"/>
      <c r="W364" s="1038"/>
      <c r="X364" s="1037" t="str">
        <f t="shared" si="67"/>
        <v>221</v>
      </c>
      <c r="Y364" s="1035">
        <v>22</v>
      </c>
      <c r="Z364" s="1035">
        <f t="shared" si="62"/>
        <v>1</v>
      </c>
      <c r="AA364" s="1033" t="s">
        <v>2886</v>
      </c>
      <c r="AB364" s="1033" t="s">
        <v>2876</v>
      </c>
      <c r="AC364" s="1021">
        <v>111417</v>
      </c>
      <c r="AD364" s="1021" t="s">
        <v>2636</v>
      </c>
      <c r="AE364" s="1022">
        <f>VLOOKUP(AC364,[5]Hoja1!$A$10:$K$1393,11,0)</f>
        <v>4082567</v>
      </c>
      <c r="AF364" s="1022"/>
      <c r="AG364" s="1022">
        <f t="shared" si="63"/>
        <v>4082567</v>
      </c>
      <c r="AH364" s="1022">
        <f t="shared" si="64"/>
        <v>4083</v>
      </c>
      <c r="AJ364" s="445"/>
      <c r="AK364" s="448"/>
      <c r="AL364" s="445"/>
    </row>
    <row r="365" spans="1:38" s="467" customFormat="1" ht="12.75" customHeight="1">
      <c r="A365" s="1033">
        <v>5153500</v>
      </c>
      <c r="B365" s="1033" t="s">
        <v>1457</v>
      </c>
      <c r="C365" s="1038"/>
      <c r="D365" s="1038"/>
      <c r="E365" s="1038"/>
      <c r="F365" s="1038"/>
      <c r="G365" s="1038"/>
      <c r="H365" s="1038"/>
      <c r="I365" s="1038"/>
      <c r="J365" s="1038"/>
      <c r="K365" s="1038"/>
      <c r="L365" s="1038"/>
      <c r="M365" s="1038"/>
      <c r="N365" s="1038"/>
      <c r="O365" s="1038"/>
      <c r="P365" s="1038"/>
      <c r="Q365" s="1038"/>
      <c r="R365" s="1038"/>
      <c r="S365" s="1038"/>
      <c r="T365" s="1038"/>
      <c r="U365" s="1038"/>
      <c r="V365" s="1038"/>
      <c r="W365" s="1038"/>
      <c r="X365" s="1037" t="str">
        <f t="shared" si="67"/>
        <v>221</v>
      </c>
      <c r="Y365" s="1035">
        <v>22</v>
      </c>
      <c r="Z365" s="1035">
        <f t="shared" si="62"/>
        <v>1</v>
      </c>
      <c r="AA365" s="1033" t="s">
        <v>2886</v>
      </c>
      <c r="AB365" s="1033" t="s">
        <v>2879</v>
      </c>
      <c r="AC365" s="1021">
        <v>111418</v>
      </c>
      <c r="AD365" s="1021" t="s">
        <v>2046</v>
      </c>
      <c r="AE365" s="1022">
        <f>VLOOKUP(AC365,[5]Hoja1!$A$10:$K$1393,11,0)</f>
        <v>27089088</v>
      </c>
      <c r="AF365" s="1022"/>
      <c r="AG365" s="1022">
        <f t="shared" si="63"/>
        <v>27089088</v>
      </c>
      <c r="AH365" s="1022">
        <f t="shared" si="64"/>
        <v>27089</v>
      </c>
      <c r="AJ365" s="445"/>
      <c r="AK365" s="448"/>
      <c r="AL365" s="445"/>
    </row>
    <row r="366" spans="1:38" s="467" customFormat="1" ht="12.75" customHeight="1">
      <c r="A366" s="1033">
        <v>5114200</v>
      </c>
      <c r="B366" s="1033" t="s">
        <v>2728</v>
      </c>
      <c r="C366" s="1038"/>
      <c r="D366" s="1038"/>
      <c r="E366" s="1038"/>
      <c r="F366" s="1038"/>
      <c r="G366" s="1038"/>
      <c r="H366" s="1038"/>
      <c r="I366" s="1038"/>
      <c r="J366" s="1038"/>
      <c r="K366" s="1038"/>
      <c r="L366" s="1038"/>
      <c r="M366" s="1038"/>
      <c r="N366" s="1038"/>
      <c r="O366" s="1038"/>
      <c r="P366" s="1038"/>
      <c r="Q366" s="1038"/>
      <c r="R366" s="1038"/>
      <c r="S366" s="1038"/>
      <c r="T366" s="1038"/>
      <c r="U366" s="1038"/>
      <c r="V366" s="1038"/>
      <c r="W366" s="1038"/>
      <c r="X366" s="1037"/>
      <c r="Y366" s="1035"/>
      <c r="Z366" s="1035">
        <f t="shared" si="62"/>
        <v>1</v>
      </c>
      <c r="AA366" s="1035"/>
      <c r="AB366" s="1035"/>
      <c r="AC366" s="1021">
        <v>111419</v>
      </c>
      <c r="AD366" s="1021" t="s">
        <v>2581</v>
      </c>
      <c r="AE366" s="1022">
        <f>VLOOKUP(AC366,[5]Hoja1!$A$10:$K$1393,11,0)</f>
        <v>-8601061</v>
      </c>
      <c r="AF366" s="1022"/>
      <c r="AG366" s="1022">
        <f t="shared" si="63"/>
        <v>-8601061</v>
      </c>
      <c r="AH366" s="1022">
        <f t="shared" si="64"/>
        <v>-8601</v>
      </c>
      <c r="AJ366" s="445"/>
      <c r="AK366" s="448"/>
      <c r="AL366" s="445"/>
    </row>
    <row r="367" spans="1:38" s="467" customFormat="1" ht="12.75" customHeight="1">
      <c r="A367" s="1033">
        <v>5141100</v>
      </c>
      <c r="B367" s="1033" t="s">
        <v>2742</v>
      </c>
      <c r="C367" s="1038"/>
      <c r="D367" s="1038"/>
      <c r="E367" s="1038"/>
      <c r="F367" s="1038"/>
      <c r="G367" s="1038"/>
      <c r="H367" s="1038"/>
      <c r="I367" s="1038"/>
      <c r="J367" s="1038"/>
      <c r="K367" s="1038"/>
      <c r="L367" s="1038"/>
      <c r="M367" s="1038"/>
      <c r="N367" s="1038"/>
      <c r="O367" s="1038"/>
      <c r="P367" s="1038"/>
      <c r="Q367" s="1038"/>
      <c r="R367" s="1038"/>
      <c r="S367" s="1038"/>
      <c r="T367" s="1038"/>
      <c r="U367" s="1038"/>
      <c r="V367" s="1038"/>
      <c r="W367" s="1038"/>
      <c r="X367" s="1038" t="s">
        <v>1372</v>
      </c>
      <c r="Y367" s="1038" t="s">
        <v>1805</v>
      </c>
      <c r="Z367" s="1035">
        <f t="shared" si="62"/>
        <v>1</v>
      </c>
      <c r="AA367" s="1038"/>
      <c r="AB367" s="1038"/>
      <c r="AC367" s="1021">
        <v>111421</v>
      </c>
      <c r="AD367" s="1021" t="s">
        <v>2047</v>
      </c>
      <c r="AE367" s="1022">
        <f>VLOOKUP(AC367,[5]Hoja1!$A$10:$K$1393,11,0)</f>
        <v>0</v>
      </c>
      <c r="AF367" s="1022"/>
      <c r="AG367" s="1022">
        <f t="shared" si="63"/>
        <v>0</v>
      </c>
      <c r="AH367" s="1022">
        <f t="shared" si="64"/>
        <v>0</v>
      </c>
      <c r="AJ367" s="445"/>
      <c r="AK367" s="448"/>
      <c r="AL367" s="445"/>
    </row>
    <row r="368" spans="1:38" s="467" customFormat="1" ht="12.75" customHeight="1">
      <c r="A368" s="1033">
        <v>5153500</v>
      </c>
      <c r="B368" s="1033" t="s">
        <v>1457</v>
      </c>
      <c r="C368" s="1038"/>
      <c r="D368" s="1038"/>
      <c r="E368" s="1038"/>
      <c r="F368" s="1038"/>
      <c r="G368" s="1038"/>
      <c r="H368" s="1038"/>
      <c r="I368" s="1038"/>
      <c r="J368" s="1038"/>
      <c r="K368" s="1038"/>
      <c r="L368" s="1038"/>
      <c r="M368" s="1038"/>
      <c r="N368" s="1038"/>
      <c r="O368" s="1038"/>
      <c r="P368" s="1038"/>
      <c r="Q368" s="1038"/>
      <c r="R368" s="1038"/>
      <c r="S368" s="1038"/>
      <c r="T368" s="1038"/>
      <c r="U368" s="1038"/>
      <c r="V368" s="1038"/>
      <c r="W368" s="1038"/>
      <c r="X368" s="1038"/>
      <c r="Y368" s="1038"/>
      <c r="Z368" s="1035">
        <f t="shared" si="62"/>
        <v>1</v>
      </c>
      <c r="AA368" s="1033" t="s">
        <v>2886</v>
      </c>
      <c r="AB368" s="1033" t="s">
        <v>2879</v>
      </c>
      <c r="AC368" s="1023">
        <v>111422</v>
      </c>
      <c r="AD368" s="1021" t="s">
        <v>2893</v>
      </c>
      <c r="AE368" s="1022">
        <f>VLOOKUP(AC368,[5]Hoja1!$A$10:$K$1393,11,0)</f>
        <v>-194724</v>
      </c>
      <c r="AF368" s="1022"/>
      <c r="AG368" s="1022">
        <f t="shared" si="63"/>
        <v>-194724</v>
      </c>
      <c r="AH368" s="1022">
        <f t="shared" si="64"/>
        <v>-195</v>
      </c>
      <c r="AJ368" s="445"/>
      <c r="AK368" s="448"/>
      <c r="AL368" s="445"/>
    </row>
    <row r="369" spans="1:38" s="467" customFormat="1" ht="12.75" customHeight="1">
      <c r="A369" s="1033">
        <v>5114200</v>
      </c>
      <c r="B369" s="1033" t="s">
        <v>2728</v>
      </c>
      <c r="C369" s="1038"/>
      <c r="D369" s="1038"/>
      <c r="E369" s="1038"/>
      <c r="F369" s="1038"/>
      <c r="G369" s="1038"/>
      <c r="H369" s="1038"/>
      <c r="I369" s="1038"/>
      <c r="J369" s="1038"/>
      <c r="K369" s="1038"/>
      <c r="L369" s="1038"/>
      <c r="M369" s="1038"/>
      <c r="N369" s="1038"/>
      <c r="O369" s="1038"/>
      <c r="P369" s="1038"/>
      <c r="Q369" s="1038"/>
      <c r="R369" s="1038"/>
      <c r="S369" s="1038"/>
      <c r="T369" s="1038"/>
      <c r="U369" s="1038"/>
      <c r="V369" s="1038"/>
      <c r="W369" s="1038"/>
      <c r="X369" s="1038"/>
      <c r="Y369" s="1038"/>
      <c r="Z369" s="1035">
        <f t="shared" si="62"/>
        <v>1</v>
      </c>
      <c r="AA369" s="1033"/>
      <c r="AB369" s="1038"/>
      <c r="AC369" s="1023">
        <v>111423</v>
      </c>
      <c r="AD369" s="1021" t="s">
        <v>2680</v>
      </c>
      <c r="AE369" s="1022">
        <f>VLOOKUP(AC369,[5]Hoja1!$A$10:$K$1393,11,0)</f>
        <v>-7379062</v>
      </c>
      <c r="AF369" s="1022"/>
      <c r="AG369" s="1022">
        <f t="shared" si="63"/>
        <v>-7379062</v>
      </c>
      <c r="AH369" s="1022">
        <f t="shared" si="64"/>
        <v>-7379</v>
      </c>
      <c r="AJ369" s="445"/>
      <c r="AK369" s="448"/>
      <c r="AL369" s="445"/>
    </row>
    <row r="370" spans="1:38" s="467" customFormat="1" ht="12.75" customHeight="1">
      <c r="A370" s="1033">
        <v>5114200</v>
      </c>
      <c r="B370" s="1033" t="s">
        <v>2728</v>
      </c>
      <c r="C370" s="1038"/>
      <c r="D370" s="1038"/>
      <c r="E370" s="1038"/>
      <c r="F370" s="1038"/>
      <c r="G370" s="1038"/>
      <c r="H370" s="1038"/>
      <c r="I370" s="1038"/>
      <c r="J370" s="1038"/>
      <c r="K370" s="1038"/>
      <c r="L370" s="1038"/>
      <c r="M370" s="1038"/>
      <c r="N370" s="1038"/>
      <c r="O370" s="1038"/>
      <c r="P370" s="1038"/>
      <c r="Q370" s="1038"/>
      <c r="R370" s="1038"/>
      <c r="S370" s="1038"/>
      <c r="T370" s="1038"/>
      <c r="U370" s="1038"/>
      <c r="V370" s="1038"/>
      <c r="W370" s="1038"/>
      <c r="X370" s="1038"/>
      <c r="Y370" s="1038"/>
      <c r="Z370" s="1035">
        <f t="shared" si="62"/>
        <v>1</v>
      </c>
      <c r="AA370" s="1038"/>
      <c r="AB370" s="1038"/>
      <c r="AC370" s="1023">
        <v>111424</v>
      </c>
      <c r="AD370" s="1021" t="s">
        <v>2681</v>
      </c>
      <c r="AE370" s="1022">
        <f>VLOOKUP(AC370,[5]Hoja1!$A$10:$K$1393,11,0)</f>
        <v>-8551024</v>
      </c>
      <c r="AF370" s="1022"/>
      <c r="AG370" s="1022">
        <f t="shared" si="63"/>
        <v>-8551024</v>
      </c>
      <c r="AH370" s="1022">
        <f t="shared" si="64"/>
        <v>-8551</v>
      </c>
      <c r="AJ370" s="445"/>
      <c r="AK370" s="448"/>
      <c r="AL370" s="445"/>
    </row>
    <row r="371" spans="1:38" s="467" customFormat="1" ht="12.75" customHeight="1">
      <c r="A371" s="1033">
        <v>5153100</v>
      </c>
      <c r="B371" s="1033" t="s">
        <v>869</v>
      </c>
      <c r="C371" s="1034" t="str">
        <f t="shared" si="55"/>
        <v/>
      </c>
      <c r="D371" s="1033"/>
      <c r="E371" s="1033"/>
      <c r="F371" s="1034" t="str">
        <f t="shared" si="56"/>
        <v/>
      </c>
      <c r="G371" s="1033"/>
      <c r="H371" s="1033"/>
      <c r="I371" s="1034" t="str">
        <f t="shared" si="57"/>
        <v/>
      </c>
      <c r="J371" s="1033"/>
      <c r="K371" s="1033"/>
      <c r="L371" s="1034" t="str">
        <f t="shared" si="58"/>
        <v/>
      </c>
      <c r="M371" s="1035"/>
      <c r="N371" s="1035"/>
      <c r="O371" s="1036" t="str">
        <f t="shared" si="59"/>
        <v/>
      </c>
      <c r="P371" s="1033"/>
      <c r="Q371" s="1033"/>
      <c r="R371" s="1034" t="str">
        <f t="shared" si="60"/>
        <v/>
      </c>
      <c r="S371" s="1035"/>
      <c r="T371" s="1035"/>
      <c r="U371" s="1034" t="str">
        <f t="shared" si="61"/>
        <v/>
      </c>
      <c r="V371" s="1035"/>
      <c r="W371" s="1035"/>
      <c r="X371" s="1037" t="str">
        <f t="shared" ref="X371:X383" si="68">+Y371&amp;Z371</f>
        <v>1</v>
      </c>
      <c r="Y371" s="1035"/>
      <c r="Z371" s="1035">
        <f t="shared" si="62"/>
        <v>1</v>
      </c>
      <c r="AA371" s="1035"/>
      <c r="AB371" s="1035"/>
      <c r="AC371" s="1021">
        <v>111501</v>
      </c>
      <c r="AD371" s="1021" t="s">
        <v>609</v>
      </c>
      <c r="AE371" s="1022">
        <f>VLOOKUP(AC371,[5]Hoja1!$A$10:$K$1393,11,0)</f>
        <v>379194735</v>
      </c>
      <c r="AF371" s="1022"/>
      <c r="AG371" s="1022">
        <f t="shared" si="63"/>
        <v>379194735</v>
      </c>
      <c r="AH371" s="1022">
        <f t="shared" si="64"/>
        <v>379195</v>
      </c>
      <c r="AK371" s="448"/>
      <c r="AL371" s="445"/>
    </row>
    <row r="372" spans="1:38" s="467" customFormat="1" ht="12.75" customHeight="1">
      <c r="A372" s="1033"/>
      <c r="B372" s="1033"/>
      <c r="C372" s="1034" t="str">
        <f t="shared" si="55"/>
        <v/>
      </c>
      <c r="D372" s="1033"/>
      <c r="E372" s="1033"/>
      <c r="F372" s="1034" t="str">
        <f t="shared" si="56"/>
        <v/>
      </c>
      <c r="G372" s="1033"/>
      <c r="H372" s="1033"/>
      <c r="I372" s="1034" t="str">
        <f t="shared" si="57"/>
        <v/>
      </c>
      <c r="J372" s="1033"/>
      <c r="K372" s="1033"/>
      <c r="L372" s="1034" t="str">
        <f t="shared" si="58"/>
        <v/>
      </c>
      <c r="M372" s="1035"/>
      <c r="N372" s="1035"/>
      <c r="O372" s="1036" t="str">
        <f t="shared" si="59"/>
        <v/>
      </c>
      <c r="P372" s="1033"/>
      <c r="Q372" s="1033"/>
      <c r="R372" s="1034" t="str">
        <f t="shared" si="60"/>
        <v/>
      </c>
      <c r="S372" s="1035"/>
      <c r="T372" s="1035"/>
      <c r="U372" s="1034" t="str">
        <f t="shared" si="61"/>
        <v/>
      </c>
      <c r="V372" s="1035"/>
      <c r="W372" s="1035"/>
      <c r="X372" s="1037" t="str">
        <f t="shared" si="68"/>
        <v>1</v>
      </c>
      <c r="Y372" s="1035"/>
      <c r="Z372" s="1035">
        <f t="shared" si="62"/>
        <v>1</v>
      </c>
      <c r="AA372" s="1035"/>
      <c r="AB372" s="1035"/>
      <c r="AC372" s="1021">
        <v>111502</v>
      </c>
      <c r="AD372" s="1021" t="s">
        <v>153</v>
      </c>
      <c r="AE372" s="1022">
        <v>0</v>
      </c>
      <c r="AF372" s="1022"/>
      <c r="AG372" s="1022">
        <f t="shared" si="63"/>
        <v>0</v>
      </c>
      <c r="AH372" s="1022">
        <f t="shared" si="64"/>
        <v>0</v>
      </c>
      <c r="AK372" s="448"/>
      <c r="AL372" s="445"/>
    </row>
    <row r="373" spans="1:38" s="467" customFormat="1" ht="12.75" customHeight="1">
      <c r="A373" s="1033">
        <v>5153500</v>
      </c>
      <c r="B373" s="1033" t="s">
        <v>1457</v>
      </c>
      <c r="C373" s="1034" t="str">
        <f t="shared" si="55"/>
        <v/>
      </c>
      <c r="D373" s="1033"/>
      <c r="E373" s="1033"/>
      <c r="F373" s="1034" t="str">
        <f t="shared" si="56"/>
        <v/>
      </c>
      <c r="G373" s="1033"/>
      <c r="H373" s="1033"/>
      <c r="I373" s="1034" t="str">
        <f t="shared" si="57"/>
        <v/>
      </c>
      <c r="J373" s="1033"/>
      <c r="K373" s="1033"/>
      <c r="L373" s="1034" t="str">
        <f t="shared" si="58"/>
        <v/>
      </c>
      <c r="M373" s="1035"/>
      <c r="N373" s="1035"/>
      <c r="O373" s="1036" t="str">
        <f t="shared" si="59"/>
        <v/>
      </c>
      <c r="P373" s="1033"/>
      <c r="Q373" s="1033"/>
      <c r="R373" s="1034" t="str">
        <f t="shared" si="60"/>
        <v/>
      </c>
      <c r="S373" s="1035"/>
      <c r="T373" s="1035"/>
      <c r="U373" s="1034" t="str">
        <f t="shared" si="61"/>
        <v/>
      </c>
      <c r="V373" s="1035"/>
      <c r="W373" s="1035"/>
      <c r="X373" s="1037" t="str">
        <f t="shared" si="68"/>
        <v>221</v>
      </c>
      <c r="Y373" s="1035">
        <v>22</v>
      </c>
      <c r="Z373" s="1035">
        <f t="shared" si="62"/>
        <v>1</v>
      </c>
      <c r="AA373" s="1033" t="s">
        <v>2886</v>
      </c>
      <c r="AB373" s="1033" t="s">
        <v>2876</v>
      </c>
      <c r="AC373" s="1021">
        <v>111503</v>
      </c>
      <c r="AD373" s="1021" t="s">
        <v>789</v>
      </c>
      <c r="AE373" s="1022">
        <f>VLOOKUP(AC373,[5]Hoja1!$A$10:$K$1393,11,0)</f>
        <v>686221</v>
      </c>
      <c r="AF373" s="1022"/>
      <c r="AG373" s="1022">
        <f t="shared" si="63"/>
        <v>686221</v>
      </c>
      <c r="AH373" s="1022">
        <f t="shared" si="64"/>
        <v>686</v>
      </c>
      <c r="AK373" s="448"/>
      <c r="AL373" s="445"/>
    </row>
    <row r="374" spans="1:38" s="467" customFormat="1" ht="12.75" customHeight="1">
      <c r="A374" s="1033">
        <v>5153100</v>
      </c>
      <c r="B374" s="1033" t="s">
        <v>869</v>
      </c>
      <c r="C374" s="1034" t="str">
        <f t="shared" si="55"/>
        <v/>
      </c>
      <c r="D374" s="1033"/>
      <c r="E374" s="1033"/>
      <c r="F374" s="1034" t="str">
        <f t="shared" si="56"/>
        <v/>
      </c>
      <c r="G374" s="1033"/>
      <c r="H374" s="1033"/>
      <c r="I374" s="1034" t="str">
        <f t="shared" si="57"/>
        <v/>
      </c>
      <c r="J374" s="1033"/>
      <c r="K374" s="1033"/>
      <c r="L374" s="1034" t="str">
        <f t="shared" si="58"/>
        <v/>
      </c>
      <c r="M374" s="1035"/>
      <c r="N374" s="1035"/>
      <c r="O374" s="1036" t="str">
        <f t="shared" si="59"/>
        <v/>
      </c>
      <c r="P374" s="1033"/>
      <c r="Q374" s="1033"/>
      <c r="R374" s="1034" t="str">
        <f t="shared" si="60"/>
        <v/>
      </c>
      <c r="S374" s="1035"/>
      <c r="T374" s="1035"/>
      <c r="U374" s="1034" t="str">
        <f t="shared" si="61"/>
        <v/>
      </c>
      <c r="V374" s="1035"/>
      <c r="W374" s="1035"/>
      <c r="X374" s="1037" t="str">
        <f t="shared" si="68"/>
        <v>1</v>
      </c>
      <c r="Y374" s="1035"/>
      <c r="Z374" s="1035">
        <f t="shared" si="62"/>
        <v>1</v>
      </c>
      <c r="AA374" s="1035"/>
      <c r="AB374" s="1035"/>
      <c r="AC374" s="1021">
        <v>111504</v>
      </c>
      <c r="AD374" s="1021" t="s">
        <v>787</v>
      </c>
      <c r="AE374" s="1022">
        <f>VLOOKUP(AC374,[5]Hoja1!$A$10:$K$1393,11,0)</f>
        <v>32217761</v>
      </c>
      <c r="AF374" s="1022">
        <v>0</v>
      </c>
      <c r="AG374" s="1022">
        <f t="shared" si="63"/>
        <v>32217761</v>
      </c>
      <c r="AH374" s="1022">
        <f t="shared" si="64"/>
        <v>32218</v>
      </c>
      <c r="AK374" s="448"/>
      <c r="AL374" s="445"/>
    </row>
    <row r="375" spans="1:38" s="467" customFormat="1" ht="12.75" customHeight="1">
      <c r="A375" s="1033"/>
      <c r="B375" s="1033"/>
      <c r="C375" s="1034" t="str">
        <f t="shared" si="55"/>
        <v/>
      </c>
      <c r="D375" s="1033"/>
      <c r="E375" s="1033"/>
      <c r="F375" s="1034" t="str">
        <f t="shared" si="56"/>
        <v/>
      </c>
      <c r="G375" s="1033"/>
      <c r="H375" s="1033"/>
      <c r="I375" s="1034" t="str">
        <f t="shared" si="57"/>
        <v/>
      </c>
      <c r="J375" s="1033"/>
      <c r="K375" s="1033"/>
      <c r="L375" s="1034" t="str">
        <f t="shared" si="58"/>
        <v/>
      </c>
      <c r="M375" s="1035"/>
      <c r="N375" s="1035"/>
      <c r="O375" s="1036" t="str">
        <f t="shared" si="59"/>
        <v/>
      </c>
      <c r="P375" s="1033"/>
      <c r="Q375" s="1033"/>
      <c r="R375" s="1034" t="str">
        <f t="shared" si="60"/>
        <v/>
      </c>
      <c r="S375" s="1035"/>
      <c r="T375" s="1035"/>
      <c r="U375" s="1034" t="str">
        <f t="shared" si="61"/>
        <v/>
      </c>
      <c r="V375" s="1035"/>
      <c r="W375" s="1035"/>
      <c r="X375" s="1037" t="str">
        <f t="shared" si="68"/>
        <v>221</v>
      </c>
      <c r="Y375" s="1035">
        <v>22</v>
      </c>
      <c r="Z375" s="1035">
        <f t="shared" si="62"/>
        <v>1</v>
      </c>
      <c r="AA375" s="1035"/>
      <c r="AB375" s="1035"/>
      <c r="AC375" s="1021">
        <v>111505</v>
      </c>
      <c r="AD375" s="1021" t="s">
        <v>610</v>
      </c>
      <c r="AE375" s="1022">
        <f>VLOOKUP(AC375,[5]Hoja1!$A$10:$K$1393,11,0)</f>
        <v>0</v>
      </c>
      <c r="AF375" s="1022"/>
      <c r="AG375" s="1022">
        <f t="shared" si="63"/>
        <v>0</v>
      </c>
      <c r="AH375" s="1022">
        <f t="shared" si="64"/>
        <v>0</v>
      </c>
      <c r="AK375" s="448"/>
      <c r="AL375" s="445"/>
    </row>
    <row r="376" spans="1:38" s="467" customFormat="1" ht="12.75" customHeight="1">
      <c r="A376" s="1033">
        <v>5153500</v>
      </c>
      <c r="B376" s="1033" t="s">
        <v>1457</v>
      </c>
      <c r="C376" s="1034" t="str">
        <f t="shared" si="55"/>
        <v/>
      </c>
      <c r="D376" s="1033"/>
      <c r="E376" s="1033"/>
      <c r="F376" s="1034" t="str">
        <f t="shared" si="56"/>
        <v/>
      </c>
      <c r="G376" s="1033"/>
      <c r="H376" s="1033"/>
      <c r="I376" s="1034" t="str">
        <f t="shared" si="57"/>
        <v/>
      </c>
      <c r="J376" s="1033"/>
      <c r="K376" s="1033"/>
      <c r="L376" s="1034" t="str">
        <f t="shared" si="58"/>
        <v/>
      </c>
      <c r="M376" s="1035"/>
      <c r="N376" s="1035"/>
      <c r="O376" s="1036" t="str">
        <f t="shared" si="59"/>
        <v/>
      </c>
      <c r="P376" s="1033"/>
      <c r="Q376" s="1033"/>
      <c r="R376" s="1034" t="str">
        <f t="shared" si="60"/>
        <v/>
      </c>
      <c r="S376" s="1035"/>
      <c r="T376" s="1035"/>
      <c r="U376" s="1034" t="str">
        <f t="shared" si="61"/>
        <v/>
      </c>
      <c r="V376" s="1035"/>
      <c r="W376" s="1035"/>
      <c r="X376" s="1037" t="str">
        <f t="shared" si="68"/>
        <v>221</v>
      </c>
      <c r="Y376" s="1035">
        <v>22</v>
      </c>
      <c r="Z376" s="1035">
        <f t="shared" si="62"/>
        <v>1</v>
      </c>
      <c r="AA376" s="1033" t="s">
        <v>2886</v>
      </c>
      <c r="AB376" s="1033" t="s">
        <v>2876</v>
      </c>
      <c r="AC376" s="1021">
        <v>111506</v>
      </c>
      <c r="AD376" s="1021" t="s">
        <v>831</v>
      </c>
      <c r="AE376" s="1022">
        <f>VLOOKUP(AC376,[5]Hoja1!$A$10:$K$1393,11,0)</f>
        <v>750000</v>
      </c>
      <c r="AF376" s="1022"/>
      <c r="AG376" s="1022">
        <f t="shared" si="63"/>
        <v>750000</v>
      </c>
      <c r="AH376" s="1022">
        <f t="shared" si="64"/>
        <v>750</v>
      </c>
      <c r="AK376" s="448"/>
      <c r="AL376" s="445"/>
    </row>
    <row r="377" spans="1:38" s="467" customFormat="1" ht="12.75" customHeight="1">
      <c r="A377" s="1033"/>
      <c r="B377" s="1033"/>
      <c r="C377" s="1034" t="str">
        <f t="shared" si="55"/>
        <v/>
      </c>
      <c r="D377" s="1033"/>
      <c r="E377" s="1033"/>
      <c r="F377" s="1034" t="str">
        <f t="shared" si="56"/>
        <v/>
      </c>
      <c r="G377" s="1033"/>
      <c r="H377" s="1033"/>
      <c r="I377" s="1034" t="str">
        <f t="shared" si="57"/>
        <v/>
      </c>
      <c r="J377" s="1033"/>
      <c r="K377" s="1033"/>
      <c r="L377" s="1034" t="str">
        <f t="shared" si="58"/>
        <v/>
      </c>
      <c r="M377" s="1035"/>
      <c r="N377" s="1035"/>
      <c r="O377" s="1036" t="str">
        <f t="shared" si="59"/>
        <v/>
      </c>
      <c r="P377" s="1033"/>
      <c r="Q377" s="1033"/>
      <c r="R377" s="1034" t="str">
        <f t="shared" si="60"/>
        <v/>
      </c>
      <c r="S377" s="1035"/>
      <c r="T377" s="1035"/>
      <c r="U377" s="1034" t="str">
        <f t="shared" si="61"/>
        <v/>
      </c>
      <c r="V377" s="1035"/>
      <c r="W377" s="1035"/>
      <c r="X377" s="1037" t="str">
        <f t="shared" si="68"/>
        <v>221</v>
      </c>
      <c r="Y377" s="1035">
        <v>22</v>
      </c>
      <c r="Z377" s="1035">
        <f t="shared" si="62"/>
        <v>1</v>
      </c>
      <c r="AA377" s="1035"/>
      <c r="AB377" s="1035"/>
      <c r="AC377" s="1021">
        <v>111507</v>
      </c>
      <c r="AD377" s="1021" t="s">
        <v>1502</v>
      </c>
      <c r="AE377" s="1022">
        <v>0</v>
      </c>
      <c r="AF377" s="1022"/>
      <c r="AG377" s="1022">
        <f t="shared" si="63"/>
        <v>0</v>
      </c>
      <c r="AH377" s="1022">
        <f t="shared" si="64"/>
        <v>0</v>
      </c>
      <c r="AK377" s="448"/>
      <c r="AL377" s="445"/>
    </row>
    <row r="378" spans="1:38" s="467" customFormat="1" ht="12.75" customHeight="1">
      <c r="A378" s="1033"/>
      <c r="B378" s="1033"/>
      <c r="C378" s="1034" t="str">
        <f t="shared" si="55"/>
        <v/>
      </c>
      <c r="D378" s="1035"/>
      <c r="E378" s="1035"/>
      <c r="F378" s="1034" t="str">
        <f t="shared" si="56"/>
        <v/>
      </c>
      <c r="G378" s="1033"/>
      <c r="H378" s="1033"/>
      <c r="I378" s="1034" t="str">
        <f t="shared" si="57"/>
        <v/>
      </c>
      <c r="J378" s="1033"/>
      <c r="K378" s="1033"/>
      <c r="L378" s="1034" t="str">
        <f t="shared" si="58"/>
        <v/>
      </c>
      <c r="M378" s="1035"/>
      <c r="N378" s="1035"/>
      <c r="O378" s="1036" t="str">
        <f t="shared" si="59"/>
        <v/>
      </c>
      <c r="P378" s="1033"/>
      <c r="Q378" s="1033"/>
      <c r="R378" s="1034" t="str">
        <f t="shared" si="60"/>
        <v/>
      </c>
      <c r="S378" s="1035"/>
      <c r="T378" s="1035"/>
      <c r="U378" s="1034" t="str">
        <f t="shared" si="61"/>
        <v/>
      </c>
      <c r="V378" s="1035"/>
      <c r="W378" s="1035"/>
      <c r="X378" s="1037" t="str">
        <f t="shared" si="68"/>
        <v>1</v>
      </c>
      <c r="Y378" s="1035"/>
      <c r="Z378" s="1035">
        <f t="shared" si="62"/>
        <v>1</v>
      </c>
      <c r="AA378" s="1035"/>
      <c r="AB378" s="1035"/>
      <c r="AC378" s="1021">
        <v>111508</v>
      </c>
      <c r="AD378" s="1021" t="s">
        <v>778</v>
      </c>
      <c r="AE378" s="1022">
        <v>0</v>
      </c>
      <c r="AF378" s="1022"/>
      <c r="AG378" s="1022">
        <f t="shared" si="63"/>
        <v>0</v>
      </c>
      <c r="AH378" s="1022">
        <f t="shared" si="64"/>
        <v>0</v>
      </c>
      <c r="AK378" s="448"/>
      <c r="AL378" s="445"/>
    </row>
    <row r="379" spans="1:38" s="467" customFormat="1" ht="12.75" customHeight="1">
      <c r="A379" s="1033"/>
      <c r="B379" s="1033"/>
      <c r="C379" s="1034" t="str">
        <f t="shared" si="55"/>
        <v/>
      </c>
      <c r="D379" s="1033"/>
      <c r="E379" s="1033"/>
      <c r="F379" s="1034" t="str">
        <f t="shared" si="56"/>
        <v/>
      </c>
      <c r="G379" s="1033"/>
      <c r="H379" s="1033"/>
      <c r="I379" s="1034" t="str">
        <f t="shared" si="57"/>
        <v/>
      </c>
      <c r="J379" s="1033"/>
      <c r="K379" s="1033"/>
      <c r="L379" s="1034" t="str">
        <f t="shared" si="58"/>
        <v/>
      </c>
      <c r="M379" s="1035"/>
      <c r="N379" s="1035"/>
      <c r="O379" s="1036" t="str">
        <f t="shared" si="59"/>
        <v/>
      </c>
      <c r="P379" s="1033"/>
      <c r="Q379" s="1033"/>
      <c r="R379" s="1034" t="str">
        <f t="shared" si="60"/>
        <v/>
      </c>
      <c r="S379" s="1035"/>
      <c r="T379" s="1035"/>
      <c r="U379" s="1034" t="str">
        <f t="shared" si="61"/>
        <v/>
      </c>
      <c r="V379" s="1035"/>
      <c r="W379" s="1035"/>
      <c r="X379" s="1037" t="str">
        <f t="shared" si="68"/>
        <v>1</v>
      </c>
      <c r="Y379" s="1035"/>
      <c r="Z379" s="1035">
        <f t="shared" si="62"/>
        <v>1</v>
      </c>
      <c r="AA379" s="1035"/>
      <c r="AB379" s="1035"/>
      <c r="AC379" s="1021">
        <v>111509</v>
      </c>
      <c r="AD379" s="1021" t="s">
        <v>779</v>
      </c>
      <c r="AE379" s="1022">
        <v>0</v>
      </c>
      <c r="AF379" s="1022"/>
      <c r="AG379" s="1022">
        <f t="shared" si="63"/>
        <v>0</v>
      </c>
      <c r="AH379" s="1022">
        <f t="shared" si="64"/>
        <v>0</v>
      </c>
      <c r="AI379" s="467" t="s">
        <v>474</v>
      </c>
      <c r="AK379" s="448"/>
      <c r="AL379" s="445"/>
    </row>
    <row r="380" spans="1:38" s="467" customFormat="1" ht="12.75" customHeight="1">
      <c r="A380" s="1033">
        <v>5153500</v>
      </c>
      <c r="B380" s="1033" t="s">
        <v>1457</v>
      </c>
      <c r="C380" s="1034" t="str">
        <f t="shared" si="55"/>
        <v/>
      </c>
      <c r="D380" s="1033"/>
      <c r="E380" s="1033"/>
      <c r="F380" s="1034" t="str">
        <f t="shared" si="56"/>
        <v/>
      </c>
      <c r="G380" s="1033"/>
      <c r="H380" s="1033"/>
      <c r="I380" s="1034" t="str">
        <f t="shared" si="57"/>
        <v/>
      </c>
      <c r="J380" s="1033"/>
      <c r="K380" s="1033"/>
      <c r="L380" s="1034" t="str">
        <f t="shared" si="58"/>
        <v/>
      </c>
      <c r="M380" s="1035"/>
      <c r="N380" s="1035"/>
      <c r="O380" s="1036" t="str">
        <f t="shared" si="59"/>
        <v/>
      </c>
      <c r="P380" s="1033"/>
      <c r="Q380" s="1033"/>
      <c r="R380" s="1034" t="str">
        <f t="shared" si="60"/>
        <v/>
      </c>
      <c r="S380" s="1035"/>
      <c r="T380" s="1035"/>
      <c r="U380" s="1034" t="str">
        <f t="shared" si="61"/>
        <v/>
      </c>
      <c r="V380" s="1035"/>
      <c r="W380" s="1035"/>
      <c r="X380" s="1037" t="str">
        <f t="shared" si="68"/>
        <v>221</v>
      </c>
      <c r="Y380" s="1035">
        <v>22</v>
      </c>
      <c r="Z380" s="1035">
        <f t="shared" si="62"/>
        <v>1</v>
      </c>
      <c r="AA380" s="1033" t="s">
        <v>2886</v>
      </c>
      <c r="AB380" s="1033" t="s">
        <v>2876</v>
      </c>
      <c r="AC380" s="1021">
        <v>111510</v>
      </c>
      <c r="AD380" s="1021" t="s">
        <v>780</v>
      </c>
      <c r="AE380" s="1022">
        <f>VLOOKUP(AC380,[5]Hoja1!$A$10:$K$1393,11,0)</f>
        <v>2590000</v>
      </c>
      <c r="AF380" s="1022"/>
      <c r="AG380" s="1022">
        <f t="shared" si="63"/>
        <v>2590000</v>
      </c>
      <c r="AH380" s="1022">
        <f t="shared" si="64"/>
        <v>2590</v>
      </c>
      <c r="AK380" s="448"/>
      <c r="AL380" s="445"/>
    </row>
    <row r="381" spans="1:38" s="467" customFormat="1" ht="12.75" customHeight="1">
      <c r="A381" s="1033">
        <v>5153500</v>
      </c>
      <c r="B381" s="1033" t="s">
        <v>1457</v>
      </c>
      <c r="C381" s="1034"/>
      <c r="D381" s="1033"/>
      <c r="E381" s="1033"/>
      <c r="F381" s="1034"/>
      <c r="G381" s="1033"/>
      <c r="H381" s="1033"/>
      <c r="I381" s="1034"/>
      <c r="J381" s="1033"/>
      <c r="K381" s="1033"/>
      <c r="L381" s="1034"/>
      <c r="M381" s="1035"/>
      <c r="N381" s="1035"/>
      <c r="O381" s="1036"/>
      <c r="P381" s="1033"/>
      <c r="Q381" s="1033"/>
      <c r="R381" s="1034"/>
      <c r="S381" s="1035"/>
      <c r="T381" s="1035"/>
      <c r="U381" s="1034"/>
      <c r="V381" s="1035"/>
      <c r="W381" s="1035"/>
      <c r="X381" s="1037" t="str">
        <f t="shared" si="68"/>
        <v>221</v>
      </c>
      <c r="Y381" s="1035">
        <v>22</v>
      </c>
      <c r="Z381" s="1035">
        <f t="shared" si="62"/>
        <v>1</v>
      </c>
      <c r="AA381" s="1033" t="s">
        <v>2886</v>
      </c>
      <c r="AB381" s="1033" t="s">
        <v>2876</v>
      </c>
      <c r="AC381" s="1021">
        <v>111511</v>
      </c>
      <c r="AD381" s="1021" t="s">
        <v>2048</v>
      </c>
      <c r="AE381" s="1022">
        <f>VLOOKUP(AC381,[5]Hoja1!$A$10:$K$1393,11,0)</f>
        <v>2014834</v>
      </c>
      <c r="AF381" s="1022"/>
      <c r="AG381" s="1022">
        <f t="shared" si="63"/>
        <v>2014834</v>
      </c>
      <c r="AH381" s="1022">
        <f t="shared" si="64"/>
        <v>2015</v>
      </c>
      <c r="AK381" s="448"/>
      <c r="AL381" s="445"/>
    </row>
    <row r="382" spans="1:38" s="467" customFormat="1" ht="12.75" customHeight="1">
      <c r="A382" s="1033">
        <v>5153500</v>
      </c>
      <c r="B382" s="1033" t="s">
        <v>1457</v>
      </c>
      <c r="C382" s="1034"/>
      <c r="D382" s="1033"/>
      <c r="E382" s="1033"/>
      <c r="F382" s="1034"/>
      <c r="G382" s="1033"/>
      <c r="H382" s="1033"/>
      <c r="I382" s="1034"/>
      <c r="J382" s="1033"/>
      <c r="K382" s="1033"/>
      <c r="L382" s="1034"/>
      <c r="M382" s="1035"/>
      <c r="N382" s="1035"/>
      <c r="O382" s="1036"/>
      <c r="P382" s="1033"/>
      <c r="Q382" s="1033"/>
      <c r="R382" s="1034"/>
      <c r="S382" s="1035"/>
      <c r="T382" s="1035"/>
      <c r="U382" s="1034"/>
      <c r="V382" s="1035"/>
      <c r="W382" s="1035"/>
      <c r="X382" s="1037" t="str">
        <f t="shared" si="68"/>
        <v>221</v>
      </c>
      <c r="Y382" s="1035">
        <v>22</v>
      </c>
      <c r="Z382" s="1035">
        <f t="shared" si="62"/>
        <v>1</v>
      </c>
      <c r="AA382" s="1033" t="s">
        <v>2886</v>
      </c>
      <c r="AB382" s="1033" t="s">
        <v>2882</v>
      </c>
      <c r="AC382" s="1021">
        <v>111512</v>
      </c>
      <c r="AD382" s="1021" t="s">
        <v>2049</v>
      </c>
      <c r="AE382" s="1022">
        <f>VLOOKUP(AC382,[5]Hoja1!$A$10:$K$1393,11,0)</f>
        <v>27172101</v>
      </c>
      <c r="AF382" s="1022"/>
      <c r="AG382" s="1022">
        <f t="shared" si="63"/>
        <v>27172101</v>
      </c>
      <c r="AH382" s="1022">
        <f t="shared" si="64"/>
        <v>27172</v>
      </c>
      <c r="AK382" s="448"/>
      <c r="AL382" s="445"/>
    </row>
    <row r="383" spans="1:38" s="467" customFormat="1" ht="12.75" customHeight="1">
      <c r="A383" s="1033">
        <v>5153500</v>
      </c>
      <c r="B383" s="1033" t="s">
        <v>1457</v>
      </c>
      <c r="C383" s="1034"/>
      <c r="D383" s="1033"/>
      <c r="E383" s="1033"/>
      <c r="F383" s="1034"/>
      <c r="G383" s="1033"/>
      <c r="H383" s="1033"/>
      <c r="I383" s="1034"/>
      <c r="J383" s="1033"/>
      <c r="K383" s="1033"/>
      <c r="L383" s="1034"/>
      <c r="M383" s="1035"/>
      <c r="N383" s="1035"/>
      <c r="O383" s="1036"/>
      <c r="P383" s="1033"/>
      <c r="Q383" s="1033"/>
      <c r="R383" s="1034"/>
      <c r="S383" s="1035"/>
      <c r="T383" s="1035"/>
      <c r="U383" s="1034"/>
      <c r="V383" s="1035"/>
      <c r="W383" s="1035"/>
      <c r="X383" s="1037" t="str">
        <f t="shared" si="68"/>
        <v>221</v>
      </c>
      <c r="Y383" s="1035">
        <v>22</v>
      </c>
      <c r="Z383" s="1035">
        <f t="shared" si="62"/>
        <v>1</v>
      </c>
      <c r="AA383" s="1033" t="s">
        <v>2886</v>
      </c>
      <c r="AB383" s="1033" t="s">
        <v>2876</v>
      </c>
      <c r="AC383" s="1021">
        <v>111513</v>
      </c>
      <c r="AD383" s="1021" t="s">
        <v>2050</v>
      </c>
      <c r="AE383" s="1022">
        <f>VLOOKUP(AC383,[5]Hoja1!$A$10:$K$1393,11,0)</f>
        <v>3232609</v>
      </c>
      <c r="AF383" s="1022"/>
      <c r="AG383" s="1022">
        <f t="shared" si="63"/>
        <v>3232609</v>
      </c>
      <c r="AH383" s="1022">
        <f t="shared" si="64"/>
        <v>3233</v>
      </c>
      <c r="AK383" s="448"/>
      <c r="AL383" s="445"/>
    </row>
    <row r="384" spans="1:38" s="467" customFormat="1" ht="12.75" customHeight="1">
      <c r="A384" s="1033">
        <v>5153500</v>
      </c>
      <c r="B384" s="1033" t="s">
        <v>1457</v>
      </c>
      <c r="C384" s="1034"/>
      <c r="D384" s="1033"/>
      <c r="E384" s="1033"/>
      <c r="F384" s="1034"/>
      <c r="G384" s="1033"/>
      <c r="H384" s="1033"/>
      <c r="I384" s="1034"/>
      <c r="J384" s="1033"/>
      <c r="K384" s="1033"/>
      <c r="L384" s="1034"/>
      <c r="M384" s="1035"/>
      <c r="N384" s="1035"/>
      <c r="O384" s="1036"/>
      <c r="P384" s="1033"/>
      <c r="Q384" s="1033"/>
      <c r="R384" s="1034"/>
      <c r="S384" s="1035"/>
      <c r="T384" s="1035"/>
      <c r="U384" s="1034"/>
      <c r="V384" s="1035"/>
      <c r="W384" s="1035"/>
      <c r="X384" s="1037"/>
      <c r="Y384" s="1035"/>
      <c r="Z384" s="1035">
        <f t="shared" si="62"/>
        <v>1</v>
      </c>
      <c r="AA384" s="1033" t="s">
        <v>2886</v>
      </c>
      <c r="AB384" s="1033" t="s">
        <v>2876</v>
      </c>
      <c r="AC384" s="1023">
        <v>111514</v>
      </c>
      <c r="AD384" s="1021" t="s">
        <v>2890</v>
      </c>
      <c r="AE384" s="1022">
        <f>VLOOKUP(AC384,[5]Hoja1!$A$10:$K$1393,11,0)</f>
        <v>-499384</v>
      </c>
      <c r="AF384" s="1022"/>
      <c r="AG384" s="1022">
        <f t="shared" si="63"/>
        <v>-499384</v>
      </c>
      <c r="AH384" s="1022">
        <f t="shared" si="64"/>
        <v>-499</v>
      </c>
      <c r="AK384" s="448"/>
      <c r="AL384" s="445"/>
    </row>
    <row r="385" spans="1:38" s="467" customFormat="1" ht="12.75" customHeight="1">
      <c r="A385" s="1033">
        <v>5153100</v>
      </c>
      <c r="B385" s="1033" t="s">
        <v>869</v>
      </c>
      <c r="C385" s="1034"/>
      <c r="D385" s="1033"/>
      <c r="E385" s="1033"/>
      <c r="F385" s="1034"/>
      <c r="G385" s="1033"/>
      <c r="H385" s="1033"/>
      <c r="I385" s="1034"/>
      <c r="J385" s="1033"/>
      <c r="K385" s="1033"/>
      <c r="L385" s="1034"/>
      <c r="M385" s="1035"/>
      <c r="N385" s="1035"/>
      <c r="O385" s="1036"/>
      <c r="P385" s="1033"/>
      <c r="Q385" s="1033"/>
      <c r="R385" s="1034"/>
      <c r="S385" s="1035"/>
      <c r="T385" s="1035"/>
      <c r="U385" s="1034"/>
      <c r="V385" s="1035"/>
      <c r="W385" s="1035"/>
      <c r="X385" s="1037"/>
      <c r="Y385" s="1035"/>
      <c r="Z385" s="1035">
        <f t="shared" si="62"/>
        <v>1</v>
      </c>
      <c r="AA385" s="1035"/>
      <c r="AB385" s="1035"/>
      <c r="AC385" s="1023">
        <v>111515</v>
      </c>
      <c r="AD385" s="1021" t="s">
        <v>2683</v>
      </c>
      <c r="AE385" s="1022">
        <f>VLOOKUP(AC385,[5]Hoja1!$A$10:$K$1393,11,0)</f>
        <v>-23688622</v>
      </c>
      <c r="AF385" s="1022"/>
      <c r="AG385" s="1022">
        <f t="shared" si="63"/>
        <v>-23688622</v>
      </c>
      <c r="AH385" s="1022">
        <f t="shared" si="64"/>
        <v>-23689</v>
      </c>
      <c r="AK385" s="448"/>
      <c r="AL385" s="445"/>
    </row>
    <row r="386" spans="1:38" s="467" customFormat="1" ht="12.75" customHeight="1">
      <c r="A386" s="1033">
        <v>5153400</v>
      </c>
      <c r="B386" s="1033" t="s">
        <v>870</v>
      </c>
      <c r="C386" s="1034" t="str">
        <f t="shared" si="55"/>
        <v/>
      </c>
      <c r="D386" s="1033"/>
      <c r="E386" s="1033"/>
      <c r="F386" s="1034" t="str">
        <f t="shared" si="56"/>
        <v/>
      </c>
      <c r="G386" s="1033"/>
      <c r="H386" s="1033"/>
      <c r="I386" s="1034" t="str">
        <f t="shared" si="57"/>
        <v/>
      </c>
      <c r="J386" s="1033"/>
      <c r="K386" s="1033"/>
      <c r="L386" s="1034" t="str">
        <f t="shared" si="58"/>
        <v/>
      </c>
      <c r="M386" s="1035"/>
      <c r="N386" s="1035"/>
      <c r="O386" s="1036" t="str">
        <f t="shared" si="59"/>
        <v/>
      </c>
      <c r="P386" s="1033"/>
      <c r="Q386" s="1033"/>
      <c r="R386" s="1034" t="str">
        <f t="shared" si="60"/>
        <v/>
      </c>
      <c r="S386" s="1035"/>
      <c r="T386" s="1035"/>
      <c r="U386" s="1034" t="str">
        <f t="shared" si="61"/>
        <v/>
      </c>
      <c r="V386" s="1035"/>
      <c r="W386" s="1035"/>
      <c r="X386" s="1037" t="str">
        <f t="shared" ref="X386:X427" si="69">+Y386&amp;Z386</f>
        <v>221</v>
      </c>
      <c r="Y386" s="1035">
        <v>22</v>
      </c>
      <c r="Z386" s="1035">
        <f t="shared" si="62"/>
        <v>1</v>
      </c>
      <c r="AA386" s="1035"/>
      <c r="AB386" s="1035"/>
      <c r="AC386" s="1021">
        <v>111601</v>
      </c>
      <c r="AD386" s="1021" t="s">
        <v>404</v>
      </c>
      <c r="AE386" s="1022">
        <f>VLOOKUP(AC386,[5]Hoja1!$A$10:$K$1393,11,0)</f>
        <v>1436535</v>
      </c>
      <c r="AF386" s="1022"/>
      <c r="AG386" s="1022">
        <f t="shared" si="63"/>
        <v>1436535</v>
      </c>
      <c r="AH386" s="1022">
        <f t="shared" si="64"/>
        <v>1437</v>
      </c>
      <c r="AK386" s="448"/>
      <c r="AL386" s="445"/>
    </row>
    <row r="387" spans="1:38" s="467" customFormat="1" ht="12.75" customHeight="1">
      <c r="A387" s="1033"/>
      <c r="B387" s="1033"/>
      <c r="C387" s="1034" t="str">
        <f t="shared" si="55"/>
        <v/>
      </c>
      <c r="D387" s="1033"/>
      <c r="E387" s="1033"/>
      <c r="F387" s="1034" t="str">
        <f t="shared" si="56"/>
        <v/>
      </c>
      <c r="G387" s="1033"/>
      <c r="H387" s="1033"/>
      <c r="I387" s="1034" t="str">
        <f t="shared" si="57"/>
        <v/>
      </c>
      <c r="J387" s="1033"/>
      <c r="K387" s="1033"/>
      <c r="L387" s="1034" t="str">
        <f t="shared" si="58"/>
        <v/>
      </c>
      <c r="M387" s="1035"/>
      <c r="N387" s="1035"/>
      <c r="O387" s="1036" t="str">
        <f t="shared" si="59"/>
        <v/>
      </c>
      <c r="P387" s="1033"/>
      <c r="Q387" s="1033"/>
      <c r="R387" s="1034" t="str">
        <f t="shared" si="60"/>
        <v/>
      </c>
      <c r="S387" s="1035"/>
      <c r="T387" s="1035"/>
      <c r="U387" s="1034" t="str">
        <f t="shared" si="61"/>
        <v/>
      </c>
      <c r="V387" s="1035"/>
      <c r="W387" s="1035"/>
      <c r="X387" s="1037" t="str">
        <f t="shared" si="69"/>
        <v>1</v>
      </c>
      <c r="Y387" s="1035"/>
      <c r="Z387" s="1035">
        <f t="shared" si="62"/>
        <v>1</v>
      </c>
      <c r="AA387" s="1035"/>
      <c r="AB387" s="1035"/>
      <c r="AC387" s="1021">
        <v>111602</v>
      </c>
      <c r="AD387" s="1021" t="s">
        <v>611</v>
      </c>
      <c r="AE387" s="1022">
        <v>0</v>
      </c>
      <c r="AF387" s="1022"/>
      <c r="AG387" s="1022">
        <f t="shared" si="63"/>
        <v>0</v>
      </c>
      <c r="AH387" s="1022">
        <f t="shared" si="64"/>
        <v>0</v>
      </c>
      <c r="AK387" s="448"/>
      <c r="AL387" s="445"/>
    </row>
    <row r="388" spans="1:38" s="467" customFormat="1" ht="12.75" customHeight="1">
      <c r="A388" s="1033">
        <v>5153500</v>
      </c>
      <c r="B388" s="1033" t="s">
        <v>1457</v>
      </c>
      <c r="C388" s="1034" t="str">
        <f t="shared" si="55"/>
        <v/>
      </c>
      <c r="D388" s="1033"/>
      <c r="E388" s="1033"/>
      <c r="F388" s="1034" t="str">
        <f t="shared" si="56"/>
        <v/>
      </c>
      <c r="G388" s="1033"/>
      <c r="H388" s="1033"/>
      <c r="I388" s="1034" t="str">
        <f t="shared" si="57"/>
        <v/>
      </c>
      <c r="J388" s="1033"/>
      <c r="K388" s="1033"/>
      <c r="L388" s="1034" t="str">
        <f t="shared" si="58"/>
        <v/>
      </c>
      <c r="M388" s="1035"/>
      <c r="N388" s="1035"/>
      <c r="O388" s="1036" t="str">
        <f t="shared" si="59"/>
        <v/>
      </c>
      <c r="P388" s="1033"/>
      <c r="Q388" s="1033"/>
      <c r="R388" s="1034" t="str">
        <f t="shared" si="60"/>
        <v/>
      </c>
      <c r="S388" s="1035"/>
      <c r="T388" s="1035"/>
      <c r="U388" s="1034" t="str">
        <f t="shared" si="61"/>
        <v/>
      </c>
      <c r="V388" s="1035"/>
      <c r="W388" s="1035"/>
      <c r="X388" s="1037" t="str">
        <f t="shared" si="69"/>
        <v>221</v>
      </c>
      <c r="Y388" s="1035">
        <v>22</v>
      </c>
      <c r="Z388" s="1035">
        <f t="shared" si="62"/>
        <v>1</v>
      </c>
      <c r="AA388" s="1033" t="s">
        <v>2886</v>
      </c>
      <c r="AB388" s="1033" t="s">
        <v>2879</v>
      </c>
      <c r="AC388" s="1021">
        <v>111603</v>
      </c>
      <c r="AD388" s="1021" t="s">
        <v>403</v>
      </c>
      <c r="AE388" s="1022">
        <f>VLOOKUP(AC388,[5]Hoja1!$A$10:$K$1393,11,0)</f>
        <v>43565357</v>
      </c>
      <c r="AF388" s="1022"/>
      <c r="AG388" s="1022">
        <f t="shared" si="63"/>
        <v>43565357</v>
      </c>
      <c r="AH388" s="1022">
        <f t="shared" si="64"/>
        <v>43565</v>
      </c>
      <c r="AK388" s="448"/>
      <c r="AL388" s="445"/>
    </row>
    <row r="389" spans="1:38" s="467" customFormat="1" ht="12.75" customHeight="1">
      <c r="A389" s="1033">
        <v>5153500</v>
      </c>
      <c r="B389" s="1033" t="s">
        <v>1457</v>
      </c>
      <c r="C389" s="1034" t="str">
        <f t="shared" si="55"/>
        <v/>
      </c>
      <c r="D389" s="1033"/>
      <c r="E389" s="1033"/>
      <c r="F389" s="1034" t="str">
        <f t="shared" si="56"/>
        <v/>
      </c>
      <c r="G389" s="1033"/>
      <c r="H389" s="1033"/>
      <c r="I389" s="1034" t="str">
        <f t="shared" si="57"/>
        <v/>
      </c>
      <c r="J389" s="1033"/>
      <c r="K389" s="1033"/>
      <c r="L389" s="1034" t="str">
        <f t="shared" si="58"/>
        <v/>
      </c>
      <c r="M389" s="1035"/>
      <c r="N389" s="1035"/>
      <c r="O389" s="1036" t="str">
        <f t="shared" si="59"/>
        <v/>
      </c>
      <c r="P389" s="1033"/>
      <c r="Q389" s="1033"/>
      <c r="R389" s="1034" t="str">
        <f t="shared" si="60"/>
        <v/>
      </c>
      <c r="S389" s="1035"/>
      <c r="T389" s="1035"/>
      <c r="U389" s="1034" t="str">
        <f t="shared" si="61"/>
        <v/>
      </c>
      <c r="V389" s="1035"/>
      <c r="W389" s="1035"/>
      <c r="X389" s="1037" t="str">
        <f t="shared" si="69"/>
        <v>221</v>
      </c>
      <c r="Y389" s="1035">
        <v>22</v>
      </c>
      <c r="Z389" s="1035">
        <f t="shared" si="62"/>
        <v>1</v>
      </c>
      <c r="AA389" s="1033" t="s">
        <v>2886</v>
      </c>
      <c r="AB389" s="1033" t="s">
        <v>2879</v>
      </c>
      <c r="AC389" s="1021">
        <v>111604</v>
      </c>
      <c r="AD389" s="1021" t="s">
        <v>582</v>
      </c>
      <c r="AE389" s="1022">
        <f>VLOOKUP(AC389,[5]Hoja1!$A$10:$K$1393,11,0)</f>
        <v>500000</v>
      </c>
      <c r="AF389" s="1022"/>
      <c r="AG389" s="1022">
        <f t="shared" si="63"/>
        <v>500000</v>
      </c>
      <c r="AH389" s="1022">
        <f t="shared" si="64"/>
        <v>500</v>
      </c>
      <c r="AK389" s="448"/>
      <c r="AL389" s="445"/>
    </row>
    <row r="390" spans="1:38" s="467" customFormat="1" ht="12.75" customHeight="1">
      <c r="A390" s="1033">
        <v>5153500</v>
      </c>
      <c r="B390" s="1033" t="s">
        <v>1457</v>
      </c>
      <c r="C390" s="1034" t="str">
        <f t="shared" si="55"/>
        <v/>
      </c>
      <c r="D390" s="1033"/>
      <c r="E390" s="1033"/>
      <c r="F390" s="1034" t="str">
        <f t="shared" si="56"/>
        <v/>
      </c>
      <c r="G390" s="1033"/>
      <c r="H390" s="1033"/>
      <c r="I390" s="1034" t="str">
        <f t="shared" si="57"/>
        <v/>
      </c>
      <c r="J390" s="1033"/>
      <c r="K390" s="1033"/>
      <c r="L390" s="1034" t="str">
        <f t="shared" si="58"/>
        <v/>
      </c>
      <c r="M390" s="1035"/>
      <c r="N390" s="1035"/>
      <c r="O390" s="1036" t="str">
        <f t="shared" si="59"/>
        <v/>
      </c>
      <c r="P390" s="1033"/>
      <c r="Q390" s="1033"/>
      <c r="R390" s="1034" t="str">
        <f t="shared" si="60"/>
        <v/>
      </c>
      <c r="S390" s="1035"/>
      <c r="T390" s="1035"/>
      <c r="U390" s="1034" t="str">
        <f t="shared" si="61"/>
        <v/>
      </c>
      <c r="V390" s="1035"/>
      <c r="W390" s="1035"/>
      <c r="X390" s="1037" t="str">
        <f t="shared" si="69"/>
        <v>221</v>
      </c>
      <c r="Y390" s="1035">
        <v>22</v>
      </c>
      <c r="Z390" s="1035">
        <f t="shared" si="62"/>
        <v>1</v>
      </c>
      <c r="AA390" s="1033" t="s">
        <v>2886</v>
      </c>
      <c r="AB390" s="1033" t="s">
        <v>2877</v>
      </c>
      <c r="AC390" s="1021">
        <v>111605</v>
      </c>
      <c r="AD390" s="1021" t="s">
        <v>2051</v>
      </c>
      <c r="AE390" s="1022">
        <f>VLOOKUP(AC390,[5]Hoja1!$A$10:$K$1393,11,0)</f>
        <v>620537693</v>
      </c>
      <c r="AF390" s="1509">
        <f>-AF976-AF869</f>
        <v>-472055591</v>
      </c>
      <c r="AG390" s="1022">
        <f t="shared" si="63"/>
        <v>148482102</v>
      </c>
      <c r="AH390" s="1022">
        <f t="shared" si="64"/>
        <v>148482</v>
      </c>
      <c r="AI390" s="445" t="s">
        <v>1805</v>
      </c>
      <c r="AK390" s="448"/>
      <c r="AL390" s="445"/>
    </row>
    <row r="391" spans="1:38" s="467" customFormat="1" ht="12.75" customHeight="1">
      <c r="A391" s="1033">
        <v>5214230</v>
      </c>
      <c r="B391" s="1033" t="s">
        <v>337</v>
      </c>
      <c r="C391" s="1034" t="str">
        <f t="shared" si="55"/>
        <v/>
      </c>
      <c r="D391" s="1033"/>
      <c r="E391" s="1033"/>
      <c r="F391" s="1034" t="str">
        <f t="shared" si="56"/>
        <v/>
      </c>
      <c r="G391" s="1033"/>
      <c r="H391" s="1033"/>
      <c r="I391" s="1034" t="str">
        <f t="shared" si="57"/>
        <v/>
      </c>
      <c r="J391" s="1033"/>
      <c r="K391" s="1033"/>
      <c r="L391" s="1034" t="str">
        <f t="shared" si="58"/>
        <v/>
      </c>
      <c r="M391" s="1035"/>
      <c r="N391" s="1035"/>
      <c r="O391" s="1036" t="str">
        <f t="shared" si="59"/>
        <v/>
      </c>
      <c r="P391" s="1033"/>
      <c r="Q391" s="1033"/>
      <c r="R391" s="1034" t="str">
        <f t="shared" si="60"/>
        <v/>
      </c>
      <c r="S391" s="1035"/>
      <c r="T391" s="1035"/>
      <c r="U391" s="1034" t="str">
        <f t="shared" si="61"/>
        <v/>
      </c>
      <c r="V391" s="1035"/>
      <c r="W391" s="1035"/>
      <c r="X391" s="1037" t="str">
        <f t="shared" si="69"/>
        <v>1</v>
      </c>
      <c r="Y391" s="1035"/>
      <c r="Z391" s="1035">
        <f t="shared" si="62"/>
        <v>1</v>
      </c>
      <c r="AA391" s="1035"/>
      <c r="AB391" s="1035"/>
      <c r="AC391" s="1021">
        <v>111606</v>
      </c>
      <c r="AD391" s="1021" t="s">
        <v>2052</v>
      </c>
      <c r="AE391" s="1022">
        <f>VLOOKUP(AC391,[5]Hoja1!$A$10:$K$1393,11,0)</f>
        <v>712562</v>
      </c>
      <c r="AF391" s="1191">
        <f>-AE391</f>
        <v>-712562</v>
      </c>
      <c r="AG391" s="1022">
        <f t="shared" si="63"/>
        <v>0</v>
      </c>
      <c r="AH391" s="1022">
        <f t="shared" si="64"/>
        <v>0</v>
      </c>
      <c r="AK391" s="448"/>
      <c r="AL391" s="445"/>
    </row>
    <row r="392" spans="1:38" s="467" customFormat="1" ht="12.75" customHeight="1">
      <c r="A392" s="1033">
        <v>5153500</v>
      </c>
      <c r="B392" s="1033" t="s">
        <v>1457</v>
      </c>
      <c r="C392" s="1034" t="str">
        <f t="shared" si="55"/>
        <v/>
      </c>
      <c r="D392" s="1033"/>
      <c r="E392" s="1033"/>
      <c r="F392" s="1034" t="str">
        <f t="shared" si="56"/>
        <v/>
      </c>
      <c r="G392" s="1033"/>
      <c r="H392" s="1033"/>
      <c r="I392" s="1034" t="str">
        <f t="shared" si="57"/>
        <v/>
      </c>
      <c r="J392" s="1033"/>
      <c r="K392" s="1033"/>
      <c r="L392" s="1034" t="str">
        <f t="shared" si="58"/>
        <v/>
      </c>
      <c r="M392" s="1035"/>
      <c r="N392" s="1035"/>
      <c r="O392" s="1036" t="str">
        <f t="shared" si="59"/>
        <v/>
      </c>
      <c r="P392" s="1033"/>
      <c r="Q392" s="1033"/>
      <c r="R392" s="1034" t="str">
        <f t="shared" si="60"/>
        <v/>
      </c>
      <c r="S392" s="1035"/>
      <c r="T392" s="1035"/>
      <c r="U392" s="1034" t="str">
        <f t="shared" si="61"/>
        <v/>
      </c>
      <c r="V392" s="1035"/>
      <c r="W392" s="1035"/>
      <c r="X392" s="1037" t="str">
        <f t="shared" si="69"/>
        <v>1</v>
      </c>
      <c r="Y392" s="1035"/>
      <c r="Z392" s="1035">
        <f t="shared" si="62"/>
        <v>1</v>
      </c>
      <c r="AA392" s="1033" t="s">
        <v>2886</v>
      </c>
      <c r="AB392" s="1033" t="s">
        <v>2879</v>
      </c>
      <c r="AC392" s="1021">
        <v>111607</v>
      </c>
      <c r="AD392" s="1021" t="s">
        <v>1488</v>
      </c>
      <c r="AE392" s="1022">
        <f>VLOOKUP(AC392,[5]Hoja1!$A$10:$K$1393,11,0)</f>
        <v>48981749</v>
      </c>
      <c r="AF392" s="1191">
        <v>-46639016</v>
      </c>
      <c r="AG392" s="1022">
        <f t="shared" si="63"/>
        <v>2342733</v>
      </c>
      <c r="AH392" s="1022">
        <f t="shared" si="64"/>
        <v>2343</v>
      </c>
      <c r="AK392" s="448"/>
      <c r="AL392" s="445"/>
    </row>
    <row r="393" spans="1:38" s="467" customFormat="1" ht="12.75" customHeight="1">
      <c r="A393" s="1033">
        <v>5214230</v>
      </c>
      <c r="B393" s="1033" t="s">
        <v>337</v>
      </c>
      <c r="C393" s="1034" t="str">
        <f t="shared" si="55"/>
        <v/>
      </c>
      <c r="D393" s="1033"/>
      <c r="E393" s="1033"/>
      <c r="F393" s="1034" t="str">
        <f t="shared" si="56"/>
        <v/>
      </c>
      <c r="G393" s="1033"/>
      <c r="H393" s="1033"/>
      <c r="I393" s="1034" t="str">
        <f t="shared" si="57"/>
        <v/>
      </c>
      <c r="J393" s="1033"/>
      <c r="K393" s="1033"/>
      <c r="L393" s="1034" t="str">
        <f t="shared" si="58"/>
        <v/>
      </c>
      <c r="M393" s="1035"/>
      <c r="N393" s="1035"/>
      <c r="O393" s="1036" t="str">
        <f t="shared" si="59"/>
        <v/>
      </c>
      <c r="P393" s="1033"/>
      <c r="Q393" s="1033"/>
      <c r="R393" s="1034" t="str">
        <f t="shared" si="60"/>
        <v/>
      </c>
      <c r="S393" s="1035"/>
      <c r="T393" s="1035"/>
      <c r="U393" s="1034" t="str">
        <f t="shared" si="61"/>
        <v/>
      </c>
      <c r="V393" s="1035"/>
      <c r="W393" s="1035"/>
      <c r="X393" s="1037" t="str">
        <f t="shared" si="69"/>
        <v>1</v>
      </c>
      <c r="Y393" s="1035"/>
      <c r="Z393" s="1035">
        <f t="shared" si="62"/>
        <v>1</v>
      </c>
      <c r="AA393" s="1035"/>
      <c r="AB393" s="1035"/>
      <c r="AC393" s="1021">
        <v>111608</v>
      </c>
      <c r="AD393" s="1021" t="s">
        <v>975</v>
      </c>
      <c r="AE393" s="1022">
        <f>VLOOKUP(AC393,[5]Hoja1!$A$10:$K$1393,11,0)</f>
        <v>0</v>
      </c>
      <c r="AF393" s="1022"/>
      <c r="AG393" s="1022">
        <f t="shared" si="63"/>
        <v>0</v>
      </c>
      <c r="AH393" s="1022">
        <f t="shared" si="64"/>
        <v>0</v>
      </c>
      <c r="AK393" s="448"/>
      <c r="AL393" s="445"/>
    </row>
    <row r="394" spans="1:38" s="467" customFormat="1" ht="12.75" customHeight="1">
      <c r="A394" s="1033"/>
      <c r="B394" s="1033"/>
      <c r="C394" s="1034" t="str">
        <f t="shared" si="55"/>
        <v/>
      </c>
      <c r="D394" s="1033"/>
      <c r="E394" s="1033"/>
      <c r="F394" s="1034" t="str">
        <f t="shared" si="56"/>
        <v/>
      </c>
      <c r="G394" s="1033"/>
      <c r="H394" s="1033"/>
      <c r="I394" s="1034" t="str">
        <f t="shared" si="57"/>
        <v/>
      </c>
      <c r="J394" s="1033"/>
      <c r="K394" s="1033"/>
      <c r="L394" s="1034" t="str">
        <f t="shared" si="58"/>
        <v/>
      </c>
      <c r="M394" s="1035"/>
      <c r="N394" s="1035"/>
      <c r="O394" s="1036" t="str">
        <f t="shared" si="59"/>
        <v/>
      </c>
      <c r="P394" s="1033"/>
      <c r="Q394" s="1033"/>
      <c r="R394" s="1034" t="str">
        <f t="shared" si="60"/>
        <v/>
      </c>
      <c r="S394" s="1035"/>
      <c r="T394" s="1035"/>
      <c r="U394" s="1034" t="str">
        <f t="shared" si="61"/>
        <v/>
      </c>
      <c r="V394" s="1035"/>
      <c r="W394" s="1035"/>
      <c r="X394" s="1037" t="str">
        <f t="shared" si="69"/>
        <v>1</v>
      </c>
      <c r="Y394" s="1035"/>
      <c r="Z394" s="1035">
        <f t="shared" si="62"/>
        <v>1</v>
      </c>
      <c r="AA394" s="1035"/>
      <c r="AB394" s="1035"/>
      <c r="AC394" s="1021">
        <v>111609</v>
      </c>
      <c r="AD394" s="1021" t="s">
        <v>1488</v>
      </c>
      <c r="AE394" s="1022">
        <v>0</v>
      </c>
      <c r="AF394" s="1022"/>
      <c r="AG394" s="1022">
        <f t="shared" si="63"/>
        <v>0</v>
      </c>
      <c r="AH394" s="1022">
        <f t="shared" si="64"/>
        <v>0</v>
      </c>
      <c r="AK394" s="448"/>
      <c r="AL394" s="445"/>
    </row>
    <row r="395" spans="1:38" s="467" customFormat="1" ht="12.75" customHeight="1">
      <c r="A395" s="1033">
        <v>5153500</v>
      </c>
      <c r="B395" s="1033" t="s">
        <v>1457</v>
      </c>
      <c r="C395" s="1034" t="str">
        <f t="shared" si="55"/>
        <v/>
      </c>
      <c r="D395" s="1033"/>
      <c r="E395" s="1033"/>
      <c r="F395" s="1034" t="str">
        <f t="shared" si="56"/>
        <v/>
      </c>
      <c r="G395" s="1033"/>
      <c r="H395" s="1033"/>
      <c r="I395" s="1034" t="str">
        <f t="shared" si="57"/>
        <v/>
      </c>
      <c r="J395" s="1033"/>
      <c r="K395" s="1033"/>
      <c r="L395" s="1034" t="str">
        <f t="shared" si="58"/>
        <v/>
      </c>
      <c r="M395" s="1035"/>
      <c r="N395" s="1035"/>
      <c r="O395" s="1036" t="str">
        <f t="shared" si="59"/>
        <v/>
      </c>
      <c r="P395" s="1033"/>
      <c r="Q395" s="1033"/>
      <c r="R395" s="1034" t="str">
        <f t="shared" si="60"/>
        <v/>
      </c>
      <c r="S395" s="1035"/>
      <c r="T395" s="1035"/>
      <c r="U395" s="1034" t="str">
        <f t="shared" si="61"/>
        <v/>
      </c>
      <c r="V395" s="1035"/>
      <c r="W395" s="1035"/>
      <c r="X395" s="1037" t="str">
        <f t="shared" si="69"/>
        <v>221</v>
      </c>
      <c r="Y395" s="1035">
        <v>22</v>
      </c>
      <c r="Z395" s="1035">
        <f t="shared" si="62"/>
        <v>1</v>
      </c>
      <c r="AA395" s="1033" t="s">
        <v>2886</v>
      </c>
      <c r="AB395" s="1033" t="s">
        <v>2882</v>
      </c>
      <c r="AC395" s="1021">
        <v>111610</v>
      </c>
      <c r="AD395" s="1021" t="s">
        <v>583</v>
      </c>
      <c r="AE395" s="1022">
        <f>VLOOKUP(AC395,[5]Hoja1!$A$10:$K$1393,11,0)</f>
        <v>424118308</v>
      </c>
      <c r="AF395" s="1191">
        <v>-42236172</v>
      </c>
      <c r="AG395" s="1022">
        <f t="shared" si="63"/>
        <v>381882136</v>
      </c>
      <c r="AH395" s="1022">
        <f t="shared" si="64"/>
        <v>381882</v>
      </c>
      <c r="AI395" s="445">
        <f>+AF395+AF326+AF419+AF432+AF433</f>
        <v>-79919547</v>
      </c>
      <c r="AK395" s="448"/>
      <c r="AL395" s="445"/>
    </row>
    <row r="396" spans="1:38" s="467" customFormat="1" ht="12.75" customHeight="1">
      <c r="A396" s="1033">
        <v>5122000</v>
      </c>
      <c r="B396" s="1033" t="s">
        <v>2735</v>
      </c>
      <c r="C396" s="1034" t="str">
        <f t="shared" si="55"/>
        <v/>
      </c>
      <c r="D396" s="1033"/>
      <c r="E396" s="1033"/>
      <c r="F396" s="1034" t="str">
        <f t="shared" si="56"/>
        <v/>
      </c>
      <c r="G396" s="1033"/>
      <c r="H396" s="1033"/>
      <c r="I396" s="1034" t="str">
        <f t="shared" si="57"/>
        <v/>
      </c>
      <c r="J396" s="1033"/>
      <c r="K396" s="1033"/>
      <c r="L396" s="1034" t="str">
        <f t="shared" si="58"/>
        <v/>
      </c>
      <c r="M396" s="1035"/>
      <c r="N396" s="1035"/>
      <c r="O396" s="1036" t="str">
        <f t="shared" si="59"/>
        <v/>
      </c>
      <c r="P396" s="1033"/>
      <c r="Q396" s="1033"/>
      <c r="R396" s="1034" t="str">
        <f t="shared" si="60"/>
        <v/>
      </c>
      <c r="S396" s="1035"/>
      <c r="T396" s="1035"/>
      <c r="U396" s="1034" t="str">
        <f t="shared" si="61"/>
        <v/>
      </c>
      <c r="V396" s="1035"/>
      <c r="W396" s="1035"/>
      <c r="X396" s="1037" t="str">
        <f t="shared" si="69"/>
        <v>221</v>
      </c>
      <c r="Y396" s="1035">
        <v>22</v>
      </c>
      <c r="Z396" s="1035">
        <f t="shared" si="62"/>
        <v>1</v>
      </c>
      <c r="AA396" s="1035"/>
      <c r="AB396" s="1035"/>
      <c r="AC396" s="1021">
        <v>111611</v>
      </c>
      <c r="AD396" s="1021" t="s">
        <v>584</v>
      </c>
      <c r="AE396" s="1022">
        <f>VLOOKUP(AC396,[5]Hoja1!$A$10:$K$1393,11,0)</f>
        <v>134660562</v>
      </c>
      <c r="AF396" s="1509">
        <f>-AF974</f>
        <v>-134660562</v>
      </c>
      <c r="AG396" s="1022">
        <f t="shared" si="63"/>
        <v>0</v>
      </c>
      <c r="AH396" s="1022">
        <f t="shared" si="64"/>
        <v>0</v>
      </c>
      <c r="AK396" s="448"/>
      <c r="AL396" s="445"/>
    </row>
    <row r="397" spans="1:38" s="467" customFormat="1" ht="12.75" customHeight="1">
      <c r="A397" s="1033">
        <v>5153500</v>
      </c>
      <c r="B397" s="1033" t="s">
        <v>1457</v>
      </c>
      <c r="C397" s="1034" t="str">
        <f t="shared" si="55"/>
        <v/>
      </c>
      <c r="D397" s="1033"/>
      <c r="E397" s="1033"/>
      <c r="F397" s="1034" t="str">
        <f t="shared" si="56"/>
        <v/>
      </c>
      <c r="G397" s="1033"/>
      <c r="H397" s="1033"/>
      <c r="I397" s="1034" t="str">
        <f t="shared" si="57"/>
        <v/>
      </c>
      <c r="J397" s="1033"/>
      <c r="K397" s="1033"/>
      <c r="L397" s="1034" t="str">
        <f t="shared" si="58"/>
        <v/>
      </c>
      <c r="M397" s="1035"/>
      <c r="N397" s="1035"/>
      <c r="O397" s="1036" t="str">
        <f t="shared" si="59"/>
        <v/>
      </c>
      <c r="P397" s="1033"/>
      <c r="Q397" s="1033"/>
      <c r="R397" s="1034" t="str">
        <f t="shared" si="60"/>
        <v/>
      </c>
      <c r="S397" s="1035"/>
      <c r="T397" s="1035"/>
      <c r="U397" s="1034" t="str">
        <f t="shared" si="61"/>
        <v/>
      </c>
      <c r="V397" s="1035"/>
      <c r="W397" s="1035"/>
      <c r="X397" s="1037" t="str">
        <f t="shared" si="69"/>
        <v>221</v>
      </c>
      <c r="Y397" s="1035">
        <v>22</v>
      </c>
      <c r="Z397" s="1035">
        <f t="shared" si="62"/>
        <v>1</v>
      </c>
      <c r="AA397" s="1033" t="s">
        <v>2886</v>
      </c>
      <c r="AB397" s="1033" t="s">
        <v>2882</v>
      </c>
      <c r="AC397" s="1021">
        <v>111612</v>
      </c>
      <c r="AD397" s="1021" t="s">
        <v>585</v>
      </c>
      <c r="AE397" s="1022">
        <f>VLOOKUP(AC397,[5]Hoja1!$A$10:$K$1393,11,0)</f>
        <v>0</v>
      </c>
      <c r="AF397" s="1022">
        <v>0</v>
      </c>
      <c r="AG397" s="1022">
        <f t="shared" si="63"/>
        <v>0</v>
      </c>
      <c r="AH397" s="1022">
        <f t="shared" si="64"/>
        <v>0</v>
      </c>
      <c r="AJ397" s="467" t="s">
        <v>1805</v>
      </c>
      <c r="AK397" s="448"/>
      <c r="AL397" s="445"/>
    </row>
    <row r="398" spans="1:38" s="467" customFormat="1" ht="12.75" customHeight="1">
      <c r="A398" s="1033"/>
      <c r="B398" s="1033"/>
      <c r="C398" s="1034" t="str">
        <f t="shared" si="55"/>
        <v/>
      </c>
      <c r="D398" s="1033"/>
      <c r="E398" s="1033"/>
      <c r="F398" s="1034" t="str">
        <f t="shared" si="56"/>
        <v/>
      </c>
      <c r="G398" s="1033"/>
      <c r="H398" s="1033"/>
      <c r="I398" s="1034" t="str">
        <f t="shared" si="57"/>
        <v/>
      </c>
      <c r="J398" s="1033"/>
      <c r="K398" s="1033"/>
      <c r="L398" s="1034" t="str">
        <f t="shared" si="58"/>
        <v/>
      </c>
      <c r="M398" s="1035"/>
      <c r="N398" s="1035"/>
      <c r="O398" s="1036" t="str">
        <f t="shared" si="59"/>
        <v/>
      </c>
      <c r="P398" s="1033"/>
      <c r="Q398" s="1033"/>
      <c r="R398" s="1034" t="str">
        <f t="shared" si="60"/>
        <v/>
      </c>
      <c r="S398" s="1035"/>
      <c r="T398" s="1035"/>
      <c r="U398" s="1034" t="str">
        <f t="shared" si="61"/>
        <v/>
      </c>
      <c r="V398" s="1035"/>
      <c r="W398" s="1035"/>
      <c r="X398" s="1037" t="str">
        <f t="shared" si="69"/>
        <v>221</v>
      </c>
      <c r="Y398" s="1035">
        <v>22</v>
      </c>
      <c r="Z398" s="1035">
        <f t="shared" si="62"/>
        <v>1</v>
      </c>
      <c r="AA398" s="1035"/>
      <c r="AB398" s="1035"/>
      <c r="AC398" s="1021">
        <v>111613</v>
      </c>
      <c r="AD398" s="1021" t="s">
        <v>2053</v>
      </c>
      <c r="AE398" s="1022">
        <f>VLOOKUP(AC398,[5]Hoja1!$A$10:$K$1393,11,0)</f>
        <v>0</v>
      </c>
      <c r="AF398" s="1022"/>
      <c r="AG398" s="1022">
        <f t="shared" si="63"/>
        <v>0</v>
      </c>
      <c r="AH398" s="1022">
        <f t="shared" si="64"/>
        <v>0</v>
      </c>
      <c r="AK398" s="448"/>
      <c r="AL398" s="445"/>
    </row>
    <row r="399" spans="1:38" s="467" customFormat="1" ht="12.75" customHeight="1">
      <c r="A399" s="1033">
        <v>5214230</v>
      </c>
      <c r="B399" s="1033" t="s">
        <v>337</v>
      </c>
      <c r="C399" s="1034" t="str">
        <f t="shared" si="55"/>
        <v/>
      </c>
      <c r="D399" s="1033"/>
      <c r="E399" s="1033"/>
      <c r="F399" s="1034" t="str">
        <f t="shared" si="56"/>
        <v/>
      </c>
      <c r="G399" s="1033"/>
      <c r="H399" s="1033"/>
      <c r="I399" s="1034" t="str">
        <f t="shared" si="57"/>
        <v/>
      </c>
      <c r="J399" s="1033"/>
      <c r="K399" s="1033"/>
      <c r="L399" s="1034" t="str">
        <f t="shared" si="58"/>
        <v/>
      </c>
      <c r="M399" s="1035"/>
      <c r="N399" s="1035"/>
      <c r="O399" s="1036" t="str">
        <f t="shared" si="59"/>
        <v/>
      </c>
      <c r="P399" s="1033"/>
      <c r="Q399" s="1033"/>
      <c r="R399" s="1034" t="str">
        <f t="shared" si="60"/>
        <v/>
      </c>
      <c r="S399" s="1035"/>
      <c r="T399" s="1035"/>
      <c r="U399" s="1034" t="str">
        <f t="shared" si="61"/>
        <v/>
      </c>
      <c r="V399" s="1035"/>
      <c r="W399" s="1035"/>
      <c r="X399" s="1037" t="str">
        <f t="shared" si="69"/>
        <v>1</v>
      </c>
      <c r="Y399" s="1035"/>
      <c r="Z399" s="1035">
        <f t="shared" ref="Z399:Z466" si="70">VALUE(LEFT(AC399,1))</f>
        <v>1</v>
      </c>
      <c r="AA399" s="1035"/>
      <c r="AB399" s="1035"/>
      <c r="AC399" s="1021">
        <v>111614</v>
      </c>
      <c r="AD399" s="1021" t="s">
        <v>586</v>
      </c>
      <c r="AE399" s="1022">
        <f>VLOOKUP(AC399,[5]Hoja1!$A$10:$K$1393,11,0)</f>
        <v>0</v>
      </c>
      <c r="AF399" s="1022"/>
      <c r="AG399" s="1022">
        <f t="shared" ref="AG399:AG466" si="71">AE399+AF399</f>
        <v>0</v>
      </c>
      <c r="AH399" s="1022">
        <f t="shared" ref="AH399:AH466" si="72">ROUND((AE399+AF399)/$AH$2,0)</f>
        <v>0</v>
      </c>
      <c r="AK399" s="448"/>
      <c r="AL399" s="445"/>
    </row>
    <row r="400" spans="1:38" s="467" customFormat="1" ht="12.75" customHeight="1">
      <c r="A400" s="1033">
        <v>5153500</v>
      </c>
      <c r="B400" s="1033" t="s">
        <v>1457</v>
      </c>
      <c r="C400" s="1034" t="str">
        <f t="shared" si="55"/>
        <v/>
      </c>
      <c r="D400" s="1033"/>
      <c r="E400" s="1033"/>
      <c r="F400" s="1034" t="str">
        <f t="shared" si="56"/>
        <v/>
      </c>
      <c r="G400" s="1033"/>
      <c r="H400" s="1033"/>
      <c r="I400" s="1034" t="str">
        <f t="shared" si="57"/>
        <v/>
      </c>
      <c r="J400" s="1033"/>
      <c r="K400" s="1033"/>
      <c r="L400" s="1034" t="str">
        <f t="shared" si="58"/>
        <v/>
      </c>
      <c r="M400" s="1035"/>
      <c r="N400" s="1035"/>
      <c r="O400" s="1036" t="str">
        <f t="shared" si="59"/>
        <v/>
      </c>
      <c r="P400" s="1033"/>
      <c r="Q400" s="1033"/>
      <c r="R400" s="1034" t="str">
        <f t="shared" si="60"/>
        <v/>
      </c>
      <c r="S400" s="1035"/>
      <c r="T400" s="1035"/>
      <c r="U400" s="1034" t="str">
        <f t="shared" si="61"/>
        <v/>
      </c>
      <c r="V400" s="1035"/>
      <c r="W400" s="1035"/>
      <c r="X400" s="1037" t="str">
        <f t="shared" si="69"/>
        <v>221</v>
      </c>
      <c r="Y400" s="1035">
        <v>22</v>
      </c>
      <c r="Z400" s="1035">
        <f t="shared" si="70"/>
        <v>1</v>
      </c>
      <c r="AA400" s="1033" t="s">
        <v>2886</v>
      </c>
      <c r="AB400" s="1033" t="s">
        <v>2879</v>
      </c>
      <c r="AC400" s="1021">
        <v>111615</v>
      </c>
      <c r="AD400" s="1021" t="s">
        <v>2054</v>
      </c>
      <c r="AE400" s="1022">
        <f>VLOOKUP(AC400,[5]Hoja1!$A$10:$K$1393,11,0)</f>
        <v>814640</v>
      </c>
      <c r="AF400" s="1191">
        <v>-1000</v>
      </c>
      <c r="AG400" s="1022">
        <f t="shared" si="71"/>
        <v>813640</v>
      </c>
      <c r="AH400" s="1022">
        <f>ROUND((AE400+AF400)/$AH$2,0)-15+3</f>
        <v>802</v>
      </c>
      <c r="AJ400" s="467" t="s">
        <v>1805</v>
      </c>
      <c r="AK400" s="448"/>
      <c r="AL400" s="445"/>
    </row>
    <row r="401" spans="1:38" s="467" customFormat="1" ht="12.75" customHeight="1">
      <c r="A401" s="1033"/>
      <c r="B401" s="1033"/>
      <c r="C401" s="1034" t="str">
        <f t="shared" si="55"/>
        <v/>
      </c>
      <c r="D401" s="1033"/>
      <c r="E401" s="1033"/>
      <c r="F401" s="1034" t="str">
        <f t="shared" si="56"/>
        <v/>
      </c>
      <c r="G401" s="1033"/>
      <c r="H401" s="1033"/>
      <c r="I401" s="1034" t="str">
        <f t="shared" si="57"/>
        <v/>
      </c>
      <c r="J401" s="1033"/>
      <c r="K401" s="1033"/>
      <c r="L401" s="1034" t="str">
        <f t="shared" si="58"/>
        <v/>
      </c>
      <c r="M401" s="1035"/>
      <c r="N401" s="1035"/>
      <c r="O401" s="1036" t="str">
        <f t="shared" si="59"/>
        <v/>
      </c>
      <c r="P401" s="1033"/>
      <c r="Q401" s="1033"/>
      <c r="R401" s="1034" t="str">
        <f t="shared" si="60"/>
        <v/>
      </c>
      <c r="S401" s="1035"/>
      <c r="T401" s="1035"/>
      <c r="U401" s="1034" t="str">
        <f t="shared" si="61"/>
        <v/>
      </c>
      <c r="V401" s="1035"/>
      <c r="W401" s="1035"/>
      <c r="X401" s="1037" t="str">
        <f t="shared" si="69"/>
        <v>1</v>
      </c>
      <c r="Y401" s="1035"/>
      <c r="Z401" s="1035">
        <f t="shared" si="70"/>
        <v>1</v>
      </c>
      <c r="AA401" s="1035"/>
      <c r="AB401" s="1035"/>
      <c r="AC401" s="1021">
        <v>111616</v>
      </c>
      <c r="AD401" s="1021" t="s">
        <v>588</v>
      </c>
      <c r="AE401" s="1022">
        <v>0</v>
      </c>
      <c r="AF401" s="1022"/>
      <c r="AG401" s="1022">
        <f t="shared" si="71"/>
        <v>0</v>
      </c>
      <c r="AH401" s="1022">
        <f t="shared" si="72"/>
        <v>0</v>
      </c>
      <c r="AK401" s="448"/>
      <c r="AL401" s="445"/>
    </row>
    <row r="402" spans="1:38" s="467" customFormat="1" ht="12.75" customHeight="1">
      <c r="A402" s="1033"/>
      <c r="B402" s="1033"/>
      <c r="C402" s="1034" t="str">
        <f t="shared" si="55"/>
        <v/>
      </c>
      <c r="D402" s="1033"/>
      <c r="E402" s="1033"/>
      <c r="F402" s="1034" t="str">
        <f t="shared" si="56"/>
        <v/>
      </c>
      <c r="G402" s="1033"/>
      <c r="H402" s="1033"/>
      <c r="I402" s="1034" t="str">
        <f t="shared" si="57"/>
        <v/>
      </c>
      <c r="J402" s="1033"/>
      <c r="K402" s="1033"/>
      <c r="L402" s="1034" t="str">
        <f t="shared" si="58"/>
        <v/>
      </c>
      <c r="M402" s="1035"/>
      <c r="N402" s="1035"/>
      <c r="O402" s="1036" t="str">
        <f t="shared" si="59"/>
        <v/>
      </c>
      <c r="P402" s="1033"/>
      <c r="Q402" s="1033"/>
      <c r="R402" s="1034" t="str">
        <f t="shared" si="60"/>
        <v/>
      </c>
      <c r="S402" s="1035"/>
      <c r="T402" s="1035"/>
      <c r="U402" s="1034" t="str">
        <f t="shared" si="61"/>
        <v/>
      </c>
      <c r="V402" s="1035"/>
      <c r="W402" s="1035"/>
      <c r="X402" s="1037" t="str">
        <f t="shared" si="69"/>
        <v>221</v>
      </c>
      <c r="Y402" s="1035">
        <v>22</v>
      </c>
      <c r="Z402" s="1035">
        <f t="shared" si="70"/>
        <v>1</v>
      </c>
      <c r="AA402" s="1035"/>
      <c r="AB402" s="1035"/>
      <c r="AC402" s="1021">
        <v>111617</v>
      </c>
      <c r="AD402" s="1021" t="s">
        <v>589</v>
      </c>
      <c r="AE402" s="1022">
        <f>VLOOKUP(AC402,[5]Hoja1!$A$10:$K$1393,11,0)</f>
        <v>0</v>
      </c>
      <c r="AF402" s="1022"/>
      <c r="AG402" s="1022">
        <f t="shared" si="71"/>
        <v>0</v>
      </c>
      <c r="AH402" s="1022">
        <f t="shared" si="72"/>
        <v>0</v>
      </c>
      <c r="AK402" s="448"/>
      <c r="AL402" s="445"/>
    </row>
    <row r="403" spans="1:38" s="467" customFormat="1" ht="12.75" customHeight="1">
      <c r="A403" s="1033"/>
      <c r="B403" s="1033"/>
      <c r="C403" s="1034" t="str">
        <f t="shared" si="55"/>
        <v/>
      </c>
      <c r="D403" s="1033"/>
      <c r="E403" s="1033"/>
      <c r="F403" s="1034" t="str">
        <f t="shared" si="56"/>
        <v/>
      </c>
      <c r="G403" s="1033"/>
      <c r="H403" s="1033"/>
      <c r="I403" s="1034" t="str">
        <f t="shared" si="57"/>
        <v/>
      </c>
      <c r="J403" s="1033"/>
      <c r="K403" s="1033"/>
      <c r="L403" s="1034" t="str">
        <f t="shared" si="58"/>
        <v/>
      </c>
      <c r="M403" s="1035"/>
      <c r="N403" s="1035"/>
      <c r="O403" s="1036" t="str">
        <f t="shared" si="59"/>
        <v/>
      </c>
      <c r="P403" s="1033"/>
      <c r="Q403" s="1033"/>
      <c r="R403" s="1034" t="str">
        <f t="shared" si="60"/>
        <v/>
      </c>
      <c r="S403" s="1035"/>
      <c r="T403" s="1035"/>
      <c r="U403" s="1034" t="str">
        <f t="shared" si="61"/>
        <v/>
      </c>
      <c r="V403" s="1035"/>
      <c r="W403" s="1035"/>
      <c r="X403" s="1037" t="str">
        <f t="shared" si="69"/>
        <v>1</v>
      </c>
      <c r="Y403" s="1035"/>
      <c r="Z403" s="1035">
        <f t="shared" si="70"/>
        <v>1</v>
      </c>
      <c r="AA403" s="1035"/>
      <c r="AB403" s="1035"/>
      <c r="AC403" s="1021">
        <v>111618</v>
      </c>
      <c r="AD403" s="1021" t="s">
        <v>591</v>
      </c>
      <c r="AE403" s="1022">
        <v>0</v>
      </c>
      <c r="AF403" s="1022"/>
      <c r="AG403" s="1022">
        <f t="shared" si="71"/>
        <v>0</v>
      </c>
      <c r="AH403" s="1022">
        <f t="shared" si="72"/>
        <v>0</v>
      </c>
      <c r="AK403" s="448"/>
      <c r="AL403" s="445"/>
    </row>
    <row r="404" spans="1:38" s="467" customFormat="1" ht="12.75" customHeight="1">
      <c r="A404" s="1033">
        <v>5153400</v>
      </c>
      <c r="B404" s="1033" t="s">
        <v>870</v>
      </c>
      <c r="C404" s="1034" t="str">
        <f t="shared" si="55"/>
        <v/>
      </c>
      <c r="D404" s="1033"/>
      <c r="E404" s="1033"/>
      <c r="F404" s="1034" t="str">
        <f t="shared" si="56"/>
        <v/>
      </c>
      <c r="G404" s="1033"/>
      <c r="H404" s="1033"/>
      <c r="I404" s="1034" t="str">
        <f t="shared" si="57"/>
        <v/>
      </c>
      <c r="J404" s="1033"/>
      <c r="K404" s="1033"/>
      <c r="L404" s="1034" t="str">
        <f t="shared" si="58"/>
        <v/>
      </c>
      <c r="M404" s="1035"/>
      <c r="N404" s="1035"/>
      <c r="O404" s="1036" t="str">
        <f t="shared" si="59"/>
        <v/>
      </c>
      <c r="P404" s="1033"/>
      <c r="Q404" s="1033"/>
      <c r="R404" s="1034" t="str">
        <f t="shared" si="60"/>
        <v/>
      </c>
      <c r="S404" s="1035"/>
      <c r="T404" s="1035"/>
      <c r="U404" s="1034" t="str">
        <f t="shared" si="61"/>
        <v/>
      </c>
      <c r="V404" s="1035"/>
      <c r="W404" s="1035"/>
      <c r="X404" s="1037" t="str">
        <f t="shared" si="69"/>
        <v>221</v>
      </c>
      <c r="Y404" s="1035">
        <v>22</v>
      </c>
      <c r="Z404" s="1035">
        <f t="shared" si="70"/>
        <v>1</v>
      </c>
      <c r="AA404" s="1033"/>
      <c r="AB404" s="1033"/>
      <c r="AC404" s="1021">
        <v>111619</v>
      </c>
      <c r="AD404" s="1021" t="s">
        <v>1271</v>
      </c>
      <c r="AE404" s="1022">
        <f>VLOOKUP(AC404,[5]Hoja1!$A$10:$K$1393,11,0)</f>
        <v>14721813</v>
      </c>
      <c r="AF404" s="1022"/>
      <c r="AG404" s="1022">
        <f t="shared" si="71"/>
        <v>14721813</v>
      </c>
      <c r="AH404" s="1022">
        <f t="shared" si="72"/>
        <v>14722</v>
      </c>
      <c r="AK404" s="448"/>
      <c r="AL404" s="445"/>
    </row>
    <row r="405" spans="1:38" s="467" customFormat="1" ht="12.75" customHeight="1">
      <c r="A405" s="1033"/>
      <c r="B405" s="1033"/>
      <c r="C405" s="1034" t="str">
        <f t="shared" si="55"/>
        <v/>
      </c>
      <c r="D405" s="1033"/>
      <c r="E405" s="1033"/>
      <c r="F405" s="1034" t="str">
        <f t="shared" si="56"/>
        <v/>
      </c>
      <c r="G405" s="1033"/>
      <c r="H405" s="1033"/>
      <c r="I405" s="1034" t="str">
        <f t="shared" si="57"/>
        <v/>
      </c>
      <c r="J405" s="1033"/>
      <c r="K405" s="1033"/>
      <c r="L405" s="1034" t="str">
        <f t="shared" si="58"/>
        <v/>
      </c>
      <c r="M405" s="1035"/>
      <c r="N405" s="1035"/>
      <c r="O405" s="1036" t="str">
        <f t="shared" si="59"/>
        <v/>
      </c>
      <c r="P405" s="1033"/>
      <c r="Q405" s="1033"/>
      <c r="R405" s="1034" t="str">
        <f t="shared" si="60"/>
        <v/>
      </c>
      <c r="S405" s="1035"/>
      <c r="T405" s="1035"/>
      <c r="U405" s="1034" t="str">
        <f t="shared" si="61"/>
        <v/>
      </c>
      <c r="V405" s="1035"/>
      <c r="W405" s="1035"/>
      <c r="X405" s="1037" t="str">
        <f t="shared" si="69"/>
        <v>1</v>
      </c>
      <c r="Y405" s="1035"/>
      <c r="Z405" s="1035">
        <f t="shared" si="70"/>
        <v>1</v>
      </c>
      <c r="AA405" s="1035"/>
      <c r="AB405" s="1035"/>
      <c r="AC405" s="1021">
        <v>111620</v>
      </c>
      <c r="AD405" s="1021" t="s">
        <v>592</v>
      </c>
      <c r="AE405" s="1022">
        <v>0</v>
      </c>
      <c r="AF405" s="1022"/>
      <c r="AG405" s="1022">
        <f t="shared" si="71"/>
        <v>0</v>
      </c>
      <c r="AH405" s="1022">
        <f t="shared" si="72"/>
        <v>0</v>
      </c>
      <c r="AK405" s="448"/>
      <c r="AL405" s="445"/>
    </row>
    <row r="406" spans="1:38" s="467" customFormat="1" ht="12.75" customHeight="1">
      <c r="A406" s="1033"/>
      <c r="B406" s="1033"/>
      <c r="C406" s="1034" t="str">
        <f t="shared" si="55"/>
        <v/>
      </c>
      <c r="D406" s="1033"/>
      <c r="E406" s="1033"/>
      <c r="F406" s="1034" t="str">
        <f t="shared" si="56"/>
        <v/>
      </c>
      <c r="G406" s="1033"/>
      <c r="H406" s="1033"/>
      <c r="I406" s="1034" t="str">
        <f t="shared" si="57"/>
        <v/>
      </c>
      <c r="J406" s="1033"/>
      <c r="K406" s="1033"/>
      <c r="L406" s="1034" t="str">
        <f t="shared" si="58"/>
        <v/>
      </c>
      <c r="M406" s="1035"/>
      <c r="N406" s="1035"/>
      <c r="O406" s="1036" t="str">
        <f t="shared" si="59"/>
        <v/>
      </c>
      <c r="P406" s="1033"/>
      <c r="Q406" s="1033"/>
      <c r="R406" s="1034" t="str">
        <f t="shared" si="60"/>
        <v/>
      </c>
      <c r="S406" s="1035"/>
      <c r="T406" s="1035"/>
      <c r="U406" s="1034" t="str">
        <f t="shared" si="61"/>
        <v/>
      </c>
      <c r="V406" s="1035"/>
      <c r="W406" s="1035"/>
      <c r="X406" s="1037" t="str">
        <f t="shared" si="69"/>
        <v>221</v>
      </c>
      <c r="Y406" s="1035">
        <v>22</v>
      </c>
      <c r="Z406" s="1035">
        <f t="shared" si="70"/>
        <v>1</v>
      </c>
      <c r="AA406" s="1035"/>
      <c r="AB406" s="1035"/>
      <c r="AC406" s="1021">
        <v>111621</v>
      </c>
      <c r="AD406" s="1021" t="s">
        <v>2055</v>
      </c>
      <c r="AE406" s="1022">
        <f>VLOOKUP(AC406,[5]Hoja1!$A$10:$K$1393,11,0)</f>
        <v>0</v>
      </c>
      <c r="AF406" s="1022"/>
      <c r="AG406" s="1022">
        <f t="shared" si="71"/>
        <v>0</v>
      </c>
      <c r="AH406" s="1022">
        <f t="shared" si="72"/>
        <v>0</v>
      </c>
      <c r="AK406" s="448"/>
      <c r="AL406" s="445"/>
    </row>
    <row r="407" spans="1:38" s="467" customFormat="1" ht="12.75" customHeight="1">
      <c r="A407" s="1033">
        <v>5153500</v>
      </c>
      <c r="B407" s="1033" t="s">
        <v>1457</v>
      </c>
      <c r="C407" s="1034"/>
      <c r="D407" s="1033"/>
      <c r="E407" s="1033"/>
      <c r="F407" s="1034"/>
      <c r="G407" s="1033"/>
      <c r="H407" s="1033"/>
      <c r="I407" s="1034"/>
      <c r="J407" s="1033"/>
      <c r="K407" s="1033"/>
      <c r="L407" s="1034"/>
      <c r="M407" s="1035"/>
      <c r="N407" s="1035"/>
      <c r="O407" s="1036"/>
      <c r="P407" s="1033"/>
      <c r="Q407" s="1033"/>
      <c r="R407" s="1034"/>
      <c r="S407" s="1035"/>
      <c r="T407" s="1035"/>
      <c r="U407" s="1034"/>
      <c r="V407" s="1035"/>
      <c r="W407" s="1035"/>
      <c r="X407" s="1037" t="str">
        <f t="shared" si="69"/>
        <v>221</v>
      </c>
      <c r="Y407" s="1035">
        <v>22</v>
      </c>
      <c r="Z407" s="1035">
        <f t="shared" si="70"/>
        <v>1</v>
      </c>
      <c r="AA407" s="1033" t="s">
        <v>2886</v>
      </c>
      <c r="AB407" s="1033" t="s">
        <v>2882</v>
      </c>
      <c r="AC407" s="1021">
        <v>111622</v>
      </c>
      <c r="AD407" s="1021" t="s">
        <v>733</v>
      </c>
      <c r="AE407" s="1022">
        <f>VLOOKUP(AC407,[5]Hoja1!$A$10:$K$1393,11,0)</f>
        <v>89053051</v>
      </c>
      <c r="AF407" s="1022"/>
      <c r="AG407" s="1022">
        <f t="shared" si="71"/>
        <v>89053051</v>
      </c>
      <c r="AH407" s="1022">
        <f t="shared" si="72"/>
        <v>89053</v>
      </c>
      <c r="AK407" s="448"/>
      <c r="AL407" s="445"/>
    </row>
    <row r="408" spans="1:38" s="467" customFormat="1" ht="12.75" customHeight="1">
      <c r="A408" s="1033"/>
      <c r="B408" s="1033"/>
      <c r="C408" s="1034" t="str">
        <f t="shared" si="55"/>
        <v/>
      </c>
      <c r="D408" s="1033"/>
      <c r="E408" s="1033"/>
      <c r="F408" s="1034" t="str">
        <f t="shared" si="56"/>
        <v/>
      </c>
      <c r="G408" s="1033"/>
      <c r="H408" s="1033"/>
      <c r="I408" s="1034" t="str">
        <f t="shared" si="57"/>
        <v/>
      </c>
      <c r="J408" s="1033"/>
      <c r="K408" s="1033"/>
      <c r="L408" s="1034" t="str">
        <f t="shared" si="58"/>
        <v/>
      </c>
      <c r="M408" s="1035"/>
      <c r="N408" s="1035"/>
      <c r="O408" s="1036" t="str">
        <f t="shared" si="59"/>
        <v/>
      </c>
      <c r="P408" s="1033"/>
      <c r="Q408" s="1033"/>
      <c r="R408" s="1034" t="str">
        <f t="shared" si="60"/>
        <v/>
      </c>
      <c r="S408" s="1035"/>
      <c r="T408" s="1035"/>
      <c r="U408" s="1034" t="str">
        <f t="shared" si="61"/>
        <v/>
      </c>
      <c r="V408" s="1035"/>
      <c r="W408" s="1035"/>
      <c r="X408" s="1037" t="str">
        <f t="shared" si="69"/>
        <v>221</v>
      </c>
      <c r="Y408" s="1035">
        <v>22</v>
      </c>
      <c r="Z408" s="1035">
        <f t="shared" si="70"/>
        <v>1</v>
      </c>
      <c r="AA408" s="1035"/>
      <c r="AB408" s="1035"/>
      <c r="AC408" s="1021">
        <v>111623</v>
      </c>
      <c r="AD408" s="1021" t="s">
        <v>2056</v>
      </c>
      <c r="AE408" s="1022">
        <f>VLOOKUP(AC408,[5]Hoja1!$A$10:$K$1393,11,0)</f>
        <v>0</v>
      </c>
      <c r="AF408" s="1022"/>
      <c r="AG408" s="1022">
        <f t="shared" si="71"/>
        <v>0</v>
      </c>
      <c r="AH408" s="1022">
        <f t="shared" si="72"/>
        <v>0</v>
      </c>
      <c r="AK408" s="448"/>
      <c r="AL408" s="445"/>
    </row>
    <row r="409" spans="1:38" s="467" customFormat="1" ht="12.75" customHeight="1">
      <c r="A409" s="1033"/>
      <c r="B409" s="1033"/>
      <c r="C409" s="1034" t="str">
        <f t="shared" si="55"/>
        <v/>
      </c>
      <c r="D409" s="1033"/>
      <c r="E409" s="1033"/>
      <c r="F409" s="1034" t="str">
        <f t="shared" si="56"/>
        <v/>
      </c>
      <c r="G409" s="1033"/>
      <c r="H409" s="1033"/>
      <c r="I409" s="1034" t="str">
        <f t="shared" si="57"/>
        <v/>
      </c>
      <c r="J409" s="1033"/>
      <c r="K409" s="1033"/>
      <c r="L409" s="1034" t="str">
        <f t="shared" si="58"/>
        <v/>
      </c>
      <c r="M409" s="1035"/>
      <c r="N409" s="1035"/>
      <c r="O409" s="1036" t="str">
        <f t="shared" si="59"/>
        <v/>
      </c>
      <c r="P409" s="1033"/>
      <c r="Q409" s="1033"/>
      <c r="R409" s="1034" t="str">
        <f t="shared" si="60"/>
        <v/>
      </c>
      <c r="S409" s="1035"/>
      <c r="T409" s="1035"/>
      <c r="U409" s="1034" t="str">
        <f t="shared" si="61"/>
        <v/>
      </c>
      <c r="V409" s="1035"/>
      <c r="W409" s="1035"/>
      <c r="X409" s="1037" t="str">
        <f t="shared" si="69"/>
        <v>221</v>
      </c>
      <c r="Y409" s="1035">
        <v>22</v>
      </c>
      <c r="Z409" s="1035">
        <f t="shared" si="70"/>
        <v>1</v>
      </c>
      <c r="AA409" s="1035"/>
      <c r="AB409" s="1035"/>
      <c r="AC409" s="1021">
        <v>111624</v>
      </c>
      <c r="AD409" s="1021" t="s">
        <v>2057</v>
      </c>
      <c r="AE409" s="1022">
        <v>0</v>
      </c>
      <c r="AF409" s="1022"/>
      <c r="AG409" s="1022">
        <f t="shared" si="71"/>
        <v>0</v>
      </c>
      <c r="AH409" s="1022">
        <f t="shared" si="72"/>
        <v>0</v>
      </c>
      <c r="AK409" s="448"/>
      <c r="AL409" s="445"/>
    </row>
    <row r="410" spans="1:38" s="467" customFormat="1" ht="12.75" customHeight="1">
      <c r="A410" s="1033"/>
      <c r="B410" s="1033"/>
      <c r="C410" s="1034" t="str">
        <f t="shared" si="55"/>
        <v/>
      </c>
      <c r="D410" s="1033"/>
      <c r="E410" s="1033"/>
      <c r="F410" s="1034" t="str">
        <f t="shared" si="56"/>
        <v/>
      </c>
      <c r="G410" s="1033"/>
      <c r="H410" s="1033"/>
      <c r="I410" s="1034" t="str">
        <f t="shared" si="57"/>
        <v/>
      </c>
      <c r="J410" s="1033"/>
      <c r="K410" s="1033"/>
      <c r="L410" s="1034" t="str">
        <f t="shared" si="58"/>
        <v/>
      </c>
      <c r="M410" s="1035"/>
      <c r="N410" s="1035"/>
      <c r="O410" s="1036" t="str">
        <f t="shared" si="59"/>
        <v/>
      </c>
      <c r="P410" s="1033"/>
      <c r="Q410" s="1033"/>
      <c r="R410" s="1034" t="str">
        <f t="shared" si="60"/>
        <v/>
      </c>
      <c r="S410" s="1035"/>
      <c r="T410" s="1035"/>
      <c r="U410" s="1034" t="str">
        <f t="shared" si="61"/>
        <v/>
      </c>
      <c r="V410" s="1035"/>
      <c r="W410" s="1035"/>
      <c r="X410" s="1037" t="str">
        <f t="shared" si="69"/>
        <v>221</v>
      </c>
      <c r="Y410" s="1035">
        <v>22</v>
      </c>
      <c r="Z410" s="1035">
        <f t="shared" si="70"/>
        <v>1</v>
      </c>
      <c r="AA410" s="1035"/>
      <c r="AB410" s="1035"/>
      <c r="AC410" s="1021">
        <v>111625</v>
      </c>
      <c r="AD410" s="1021" t="s">
        <v>2058</v>
      </c>
      <c r="AE410" s="1022">
        <f>VLOOKUP(AC410,[5]Hoja1!$A$10:$K$1393,11,0)</f>
        <v>0</v>
      </c>
      <c r="AF410" s="1022"/>
      <c r="AG410" s="1022">
        <f t="shared" si="71"/>
        <v>0</v>
      </c>
      <c r="AH410" s="1022">
        <f t="shared" si="72"/>
        <v>0</v>
      </c>
      <c r="AK410" s="448"/>
      <c r="AL410" s="445"/>
    </row>
    <row r="411" spans="1:38" s="467" customFormat="1" ht="12.75" customHeight="1">
      <c r="A411" s="1033">
        <v>5153500</v>
      </c>
      <c r="B411" s="1033" t="s">
        <v>1457</v>
      </c>
      <c r="C411" s="1034"/>
      <c r="D411" s="1033"/>
      <c r="E411" s="1033"/>
      <c r="F411" s="1034"/>
      <c r="G411" s="1033"/>
      <c r="H411" s="1033"/>
      <c r="I411" s="1034"/>
      <c r="J411" s="1033"/>
      <c r="K411" s="1033"/>
      <c r="L411" s="1034"/>
      <c r="M411" s="1035"/>
      <c r="N411" s="1035"/>
      <c r="O411" s="1036"/>
      <c r="P411" s="1033"/>
      <c r="Q411" s="1033"/>
      <c r="R411" s="1034"/>
      <c r="S411" s="1035"/>
      <c r="T411" s="1035"/>
      <c r="U411" s="1034"/>
      <c r="V411" s="1035"/>
      <c r="W411" s="1035"/>
      <c r="X411" s="1037" t="str">
        <f t="shared" si="69"/>
        <v>221</v>
      </c>
      <c r="Y411" s="1035">
        <v>22</v>
      </c>
      <c r="Z411" s="1035">
        <f t="shared" si="70"/>
        <v>1</v>
      </c>
      <c r="AA411" s="1033" t="s">
        <v>2886</v>
      </c>
      <c r="AB411" s="1033" t="s">
        <v>2882</v>
      </c>
      <c r="AC411" s="1021">
        <v>111626</v>
      </c>
      <c r="AD411" s="1021" t="s">
        <v>2059</v>
      </c>
      <c r="AE411" s="1022">
        <f>VLOOKUP(AC411,[5]Hoja1!$A$10:$K$1393,11,0)</f>
        <v>13112280</v>
      </c>
      <c r="AF411" s="1022"/>
      <c r="AG411" s="1022">
        <f t="shared" si="71"/>
        <v>13112280</v>
      </c>
      <c r="AH411" s="1022">
        <f t="shared" si="72"/>
        <v>13112</v>
      </c>
      <c r="AK411" s="448"/>
      <c r="AL411" s="445"/>
    </row>
    <row r="412" spans="1:38" s="467" customFormat="1" ht="12.75" customHeight="1">
      <c r="A412" s="1033"/>
      <c r="B412" s="1033"/>
      <c r="C412" s="1034"/>
      <c r="D412" s="1033"/>
      <c r="E412" s="1033"/>
      <c r="F412" s="1034"/>
      <c r="G412" s="1033"/>
      <c r="H412" s="1033"/>
      <c r="I412" s="1034"/>
      <c r="J412" s="1033"/>
      <c r="K412" s="1033"/>
      <c r="L412" s="1034"/>
      <c r="M412" s="1035"/>
      <c r="N412" s="1035"/>
      <c r="O412" s="1036"/>
      <c r="P412" s="1033"/>
      <c r="Q412" s="1033"/>
      <c r="R412" s="1034"/>
      <c r="S412" s="1035"/>
      <c r="T412" s="1035"/>
      <c r="U412" s="1034"/>
      <c r="V412" s="1035"/>
      <c r="W412" s="1035"/>
      <c r="X412" s="1037" t="str">
        <f t="shared" si="69"/>
        <v>221</v>
      </c>
      <c r="Y412" s="1035">
        <v>22</v>
      </c>
      <c r="Z412" s="1035">
        <f t="shared" si="70"/>
        <v>1</v>
      </c>
      <c r="AA412" s="1035"/>
      <c r="AB412" s="1035"/>
      <c r="AC412" s="1021">
        <v>111627</v>
      </c>
      <c r="AD412" s="1021" t="s">
        <v>2060</v>
      </c>
      <c r="AE412" s="1022">
        <v>0</v>
      </c>
      <c r="AF412" s="1022"/>
      <c r="AG412" s="1022">
        <f t="shared" si="71"/>
        <v>0</v>
      </c>
      <c r="AH412" s="1022">
        <f t="shared" si="72"/>
        <v>0</v>
      </c>
      <c r="AK412" s="448"/>
      <c r="AL412" s="445"/>
    </row>
    <row r="413" spans="1:38" s="467" customFormat="1" ht="9.75" customHeight="1">
      <c r="A413" s="1033">
        <v>5153500</v>
      </c>
      <c r="B413" s="1033" t="s">
        <v>1457</v>
      </c>
      <c r="C413" s="1034"/>
      <c r="D413" s="1033"/>
      <c r="E413" s="1033"/>
      <c r="F413" s="1034"/>
      <c r="G413" s="1033"/>
      <c r="H413" s="1033"/>
      <c r="I413" s="1034"/>
      <c r="J413" s="1033"/>
      <c r="K413" s="1033"/>
      <c r="L413" s="1034"/>
      <c r="M413" s="1035"/>
      <c r="N413" s="1035"/>
      <c r="O413" s="1036"/>
      <c r="P413" s="1033"/>
      <c r="Q413" s="1033"/>
      <c r="R413" s="1034"/>
      <c r="S413" s="1035"/>
      <c r="T413" s="1035"/>
      <c r="U413" s="1034"/>
      <c r="V413" s="1035"/>
      <c r="W413" s="1035"/>
      <c r="X413" s="1037" t="str">
        <f t="shared" si="69"/>
        <v>221</v>
      </c>
      <c r="Y413" s="1035">
        <v>22</v>
      </c>
      <c r="Z413" s="1035">
        <f t="shared" si="70"/>
        <v>1</v>
      </c>
      <c r="AA413" s="1035"/>
      <c r="AB413" s="1035"/>
      <c r="AC413" s="1021">
        <v>111628</v>
      </c>
      <c r="AD413" s="1021" t="s">
        <v>734</v>
      </c>
      <c r="AE413" s="1022">
        <f>VLOOKUP(AC413,[5]Hoja1!$A$10:$K$1393,11,0)</f>
        <v>122549400</v>
      </c>
      <c r="AF413" s="1022"/>
      <c r="AG413" s="1022">
        <f t="shared" si="71"/>
        <v>122549400</v>
      </c>
      <c r="AH413" s="1022">
        <f t="shared" si="72"/>
        <v>122549</v>
      </c>
      <c r="AK413" s="448"/>
      <c r="AL413" s="445"/>
    </row>
    <row r="414" spans="1:38" s="467" customFormat="1" ht="12.75" customHeight="1">
      <c r="A414" s="1033">
        <v>5153500</v>
      </c>
      <c r="B414" s="1033" t="s">
        <v>1457</v>
      </c>
      <c r="C414" s="1034"/>
      <c r="D414" s="1033"/>
      <c r="E414" s="1033"/>
      <c r="F414" s="1034"/>
      <c r="G414" s="1033"/>
      <c r="H414" s="1033"/>
      <c r="I414" s="1034"/>
      <c r="J414" s="1033"/>
      <c r="K414" s="1033"/>
      <c r="L414" s="1034"/>
      <c r="M414" s="1035"/>
      <c r="N414" s="1035"/>
      <c r="O414" s="1036"/>
      <c r="P414" s="1033"/>
      <c r="Q414" s="1033"/>
      <c r="R414" s="1034"/>
      <c r="S414" s="1035"/>
      <c r="T414" s="1035"/>
      <c r="U414" s="1034"/>
      <c r="V414" s="1035"/>
      <c r="W414" s="1035"/>
      <c r="X414" s="1037" t="str">
        <f t="shared" si="69"/>
        <v>221</v>
      </c>
      <c r="Y414" s="1035">
        <v>22</v>
      </c>
      <c r="Z414" s="1035">
        <f t="shared" si="70"/>
        <v>1</v>
      </c>
      <c r="AA414" s="1033" t="s">
        <v>2886</v>
      </c>
      <c r="AB414" s="1033" t="s">
        <v>2879</v>
      </c>
      <c r="AC414" s="1021">
        <v>111629</v>
      </c>
      <c r="AD414" s="1021" t="s">
        <v>1248</v>
      </c>
      <c r="AE414" s="1022">
        <f>VLOOKUP(AC414,[5]Hoja1!$A$10:$K$1393,11,0)</f>
        <v>3097463</v>
      </c>
      <c r="AF414" s="1022"/>
      <c r="AG414" s="1022">
        <f t="shared" si="71"/>
        <v>3097463</v>
      </c>
      <c r="AH414" s="1022">
        <f t="shared" si="72"/>
        <v>3097</v>
      </c>
      <c r="AK414" s="448"/>
      <c r="AL414" s="445"/>
    </row>
    <row r="415" spans="1:38" s="467" customFormat="1" ht="12.75" customHeight="1">
      <c r="A415" s="1033">
        <v>5153200</v>
      </c>
      <c r="B415" s="1033" t="s">
        <v>2767</v>
      </c>
      <c r="C415" s="1034"/>
      <c r="D415" s="1033"/>
      <c r="E415" s="1033"/>
      <c r="F415" s="1034"/>
      <c r="G415" s="1033"/>
      <c r="H415" s="1033"/>
      <c r="I415" s="1034"/>
      <c r="J415" s="1033"/>
      <c r="K415" s="1033"/>
      <c r="L415" s="1034"/>
      <c r="M415" s="1035"/>
      <c r="N415" s="1035"/>
      <c r="O415" s="1036"/>
      <c r="P415" s="1033"/>
      <c r="Q415" s="1033"/>
      <c r="R415" s="1034"/>
      <c r="S415" s="1035"/>
      <c r="T415" s="1035"/>
      <c r="U415" s="1034"/>
      <c r="V415" s="1035"/>
      <c r="W415" s="1035"/>
      <c r="X415" s="1037" t="str">
        <f t="shared" si="69"/>
        <v>221</v>
      </c>
      <c r="Y415" s="1035">
        <v>22</v>
      </c>
      <c r="Z415" s="1035">
        <f t="shared" si="70"/>
        <v>1</v>
      </c>
      <c r="AA415" s="1033"/>
      <c r="AB415" s="1033"/>
      <c r="AC415" s="1021">
        <v>111630</v>
      </c>
      <c r="AD415" s="1021" t="s">
        <v>1589</v>
      </c>
      <c r="AE415" s="1022">
        <f>VLOOKUP(AC415,[5]Hoja1!$A$10:$K$1393,11,0)</f>
        <v>72627893</v>
      </c>
      <c r="AF415" s="1022"/>
      <c r="AG415" s="1022">
        <f t="shared" si="71"/>
        <v>72627893</v>
      </c>
      <c r="AH415" s="1022">
        <f t="shared" si="72"/>
        <v>72628</v>
      </c>
      <c r="AK415" s="448"/>
      <c r="AL415" s="445"/>
    </row>
    <row r="416" spans="1:38" s="467" customFormat="1" ht="12.75" customHeight="1">
      <c r="A416" s="1033">
        <v>5153500</v>
      </c>
      <c r="B416" s="1033" t="s">
        <v>1457</v>
      </c>
      <c r="C416" s="1034"/>
      <c r="D416" s="1033"/>
      <c r="E416" s="1033"/>
      <c r="F416" s="1034"/>
      <c r="G416" s="1033"/>
      <c r="H416" s="1033"/>
      <c r="I416" s="1034"/>
      <c r="J416" s="1033"/>
      <c r="K416" s="1033"/>
      <c r="L416" s="1034"/>
      <c r="M416" s="1035"/>
      <c r="N416" s="1035"/>
      <c r="O416" s="1036"/>
      <c r="P416" s="1033"/>
      <c r="Q416" s="1033"/>
      <c r="R416" s="1034"/>
      <c r="S416" s="1035"/>
      <c r="T416" s="1035"/>
      <c r="U416" s="1034"/>
      <c r="V416" s="1035"/>
      <c r="W416" s="1035"/>
      <c r="X416" s="1037" t="str">
        <f t="shared" si="69"/>
        <v>221</v>
      </c>
      <c r="Y416" s="1035">
        <v>22</v>
      </c>
      <c r="Z416" s="1035">
        <f t="shared" si="70"/>
        <v>1</v>
      </c>
      <c r="AA416" s="1033" t="s">
        <v>2886</v>
      </c>
      <c r="AB416" s="1033" t="s">
        <v>2882</v>
      </c>
      <c r="AC416" s="1021">
        <v>111632</v>
      </c>
      <c r="AD416" s="1021" t="s">
        <v>2061</v>
      </c>
      <c r="AE416" s="1022">
        <f>VLOOKUP(AC416,[5]Hoja1!$A$10:$K$1393,11,0)</f>
        <v>2378031</v>
      </c>
      <c r="AF416" s="1022">
        <v>0</v>
      </c>
      <c r="AG416" s="1022">
        <f t="shared" si="71"/>
        <v>2378031</v>
      </c>
      <c r="AH416" s="1022">
        <f t="shared" si="72"/>
        <v>2378</v>
      </c>
      <c r="AK416" s="448"/>
      <c r="AL416" s="445"/>
    </row>
    <row r="417" spans="1:38" s="467" customFormat="1" ht="12.75" customHeight="1">
      <c r="A417" s="1033">
        <v>5153500</v>
      </c>
      <c r="B417" s="1033" t="s">
        <v>1457</v>
      </c>
      <c r="C417" s="1034" t="str">
        <f>+D417&amp;E417</f>
        <v/>
      </c>
      <c r="D417" s="1033"/>
      <c r="E417" s="1033"/>
      <c r="F417" s="1034" t="str">
        <f>+G417&amp;H417</f>
        <v/>
      </c>
      <c r="G417" s="1033"/>
      <c r="H417" s="1033"/>
      <c r="I417" s="1034" t="str">
        <f>+J417&amp;K417</f>
        <v/>
      </c>
      <c r="J417" s="1033"/>
      <c r="K417" s="1033"/>
      <c r="L417" s="1034" t="str">
        <f>+M417&amp;N417</f>
        <v/>
      </c>
      <c r="M417" s="1035"/>
      <c r="N417" s="1035"/>
      <c r="O417" s="1036" t="str">
        <f>+P417&amp;Q417</f>
        <v/>
      </c>
      <c r="P417" s="1033"/>
      <c r="Q417" s="1033"/>
      <c r="R417" s="1034" t="str">
        <f>+S417&amp;T417</f>
        <v/>
      </c>
      <c r="S417" s="1035"/>
      <c r="T417" s="1035"/>
      <c r="U417" s="1034" t="str">
        <f>+V417&amp;W417</f>
        <v/>
      </c>
      <c r="V417" s="1035"/>
      <c r="W417" s="1035"/>
      <c r="X417" s="1037" t="str">
        <f t="shared" si="69"/>
        <v>221</v>
      </c>
      <c r="Y417" s="1035">
        <v>22</v>
      </c>
      <c r="Z417" s="1035">
        <f t="shared" si="70"/>
        <v>1</v>
      </c>
      <c r="AA417" s="1033" t="s">
        <v>2886</v>
      </c>
      <c r="AB417" s="1033" t="s">
        <v>2877</v>
      </c>
      <c r="AC417" s="1021">
        <v>111633</v>
      </c>
      <c r="AD417" s="1021" t="s">
        <v>1336</v>
      </c>
      <c r="AE417" s="1022">
        <f>VLOOKUP(AC417,[5]Hoja1!$A$10:$K$1393,11,0)</f>
        <v>688212796</v>
      </c>
      <c r="AF417" s="1191">
        <f>-AE417</f>
        <v>-688212796</v>
      </c>
      <c r="AG417" s="1022">
        <f t="shared" si="71"/>
        <v>0</v>
      </c>
      <c r="AH417" s="1022">
        <f t="shared" si="72"/>
        <v>0</v>
      </c>
      <c r="AK417" s="448"/>
      <c r="AL417" s="445"/>
    </row>
    <row r="418" spans="1:38" s="467" customFormat="1" ht="12.75" customHeight="1">
      <c r="A418" s="1033">
        <v>5153500</v>
      </c>
      <c r="B418" s="1033" t="s">
        <v>1457</v>
      </c>
      <c r="C418" s="1034"/>
      <c r="D418" s="1033"/>
      <c r="E418" s="1033"/>
      <c r="F418" s="1034"/>
      <c r="G418" s="1033"/>
      <c r="H418" s="1033"/>
      <c r="I418" s="1034"/>
      <c r="J418" s="1033"/>
      <c r="K418" s="1033"/>
      <c r="L418" s="1034"/>
      <c r="M418" s="1035"/>
      <c r="N418" s="1035"/>
      <c r="O418" s="1036"/>
      <c r="P418" s="1033"/>
      <c r="Q418" s="1033"/>
      <c r="R418" s="1034"/>
      <c r="S418" s="1035"/>
      <c r="T418" s="1035"/>
      <c r="U418" s="1034"/>
      <c r="V418" s="1035"/>
      <c r="W418" s="1035"/>
      <c r="X418" s="1037" t="str">
        <f t="shared" si="69"/>
        <v>221</v>
      </c>
      <c r="Y418" s="1035">
        <v>22</v>
      </c>
      <c r="Z418" s="1035">
        <f t="shared" si="70"/>
        <v>1</v>
      </c>
      <c r="AA418" s="1033" t="s">
        <v>2886</v>
      </c>
      <c r="AB418" s="1033" t="s">
        <v>2881</v>
      </c>
      <c r="AC418" s="1021">
        <v>111634</v>
      </c>
      <c r="AD418" s="1021" t="s">
        <v>867</v>
      </c>
      <c r="AE418" s="1022">
        <f>VLOOKUP(AC418,[5]Hoja1!$A$10:$K$1393,11,0)</f>
        <v>438381918</v>
      </c>
      <c r="AF418" s="1022"/>
      <c r="AG418" s="1022">
        <f t="shared" si="71"/>
        <v>438381918</v>
      </c>
      <c r="AH418" s="1022">
        <f t="shared" si="72"/>
        <v>438382</v>
      </c>
      <c r="AK418" s="448"/>
      <c r="AL418" s="445"/>
    </row>
    <row r="419" spans="1:38" s="467" customFormat="1" ht="12.75" customHeight="1">
      <c r="A419" s="1033">
        <v>5153500</v>
      </c>
      <c r="B419" s="1033" t="s">
        <v>1457</v>
      </c>
      <c r="C419" s="1034"/>
      <c r="D419" s="1033"/>
      <c r="E419" s="1033"/>
      <c r="F419" s="1034"/>
      <c r="G419" s="1033"/>
      <c r="H419" s="1033"/>
      <c r="I419" s="1034"/>
      <c r="J419" s="1033"/>
      <c r="K419" s="1033"/>
      <c r="L419" s="1034"/>
      <c r="M419" s="1035"/>
      <c r="N419" s="1035"/>
      <c r="O419" s="1036"/>
      <c r="P419" s="1033"/>
      <c r="Q419" s="1033"/>
      <c r="R419" s="1034"/>
      <c r="S419" s="1035"/>
      <c r="T419" s="1035"/>
      <c r="U419" s="1034"/>
      <c r="V419" s="1035"/>
      <c r="W419" s="1035"/>
      <c r="X419" s="1037" t="str">
        <f t="shared" si="69"/>
        <v>221</v>
      </c>
      <c r="Y419" s="1035">
        <v>22</v>
      </c>
      <c r="Z419" s="1035">
        <f t="shared" si="70"/>
        <v>1</v>
      </c>
      <c r="AA419" s="1033" t="s">
        <v>2886</v>
      </c>
      <c r="AB419" s="1033" t="s">
        <v>2882</v>
      </c>
      <c r="AC419" s="1021">
        <v>111636</v>
      </c>
      <c r="AD419" s="1021" t="s">
        <v>728</v>
      </c>
      <c r="AE419" s="1022">
        <f>VLOOKUP(AC419,[5]Hoja1!$A$10:$K$1393,11,0)</f>
        <v>20655144</v>
      </c>
      <c r="AF419" s="1191">
        <v>-17568041</v>
      </c>
      <c r="AG419" s="1022">
        <f t="shared" si="71"/>
        <v>3087103</v>
      </c>
      <c r="AH419" s="1022">
        <f t="shared" si="72"/>
        <v>3087</v>
      </c>
      <c r="AI419" s="467" t="s">
        <v>1805</v>
      </c>
      <c r="AK419" s="448"/>
      <c r="AL419" s="445"/>
    </row>
    <row r="420" spans="1:38" s="467" customFormat="1" ht="12.75" customHeight="1">
      <c r="A420" s="1033">
        <v>5153500</v>
      </c>
      <c r="B420" s="1033" t="s">
        <v>1457</v>
      </c>
      <c r="C420" s="1034"/>
      <c r="D420" s="1033"/>
      <c r="E420" s="1033"/>
      <c r="F420" s="1034"/>
      <c r="G420" s="1033"/>
      <c r="H420" s="1033"/>
      <c r="I420" s="1034"/>
      <c r="J420" s="1033"/>
      <c r="K420" s="1033"/>
      <c r="L420" s="1034"/>
      <c r="M420" s="1035"/>
      <c r="N420" s="1035"/>
      <c r="O420" s="1036"/>
      <c r="P420" s="1033"/>
      <c r="Q420" s="1033"/>
      <c r="R420" s="1034"/>
      <c r="S420" s="1035"/>
      <c r="T420" s="1035"/>
      <c r="U420" s="1034"/>
      <c r="V420" s="1035"/>
      <c r="W420" s="1035"/>
      <c r="X420" s="1037" t="str">
        <f t="shared" si="69"/>
        <v>221</v>
      </c>
      <c r="Y420" s="1035">
        <v>22</v>
      </c>
      <c r="Z420" s="1035">
        <f t="shared" si="70"/>
        <v>1</v>
      </c>
      <c r="AA420" s="1033" t="s">
        <v>2886</v>
      </c>
      <c r="AB420" s="1033" t="s">
        <v>2882</v>
      </c>
      <c r="AC420" s="1021">
        <v>111637</v>
      </c>
      <c r="AD420" s="1021" t="s">
        <v>1523</v>
      </c>
      <c r="AE420" s="1022">
        <f>VLOOKUP(AC420,[5]Hoja1!$A$10:$K$1393,11,0)</f>
        <v>-79919547</v>
      </c>
      <c r="AF420" s="1191">
        <f>-AF419-AF395-AF432-AF326</f>
        <v>79919547</v>
      </c>
      <c r="AG420" s="1022">
        <f t="shared" si="71"/>
        <v>0</v>
      </c>
      <c r="AH420" s="1022">
        <f t="shared" si="72"/>
        <v>0</v>
      </c>
      <c r="AK420" s="448"/>
      <c r="AL420" s="445"/>
    </row>
    <row r="421" spans="1:38" s="467" customFormat="1" ht="12.75" customHeight="1">
      <c r="A421" s="1033">
        <v>5153200</v>
      </c>
      <c r="B421" s="1033" t="s">
        <v>2767</v>
      </c>
      <c r="C421" s="1034"/>
      <c r="D421" s="1033"/>
      <c r="E421" s="1033"/>
      <c r="F421" s="1034"/>
      <c r="G421" s="1033"/>
      <c r="H421" s="1033"/>
      <c r="I421" s="1034"/>
      <c r="J421" s="1033"/>
      <c r="K421" s="1033"/>
      <c r="L421" s="1034"/>
      <c r="M421" s="1035"/>
      <c r="N421" s="1035"/>
      <c r="O421" s="1036"/>
      <c r="P421" s="1033"/>
      <c r="Q421" s="1033"/>
      <c r="R421" s="1034"/>
      <c r="S421" s="1035"/>
      <c r="T421" s="1035"/>
      <c r="U421" s="1034"/>
      <c r="V421" s="1035"/>
      <c r="W421" s="1035"/>
      <c r="X421" s="1037" t="str">
        <f t="shared" si="69"/>
        <v>221</v>
      </c>
      <c r="Y421" s="1035">
        <v>22</v>
      </c>
      <c r="Z421" s="1035">
        <f t="shared" si="70"/>
        <v>1</v>
      </c>
      <c r="AA421" s="1033"/>
      <c r="AB421" s="1033"/>
      <c r="AC421" s="1021">
        <v>111638</v>
      </c>
      <c r="AD421" s="1021" t="s">
        <v>1905</v>
      </c>
      <c r="AE421" s="1022">
        <f>VLOOKUP(AC421,[5]Hoja1!$A$10:$K$1393,11,0)</f>
        <v>3752228</v>
      </c>
      <c r="AF421" s="1022"/>
      <c r="AG421" s="1022">
        <f t="shared" si="71"/>
        <v>3752228</v>
      </c>
      <c r="AH421" s="1022">
        <f t="shared" si="72"/>
        <v>3752</v>
      </c>
      <c r="AK421" s="448"/>
      <c r="AL421" s="445"/>
    </row>
    <row r="422" spans="1:38" s="467" customFormat="1" ht="12.75" customHeight="1">
      <c r="A422" s="1033">
        <v>5113000</v>
      </c>
      <c r="B422" s="1033" t="s">
        <v>2726</v>
      </c>
      <c r="C422" s="1034"/>
      <c r="D422" s="1033"/>
      <c r="E422" s="1033"/>
      <c r="F422" s="1034"/>
      <c r="G422" s="1033"/>
      <c r="H422" s="1033"/>
      <c r="I422" s="1034"/>
      <c r="J422" s="1033"/>
      <c r="K422" s="1033"/>
      <c r="L422" s="1034"/>
      <c r="M422" s="1035"/>
      <c r="N422" s="1035"/>
      <c r="O422" s="1036"/>
      <c r="P422" s="1033"/>
      <c r="Q422" s="1033"/>
      <c r="R422" s="1034"/>
      <c r="S422" s="1035"/>
      <c r="T422" s="1035"/>
      <c r="U422" s="1034"/>
      <c r="V422" s="1035"/>
      <c r="W422" s="1035"/>
      <c r="X422" s="1039" t="str">
        <f t="shared" si="69"/>
        <v>131</v>
      </c>
      <c r="Y422" s="1040">
        <v>13</v>
      </c>
      <c r="Z422" s="1035">
        <f t="shared" si="70"/>
        <v>1</v>
      </c>
      <c r="AA422" s="1040"/>
      <c r="AB422" s="1040"/>
      <c r="AC422" s="1021">
        <v>111640</v>
      </c>
      <c r="AD422" s="1021" t="s">
        <v>2552</v>
      </c>
      <c r="AE422" s="1022">
        <f>VLOOKUP(AC422,[5]Hoja1!$A$10:$K$1393,11,0)</f>
        <v>8303382</v>
      </c>
      <c r="AF422" s="1022"/>
      <c r="AG422" s="1022">
        <f t="shared" si="71"/>
        <v>8303382</v>
      </c>
      <c r="AH422" s="1187">
        <f t="shared" si="72"/>
        <v>8303</v>
      </c>
      <c r="AK422" s="448"/>
      <c r="AL422" s="445"/>
    </row>
    <row r="423" spans="1:38" s="467" customFormat="1" ht="12.75" customHeight="1">
      <c r="A423" s="1033">
        <v>5113000</v>
      </c>
      <c r="B423" s="1033" t="s">
        <v>2726</v>
      </c>
      <c r="C423" s="1034"/>
      <c r="D423" s="1033"/>
      <c r="E423" s="1033"/>
      <c r="F423" s="1034"/>
      <c r="G423" s="1033"/>
      <c r="H423" s="1033"/>
      <c r="I423" s="1034"/>
      <c r="J423" s="1033"/>
      <c r="K423" s="1033"/>
      <c r="L423" s="1034"/>
      <c r="M423" s="1035"/>
      <c r="N423" s="1035"/>
      <c r="O423" s="1036"/>
      <c r="P423" s="1033"/>
      <c r="Q423" s="1033"/>
      <c r="R423" s="1034"/>
      <c r="S423" s="1035"/>
      <c r="T423" s="1035"/>
      <c r="U423" s="1034"/>
      <c r="V423" s="1035"/>
      <c r="W423" s="1035"/>
      <c r="X423" s="1039" t="str">
        <f t="shared" si="69"/>
        <v>131</v>
      </c>
      <c r="Y423" s="1040">
        <v>13</v>
      </c>
      <c r="Z423" s="1035">
        <f t="shared" si="70"/>
        <v>1</v>
      </c>
      <c r="AA423" s="1040"/>
      <c r="AB423" s="1040"/>
      <c r="AC423" s="1021">
        <v>111641</v>
      </c>
      <c r="AD423" s="1021" t="s">
        <v>2553</v>
      </c>
      <c r="AE423" s="1022">
        <f>VLOOKUP(AC423,[5]Hoja1!$A$10:$K$1393,11,0)</f>
        <v>61247638</v>
      </c>
      <c r="AF423" s="1022"/>
      <c r="AG423" s="1022">
        <f t="shared" si="71"/>
        <v>61247638</v>
      </c>
      <c r="AH423" s="1187">
        <f t="shared" si="72"/>
        <v>61248</v>
      </c>
      <c r="AK423" s="448"/>
      <c r="AL423" s="445"/>
    </row>
    <row r="424" spans="1:38" s="467" customFormat="1" ht="12.75" customHeight="1">
      <c r="A424" s="1033">
        <v>5113000</v>
      </c>
      <c r="B424" s="1033" t="s">
        <v>2726</v>
      </c>
      <c r="C424" s="1034"/>
      <c r="D424" s="1033"/>
      <c r="E424" s="1033"/>
      <c r="F424" s="1034"/>
      <c r="G424" s="1033"/>
      <c r="H424" s="1033"/>
      <c r="I424" s="1034"/>
      <c r="J424" s="1033"/>
      <c r="K424" s="1033"/>
      <c r="L424" s="1034"/>
      <c r="M424" s="1035"/>
      <c r="N424" s="1035"/>
      <c r="O424" s="1036"/>
      <c r="P424" s="1033"/>
      <c r="Q424" s="1033"/>
      <c r="R424" s="1034"/>
      <c r="S424" s="1035"/>
      <c r="T424" s="1035"/>
      <c r="U424" s="1034"/>
      <c r="V424" s="1035"/>
      <c r="W424" s="1035"/>
      <c r="X424" s="1039" t="str">
        <f t="shared" si="69"/>
        <v>131</v>
      </c>
      <c r="Y424" s="1040">
        <v>13</v>
      </c>
      <c r="Z424" s="1035">
        <f t="shared" si="70"/>
        <v>1</v>
      </c>
      <c r="AA424" s="1040"/>
      <c r="AB424" s="1040"/>
      <c r="AC424" s="1021">
        <v>111642</v>
      </c>
      <c r="AD424" s="1021" t="s">
        <v>2551</v>
      </c>
      <c r="AE424" s="1022">
        <f>VLOOKUP(AC424,[5]Hoja1!$A$10:$K$1393,11,0)</f>
        <v>1505187837</v>
      </c>
      <c r="AF424" s="1022">
        <v>0</v>
      </c>
      <c r="AG424" s="1022">
        <f t="shared" si="71"/>
        <v>1505187837</v>
      </c>
      <c r="AH424" s="1187">
        <f t="shared" si="72"/>
        <v>1505188</v>
      </c>
      <c r="AK424" s="448"/>
      <c r="AL424" s="445"/>
    </row>
    <row r="425" spans="1:38" s="467" customFormat="1" ht="12.75" customHeight="1">
      <c r="A425" s="1033">
        <v>5113000</v>
      </c>
      <c r="B425" s="1033" t="s">
        <v>2726</v>
      </c>
      <c r="C425" s="1034"/>
      <c r="D425" s="1033"/>
      <c r="E425" s="1033"/>
      <c r="F425" s="1034"/>
      <c r="G425" s="1033"/>
      <c r="H425" s="1033"/>
      <c r="I425" s="1034"/>
      <c r="J425" s="1033"/>
      <c r="K425" s="1033"/>
      <c r="L425" s="1034"/>
      <c r="M425" s="1035"/>
      <c r="N425" s="1035"/>
      <c r="O425" s="1036"/>
      <c r="P425" s="1033"/>
      <c r="Q425" s="1033"/>
      <c r="R425" s="1034"/>
      <c r="S425" s="1035"/>
      <c r="T425" s="1035"/>
      <c r="U425" s="1034"/>
      <c r="V425" s="1035"/>
      <c r="W425" s="1035"/>
      <c r="X425" s="1039" t="str">
        <f t="shared" si="69"/>
        <v>131</v>
      </c>
      <c r="Y425" s="1040">
        <v>13</v>
      </c>
      <c r="Z425" s="1035">
        <f t="shared" si="70"/>
        <v>1</v>
      </c>
      <c r="AA425" s="1040"/>
      <c r="AB425" s="1040"/>
      <c r="AC425" s="1021">
        <v>111643</v>
      </c>
      <c r="AD425" s="1021" t="s">
        <v>2554</v>
      </c>
      <c r="AE425" s="1022">
        <f>VLOOKUP(AC425,[5]Hoja1!$A$10:$K$1393,11,0)</f>
        <v>11037321</v>
      </c>
      <c r="AF425" s="1022"/>
      <c r="AG425" s="1022">
        <f t="shared" si="71"/>
        <v>11037321</v>
      </c>
      <c r="AH425" s="1187">
        <f t="shared" si="72"/>
        <v>11037</v>
      </c>
      <c r="AK425" s="448"/>
      <c r="AL425" s="445"/>
    </row>
    <row r="426" spans="1:38" s="467" customFormat="1" ht="12.75" customHeight="1">
      <c r="A426" s="1033">
        <v>5113000</v>
      </c>
      <c r="B426" s="1033" t="s">
        <v>2726</v>
      </c>
      <c r="C426" s="1034"/>
      <c r="D426" s="1033"/>
      <c r="E426" s="1033"/>
      <c r="F426" s="1034"/>
      <c r="G426" s="1033"/>
      <c r="H426" s="1033"/>
      <c r="I426" s="1034"/>
      <c r="J426" s="1033"/>
      <c r="K426" s="1033"/>
      <c r="L426" s="1034"/>
      <c r="M426" s="1035"/>
      <c r="N426" s="1035"/>
      <c r="O426" s="1036"/>
      <c r="P426" s="1033"/>
      <c r="Q426" s="1033"/>
      <c r="R426" s="1034"/>
      <c r="S426" s="1035"/>
      <c r="T426" s="1035"/>
      <c r="U426" s="1034"/>
      <c r="V426" s="1035"/>
      <c r="W426" s="1035"/>
      <c r="X426" s="1039" t="str">
        <f t="shared" si="69"/>
        <v>131</v>
      </c>
      <c r="Y426" s="1040">
        <v>13</v>
      </c>
      <c r="Z426" s="1035">
        <f t="shared" si="70"/>
        <v>1</v>
      </c>
      <c r="AA426" s="1040"/>
      <c r="AB426" s="1040"/>
      <c r="AC426" s="1021">
        <v>111644</v>
      </c>
      <c r="AD426" s="1021" t="s">
        <v>2555</v>
      </c>
      <c r="AE426" s="1022">
        <f>VLOOKUP(AC426,[5]Hoja1!$A$10:$K$1393,11,0)</f>
        <v>836324667</v>
      </c>
      <c r="AF426" s="1022"/>
      <c r="AG426" s="1022">
        <f t="shared" si="71"/>
        <v>836324667</v>
      </c>
      <c r="AH426" s="1187">
        <f t="shared" si="72"/>
        <v>836325</v>
      </c>
      <c r="AK426" s="448"/>
      <c r="AL426" s="445"/>
    </row>
    <row r="427" spans="1:38" s="467" customFormat="1" ht="12.75" customHeight="1">
      <c r="A427" s="1033">
        <v>5153500</v>
      </c>
      <c r="B427" s="1033" t="s">
        <v>1457</v>
      </c>
      <c r="C427" s="1034"/>
      <c r="D427" s="1033"/>
      <c r="E427" s="1033"/>
      <c r="F427" s="1034"/>
      <c r="G427" s="1033"/>
      <c r="H427" s="1033"/>
      <c r="I427" s="1034"/>
      <c r="J427" s="1033"/>
      <c r="K427" s="1033"/>
      <c r="L427" s="1034"/>
      <c r="M427" s="1035"/>
      <c r="N427" s="1035"/>
      <c r="O427" s="1036"/>
      <c r="P427" s="1033"/>
      <c r="Q427" s="1033"/>
      <c r="R427" s="1034"/>
      <c r="S427" s="1035"/>
      <c r="T427" s="1035"/>
      <c r="U427" s="1034"/>
      <c r="V427" s="1035"/>
      <c r="W427" s="1035"/>
      <c r="X427" s="1039" t="str">
        <f t="shared" si="69"/>
        <v>221</v>
      </c>
      <c r="Y427" s="1040">
        <v>22</v>
      </c>
      <c r="Z427" s="1035">
        <f t="shared" si="70"/>
        <v>1</v>
      </c>
      <c r="AA427" s="1033" t="s">
        <v>2886</v>
      </c>
      <c r="AB427" s="1033" t="s">
        <v>2879</v>
      </c>
      <c r="AC427" s="1021">
        <v>111645</v>
      </c>
      <c r="AD427" s="1021" t="s">
        <v>2639</v>
      </c>
      <c r="AE427" s="1022">
        <f>VLOOKUP(AC427,[5]Hoja1!$A$10:$K$1393,11,0)</f>
        <v>4510004</v>
      </c>
      <c r="AF427" s="1022">
        <v>0</v>
      </c>
      <c r="AG427" s="1022">
        <f t="shared" si="71"/>
        <v>4510004</v>
      </c>
      <c r="AH427" s="1022">
        <f t="shared" si="72"/>
        <v>4510</v>
      </c>
      <c r="AK427" s="448"/>
      <c r="AL427" s="445"/>
    </row>
    <row r="428" spans="1:38" s="467" customFormat="1" ht="12.75" customHeight="1">
      <c r="A428" s="1033">
        <v>5153500</v>
      </c>
      <c r="B428" s="1033" t="s">
        <v>1457</v>
      </c>
      <c r="C428" s="1034"/>
      <c r="D428" s="1033"/>
      <c r="E428" s="1033"/>
      <c r="F428" s="1034"/>
      <c r="G428" s="1033"/>
      <c r="H428" s="1033"/>
      <c r="I428" s="1034"/>
      <c r="J428" s="1033"/>
      <c r="K428" s="1033"/>
      <c r="L428" s="1034"/>
      <c r="M428" s="1035"/>
      <c r="N428" s="1035"/>
      <c r="O428" s="1036"/>
      <c r="P428" s="1033"/>
      <c r="Q428" s="1033"/>
      <c r="R428" s="1034"/>
      <c r="S428" s="1035"/>
      <c r="T428" s="1035"/>
      <c r="U428" s="1034"/>
      <c r="V428" s="1035"/>
      <c r="W428" s="1035"/>
      <c r="X428" s="1037"/>
      <c r="Y428" s="1035"/>
      <c r="Z428" s="1035">
        <f t="shared" si="70"/>
        <v>1</v>
      </c>
      <c r="AA428" s="1033" t="s">
        <v>2886</v>
      </c>
      <c r="AB428" s="1033" t="s">
        <v>2882</v>
      </c>
      <c r="AC428" s="1023">
        <v>111648</v>
      </c>
      <c r="AD428" s="1021" t="s">
        <v>2684</v>
      </c>
      <c r="AE428" s="1022">
        <f>VLOOKUP(AC428,[5]Hoja1!$A$10:$K$1393,11,0)</f>
        <v>6809545676</v>
      </c>
      <c r="AF428" s="1191">
        <f>-AE428</f>
        <v>-6809545676</v>
      </c>
      <c r="AG428" s="1022">
        <f t="shared" si="71"/>
        <v>0</v>
      </c>
      <c r="AH428" s="1022">
        <f t="shared" si="72"/>
        <v>0</v>
      </c>
      <c r="AK428" s="448"/>
      <c r="AL428" s="445"/>
    </row>
    <row r="429" spans="1:38" s="467" customFormat="1" ht="12.75" customHeight="1">
      <c r="A429" s="1033">
        <v>5153500</v>
      </c>
      <c r="B429" s="1033" t="s">
        <v>1457</v>
      </c>
      <c r="C429" s="1034"/>
      <c r="D429" s="1033"/>
      <c r="E429" s="1033"/>
      <c r="F429" s="1034"/>
      <c r="G429" s="1033"/>
      <c r="H429" s="1033"/>
      <c r="I429" s="1034"/>
      <c r="J429" s="1033"/>
      <c r="K429" s="1033"/>
      <c r="L429" s="1034"/>
      <c r="M429" s="1035"/>
      <c r="N429" s="1035"/>
      <c r="O429" s="1036"/>
      <c r="P429" s="1033"/>
      <c r="Q429" s="1033"/>
      <c r="R429" s="1034"/>
      <c r="S429" s="1035"/>
      <c r="T429" s="1035"/>
      <c r="U429" s="1034"/>
      <c r="V429" s="1035"/>
      <c r="W429" s="1035"/>
      <c r="X429" s="1037"/>
      <c r="Y429" s="1035"/>
      <c r="Z429" s="1035">
        <f t="shared" si="70"/>
        <v>1</v>
      </c>
      <c r="AA429" s="1033" t="s">
        <v>2886</v>
      </c>
      <c r="AB429" s="1033" t="s">
        <v>2882</v>
      </c>
      <c r="AC429" s="1023">
        <v>111649</v>
      </c>
      <c r="AD429" s="1021" t="s">
        <v>2685</v>
      </c>
      <c r="AE429" s="1022">
        <f>VLOOKUP(AC429,[5]Hoja1!$A$10:$K$1393,11,0)</f>
        <v>11629940516</v>
      </c>
      <c r="AF429" s="1022">
        <v>0</v>
      </c>
      <c r="AG429" s="1022">
        <f t="shared" si="71"/>
        <v>11629940516</v>
      </c>
      <c r="AH429" s="1022">
        <f t="shared" si="72"/>
        <v>11629941</v>
      </c>
      <c r="AK429" s="448"/>
      <c r="AL429" s="445"/>
    </row>
    <row r="430" spans="1:38" s="467" customFormat="1" ht="12.75" customHeight="1">
      <c r="A430" s="1033">
        <v>5153500</v>
      </c>
      <c r="B430" s="1033" t="s">
        <v>1457</v>
      </c>
      <c r="C430" s="1034" t="str">
        <f t="shared" ref="C430" si="73">+D430&amp;E430</f>
        <v/>
      </c>
      <c r="D430" s="1033"/>
      <c r="E430" s="1033"/>
      <c r="F430" s="1034" t="str">
        <f t="shared" ref="F430" si="74">+G430&amp;H430</f>
        <v/>
      </c>
      <c r="G430" s="1033"/>
      <c r="H430" s="1033"/>
      <c r="I430" s="1034" t="str">
        <f t="shared" ref="I430" si="75">+J430&amp;K430</f>
        <v/>
      </c>
      <c r="J430" s="1033"/>
      <c r="K430" s="1033"/>
      <c r="L430" s="1034" t="str">
        <f t="shared" ref="L430" si="76">+M430&amp;N430</f>
        <v/>
      </c>
      <c r="M430" s="1035"/>
      <c r="N430" s="1035"/>
      <c r="O430" s="1036" t="str">
        <f t="shared" ref="O430" si="77">+P430&amp;Q430</f>
        <v/>
      </c>
      <c r="P430" s="1033"/>
      <c r="Q430" s="1033"/>
      <c r="R430" s="1034" t="str">
        <f t="shared" ref="R430" si="78">+S430&amp;T430</f>
        <v/>
      </c>
      <c r="S430" s="1035"/>
      <c r="T430" s="1035"/>
      <c r="U430" s="1034" t="str">
        <f t="shared" ref="U430" si="79">+V430&amp;W430</f>
        <v/>
      </c>
      <c r="V430" s="1035"/>
      <c r="W430" s="1035"/>
      <c r="X430" s="1037" t="str">
        <f t="shared" ref="X430" si="80">+Y430&amp;Z430</f>
        <v>221</v>
      </c>
      <c r="Y430" s="1035">
        <v>22</v>
      </c>
      <c r="Z430" s="1035">
        <f t="shared" ref="Z430" si="81">VALUE(LEFT(AC430,1))</f>
        <v>1</v>
      </c>
      <c r="AA430" s="1033" t="s">
        <v>2886</v>
      </c>
      <c r="AB430" s="1033"/>
      <c r="AC430" s="1023">
        <v>111650</v>
      </c>
      <c r="AD430" s="1021" t="s">
        <v>3523</v>
      </c>
      <c r="AE430" s="1022">
        <f>VLOOKUP(AC430,[5]Hoja1!$A$10:$K$1393,11,0)</f>
        <v>678427</v>
      </c>
      <c r="AF430" s="1022"/>
      <c r="AG430" s="1022">
        <f t="shared" ref="AG430" si="82">AE430+AF430</f>
        <v>678427</v>
      </c>
      <c r="AH430" s="1022">
        <f t="shared" ref="AH430" si="83">ROUND((AE430+AF430)/$AH$2,0)</f>
        <v>678</v>
      </c>
      <c r="AK430" s="448"/>
      <c r="AL430" s="445"/>
    </row>
    <row r="431" spans="1:38" s="467" customFormat="1" ht="12.75" customHeight="1">
      <c r="A431" s="1033">
        <v>5153500</v>
      </c>
      <c r="B431" s="1033" t="s">
        <v>1457</v>
      </c>
      <c r="C431" s="1034"/>
      <c r="D431" s="1033"/>
      <c r="E431" s="1033"/>
      <c r="F431" s="1034"/>
      <c r="G431" s="1033"/>
      <c r="H431" s="1033"/>
      <c r="I431" s="1034"/>
      <c r="J431" s="1033"/>
      <c r="K431" s="1033"/>
      <c r="L431" s="1034"/>
      <c r="M431" s="1035"/>
      <c r="N431" s="1035"/>
      <c r="O431" s="1036"/>
      <c r="P431" s="1033"/>
      <c r="Q431" s="1033"/>
      <c r="R431" s="1034"/>
      <c r="S431" s="1035"/>
      <c r="T431" s="1035"/>
      <c r="U431" s="1034"/>
      <c r="V431" s="1035"/>
      <c r="W431" s="1035"/>
      <c r="X431" s="1037"/>
      <c r="Y431" s="1035"/>
      <c r="Z431" s="1035">
        <f t="shared" si="70"/>
        <v>1</v>
      </c>
      <c r="AA431" s="1033" t="s">
        <v>2886</v>
      </c>
      <c r="AB431" s="1033" t="s">
        <v>2882</v>
      </c>
      <c r="AC431" s="1023">
        <v>111651</v>
      </c>
      <c r="AD431" s="27" t="s">
        <v>2936</v>
      </c>
      <c r="AE431" s="1022">
        <f>VLOOKUP(AC431,[5]Hoja1!$A$10:$K$1393,11,0)</f>
        <v>0</v>
      </c>
      <c r="AF431" s="1022"/>
      <c r="AG431" s="1022">
        <f t="shared" si="71"/>
        <v>0</v>
      </c>
      <c r="AH431" s="1022">
        <f t="shared" si="72"/>
        <v>0</v>
      </c>
      <c r="AK431" s="448"/>
      <c r="AL431" s="445"/>
    </row>
    <row r="432" spans="1:38" s="467" customFormat="1" ht="12.75" customHeight="1">
      <c r="A432" s="1033">
        <v>5153500</v>
      </c>
      <c r="B432" s="1033" t="s">
        <v>1457</v>
      </c>
      <c r="C432" s="1034"/>
      <c r="D432" s="1033"/>
      <c r="E432" s="1033"/>
      <c r="F432" s="1034"/>
      <c r="G432" s="1033"/>
      <c r="H432" s="1033"/>
      <c r="I432" s="1034"/>
      <c r="J432" s="1033"/>
      <c r="K432" s="1033"/>
      <c r="L432" s="1034"/>
      <c r="M432" s="1035"/>
      <c r="N432" s="1035"/>
      <c r="O432" s="1036"/>
      <c r="P432" s="1033"/>
      <c r="Q432" s="1033"/>
      <c r="R432" s="1034"/>
      <c r="S432" s="1035"/>
      <c r="T432" s="1035"/>
      <c r="U432" s="1034"/>
      <c r="V432" s="1035"/>
      <c r="W432" s="1035"/>
      <c r="X432" s="1039" t="str">
        <f>+Y432&amp;Z432</f>
        <v>221</v>
      </c>
      <c r="Y432" s="1040">
        <v>22</v>
      </c>
      <c r="Z432" s="1035">
        <f t="shared" si="70"/>
        <v>1</v>
      </c>
      <c r="AA432" s="1033" t="s">
        <v>2886</v>
      </c>
      <c r="AB432" s="1033" t="s">
        <v>2882</v>
      </c>
      <c r="AC432" s="1021">
        <v>111652</v>
      </c>
      <c r="AD432" s="1021" t="s">
        <v>2629</v>
      </c>
      <c r="AE432" s="1022">
        <f>VLOOKUP(AC432,[5]Hoja1!$A$10:$K$1393,11,0)</f>
        <v>4164948</v>
      </c>
      <c r="AF432" s="1191">
        <v>-2397664</v>
      </c>
      <c r="AG432" s="1022">
        <f t="shared" si="71"/>
        <v>1767284</v>
      </c>
      <c r="AH432" s="1022">
        <f t="shared" si="72"/>
        <v>1767</v>
      </c>
      <c r="AK432" s="448"/>
      <c r="AL432" s="445"/>
    </row>
    <row r="433" spans="1:38" s="467" customFormat="1" ht="12.75" customHeight="1">
      <c r="A433" s="1033">
        <v>5153500</v>
      </c>
      <c r="B433" s="1033" t="s">
        <v>1457</v>
      </c>
      <c r="C433" s="1034"/>
      <c r="D433" s="1033"/>
      <c r="E433" s="1033"/>
      <c r="F433" s="1034"/>
      <c r="G433" s="1033"/>
      <c r="H433" s="1033"/>
      <c r="I433" s="1034"/>
      <c r="J433" s="1033"/>
      <c r="K433" s="1033"/>
      <c r="L433" s="1034"/>
      <c r="M433" s="1035"/>
      <c r="N433" s="1035"/>
      <c r="O433" s="1036"/>
      <c r="P433" s="1033"/>
      <c r="Q433" s="1033"/>
      <c r="R433" s="1034"/>
      <c r="S433" s="1035"/>
      <c r="T433" s="1035"/>
      <c r="U433" s="1034"/>
      <c r="V433" s="1035"/>
      <c r="W433" s="1035"/>
      <c r="X433" s="1039" t="str">
        <f>+Y433&amp;Z433</f>
        <v>221</v>
      </c>
      <c r="Y433" s="1040">
        <v>22</v>
      </c>
      <c r="Z433" s="1035">
        <f t="shared" si="70"/>
        <v>1</v>
      </c>
      <c r="AA433" s="1033" t="s">
        <v>2886</v>
      </c>
      <c r="AB433" s="1033" t="s">
        <v>2882</v>
      </c>
      <c r="AC433" s="1021">
        <v>111653</v>
      </c>
      <c r="AD433" s="1021" t="s">
        <v>2630</v>
      </c>
      <c r="AE433" s="1022">
        <f>VLOOKUP(AC433,[5]Hoja1!$A$10:$K$1393,11,0)</f>
        <v>4151992</v>
      </c>
      <c r="AF433" s="1022">
        <v>0</v>
      </c>
      <c r="AG433" s="1022">
        <f t="shared" si="71"/>
        <v>4151992</v>
      </c>
      <c r="AH433" s="1022">
        <f t="shared" si="72"/>
        <v>4152</v>
      </c>
      <c r="AK433" s="448"/>
      <c r="AL433" s="445"/>
    </row>
    <row r="434" spans="1:38" s="467" customFormat="1" ht="12.75" customHeight="1">
      <c r="A434" s="1033">
        <v>5153500</v>
      </c>
      <c r="B434" s="1033" t="s">
        <v>1457</v>
      </c>
      <c r="C434" s="1034"/>
      <c r="D434" s="1033"/>
      <c r="E434" s="1033"/>
      <c r="F434" s="1034"/>
      <c r="G434" s="1033"/>
      <c r="H434" s="1033"/>
      <c r="I434" s="1034"/>
      <c r="J434" s="1033"/>
      <c r="K434" s="1033"/>
      <c r="L434" s="1034"/>
      <c r="M434" s="1035"/>
      <c r="N434" s="1035"/>
      <c r="O434" s="1036"/>
      <c r="P434" s="1033"/>
      <c r="Q434" s="1033"/>
      <c r="R434" s="1034"/>
      <c r="S434" s="1035"/>
      <c r="T434" s="1035"/>
      <c r="U434" s="1034"/>
      <c r="V434" s="1035"/>
      <c r="W434" s="1035"/>
      <c r="X434" s="1037"/>
      <c r="Y434" s="1035"/>
      <c r="Z434" s="1035">
        <f t="shared" si="70"/>
        <v>1</v>
      </c>
      <c r="AA434" s="1033" t="s">
        <v>2886</v>
      </c>
      <c r="AB434" s="1033" t="s">
        <v>2882</v>
      </c>
      <c r="AC434" s="1023">
        <v>111655</v>
      </c>
      <c r="AD434" s="1021" t="s">
        <v>2686</v>
      </c>
      <c r="AE434" s="1022">
        <f>VLOOKUP(AC434,[5]Hoja1!$A$10:$K$1393,11,0)</f>
        <v>4935414213</v>
      </c>
      <c r="AF434" s="1191">
        <f>-AE434</f>
        <v>-4935414213</v>
      </c>
      <c r="AG434" s="1022">
        <f t="shared" si="71"/>
        <v>0</v>
      </c>
      <c r="AH434" s="1022">
        <f t="shared" si="72"/>
        <v>0</v>
      </c>
      <c r="AK434" s="448"/>
      <c r="AL434" s="445"/>
    </row>
    <row r="435" spans="1:38" s="467" customFormat="1" ht="12.75" customHeight="1">
      <c r="A435" s="1033">
        <v>5153500</v>
      </c>
      <c r="B435" s="1033" t="s">
        <v>1457</v>
      </c>
      <c r="C435" s="1034"/>
      <c r="D435" s="1033"/>
      <c r="E435" s="1033"/>
      <c r="F435" s="1034"/>
      <c r="G435" s="1033"/>
      <c r="H435" s="1033"/>
      <c r="I435" s="1034"/>
      <c r="J435" s="1033"/>
      <c r="K435" s="1033"/>
      <c r="L435" s="1034"/>
      <c r="M435" s="1035"/>
      <c r="N435" s="1035"/>
      <c r="O435" s="1036"/>
      <c r="P435" s="1033"/>
      <c r="Q435" s="1033"/>
      <c r="R435" s="1034"/>
      <c r="S435" s="1035"/>
      <c r="T435" s="1035"/>
      <c r="U435" s="1034"/>
      <c r="V435" s="1035"/>
      <c r="W435" s="1035"/>
      <c r="X435" s="1037"/>
      <c r="Y435" s="1035"/>
      <c r="Z435" s="1035">
        <f t="shared" si="70"/>
        <v>1</v>
      </c>
      <c r="AA435" s="1033" t="s">
        <v>2886</v>
      </c>
      <c r="AB435" s="1033" t="s">
        <v>2879</v>
      </c>
      <c r="AC435" s="1023">
        <v>111660</v>
      </c>
      <c r="AD435" s="1021" t="s">
        <v>2891</v>
      </c>
      <c r="AE435" s="1022">
        <f>VLOOKUP(AC435,[5]Hoja1!$A$10:$K$1393,11,0)</f>
        <v>-500000</v>
      </c>
      <c r="AF435" s="1022"/>
      <c r="AG435" s="1022">
        <f t="shared" si="71"/>
        <v>-500000</v>
      </c>
      <c r="AH435" s="1022">
        <f t="shared" si="72"/>
        <v>-500</v>
      </c>
      <c r="AK435" s="448"/>
      <c r="AL435" s="445"/>
    </row>
    <row r="436" spans="1:38" s="467" customFormat="1" ht="12.75" customHeight="1">
      <c r="A436" s="1033">
        <v>5153500</v>
      </c>
      <c r="B436" s="1033" t="s">
        <v>1457</v>
      </c>
      <c r="C436" s="1034"/>
      <c r="D436" s="1033"/>
      <c r="E436" s="1033"/>
      <c r="F436" s="1034"/>
      <c r="G436" s="1033"/>
      <c r="H436" s="1033"/>
      <c r="I436" s="1034"/>
      <c r="J436" s="1033"/>
      <c r="K436" s="1033"/>
      <c r="L436" s="1034"/>
      <c r="M436" s="1035"/>
      <c r="N436" s="1035"/>
      <c r="O436" s="1036"/>
      <c r="P436" s="1033"/>
      <c r="Q436" s="1033"/>
      <c r="R436" s="1034"/>
      <c r="S436" s="1035"/>
      <c r="T436" s="1035"/>
      <c r="U436" s="1034"/>
      <c r="V436" s="1035"/>
      <c r="W436" s="1035"/>
      <c r="X436" s="1037"/>
      <c r="Y436" s="1035"/>
      <c r="Z436" s="1035">
        <f t="shared" si="70"/>
        <v>1</v>
      </c>
      <c r="AA436" s="1033" t="s">
        <v>2886</v>
      </c>
      <c r="AB436" s="1033" t="s">
        <v>2879</v>
      </c>
      <c r="AC436" s="1023">
        <v>111661</v>
      </c>
      <c r="AD436" s="1021" t="s">
        <v>2894</v>
      </c>
      <c r="AE436" s="1022">
        <f>VLOOKUP(AC436,[5]Hoja1!$A$10:$K$1393,11,0)</f>
        <v>-56560</v>
      </c>
      <c r="AF436" s="1022"/>
      <c r="AG436" s="1022">
        <f t="shared" si="71"/>
        <v>-56560</v>
      </c>
      <c r="AH436" s="1022">
        <f t="shared" si="72"/>
        <v>-57</v>
      </c>
      <c r="AK436" s="448"/>
      <c r="AL436" s="445"/>
    </row>
    <row r="437" spans="1:38" s="467" customFormat="1" ht="12.75" customHeight="1">
      <c r="A437" s="1033">
        <v>5153500</v>
      </c>
      <c r="B437" s="1033" t="s">
        <v>1457</v>
      </c>
      <c r="C437" s="1034"/>
      <c r="D437" s="1033"/>
      <c r="E437" s="1033"/>
      <c r="F437" s="1034"/>
      <c r="G437" s="1033"/>
      <c r="H437" s="1033"/>
      <c r="I437" s="1034"/>
      <c r="J437" s="1033"/>
      <c r="K437" s="1033"/>
      <c r="L437" s="1034"/>
      <c r="M437" s="1035"/>
      <c r="N437" s="1035"/>
      <c r="O437" s="1036"/>
      <c r="P437" s="1033"/>
      <c r="Q437" s="1033"/>
      <c r="R437" s="1034"/>
      <c r="S437" s="1035"/>
      <c r="T437" s="1035"/>
      <c r="U437" s="1034"/>
      <c r="V437" s="1035"/>
      <c r="W437" s="1035"/>
      <c r="X437" s="1037"/>
      <c r="Y437" s="1035"/>
      <c r="Z437" s="1035">
        <f t="shared" si="70"/>
        <v>1</v>
      </c>
      <c r="AA437" s="1033" t="s">
        <v>2886</v>
      </c>
      <c r="AB437" s="1033" t="s">
        <v>2882</v>
      </c>
      <c r="AC437" s="1023">
        <v>111662</v>
      </c>
      <c r="AD437" s="1021" t="s">
        <v>2689</v>
      </c>
      <c r="AE437" s="1022">
        <f>VLOOKUP(AC437,[5]Hoja1!$A$10:$K$1393,11,0)</f>
        <v>0</v>
      </c>
      <c r="AF437" s="1022"/>
      <c r="AG437" s="1022">
        <f t="shared" si="71"/>
        <v>0</v>
      </c>
      <c r="AH437" s="1022">
        <f t="shared" si="72"/>
        <v>0</v>
      </c>
      <c r="AK437" s="448"/>
      <c r="AL437" s="445"/>
    </row>
    <row r="438" spans="1:38" s="467" customFormat="1" ht="12.75" customHeight="1">
      <c r="A438" s="1033">
        <v>5153500</v>
      </c>
      <c r="B438" s="1033" t="s">
        <v>1457</v>
      </c>
      <c r="C438" s="1034"/>
      <c r="D438" s="1033"/>
      <c r="E438" s="1033"/>
      <c r="F438" s="1034"/>
      <c r="G438" s="1033"/>
      <c r="H438" s="1033"/>
      <c r="I438" s="1034"/>
      <c r="J438" s="1033"/>
      <c r="K438" s="1033"/>
      <c r="L438" s="1034"/>
      <c r="M438" s="1035"/>
      <c r="N438" s="1035"/>
      <c r="O438" s="1036"/>
      <c r="P438" s="1033"/>
      <c r="Q438" s="1033"/>
      <c r="R438" s="1034"/>
      <c r="S438" s="1035"/>
      <c r="T438" s="1035"/>
      <c r="U438" s="1034"/>
      <c r="V438" s="1035"/>
      <c r="W438" s="1035"/>
      <c r="X438" s="1037"/>
      <c r="Y438" s="1035"/>
      <c r="Z438" s="1035">
        <f t="shared" si="70"/>
        <v>1</v>
      </c>
      <c r="AA438" s="1033" t="s">
        <v>2886</v>
      </c>
      <c r="AB438" s="1033" t="s">
        <v>2882</v>
      </c>
      <c r="AC438" s="1023">
        <v>111663</v>
      </c>
      <c r="AD438" s="1021" t="s">
        <v>2892</v>
      </c>
      <c r="AE438" s="1022">
        <f>VLOOKUP(AC438,[5]Hoja1!$A$10:$K$1393,11,0)</f>
        <v>-719576</v>
      </c>
      <c r="AF438" s="1022"/>
      <c r="AG438" s="1022">
        <f t="shared" si="71"/>
        <v>-719576</v>
      </c>
      <c r="AH438" s="1022">
        <f t="shared" si="72"/>
        <v>-720</v>
      </c>
      <c r="AK438" s="448"/>
      <c r="AL438" s="445"/>
    </row>
    <row r="439" spans="1:38" s="467" customFormat="1" ht="12.75" customHeight="1">
      <c r="A439" s="1033">
        <v>5153500</v>
      </c>
      <c r="B439" s="1033" t="s">
        <v>1457</v>
      </c>
      <c r="C439" s="1034"/>
      <c r="D439" s="1033"/>
      <c r="E439" s="1033"/>
      <c r="F439" s="1034"/>
      <c r="G439" s="1033"/>
      <c r="H439" s="1033"/>
      <c r="I439" s="1034"/>
      <c r="J439" s="1033"/>
      <c r="K439" s="1033"/>
      <c r="L439" s="1034"/>
      <c r="M439" s="1035"/>
      <c r="N439" s="1035"/>
      <c r="O439" s="1036"/>
      <c r="P439" s="1033"/>
      <c r="Q439" s="1033"/>
      <c r="R439" s="1034"/>
      <c r="S439" s="1035"/>
      <c r="T439" s="1035"/>
      <c r="U439" s="1034"/>
      <c r="V439" s="1035"/>
      <c r="W439" s="1035"/>
      <c r="X439" s="1037" t="str">
        <f t="shared" ref="X439" si="84">+Y439&amp;Z439</f>
        <v>221</v>
      </c>
      <c r="Y439" s="1035">
        <v>22</v>
      </c>
      <c r="Z439" s="1035">
        <f t="shared" si="70"/>
        <v>1</v>
      </c>
      <c r="AA439" s="1033" t="s">
        <v>2886</v>
      </c>
      <c r="AB439" s="1033"/>
      <c r="AC439" s="1023">
        <v>111664</v>
      </c>
      <c r="AD439" s="1021" t="s">
        <v>3524</v>
      </c>
      <c r="AE439" s="1022">
        <f>VLOOKUP(AC439,[5]Hoja1!$A$10:$K$1393,11,0)</f>
        <v>10306383</v>
      </c>
      <c r="AF439" s="1022"/>
      <c r="AG439" s="1022">
        <f t="shared" ref="AG439" si="85">AE439+AF439</f>
        <v>10306383</v>
      </c>
      <c r="AH439" s="1022">
        <f t="shared" ref="AH439" si="86">ROUND((AE439+AF439)/$AH$2,0)</f>
        <v>10306</v>
      </c>
      <c r="AK439" s="448"/>
      <c r="AL439" s="445"/>
    </row>
    <row r="440" spans="1:38" s="467" customFormat="1" ht="12.75" customHeight="1">
      <c r="A440" s="1033">
        <v>5153500</v>
      </c>
      <c r="B440" s="1033" t="s">
        <v>1457</v>
      </c>
      <c r="C440" s="1034"/>
      <c r="D440" s="1033"/>
      <c r="E440" s="1033"/>
      <c r="F440" s="1034"/>
      <c r="G440" s="1033"/>
      <c r="H440" s="1033"/>
      <c r="I440" s="1034"/>
      <c r="J440" s="1033"/>
      <c r="K440" s="1033"/>
      <c r="L440" s="1034"/>
      <c r="M440" s="1035"/>
      <c r="N440" s="1035"/>
      <c r="O440" s="1036"/>
      <c r="P440" s="1033"/>
      <c r="Q440" s="1033"/>
      <c r="R440" s="1034"/>
      <c r="S440" s="1035"/>
      <c r="T440" s="1035"/>
      <c r="U440" s="1034"/>
      <c r="V440" s="1035"/>
      <c r="W440" s="1035"/>
      <c r="X440" s="1037" t="str">
        <f t="shared" ref="X440" si="87">+Y440&amp;Z440</f>
        <v>221</v>
      </c>
      <c r="Y440" s="1035">
        <v>22</v>
      </c>
      <c r="Z440" s="1035">
        <f t="shared" ref="Z440:Z441" si="88">VALUE(LEFT(AC440,1))</f>
        <v>1</v>
      </c>
      <c r="AA440" s="1033" t="s">
        <v>2886</v>
      </c>
      <c r="AB440" s="1033"/>
      <c r="AC440" s="1023">
        <v>111666</v>
      </c>
      <c r="AD440" s="1021" t="s">
        <v>3525</v>
      </c>
      <c r="AE440" s="1022">
        <f>VLOOKUP(AC440,[5]Hoja1!$A$10:$K$1393,11,0)</f>
        <v>35964127</v>
      </c>
      <c r="AF440" s="1022"/>
      <c r="AG440" s="1022">
        <f t="shared" ref="AG440" si="89">AE440+AF440</f>
        <v>35964127</v>
      </c>
      <c r="AH440" s="1022">
        <f t="shared" ref="AH440" si="90">ROUND((AE440+AF440)/$AH$2,0)</f>
        <v>35964</v>
      </c>
      <c r="AK440" s="448"/>
      <c r="AL440" s="445"/>
    </row>
    <row r="441" spans="1:38" s="467" customFormat="1" ht="12.75" customHeight="1">
      <c r="A441" s="1033"/>
      <c r="B441" s="1033" t="s">
        <v>1457</v>
      </c>
      <c r="C441" s="1034"/>
      <c r="D441" s="1033"/>
      <c r="E441" s="1033"/>
      <c r="F441" s="1034"/>
      <c r="G441" s="1033"/>
      <c r="H441" s="1033"/>
      <c r="I441" s="1034"/>
      <c r="J441" s="1033"/>
      <c r="K441" s="1033"/>
      <c r="L441" s="1034"/>
      <c r="M441" s="1035"/>
      <c r="N441" s="1035"/>
      <c r="O441" s="1036"/>
      <c r="P441" s="1033"/>
      <c r="Q441" s="1033"/>
      <c r="R441" s="1034"/>
      <c r="S441" s="1035"/>
      <c r="T441" s="1035"/>
      <c r="U441" s="1034"/>
      <c r="V441" s="1035"/>
      <c r="W441" s="1035"/>
      <c r="X441" s="1037"/>
      <c r="Y441" s="1035"/>
      <c r="Z441" s="1035">
        <f t="shared" si="88"/>
        <v>1</v>
      </c>
      <c r="AA441" s="1033" t="s">
        <v>2886</v>
      </c>
      <c r="AB441" s="1033"/>
      <c r="AC441" s="1023">
        <v>111668</v>
      </c>
      <c r="AD441" s="1021" t="s">
        <v>3526</v>
      </c>
      <c r="AE441" s="1022">
        <f>VLOOKUP(AC441,[5]Hoja1!$A$10:$K$1393,11,0)</f>
        <v>0</v>
      </c>
      <c r="AF441" s="1022"/>
      <c r="AG441" s="1022">
        <f t="shared" ref="AG441" si="91">AE441+AF441</f>
        <v>0</v>
      </c>
      <c r="AH441" s="1022">
        <f t="shared" ref="AH441" si="92">ROUND((AE441+AF441)/$AH$2,0)</f>
        <v>0</v>
      </c>
      <c r="AK441" s="448"/>
      <c r="AL441" s="445"/>
    </row>
    <row r="442" spans="1:38" s="467" customFormat="1" ht="12.75" customHeight="1">
      <c r="A442" s="1033">
        <v>5152100</v>
      </c>
      <c r="B442" s="1033" t="s">
        <v>2765</v>
      </c>
      <c r="C442" s="1034" t="str">
        <f t="shared" si="55"/>
        <v/>
      </c>
      <c r="D442" s="1033"/>
      <c r="E442" s="1033"/>
      <c r="F442" s="1034" t="str">
        <f t="shared" si="56"/>
        <v/>
      </c>
      <c r="G442" s="1033"/>
      <c r="H442" s="1033"/>
      <c r="I442" s="1034" t="str">
        <f t="shared" si="57"/>
        <v/>
      </c>
      <c r="J442" s="1033"/>
      <c r="K442" s="1033"/>
      <c r="L442" s="1034" t="str">
        <f t="shared" si="58"/>
        <v/>
      </c>
      <c r="M442" s="1035"/>
      <c r="N442" s="1035"/>
      <c r="O442" s="1036" t="str">
        <f t="shared" si="59"/>
        <v/>
      </c>
      <c r="P442" s="1033"/>
      <c r="Q442" s="1033"/>
      <c r="R442" s="1034" t="str">
        <f t="shared" si="60"/>
        <v/>
      </c>
      <c r="S442" s="1035"/>
      <c r="T442" s="1035"/>
      <c r="U442" s="1034" t="str">
        <f t="shared" si="61"/>
        <v/>
      </c>
      <c r="V442" s="1035"/>
      <c r="W442" s="1035"/>
      <c r="X442" s="1037" t="str">
        <f t="shared" ref="X442:X449" si="93">+Y442&amp;Z442</f>
        <v>1</v>
      </c>
      <c r="Y442" s="1035"/>
      <c r="Z442" s="1035">
        <f t="shared" si="70"/>
        <v>1</v>
      </c>
      <c r="AA442" s="1041" t="s">
        <v>2870</v>
      </c>
      <c r="AB442" s="1033" t="s">
        <v>2863</v>
      </c>
      <c r="AC442" s="1021">
        <v>111703</v>
      </c>
      <c r="AD442" s="1021" t="s">
        <v>1023</v>
      </c>
      <c r="AE442" s="1022">
        <f>VLOOKUP(AC442,[5]Hoja1!$A$10:$K$1393,11,0)</f>
        <v>1251696532</v>
      </c>
      <c r="AF442" s="1509">
        <f>-AF804</f>
        <v>-234341632</v>
      </c>
      <c r="AG442" s="1022">
        <f t="shared" si="71"/>
        <v>1017354900</v>
      </c>
      <c r="AH442" s="1022">
        <f t="shared" si="72"/>
        <v>1017355</v>
      </c>
      <c r="AK442" s="448"/>
      <c r="AL442" s="445"/>
    </row>
    <row r="443" spans="1:38" s="467" customFormat="1" ht="12.75" customHeight="1">
      <c r="A443" s="1033"/>
      <c r="B443" s="1033"/>
      <c r="C443" s="1034" t="str">
        <f t="shared" si="55"/>
        <v/>
      </c>
      <c r="D443" s="1033"/>
      <c r="E443" s="1033"/>
      <c r="F443" s="1034" t="str">
        <f t="shared" si="56"/>
        <v/>
      </c>
      <c r="G443" s="1033"/>
      <c r="H443" s="1033"/>
      <c r="I443" s="1034" t="str">
        <f t="shared" si="57"/>
        <v/>
      </c>
      <c r="J443" s="1033"/>
      <c r="K443" s="1033"/>
      <c r="L443" s="1034" t="str">
        <f t="shared" si="58"/>
        <v/>
      </c>
      <c r="M443" s="1035"/>
      <c r="N443" s="1035"/>
      <c r="O443" s="1036" t="str">
        <f t="shared" si="59"/>
        <v/>
      </c>
      <c r="P443" s="1033"/>
      <c r="Q443" s="1033"/>
      <c r="R443" s="1034" t="str">
        <f t="shared" si="60"/>
        <v/>
      </c>
      <c r="S443" s="1035"/>
      <c r="T443" s="1035"/>
      <c r="U443" s="1034" t="str">
        <f t="shared" si="61"/>
        <v/>
      </c>
      <c r="V443" s="1035"/>
      <c r="W443" s="1035"/>
      <c r="X443" s="1037" t="str">
        <f t="shared" si="93"/>
        <v>1</v>
      </c>
      <c r="Y443" s="1035"/>
      <c r="Z443" s="1035">
        <f t="shared" si="70"/>
        <v>1</v>
      </c>
      <c r="AA443" s="1035"/>
      <c r="AB443" s="1035"/>
      <c r="AC443" s="1021">
        <v>111704</v>
      </c>
      <c r="AD443" s="1021" t="s">
        <v>788</v>
      </c>
      <c r="AE443" s="1022">
        <v>0</v>
      </c>
      <c r="AF443" s="1025"/>
      <c r="AG443" s="1022">
        <f t="shared" si="71"/>
        <v>0</v>
      </c>
      <c r="AH443" s="1022">
        <f t="shared" si="72"/>
        <v>0</v>
      </c>
      <c r="AK443" s="448"/>
      <c r="AL443" s="445"/>
    </row>
    <row r="444" spans="1:38" s="467" customFormat="1" ht="12.75" customHeight="1">
      <c r="A444" s="1033">
        <v>5153500</v>
      </c>
      <c r="B444" s="1033" t="s">
        <v>1457</v>
      </c>
      <c r="C444" s="1034" t="str">
        <f t="shared" si="55"/>
        <v/>
      </c>
      <c r="D444" s="1033"/>
      <c r="E444" s="1033"/>
      <c r="F444" s="1034" t="str">
        <f t="shared" si="56"/>
        <v/>
      </c>
      <c r="G444" s="1033"/>
      <c r="H444" s="1033"/>
      <c r="I444" s="1034" t="str">
        <f t="shared" si="57"/>
        <v/>
      </c>
      <c r="J444" s="1033"/>
      <c r="K444" s="1033"/>
      <c r="L444" s="1034" t="str">
        <f t="shared" si="58"/>
        <v/>
      </c>
      <c r="M444" s="1035"/>
      <c r="N444" s="1035"/>
      <c r="O444" s="1036" t="str">
        <f t="shared" si="59"/>
        <v/>
      </c>
      <c r="P444" s="1033"/>
      <c r="Q444" s="1033"/>
      <c r="R444" s="1034" t="str">
        <f t="shared" si="60"/>
        <v/>
      </c>
      <c r="S444" s="1035"/>
      <c r="T444" s="1035"/>
      <c r="U444" s="1034" t="str">
        <f t="shared" si="61"/>
        <v/>
      </c>
      <c r="V444" s="1035"/>
      <c r="W444" s="1035"/>
      <c r="X444" s="1037" t="str">
        <f t="shared" si="93"/>
        <v>1</v>
      </c>
      <c r="Y444" s="1035"/>
      <c r="Z444" s="1035">
        <f t="shared" si="70"/>
        <v>1</v>
      </c>
      <c r="AA444" s="1033" t="s">
        <v>2886</v>
      </c>
      <c r="AB444" s="1033" t="s">
        <v>2876</v>
      </c>
      <c r="AC444" s="1021">
        <v>111705</v>
      </c>
      <c r="AD444" s="1021" t="s">
        <v>1489</v>
      </c>
      <c r="AE444" s="1022">
        <f>VLOOKUP(AC444,[5]Hoja1!$A$10:$K$1393,11,0)</f>
        <v>443777025</v>
      </c>
      <c r="AF444" s="1509">
        <f>-AE444</f>
        <v>-443777025</v>
      </c>
      <c r="AG444" s="1022">
        <f t="shared" si="71"/>
        <v>0</v>
      </c>
      <c r="AH444" s="1022">
        <f t="shared" si="72"/>
        <v>0</v>
      </c>
      <c r="AK444" s="448"/>
      <c r="AL444" s="445"/>
    </row>
    <row r="445" spans="1:38" s="467" customFormat="1" ht="12.75" customHeight="1">
      <c r="A445" s="1033">
        <v>5152100</v>
      </c>
      <c r="B445" s="1033" t="s">
        <v>2765</v>
      </c>
      <c r="C445" s="1034" t="str">
        <f t="shared" si="55"/>
        <v/>
      </c>
      <c r="D445" s="1033"/>
      <c r="E445" s="1033"/>
      <c r="F445" s="1034" t="str">
        <f t="shared" si="56"/>
        <v/>
      </c>
      <c r="G445" s="1033"/>
      <c r="H445" s="1033"/>
      <c r="I445" s="1034" t="str">
        <f t="shared" si="57"/>
        <v/>
      </c>
      <c r="J445" s="1033"/>
      <c r="K445" s="1033"/>
      <c r="L445" s="1034" t="str">
        <f t="shared" si="58"/>
        <v/>
      </c>
      <c r="M445" s="1035"/>
      <c r="N445" s="1035"/>
      <c r="O445" s="1036" t="str">
        <f t="shared" si="59"/>
        <v/>
      </c>
      <c r="P445" s="1033"/>
      <c r="Q445" s="1033"/>
      <c r="R445" s="1034" t="str">
        <f t="shared" si="60"/>
        <v/>
      </c>
      <c r="S445" s="1035"/>
      <c r="T445" s="1035"/>
      <c r="U445" s="1034" t="str">
        <f t="shared" si="61"/>
        <v/>
      </c>
      <c r="V445" s="1035"/>
      <c r="W445" s="1035"/>
      <c r="X445" s="1037" t="str">
        <f t="shared" si="93"/>
        <v>1</v>
      </c>
      <c r="Y445" s="1035"/>
      <c r="Z445" s="1035">
        <f t="shared" si="70"/>
        <v>1</v>
      </c>
      <c r="AA445" s="1033" t="s">
        <v>2870</v>
      </c>
      <c r="AB445" s="1033" t="s">
        <v>2900</v>
      </c>
      <c r="AC445" s="1021">
        <v>111706</v>
      </c>
      <c r="AD445" s="1021" t="s">
        <v>406</v>
      </c>
      <c r="AE445" s="1022">
        <f>VLOOKUP(AC445,[5]Hoja1!$A$10:$K$1393,11,0)</f>
        <v>177320874</v>
      </c>
      <c r="AF445" s="1022">
        <v>0</v>
      </c>
      <c r="AG445" s="1022">
        <f t="shared" si="71"/>
        <v>177320874</v>
      </c>
      <c r="AH445" s="1022">
        <f t="shared" si="72"/>
        <v>177321</v>
      </c>
      <c r="AK445" s="448"/>
      <c r="AL445" s="445"/>
    </row>
    <row r="446" spans="1:38" s="467" customFormat="1" ht="12.75" customHeight="1">
      <c r="A446" s="1033">
        <v>5152100</v>
      </c>
      <c r="B446" s="1033" t="s">
        <v>2765</v>
      </c>
      <c r="C446" s="1034" t="str">
        <f t="shared" si="55"/>
        <v/>
      </c>
      <c r="D446" s="1033"/>
      <c r="E446" s="1033"/>
      <c r="F446" s="1034" t="str">
        <f t="shared" si="56"/>
        <v/>
      </c>
      <c r="G446" s="1033"/>
      <c r="H446" s="1033"/>
      <c r="I446" s="1034" t="str">
        <f t="shared" si="57"/>
        <v/>
      </c>
      <c r="J446" s="1033"/>
      <c r="K446" s="1033"/>
      <c r="L446" s="1034" t="str">
        <f t="shared" si="58"/>
        <v/>
      </c>
      <c r="M446" s="1035"/>
      <c r="N446" s="1035"/>
      <c r="O446" s="1036" t="str">
        <f t="shared" si="59"/>
        <v/>
      </c>
      <c r="P446" s="1033"/>
      <c r="Q446" s="1033"/>
      <c r="R446" s="1034" t="str">
        <f t="shared" si="60"/>
        <v/>
      </c>
      <c r="S446" s="1035"/>
      <c r="T446" s="1035"/>
      <c r="U446" s="1034" t="str">
        <f t="shared" si="61"/>
        <v/>
      </c>
      <c r="V446" s="1035"/>
      <c r="W446" s="1035"/>
      <c r="X446" s="1037" t="str">
        <f t="shared" si="93"/>
        <v>1</v>
      </c>
      <c r="Y446" s="1035"/>
      <c r="Z446" s="1035">
        <f t="shared" si="70"/>
        <v>1</v>
      </c>
      <c r="AA446" s="1033" t="s">
        <v>2870</v>
      </c>
      <c r="AB446" s="1033" t="s">
        <v>2865</v>
      </c>
      <c r="AC446" s="1021">
        <v>111707</v>
      </c>
      <c r="AD446" s="1021" t="s">
        <v>593</v>
      </c>
      <c r="AE446" s="1022">
        <f>VLOOKUP(AC446,[5]Hoja1!$A$10:$K$1393,11,0)</f>
        <v>43780952</v>
      </c>
      <c r="AF446" s="1022">
        <v>0</v>
      </c>
      <c r="AG446" s="1022">
        <f t="shared" si="71"/>
        <v>43780952</v>
      </c>
      <c r="AH446" s="1022">
        <f t="shared" si="72"/>
        <v>43781</v>
      </c>
      <c r="AK446" s="448"/>
      <c r="AL446" s="445"/>
    </row>
    <row r="447" spans="1:38" s="467" customFormat="1" ht="12.75" customHeight="1">
      <c r="A447" s="1033">
        <v>5152100</v>
      </c>
      <c r="B447" s="1033" t="s">
        <v>2765</v>
      </c>
      <c r="C447" s="1034" t="str">
        <f t="shared" si="55"/>
        <v/>
      </c>
      <c r="D447" s="1033"/>
      <c r="E447" s="1033"/>
      <c r="F447" s="1034" t="str">
        <f t="shared" si="56"/>
        <v/>
      </c>
      <c r="G447" s="1033"/>
      <c r="H447" s="1033"/>
      <c r="I447" s="1034" t="str">
        <f t="shared" si="57"/>
        <v/>
      </c>
      <c r="J447" s="1033"/>
      <c r="K447" s="1033"/>
      <c r="L447" s="1034" t="str">
        <f t="shared" si="58"/>
        <v/>
      </c>
      <c r="M447" s="1035"/>
      <c r="N447" s="1035"/>
      <c r="O447" s="1036" t="str">
        <f t="shared" si="59"/>
        <v/>
      </c>
      <c r="P447" s="1033"/>
      <c r="Q447" s="1033"/>
      <c r="R447" s="1034" t="str">
        <f t="shared" si="60"/>
        <v/>
      </c>
      <c r="S447" s="1035"/>
      <c r="T447" s="1035"/>
      <c r="U447" s="1034" t="str">
        <f t="shared" si="61"/>
        <v/>
      </c>
      <c r="V447" s="1035"/>
      <c r="W447" s="1035"/>
      <c r="X447" s="1037" t="str">
        <f t="shared" si="93"/>
        <v>1</v>
      </c>
      <c r="Y447" s="1035"/>
      <c r="Z447" s="1035">
        <f t="shared" si="70"/>
        <v>1</v>
      </c>
      <c r="AA447" s="1033" t="s">
        <v>2870</v>
      </c>
      <c r="AB447" s="1033" t="s">
        <v>2866</v>
      </c>
      <c r="AC447" s="1021">
        <v>111708</v>
      </c>
      <c r="AD447" s="1021" t="s">
        <v>2062</v>
      </c>
      <c r="AE447" s="1022">
        <f>VLOOKUP(AC447,[5]Hoja1!$A$10:$K$1393,11,0)</f>
        <v>0</v>
      </c>
      <c r="AF447" s="1022">
        <v>0</v>
      </c>
      <c r="AG447" s="1022">
        <f t="shared" si="71"/>
        <v>0</v>
      </c>
      <c r="AH447" s="1022">
        <f t="shared" si="72"/>
        <v>0</v>
      </c>
      <c r="AK447" s="448"/>
      <c r="AL447" s="445"/>
    </row>
    <row r="448" spans="1:38" s="467" customFormat="1" ht="12.75" customHeight="1">
      <c r="A448" s="1033">
        <v>5152100</v>
      </c>
      <c r="B448" s="1033" t="s">
        <v>2765</v>
      </c>
      <c r="C448" s="1034" t="str">
        <f t="shared" si="55"/>
        <v/>
      </c>
      <c r="D448" s="1033"/>
      <c r="E448" s="1033"/>
      <c r="F448" s="1034" t="str">
        <f t="shared" si="56"/>
        <v/>
      </c>
      <c r="G448" s="1033"/>
      <c r="H448" s="1033"/>
      <c r="I448" s="1034" t="str">
        <f t="shared" si="57"/>
        <v/>
      </c>
      <c r="J448" s="1033"/>
      <c r="K448" s="1033"/>
      <c r="L448" s="1034" t="str">
        <f t="shared" si="58"/>
        <v/>
      </c>
      <c r="M448" s="1035"/>
      <c r="N448" s="1035"/>
      <c r="O448" s="1036" t="str">
        <f t="shared" si="59"/>
        <v/>
      </c>
      <c r="P448" s="1033"/>
      <c r="Q448" s="1033"/>
      <c r="R448" s="1034" t="str">
        <f t="shared" si="60"/>
        <v/>
      </c>
      <c r="S448" s="1035"/>
      <c r="T448" s="1035"/>
      <c r="U448" s="1034" t="str">
        <f t="shared" si="61"/>
        <v/>
      </c>
      <c r="V448" s="1035"/>
      <c r="W448" s="1035"/>
      <c r="X448" s="1037" t="str">
        <f t="shared" si="93"/>
        <v>1</v>
      </c>
      <c r="Y448" s="1035"/>
      <c r="Z448" s="1035">
        <f t="shared" si="70"/>
        <v>1</v>
      </c>
      <c r="AA448" s="1033" t="s">
        <v>2870</v>
      </c>
      <c r="AB448" s="1033" t="s">
        <v>2900</v>
      </c>
      <c r="AC448" s="1021">
        <v>111709</v>
      </c>
      <c r="AD448" s="1021" t="s">
        <v>760</v>
      </c>
      <c r="AE448" s="1022">
        <f>VLOOKUP(AC448,[5]Hoja1!$A$10:$K$1393,11,0)</f>
        <v>0</v>
      </c>
      <c r="AF448" s="1022">
        <v>0</v>
      </c>
      <c r="AG448" s="1022">
        <f t="shared" si="71"/>
        <v>0</v>
      </c>
      <c r="AH448" s="1022">
        <f t="shared" si="72"/>
        <v>0</v>
      </c>
      <c r="AK448" s="448"/>
      <c r="AL448" s="445"/>
    </row>
    <row r="449" spans="1:38" s="467" customFormat="1" ht="12.75" customHeight="1">
      <c r="A449" s="1033">
        <v>5153500</v>
      </c>
      <c r="B449" s="1033" t="s">
        <v>1457</v>
      </c>
      <c r="C449" s="1034" t="str">
        <f t="shared" si="55"/>
        <v/>
      </c>
      <c r="D449" s="1033"/>
      <c r="E449" s="1033"/>
      <c r="F449" s="1034" t="str">
        <f t="shared" si="56"/>
        <v/>
      </c>
      <c r="G449" s="1033"/>
      <c r="H449" s="1033"/>
      <c r="I449" s="1034" t="str">
        <f t="shared" si="57"/>
        <v/>
      </c>
      <c r="J449" s="1033"/>
      <c r="K449" s="1033"/>
      <c r="L449" s="1034" t="str">
        <f t="shared" si="58"/>
        <v/>
      </c>
      <c r="M449" s="1035"/>
      <c r="N449" s="1035"/>
      <c r="O449" s="1036" t="str">
        <f t="shared" si="59"/>
        <v/>
      </c>
      <c r="P449" s="1033"/>
      <c r="Q449" s="1033"/>
      <c r="R449" s="1034" t="str">
        <f t="shared" si="60"/>
        <v/>
      </c>
      <c r="S449" s="1035"/>
      <c r="T449" s="1035"/>
      <c r="U449" s="1034" t="str">
        <f t="shared" si="61"/>
        <v/>
      </c>
      <c r="V449" s="1035"/>
      <c r="W449" s="1035"/>
      <c r="X449" s="1037" t="str">
        <f t="shared" si="93"/>
        <v>221</v>
      </c>
      <c r="Y449" s="1035">
        <v>22</v>
      </c>
      <c r="Z449" s="1035">
        <f t="shared" si="70"/>
        <v>1</v>
      </c>
      <c r="AA449" s="1033" t="s">
        <v>2886</v>
      </c>
      <c r="AB449" s="1033" t="s">
        <v>2882</v>
      </c>
      <c r="AC449" s="1021">
        <v>111710</v>
      </c>
      <c r="AD449" s="1021" t="s">
        <v>2063</v>
      </c>
      <c r="AE449" s="1022">
        <f>VLOOKUP(AC449,[5]Hoja1!$A$10:$K$1393,11,0)</f>
        <v>14926271</v>
      </c>
      <c r="AF449" s="1022"/>
      <c r="AG449" s="1022">
        <f t="shared" si="71"/>
        <v>14926271</v>
      </c>
      <c r="AH449" s="1022">
        <f t="shared" si="72"/>
        <v>14926</v>
      </c>
      <c r="AK449" s="448"/>
      <c r="AL449" s="445"/>
    </row>
    <row r="450" spans="1:38" s="467" customFormat="1" ht="12.75" customHeight="1">
      <c r="A450" s="1033"/>
      <c r="B450" s="1033"/>
      <c r="C450" s="1034"/>
      <c r="D450" s="1033"/>
      <c r="E450" s="1033"/>
      <c r="F450" s="1034"/>
      <c r="G450" s="1033"/>
      <c r="H450" s="1033"/>
      <c r="I450" s="1034"/>
      <c r="J450" s="1033"/>
      <c r="K450" s="1033"/>
      <c r="L450" s="1034"/>
      <c r="M450" s="1035"/>
      <c r="N450" s="1035"/>
      <c r="O450" s="1036"/>
      <c r="P450" s="1033"/>
      <c r="Q450" s="1033"/>
      <c r="R450" s="1034"/>
      <c r="S450" s="1035"/>
      <c r="T450" s="1035"/>
      <c r="U450" s="1034"/>
      <c r="V450" s="1035"/>
      <c r="W450" s="1035"/>
      <c r="X450" s="1037"/>
      <c r="Y450" s="1035"/>
      <c r="Z450" s="1035">
        <f t="shared" si="70"/>
        <v>1</v>
      </c>
      <c r="AA450" s="1035"/>
      <c r="AB450" s="1035"/>
      <c r="AC450" s="1021">
        <v>111711</v>
      </c>
      <c r="AD450" s="1021" t="s">
        <v>2064</v>
      </c>
      <c r="AE450" s="1022">
        <f>VLOOKUP(AC450,[5]Hoja1!$A$10:$K$1393,11,0)</f>
        <v>0</v>
      </c>
      <c r="AF450" s="1022"/>
      <c r="AG450" s="1022">
        <f t="shared" si="71"/>
        <v>0</v>
      </c>
      <c r="AH450" s="1022">
        <f t="shared" si="72"/>
        <v>0</v>
      </c>
      <c r="AK450" s="448"/>
      <c r="AL450" s="445"/>
    </row>
    <row r="451" spans="1:38" s="467" customFormat="1" ht="12.75" customHeight="1">
      <c r="A451" s="1033">
        <v>5152100</v>
      </c>
      <c r="B451" s="1033" t="s">
        <v>2765</v>
      </c>
      <c r="C451" s="1034"/>
      <c r="D451" s="1033"/>
      <c r="E451" s="1033"/>
      <c r="F451" s="1034"/>
      <c r="G451" s="1033"/>
      <c r="H451" s="1033"/>
      <c r="I451" s="1034"/>
      <c r="J451" s="1033"/>
      <c r="K451" s="1033"/>
      <c r="L451" s="1034"/>
      <c r="M451" s="1035"/>
      <c r="N451" s="1035"/>
      <c r="O451" s="1036"/>
      <c r="P451" s="1033"/>
      <c r="Q451" s="1033"/>
      <c r="R451" s="1034"/>
      <c r="S451" s="1035"/>
      <c r="T451" s="1035"/>
      <c r="U451" s="1034"/>
      <c r="V451" s="1035"/>
      <c r="W451" s="1035"/>
      <c r="X451" s="1037"/>
      <c r="Y451" s="1035"/>
      <c r="Z451" s="1035">
        <f t="shared" si="70"/>
        <v>1</v>
      </c>
      <c r="AA451" s="1033" t="s">
        <v>2870</v>
      </c>
      <c r="AB451" s="1033" t="s">
        <v>2900</v>
      </c>
      <c r="AC451" s="1021">
        <v>111712</v>
      </c>
      <c r="AD451" s="1021" t="s">
        <v>2065</v>
      </c>
      <c r="AE451" s="1022">
        <f>VLOOKUP(AC451,[5]Hoja1!$A$10:$K$1393,11,0)</f>
        <v>20279134</v>
      </c>
      <c r="AF451" s="1022"/>
      <c r="AG451" s="1022">
        <f t="shared" si="71"/>
        <v>20279134</v>
      </c>
      <c r="AH451" s="1022">
        <f t="shared" si="72"/>
        <v>20279</v>
      </c>
      <c r="AK451" s="448"/>
      <c r="AL451" s="445"/>
    </row>
    <row r="452" spans="1:38" s="467" customFormat="1" ht="12.75" customHeight="1">
      <c r="A452" s="1033">
        <v>5153500</v>
      </c>
      <c r="B452" s="1033" t="s">
        <v>1457</v>
      </c>
      <c r="C452" s="1034"/>
      <c r="D452" s="1033"/>
      <c r="E452" s="1033"/>
      <c r="F452" s="1034"/>
      <c r="G452" s="1033"/>
      <c r="H452" s="1033"/>
      <c r="I452" s="1034"/>
      <c r="J452" s="1033"/>
      <c r="K452" s="1033"/>
      <c r="L452" s="1034"/>
      <c r="M452" s="1035"/>
      <c r="N452" s="1035"/>
      <c r="O452" s="1036"/>
      <c r="P452" s="1033"/>
      <c r="Q452" s="1033"/>
      <c r="R452" s="1034"/>
      <c r="S452" s="1035"/>
      <c r="T452" s="1035"/>
      <c r="U452" s="1034"/>
      <c r="V452" s="1035"/>
      <c r="W452" s="1035"/>
      <c r="X452" s="1037"/>
      <c r="Y452" s="1035"/>
      <c r="Z452" s="1035">
        <f t="shared" si="70"/>
        <v>1</v>
      </c>
      <c r="AA452" s="1033" t="s">
        <v>2886</v>
      </c>
      <c r="AB452" s="1033" t="s">
        <v>2882</v>
      </c>
      <c r="AC452" s="1023">
        <v>111713</v>
      </c>
      <c r="AD452" s="1021" t="s">
        <v>2892</v>
      </c>
      <c r="AE452" s="1022">
        <f>VLOOKUP(AC452,[5]Hoja1!$A$10:$K$1393,11,0)</f>
        <v>-1746752</v>
      </c>
      <c r="AF452" s="1022"/>
      <c r="AG452" s="1022">
        <f t="shared" si="71"/>
        <v>-1746752</v>
      </c>
      <c r="AH452" s="1022">
        <f t="shared" si="72"/>
        <v>-1747</v>
      </c>
      <c r="AK452" s="448"/>
      <c r="AL452" s="445"/>
    </row>
    <row r="453" spans="1:38" s="467" customFormat="1" ht="12.75" customHeight="1">
      <c r="A453" s="1033">
        <v>5152100</v>
      </c>
      <c r="B453" s="1033" t="s">
        <v>2765</v>
      </c>
      <c r="C453" s="1034"/>
      <c r="D453" s="1033"/>
      <c r="E453" s="1033"/>
      <c r="F453" s="1034"/>
      <c r="G453" s="1033"/>
      <c r="H453" s="1033"/>
      <c r="I453" s="1034"/>
      <c r="J453" s="1033"/>
      <c r="K453" s="1033"/>
      <c r="L453" s="1034"/>
      <c r="M453" s="1035"/>
      <c r="N453" s="1035"/>
      <c r="O453" s="1036"/>
      <c r="P453" s="1033"/>
      <c r="Q453" s="1033"/>
      <c r="R453" s="1034"/>
      <c r="S453" s="1035"/>
      <c r="T453" s="1035"/>
      <c r="U453" s="1034"/>
      <c r="V453" s="1035"/>
      <c r="W453" s="1035"/>
      <c r="X453" s="1037"/>
      <c r="Y453" s="1035"/>
      <c r="Z453" s="1035">
        <f t="shared" si="70"/>
        <v>1</v>
      </c>
      <c r="AA453" s="1033" t="s">
        <v>2870</v>
      </c>
      <c r="AB453" s="1033" t="s">
        <v>2900</v>
      </c>
      <c r="AC453" s="1023">
        <v>111714</v>
      </c>
      <c r="AD453" s="1021" t="s">
        <v>2691</v>
      </c>
      <c r="AE453" s="1022">
        <f>VLOOKUP(AC453,[5]Hoja1!$A$10:$K$1393,11,0)</f>
        <v>-18856831</v>
      </c>
      <c r="AF453" s="1022"/>
      <c r="AG453" s="1022">
        <f t="shared" si="71"/>
        <v>-18856831</v>
      </c>
      <c r="AH453" s="1022">
        <f t="shared" si="72"/>
        <v>-18857</v>
      </c>
      <c r="AK453" s="448"/>
      <c r="AL453" s="445"/>
    </row>
    <row r="454" spans="1:38" s="467" customFormat="1" ht="12.75" customHeight="1">
      <c r="A454" s="1033">
        <v>5153300</v>
      </c>
      <c r="B454" s="1033" t="s">
        <v>599</v>
      </c>
      <c r="C454" s="1034" t="str">
        <f t="shared" si="55"/>
        <v/>
      </c>
      <c r="D454" s="1033"/>
      <c r="E454" s="1033"/>
      <c r="F454" s="1034" t="str">
        <f t="shared" si="56"/>
        <v/>
      </c>
      <c r="G454" s="1033"/>
      <c r="H454" s="1033"/>
      <c r="I454" s="1034" t="str">
        <f t="shared" si="57"/>
        <v/>
      </c>
      <c r="J454" s="1033"/>
      <c r="K454" s="1033"/>
      <c r="L454" s="1034" t="str">
        <f t="shared" si="58"/>
        <v/>
      </c>
      <c r="M454" s="1035"/>
      <c r="N454" s="1035"/>
      <c r="O454" s="1036" t="str">
        <f t="shared" si="59"/>
        <v/>
      </c>
      <c r="P454" s="1033"/>
      <c r="Q454" s="1033"/>
      <c r="R454" s="1034" t="str">
        <f t="shared" si="60"/>
        <v/>
      </c>
      <c r="S454" s="1035"/>
      <c r="T454" s="1035"/>
      <c r="U454" s="1034" t="str">
        <f t="shared" si="61"/>
        <v/>
      </c>
      <c r="V454" s="1035"/>
      <c r="W454" s="1035"/>
      <c r="X454" s="1037" t="str">
        <f t="shared" ref="X454:X464" si="94">+Y454&amp;Z454</f>
        <v>1</v>
      </c>
      <c r="Y454" s="1035"/>
      <c r="Z454" s="1035">
        <f t="shared" si="70"/>
        <v>1</v>
      </c>
      <c r="AA454" s="1033" t="s">
        <v>2915</v>
      </c>
      <c r="AB454" s="1033" t="s">
        <v>2913</v>
      </c>
      <c r="AC454" s="1021">
        <v>111801</v>
      </c>
      <c r="AD454" s="1021" t="s">
        <v>1272</v>
      </c>
      <c r="AE454" s="1022">
        <f>VLOOKUP(AC454,[5]Hoja1!$A$10:$K$1393,11,0)</f>
        <v>0</v>
      </c>
      <c r="AF454" s="1022">
        <f>-AE454</f>
        <v>0</v>
      </c>
      <c r="AG454" s="1022">
        <f t="shared" si="71"/>
        <v>0</v>
      </c>
      <c r="AH454" s="1022">
        <f t="shared" si="72"/>
        <v>0</v>
      </c>
      <c r="AJ454" s="445"/>
      <c r="AK454" s="448"/>
      <c r="AL454" s="445"/>
    </row>
    <row r="455" spans="1:38" s="467" customFormat="1" ht="12.75" customHeight="1">
      <c r="A455" s="1033">
        <v>5153300</v>
      </c>
      <c r="B455" s="1033" t="s">
        <v>599</v>
      </c>
      <c r="C455" s="1034" t="str">
        <f t="shared" si="55"/>
        <v/>
      </c>
      <c r="D455" s="1033"/>
      <c r="E455" s="1033"/>
      <c r="F455" s="1034" t="str">
        <f t="shared" si="56"/>
        <v/>
      </c>
      <c r="G455" s="1033"/>
      <c r="H455" s="1033"/>
      <c r="I455" s="1034" t="str">
        <f t="shared" si="57"/>
        <v/>
      </c>
      <c r="J455" s="1033"/>
      <c r="K455" s="1033"/>
      <c r="L455" s="1034" t="str">
        <f t="shared" si="58"/>
        <v/>
      </c>
      <c r="M455" s="1035"/>
      <c r="N455" s="1035"/>
      <c r="O455" s="1036" t="str">
        <f t="shared" si="59"/>
        <v/>
      </c>
      <c r="P455" s="1033"/>
      <c r="Q455" s="1033"/>
      <c r="R455" s="1034" t="str">
        <f t="shared" si="60"/>
        <v/>
      </c>
      <c r="S455" s="1035"/>
      <c r="T455" s="1035"/>
      <c r="U455" s="1034" t="str">
        <f t="shared" si="61"/>
        <v/>
      </c>
      <c r="V455" s="1035"/>
      <c r="W455" s="1035"/>
      <c r="X455" s="1037" t="str">
        <f t="shared" si="94"/>
        <v>1</v>
      </c>
      <c r="Y455" s="1035"/>
      <c r="Z455" s="1035">
        <f t="shared" si="70"/>
        <v>1</v>
      </c>
      <c r="AA455" s="1033" t="s">
        <v>2915</v>
      </c>
      <c r="AB455" s="1033" t="s">
        <v>2913</v>
      </c>
      <c r="AC455" s="1021">
        <v>111802</v>
      </c>
      <c r="AD455" s="1021" t="s">
        <v>2066</v>
      </c>
      <c r="AE455" s="1022">
        <f>VLOOKUP(AC455,[5]Hoja1!$A$10:$K$1393,11,0)</f>
        <v>186979343</v>
      </c>
      <c r="AF455" s="1022"/>
      <c r="AG455" s="1022">
        <f t="shared" si="71"/>
        <v>186979343</v>
      </c>
      <c r="AH455" s="1188">
        <f t="shared" si="72"/>
        <v>186979</v>
      </c>
      <c r="AI455" s="445"/>
      <c r="AK455" s="448"/>
      <c r="AL455" s="445"/>
    </row>
    <row r="456" spans="1:38" s="467" customFormat="1" ht="12.75" customHeight="1">
      <c r="A456" s="1033"/>
      <c r="B456" s="1033"/>
      <c r="C456" s="1034" t="str">
        <f t="shared" si="55"/>
        <v/>
      </c>
      <c r="D456" s="1033"/>
      <c r="E456" s="1033"/>
      <c r="F456" s="1034" t="str">
        <f t="shared" si="56"/>
        <v/>
      </c>
      <c r="G456" s="1033"/>
      <c r="H456" s="1033"/>
      <c r="I456" s="1034" t="str">
        <f t="shared" si="57"/>
        <v/>
      </c>
      <c r="J456" s="1033"/>
      <c r="K456" s="1033"/>
      <c r="L456" s="1034" t="str">
        <f t="shared" si="58"/>
        <v/>
      </c>
      <c r="M456" s="1035"/>
      <c r="N456" s="1035"/>
      <c r="O456" s="1036" t="str">
        <f t="shared" si="59"/>
        <v/>
      </c>
      <c r="P456" s="1033"/>
      <c r="Q456" s="1033"/>
      <c r="R456" s="1034" t="str">
        <f t="shared" si="60"/>
        <v/>
      </c>
      <c r="S456" s="1035"/>
      <c r="T456" s="1035"/>
      <c r="U456" s="1034" t="str">
        <f t="shared" si="61"/>
        <v/>
      </c>
      <c r="V456" s="1035"/>
      <c r="W456" s="1035"/>
      <c r="X456" s="1037" t="str">
        <f t="shared" si="94"/>
        <v>1</v>
      </c>
      <c r="Y456" s="1035"/>
      <c r="Z456" s="1035">
        <f t="shared" si="70"/>
        <v>1</v>
      </c>
      <c r="AA456" s="1035"/>
      <c r="AB456" s="1035"/>
      <c r="AC456" s="1021">
        <v>111803</v>
      </c>
      <c r="AD456" s="1021" t="s">
        <v>761</v>
      </c>
      <c r="AE456" s="1022">
        <v>0</v>
      </c>
      <c r="AF456" s="1022"/>
      <c r="AG456" s="1022">
        <f t="shared" si="71"/>
        <v>0</v>
      </c>
      <c r="AH456" s="1022">
        <f t="shared" si="72"/>
        <v>0</v>
      </c>
      <c r="AI456" s="445">
        <f>+AH455+AH481+AH499+AH513+AH516+AH517+AH526+AH529+AH541+AH466</f>
        <v>11342706</v>
      </c>
      <c r="AJ456" s="1053" t="s">
        <v>3096</v>
      </c>
      <c r="AK456" s="448"/>
      <c r="AL456" s="445"/>
    </row>
    <row r="457" spans="1:38" s="467" customFormat="1" ht="12.75" customHeight="1">
      <c r="A457" s="1033"/>
      <c r="B457" s="1033"/>
      <c r="C457" s="1034" t="str">
        <f t="shared" ref="C457:C464" si="95">+D457&amp;E457</f>
        <v/>
      </c>
      <c r="D457" s="1033"/>
      <c r="E457" s="1033"/>
      <c r="F457" s="1034" t="str">
        <f t="shared" ref="F457:F464" si="96">+G457&amp;H457</f>
        <v/>
      </c>
      <c r="G457" s="1033"/>
      <c r="H457" s="1033"/>
      <c r="I457" s="1034" t="str">
        <f t="shared" ref="I457:I464" si="97">+J457&amp;K457</f>
        <v/>
      </c>
      <c r="J457" s="1033"/>
      <c r="K457" s="1033"/>
      <c r="L457" s="1034" t="str">
        <f t="shared" ref="L457:L464" si="98">+M457&amp;N457</f>
        <v/>
      </c>
      <c r="M457" s="1035"/>
      <c r="N457" s="1035"/>
      <c r="O457" s="1036" t="str">
        <f t="shared" ref="O457:O464" si="99">+P457&amp;Q457</f>
        <v/>
      </c>
      <c r="P457" s="1033"/>
      <c r="Q457" s="1033"/>
      <c r="R457" s="1034" t="str">
        <f t="shared" ref="R457:R464" si="100">+S457&amp;T457</f>
        <v/>
      </c>
      <c r="S457" s="1035"/>
      <c r="T457" s="1035"/>
      <c r="U457" s="1034" t="str">
        <f t="shared" ref="U457:U464" si="101">+V457&amp;W457</f>
        <v/>
      </c>
      <c r="V457" s="1035"/>
      <c r="W457" s="1035"/>
      <c r="X457" s="1037" t="str">
        <f t="shared" si="94"/>
        <v>221</v>
      </c>
      <c r="Y457" s="1035">
        <v>22</v>
      </c>
      <c r="Z457" s="1035">
        <f t="shared" si="70"/>
        <v>1</v>
      </c>
      <c r="AA457" s="1035"/>
      <c r="AB457" s="1035"/>
      <c r="AC457" s="1021">
        <v>111804</v>
      </c>
      <c r="AD457" s="1021" t="s">
        <v>762</v>
      </c>
      <c r="AE457" s="1022">
        <v>0</v>
      </c>
      <c r="AF457" s="1022"/>
      <c r="AG457" s="1022">
        <f t="shared" si="71"/>
        <v>0</v>
      </c>
      <c r="AH457" s="1022">
        <f t="shared" si="72"/>
        <v>0</v>
      </c>
      <c r="AK457" s="448"/>
      <c r="AL457" s="445"/>
    </row>
    <row r="458" spans="1:38" s="467" customFormat="1" ht="12.75" customHeight="1">
      <c r="A458" s="1033">
        <v>5112000</v>
      </c>
      <c r="B458" s="1033" t="s">
        <v>2725</v>
      </c>
      <c r="C458" s="1034" t="str">
        <f t="shared" si="95"/>
        <v/>
      </c>
      <c r="D458" s="1033"/>
      <c r="E458" s="1033"/>
      <c r="F458" s="1034" t="str">
        <f t="shared" si="96"/>
        <v/>
      </c>
      <c r="G458" s="1033"/>
      <c r="H458" s="1033"/>
      <c r="I458" s="1034" t="str">
        <f t="shared" si="97"/>
        <v/>
      </c>
      <c r="J458" s="1033"/>
      <c r="K458" s="1033"/>
      <c r="L458" s="1034" t="str">
        <f t="shared" si="98"/>
        <v/>
      </c>
      <c r="M458" s="1035"/>
      <c r="N458" s="1035"/>
      <c r="O458" s="1036" t="str">
        <f t="shared" si="99"/>
        <v/>
      </c>
      <c r="P458" s="1033"/>
      <c r="Q458" s="1033"/>
      <c r="R458" s="1034" t="str">
        <f t="shared" si="100"/>
        <v/>
      </c>
      <c r="S458" s="1035"/>
      <c r="T458" s="1035"/>
      <c r="U458" s="1034" t="str">
        <f t="shared" si="101"/>
        <v/>
      </c>
      <c r="V458" s="1035"/>
      <c r="W458" s="1035"/>
      <c r="X458" s="1037" t="str">
        <f t="shared" si="94"/>
        <v>221</v>
      </c>
      <c r="Y458" s="1035">
        <v>22</v>
      </c>
      <c r="Z458" s="1035">
        <f t="shared" si="70"/>
        <v>1</v>
      </c>
      <c r="AA458" s="1035"/>
      <c r="AB458" s="1035"/>
      <c r="AC458" s="1021">
        <v>111805</v>
      </c>
      <c r="AD458" s="1021" t="s">
        <v>1857</v>
      </c>
      <c r="AE458" s="1022">
        <f>VLOOKUP(AC458,[5]Hoja1!$A$10:$K$1393,11,0)</f>
        <v>61645101</v>
      </c>
      <c r="AF458" s="1022"/>
      <c r="AG458" s="1022">
        <f t="shared" si="71"/>
        <v>61645101</v>
      </c>
      <c r="AH458" s="1022">
        <f t="shared" si="72"/>
        <v>61645</v>
      </c>
      <c r="AI458" s="445">
        <f>+AH495+AH506+AH507+AH508+AH509+AH511+AH512+AH519+AH527+AH528+AH539+AH540+AH543+AH544+AH545+AH546+AH547</f>
        <v>13987905</v>
      </c>
      <c r="AJ458" s="1221" t="s">
        <v>3094</v>
      </c>
      <c r="AK458" s="448"/>
      <c r="AL458" s="445"/>
    </row>
    <row r="459" spans="1:38" s="467" customFormat="1" ht="12.75" customHeight="1">
      <c r="A459" s="1033">
        <v>5153500</v>
      </c>
      <c r="B459" s="1033" t="s">
        <v>1457</v>
      </c>
      <c r="C459" s="1034" t="str">
        <f t="shared" si="95"/>
        <v/>
      </c>
      <c r="D459" s="1033"/>
      <c r="E459" s="1033"/>
      <c r="F459" s="1034" t="str">
        <f t="shared" si="96"/>
        <v/>
      </c>
      <c r="G459" s="1033"/>
      <c r="H459" s="1033"/>
      <c r="I459" s="1034" t="str">
        <f t="shared" si="97"/>
        <v/>
      </c>
      <c r="J459" s="1033"/>
      <c r="K459" s="1033"/>
      <c r="L459" s="1034" t="str">
        <f t="shared" si="98"/>
        <v/>
      </c>
      <c r="M459" s="1035"/>
      <c r="N459" s="1035"/>
      <c r="O459" s="1036" t="str">
        <f t="shared" si="99"/>
        <v/>
      </c>
      <c r="P459" s="1033"/>
      <c r="Q459" s="1033"/>
      <c r="R459" s="1034" t="str">
        <f t="shared" si="100"/>
        <v/>
      </c>
      <c r="S459" s="1035"/>
      <c r="T459" s="1035"/>
      <c r="U459" s="1034" t="str">
        <f t="shared" si="101"/>
        <v/>
      </c>
      <c r="V459" s="1035"/>
      <c r="W459" s="1035"/>
      <c r="X459" s="1037" t="str">
        <f t="shared" si="94"/>
        <v>221</v>
      </c>
      <c r="Y459" s="1035">
        <v>22</v>
      </c>
      <c r="Z459" s="1035">
        <f t="shared" si="70"/>
        <v>1</v>
      </c>
      <c r="AA459" s="1033" t="s">
        <v>2886</v>
      </c>
      <c r="AB459" s="1033" t="s">
        <v>2879</v>
      </c>
      <c r="AC459" s="1021">
        <v>111806</v>
      </c>
      <c r="AD459" s="1021" t="s">
        <v>1862</v>
      </c>
      <c r="AE459" s="1022">
        <f>VLOOKUP(AC459,[5]Hoja1!$A$10:$K$1393,11,0)</f>
        <v>33000000</v>
      </c>
      <c r="AF459" s="1022"/>
      <c r="AG459" s="1022">
        <f t="shared" si="71"/>
        <v>33000000</v>
      </c>
      <c r="AH459" s="1022">
        <f t="shared" si="72"/>
        <v>33000</v>
      </c>
      <c r="AK459" s="448"/>
      <c r="AL459" s="445"/>
    </row>
    <row r="460" spans="1:38" s="467" customFormat="1" ht="12.75" customHeight="1">
      <c r="A460" s="1033"/>
      <c r="B460" s="1033"/>
      <c r="C460" s="1034" t="str">
        <f t="shared" si="95"/>
        <v/>
      </c>
      <c r="D460" s="1033"/>
      <c r="E460" s="1033"/>
      <c r="F460" s="1034" t="str">
        <f t="shared" si="96"/>
        <v/>
      </c>
      <c r="G460" s="1033"/>
      <c r="H460" s="1033"/>
      <c r="I460" s="1034" t="str">
        <f t="shared" si="97"/>
        <v/>
      </c>
      <c r="J460" s="1033"/>
      <c r="K460" s="1033"/>
      <c r="L460" s="1034" t="str">
        <f t="shared" si="98"/>
        <v/>
      </c>
      <c r="M460" s="1035"/>
      <c r="N460" s="1035"/>
      <c r="O460" s="1036" t="str">
        <f t="shared" si="99"/>
        <v/>
      </c>
      <c r="P460" s="1033"/>
      <c r="Q460" s="1033"/>
      <c r="R460" s="1034" t="str">
        <f t="shared" si="100"/>
        <v/>
      </c>
      <c r="S460" s="1035"/>
      <c r="T460" s="1035"/>
      <c r="U460" s="1034" t="str">
        <f t="shared" si="101"/>
        <v/>
      </c>
      <c r="V460" s="1035"/>
      <c r="W460" s="1035"/>
      <c r="X460" s="1037" t="str">
        <f t="shared" si="94"/>
        <v>221</v>
      </c>
      <c r="Y460" s="1035">
        <v>22</v>
      </c>
      <c r="Z460" s="1035">
        <f t="shared" si="70"/>
        <v>1</v>
      </c>
      <c r="AA460" s="1035"/>
      <c r="AB460" s="1035"/>
      <c r="AC460" s="1021">
        <v>111807</v>
      </c>
      <c r="AD460" s="1021" t="s">
        <v>51</v>
      </c>
      <c r="AE460" s="1022">
        <f>VLOOKUP(AC460,[5]Hoja1!$A$10:$K$1393,11,0)</f>
        <v>0</v>
      </c>
      <c r="AF460" s="1022"/>
      <c r="AG460" s="1022">
        <f t="shared" si="71"/>
        <v>0</v>
      </c>
      <c r="AH460" s="1022">
        <f t="shared" si="72"/>
        <v>0</v>
      </c>
      <c r="AI460" s="445">
        <f>+AH490+AH520+AH521+AH525+AH530+AH532+AH534+AH535+AH489</f>
        <v>785602</v>
      </c>
      <c r="AJ460" s="1221" t="s">
        <v>3095</v>
      </c>
      <c r="AK460" s="448"/>
      <c r="AL460" s="445"/>
    </row>
    <row r="461" spans="1:38" s="467" customFormat="1" ht="12.75" customHeight="1">
      <c r="A461" s="1033"/>
      <c r="B461" s="1033"/>
      <c r="C461" s="1034" t="str">
        <f t="shared" si="95"/>
        <v/>
      </c>
      <c r="D461" s="1033"/>
      <c r="E461" s="1033"/>
      <c r="F461" s="1034" t="str">
        <f t="shared" si="96"/>
        <v/>
      </c>
      <c r="G461" s="1033"/>
      <c r="H461" s="1033"/>
      <c r="I461" s="1034" t="str">
        <f t="shared" si="97"/>
        <v/>
      </c>
      <c r="J461" s="1033"/>
      <c r="K461" s="1033"/>
      <c r="L461" s="1034" t="str">
        <f t="shared" si="98"/>
        <v/>
      </c>
      <c r="M461" s="1035"/>
      <c r="N461" s="1035"/>
      <c r="O461" s="1036" t="str">
        <f t="shared" si="99"/>
        <v/>
      </c>
      <c r="P461" s="1033"/>
      <c r="Q461" s="1033"/>
      <c r="R461" s="1034" t="str">
        <f t="shared" si="100"/>
        <v/>
      </c>
      <c r="S461" s="1035"/>
      <c r="T461" s="1035"/>
      <c r="U461" s="1034" t="str">
        <f t="shared" si="101"/>
        <v/>
      </c>
      <c r="V461" s="1035"/>
      <c r="W461" s="1035"/>
      <c r="X461" s="1037" t="str">
        <f t="shared" si="94"/>
        <v>1</v>
      </c>
      <c r="Y461" s="1035"/>
      <c r="Z461" s="1035">
        <f t="shared" si="70"/>
        <v>1</v>
      </c>
      <c r="AA461" s="1035"/>
      <c r="AB461" s="1035"/>
      <c r="AC461" s="1021">
        <v>111808</v>
      </c>
      <c r="AD461" s="1021" t="s">
        <v>52</v>
      </c>
      <c r="AE461" s="1022">
        <v>0</v>
      </c>
      <c r="AF461" s="1022"/>
      <c r="AG461" s="1022">
        <f t="shared" si="71"/>
        <v>0</v>
      </c>
      <c r="AH461" s="1022">
        <f t="shared" si="72"/>
        <v>0</v>
      </c>
      <c r="AK461" s="448"/>
      <c r="AL461" s="445"/>
    </row>
    <row r="462" spans="1:38" s="467" customFormat="1" ht="12.75" customHeight="1">
      <c r="A462" s="1033">
        <v>5153300</v>
      </c>
      <c r="B462" s="1033" t="s">
        <v>599</v>
      </c>
      <c r="C462" s="1034" t="str">
        <f t="shared" si="95"/>
        <v/>
      </c>
      <c r="D462" s="1033"/>
      <c r="E462" s="1033"/>
      <c r="F462" s="1034" t="str">
        <f t="shared" si="96"/>
        <v/>
      </c>
      <c r="G462" s="1033"/>
      <c r="H462" s="1033"/>
      <c r="I462" s="1034" t="str">
        <f t="shared" si="97"/>
        <v/>
      </c>
      <c r="J462" s="1033"/>
      <c r="K462" s="1033"/>
      <c r="L462" s="1034" t="str">
        <f t="shared" si="98"/>
        <v/>
      </c>
      <c r="M462" s="1035"/>
      <c r="N462" s="1035"/>
      <c r="O462" s="1036" t="str">
        <f t="shared" si="99"/>
        <v/>
      </c>
      <c r="P462" s="1033"/>
      <c r="Q462" s="1033"/>
      <c r="R462" s="1034" t="str">
        <f t="shared" si="100"/>
        <v/>
      </c>
      <c r="S462" s="1035"/>
      <c r="T462" s="1035"/>
      <c r="U462" s="1034" t="str">
        <f t="shared" si="101"/>
        <v/>
      </c>
      <c r="V462" s="1035"/>
      <c r="W462" s="1035"/>
      <c r="X462" s="1037" t="str">
        <f t="shared" si="94"/>
        <v>1</v>
      </c>
      <c r="Y462" s="1035"/>
      <c r="Z462" s="1035">
        <f t="shared" si="70"/>
        <v>1</v>
      </c>
      <c r="AA462" s="1033" t="s">
        <v>2915</v>
      </c>
      <c r="AB462" s="1033" t="s">
        <v>2913</v>
      </c>
      <c r="AC462" s="1021">
        <v>111809</v>
      </c>
      <c r="AD462" s="1021" t="s">
        <v>2067</v>
      </c>
      <c r="AE462" s="1022">
        <f>VLOOKUP(AC462,[5]Hoja1!$A$10:$K$1393,11,0)</f>
        <v>0</v>
      </c>
      <c r="AF462" s="1022"/>
      <c r="AG462" s="1022">
        <f t="shared" si="71"/>
        <v>0</v>
      </c>
      <c r="AH462" s="1022">
        <f t="shared" si="72"/>
        <v>0</v>
      </c>
      <c r="AK462" s="448"/>
      <c r="AL462" s="445"/>
    </row>
    <row r="463" spans="1:38" s="467" customFormat="1" ht="12.75" customHeight="1">
      <c r="A463" s="1033">
        <v>5116200</v>
      </c>
      <c r="B463" s="1033" t="s">
        <v>2732</v>
      </c>
      <c r="C463" s="1034" t="str">
        <f>+D463&amp;E463</f>
        <v/>
      </c>
      <c r="D463" s="1033"/>
      <c r="E463" s="1033"/>
      <c r="F463" s="1034" t="str">
        <f>+G463&amp;H463</f>
        <v/>
      </c>
      <c r="G463" s="1033"/>
      <c r="H463" s="1033"/>
      <c r="I463" s="1034" t="str">
        <f>+J463&amp;K463</f>
        <v/>
      </c>
      <c r="J463" s="1033"/>
      <c r="K463" s="1033"/>
      <c r="L463" s="1034" t="str">
        <f>+M463&amp;N463</f>
        <v/>
      </c>
      <c r="M463" s="1035"/>
      <c r="N463" s="1035"/>
      <c r="O463" s="1036" t="str">
        <f>+P463&amp;Q463</f>
        <v/>
      </c>
      <c r="P463" s="1033"/>
      <c r="Q463" s="1033"/>
      <c r="R463" s="1034" t="str">
        <f>+S463&amp;T463</f>
        <v/>
      </c>
      <c r="S463" s="1035"/>
      <c r="T463" s="1035"/>
      <c r="U463" s="1034" t="str">
        <f>+V463&amp;W463</f>
        <v/>
      </c>
      <c r="V463" s="1035"/>
      <c r="W463" s="1035"/>
      <c r="X463" s="1037" t="str">
        <f t="shared" si="94"/>
        <v>221</v>
      </c>
      <c r="Y463" s="1035">
        <v>22</v>
      </c>
      <c r="Z463" s="1035">
        <f t="shared" si="70"/>
        <v>1</v>
      </c>
      <c r="AA463" s="1035"/>
      <c r="AB463" s="1035"/>
      <c r="AC463" s="1021">
        <v>111810</v>
      </c>
      <c r="AD463" s="1021" t="s">
        <v>1441</v>
      </c>
      <c r="AE463" s="1022">
        <f>VLOOKUP(AC463,[5]Hoja1!$A$10:$K$1393,11,0)</f>
        <v>0</v>
      </c>
      <c r="AF463" s="1022"/>
      <c r="AG463" s="1022">
        <f t="shared" si="71"/>
        <v>0</v>
      </c>
      <c r="AH463" s="1022">
        <f t="shared" si="72"/>
        <v>0</v>
      </c>
      <c r="AK463" s="448"/>
      <c r="AL463" s="445"/>
    </row>
    <row r="464" spans="1:38" s="467" customFormat="1" ht="12.75" customHeight="1">
      <c r="A464" s="1033">
        <v>5153300</v>
      </c>
      <c r="B464" s="1033" t="s">
        <v>599</v>
      </c>
      <c r="C464" s="1034" t="str">
        <f t="shared" si="95"/>
        <v/>
      </c>
      <c r="D464" s="1033"/>
      <c r="E464" s="1033"/>
      <c r="F464" s="1034" t="str">
        <f t="shared" si="96"/>
        <v/>
      </c>
      <c r="G464" s="1033"/>
      <c r="H464" s="1033"/>
      <c r="I464" s="1034" t="str">
        <f t="shared" si="97"/>
        <v/>
      </c>
      <c r="J464" s="1033"/>
      <c r="K464" s="1033"/>
      <c r="L464" s="1034" t="str">
        <f t="shared" si="98"/>
        <v/>
      </c>
      <c r="M464" s="1035"/>
      <c r="N464" s="1035"/>
      <c r="O464" s="1036" t="str">
        <f t="shared" si="99"/>
        <v/>
      </c>
      <c r="P464" s="1033"/>
      <c r="Q464" s="1033"/>
      <c r="R464" s="1034" t="str">
        <f t="shared" si="100"/>
        <v/>
      </c>
      <c r="S464" s="1035"/>
      <c r="T464" s="1035"/>
      <c r="U464" s="1034" t="str">
        <f t="shared" si="101"/>
        <v/>
      </c>
      <c r="V464" s="1035"/>
      <c r="W464" s="1035"/>
      <c r="X464" s="1037" t="str">
        <f t="shared" si="94"/>
        <v>1</v>
      </c>
      <c r="Y464" s="1035"/>
      <c r="Z464" s="1035">
        <f t="shared" si="70"/>
        <v>1</v>
      </c>
      <c r="AA464" s="1035"/>
      <c r="AB464" s="1035"/>
      <c r="AC464" s="1021">
        <v>111811</v>
      </c>
      <c r="AD464" s="1021" t="s">
        <v>2068</v>
      </c>
      <c r="AE464" s="1022">
        <f>VLOOKUP(AC464,[5]Hoja1!$A$10:$K$1393,11,0)</f>
        <v>0</v>
      </c>
      <c r="AF464" s="1022"/>
      <c r="AG464" s="1022">
        <f t="shared" si="71"/>
        <v>0</v>
      </c>
      <c r="AH464" s="1022">
        <f t="shared" si="72"/>
        <v>0</v>
      </c>
      <c r="AK464" s="448"/>
      <c r="AL464" s="445"/>
    </row>
    <row r="465" spans="1:38" s="467" customFormat="1" ht="12.75" customHeight="1">
      <c r="A465" s="1033">
        <v>5153300</v>
      </c>
      <c r="B465" s="1033" t="s">
        <v>599</v>
      </c>
      <c r="C465" s="1034"/>
      <c r="D465" s="1033"/>
      <c r="E465" s="1033"/>
      <c r="F465" s="1034"/>
      <c r="G465" s="1033"/>
      <c r="H465" s="1033"/>
      <c r="I465" s="1034"/>
      <c r="J465" s="1033"/>
      <c r="K465" s="1033"/>
      <c r="L465" s="1034"/>
      <c r="M465" s="1035"/>
      <c r="N465" s="1035"/>
      <c r="O465" s="1036"/>
      <c r="P465" s="1033"/>
      <c r="Q465" s="1033"/>
      <c r="R465" s="1034"/>
      <c r="S465" s="1035"/>
      <c r="T465" s="1035"/>
      <c r="U465" s="1034"/>
      <c r="V465" s="1035"/>
      <c r="W465" s="1035"/>
      <c r="X465" s="1037"/>
      <c r="Y465" s="1035"/>
      <c r="Z465" s="1035">
        <f t="shared" si="70"/>
        <v>1</v>
      </c>
      <c r="AA465" s="1035"/>
      <c r="AB465" s="1035"/>
      <c r="AC465" s="1021">
        <v>111812</v>
      </c>
      <c r="AD465" s="1021" t="s">
        <v>2069</v>
      </c>
      <c r="AE465" s="1022">
        <v>0</v>
      </c>
      <c r="AF465" s="1022">
        <v>0</v>
      </c>
      <c r="AG465" s="1022">
        <f t="shared" si="71"/>
        <v>0</v>
      </c>
      <c r="AH465" s="1022">
        <f t="shared" si="72"/>
        <v>0</v>
      </c>
      <c r="AK465" s="448"/>
      <c r="AL465" s="445"/>
    </row>
    <row r="466" spans="1:38" s="467" customFormat="1" ht="12.75" customHeight="1">
      <c r="A466" s="1033">
        <v>5153500</v>
      </c>
      <c r="B466" s="1033" t="s">
        <v>1457</v>
      </c>
      <c r="C466" s="1034"/>
      <c r="D466" s="1033"/>
      <c r="E466" s="1033"/>
      <c r="F466" s="1034"/>
      <c r="G466" s="1033"/>
      <c r="H466" s="1033"/>
      <c r="I466" s="1034"/>
      <c r="J466" s="1033"/>
      <c r="K466" s="1033"/>
      <c r="L466" s="1034"/>
      <c r="M466" s="1035"/>
      <c r="N466" s="1035"/>
      <c r="O466" s="1036"/>
      <c r="P466" s="1033"/>
      <c r="Q466" s="1033"/>
      <c r="R466" s="1034"/>
      <c r="S466" s="1035"/>
      <c r="T466" s="1035"/>
      <c r="U466" s="1034"/>
      <c r="V466" s="1035"/>
      <c r="W466" s="1035"/>
      <c r="X466" s="1037" t="str">
        <f t="shared" ref="X466:X509" si="102">+Y466&amp;Z466</f>
        <v>221</v>
      </c>
      <c r="Y466" s="1035">
        <v>22</v>
      </c>
      <c r="Z466" s="1035">
        <f t="shared" si="70"/>
        <v>1</v>
      </c>
      <c r="AA466" s="1033" t="s">
        <v>2915</v>
      </c>
      <c r="AB466" s="1033" t="s">
        <v>2913</v>
      </c>
      <c r="AC466" s="1021">
        <v>111813</v>
      </c>
      <c r="AD466" s="1021" t="s">
        <v>3093</v>
      </c>
      <c r="AE466" s="1022">
        <f>VLOOKUP(AC466,[5]Hoja1!$A$10:$K$1393,11,0)</f>
        <v>-446817006</v>
      </c>
      <c r="AF466" s="1022"/>
      <c r="AG466" s="1022">
        <f t="shared" si="71"/>
        <v>-446817006</v>
      </c>
      <c r="AH466" s="1188">
        <f t="shared" si="72"/>
        <v>-446817</v>
      </c>
      <c r="AK466" s="448"/>
      <c r="AL466" s="445"/>
    </row>
    <row r="467" spans="1:38" s="467" customFormat="1" ht="12.75" customHeight="1">
      <c r="A467" s="1033"/>
      <c r="B467" s="1033"/>
      <c r="C467" s="1034"/>
      <c r="D467" s="1033"/>
      <c r="E467" s="1033"/>
      <c r="F467" s="1034"/>
      <c r="G467" s="1033"/>
      <c r="H467" s="1033"/>
      <c r="I467" s="1034"/>
      <c r="J467" s="1033"/>
      <c r="K467" s="1033"/>
      <c r="L467" s="1034"/>
      <c r="M467" s="1035"/>
      <c r="N467" s="1035"/>
      <c r="O467" s="1036"/>
      <c r="P467" s="1033"/>
      <c r="Q467" s="1033"/>
      <c r="R467" s="1034"/>
      <c r="S467" s="1035"/>
      <c r="T467" s="1035"/>
      <c r="U467" s="1034"/>
      <c r="V467" s="1035"/>
      <c r="W467" s="1035"/>
      <c r="X467" s="1037" t="str">
        <f t="shared" si="102"/>
        <v>221</v>
      </c>
      <c r="Y467" s="1035">
        <v>22</v>
      </c>
      <c r="Z467" s="1035">
        <f t="shared" ref="Z467:Z530" si="103">VALUE(LEFT(AC467,1))</f>
        <v>1</v>
      </c>
      <c r="AA467" s="1035"/>
      <c r="AB467" s="1035"/>
      <c r="AC467" s="1021">
        <v>111814</v>
      </c>
      <c r="AD467" s="1021" t="s">
        <v>1134</v>
      </c>
      <c r="AE467" s="1022">
        <v>0</v>
      </c>
      <c r="AF467" s="1022"/>
      <c r="AG467" s="1022">
        <f t="shared" ref="AG467:AG530" si="104">AE467+AF467</f>
        <v>0</v>
      </c>
      <c r="AH467" s="1022">
        <f t="shared" ref="AH467:AH530" si="105">ROUND((AE467+AF467)/$AH$2,0)</f>
        <v>0</v>
      </c>
      <c r="AK467" s="448"/>
      <c r="AL467" s="445"/>
    </row>
    <row r="468" spans="1:38" s="467" customFormat="1" ht="12.75" customHeight="1">
      <c r="A468" s="1033"/>
      <c r="B468" s="1033"/>
      <c r="C468" s="1034"/>
      <c r="D468" s="1033"/>
      <c r="E468" s="1033"/>
      <c r="F468" s="1034"/>
      <c r="G468" s="1033"/>
      <c r="H468" s="1033"/>
      <c r="I468" s="1034"/>
      <c r="J468" s="1033"/>
      <c r="K468" s="1033"/>
      <c r="L468" s="1034"/>
      <c r="M468" s="1035"/>
      <c r="N468" s="1035"/>
      <c r="O468" s="1036"/>
      <c r="P468" s="1033"/>
      <c r="Q468" s="1033"/>
      <c r="R468" s="1034"/>
      <c r="S468" s="1035"/>
      <c r="T468" s="1035"/>
      <c r="U468" s="1034"/>
      <c r="V468" s="1035"/>
      <c r="W468" s="1035"/>
      <c r="X468" s="1037" t="str">
        <f t="shared" si="102"/>
        <v>221</v>
      </c>
      <c r="Y468" s="1035">
        <v>22</v>
      </c>
      <c r="Z468" s="1035">
        <f t="shared" si="103"/>
        <v>1</v>
      </c>
      <c r="AA468" s="1035"/>
      <c r="AB468" s="1035"/>
      <c r="AC468" s="1021">
        <v>111815</v>
      </c>
      <c r="AD468" s="1021" t="s">
        <v>1135</v>
      </c>
      <c r="AE468" s="1022">
        <v>0</v>
      </c>
      <c r="AF468" s="1022"/>
      <c r="AG468" s="1022">
        <f t="shared" si="104"/>
        <v>0</v>
      </c>
      <c r="AH468" s="1022">
        <f t="shared" si="105"/>
        <v>0</v>
      </c>
      <c r="AK468" s="448"/>
      <c r="AL468" s="445"/>
    </row>
    <row r="469" spans="1:38" s="467" customFormat="1" ht="12.75" customHeight="1">
      <c r="A469" s="1033"/>
      <c r="B469" s="1033"/>
      <c r="C469" s="1034"/>
      <c r="D469" s="1033"/>
      <c r="E469" s="1033"/>
      <c r="F469" s="1034"/>
      <c r="G469" s="1033"/>
      <c r="H469" s="1033"/>
      <c r="I469" s="1034"/>
      <c r="J469" s="1033"/>
      <c r="K469" s="1033"/>
      <c r="L469" s="1034"/>
      <c r="M469" s="1035"/>
      <c r="N469" s="1035"/>
      <c r="O469" s="1036"/>
      <c r="P469" s="1033"/>
      <c r="Q469" s="1033"/>
      <c r="R469" s="1034"/>
      <c r="S469" s="1035"/>
      <c r="T469" s="1035"/>
      <c r="U469" s="1034"/>
      <c r="V469" s="1035"/>
      <c r="W469" s="1035"/>
      <c r="X469" s="1037" t="str">
        <f t="shared" si="102"/>
        <v>221</v>
      </c>
      <c r="Y469" s="1035">
        <v>22</v>
      </c>
      <c r="Z469" s="1035">
        <f t="shared" si="103"/>
        <v>1</v>
      </c>
      <c r="AA469" s="1035"/>
      <c r="AB469" s="1035"/>
      <c r="AC469" s="1021">
        <v>111816</v>
      </c>
      <c r="AD469" s="1021" t="s">
        <v>1136</v>
      </c>
      <c r="AE469" s="1022">
        <v>0</v>
      </c>
      <c r="AF469" s="1022"/>
      <c r="AG469" s="1022">
        <f t="shared" si="104"/>
        <v>0</v>
      </c>
      <c r="AH469" s="1022">
        <f t="shared" si="105"/>
        <v>0</v>
      </c>
      <c r="AK469" s="448"/>
      <c r="AL469" s="445"/>
    </row>
    <row r="470" spans="1:38" s="467" customFormat="1" ht="12.75" customHeight="1">
      <c r="A470" s="1033"/>
      <c r="B470" s="1033"/>
      <c r="C470" s="1034"/>
      <c r="D470" s="1033"/>
      <c r="E470" s="1033"/>
      <c r="F470" s="1034"/>
      <c r="G470" s="1033"/>
      <c r="H470" s="1033"/>
      <c r="I470" s="1034"/>
      <c r="J470" s="1033"/>
      <c r="K470" s="1033"/>
      <c r="L470" s="1034"/>
      <c r="M470" s="1035"/>
      <c r="N470" s="1035"/>
      <c r="O470" s="1036"/>
      <c r="P470" s="1033"/>
      <c r="Q470" s="1033"/>
      <c r="R470" s="1034"/>
      <c r="S470" s="1035"/>
      <c r="T470" s="1035"/>
      <c r="U470" s="1034"/>
      <c r="V470" s="1035"/>
      <c r="W470" s="1035"/>
      <c r="X470" s="1037" t="str">
        <f t="shared" si="102"/>
        <v>221</v>
      </c>
      <c r="Y470" s="1035">
        <v>22</v>
      </c>
      <c r="Z470" s="1035">
        <f t="shared" si="103"/>
        <v>1</v>
      </c>
      <c r="AA470" s="1035"/>
      <c r="AB470" s="1035"/>
      <c r="AC470" s="1021">
        <v>111817</v>
      </c>
      <c r="AD470" s="1021" t="s">
        <v>1137</v>
      </c>
      <c r="AE470" s="1022">
        <v>0</v>
      </c>
      <c r="AF470" s="1022"/>
      <c r="AG470" s="1022">
        <f t="shared" si="104"/>
        <v>0</v>
      </c>
      <c r="AH470" s="1022">
        <f t="shared" si="105"/>
        <v>0</v>
      </c>
      <c r="AK470" s="448"/>
      <c r="AL470" s="445"/>
    </row>
    <row r="471" spans="1:38" s="467" customFormat="1" ht="12.75" customHeight="1">
      <c r="A471" s="1033"/>
      <c r="B471" s="1033"/>
      <c r="C471" s="1034"/>
      <c r="D471" s="1033"/>
      <c r="E471" s="1033"/>
      <c r="F471" s="1034"/>
      <c r="G471" s="1033"/>
      <c r="H471" s="1033"/>
      <c r="I471" s="1034"/>
      <c r="J471" s="1033"/>
      <c r="K471" s="1033"/>
      <c r="L471" s="1034"/>
      <c r="M471" s="1035"/>
      <c r="N471" s="1035"/>
      <c r="O471" s="1036"/>
      <c r="P471" s="1033"/>
      <c r="Q471" s="1033"/>
      <c r="R471" s="1034"/>
      <c r="S471" s="1035"/>
      <c r="T471" s="1035"/>
      <c r="U471" s="1034"/>
      <c r="V471" s="1035"/>
      <c r="W471" s="1035"/>
      <c r="X471" s="1037" t="str">
        <f t="shared" si="102"/>
        <v>221</v>
      </c>
      <c r="Y471" s="1035">
        <v>22</v>
      </c>
      <c r="Z471" s="1035">
        <f t="shared" si="103"/>
        <v>1</v>
      </c>
      <c r="AA471" s="1035"/>
      <c r="AB471" s="1035"/>
      <c r="AC471" s="1021">
        <v>111818</v>
      </c>
      <c r="AD471" s="1021" t="s">
        <v>1138</v>
      </c>
      <c r="AE471" s="1022">
        <v>0</v>
      </c>
      <c r="AF471" s="1022"/>
      <c r="AG471" s="1022">
        <f t="shared" si="104"/>
        <v>0</v>
      </c>
      <c r="AH471" s="1022">
        <f t="shared" si="105"/>
        <v>0</v>
      </c>
      <c r="AK471" s="448"/>
      <c r="AL471" s="445"/>
    </row>
    <row r="472" spans="1:38" s="467" customFormat="1" ht="12.75" customHeight="1">
      <c r="A472" s="1033"/>
      <c r="B472" s="1033"/>
      <c r="C472" s="1034"/>
      <c r="D472" s="1033"/>
      <c r="E472" s="1033"/>
      <c r="F472" s="1034"/>
      <c r="G472" s="1033"/>
      <c r="H472" s="1033"/>
      <c r="I472" s="1034"/>
      <c r="J472" s="1033"/>
      <c r="K472" s="1033"/>
      <c r="L472" s="1034"/>
      <c r="M472" s="1035"/>
      <c r="N472" s="1035"/>
      <c r="O472" s="1036"/>
      <c r="P472" s="1033"/>
      <c r="Q472" s="1033"/>
      <c r="R472" s="1034"/>
      <c r="S472" s="1035"/>
      <c r="T472" s="1035"/>
      <c r="U472" s="1034"/>
      <c r="V472" s="1035"/>
      <c r="W472" s="1035"/>
      <c r="X472" s="1037" t="str">
        <f t="shared" si="102"/>
        <v>221</v>
      </c>
      <c r="Y472" s="1035">
        <v>22</v>
      </c>
      <c r="Z472" s="1035">
        <f t="shared" si="103"/>
        <v>1</v>
      </c>
      <c r="AA472" s="1035"/>
      <c r="AB472" s="1035"/>
      <c r="AC472" s="1021">
        <v>111819</v>
      </c>
      <c r="AD472" s="1021" t="s">
        <v>1139</v>
      </c>
      <c r="AE472" s="1022">
        <v>0</v>
      </c>
      <c r="AF472" s="1022"/>
      <c r="AG472" s="1022">
        <f t="shared" si="104"/>
        <v>0</v>
      </c>
      <c r="AH472" s="1022">
        <f t="shared" si="105"/>
        <v>0</v>
      </c>
      <c r="AK472" s="448"/>
      <c r="AL472" s="445"/>
    </row>
    <row r="473" spans="1:38" s="467" customFormat="1" ht="12.75" customHeight="1">
      <c r="A473" s="1033">
        <v>5116200</v>
      </c>
      <c r="B473" s="1033" t="s">
        <v>2732</v>
      </c>
      <c r="C473" s="1034" t="str">
        <f>+D473&amp;E473</f>
        <v/>
      </c>
      <c r="D473" s="1033"/>
      <c r="E473" s="1033"/>
      <c r="F473" s="1034" t="str">
        <f>+G473&amp;H473</f>
        <v/>
      </c>
      <c r="G473" s="1033"/>
      <c r="H473" s="1033"/>
      <c r="I473" s="1034" t="str">
        <f>+J473&amp;K473</f>
        <v/>
      </c>
      <c r="J473" s="1033"/>
      <c r="K473" s="1033"/>
      <c r="L473" s="1034" t="str">
        <f>+M473&amp;N473</f>
        <v/>
      </c>
      <c r="M473" s="1035"/>
      <c r="N473" s="1035"/>
      <c r="O473" s="1036" t="str">
        <f>+P473&amp;Q473</f>
        <v/>
      </c>
      <c r="P473" s="1033"/>
      <c r="Q473" s="1033"/>
      <c r="R473" s="1034" t="str">
        <f>+S473&amp;T473</f>
        <v/>
      </c>
      <c r="S473" s="1035"/>
      <c r="T473" s="1035"/>
      <c r="U473" s="1034" t="str">
        <f>+V473&amp;W473</f>
        <v/>
      </c>
      <c r="V473" s="1035"/>
      <c r="W473" s="1035"/>
      <c r="X473" s="1037" t="str">
        <f t="shared" si="102"/>
        <v>221</v>
      </c>
      <c r="Y473" s="1035">
        <v>22</v>
      </c>
      <c r="Z473" s="1035">
        <f t="shared" si="103"/>
        <v>1</v>
      </c>
      <c r="AA473" s="1035"/>
      <c r="AB473" s="1035"/>
      <c r="AC473" s="1021">
        <v>111820</v>
      </c>
      <c r="AD473" s="1021" t="s">
        <v>2071</v>
      </c>
      <c r="AE473" s="1022">
        <f>VLOOKUP(AC473,[5]Hoja1!$A$10:$K$1393,11,0)</f>
        <v>0</v>
      </c>
      <c r="AF473" s="1022"/>
      <c r="AG473" s="1022">
        <f t="shared" si="104"/>
        <v>0</v>
      </c>
      <c r="AH473" s="1022">
        <f t="shared" si="105"/>
        <v>0</v>
      </c>
      <c r="AK473" s="448"/>
      <c r="AL473" s="445"/>
    </row>
    <row r="474" spans="1:38" s="467" customFormat="1" ht="12.75" customHeight="1">
      <c r="A474" s="1033">
        <v>5116200</v>
      </c>
      <c r="B474" s="1033" t="s">
        <v>2732</v>
      </c>
      <c r="C474" s="1034" t="str">
        <f>+D474&amp;E474</f>
        <v/>
      </c>
      <c r="D474" s="1033"/>
      <c r="E474" s="1033"/>
      <c r="F474" s="1034" t="str">
        <f>+G474&amp;H474</f>
        <v/>
      </c>
      <c r="G474" s="1033"/>
      <c r="H474" s="1033"/>
      <c r="I474" s="1034" t="str">
        <f>+J474&amp;K474</f>
        <v/>
      </c>
      <c r="J474" s="1033"/>
      <c r="K474" s="1033"/>
      <c r="L474" s="1034" t="str">
        <f>+M474&amp;N474</f>
        <v/>
      </c>
      <c r="M474" s="1035"/>
      <c r="N474" s="1035"/>
      <c r="O474" s="1036" t="str">
        <f>+P474&amp;Q474</f>
        <v/>
      </c>
      <c r="P474" s="1033"/>
      <c r="Q474" s="1033"/>
      <c r="R474" s="1034" t="str">
        <f>+S474&amp;T474</f>
        <v/>
      </c>
      <c r="S474" s="1035"/>
      <c r="T474" s="1035"/>
      <c r="U474" s="1034" t="str">
        <f>+V474&amp;W474</f>
        <v/>
      </c>
      <c r="V474" s="1035"/>
      <c r="W474" s="1035"/>
      <c r="X474" s="1037" t="str">
        <f t="shared" si="102"/>
        <v>221</v>
      </c>
      <c r="Y474" s="1035">
        <v>22</v>
      </c>
      <c r="Z474" s="1035">
        <f t="shared" si="103"/>
        <v>1</v>
      </c>
      <c r="AA474" s="1035"/>
      <c r="AB474" s="1035"/>
      <c r="AC474" s="1021">
        <v>111821</v>
      </c>
      <c r="AD474" s="1021" t="s">
        <v>2072</v>
      </c>
      <c r="AE474" s="1022">
        <f>VLOOKUP(AC474,[5]Hoja1!$A$10:$K$1393,11,0)</f>
        <v>0</v>
      </c>
      <c r="AF474" s="1022">
        <v>0</v>
      </c>
      <c r="AG474" s="1022">
        <f t="shared" si="104"/>
        <v>0</v>
      </c>
      <c r="AH474" s="1022">
        <f t="shared" si="105"/>
        <v>0</v>
      </c>
      <c r="AK474" s="448"/>
      <c r="AL474" s="445"/>
    </row>
    <row r="475" spans="1:38" s="467" customFormat="1" ht="12.75" customHeight="1">
      <c r="A475" s="1033">
        <v>5116200</v>
      </c>
      <c r="B475" s="1033" t="s">
        <v>2732</v>
      </c>
      <c r="C475" s="1034" t="str">
        <f>+D475&amp;E475</f>
        <v/>
      </c>
      <c r="D475" s="1033"/>
      <c r="E475" s="1033"/>
      <c r="F475" s="1034" t="str">
        <f>+G475&amp;H475</f>
        <v/>
      </c>
      <c r="G475" s="1033"/>
      <c r="H475" s="1033"/>
      <c r="I475" s="1034" t="str">
        <f>+J475&amp;K475</f>
        <v/>
      </c>
      <c r="J475" s="1033"/>
      <c r="K475" s="1033"/>
      <c r="L475" s="1034" t="str">
        <f>+M475&amp;N475</f>
        <v/>
      </c>
      <c r="M475" s="1035"/>
      <c r="N475" s="1035"/>
      <c r="O475" s="1036" t="str">
        <f>+P475&amp;Q475</f>
        <v/>
      </c>
      <c r="P475" s="1033"/>
      <c r="Q475" s="1033"/>
      <c r="R475" s="1034" t="str">
        <f>+S475&amp;T475</f>
        <v/>
      </c>
      <c r="S475" s="1035"/>
      <c r="T475" s="1035"/>
      <c r="U475" s="1034" t="str">
        <f>+V475&amp;W475</f>
        <v/>
      </c>
      <c r="V475" s="1035"/>
      <c r="W475" s="1035"/>
      <c r="X475" s="1037" t="str">
        <f t="shared" si="102"/>
        <v>221</v>
      </c>
      <c r="Y475" s="1035">
        <v>22</v>
      </c>
      <c r="Z475" s="1035">
        <f t="shared" si="103"/>
        <v>1</v>
      </c>
      <c r="AA475" s="1035"/>
      <c r="AB475" s="1035"/>
      <c r="AC475" s="1021">
        <v>111822</v>
      </c>
      <c r="AD475" s="1021" t="s">
        <v>516</v>
      </c>
      <c r="AE475" s="1022">
        <f>VLOOKUP(AC475,[5]Hoja1!$A$10:$K$1393,11,0)</f>
        <v>0</v>
      </c>
      <c r="AF475" s="1022"/>
      <c r="AG475" s="1022">
        <f t="shared" si="104"/>
        <v>0</v>
      </c>
      <c r="AH475" s="1022">
        <f t="shared" si="105"/>
        <v>0</v>
      </c>
      <c r="AK475" s="448"/>
      <c r="AL475" s="445"/>
    </row>
    <row r="476" spans="1:38" s="467" customFormat="1" ht="12.75" customHeight="1">
      <c r="A476" s="1033">
        <v>5116200</v>
      </c>
      <c r="B476" s="1033" t="s">
        <v>2732</v>
      </c>
      <c r="C476" s="1034" t="str">
        <f>+D476&amp;E476</f>
        <v/>
      </c>
      <c r="D476" s="1033"/>
      <c r="E476" s="1033"/>
      <c r="F476" s="1034" t="str">
        <f>+G476&amp;H476</f>
        <v/>
      </c>
      <c r="G476" s="1033"/>
      <c r="H476" s="1033"/>
      <c r="I476" s="1034" t="str">
        <f>+J476&amp;K476</f>
        <v/>
      </c>
      <c r="J476" s="1033"/>
      <c r="K476" s="1033"/>
      <c r="L476" s="1034" t="str">
        <f>+M476&amp;N476</f>
        <v/>
      </c>
      <c r="M476" s="1035"/>
      <c r="N476" s="1035"/>
      <c r="O476" s="1036" t="str">
        <f>+P476&amp;Q476</f>
        <v/>
      </c>
      <c r="P476" s="1033"/>
      <c r="Q476" s="1033"/>
      <c r="R476" s="1034" t="str">
        <f>+S476&amp;T476</f>
        <v/>
      </c>
      <c r="S476" s="1035"/>
      <c r="T476" s="1035"/>
      <c r="U476" s="1034" t="str">
        <f>+V476&amp;W476</f>
        <v/>
      </c>
      <c r="V476" s="1035"/>
      <c r="W476" s="1035"/>
      <c r="X476" s="1037" t="str">
        <f t="shared" si="102"/>
        <v>221</v>
      </c>
      <c r="Y476" s="1035">
        <v>22</v>
      </c>
      <c r="Z476" s="1035">
        <f t="shared" si="103"/>
        <v>1</v>
      </c>
      <c r="AA476" s="1035"/>
      <c r="AB476" s="1035"/>
      <c r="AC476" s="1021">
        <v>111823</v>
      </c>
      <c r="AD476" s="1021" t="s">
        <v>517</v>
      </c>
      <c r="AE476" s="1022">
        <f>VLOOKUP(AC476,[5]Hoja1!$A$10:$K$1393,11,0)</f>
        <v>0</v>
      </c>
      <c r="AF476" s="1022"/>
      <c r="AG476" s="1022">
        <f t="shared" si="104"/>
        <v>0</v>
      </c>
      <c r="AH476" s="1022">
        <f t="shared" si="105"/>
        <v>0</v>
      </c>
      <c r="AK476" s="448"/>
      <c r="AL476" s="445"/>
    </row>
    <row r="477" spans="1:38" s="467" customFormat="1" ht="12.75" customHeight="1">
      <c r="A477" s="1033">
        <v>5116200</v>
      </c>
      <c r="B477" s="1033" t="s">
        <v>2732</v>
      </c>
      <c r="C477" s="1034" t="str">
        <f>+D477&amp;E477</f>
        <v/>
      </c>
      <c r="D477" s="1033"/>
      <c r="E477" s="1033"/>
      <c r="F477" s="1034" t="str">
        <f>+G477&amp;H477</f>
        <v/>
      </c>
      <c r="G477" s="1033"/>
      <c r="H477" s="1033"/>
      <c r="I477" s="1034" t="str">
        <f>+J477&amp;K477</f>
        <v/>
      </c>
      <c r="J477" s="1033"/>
      <c r="K477" s="1033"/>
      <c r="L477" s="1034" t="str">
        <f>+M477&amp;N477</f>
        <v/>
      </c>
      <c r="M477" s="1035"/>
      <c r="N477" s="1035"/>
      <c r="O477" s="1036" t="str">
        <f>+P477&amp;Q477</f>
        <v/>
      </c>
      <c r="P477" s="1033"/>
      <c r="Q477" s="1033"/>
      <c r="R477" s="1034" t="str">
        <f>+S477&amp;T477</f>
        <v/>
      </c>
      <c r="S477" s="1035"/>
      <c r="T477" s="1035"/>
      <c r="U477" s="1034" t="str">
        <f>+V477&amp;W477</f>
        <v/>
      </c>
      <c r="V477" s="1035"/>
      <c r="W477" s="1035"/>
      <c r="X477" s="1037" t="str">
        <f t="shared" si="102"/>
        <v>221</v>
      </c>
      <c r="Y477" s="1035">
        <v>22</v>
      </c>
      <c r="Z477" s="1035">
        <f t="shared" si="103"/>
        <v>1</v>
      </c>
      <c r="AA477" s="1035"/>
      <c r="AB477" s="1035"/>
      <c r="AC477" s="1021">
        <v>111824</v>
      </c>
      <c r="AD477" s="1021" t="s">
        <v>518</v>
      </c>
      <c r="AE477" s="1022">
        <f>VLOOKUP(AC477,[5]Hoja1!$A$10:$K$1393,11,0)</f>
        <v>0</v>
      </c>
      <c r="AF477" s="1022">
        <v>0</v>
      </c>
      <c r="AG477" s="1022">
        <f t="shared" si="104"/>
        <v>0</v>
      </c>
      <c r="AH477" s="1022">
        <f t="shared" si="105"/>
        <v>0</v>
      </c>
      <c r="AK477" s="448"/>
      <c r="AL477" s="445"/>
    </row>
    <row r="478" spans="1:38" s="467" customFormat="1" ht="12.75" customHeight="1">
      <c r="A478" s="1033"/>
      <c r="B478" s="1033"/>
      <c r="C478" s="1034"/>
      <c r="D478" s="1033"/>
      <c r="E478" s="1033"/>
      <c r="F478" s="1034"/>
      <c r="G478" s="1033"/>
      <c r="H478" s="1033"/>
      <c r="I478" s="1034"/>
      <c r="J478" s="1033"/>
      <c r="K478" s="1033"/>
      <c r="L478" s="1034"/>
      <c r="M478" s="1035"/>
      <c r="N478" s="1035"/>
      <c r="O478" s="1036"/>
      <c r="P478" s="1033"/>
      <c r="Q478" s="1033"/>
      <c r="R478" s="1034"/>
      <c r="S478" s="1035"/>
      <c r="T478" s="1035"/>
      <c r="U478" s="1034"/>
      <c r="V478" s="1035"/>
      <c r="W478" s="1035"/>
      <c r="X478" s="1037" t="str">
        <f t="shared" si="102"/>
        <v>221</v>
      </c>
      <c r="Y478" s="1035">
        <v>22</v>
      </c>
      <c r="Z478" s="1035">
        <f t="shared" si="103"/>
        <v>1</v>
      </c>
      <c r="AA478" s="1035"/>
      <c r="AB478" s="1035"/>
      <c r="AC478" s="1021">
        <v>111825</v>
      </c>
      <c r="AD478" s="1021" t="s">
        <v>2073</v>
      </c>
      <c r="AE478" s="1022">
        <f>VLOOKUP(AC478,[5]Hoja1!$A$10:$K$1393,11,0)</f>
        <v>0</v>
      </c>
      <c r="AF478" s="1022"/>
      <c r="AG478" s="1022">
        <f t="shared" si="104"/>
        <v>0</v>
      </c>
      <c r="AH478" s="1022">
        <f t="shared" si="105"/>
        <v>0</v>
      </c>
      <c r="AK478" s="448"/>
      <c r="AL478" s="445"/>
    </row>
    <row r="479" spans="1:38" s="467" customFormat="1" ht="12.75" customHeight="1">
      <c r="A479" s="1033">
        <v>5153300</v>
      </c>
      <c r="B479" s="1033" t="s">
        <v>599</v>
      </c>
      <c r="C479" s="1034" t="str">
        <f t="shared" ref="C479:C508" si="106">+D479&amp;E479</f>
        <v/>
      </c>
      <c r="D479" s="1033"/>
      <c r="E479" s="1033"/>
      <c r="F479" s="1034" t="str">
        <f t="shared" ref="F479:F508" si="107">+G479&amp;H479</f>
        <v/>
      </c>
      <c r="G479" s="1033"/>
      <c r="H479" s="1033"/>
      <c r="I479" s="1034" t="str">
        <f t="shared" ref="I479:I508" si="108">+J479&amp;K479</f>
        <v/>
      </c>
      <c r="J479" s="1033"/>
      <c r="K479" s="1033"/>
      <c r="L479" s="1034" t="str">
        <f t="shared" ref="L479:L508" si="109">+M479&amp;N479</f>
        <v/>
      </c>
      <c r="M479" s="1035"/>
      <c r="N479" s="1035"/>
      <c r="O479" s="1036" t="str">
        <f t="shared" ref="O479:O508" si="110">+P479&amp;Q479</f>
        <v/>
      </c>
      <c r="P479" s="1033"/>
      <c r="Q479" s="1033"/>
      <c r="R479" s="1034" t="str">
        <f t="shared" ref="R479:R508" si="111">+S479&amp;T479</f>
        <v/>
      </c>
      <c r="S479" s="1035"/>
      <c r="T479" s="1035"/>
      <c r="U479" s="1034" t="str">
        <f t="shared" ref="U479:U508" si="112">+V479&amp;W479</f>
        <v/>
      </c>
      <c r="V479" s="1035"/>
      <c r="W479" s="1035"/>
      <c r="X479" s="1037" t="str">
        <f t="shared" si="102"/>
        <v>1</v>
      </c>
      <c r="Y479" s="1035"/>
      <c r="Z479" s="1035">
        <f t="shared" si="103"/>
        <v>1</v>
      </c>
      <c r="AA479" s="1035"/>
      <c r="AB479" s="1035"/>
      <c r="AC479" s="1021">
        <v>111826</v>
      </c>
      <c r="AD479" s="1021" t="s">
        <v>2074</v>
      </c>
      <c r="AE479" s="1022">
        <f>VLOOKUP(AC479,[5]Hoja1!$A$10:$K$1393,11,0)</f>
        <v>0</v>
      </c>
      <c r="AF479" s="1022"/>
      <c r="AG479" s="1022">
        <f t="shared" si="104"/>
        <v>0</v>
      </c>
      <c r="AH479" s="1022">
        <f t="shared" si="105"/>
        <v>0</v>
      </c>
      <c r="AK479" s="448"/>
      <c r="AL479" s="445"/>
    </row>
    <row r="480" spans="1:38" s="467" customFormat="1" ht="12.75" customHeight="1">
      <c r="A480" s="1033">
        <v>5116200</v>
      </c>
      <c r="B480" s="1033" t="s">
        <v>2732</v>
      </c>
      <c r="C480" s="1034" t="str">
        <f t="shared" si="106"/>
        <v/>
      </c>
      <c r="D480" s="1033"/>
      <c r="E480" s="1033"/>
      <c r="F480" s="1034" t="str">
        <f t="shared" si="107"/>
        <v/>
      </c>
      <c r="G480" s="1033"/>
      <c r="H480" s="1033"/>
      <c r="I480" s="1034" t="str">
        <f t="shared" si="108"/>
        <v/>
      </c>
      <c r="J480" s="1033"/>
      <c r="K480" s="1033"/>
      <c r="L480" s="1034" t="str">
        <f t="shared" si="109"/>
        <v/>
      </c>
      <c r="M480" s="1035"/>
      <c r="N480" s="1035"/>
      <c r="O480" s="1036" t="str">
        <f t="shared" si="110"/>
        <v/>
      </c>
      <c r="P480" s="1033"/>
      <c r="Q480" s="1033"/>
      <c r="R480" s="1034" t="str">
        <f t="shared" si="111"/>
        <v/>
      </c>
      <c r="S480" s="1035"/>
      <c r="T480" s="1035"/>
      <c r="U480" s="1034" t="str">
        <f t="shared" si="112"/>
        <v/>
      </c>
      <c r="V480" s="1035"/>
      <c r="W480" s="1035"/>
      <c r="X480" s="1037" t="str">
        <f t="shared" si="102"/>
        <v>221</v>
      </c>
      <c r="Y480" s="1035">
        <v>22</v>
      </c>
      <c r="Z480" s="1035">
        <f t="shared" si="103"/>
        <v>1</v>
      </c>
      <c r="AA480" s="1035"/>
      <c r="AB480" s="1035"/>
      <c r="AC480" s="1021">
        <v>111827</v>
      </c>
      <c r="AD480" s="1021" t="s">
        <v>2075</v>
      </c>
      <c r="AE480" s="1022">
        <f>VLOOKUP(AC480,[5]Hoja1!$A$10:$K$1393,11,0)</f>
        <v>0</v>
      </c>
      <c r="AF480" s="1022">
        <v>0</v>
      </c>
      <c r="AG480" s="1022">
        <f t="shared" si="104"/>
        <v>0</v>
      </c>
      <c r="AH480" s="1022">
        <f t="shared" si="105"/>
        <v>0</v>
      </c>
      <c r="AJ480" s="445">
        <f>+AH480+AH481+AH482+AH561</f>
        <v>446817</v>
      </c>
      <c r="AK480" s="448"/>
      <c r="AL480" s="445"/>
    </row>
    <row r="481" spans="1:38" s="467" customFormat="1" ht="12.75" customHeight="1">
      <c r="A481" s="1033">
        <v>5153500</v>
      </c>
      <c r="B481" s="1033" t="s">
        <v>1457</v>
      </c>
      <c r="C481" s="1034" t="str">
        <f t="shared" si="106"/>
        <v/>
      </c>
      <c r="D481" s="1033"/>
      <c r="E481" s="1033"/>
      <c r="F481" s="1034" t="str">
        <f t="shared" si="107"/>
        <v/>
      </c>
      <c r="G481" s="1033"/>
      <c r="H481" s="1033"/>
      <c r="I481" s="1034" t="str">
        <f t="shared" si="108"/>
        <v/>
      </c>
      <c r="J481" s="1033"/>
      <c r="K481" s="1033"/>
      <c r="L481" s="1034" t="str">
        <f t="shared" si="109"/>
        <v/>
      </c>
      <c r="M481" s="1035"/>
      <c r="N481" s="1035"/>
      <c r="O481" s="1036" t="str">
        <f t="shared" si="110"/>
        <v/>
      </c>
      <c r="P481" s="1033"/>
      <c r="Q481" s="1033"/>
      <c r="R481" s="1034" t="str">
        <f t="shared" si="111"/>
        <v/>
      </c>
      <c r="S481" s="1035"/>
      <c r="T481" s="1035"/>
      <c r="U481" s="1034" t="str">
        <f t="shared" si="112"/>
        <v/>
      </c>
      <c r="V481" s="1035"/>
      <c r="W481" s="1035"/>
      <c r="X481" s="1037" t="str">
        <f t="shared" si="102"/>
        <v>1</v>
      </c>
      <c r="Y481" s="1035"/>
      <c r="Z481" s="1035">
        <f t="shared" si="103"/>
        <v>1</v>
      </c>
      <c r="AA481" s="1033" t="s">
        <v>2915</v>
      </c>
      <c r="AB481" s="1033" t="s">
        <v>2913</v>
      </c>
      <c r="AC481" s="1021">
        <v>111828</v>
      </c>
      <c r="AD481" s="1021" t="s">
        <v>519</v>
      </c>
      <c r="AE481" s="1022">
        <f>VLOOKUP(AC481,[5]Hoja1!$A$10:$K$1393,11,0)</f>
        <v>446817006</v>
      </c>
      <c r="AF481" s="1022"/>
      <c r="AG481" s="1022">
        <f t="shared" si="104"/>
        <v>446817006</v>
      </c>
      <c r="AH481" s="1188">
        <f t="shared" si="105"/>
        <v>446817</v>
      </c>
      <c r="AJ481" s="445">
        <f>+AH101+AH102</f>
        <v>48466033</v>
      </c>
      <c r="AK481" s="448"/>
      <c r="AL481" s="445"/>
    </row>
    <row r="482" spans="1:38" s="467" customFormat="1" ht="12.75" customHeight="1">
      <c r="A482" s="1033">
        <v>5116200</v>
      </c>
      <c r="B482" s="1033" t="s">
        <v>2732</v>
      </c>
      <c r="C482" s="1034" t="str">
        <f t="shared" si="106"/>
        <v/>
      </c>
      <c r="D482" s="1033"/>
      <c r="E482" s="1033"/>
      <c r="F482" s="1034" t="str">
        <f t="shared" si="107"/>
        <v/>
      </c>
      <c r="G482" s="1033"/>
      <c r="H482" s="1033"/>
      <c r="I482" s="1034" t="str">
        <f t="shared" si="108"/>
        <v/>
      </c>
      <c r="J482" s="1033"/>
      <c r="K482" s="1033"/>
      <c r="L482" s="1034" t="str">
        <f t="shared" si="109"/>
        <v/>
      </c>
      <c r="M482" s="1035"/>
      <c r="N482" s="1035"/>
      <c r="O482" s="1036" t="str">
        <f t="shared" si="110"/>
        <v/>
      </c>
      <c r="P482" s="1033"/>
      <c r="Q482" s="1033"/>
      <c r="R482" s="1034" t="str">
        <f t="shared" si="111"/>
        <v/>
      </c>
      <c r="S482" s="1035"/>
      <c r="T482" s="1035"/>
      <c r="U482" s="1034" t="str">
        <f t="shared" si="112"/>
        <v/>
      </c>
      <c r="V482" s="1035"/>
      <c r="W482" s="1035"/>
      <c r="X482" s="1037" t="str">
        <f t="shared" si="102"/>
        <v>221</v>
      </c>
      <c r="Y482" s="1035">
        <v>22</v>
      </c>
      <c r="Z482" s="1035">
        <f t="shared" si="103"/>
        <v>1</v>
      </c>
      <c r="AA482" s="1035"/>
      <c r="AB482" s="1035"/>
      <c r="AC482" s="1021">
        <v>111829</v>
      </c>
      <c r="AD482" s="1021" t="s">
        <v>520</v>
      </c>
      <c r="AE482" s="1022">
        <f>VLOOKUP(AC482,[5]Hoja1!$A$10:$K$1393,11,0)</f>
        <v>0</v>
      </c>
      <c r="AF482" s="1022"/>
      <c r="AG482" s="1022">
        <f t="shared" si="104"/>
        <v>0</v>
      </c>
      <c r="AH482" s="1022">
        <f t="shared" si="105"/>
        <v>0</v>
      </c>
      <c r="AJ482" s="445">
        <f>+AH576</f>
        <v>0</v>
      </c>
      <c r="AK482" s="448"/>
      <c r="AL482" s="445"/>
    </row>
    <row r="483" spans="1:38" s="467" customFormat="1" ht="12.75" customHeight="1">
      <c r="A483" s="1033"/>
      <c r="B483" s="1033"/>
      <c r="C483" s="1034" t="str">
        <f t="shared" si="106"/>
        <v/>
      </c>
      <c r="D483" s="1033"/>
      <c r="E483" s="1033"/>
      <c r="F483" s="1034" t="str">
        <f t="shared" si="107"/>
        <v/>
      </c>
      <c r="G483" s="1033"/>
      <c r="H483" s="1033"/>
      <c r="I483" s="1034" t="str">
        <f t="shared" si="108"/>
        <v/>
      </c>
      <c r="J483" s="1033"/>
      <c r="K483" s="1033"/>
      <c r="L483" s="1034" t="str">
        <f t="shared" si="109"/>
        <v/>
      </c>
      <c r="M483" s="1035"/>
      <c r="N483" s="1035"/>
      <c r="O483" s="1036" t="str">
        <f t="shared" si="110"/>
        <v/>
      </c>
      <c r="P483" s="1033"/>
      <c r="Q483" s="1033"/>
      <c r="R483" s="1034" t="str">
        <f t="shared" si="111"/>
        <v/>
      </c>
      <c r="S483" s="1035"/>
      <c r="T483" s="1035"/>
      <c r="U483" s="1034" t="str">
        <f t="shared" si="112"/>
        <v/>
      </c>
      <c r="V483" s="1035"/>
      <c r="W483" s="1035"/>
      <c r="X483" s="1037" t="str">
        <f t="shared" si="102"/>
        <v>1</v>
      </c>
      <c r="Y483" s="1035"/>
      <c r="Z483" s="1035">
        <f t="shared" si="103"/>
        <v>1</v>
      </c>
      <c r="AA483" s="1035"/>
      <c r="AB483" s="1035"/>
      <c r="AC483" s="1021">
        <v>111830</v>
      </c>
      <c r="AD483" s="1021" t="s">
        <v>754</v>
      </c>
      <c r="AE483" s="1022">
        <v>0</v>
      </c>
      <c r="AF483" s="1022"/>
      <c r="AG483" s="1022">
        <f t="shared" si="104"/>
        <v>0</v>
      </c>
      <c r="AH483" s="1022">
        <f t="shared" si="105"/>
        <v>0</v>
      </c>
      <c r="AJ483" s="445"/>
      <c r="AK483" s="448"/>
      <c r="AL483" s="445"/>
    </row>
    <row r="484" spans="1:38" s="467" customFormat="1" ht="12.75" customHeight="1">
      <c r="A484" s="1033">
        <v>5153300</v>
      </c>
      <c r="B484" s="1033" t="s">
        <v>599</v>
      </c>
      <c r="C484" s="1034" t="str">
        <f t="shared" si="106"/>
        <v/>
      </c>
      <c r="D484" s="1033"/>
      <c r="E484" s="1033"/>
      <c r="F484" s="1034" t="str">
        <f t="shared" si="107"/>
        <v/>
      </c>
      <c r="G484" s="1033"/>
      <c r="H484" s="1033"/>
      <c r="I484" s="1034" t="str">
        <f t="shared" si="108"/>
        <v/>
      </c>
      <c r="J484" s="1033"/>
      <c r="K484" s="1033"/>
      <c r="L484" s="1034" t="str">
        <f t="shared" si="109"/>
        <v/>
      </c>
      <c r="M484" s="1035"/>
      <c r="N484" s="1035"/>
      <c r="O484" s="1036" t="str">
        <f t="shared" si="110"/>
        <v/>
      </c>
      <c r="P484" s="1033"/>
      <c r="Q484" s="1033"/>
      <c r="R484" s="1034" t="str">
        <f t="shared" si="111"/>
        <v/>
      </c>
      <c r="S484" s="1035"/>
      <c r="T484" s="1035"/>
      <c r="U484" s="1034" t="str">
        <f t="shared" si="112"/>
        <v/>
      </c>
      <c r="V484" s="1035"/>
      <c r="W484" s="1035"/>
      <c r="X484" s="1037" t="str">
        <f t="shared" si="102"/>
        <v>1</v>
      </c>
      <c r="Y484" s="1035"/>
      <c r="Z484" s="1035">
        <f t="shared" si="103"/>
        <v>1</v>
      </c>
      <c r="AA484" s="1033" t="s">
        <v>2915</v>
      </c>
      <c r="AB484" s="1033" t="s">
        <v>2913</v>
      </c>
      <c r="AC484" s="1021">
        <v>111831</v>
      </c>
      <c r="AD484" s="1021" t="s">
        <v>55</v>
      </c>
      <c r="AE484" s="1022">
        <f>VLOOKUP(AC484,[5]Hoja1!$A$10:$K$1393,11,0)</f>
        <v>0</v>
      </c>
      <c r="AF484" s="1022"/>
      <c r="AG484" s="1022">
        <f t="shared" si="104"/>
        <v>0</v>
      </c>
      <c r="AH484" s="1022">
        <f t="shared" si="105"/>
        <v>0</v>
      </c>
      <c r="AJ484" s="445">
        <f>+AH563</f>
        <v>0</v>
      </c>
      <c r="AK484" s="448"/>
      <c r="AL484" s="445"/>
    </row>
    <row r="485" spans="1:38" s="467" customFormat="1" ht="12.75" customHeight="1">
      <c r="A485" s="1033">
        <v>5116200</v>
      </c>
      <c r="B485" s="1033" t="s">
        <v>2732</v>
      </c>
      <c r="C485" s="1034" t="str">
        <f t="shared" si="106"/>
        <v/>
      </c>
      <c r="D485" s="1033"/>
      <c r="E485" s="1033"/>
      <c r="F485" s="1034" t="str">
        <f t="shared" si="107"/>
        <v/>
      </c>
      <c r="G485" s="1033"/>
      <c r="H485" s="1033"/>
      <c r="I485" s="1034" t="str">
        <f t="shared" si="108"/>
        <v/>
      </c>
      <c r="J485" s="1033"/>
      <c r="K485" s="1033"/>
      <c r="L485" s="1034" t="str">
        <f t="shared" si="109"/>
        <v/>
      </c>
      <c r="M485" s="1035"/>
      <c r="N485" s="1035"/>
      <c r="O485" s="1036" t="str">
        <f t="shared" si="110"/>
        <v/>
      </c>
      <c r="P485" s="1033"/>
      <c r="Q485" s="1033"/>
      <c r="R485" s="1034" t="str">
        <f t="shared" si="111"/>
        <v/>
      </c>
      <c r="S485" s="1035"/>
      <c r="T485" s="1035"/>
      <c r="U485" s="1034" t="str">
        <f t="shared" si="112"/>
        <v/>
      </c>
      <c r="V485" s="1035"/>
      <c r="W485" s="1035"/>
      <c r="X485" s="1037" t="str">
        <f t="shared" si="102"/>
        <v>221</v>
      </c>
      <c r="Y485" s="1035">
        <v>22</v>
      </c>
      <c r="Z485" s="1035">
        <f t="shared" si="103"/>
        <v>1</v>
      </c>
      <c r="AA485" s="1035"/>
      <c r="AB485" s="1035"/>
      <c r="AC485" s="1021">
        <v>111832</v>
      </c>
      <c r="AD485" s="1021" t="s">
        <v>2076</v>
      </c>
      <c r="AE485" s="1022">
        <f>VLOOKUP(AC485,[5]Hoja1!$A$10:$K$1393,11,0)</f>
        <v>0</v>
      </c>
      <c r="AF485" s="1022"/>
      <c r="AG485" s="1022">
        <f t="shared" si="104"/>
        <v>0</v>
      </c>
      <c r="AH485" s="1022">
        <f t="shared" si="105"/>
        <v>0</v>
      </c>
      <c r="AJ485" s="445"/>
      <c r="AK485" s="448"/>
      <c r="AL485" s="445"/>
    </row>
    <row r="486" spans="1:38" s="467" customFormat="1" ht="12.75" customHeight="1">
      <c r="A486" s="1033"/>
      <c r="B486" s="1033"/>
      <c r="C486" s="1034" t="str">
        <f t="shared" si="106"/>
        <v/>
      </c>
      <c r="D486" s="1033"/>
      <c r="E486" s="1033"/>
      <c r="F486" s="1034" t="str">
        <f t="shared" si="107"/>
        <v/>
      </c>
      <c r="G486" s="1033"/>
      <c r="H486" s="1033"/>
      <c r="I486" s="1034" t="str">
        <f t="shared" si="108"/>
        <v/>
      </c>
      <c r="J486" s="1033"/>
      <c r="K486" s="1033"/>
      <c r="L486" s="1034" t="str">
        <f t="shared" si="109"/>
        <v/>
      </c>
      <c r="M486" s="1035"/>
      <c r="N486" s="1035"/>
      <c r="O486" s="1036" t="str">
        <f t="shared" si="110"/>
        <v/>
      </c>
      <c r="P486" s="1033"/>
      <c r="Q486" s="1033"/>
      <c r="R486" s="1034" t="str">
        <f t="shared" si="111"/>
        <v/>
      </c>
      <c r="S486" s="1035"/>
      <c r="T486" s="1035"/>
      <c r="U486" s="1034" t="str">
        <f t="shared" si="112"/>
        <v/>
      </c>
      <c r="V486" s="1035"/>
      <c r="W486" s="1035"/>
      <c r="X486" s="1037" t="str">
        <f t="shared" si="102"/>
        <v>221</v>
      </c>
      <c r="Y486" s="1035">
        <v>22</v>
      </c>
      <c r="Z486" s="1035">
        <f t="shared" si="103"/>
        <v>1</v>
      </c>
      <c r="AA486" s="1035"/>
      <c r="AB486" s="1035"/>
      <c r="AC486" s="1021">
        <v>111833</v>
      </c>
      <c r="AD486" s="1021" t="s">
        <v>506</v>
      </c>
      <c r="AE486" s="1022">
        <f>VLOOKUP(AC486,[5]Hoja1!$A$10:$K$1393,11,0)</f>
        <v>0</v>
      </c>
      <c r="AF486" s="1022"/>
      <c r="AG486" s="1022">
        <f t="shared" si="104"/>
        <v>0</v>
      </c>
      <c r="AH486" s="1022">
        <f t="shared" si="105"/>
        <v>0</v>
      </c>
      <c r="AJ486" s="445"/>
      <c r="AK486" s="448"/>
      <c r="AL486" s="445"/>
    </row>
    <row r="487" spans="1:38" s="467" customFormat="1" ht="12.75" customHeight="1">
      <c r="A487" s="1033">
        <v>5153300</v>
      </c>
      <c r="B487" s="1033" t="s">
        <v>599</v>
      </c>
      <c r="C487" s="1034" t="str">
        <f t="shared" si="106"/>
        <v/>
      </c>
      <c r="D487" s="1033"/>
      <c r="E487" s="1033"/>
      <c r="F487" s="1034" t="str">
        <f t="shared" si="107"/>
        <v/>
      </c>
      <c r="G487" s="1033"/>
      <c r="H487" s="1033"/>
      <c r="I487" s="1034" t="str">
        <f t="shared" si="108"/>
        <v/>
      </c>
      <c r="J487" s="1033"/>
      <c r="K487" s="1033"/>
      <c r="L487" s="1034" t="str">
        <f t="shared" si="109"/>
        <v/>
      </c>
      <c r="M487" s="1035"/>
      <c r="N487" s="1035"/>
      <c r="O487" s="1036" t="str">
        <f t="shared" si="110"/>
        <v/>
      </c>
      <c r="P487" s="1033"/>
      <c r="Q487" s="1033"/>
      <c r="R487" s="1034" t="str">
        <f t="shared" si="111"/>
        <v/>
      </c>
      <c r="S487" s="1035"/>
      <c r="T487" s="1035"/>
      <c r="U487" s="1034" t="str">
        <f t="shared" si="112"/>
        <v/>
      </c>
      <c r="V487" s="1035"/>
      <c r="W487" s="1035"/>
      <c r="X487" s="1037" t="str">
        <f t="shared" si="102"/>
        <v>1</v>
      </c>
      <c r="Y487" s="1035"/>
      <c r="Z487" s="1035">
        <f t="shared" si="103"/>
        <v>1</v>
      </c>
      <c r="AA487" s="1033" t="s">
        <v>2915</v>
      </c>
      <c r="AB487" s="1033" t="s">
        <v>2913</v>
      </c>
      <c r="AC487" s="1021">
        <v>111834</v>
      </c>
      <c r="AD487" s="1021" t="s">
        <v>472</v>
      </c>
      <c r="AE487" s="1022">
        <f>VLOOKUP(AC487,[5]Hoja1!$A$10:$K$1393,11,0)</f>
        <v>0</v>
      </c>
      <c r="AF487" s="1022"/>
      <c r="AG487" s="1022">
        <f t="shared" si="104"/>
        <v>0</v>
      </c>
      <c r="AH487" s="1022">
        <f t="shared" si="105"/>
        <v>0</v>
      </c>
      <c r="AJ487" s="445"/>
      <c r="AK487" s="448"/>
      <c r="AL487" s="445"/>
    </row>
    <row r="488" spans="1:38" s="467" customFormat="1" ht="12.75" customHeight="1">
      <c r="A488" s="1033">
        <v>5153300</v>
      </c>
      <c r="B488" s="1033" t="s">
        <v>599</v>
      </c>
      <c r="C488" s="1034" t="str">
        <f t="shared" si="106"/>
        <v/>
      </c>
      <c r="D488" s="1033"/>
      <c r="E488" s="1033"/>
      <c r="F488" s="1034" t="str">
        <f t="shared" si="107"/>
        <v/>
      </c>
      <c r="G488" s="1033"/>
      <c r="H488" s="1033"/>
      <c r="I488" s="1034" t="str">
        <f t="shared" si="108"/>
        <v/>
      </c>
      <c r="J488" s="1033"/>
      <c r="K488" s="1033"/>
      <c r="L488" s="1034" t="str">
        <f t="shared" si="109"/>
        <v/>
      </c>
      <c r="M488" s="1035"/>
      <c r="N488" s="1035"/>
      <c r="O488" s="1036" t="str">
        <f t="shared" si="110"/>
        <v/>
      </c>
      <c r="P488" s="1033"/>
      <c r="Q488" s="1033"/>
      <c r="R488" s="1034" t="str">
        <f t="shared" si="111"/>
        <v/>
      </c>
      <c r="S488" s="1035"/>
      <c r="T488" s="1035"/>
      <c r="U488" s="1034" t="str">
        <f t="shared" si="112"/>
        <v/>
      </c>
      <c r="V488" s="1035"/>
      <c r="W488" s="1035"/>
      <c r="X488" s="1037" t="str">
        <f t="shared" si="102"/>
        <v>1</v>
      </c>
      <c r="Y488" s="1035"/>
      <c r="Z488" s="1035">
        <f t="shared" si="103"/>
        <v>1</v>
      </c>
      <c r="AA488" s="1033" t="s">
        <v>2915</v>
      </c>
      <c r="AB488" s="1033" t="s">
        <v>2913</v>
      </c>
      <c r="AC488" s="1021">
        <v>111835</v>
      </c>
      <c r="AD488" s="1021" t="s">
        <v>473</v>
      </c>
      <c r="AE488" s="1022">
        <f>VLOOKUP(AC488,[5]Hoja1!$A$10:$K$1393,11,0)</f>
        <v>0</v>
      </c>
      <c r="AF488" s="1022"/>
      <c r="AG488" s="1022">
        <f t="shared" si="104"/>
        <v>0</v>
      </c>
      <c r="AH488" s="1022">
        <f t="shared" si="105"/>
        <v>0</v>
      </c>
      <c r="AJ488" s="445"/>
      <c r="AK488" s="448"/>
      <c r="AL488" s="445"/>
    </row>
    <row r="489" spans="1:38" s="467" customFormat="1" ht="12.75" customHeight="1">
      <c r="A489" s="1033">
        <v>5116200</v>
      </c>
      <c r="B489" s="1033" t="s">
        <v>2732</v>
      </c>
      <c r="C489" s="1034" t="str">
        <f t="shared" si="106"/>
        <v/>
      </c>
      <c r="D489" s="1033"/>
      <c r="E489" s="1033"/>
      <c r="F489" s="1034" t="str">
        <f t="shared" si="107"/>
        <v/>
      </c>
      <c r="G489" s="1033"/>
      <c r="H489" s="1033"/>
      <c r="I489" s="1034" t="str">
        <f t="shared" si="108"/>
        <v/>
      </c>
      <c r="J489" s="1033"/>
      <c r="K489" s="1033"/>
      <c r="L489" s="1034" t="str">
        <f t="shared" si="109"/>
        <v/>
      </c>
      <c r="M489" s="1035"/>
      <c r="N489" s="1035"/>
      <c r="O489" s="1036" t="str">
        <f t="shared" si="110"/>
        <v/>
      </c>
      <c r="P489" s="1033"/>
      <c r="Q489" s="1033"/>
      <c r="R489" s="1034" t="str">
        <f t="shared" si="111"/>
        <v/>
      </c>
      <c r="S489" s="1035"/>
      <c r="T489" s="1035"/>
      <c r="U489" s="1034" t="str">
        <f t="shared" si="112"/>
        <v/>
      </c>
      <c r="V489" s="1035"/>
      <c r="W489" s="1035"/>
      <c r="X489" s="1037" t="str">
        <f t="shared" si="102"/>
        <v>221</v>
      </c>
      <c r="Y489" s="1035">
        <v>22</v>
      </c>
      <c r="Z489" s="1035">
        <f t="shared" si="103"/>
        <v>1</v>
      </c>
      <c r="AA489" s="1035"/>
      <c r="AB489" s="1035"/>
      <c r="AC489" s="1023">
        <v>111836</v>
      </c>
      <c r="AD489" s="1021" t="s">
        <v>3064</v>
      </c>
      <c r="AE489" s="1022">
        <f>VLOOKUP(AC489,[5]Hoja1!$A$10:$K$1393,11,0)</f>
        <v>0</v>
      </c>
      <c r="AF489" s="1022"/>
      <c r="AG489" s="1022">
        <f t="shared" si="104"/>
        <v>0</v>
      </c>
      <c r="AH489" s="1022">
        <f t="shared" si="105"/>
        <v>0</v>
      </c>
      <c r="AJ489" s="445"/>
      <c r="AK489" s="448"/>
      <c r="AL489" s="445"/>
    </row>
    <row r="490" spans="1:38" s="467" customFormat="1" ht="12.75" customHeight="1">
      <c r="A490" s="1033">
        <v>5116200</v>
      </c>
      <c r="B490" s="1033" t="s">
        <v>2732</v>
      </c>
      <c r="C490" s="1034" t="str">
        <f>+D490&amp;E490</f>
        <v/>
      </c>
      <c r="D490" s="1033"/>
      <c r="E490" s="1033"/>
      <c r="F490" s="1034" t="str">
        <f>+G490&amp;H490</f>
        <v/>
      </c>
      <c r="G490" s="1033"/>
      <c r="H490" s="1033"/>
      <c r="I490" s="1034" t="str">
        <f>+J490&amp;K490</f>
        <v/>
      </c>
      <c r="J490" s="1033"/>
      <c r="K490" s="1033"/>
      <c r="L490" s="1034" t="str">
        <f>+M490&amp;N490</f>
        <v/>
      </c>
      <c r="M490" s="1035"/>
      <c r="N490" s="1035"/>
      <c r="O490" s="1036" t="str">
        <f>+P490&amp;Q490</f>
        <v/>
      </c>
      <c r="P490" s="1033"/>
      <c r="Q490" s="1033"/>
      <c r="R490" s="1034" t="str">
        <f>+S490&amp;T490</f>
        <v/>
      </c>
      <c r="S490" s="1035"/>
      <c r="T490" s="1035"/>
      <c r="U490" s="1034" t="str">
        <f>+V490&amp;W490</f>
        <v/>
      </c>
      <c r="V490" s="1035"/>
      <c r="W490" s="1035"/>
      <c r="X490" s="1037" t="str">
        <f t="shared" si="102"/>
        <v>221</v>
      </c>
      <c r="Y490" s="1035">
        <v>22</v>
      </c>
      <c r="Z490" s="1035">
        <f t="shared" si="103"/>
        <v>1</v>
      </c>
      <c r="AA490" s="1035"/>
      <c r="AB490" s="1035"/>
      <c r="AC490" s="1023">
        <v>111837</v>
      </c>
      <c r="AD490" s="1021" t="s">
        <v>3065</v>
      </c>
      <c r="AE490" s="1022">
        <f>VLOOKUP(AC490,[5]Hoja1!$A$10:$K$1393,11,0)</f>
        <v>76938038</v>
      </c>
      <c r="AF490" s="1022"/>
      <c r="AG490" s="1022">
        <f t="shared" si="104"/>
        <v>76938038</v>
      </c>
      <c r="AH490" s="1460">
        <f t="shared" si="105"/>
        <v>76938</v>
      </c>
      <c r="AI490" s="875">
        <f>+AH490+AH530+AH532</f>
        <v>501590</v>
      </c>
      <c r="AJ490" s="445"/>
      <c r="AK490" s="448"/>
      <c r="AL490" s="445"/>
    </row>
    <row r="491" spans="1:38" s="467" customFormat="1" ht="12.75" customHeight="1">
      <c r="A491" s="1033">
        <v>5153300</v>
      </c>
      <c r="B491" s="1033" t="s">
        <v>599</v>
      </c>
      <c r="C491" s="1034" t="str">
        <f t="shared" si="106"/>
        <v/>
      </c>
      <c r="D491" s="1033"/>
      <c r="E491" s="1033"/>
      <c r="F491" s="1034" t="str">
        <f t="shared" si="107"/>
        <v/>
      </c>
      <c r="G491" s="1033"/>
      <c r="H491" s="1033"/>
      <c r="I491" s="1034" t="str">
        <f t="shared" si="108"/>
        <v/>
      </c>
      <c r="J491" s="1033"/>
      <c r="K491" s="1033"/>
      <c r="L491" s="1034" t="str">
        <f t="shared" si="109"/>
        <v/>
      </c>
      <c r="M491" s="1035"/>
      <c r="N491" s="1035"/>
      <c r="O491" s="1036" t="str">
        <f t="shared" si="110"/>
        <v/>
      </c>
      <c r="P491" s="1033"/>
      <c r="Q491" s="1033"/>
      <c r="R491" s="1034" t="str">
        <f t="shared" si="111"/>
        <v/>
      </c>
      <c r="S491" s="1035"/>
      <c r="T491" s="1035"/>
      <c r="U491" s="1034" t="str">
        <f t="shared" si="112"/>
        <v/>
      </c>
      <c r="V491" s="1035"/>
      <c r="W491" s="1035"/>
      <c r="X491" s="1037" t="str">
        <f t="shared" si="102"/>
        <v>1</v>
      </c>
      <c r="Y491" s="1035"/>
      <c r="Z491" s="1035">
        <f t="shared" si="103"/>
        <v>1</v>
      </c>
      <c r="AA491" s="1033" t="s">
        <v>2915</v>
      </c>
      <c r="AB491" s="1033" t="s">
        <v>2913</v>
      </c>
      <c r="AC491" s="1021">
        <v>111838</v>
      </c>
      <c r="AD491" s="1021" t="s">
        <v>1306</v>
      </c>
      <c r="AE491" s="1022">
        <f>VLOOKUP(AC491,[5]Hoja1!$A$10:$K$1393,11,0)</f>
        <v>0</v>
      </c>
      <c r="AF491" s="1022"/>
      <c r="AG491" s="1022">
        <f t="shared" si="104"/>
        <v>0</v>
      </c>
      <c r="AH491" s="1022">
        <f t="shared" si="105"/>
        <v>0</v>
      </c>
      <c r="AJ491" s="445"/>
      <c r="AK491" s="448"/>
      <c r="AL491" s="445"/>
    </row>
    <row r="492" spans="1:38" s="467" customFormat="1" ht="12.75" customHeight="1">
      <c r="A492" s="1033">
        <v>5153300</v>
      </c>
      <c r="B492" s="1033" t="s">
        <v>599</v>
      </c>
      <c r="C492" s="1034" t="str">
        <f t="shared" si="106"/>
        <v/>
      </c>
      <c r="D492" s="1033"/>
      <c r="E492" s="1033"/>
      <c r="F492" s="1034" t="str">
        <f t="shared" si="107"/>
        <v/>
      </c>
      <c r="G492" s="1033"/>
      <c r="H492" s="1033"/>
      <c r="I492" s="1034" t="str">
        <f t="shared" si="108"/>
        <v/>
      </c>
      <c r="J492" s="1033"/>
      <c r="K492" s="1033"/>
      <c r="L492" s="1034" t="str">
        <f t="shared" si="109"/>
        <v/>
      </c>
      <c r="M492" s="1035"/>
      <c r="N492" s="1035"/>
      <c r="O492" s="1036" t="str">
        <f t="shared" si="110"/>
        <v/>
      </c>
      <c r="P492" s="1033"/>
      <c r="Q492" s="1033"/>
      <c r="R492" s="1034" t="str">
        <f t="shared" si="111"/>
        <v/>
      </c>
      <c r="S492" s="1035"/>
      <c r="T492" s="1035"/>
      <c r="U492" s="1034" t="str">
        <f t="shared" si="112"/>
        <v/>
      </c>
      <c r="V492" s="1035"/>
      <c r="W492" s="1035"/>
      <c r="X492" s="1037" t="str">
        <f t="shared" si="102"/>
        <v>1</v>
      </c>
      <c r="Y492" s="1035"/>
      <c r="Z492" s="1035">
        <f t="shared" si="103"/>
        <v>1</v>
      </c>
      <c r="AA492" s="1033" t="s">
        <v>2915</v>
      </c>
      <c r="AB492" s="1033" t="s">
        <v>2913</v>
      </c>
      <c r="AC492" s="1021">
        <v>111839</v>
      </c>
      <c r="AD492" s="1021" t="s">
        <v>2077</v>
      </c>
      <c r="AE492" s="1022">
        <f>VLOOKUP(AC492,[5]Hoja1!$A$10:$K$1393,11,0)</f>
        <v>0</v>
      </c>
      <c r="AF492" s="1022"/>
      <c r="AG492" s="1022">
        <f t="shared" si="104"/>
        <v>0</v>
      </c>
      <c r="AH492" s="1022">
        <f t="shared" si="105"/>
        <v>0</v>
      </c>
      <c r="AJ492" s="445"/>
      <c r="AK492" s="448"/>
      <c r="AL492" s="445"/>
    </row>
    <row r="493" spans="1:38" s="467" customFormat="1" ht="12.75" customHeight="1">
      <c r="A493" s="1033">
        <v>5153300</v>
      </c>
      <c r="B493" s="1033" t="s">
        <v>599</v>
      </c>
      <c r="C493" s="1034" t="str">
        <f t="shared" si="106"/>
        <v/>
      </c>
      <c r="D493" s="1033"/>
      <c r="E493" s="1033"/>
      <c r="F493" s="1034" t="str">
        <f t="shared" si="107"/>
        <v/>
      </c>
      <c r="G493" s="1033"/>
      <c r="H493" s="1033"/>
      <c r="I493" s="1034" t="str">
        <f t="shared" si="108"/>
        <v/>
      </c>
      <c r="J493" s="1033"/>
      <c r="K493" s="1033"/>
      <c r="L493" s="1034" t="str">
        <f t="shared" si="109"/>
        <v/>
      </c>
      <c r="M493" s="1035"/>
      <c r="N493" s="1035"/>
      <c r="O493" s="1036" t="str">
        <f t="shared" si="110"/>
        <v/>
      </c>
      <c r="P493" s="1033"/>
      <c r="Q493" s="1033"/>
      <c r="R493" s="1034" t="str">
        <f t="shared" si="111"/>
        <v/>
      </c>
      <c r="S493" s="1035"/>
      <c r="T493" s="1035"/>
      <c r="U493" s="1034" t="str">
        <f t="shared" si="112"/>
        <v/>
      </c>
      <c r="V493" s="1035"/>
      <c r="W493" s="1035"/>
      <c r="X493" s="1037" t="str">
        <f t="shared" si="102"/>
        <v>1</v>
      </c>
      <c r="Y493" s="1035"/>
      <c r="Z493" s="1035">
        <f t="shared" si="103"/>
        <v>1</v>
      </c>
      <c r="AA493" s="1035"/>
      <c r="AB493" s="1035"/>
      <c r="AC493" s="1021">
        <v>111840</v>
      </c>
      <c r="AD493" s="1021" t="s">
        <v>1480</v>
      </c>
      <c r="AE493" s="1022">
        <f>VLOOKUP(AC493,[5]Hoja1!$A$10:$K$1393,11,0)</f>
        <v>0</v>
      </c>
      <c r="AF493" s="1022"/>
      <c r="AG493" s="1022">
        <f t="shared" si="104"/>
        <v>0</v>
      </c>
      <c r="AH493" s="1022">
        <f t="shared" si="105"/>
        <v>0</v>
      </c>
      <c r="AJ493" s="445"/>
      <c r="AK493" s="448"/>
      <c r="AL493" s="445"/>
    </row>
    <row r="494" spans="1:38" s="467" customFormat="1" ht="12.75" customHeight="1">
      <c r="A494" s="1033">
        <v>5153300</v>
      </c>
      <c r="B494" s="1033" t="s">
        <v>599</v>
      </c>
      <c r="C494" s="1034" t="str">
        <f t="shared" si="106"/>
        <v/>
      </c>
      <c r="D494" s="1033"/>
      <c r="E494" s="1033"/>
      <c r="F494" s="1034" t="str">
        <f t="shared" si="107"/>
        <v/>
      </c>
      <c r="G494" s="1033"/>
      <c r="H494" s="1033"/>
      <c r="I494" s="1034" t="str">
        <f t="shared" si="108"/>
        <v/>
      </c>
      <c r="J494" s="1033"/>
      <c r="K494" s="1033"/>
      <c r="L494" s="1034" t="str">
        <f t="shared" si="109"/>
        <v/>
      </c>
      <c r="M494" s="1035"/>
      <c r="N494" s="1035"/>
      <c r="O494" s="1036" t="str">
        <f t="shared" si="110"/>
        <v/>
      </c>
      <c r="P494" s="1033"/>
      <c r="Q494" s="1033"/>
      <c r="R494" s="1034" t="str">
        <f t="shared" si="111"/>
        <v/>
      </c>
      <c r="S494" s="1035"/>
      <c r="T494" s="1035"/>
      <c r="U494" s="1034" t="str">
        <f t="shared" si="112"/>
        <v/>
      </c>
      <c r="V494" s="1035"/>
      <c r="W494" s="1035"/>
      <c r="X494" s="1037" t="str">
        <f t="shared" si="102"/>
        <v>1</v>
      </c>
      <c r="Y494" s="1035"/>
      <c r="Z494" s="1035">
        <f t="shared" si="103"/>
        <v>1</v>
      </c>
      <c r="AA494" s="1035"/>
      <c r="AB494" s="1035"/>
      <c r="AC494" s="1021">
        <v>111841</v>
      </c>
      <c r="AD494" s="1021" t="s">
        <v>1720</v>
      </c>
      <c r="AE494" s="1022">
        <f>VLOOKUP(AC494,[5]Hoja1!$A$10:$K$1393,11,0)</f>
        <v>0</v>
      </c>
      <c r="AF494" s="1022"/>
      <c r="AG494" s="1022">
        <f t="shared" si="104"/>
        <v>0</v>
      </c>
      <c r="AH494" s="1022">
        <f t="shared" si="105"/>
        <v>0</v>
      </c>
      <c r="AJ494" s="445"/>
      <c r="AK494" s="448"/>
      <c r="AL494" s="445"/>
    </row>
    <row r="495" spans="1:38" s="467" customFormat="1" ht="12.75" customHeight="1">
      <c r="A495" s="1033">
        <v>5116200</v>
      </c>
      <c r="B495" s="1033" t="s">
        <v>2732</v>
      </c>
      <c r="C495" s="1034" t="str">
        <f t="shared" si="106"/>
        <v/>
      </c>
      <c r="D495" s="1033"/>
      <c r="E495" s="1033"/>
      <c r="F495" s="1034" t="str">
        <f t="shared" si="107"/>
        <v/>
      </c>
      <c r="G495" s="1033"/>
      <c r="H495" s="1033"/>
      <c r="I495" s="1034" t="str">
        <f t="shared" si="108"/>
        <v/>
      </c>
      <c r="J495" s="1033"/>
      <c r="K495" s="1033"/>
      <c r="L495" s="1034" t="str">
        <f t="shared" si="109"/>
        <v/>
      </c>
      <c r="M495" s="1035"/>
      <c r="N495" s="1035"/>
      <c r="O495" s="1036" t="str">
        <f t="shared" si="110"/>
        <v/>
      </c>
      <c r="P495" s="1033"/>
      <c r="Q495" s="1033"/>
      <c r="R495" s="1034" t="str">
        <f t="shared" si="111"/>
        <v/>
      </c>
      <c r="S495" s="1035"/>
      <c r="T495" s="1035"/>
      <c r="U495" s="1034" t="str">
        <f t="shared" si="112"/>
        <v/>
      </c>
      <c r="V495" s="1035"/>
      <c r="W495" s="1035"/>
      <c r="X495" s="1037" t="str">
        <f t="shared" si="102"/>
        <v>221</v>
      </c>
      <c r="Y495" s="1035">
        <v>22</v>
      </c>
      <c r="Z495" s="1035">
        <f t="shared" si="103"/>
        <v>1</v>
      </c>
      <c r="AA495" s="1035"/>
      <c r="AB495" s="1035"/>
      <c r="AC495" s="1021">
        <v>111842</v>
      </c>
      <c r="AD495" s="1021" t="s">
        <v>2078</v>
      </c>
      <c r="AE495" s="1022">
        <f>VLOOKUP(AC495,[5]Hoja1!$A$10:$K$1393,11,0)</f>
        <v>5163517959</v>
      </c>
      <c r="AF495" s="1022"/>
      <c r="AG495" s="1022">
        <f t="shared" si="104"/>
        <v>5163517959</v>
      </c>
      <c r="AH495" s="1460">
        <f t="shared" si="105"/>
        <v>5163518</v>
      </c>
      <c r="AI495" s="875">
        <f>+AH495+AH543</f>
        <v>15196564</v>
      </c>
      <c r="AJ495" s="445"/>
      <c r="AK495" s="448"/>
      <c r="AL495" s="445"/>
    </row>
    <row r="496" spans="1:38" s="467" customFormat="1" ht="12.75" customHeight="1">
      <c r="A496" s="1033">
        <v>5116200</v>
      </c>
      <c r="B496" s="1033" t="s">
        <v>2732</v>
      </c>
      <c r="C496" s="1034" t="str">
        <f t="shared" si="106"/>
        <v/>
      </c>
      <c r="D496" s="1033"/>
      <c r="E496" s="1033"/>
      <c r="F496" s="1034" t="str">
        <f t="shared" si="107"/>
        <v/>
      </c>
      <c r="G496" s="1033"/>
      <c r="H496" s="1033"/>
      <c r="I496" s="1034" t="str">
        <f t="shared" si="108"/>
        <v/>
      </c>
      <c r="J496" s="1033"/>
      <c r="K496" s="1033"/>
      <c r="L496" s="1034" t="str">
        <f t="shared" si="109"/>
        <v/>
      </c>
      <c r="M496" s="1035"/>
      <c r="N496" s="1035"/>
      <c r="O496" s="1036" t="str">
        <f t="shared" si="110"/>
        <v/>
      </c>
      <c r="P496" s="1033"/>
      <c r="Q496" s="1033"/>
      <c r="R496" s="1034" t="str">
        <f t="shared" si="111"/>
        <v/>
      </c>
      <c r="S496" s="1035"/>
      <c r="T496" s="1035"/>
      <c r="U496" s="1034" t="str">
        <f t="shared" si="112"/>
        <v/>
      </c>
      <c r="V496" s="1035"/>
      <c r="W496" s="1035"/>
      <c r="X496" s="1037" t="str">
        <f t="shared" si="102"/>
        <v>221</v>
      </c>
      <c r="Y496" s="1035">
        <v>22</v>
      </c>
      <c r="Z496" s="1035">
        <f t="shared" si="103"/>
        <v>1</v>
      </c>
      <c r="AA496" s="1035"/>
      <c r="AB496" s="1035"/>
      <c r="AC496" s="1021">
        <v>111843</v>
      </c>
      <c r="AD496" s="1021" t="s">
        <v>2079</v>
      </c>
      <c r="AE496" s="1022">
        <f>VLOOKUP(AC496,[5]Hoja1!$A$10:$K$1393,11,0)</f>
        <v>0</v>
      </c>
      <c r="AF496" s="1022"/>
      <c r="AG496" s="1022">
        <f t="shared" si="104"/>
        <v>0</v>
      </c>
      <c r="AH496" s="1022">
        <f t="shared" si="105"/>
        <v>0</v>
      </c>
      <c r="AJ496" s="445"/>
      <c r="AK496" s="448"/>
      <c r="AL496" s="445"/>
    </row>
    <row r="497" spans="1:38" s="467" customFormat="1" ht="12.75" customHeight="1">
      <c r="A497" s="1033">
        <v>5116200</v>
      </c>
      <c r="B497" s="1033" t="s">
        <v>2732</v>
      </c>
      <c r="C497" s="1034" t="str">
        <f t="shared" si="106"/>
        <v/>
      </c>
      <c r="D497" s="1033"/>
      <c r="E497" s="1033"/>
      <c r="F497" s="1034" t="str">
        <f t="shared" si="107"/>
        <v/>
      </c>
      <c r="G497" s="1033"/>
      <c r="H497" s="1033"/>
      <c r="I497" s="1034" t="str">
        <f t="shared" si="108"/>
        <v/>
      </c>
      <c r="J497" s="1033"/>
      <c r="K497" s="1033"/>
      <c r="L497" s="1034" t="str">
        <f t="shared" si="109"/>
        <v/>
      </c>
      <c r="M497" s="1035"/>
      <c r="N497" s="1035"/>
      <c r="O497" s="1036" t="str">
        <f t="shared" si="110"/>
        <v/>
      </c>
      <c r="P497" s="1033"/>
      <c r="Q497" s="1033"/>
      <c r="R497" s="1034" t="str">
        <f t="shared" si="111"/>
        <v/>
      </c>
      <c r="S497" s="1035"/>
      <c r="T497" s="1035"/>
      <c r="U497" s="1034" t="str">
        <f t="shared" si="112"/>
        <v/>
      </c>
      <c r="V497" s="1035"/>
      <c r="W497" s="1035"/>
      <c r="X497" s="1037" t="str">
        <f t="shared" si="102"/>
        <v>221</v>
      </c>
      <c r="Y497" s="1035">
        <v>22</v>
      </c>
      <c r="Z497" s="1035">
        <f t="shared" si="103"/>
        <v>1</v>
      </c>
      <c r="AA497" s="1035"/>
      <c r="AB497" s="1035"/>
      <c r="AC497" s="1021">
        <v>111844</v>
      </c>
      <c r="AD497" s="1021" t="s">
        <v>166</v>
      </c>
      <c r="AE497" s="1022">
        <f>VLOOKUP(AC497,[5]Hoja1!$A$10:$K$1393,11,0)</f>
        <v>0</v>
      </c>
      <c r="AF497" s="1022"/>
      <c r="AG497" s="1022">
        <f t="shared" si="104"/>
        <v>0</v>
      </c>
      <c r="AH497" s="1022">
        <f t="shared" si="105"/>
        <v>0</v>
      </c>
      <c r="AJ497" s="445"/>
      <c r="AK497" s="448"/>
      <c r="AL497" s="445"/>
    </row>
    <row r="498" spans="1:38" s="467" customFormat="1" ht="12.75" customHeight="1">
      <c r="A498" s="1033">
        <v>5116200</v>
      </c>
      <c r="B498" s="1033" t="s">
        <v>2732</v>
      </c>
      <c r="C498" s="1034" t="str">
        <f t="shared" si="106"/>
        <v/>
      </c>
      <c r="D498" s="1033"/>
      <c r="E498" s="1033"/>
      <c r="F498" s="1034" t="str">
        <f t="shared" si="107"/>
        <v/>
      </c>
      <c r="G498" s="1033"/>
      <c r="H498" s="1033"/>
      <c r="I498" s="1034" t="str">
        <f t="shared" si="108"/>
        <v/>
      </c>
      <c r="J498" s="1033"/>
      <c r="K498" s="1033"/>
      <c r="L498" s="1034" t="str">
        <f t="shared" si="109"/>
        <v/>
      </c>
      <c r="M498" s="1035"/>
      <c r="N498" s="1035"/>
      <c r="O498" s="1036" t="str">
        <f t="shared" si="110"/>
        <v/>
      </c>
      <c r="P498" s="1033"/>
      <c r="Q498" s="1033"/>
      <c r="R498" s="1034" t="str">
        <f t="shared" si="111"/>
        <v/>
      </c>
      <c r="S498" s="1035"/>
      <c r="T498" s="1035"/>
      <c r="U498" s="1034" t="str">
        <f t="shared" si="112"/>
        <v/>
      </c>
      <c r="V498" s="1035"/>
      <c r="W498" s="1035"/>
      <c r="X498" s="1037" t="str">
        <f t="shared" si="102"/>
        <v>221</v>
      </c>
      <c r="Y498" s="1035">
        <v>22</v>
      </c>
      <c r="Z498" s="1035">
        <f t="shared" si="103"/>
        <v>1</v>
      </c>
      <c r="AA498" s="1035"/>
      <c r="AB498" s="1035"/>
      <c r="AC498" s="1021">
        <v>111845</v>
      </c>
      <c r="AD498" s="1021" t="s">
        <v>167</v>
      </c>
      <c r="AE498" s="1022">
        <f>VLOOKUP(AC498,[5]Hoja1!$A$10:$K$1393,11,0)</f>
        <v>0</v>
      </c>
      <c r="AF498" s="1022"/>
      <c r="AG498" s="1022">
        <f t="shared" si="104"/>
        <v>0</v>
      </c>
      <c r="AH498" s="1022">
        <f t="shared" si="105"/>
        <v>0</v>
      </c>
      <c r="AJ498" s="445"/>
      <c r="AK498" s="448"/>
      <c r="AL498" s="445"/>
    </row>
    <row r="499" spans="1:38" s="467" customFormat="1" ht="12.75" customHeight="1">
      <c r="A499" s="1033">
        <v>5151200</v>
      </c>
      <c r="B499" s="1033" t="s">
        <v>2763</v>
      </c>
      <c r="C499" s="1034" t="str">
        <f t="shared" si="106"/>
        <v/>
      </c>
      <c r="D499" s="1033"/>
      <c r="E499" s="1033"/>
      <c r="F499" s="1034" t="str">
        <f t="shared" si="107"/>
        <v/>
      </c>
      <c r="G499" s="1033"/>
      <c r="H499" s="1033"/>
      <c r="I499" s="1034" t="str">
        <f t="shared" si="108"/>
        <v/>
      </c>
      <c r="J499" s="1033"/>
      <c r="K499" s="1033"/>
      <c r="L499" s="1034" t="str">
        <f t="shared" si="109"/>
        <v/>
      </c>
      <c r="M499" s="1035"/>
      <c r="N499" s="1035"/>
      <c r="O499" s="1036" t="str">
        <f t="shared" si="110"/>
        <v/>
      </c>
      <c r="P499" s="1033"/>
      <c r="Q499" s="1033"/>
      <c r="R499" s="1034" t="str">
        <f t="shared" si="111"/>
        <v/>
      </c>
      <c r="S499" s="1035"/>
      <c r="T499" s="1035"/>
      <c r="U499" s="1034" t="str">
        <f t="shared" si="112"/>
        <v/>
      </c>
      <c r="V499" s="1035"/>
      <c r="W499" s="1035"/>
      <c r="X499" s="1037" t="str">
        <f t="shared" si="102"/>
        <v>1</v>
      </c>
      <c r="Y499" s="1035"/>
      <c r="Z499" s="1035">
        <f t="shared" si="103"/>
        <v>1</v>
      </c>
      <c r="AA499" s="1033" t="s">
        <v>2915</v>
      </c>
      <c r="AB499" s="1033" t="s">
        <v>2911</v>
      </c>
      <c r="AC499" s="1021">
        <v>111846</v>
      </c>
      <c r="AD499" s="1021" t="s">
        <v>1590</v>
      </c>
      <c r="AE499" s="1022">
        <f>VLOOKUP(AC499,[5]Hoja1!$A$10:$K$1393,11,0)</f>
        <v>5015876</v>
      </c>
      <c r="AF499" s="1022">
        <v>0</v>
      </c>
      <c r="AG499" s="1022">
        <f t="shared" si="104"/>
        <v>5015876</v>
      </c>
      <c r="AH499" s="1188">
        <f t="shared" si="105"/>
        <v>5016</v>
      </c>
      <c r="AJ499" s="445"/>
      <c r="AK499" s="448"/>
      <c r="AL499" s="445"/>
    </row>
    <row r="500" spans="1:38" s="467" customFormat="1" ht="12.75" customHeight="1">
      <c r="A500" s="1033">
        <v>5153300</v>
      </c>
      <c r="B500" s="1033" t="s">
        <v>599</v>
      </c>
      <c r="C500" s="1034" t="str">
        <f t="shared" si="106"/>
        <v/>
      </c>
      <c r="D500" s="1033"/>
      <c r="E500" s="1033"/>
      <c r="F500" s="1034" t="str">
        <f t="shared" si="107"/>
        <v/>
      </c>
      <c r="G500" s="1033"/>
      <c r="H500" s="1033"/>
      <c r="I500" s="1034" t="str">
        <f t="shared" si="108"/>
        <v/>
      </c>
      <c r="J500" s="1033"/>
      <c r="K500" s="1033"/>
      <c r="L500" s="1034" t="str">
        <f t="shared" si="109"/>
        <v/>
      </c>
      <c r="M500" s="1035"/>
      <c r="N500" s="1035"/>
      <c r="O500" s="1036" t="str">
        <f t="shared" si="110"/>
        <v/>
      </c>
      <c r="P500" s="1033"/>
      <c r="Q500" s="1033"/>
      <c r="R500" s="1034" t="str">
        <f t="shared" si="111"/>
        <v/>
      </c>
      <c r="S500" s="1035"/>
      <c r="T500" s="1035"/>
      <c r="U500" s="1034" t="str">
        <f t="shared" si="112"/>
        <v/>
      </c>
      <c r="V500" s="1035"/>
      <c r="W500" s="1035"/>
      <c r="X500" s="1037" t="str">
        <f t="shared" si="102"/>
        <v>1</v>
      </c>
      <c r="Y500" s="1035"/>
      <c r="Z500" s="1035">
        <f t="shared" si="103"/>
        <v>1</v>
      </c>
      <c r="AA500" s="1033" t="s">
        <v>2915</v>
      </c>
      <c r="AB500" s="1033" t="s">
        <v>2913</v>
      </c>
      <c r="AC500" s="1021">
        <v>111847</v>
      </c>
      <c r="AD500" s="1021" t="s">
        <v>1591</v>
      </c>
      <c r="AE500" s="1022">
        <f>VLOOKUP(AC500,[5]Hoja1!$A$10:$K$1393,11,0)</f>
        <v>0</v>
      </c>
      <c r="AF500" s="1022"/>
      <c r="AG500" s="1022">
        <f t="shared" si="104"/>
        <v>0</v>
      </c>
      <c r="AH500" s="1022">
        <f t="shared" si="105"/>
        <v>0</v>
      </c>
      <c r="AJ500" s="445"/>
      <c r="AK500" s="448"/>
      <c r="AL500" s="445"/>
    </row>
    <row r="501" spans="1:38" s="467" customFormat="1" ht="12.75" customHeight="1">
      <c r="A501" s="1033">
        <v>5153300</v>
      </c>
      <c r="B501" s="1033" t="s">
        <v>599</v>
      </c>
      <c r="C501" s="1034" t="str">
        <f t="shared" si="106"/>
        <v/>
      </c>
      <c r="D501" s="1033"/>
      <c r="E501" s="1033"/>
      <c r="F501" s="1034" t="str">
        <f t="shared" si="107"/>
        <v/>
      </c>
      <c r="G501" s="1033"/>
      <c r="H501" s="1033"/>
      <c r="I501" s="1034" t="str">
        <f t="shared" si="108"/>
        <v/>
      </c>
      <c r="J501" s="1033"/>
      <c r="K501" s="1033"/>
      <c r="L501" s="1034" t="str">
        <f t="shared" si="109"/>
        <v/>
      </c>
      <c r="M501" s="1035"/>
      <c r="N501" s="1035"/>
      <c r="O501" s="1036" t="str">
        <f t="shared" si="110"/>
        <v/>
      </c>
      <c r="P501" s="1033"/>
      <c r="Q501" s="1033"/>
      <c r="R501" s="1034" t="str">
        <f t="shared" si="111"/>
        <v/>
      </c>
      <c r="S501" s="1035"/>
      <c r="T501" s="1035"/>
      <c r="U501" s="1034" t="str">
        <f t="shared" si="112"/>
        <v/>
      </c>
      <c r="V501" s="1035"/>
      <c r="W501" s="1035"/>
      <c r="X501" s="1037" t="str">
        <f t="shared" si="102"/>
        <v>1</v>
      </c>
      <c r="Y501" s="1035"/>
      <c r="Z501" s="1035">
        <f t="shared" si="103"/>
        <v>1</v>
      </c>
      <c r="AA501" s="1033" t="s">
        <v>2915</v>
      </c>
      <c r="AB501" s="1033" t="s">
        <v>2913</v>
      </c>
      <c r="AC501" s="1021">
        <v>111848</v>
      </c>
      <c r="AD501" s="1021" t="s">
        <v>1592</v>
      </c>
      <c r="AE501" s="1022">
        <f>VLOOKUP(AC501,[5]Hoja1!$A$10:$K$1393,11,0)</f>
        <v>0</v>
      </c>
      <c r="AF501" s="1022"/>
      <c r="AG501" s="1022">
        <f t="shared" si="104"/>
        <v>0</v>
      </c>
      <c r="AH501" s="1022">
        <f t="shared" si="105"/>
        <v>0</v>
      </c>
      <c r="AJ501" s="445"/>
      <c r="AK501" s="448"/>
      <c r="AL501" s="445"/>
    </row>
    <row r="502" spans="1:38" s="467" customFormat="1" ht="12.75" customHeight="1">
      <c r="A502" s="1033">
        <v>5116200</v>
      </c>
      <c r="B502" s="1033" t="s">
        <v>2732</v>
      </c>
      <c r="C502" s="1034" t="str">
        <f t="shared" si="106"/>
        <v/>
      </c>
      <c r="D502" s="1033"/>
      <c r="E502" s="1033"/>
      <c r="F502" s="1034" t="str">
        <f t="shared" si="107"/>
        <v/>
      </c>
      <c r="G502" s="1033"/>
      <c r="H502" s="1033"/>
      <c r="I502" s="1034" t="str">
        <f t="shared" si="108"/>
        <v/>
      </c>
      <c r="J502" s="1033"/>
      <c r="K502" s="1033"/>
      <c r="L502" s="1034" t="str">
        <f t="shared" si="109"/>
        <v/>
      </c>
      <c r="M502" s="1035"/>
      <c r="N502" s="1035"/>
      <c r="O502" s="1036" t="str">
        <f t="shared" si="110"/>
        <v/>
      </c>
      <c r="P502" s="1033"/>
      <c r="Q502" s="1033"/>
      <c r="R502" s="1034" t="str">
        <f t="shared" si="111"/>
        <v/>
      </c>
      <c r="S502" s="1035"/>
      <c r="T502" s="1035"/>
      <c r="U502" s="1034" t="str">
        <f t="shared" si="112"/>
        <v/>
      </c>
      <c r="V502" s="1035"/>
      <c r="W502" s="1035"/>
      <c r="X502" s="1037" t="str">
        <f t="shared" si="102"/>
        <v>221</v>
      </c>
      <c r="Y502" s="1035">
        <v>22</v>
      </c>
      <c r="Z502" s="1035">
        <f t="shared" si="103"/>
        <v>1</v>
      </c>
      <c r="AA502" s="1035"/>
      <c r="AB502" s="1035"/>
      <c r="AC502" s="1021">
        <v>111850</v>
      </c>
      <c r="AD502" s="1021" t="s">
        <v>2080</v>
      </c>
      <c r="AE502" s="1022">
        <f>VLOOKUP(AC502,[5]Hoja1!$A$10:$K$1393,11,0)</f>
        <v>0</v>
      </c>
      <c r="AF502" s="1022"/>
      <c r="AG502" s="1022">
        <f t="shared" si="104"/>
        <v>0</v>
      </c>
      <c r="AH502" s="1022">
        <f t="shared" si="105"/>
        <v>0</v>
      </c>
      <c r="AJ502" s="445"/>
      <c r="AK502" s="448"/>
      <c r="AL502" s="445"/>
    </row>
    <row r="503" spans="1:38" s="467" customFormat="1" ht="12.75" customHeight="1">
      <c r="A503" s="1033">
        <v>5116200</v>
      </c>
      <c r="B503" s="1033" t="s">
        <v>2732</v>
      </c>
      <c r="C503" s="1034" t="str">
        <f t="shared" si="106"/>
        <v/>
      </c>
      <c r="D503" s="1033"/>
      <c r="E503" s="1033"/>
      <c r="F503" s="1034" t="str">
        <f t="shared" si="107"/>
        <v/>
      </c>
      <c r="G503" s="1033"/>
      <c r="H503" s="1033"/>
      <c r="I503" s="1034" t="str">
        <f t="shared" si="108"/>
        <v/>
      </c>
      <c r="J503" s="1033"/>
      <c r="K503" s="1033"/>
      <c r="L503" s="1034" t="str">
        <f t="shared" si="109"/>
        <v/>
      </c>
      <c r="M503" s="1035"/>
      <c r="N503" s="1035"/>
      <c r="O503" s="1036" t="str">
        <f t="shared" si="110"/>
        <v/>
      </c>
      <c r="P503" s="1033"/>
      <c r="Q503" s="1033"/>
      <c r="R503" s="1034" t="str">
        <f t="shared" si="111"/>
        <v/>
      </c>
      <c r="S503" s="1035"/>
      <c r="T503" s="1035"/>
      <c r="U503" s="1034" t="str">
        <f t="shared" si="112"/>
        <v/>
      </c>
      <c r="V503" s="1035"/>
      <c r="W503" s="1035"/>
      <c r="X503" s="1037" t="str">
        <f t="shared" si="102"/>
        <v>221</v>
      </c>
      <c r="Y503" s="1035">
        <v>22</v>
      </c>
      <c r="Z503" s="1035">
        <f t="shared" si="103"/>
        <v>1</v>
      </c>
      <c r="AA503" s="1035"/>
      <c r="AB503" s="1035"/>
      <c r="AC503" s="1021">
        <v>111851</v>
      </c>
      <c r="AD503" s="1021" t="s">
        <v>2081</v>
      </c>
      <c r="AE503" s="1022">
        <f>VLOOKUP(AC503,[5]Hoja1!$A$10:$K$1393,11,0)</f>
        <v>0</v>
      </c>
      <c r="AF503" s="1022"/>
      <c r="AG503" s="1022">
        <f t="shared" si="104"/>
        <v>0</v>
      </c>
      <c r="AH503" s="1022">
        <f t="shared" si="105"/>
        <v>0</v>
      </c>
      <c r="AJ503" s="445"/>
      <c r="AK503" s="448"/>
      <c r="AL503" s="445"/>
    </row>
    <row r="504" spans="1:38" s="467" customFormat="1" ht="12.75" customHeight="1">
      <c r="A504" s="1033">
        <v>5116200</v>
      </c>
      <c r="B504" s="1033" t="s">
        <v>2732</v>
      </c>
      <c r="C504" s="1034" t="str">
        <f t="shared" si="106"/>
        <v/>
      </c>
      <c r="D504" s="1033"/>
      <c r="E504" s="1033"/>
      <c r="F504" s="1034" t="str">
        <f t="shared" si="107"/>
        <v/>
      </c>
      <c r="G504" s="1033"/>
      <c r="H504" s="1033"/>
      <c r="I504" s="1034" t="str">
        <f t="shared" si="108"/>
        <v/>
      </c>
      <c r="J504" s="1033"/>
      <c r="K504" s="1033"/>
      <c r="L504" s="1034" t="str">
        <f t="shared" si="109"/>
        <v/>
      </c>
      <c r="M504" s="1035"/>
      <c r="N504" s="1035"/>
      <c r="O504" s="1036" t="str">
        <f t="shared" si="110"/>
        <v/>
      </c>
      <c r="P504" s="1033"/>
      <c r="Q504" s="1033"/>
      <c r="R504" s="1034" t="str">
        <f t="shared" si="111"/>
        <v/>
      </c>
      <c r="S504" s="1035"/>
      <c r="T504" s="1035"/>
      <c r="U504" s="1034" t="str">
        <f t="shared" si="112"/>
        <v/>
      </c>
      <c r="V504" s="1035"/>
      <c r="W504" s="1035"/>
      <c r="X504" s="1037" t="str">
        <f t="shared" si="102"/>
        <v>221</v>
      </c>
      <c r="Y504" s="1035">
        <v>22</v>
      </c>
      <c r="Z504" s="1035">
        <f t="shared" si="103"/>
        <v>1</v>
      </c>
      <c r="AA504" s="1035"/>
      <c r="AB504" s="1035"/>
      <c r="AC504" s="1021">
        <v>111852</v>
      </c>
      <c r="AD504" s="1021" t="s">
        <v>2082</v>
      </c>
      <c r="AE504" s="1022">
        <f>VLOOKUP(AC504,[5]Hoja1!$A$10:$K$1393,11,0)</f>
        <v>0</v>
      </c>
      <c r="AF504" s="1022"/>
      <c r="AG504" s="1022">
        <f t="shared" si="104"/>
        <v>0</v>
      </c>
      <c r="AH504" s="1022">
        <f t="shared" si="105"/>
        <v>0</v>
      </c>
      <c r="AJ504" s="445"/>
      <c r="AK504" s="448"/>
      <c r="AL504" s="445"/>
    </row>
    <row r="505" spans="1:38" s="467" customFormat="1" ht="12.75" customHeight="1">
      <c r="A505" s="1033">
        <v>5116200</v>
      </c>
      <c r="B505" s="1033" t="s">
        <v>2732</v>
      </c>
      <c r="C505" s="1034" t="str">
        <f t="shared" si="106"/>
        <v/>
      </c>
      <c r="D505" s="1033"/>
      <c r="E505" s="1033"/>
      <c r="F505" s="1034" t="str">
        <f t="shared" si="107"/>
        <v/>
      </c>
      <c r="G505" s="1033"/>
      <c r="H505" s="1033"/>
      <c r="I505" s="1034" t="str">
        <f t="shared" si="108"/>
        <v/>
      </c>
      <c r="J505" s="1033"/>
      <c r="K505" s="1033"/>
      <c r="L505" s="1034" t="str">
        <f t="shared" si="109"/>
        <v/>
      </c>
      <c r="M505" s="1035"/>
      <c r="N505" s="1035"/>
      <c r="O505" s="1036" t="str">
        <f t="shared" si="110"/>
        <v/>
      </c>
      <c r="P505" s="1033"/>
      <c r="Q505" s="1033"/>
      <c r="R505" s="1034" t="str">
        <f t="shared" si="111"/>
        <v/>
      </c>
      <c r="S505" s="1035"/>
      <c r="T505" s="1035"/>
      <c r="U505" s="1034" t="str">
        <f t="shared" si="112"/>
        <v/>
      </c>
      <c r="V505" s="1035"/>
      <c r="W505" s="1035"/>
      <c r="X505" s="1037" t="str">
        <f t="shared" si="102"/>
        <v>221</v>
      </c>
      <c r="Y505" s="1035">
        <v>22</v>
      </c>
      <c r="Z505" s="1035">
        <f t="shared" si="103"/>
        <v>1</v>
      </c>
      <c r="AA505" s="1035"/>
      <c r="AB505" s="1035"/>
      <c r="AC505" s="1021">
        <v>111853</v>
      </c>
      <c r="AD505" s="1021" t="s">
        <v>2083</v>
      </c>
      <c r="AE505" s="1022">
        <f>VLOOKUP(AC505,[5]Hoja1!$A$10:$K$1393,11,0)</f>
        <v>0</v>
      </c>
      <c r="AF505" s="1022"/>
      <c r="AG505" s="1022">
        <f t="shared" si="104"/>
        <v>0</v>
      </c>
      <c r="AH505" s="1022">
        <f t="shared" si="105"/>
        <v>0</v>
      </c>
      <c r="AJ505" s="445"/>
      <c r="AK505" s="448"/>
      <c r="AL505" s="445"/>
    </row>
    <row r="506" spans="1:38" s="467" customFormat="1" ht="12.75" customHeight="1">
      <c r="A506" s="1033">
        <v>5116200</v>
      </c>
      <c r="B506" s="1033" t="s">
        <v>2732</v>
      </c>
      <c r="C506" s="1034" t="str">
        <f t="shared" si="106"/>
        <v/>
      </c>
      <c r="D506" s="1033"/>
      <c r="E506" s="1033"/>
      <c r="F506" s="1034" t="str">
        <f t="shared" si="107"/>
        <v/>
      </c>
      <c r="G506" s="1033"/>
      <c r="H506" s="1033"/>
      <c r="I506" s="1034" t="str">
        <f t="shared" si="108"/>
        <v/>
      </c>
      <c r="J506" s="1033"/>
      <c r="K506" s="1033"/>
      <c r="L506" s="1034" t="str">
        <f t="shared" si="109"/>
        <v/>
      </c>
      <c r="M506" s="1035"/>
      <c r="N506" s="1035"/>
      <c r="O506" s="1036" t="str">
        <f t="shared" si="110"/>
        <v/>
      </c>
      <c r="P506" s="1033"/>
      <c r="Q506" s="1033"/>
      <c r="R506" s="1034" t="str">
        <f t="shared" si="111"/>
        <v/>
      </c>
      <c r="S506" s="1035"/>
      <c r="T506" s="1035"/>
      <c r="U506" s="1034" t="str">
        <f t="shared" si="112"/>
        <v/>
      </c>
      <c r="V506" s="1035"/>
      <c r="W506" s="1035"/>
      <c r="X506" s="1037" t="str">
        <f t="shared" si="102"/>
        <v>221</v>
      </c>
      <c r="Y506" s="1035">
        <v>22</v>
      </c>
      <c r="Z506" s="1035">
        <f t="shared" si="103"/>
        <v>1</v>
      </c>
      <c r="AA506" s="1035"/>
      <c r="AB506" s="1035"/>
      <c r="AC506" s="1021">
        <v>111854</v>
      </c>
      <c r="AD506" s="1021" t="s">
        <v>2084</v>
      </c>
      <c r="AE506" s="1022">
        <f>VLOOKUP(AC506,[5]Hoja1!$A$10:$K$1393,11,0)</f>
        <v>474976784</v>
      </c>
      <c r="AF506" s="1022"/>
      <c r="AG506" s="1022">
        <f t="shared" si="104"/>
        <v>474976784</v>
      </c>
      <c r="AH506" s="1460">
        <f t="shared" si="105"/>
        <v>474977</v>
      </c>
      <c r="AI506" s="875">
        <f>+AH506+AH507+AH519</f>
        <v>113104</v>
      </c>
      <c r="AJ506" s="445"/>
      <c r="AK506" s="448"/>
      <c r="AL506" s="445"/>
    </row>
    <row r="507" spans="1:38" s="467" customFormat="1" ht="12.75" customHeight="1">
      <c r="A507" s="1033">
        <v>5116200</v>
      </c>
      <c r="B507" s="1033" t="s">
        <v>2732</v>
      </c>
      <c r="C507" s="1034" t="str">
        <f t="shared" si="106"/>
        <v/>
      </c>
      <c r="D507" s="1033"/>
      <c r="E507" s="1033"/>
      <c r="F507" s="1034" t="str">
        <f t="shared" si="107"/>
        <v/>
      </c>
      <c r="G507" s="1033"/>
      <c r="H507" s="1033"/>
      <c r="I507" s="1034" t="str">
        <f t="shared" si="108"/>
        <v/>
      </c>
      <c r="J507" s="1033"/>
      <c r="K507" s="1033"/>
      <c r="L507" s="1034" t="str">
        <f t="shared" si="109"/>
        <v/>
      </c>
      <c r="M507" s="1035"/>
      <c r="N507" s="1035"/>
      <c r="O507" s="1036" t="str">
        <f t="shared" si="110"/>
        <v/>
      </c>
      <c r="P507" s="1033"/>
      <c r="Q507" s="1033"/>
      <c r="R507" s="1034" t="str">
        <f t="shared" si="111"/>
        <v/>
      </c>
      <c r="S507" s="1035"/>
      <c r="T507" s="1035"/>
      <c r="U507" s="1034" t="str">
        <f t="shared" si="112"/>
        <v/>
      </c>
      <c r="V507" s="1035"/>
      <c r="W507" s="1035"/>
      <c r="X507" s="1037" t="str">
        <f t="shared" si="102"/>
        <v>221</v>
      </c>
      <c r="Y507" s="1035">
        <v>22</v>
      </c>
      <c r="Z507" s="1035">
        <f t="shared" si="103"/>
        <v>1</v>
      </c>
      <c r="AA507" s="1035"/>
      <c r="AB507" s="1035"/>
      <c r="AC507" s="1021">
        <v>111855</v>
      </c>
      <c r="AD507" s="1021" t="s">
        <v>2085</v>
      </c>
      <c r="AE507" s="1022">
        <f>VLOOKUP(AC507,[5]Hoja1!$A$10:$K$1393,11,0)</f>
        <v>-294592406</v>
      </c>
      <c r="AF507" s="1022">
        <v>0</v>
      </c>
      <c r="AG507" s="1022">
        <f t="shared" si="104"/>
        <v>-294592406</v>
      </c>
      <c r="AH507" s="1460">
        <f t="shared" si="105"/>
        <v>-294592</v>
      </c>
      <c r="AI507" s="875"/>
      <c r="AJ507" s="445"/>
      <c r="AK507" s="448"/>
      <c r="AL507" s="445"/>
    </row>
    <row r="508" spans="1:38" s="467" customFormat="1" ht="12.75" customHeight="1">
      <c r="A508" s="1033">
        <v>5116200</v>
      </c>
      <c r="B508" s="1033" t="s">
        <v>2732</v>
      </c>
      <c r="C508" s="1034" t="str">
        <f t="shared" si="106"/>
        <v/>
      </c>
      <c r="D508" s="1033"/>
      <c r="E508" s="1033"/>
      <c r="F508" s="1034" t="str">
        <f t="shared" si="107"/>
        <v/>
      </c>
      <c r="G508" s="1033"/>
      <c r="H508" s="1033"/>
      <c r="I508" s="1034" t="str">
        <f t="shared" si="108"/>
        <v/>
      </c>
      <c r="J508" s="1033"/>
      <c r="K508" s="1033"/>
      <c r="L508" s="1034" t="str">
        <f t="shared" si="109"/>
        <v/>
      </c>
      <c r="M508" s="1035"/>
      <c r="N508" s="1035"/>
      <c r="O508" s="1036" t="str">
        <f t="shared" si="110"/>
        <v/>
      </c>
      <c r="P508" s="1033"/>
      <c r="Q508" s="1033"/>
      <c r="R508" s="1034" t="str">
        <f t="shared" si="111"/>
        <v/>
      </c>
      <c r="S508" s="1035"/>
      <c r="T508" s="1035"/>
      <c r="U508" s="1034" t="str">
        <f t="shared" si="112"/>
        <v/>
      </c>
      <c r="V508" s="1035"/>
      <c r="W508" s="1035"/>
      <c r="X508" s="1037" t="str">
        <f t="shared" si="102"/>
        <v>221</v>
      </c>
      <c r="Y508" s="1035">
        <v>22</v>
      </c>
      <c r="Z508" s="1035">
        <f t="shared" si="103"/>
        <v>1</v>
      </c>
      <c r="AA508" s="1035"/>
      <c r="AB508" s="1035"/>
      <c r="AC508" s="1021">
        <v>111856</v>
      </c>
      <c r="AD508" s="1021" t="s">
        <v>1721</v>
      </c>
      <c r="AE508" s="1022">
        <f>VLOOKUP(AC508,[5]Hoja1!$A$10:$K$1393,11,0)</f>
        <v>4880668</v>
      </c>
      <c r="AF508" s="1022"/>
      <c r="AG508" s="1022">
        <f t="shared" si="104"/>
        <v>4880668</v>
      </c>
      <c r="AH508" s="1460">
        <f t="shared" si="105"/>
        <v>4881</v>
      </c>
      <c r="AI508" s="875">
        <f>+AH508+AH509+AH544</f>
        <v>3531</v>
      </c>
      <c r="AJ508" s="445"/>
      <c r="AK508" s="448"/>
      <c r="AL508" s="445"/>
    </row>
    <row r="509" spans="1:38" s="467" customFormat="1" ht="12.75" customHeight="1">
      <c r="A509" s="1033">
        <v>5116200</v>
      </c>
      <c r="B509" s="1033" t="s">
        <v>2732</v>
      </c>
      <c r="C509" s="1034" t="str">
        <f>+D509&amp;E509</f>
        <v/>
      </c>
      <c r="D509" s="1033"/>
      <c r="E509" s="1033"/>
      <c r="F509" s="1034" t="str">
        <f>+G509&amp;H509</f>
        <v/>
      </c>
      <c r="G509" s="1033"/>
      <c r="H509" s="1033"/>
      <c r="I509" s="1034" t="str">
        <f>+J509&amp;K509</f>
        <v/>
      </c>
      <c r="J509" s="1033"/>
      <c r="K509" s="1033"/>
      <c r="L509" s="1034" t="str">
        <f>+M509&amp;N509</f>
        <v/>
      </c>
      <c r="M509" s="1035"/>
      <c r="N509" s="1035"/>
      <c r="O509" s="1036" t="str">
        <f>+P509&amp;Q509</f>
        <v/>
      </c>
      <c r="P509" s="1033"/>
      <c r="Q509" s="1033"/>
      <c r="R509" s="1034" t="str">
        <f>+S509&amp;T509</f>
        <v/>
      </c>
      <c r="S509" s="1035"/>
      <c r="T509" s="1035"/>
      <c r="U509" s="1034" t="str">
        <f>+V509&amp;W509</f>
        <v/>
      </c>
      <c r="V509" s="1035"/>
      <c r="W509" s="1035"/>
      <c r="X509" s="1037" t="str">
        <f t="shared" si="102"/>
        <v>221</v>
      </c>
      <c r="Y509" s="1035">
        <v>22</v>
      </c>
      <c r="Z509" s="1035">
        <f t="shared" si="103"/>
        <v>1</v>
      </c>
      <c r="AA509" s="1035"/>
      <c r="AB509" s="1035"/>
      <c r="AC509" s="1021">
        <v>111857</v>
      </c>
      <c r="AD509" s="1021" t="s">
        <v>2086</v>
      </c>
      <c r="AE509" s="1022">
        <f>VLOOKUP(AC509,[5]Hoja1!$A$10:$K$1393,11,0)</f>
        <v>17856015</v>
      </c>
      <c r="AF509" s="1022"/>
      <c r="AG509" s="1022">
        <f t="shared" si="104"/>
        <v>17856015</v>
      </c>
      <c r="AH509" s="1460">
        <f t="shared" si="105"/>
        <v>17856</v>
      </c>
      <c r="AI509" s="875"/>
      <c r="AJ509" s="445"/>
      <c r="AK509" s="448"/>
      <c r="AL509" s="445"/>
    </row>
    <row r="510" spans="1:38" s="467" customFormat="1" ht="12.75" customHeight="1">
      <c r="A510" s="1033">
        <v>5153300</v>
      </c>
      <c r="B510" s="1033" t="s">
        <v>599</v>
      </c>
      <c r="C510" s="1034"/>
      <c r="D510" s="1033"/>
      <c r="E510" s="1033"/>
      <c r="F510" s="1034"/>
      <c r="G510" s="1033"/>
      <c r="H510" s="1033"/>
      <c r="I510" s="1034"/>
      <c r="J510" s="1033"/>
      <c r="K510" s="1033"/>
      <c r="L510" s="1034"/>
      <c r="M510" s="1035"/>
      <c r="N510" s="1035"/>
      <c r="O510" s="1036"/>
      <c r="P510" s="1033"/>
      <c r="Q510" s="1033"/>
      <c r="R510" s="1034"/>
      <c r="S510" s="1035"/>
      <c r="T510" s="1035"/>
      <c r="U510" s="1034"/>
      <c r="V510" s="1035"/>
      <c r="W510" s="1035"/>
      <c r="X510" s="1037"/>
      <c r="Y510" s="1035"/>
      <c r="Z510" s="1035">
        <f t="shared" si="103"/>
        <v>1</v>
      </c>
      <c r="AA510" s="1033" t="s">
        <v>2915</v>
      </c>
      <c r="AB510" s="1033" t="s">
        <v>2913</v>
      </c>
      <c r="AC510" s="1026">
        <v>111858</v>
      </c>
      <c r="AD510" s="1021" t="s">
        <v>471</v>
      </c>
      <c r="AE510" s="1022">
        <f>VLOOKUP(AC510,[5]Hoja1!$A$10:$K$1393,11,0)</f>
        <v>0</v>
      </c>
      <c r="AF510" s="1022">
        <f>-AE510</f>
        <v>0</v>
      </c>
      <c r="AG510" s="1022">
        <f t="shared" si="104"/>
        <v>0</v>
      </c>
      <c r="AH510" s="1188">
        <f t="shared" si="105"/>
        <v>0</v>
      </c>
      <c r="AJ510" s="445"/>
      <c r="AK510" s="448"/>
      <c r="AL510" s="445"/>
    </row>
    <row r="511" spans="1:38" s="467" customFormat="1" ht="12.75" customHeight="1">
      <c r="A511" s="1033">
        <v>5116200</v>
      </c>
      <c r="B511" s="1033" t="s">
        <v>2732</v>
      </c>
      <c r="C511" s="1034" t="str">
        <f>+D511&amp;E511</f>
        <v/>
      </c>
      <c r="D511" s="1033"/>
      <c r="E511" s="1033"/>
      <c r="F511" s="1034" t="str">
        <f>+G511&amp;H511</f>
        <v/>
      </c>
      <c r="G511" s="1033"/>
      <c r="H511" s="1033"/>
      <c r="I511" s="1034" t="str">
        <f>+J511&amp;K511</f>
        <v/>
      </c>
      <c r="J511" s="1033"/>
      <c r="K511" s="1033"/>
      <c r="L511" s="1034" t="str">
        <f>+M511&amp;N511</f>
        <v/>
      </c>
      <c r="M511" s="1035"/>
      <c r="N511" s="1035"/>
      <c r="O511" s="1036" t="str">
        <f>+P511&amp;Q511</f>
        <v/>
      </c>
      <c r="P511" s="1033"/>
      <c r="Q511" s="1033"/>
      <c r="R511" s="1034" t="str">
        <f>+S511&amp;T511</f>
        <v/>
      </c>
      <c r="S511" s="1035"/>
      <c r="T511" s="1035"/>
      <c r="U511" s="1034" t="str">
        <f>+V511&amp;W511</f>
        <v/>
      </c>
      <c r="V511" s="1035"/>
      <c r="W511" s="1035"/>
      <c r="X511" s="1037" t="str">
        <f>+Y511&amp;Z511</f>
        <v>221</v>
      </c>
      <c r="Y511" s="1035">
        <v>22</v>
      </c>
      <c r="Z511" s="1035">
        <f t="shared" si="103"/>
        <v>1</v>
      </c>
      <c r="AA511" s="1035"/>
      <c r="AB511" s="1035"/>
      <c r="AC511" s="1021">
        <v>111859</v>
      </c>
      <c r="AD511" s="1021" t="s">
        <v>1103</v>
      </c>
      <c r="AE511" s="1022">
        <f>VLOOKUP(AC511,[5]Hoja1!$A$10:$K$1393,11,0)</f>
        <v>3969772</v>
      </c>
      <c r="AF511" s="1022"/>
      <c r="AG511" s="1022">
        <f t="shared" si="104"/>
        <v>3969772</v>
      </c>
      <c r="AH511" s="1460">
        <f t="shared" si="105"/>
        <v>3970</v>
      </c>
      <c r="AI511" s="875">
        <f>+AH511+AH512+AH545</f>
        <v>-80930</v>
      </c>
      <c r="AJ511" s="445"/>
      <c r="AK511" s="448"/>
      <c r="AL511" s="445"/>
    </row>
    <row r="512" spans="1:38" s="467" customFormat="1" ht="12.75" customHeight="1">
      <c r="A512" s="1033">
        <v>5116200</v>
      </c>
      <c r="B512" s="1033" t="s">
        <v>2732</v>
      </c>
      <c r="C512" s="1034" t="str">
        <f>+D512&amp;E512</f>
        <v/>
      </c>
      <c r="D512" s="1033"/>
      <c r="E512" s="1033"/>
      <c r="F512" s="1034" t="str">
        <f>+G512&amp;H512</f>
        <v/>
      </c>
      <c r="G512" s="1033"/>
      <c r="H512" s="1033"/>
      <c r="I512" s="1034" t="str">
        <f>+J512&amp;K512</f>
        <v/>
      </c>
      <c r="J512" s="1033"/>
      <c r="K512" s="1033"/>
      <c r="L512" s="1034" t="str">
        <f>+M512&amp;N512</f>
        <v/>
      </c>
      <c r="M512" s="1035"/>
      <c r="N512" s="1035"/>
      <c r="O512" s="1036" t="str">
        <f>+P512&amp;Q512</f>
        <v/>
      </c>
      <c r="P512" s="1033"/>
      <c r="Q512" s="1033"/>
      <c r="R512" s="1034" t="str">
        <f>+S512&amp;T512</f>
        <v/>
      </c>
      <c r="S512" s="1035"/>
      <c r="T512" s="1035"/>
      <c r="U512" s="1034" t="str">
        <f>+V512&amp;W512</f>
        <v/>
      </c>
      <c r="V512" s="1035"/>
      <c r="W512" s="1035"/>
      <c r="X512" s="1037" t="str">
        <f>+Y512&amp;Z512</f>
        <v>221</v>
      </c>
      <c r="Y512" s="1035">
        <v>22</v>
      </c>
      <c r="Z512" s="1035">
        <f t="shared" si="103"/>
        <v>1</v>
      </c>
      <c r="AA512" s="1035"/>
      <c r="AB512" s="1035"/>
      <c r="AC512" s="1021">
        <v>111860</v>
      </c>
      <c r="AD512" s="1021" t="s">
        <v>2087</v>
      </c>
      <c r="AE512" s="1022">
        <f>VLOOKUP(AC512,[5]Hoja1!$A$10:$K$1393,11,0)</f>
        <v>3745629</v>
      </c>
      <c r="AF512" s="1022">
        <v>0</v>
      </c>
      <c r="AG512" s="1022">
        <f t="shared" si="104"/>
        <v>3745629</v>
      </c>
      <c r="AH512" s="1460">
        <f t="shared" si="105"/>
        <v>3746</v>
      </c>
      <c r="AI512" s="875"/>
      <c r="AJ512" s="445"/>
      <c r="AK512" s="448"/>
      <c r="AL512" s="445"/>
    </row>
    <row r="513" spans="1:38" s="467" customFormat="1" ht="12.75" customHeight="1">
      <c r="A513" s="1033">
        <v>5153300</v>
      </c>
      <c r="B513" s="1033" t="s">
        <v>599</v>
      </c>
      <c r="C513" s="1034"/>
      <c r="D513" s="1033"/>
      <c r="E513" s="1033"/>
      <c r="F513" s="1034"/>
      <c r="G513" s="1033"/>
      <c r="H513" s="1033"/>
      <c r="I513" s="1034"/>
      <c r="J513" s="1033"/>
      <c r="K513" s="1033"/>
      <c r="L513" s="1034"/>
      <c r="M513" s="1035"/>
      <c r="N513" s="1035"/>
      <c r="O513" s="1036"/>
      <c r="P513" s="1033"/>
      <c r="Q513" s="1033"/>
      <c r="R513" s="1034"/>
      <c r="S513" s="1035"/>
      <c r="T513" s="1035"/>
      <c r="U513" s="1034"/>
      <c r="V513" s="1035"/>
      <c r="W513" s="1035"/>
      <c r="X513" s="1037"/>
      <c r="Y513" s="1035"/>
      <c r="Z513" s="1035">
        <f t="shared" si="103"/>
        <v>1</v>
      </c>
      <c r="AA513" s="1033" t="s">
        <v>2915</v>
      </c>
      <c r="AB513" s="1033" t="s">
        <v>2913</v>
      </c>
      <c r="AC513" s="1021">
        <v>111861</v>
      </c>
      <c r="AD513" s="1021" t="s">
        <v>2088</v>
      </c>
      <c r="AE513" s="1022">
        <f>VLOOKUP(AC513,[5]Hoja1!$A$10:$K$1393,11,0)</f>
        <v>1461219597</v>
      </c>
      <c r="AF513" s="1022"/>
      <c r="AG513" s="1022">
        <f t="shared" si="104"/>
        <v>1461219597</v>
      </c>
      <c r="AH513" s="1188">
        <f t="shared" si="105"/>
        <v>1461220</v>
      </c>
      <c r="AJ513" s="445"/>
      <c r="AK513" s="448"/>
      <c r="AL513" s="445"/>
    </row>
    <row r="514" spans="1:38" s="467" customFormat="1" ht="12.75" customHeight="1">
      <c r="A514" s="1033">
        <v>5116200</v>
      </c>
      <c r="B514" s="1033" t="s">
        <v>2732</v>
      </c>
      <c r="C514" s="1034"/>
      <c r="D514" s="1033"/>
      <c r="E514" s="1033"/>
      <c r="F514" s="1034"/>
      <c r="G514" s="1033"/>
      <c r="H514" s="1033"/>
      <c r="I514" s="1034"/>
      <c r="J514" s="1033"/>
      <c r="K514" s="1033"/>
      <c r="L514" s="1034"/>
      <c r="M514" s="1035"/>
      <c r="N514" s="1035"/>
      <c r="O514" s="1036"/>
      <c r="P514" s="1033"/>
      <c r="Q514" s="1033"/>
      <c r="R514" s="1034"/>
      <c r="S514" s="1035"/>
      <c r="T514" s="1035"/>
      <c r="U514" s="1034"/>
      <c r="V514" s="1035"/>
      <c r="W514" s="1035"/>
      <c r="X514" s="1037" t="str">
        <f>+Y514&amp;Z514</f>
        <v>221</v>
      </c>
      <c r="Y514" s="1035">
        <v>22</v>
      </c>
      <c r="Z514" s="1035">
        <f t="shared" si="103"/>
        <v>1</v>
      </c>
      <c r="AA514" s="1035"/>
      <c r="AB514" s="1035"/>
      <c r="AC514" s="1021">
        <v>111862</v>
      </c>
      <c r="AD514" s="1021" t="s">
        <v>2089</v>
      </c>
      <c r="AE514" s="1022">
        <f>VLOOKUP(AC514,[5]Hoja1!$A$10:$K$1393,11,0)</f>
        <v>0</v>
      </c>
      <c r="AF514" s="1022"/>
      <c r="AG514" s="1022">
        <f t="shared" si="104"/>
        <v>0</v>
      </c>
      <c r="AH514" s="1022">
        <f t="shared" si="105"/>
        <v>0</v>
      </c>
      <c r="AJ514" s="445"/>
      <c r="AK514" s="448"/>
      <c r="AL514" s="445"/>
    </row>
    <row r="515" spans="1:38" s="467" customFormat="1" ht="12.75" customHeight="1">
      <c r="A515" s="1033">
        <v>5153300</v>
      </c>
      <c r="B515" s="1033" t="s">
        <v>599</v>
      </c>
      <c r="C515" s="1034"/>
      <c r="D515" s="1033"/>
      <c r="E515" s="1033"/>
      <c r="F515" s="1034"/>
      <c r="G515" s="1033"/>
      <c r="H515" s="1033"/>
      <c r="I515" s="1034"/>
      <c r="J515" s="1033"/>
      <c r="K515" s="1033"/>
      <c r="L515" s="1034"/>
      <c r="M515" s="1035"/>
      <c r="N515" s="1035"/>
      <c r="O515" s="1036"/>
      <c r="P515" s="1033"/>
      <c r="Q515" s="1033"/>
      <c r="R515" s="1034"/>
      <c r="S515" s="1035"/>
      <c r="T515" s="1035"/>
      <c r="U515" s="1034"/>
      <c r="V515" s="1035"/>
      <c r="W515" s="1035"/>
      <c r="X515" s="1037"/>
      <c r="Y515" s="1035"/>
      <c r="Z515" s="1035">
        <f t="shared" si="103"/>
        <v>1</v>
      </c>
      <c r="AA515" s="1033" t="s">
        <v>2915</v>
      </c>
      <c r="AB515" s="1033" t="s">
        <v>2913</v>
      </c>
      <c r="AC515" s="1021">
        <v>111863</v>
      </c>
      <c r="AD515" s="1021" t="s">
        <v>2090</v>
      </c>
      <c r="AE515" s="1022">
        <f>VLOOKUP(AC515,[5]Hoja1!$A$10:$K$1393,11,0)</f>
        <v>0</v>
      </c>
      <c r="AF515" s="1022"/>
      <c r="AG515" s="1022">
        <f t="shared" si="104"/>
        <v>0</v>
      </c>
      <c r="AH515" s="1022">
        <f t="shared" si="105"/>
        <v>0</v>
      </c>
      <c r="AJ515" s="445"/>
      <c r="AK515" s="448"/>
      <c r="AL515" s="445"/>
    </row>
    <row r="516" spans="1:38" s="467" customFormat="1" ht="12.75" customHeight="1">
      <c r="A516" s="1033">
        <v>5153300</v>
      </c>
      <c r="B516" s="1033" t="s">
        <v>599</v>
      </c>
      <c r="C516" s="1034"/>
      <c r="D516" s="1033"/>
      <c r="E516" s="1033"/>
      <c r="F516" s="1034"/>
      <c r="G516" s="1033"/>
      <c r="H516" s="1033"/>
      <c r="I516" s="1034"/>
      <c r="J516" s="1033"/>
      <c r="K516" s="1033"/>
      <c r="L516" s="1034"/>
      <c r="M516" s="1035"/>
      <c r="N516" s="1035"/>
      <c r="O516" s="1036"/>
      <c r="P516" s="1033"/>
      <c r="Q516" s="1033"/>
      <c r="R516" s="1034"/>
      <c r="S516" s="1035"/>
      <c r="T516" s="1035"/>
      <c r="U516" s="1034"/>
      <c r="V516" s="1035"/>
      <c r="W516" s="1035"/>
      <c r="X516" s="1037"/>
      <c r="Y516" s="1035"/>
      <c r="Z516" s="1035">
        <f t="shared" si="103"/>
        <v>1</v>
      </c>
      <c r="AA516" s="1033" t="s">
        <v>2915</v>
      </c>
      <c r="AB516" s="1033" t="s">
        <v>2913</v>
      </c>
      <c r="AC516" s="1021">
        <v>111864</v>
      </c>
      <c r="AD516" s="1021" t="s">
        <v>2091</v>
      </c>
      <c r="AE516" s="1022">
        <f>VLOOKUP(AC516,[5]Hoja1!$A$10:$K$1393,11,0)</f>
        <v>33573586</v>
      </c>
      <c r="AF516" s="1022"/>
      <c r="AG516" s="1022">
        <f t="shared" si="104"/>
        <v>33573586</v>
      </c>
      <c r="AH516" s="1188">
        <f t="shared" si="105"/>
        <v>33574</v>
      </c>
      <c r="AJ516" s="445"/>
      <c r="AK516" s="448"/>
      <c r="AL516" s="445"/>
    </row>
    <row r="517" spans="1:38" s="467" customFormat="1" ht="12.75" customHeight="1">
      <c r="A517" s="1033">
        <v>5153300</v>
      </c>
      <c r="B517" s="1033" t="s">
        <v>599</v>
      </c>
      <c r="C517" s="1034"/>
      <c r="D517" s="1033"/>
      <c r="E517" s="1033"/>
      <c r="F517" s="1034"/>
      <c r="G517" s="1033"/>
      <c r="H517" s="1033"/>
      <c r="I517" s="1034"/>
      <c r="J517" s="1033"/>
      <c r="K517" s="1033"/>
      <c r="L517" s="1034"/>
      <c r="M517" s="1035"/>
      <c r="N517" s="1035"/>
      <c r="O517" s="1036"/>
      <c r="P517" s="1033"/>
      <c r="Q517" s="1033"/>
      <c r="R517" s="1034"/>
      <c r="S517" s="1035"/>
      <c r="T517" s="1035"/>
      <c r="U517" s="1034"/>
      <c r="V517" s="1035"/>
      <c r="W517" s="1035"/>
      <c r="X517" s="1037"/>
      <c r="Y517" s="1035"/>
      <c r="Z517" s="1035">
        <f t="shared" si="103"/>
        <v>1</v>
      </c>
      <c r="AA517" s="1033" t="s">
        <v>2915</v>
      </c>
      <c r="AB517" s="1033" t="s">
        <v>2913</v>
      </c>
      <c r="AC517" s="1021">
        <v>111865</v>
      </c>
      <c r="AD517" s="1021" t="s">
        <v>2092</v>
      </c>
      <c r="AE517" s="1022">
        <f>VLOOKUP(AC517,[5]Hoja1!$A$10:$K$1393,11,0)</f>
        <v>2197852273</v>
      </c>
      <c r="AF517" s="1022"/>
      <c r="AG517" s="1022">
        <f t="shared" si="104"/>
        <v>2197852273</v>
      </c>
      <c r="AH517" s="1188">
        <f t="shared" si="105"/>
        <v>2197852</v>
      </c>
      <c r="AJ517" s="445"/>
      <c r="AK517" s="448"/>
      <c r="AL517" s="445"/>
    </row>
    <row r="518" spans="1:38" s="467" customFormat="1" ht="12.75" customHeight="1">
      <c r="A518" s="1033">
        <v>5153300</v>
      </c>
      <c r="B518" s="1033" t="s">
        <v>599</v>
      </c>
      <c r="C518" s="1034"/>
      <c r="D518" s="1033"/>
      <c r="E518" s="1033"/>
      <c r="F518" s="1034"/>
      <c r="G518" s="1033"/>
      <c r="H518" s="1033"/>
      <c r="I518" s="1034"/>
      <c r="J518" s="1033"/>
      <c r="K518" s="1033"/>
      <c r="L518" s="1034"/>
      <c r="M518" s="1035"/>
      <c r="N518" s="1035"/>
      <c r="O518" s="1036"/>
      <c r="P518" s="1033"/>
      <c r="Q518" s="1033"/>
      <c r="R518" s="1034"/>
      <c r="S518" s="1035"/>
      <c r="T518" s="1035"/>
      <c r="U518" s="1034"/>
      <c r="V518" s="1035"/>
      <c r="W518" s="1035"/>
      <c r="X518" s="1037"/>
      <c r="Y518" s="1035"/>
      <c r="Z518" s="1035">
        <f t="shared" si="103"/>
        <v>1</v>
      </c>
      <c r="AA518" s="1033" t="s">
        <v>2915</v>
      </c>
      <c r="AB518" s="1033" t="s">
        <v>2913</v>
      </c>
      <c r="AC518" s="1021">
        <v>111867</v>
      </c>
      <c r="AD518" s="1021" t="s">
        <v>2093</v>
      </c>
      <c r="AE518" s="1022">
        <f>VLOOKUP(AC518,[5]Hoja1!$A$10:$K$1393,11,0)</f>
        <v>0</v>
      </c>
      <c r="AF518" s="1022"/>
      <c r="AG518" s="1022">
        <f t="shared" si="104"/>
        <v>0</v>
      </c>
      <c r="AH518" s="1188">
        <f t="shared" si="105"/>
        <v>0</v>
      </c>
      <c r="AJ518" s="445"/>
      <c r="AK518" s="448"/>
      <c r="AL518" s="445"/>
    </row>
    <row r="519" spans="1:38" s="467" customFormat="1" ht="12.75" customHeight="1">
      <c r="A519" s="1033">
        <v>5116200</v>
      </c>
      <c r="B519" s="1033" t="s">
        <v>2732</v>
      </c>
      <c r="C519" s="1034"/>
      <c r="D519" s="1033"/>
      <c r="E519" s="1033"/>
      <c r="F519" s="1034"/>
      <c r="G519" s="1033"/>
      <c r="H519" s="1033"/>
      <c r="I519" s="1034"/>
      <c r="J519" s="1033"/>
      <c r="K519" s="1033"/>
      <c r="L519" s="1034"/>
      <c r="M519" s="1035"/>
      <c r="N519" s="1035"/>
      <c r="O519" s="1036"/>
      <c r="P519" s="1033"/>
      <c r="Q519" s="1033"/>
      <c r="R519" s="1034"/>
      <c r="S519" s="1035"/>
      <c r="T519" s="1035"/>
      <c r="U519" s="1034"/>
      <c r="V519" s="1035"/>
      <c r="W519" s="1035"/>
      <c r="X519" s="1037"/>
      <c r="Y519" s="1035"/>
      <c r="Z519" s="1035">
        <f t="shared" si="103"/>
        <v>1</v>
      </c>
      <c r="AA519" s="1035"/>
      <c r="AB519" s="1035"/>
      <c r="AC519" s="1023">
        <v>111868</v>
      </c>
      <c r="AD519" s="1021" t="s">
        <v>3066</v>
      </c>
      <c r="AE519" s="1022">
        <f>VLOOKUP(AC519,[5]Hoja1!$A$10:$K$1393,11,0)</f>
        <v>-67280677</v>
      </c>
      <c r="AF519" s="1022"/>
      <c r="AG519" s="1022">
        <f t="shared" si="104"/>
        <v>-67280677</v>
      </c>
      <c r="AH519" s="1460">
        <f t="shared" si="105"/>
        <v>-67281</v>
      </c>
      <c r="AI519" s="1512"/>
      <c r="AJ519" s="445"/>
      <c r="AK519" s="448"/>
      <c r="AL519" s="445"/>
    </row>
    <row r="520" spans="1:38" s="467" customFormat="1" ht="12.75" customHeight="1">
      <c r="A520" s="1033">
        <v>5116200</v>
      </c>
      <c r="B520" s="1033" t="s">
        <v>2732</v>
      </c>
      <c r="C520" s="1034"/>
      <c r="D520" s="1033"/>
      <c r="E520" s="1033"/>
      <c r="F520" s="1034"/>
      <c r="G520" s="1033"/>
      <c r="H520" s="1033"/>
      <c r="I520" s="1034"/>
      <c r="J520" s="1033"/>
      <c r="K520" s="1033"/>
      <c r="L520" s="1034"/>
      <c r="M520" s="1035"/>
      <c r="N520" s="1035"/>
      <c r="O520" s="1036"/>
      <c r="P520" s="1033"/>
      <c r="Q520" s="1033"/>
      <c r="R520" s="1034"/>
      <c r="S520" s="1035"/>
      <c r="T520" s="1035"/>
      <c r="U520" s="1034"/>
      <c r="V520" s="1035"/>
      <c r="W520" s="1035"/>
      <c r="X520" s="1037"/>
      <c r="Y520" s="1035"/>
      <c r="Z520" s="1035">
        <f t="shared" si="103"/>
        <v>1</v>
      </c>
      <c r="AA520" s="1035"/>
      <c r="AB520" s="1035"/>
      <c r="AC520" s="1023">
        <v>111869</v>
      </c>
      <c r="AD520" s="1021" t="s">
        <v>3067</v>
      </c>
      <c r="AE520" s="1022">
        <f>VLOOKUP(AC520,[5]Hoja1!$A$10:$K$1393,11,0)</f>
        <v>-9327077</v>
      </c>
      <c r="AF520" s="1022"/>
      <c r="AG520" s="1022">
        <f t="shared" si="104"/>
        <v>-9327077</v>
      </c>
      <c r="AH520" s="1460">
        <f t="shared" si="105"/>
        <v>-9327</v>
      </c>
      <c r="AI520" s="1512">
        <f>+AH520+AH521+AH534</f>
        <v>284012</v>
      </c>
      <c r="AJ520" s="445"/>
      <c r="AK520" s="448"/>
      <c r="AL520" s="445"/>
    </row>
    <row r="521" spans="1:38" s="467" customFormat="1" ht="12.75" customHeight="1">
      <c r="A521" s="1033">
        <v>5116200</v>
      </c>
      <c r="B521" s="1033" t="s">
        <v>2732</v>
      </c>
      <c r="C521" s="1034"/>
      <c r="D521" s="1033"/>
      <c r="E521" s="1033"/>
      <c r="F521" s="1034"/>
      <c r="G521" s="1033"/>
      <c r="H521" s="1033"/>
      <c r="I521" s="1034"/>
      <c r="J521" s="1033"/>
      <c r="K521" s="1033"/>
      <c r="L521" s="1034"/>
      <c r="M521" s="1035"/>
      <c r="N521" s="1035"/>
      <c r="O521" s="1036"/>
      <c r="P521" s="1033"/>
      <c r="Q521" s="1033"/>
      <c r="R521" s="1034"/>
      <c r="S521" s="1035"/>
      <c r="T521" s="1035"/>
      <c r="U521" s="1034"/>
      <c r="V521" s="1035"/>
      <c r="W521" s="1035"/>
      <c r="X521" s="1037" t="str">
        <f t="shared" ref="X521:X528" si="113">+Y521&amp;Z521</f>
        <v>221</v>
      </c>
      <c r="Y521" s="1035">
        <v>22</v>
      </c>
      <c r="Z521" s="1035">
        <f t="shared" si="103"/>
        <v>1</v>
      </c>
      <c r="AA521" s="1035"/>
      <c r="AB521" s="1035"/>
      <c r="AC521" s="1021">
        <v>111870</v>
      </c>
      <c r="AD521" s="1021" t="s">
        <v>47</v>
      </c>
      <c r="AE521" s="1022">
        <f>VLOOKUP(AC521,[5]Hoja1!$A$10:$K$1393,11,0)</f>
        <v>230924194</v>
      </c>
      <c r="AF521" s="1022">
        <v>0</v>
      </c>
      <c r="AG521" s="1022">
        <f t="shared" si="104"/>
        <v>230924194</v>
      </c>
      <c r="AH521" s="1460">
        <f t="shared" si="105"/>
        <v>230924</v>
      </c>
      <c r="AI521" s="1512"/>
      <c r="AJ521" s="445"/>
      <c r="AK521" s="448"/>
      <c r="AL521" s="445"/>
    </row>
    <row r="522" spans="1:38" s="467" customFormat="1" ht="12.75" customHeight="1">
      <c r="A522" s="1033">
        <v>5116200</v>
      </c>
      <c r="B522" s="1033" t="s">
        <v>2732</v>
      </c>
      <c r="C522" s="1034"/>
      <c r="D522" s="1033"/>
      <c r="E522" s="1033"/>
      <c r="F522" s="1034"/>
      <c r="G522" s="1033"/>
      <c r="H522" s="1033"/>
      <c r="I522" s="1034"/>
      <c r="J522" s="1033"/>
      <c r="K522" s="1033"/>
      <c r="L522" s="1034"/>
      <c r="M522" s="1035"/>
      <c r="N522" s="1035"/>
      <c r="O522" s="1036"/>
      <c r="P522" s="1033"/>
      <c r="Q522" s="1033"/>
      <c r="R522" s="1034"/>
      <c r="S522" s="1035"/>
      <c r="T522" s="1035"/>
      <c r="U522" s="1034"/>
      <c r="V522" s="1035"/>
      <c r="W522" s="1035"/>
      <c r="X522" s="1037" t="str">
        <f t="shared" si="113"/>
        <v>221</v>
      </c>
      <c r="Y522" s="1035">
        <v>22</v>
      </c>
      <c r="Z522" s="1035">
        <f t="shared" si="103"/>
        <v>1</v>
      </c>
      <c r="AA522" s="1035"/>
      <c r="AB522" s="1035"/>
      <c r="AC522" s="1021">
        <v>111871</v>
      </c>
      <c r="AD522" s="1021" t="s">
        <v>2094</v>
      </c>
      <c r="AE522" s="1022">
        <f>VLOOKUP(AC522,[5]Hoja1!$A$10:$K$1393,11,0)</f>
        <v>0</v>
      </c>
      <c r="AF522" s="1022"/>
      <c r="AG522" s="1022">
        <f t="shared" si="104"/>
        <v>0</v>
      </c>
      <c r="AH522" s="1022">
        <f t="shared" si="105"/>
        <v>0</v>
      </c>
      <c r="AI522" s="448"/>
      <c r="AJ522" s="445"/>
      <c r="AK522" s="448"/>
      <c r="AL522" s="445"/>
    </row>
    <row r="523" spans="1:38" s="467" customFormat="1" ht="12.75" customHeight="1">
      <c r="A523" s="1033">
        <v>5116200</v>
      </c>
      <c r="B523" s="1033" t="s">
        <v>2732</v>
      </c>
      <c r="C523" s="1034" t="str">
        <f>+D523&amp;E523</f>
        <v/>
      </c>
      <c r="D523" s="1033"/>
      <c r="E523" s="1033"/>
      <c r="F523" s="1034" t="str">
        <f>+G523&amp;H523</f>
        <v/>
      </c>
      <c r="G523" s="1033"/>
      <c r="H523" s="1033"/>
      <c r="I523" s="1034" t="str">
        <f>+J523&amp;K523</f>
        <v/>
      </c>
      <c r="J523" s="1033"/>
      <c r="K523" s="1033"/>
      <c r="L523" s="1034" t="str">
        <f>+M523&amp;N523</f>
        <v/>
      </c>
      <c r="M523" s="1035"/>
      <c r="N523" s="1035"/>
      <c r="O523" s="1036" t="str">
        <f>+P523&amp;Q523</f>
        <v/>
      </c>
      <c r="P523" s="1033"/>
      <c r="Q523" s="1033"/>
      <c r="R523" s="1034" t="str">
        <f>+S523&amp;T523</f>
        <v/>
      </c>
      <c r="S523" s="1035"/>
      <c r="T523" s="1035"/>
      <c r="U523" s="1034" t="str">
        <f>+V523&amp;W523</f>
        <v/>
      </c>
      <c r="V523" s="1035"/>
      <c r="W523" s="1035"/>
      <c r="X523" s="1037" t="str">
        <f t="shared" si="113"/>
        <v>221</v>
      </c>
      <c r="Y523" s="1035">
        <v>22</v>
      </c>
      <c r="Z523" s="1035">
        <f t="shared" si="103"/>
        <v>1</v>
      </c>
      <c r="AA523" s="1035"/>
      <c r="AB523" s="1035"/>
      <c r="AC523" s="1021">
        <v>111872</v>
      </c>
      <c r="AD523" s="1021" t="s">
        <v>2095</v>
      </c>
      <c r="AE523" s="1022">
        <f>VLOOKUP(AC523,[5]Hoja1!$A$10:$K$1393,11,0)</f>
        <v>0</v>
      </c>
      <c r="AF523" s="1022"/>
      <c r="AG523" s="1022">
        <f t="shared" si="104"/>
        <v>0</v>
      </c>
      <c r="AH523" s="1022">
        <f t="shared" si="105"/>
        <v>0</v>
      </c>
      <c r="AI523" s="448"/>
      <c r="AJ523" s="445"/>
      <c r="AK523" s="448"/>
      <c r="AL523" s="445"/>
    </row>
    <row r="524" spans="1:38" s="467" customFormat="1" ht="12.75" customHeight="1">
      <c r="A524" s="1033">
        <v>5116200</v>
      </c>
      <c r="B524" s="1033" t="s">
        <v>2732</v>
      </c>
      <c r="C524" s="1034" t="str">
        <f>+D524&amp;E524</f>
        <v/>
      </c>
      <c r="D524" s="1033"/>
      <c r="E524" s="1033"/>
      <c r="F524" s="1034" t="str">
        <f>+G524&amp;H524</f>
        <v/>
      </c>
      <c r="G524" s="1033"/>
      <c r="H524" s="1033"/>
      <c r="I524" s="1034" t="str">
        <f>+J524&amp;K524</f>
        <v/>
      </c>
      <c r="J524" s="1033"/>
      <c r="K524" s="1033"/>
      <c r="L524" s="1034" t="str">
        <f>+M524&amp;N524</f>
        <v/>
      </c>
      <c r="M524" s="1035"/>
      <c r="N524" s="1035"/>
      <c r="O524" s="1036" t="str">
        <f>+P524&amp;Q524</f>
        <v/>
      </c>
      <c r="P524" s="1033"/>
      <c r="Q524" s="1033"/>
      <c r="R524" s="1034" t="str">
        <f>+S524&amp;T524</f>
        <v/>
      </c>
      <c r="S524" s="1035"/>
      <c r="T524" s="1035"/>
      <c r="U524" s="1034" t="str">
        <f>+V524&amp;W524</f>
        <v/>
      </c>
      <c r="V524" s="1035"/>
      <c r="W524" s="1035"/>
      <c r="X524" s="1037" t="str">
        <f t="shared" si="113"/>
        <v>221</v>
      </c>
      <c r="Y524" s="1035">
        <v>22</v>
      </c>
      <c r="Z524" s="1035">
        <f t="shared" si="103"/>
        <v>1</v>
      </c>
      <c r="AA524" s="1035"/>
      <c r="AB524" s="1035"/>
      <c r="AC524" s="1021">
        <v>111873</v>
      </c>
      <c r="AD524" s="1021" t="s">
        <v>2096</v>
      </c>
      <c r="AE524" s="1022">
        <f>VLOOKUP(AC524,[5]Hoja1!$A$10:$K$1393,11,0)</f>
        <v>0</v>
      </c>
      <c r="AF524" s="1022"/>
      <c r="AG524" s="1022">
        <f t="shared" si="104"/>
        <v>0</v>
      </c>
      <c r="AH524" s="1022">
        <f t="shared" si="105"/>
        <v>0</v>
      </c>
      <c r="AI524" s="448"/>
      <c r="AJ524" s="445"/>
      <c r="AK524" s="448"/>
      <c r="AL524" s="445"/>
    </row>
    <row r="525" spans="1:38" s="467" customFormat="1" ht="12.75" customHeight="1">
      <c r="A525" s="1033">
        <v>5116200</v>
      </c>
      <c r="B525" s="1033" t="s">
        <v>2732</v>
      </c>
      <c r="C525" s="1034"/>
      <c r="D525" s="1033"/>
      <c r="E525" s="1033"/>
      <c r="F525" s="1034"/>
      <c r="G525" s="1033"/>
      <c r="H525" s="1033"/>
      <c r="I525" s="1034"/>
      <c r="J525" s="1033"/>
      <c r="K525" s="1033"/>
      <c r="L525" s="1034"/>
      <c r="M525" s="1035"/>
      <c r="N525" s="1035"/>
      <c r="O525" s="1036"/>
      <c r="P525" s="1033"/>
      <c r="Q525" s="1033"/>
      <c r="R525" s="1034"/>
      <c r="S525" s="1035"/>
      <c r="T525" s="1035"/>
      <c r="U525" s="1034"/>
      <c r="V525" s="1035"/>
      <c r="W525" s="1035"/>
      <c r="X525" s="1037" t="str">
        <f t="shared" si="113"/>
        <v>221</v>
      </c>
      <c r="Y525" s="1035">
        <v>22</v>
      </c>
      <c r="Z525" s="1035">
        <f t="shared" si="103"/>
        <v>1</v>
      </c>
      <c r="AA525" s="1035"/>
      <c r="AB525" s="1035"/>
      <c r="AC525" s="1021">
        <v>111874</v>
      </c>
      <c r="AD525" s="1021" t="s">
        <v>1500</v>
      </c>
      <c r="AE525" s="1022">
        <f>VLOOKUP(AC525,[5]Hoja1!$A$10:$K$1393,11,0)</f>
        <v>8322641</v>
      </c>
      <c r="AF525" s="1022"/>
      <c r="AG525" s="1022">
        <f t="shared" si="104"/>
        <v>8322641</v>
      </c>
      <c r="AH525" s="1460">
        <f t="shared" si="105"/>
        <v>8323</v>
      </c>
      <c r="AI525" s="1512">
        <f>+AH525+AH535</f>
        <v>0</v>
      </c>
      <c r="AJ525" s="445"/>
      <c r="AK525" s="448"/>
      <c r="AL525" s="445"/>
    </row>
    <row r="526" spans="1:38" s="467" customFormat="1" ht="12.75" customHeight="1">
      <c r="A526" s="1033">
        <v>5151200</v>
      </c>
      <c r="B526" s="1033" t="s">
        <v>2763</v>
      </c>
      <c r="C526" s="1034"/>
      <c r="D526" s="1033"/>
      <c r="E526" s="1033"/>
      <c r="F526" s="1034"/>
      <c r="G526" s="1033"/>
      <c r="H526" s="1033"/>
      <c r="I526" s="1034"/>
      <c r="J526" s="1033"/>
      <c r="K526" s="1033"/>
      <c r="L526" s="1034"/>
      <c r="M526" s="1035"/>
      <c r="N526" s="1035"/>
      <c r="O526" s="1036"/>
      <c r="P526" s="1033"/>
      <c r="Q526" s="1033"/>
      <c r="R526" s="1034"/>
      <c r="S526" s="1035"/>
      <c r="T526" s="1035"/>
      <c r="U526" s="1034"/>
      <c r="V526" s="1035"/>
      <c r="W526" s="1035"/>
      <c r="X526" s="1037" t="str">
        <f t="shared" si="113"/>
        <v>221</v>
      </c>
      <c r="Y526" s="1035">
        <v>22</v>
      </c>
      <c r="Z526" s="1035">
        <f t="shared" si="103"/>
        <v>1</v>
      </c>
      <c r="AA526" s="1033" t="s">
        <v>2915</v>
      </c>
      <c r="AB526" s="1033" t="s">
        <v>2911</v>
      </c>
      <c r="AC526" s="1021">
        <v>111875</v>
      </c>
      <c r="AD526" s="1021" t="s">
        <v>2097</v>
      </c>
      <c r="AE526" s="1022">
        <f>VLOOKUP(AC526,[5]Hoja1!$A$10:$K$1393,11,0)</f>
        <v>8395943</v>
      </c>
      <c r="AF526" s="1022"/>
      <c r="AG526" s="1022">
        <f t="shared" si="104"/>
        <v>8395943</v>
      </c>
      <c r="AH526" s="1188">
        <f t="shared" si="105"/>
        <v>8396</v>
      </c>
      <c r="AI526" s="448"/>
      <c r="AJ526" s="445"/>
      <c r="AK526" s="448"/>
      <c r="AL526" s="445"/>
    </row>
    <row r="527" spans="1:38" s="467" customFormat="1" ht="12.75" customHeight="1">
      <c r="A527" s="1033">
        <v>5116200</v>
      </c>
      <c r="B527" s="1033" t="s">
        <v>2732</v>
      </c>
      <c r="C527" s="1034"/>
      <c r="D527" s="1033"/>
      <c r="E527" s="1033"/>
      <c r="F527" s="1034"/>
      <c r="G527" s="1033"/>
      <c r="H527" s="1033"/>
      <c r="I527" s="1034"/>
      <c r="J527" s="1033"/>
      <c r="K527" s="1033"/>
      <c r="L527" s="1034"/>
      <c r="M527" s="1035"/>
      <c r="N527" s="1035"/>
      <c r="O527" s="1036"/>
      <c r="P527" s="1033"/>
      <c r="Q527" s="1033"/>
      <c r="R527" s="1034"/>
      <c r="S527" s="1035"/>
      <c r="T527" s="1035"/>
      <c r="U527" s="1034"/>
      <c r="V527" s="1035"/>
      <c r="W527" s="1035"/>
      <c r="X527" s="1037" t="str">
        <f t="shared" si="113"/>
        <v>221</v>
      </c>
      <c r="Y527" s="1035">
        <v>22</v>
      </c>
      <c r="Z527" s="1035">
        <f t="shared" si="103"/>
        <v>1</v>
      </c>
      <c r="AA527" s="1035"/>
      <c r="AB527" s="1035"/>
      <c r="AC527" s="1021">
        <v>111876</v>
      </c>
      <c r="AD527" s="1021" t="s">
        <v>2098</v>
      </c>
      <c r="AE527" s="1022">
        <f>VLOOKUP(AC527,[5]Hoja1!$A$10:$K$1393,11,0)</f>
        <v>1726831791</v>
      </c>
      <c r="AF527" s="1022"/>
      <c r="AG527" s="1022">
        <f t="shared" si="104"/>
        <v>1726831791</v>
      </c>
      <c r="AH527" s="1460">
        <f t="shared" si="105"/>
        <v>1726832</v>
      </c>
      <c r="AI527" s="1512">
        <f>+AH527+AH528+AH546</f>
        <v>-1222284</v>
      </c>
      <c r="AJ527" s="445"/>
      <c r="AK527" s="448"/>
      <c r="AL527" s="445"/>
    </row>
    <row r="528" spans="1:38" s="467" customFormat="1" ht="12.75" customHeight="1">
      <c r="A528" s="1033">
        <v>5116200</v>
      </c>
      <c r="B528" s="1033" t="s">
        <v>2732</v>
      </c>
      <c r="C528" s="1034"/>
      <c r="D528" s="1033"/>
      <c r="E528" s="1033"/>
      <c r="F528" s="1034"/>
      <c r="G528" s="1033"/>
      <c r="H528" s="1033"/>
      <c r="I528" s="1034"/>
      <c r="J528" s="1033"/>
      <c r="K528" s="1033"/>
      <c r="L528" s="1034"/>
      <c r="M528" s="1035"/>
      <c r="N528" s="1035"/>
      <c r="O528" s="1036"/>
      <c r="P528" s="1033"/>
      <c r="Q528" s="1033"/>
      <c r="R528" s="1034"/>
      <c r="S528" s="1035"/>
      <c r="T528" s="1035"/>
      <c r="U528" s="1034"/>
      <c r="V528" s="1035"/>
      <c r="W528" s="1035"/>
      <c r="X528" s="1037" t="str">
        <f t="shared" si="113"/>
        <v>221</v>
      </c>
      <c r="Y528" s="1035">
        <v>22</v>
      </c>
      <c r="Z528" s="1035">
        <f t="shared" si="103"/>
        <v>1</v>
      </c>
      <c r="AA528" s="1035"/>
      <c r="AB528" s="1035"/>
      <c r="AC528" s="1021">
        <v>111877</v>
      </c>
      <c r="AD528" s="1021" t="s">
        <v>2099</v>
      </c>
      <c r="AE528" s="1022">
        <f>VLOOKUP(AC528,[5]Hoja1!$A$10:$K$1393,11,0)</f>
        <v>-1987910036</v>
      </c>
      <c r="AF528" s="1022"/>
      <c r="AG528" s="1022">
        <f t="shared" si="104"/>
        <v>-1987910036</v>
      </c>
      <c r="AH528" s="1460">
        <f t="shared" si="105"/>
        <v>-1987910</v>
      </c>
      <c r="AI528" s="1512"/>
      <c r="AJ528" s="445"/>
      <c r="AK528" s="448"/>
      <c r="AL528" s="445"/>
    </row>
    <row r="529" spans="1:38" s="467" customFormat="1" ht="12.75" customHeight="1">
      <c r="A529" s="1033">
        <v>5153300</v>
      </c>
      <c r="B529" s="1033" t="s">
        <v>599</v>
      </c>
      <c r="C529" s="1034"/>
      <c r="D529" s="1033"/>
      <c r="E529" s="1033"/>
      <c r="F529" s="1034"/>
      <c r="G529" s="1033"/>
      <c r="H529" s="1033"/>
      <c r="I529" s="1034"/>
      <c r="J529" s="1033"/>
      <c r="K529" s="1033"/>
      <c r="L529" s="1034"/>
      <c r="M529" s="1035"/>
      <c r="N529" s="1035"/>
      <c r="O529" s="1036"/>
      <c r="P529" s="1033"/>
      <c r="Q529" s="1033"/>
      <c r="R529" s="1034"/>
      <c r="S529" s="1035"/>
      <c r="T529" s="1035"/>
      <c r="U529" s="1034"/>
      <c r="V529" s="1035"/>
      <c r="W529" s="1035"/>
      <c r="X529" s="1037"/>
      <c r="Y529" s="1035"/>
      <c r="Z529" s="1035">
        <f t="shared" si="103"/>
        <v>1</v>
      </c>
      <c r="AA529" s="1033" t="s">
        <v>2915</v>
      </c>
      <c r="AB529" s="1033" t="s">
        <v>2913</v>
      </c>
      <c r="AC529" s="1021">
        <v>111878</v>
      </c>
      <c r="AD529" s="1021" t="s">
        <v>1435</v>
      </c>
      <c r="AE529" s="1022">
        <f>VLOOKUP(AC529,[5]Hoja1!$A$10:$K$1393,11,0)</f>
        <v>5469890865</v>
      </c>
      <c r="AF529" s="1022"/>
      <c r="AG529" s="1022">
        <f t="shared" si="104"/>
        <v>5469890865</v>
      </c>
      <c r="AH529" s="1188">
        <f t="shared" si="105"/>
        <v>5469891</v>
      </c>
      <c r="AI529" s="448"/>
      <c r="AJ529" s="445"/>
      <c r="AK529" s="448"/>
      <c r="AL529" s="445"/>
    </row>
    <row r="530" spans="1:38" s="467" customFormat="1" ht="12.75" customHeight="1">
      <c r="A530" s="1033">
        <v>5116200</v>
      </c>
      <c r="B530" s="1033" t="s">
        <v>2732</v>
      </c>
      <c r="C530" s="1034"/>
      <c r="D530" s="1033"/>
      <c r="E530" s="1033"/>
      <c r="F530" s="1034"/>
      <c r="G530" s="1033"/>
      <c r="H530" s="1033"/>
      <c r="I530" s="1034"/>
      <c r="J530" s="1033"/>
      <c r="K530" s="1033"/>
      <c r="L530" s="1034"/>
      <c r="M530" s="1035"/>
      <c r="N530" s="1035"/>
      <c r="O530" s="1036"/>
      <c r="P530" s="1033"/>
      <c r="Q530" s="1033"/>
      <c r="R530" s="1034"/>
      <c r="S530" s="1035"/>
      <c r="T530" s="1035"/>
      <c r="U530" s="1034"/>
      <c r="V530" s="1035"/>
      <c r="W530" s="1035"/>
      <c r="X530" s="1037" t="str">
        <f t="shared" ref="X530:X535" si="114">+Y530&amp;Z530</f>
        <v>221</v>
      </c>
      <c r="Y530" s="1035">
        <v>22</v>
      </c>
      <c r="Z530" s="1035">
        <f t="shared" si="103"/>
        <v>1</v>
      </c>
      <c r="AA530" s="1035"/>
      <c r="AB530" s="1035"/>
      <c r="AC530" s="1021">
        <v>111879</v>
      </c>
      <c r="AD530" s="1021" t="s">
        <v>2100</v>
      </c>
      <c r="AE530" s="1022">
        <f>VLOOKUP(AC530,[5]Hoja1!$A$10:$K$1393,11,0)</f>
        <v>378836853</v>
      </c>
      <c r="AF530" s="1022"/>
      <c r="AG530" s="1022">
        <f t="shared" si="104"/>
        <v>378836853</v>
      </c>
      <c r="AH530" s="1460">
        <f t="shared" si="105"/>
        <v>378837</v>
      </c>
      <c r="AI530" s="1512"/>
      <c r="AJ530" s="445"/>
      <c r="AK530" s="448"/>
      <c r="AL530" s="445"/>
    </row>
    <row r="531" spans="1:38" s="467" customFormat="1" ht="12.75" customHeight="1">
      <c r="A531" s="1033">
        <v>5116200</v>
      </c>
      <c r="B531" s="1033" t="s">
        <v>2732</v>
      </c>
      <c r="C531" s="1034"/>
      <c r="D531" s="1033"/>
      <c r="E531" s="1033"/>
      <c r="F531" s="1034"/>
      <c r="G531" s="1033"/>
      <c r="H531" s="1033"/>
      <c r="I531" s="1034"/>
      <c r="J531" s="1033"/>
      <c r="K531" s="1033"/>
      <c r="L531" s="1034"/>
      <c r="M531" s="1035"/>
      <c r="N531" s="1035"/>
      <c r="O531" s="1036"/>
      <c r="P531" s="1033"/>
      <c r="Q531" s="1033"/>
      <c r="R531" s="1034"/>
      <c r="S531" s="1035"/>
      <c r="T531" s="1035"/>
      <c r="U531" s="1034"/>
      <c r="V531" s="1035"/>
      <c r="W531" s="1035"/>
      <c r="X531" s="1037" t="str">
        <f t="shared" si="114"/>
        <v>221</v>
      </c>
      <c r="Y531" s="1035">
        <v>22</v>
      </c>
      <c r="Z531" s="1035">
        <f t="shared" ref="Z531:Z594" si="115">VALUE(LEFT(AC531,1))</f>
        <v>1</v>
      </c>
      <c r="AA531" s="1035"/>
      <c r="AB531" s="1035"/>
      <c r="AC531" s="1021">
        <v>111880</v>
      </c>
      <c r="AD531" s="1021" t="s">
        <v>1503</v>
      </c>
      <c r="AE531" s="1022">
        <f>VLOOKUP(AC531,[5]Hoja1!$A$10:$K$1393,11,0)</f>
        <v>0</v>
      </c>
      <c r="AF531" s="1022"/>
      <c r="AG531" s="1022">
        <f t="shared" ref="AG531:AG594" si="116">AE531+AF531</f>
        <v>0</v>
      </c>
      <c r="AH531" s="1022">
        <f t="shared" ref="AH531:AH594" si="117">ROUND((AE531+AF531)/$AH$2,0)</f>
        <v>0</v>
      </c>
      <c r="AI531" s="448"/>
      <c r="AJ531" s="445"/>
      <c r="AK531" s="448"/>
      <c r="AL531" s="445"/>
    </row>
    <row r="532" spans="1:38" s="467" customFormat="1" ht="12.75" customHeight="1">
      <c r="A532" s="1033">
        <v>5116200</v>
      </c>
      <c r="B532" s="1033" t="s">
        <v>2732</v>
      </c>
      <c r="C532" s="1034"/>
      <c r="D532" s="1033"/>
      <c r="E532" s="1033"/>
      <c r="F532" s="1034"/>
      <c r="G532" s="1033"/>
      <c r="H532" s="1033"/>
      <c r="I532" s="1034"/>
      <c r="J532" s="1033"/>
      <c r="K532" s="1033"/>
      <c r="L532" s="1034"/>
      <c r="M532" s="1035"/>
      <c r="N532" s="1035"/>
      <c r="O532" s="1036"/>
      <c r="P532" s="1033"/>
      <c r="Q532" s="1033"/>
      <c r="R532" s="1034"/>
      <c r="S532" s="1035"/>
      <c r="T532" s="1035"/>
      <c r="U532" s="1034"/>
      <c r="V532" s="1035"/>
      <c r="W532" s="1035"/>
      <c r="X532" s="1037" t="str">
        <f t="shared" si="114"/>
        <v>221</v>
      </c>
      <c r="Y532" s="1035">
        <v>22</v>
      </c>
      <c r="Z532" s="1035">
        <f t="shared" si="115"/>
        <v>1</v>
      </c>
      <c r="AA532" s="1035"/>
      <c r="AB532" s="1035"/>
      <c r="AC532" s="1021">
        <v>111881</v>
      </c>
      <c r="AD532" s="1021" t="s">
        <v>2101</v>
      </c>
      <c r="AE532" s="1022">
        <f>VLOOKUP(AC532,[5]Hoja1!$A$10:$K$1393,11,0)</f>
        <v>45814550</v>
      </c>
      <c r="AF532" s="1022">
        <v>0</v>
      </c>
      <c r="AG532" s="1022">
        <f t="shared" si="116"/>
        <v>45814550</v>
      </c>
      <c r="AH532" s="1460">
        <f t="shared" si="117"/>
        <v>45815</v>
      </c>
      <c r="AI532" s="1512"/>
      <c r="AJ532" s="445"/>
      <c r="AK532" s="448"/>
      <c r="AL532" s="445"/>
    </row>
    <row r="533" spans="1:38" s="467" customFormat="1" ht="12.75" customHeight="1">
      <c r="A533" s="1033">
        <v>5116200</v>
      </c>
      <c r="B533" s="1033" t="s">
        <v>2732</v>
      </c>
      <c r="C533" s="1034"/>
      <c r="D533" s="1033"/>
      <c r="E533" s="1033"/>
      <c r="F533" s="1034"/>
      <c r="G533" s="1033"/>
      <c r="H533" s="1033"/>
      <c r="I533" s="1034"/>
      <c r="J533" s="1033"/>
      <c r="K533" s="1033"/>
      <c r="L533" s="1034"/>
      <c r="M533" s="1035"/>
      <c r="N533" s="1035"/>
      <c r="O533" s="1036"/>
      <c r="P533" s="1033"/>
      <c r="Q533" s="1033"/>
      <c r="R533" s="1034"/>
      <c r="S533" s="1035"/>
      <c r="T533" s="1035"/>
      <c r="U533" s="1034"/>
      <c r="V533" s="1035"/>
      <c r="W533" s="1035"/>
      <c r="X533" s="1037" t="str">
        <f t="shared" si="114"/>
        <v>221</v>
      </c>
      <c r="Y533" s="1035">
        <v>22</v>
      </c>
      <c r="Z533" s="1035">
        <f t="shared" si="115"/>
        <v>1</v>
      </c>
      <c r="AA533" s="1035"/>
      <c r="AB533" s="1035"/>
      <c r="AC533" s="1021">
        <v>111882</v>
      </c>
      <c r="AD533" s="1021" t="s">
        <v>1504</v>
      </c>
      <c r="AE533" s="1022">
        <f>VLOOKUP(AC533,[5]Hoja1!$A$10:$K$1393,11,0)</f>
        <v>0</v>
      </c>
      <c r="AF533" s="1022"/>
      <c r="AG533" s="1022">
        <f t="shared" si="116"/>
        <v>0</v>
      </c>
      <c r="AH533" s="1022">
        <f t="shared" si="117"/>
        <v>0</v>
      </c>
      <c r="AI533" s="448"/>
      <c r="AJ533" s="445"/>
      <c r="AK533" s="448"/>
      <c r="AL533" s="445"/>
    </row>
    <row r="534" spans="1:38" s="467" customFormat="1" ht="12.75" customHeight="1">
      <c r="A534" s="1033">
        <v>5116200</v>
      </c>
      <c r="B534" s="1033" t="s">
        <v>2732</v>
      </c>
      <c r="C534" s="1034"/>
      <c r="D534" s="1033"/>
      <c r="E534" s="1033"/>
      <c r="F534" s="1034"/>
      <c r="G534" s="1033"/>
      <c r="H534" s="1033"/>
      <c r="I534" s="1034"/>
      <c r="J534" s="1033"/>
      <c r="K534" s="1033"/>
      <c r="L534" s="1034"/>
      <c r="M534" s="1035"/>
      <c r="N534" s="1035"/>
      <c r="O534" s="1036"/>
      <c r="P534" s="1033"/>
      <c r="Q534" s="1033"/>
      <c r="R534" s="1034"/>
      <c r="S534" s="1035"/>
      <c r="T534" s="1035"/>
      <c r="U534" s="1034"/>
      <c r="V534" s="1035"/>
      <c r="W534" s="1035"/>
      <c r="X534" s="1037" t="str">
        <f t="shared" si="114"/>
        <v>221</v>
      </c>
      <c r="Y534" s="1035">
        <v>22</v>
      </c>
      <c r="Z534" s="1035">
        <f t="shared" si="115"/>
        <v>1</v>
      </c>
      <c r="AA534" s="1035"/>
      <c r="AB534" s="1035"/>
      <c r="AC534" s="1021">
        <v>111883</v>
      </c>
      <c r="AD534" s="1021" t="s">
        <v>1505</v>
      </c>
      <c r="AE534" s="1022">
        <f>VLOOKUP(AC534,[5]Hoja1!$A$10:$K$1393,11,0)</f>
        <v>62415398</v>
      </c>
      <c r="AF534" s="1022">
        <v>0</v>
      </c>
      <c r="AG534" s="1022">
        <f t="shared" si="116"/>
        <v>62415398</v>
      </c>
      <c r="AH534" s="1460">
        <f t="shared" si="117"/>
        <v>62415</v>
      </c>
      <c r="AI534" s="1512"/>
      <c r="AJ534" s="445"/>
      <c r="AK534" s="448"/>
      <c r="AL534" s="445"/>
    </row>
    <row r="535" spans="1:38" s="467" customFormat="1" ht="12.75" customHeight="1">
      <c r="A535" s="1033">
        <v>5116200</v>
      </c>
      <c r="B535" s="1033" t="s">
        <v>2732</v>
      </c>
      <c r="C535" s="1034"/>
      <c r="D535" s="1033"/>
      <c r="E535" s="1033"/>
      <c r="F535" s="1034"/>
      <c r="G535" s="1033"/>
      <c r="H535" s="1033"/>
      <c r="I535" s="1034"/>
      <c r="J535" s="1033"/>
      <c r="K535" s="1033"/>
      <c r="L535" s="1034"/>
      <c r="M535" s="1035"/>
      <c r="N535" s="1035"/>
      <c r="O535" s="1036"/>
      <c r="P535" s="1033"/>
      <c r="Q535" s="1033"/>
      <c r="R535" s="1034"/>
      <c r="S535" s="1035"/>
      <c r="T535" s="1035"/>
      <c r="U535" s="1034"/>
      <c r="V535" s="1035"/>
      <c r="W535" s="1035"/>
      <c r="X535" s="1037" t="str">
        <f t="shared" si="114"/>
        <v>221</v>
      </c>
      <c r="Y535" s="1035">
        <v>22</v>
      </c>
      <c r="Z535" s="1035">
        <f t="shared" si="115"/>
        <v>1</v>
      </c>
      <c r="AA535" s="1035"/>
      <c r="AB535" s="1035"/>
      <c r="AC535" s="1021">
        <v>111884</v>
      </c>
      <c r="AD535" s="1021" t="s">
        <v>2102</v>
      </c>
      <c r="AE535" s="1022">
        <f>VLOOKUP(AC535,[5]Hoja1!$A$10:$K$1393,11,0)</f>
        <v>-8322641</v>
      </c>
      <c r="AF535" s="1022">
        <v>0</v>
      </c>
      <c r="AG535" s="1022">
        <f t="shared" si="116"/>
        <v>-8322641</v>
      </c>
      <c r="AH535" s="1460">
        <f t="shared" si="117"/>
        <v>-8323</v>
      </c>
      <c r="AI535" s="1512"/>
      <c r="AJ535" s="445"/>
      <c r="AK535" s="448"/>
      <c r="AL535" s="445"/>
    </row>
    <row r="536" spans="1:38" s="467" customFormat="1" ht="12.75" customHeight="1">
      <c r="A536" s="1033">
        <v>5153500</v>
      </c>
      <c r="B536" s="1033" t="s">
        <v>1457</v>
      </c>
      <c r="C536" s="1034"/>
      <c r="D536" s="1033"/>
      <c r="E536" s="1033"/>
      <c r="F536" s="1034"/>
      <c r="G536" s="1033"/>
      <c r="H536" s="1033"/>
      <c r="I536" s="1034"/>
      <c r="J536" s="1033"/>
      <c r="K536" s="1033"/>
      <c r="L536" s="1034"/>
      <c r="M536" s="1035"/>
      <c r="N536" s="1035"/>
      <c r="O536" s="1036"/>
      <c r="P536" s="1033"/>
      <c r="Q536" s="1033"/>
      <c r="R536" s="1034"/>
      <c r="S536" s="1035"/>
      <c r="T536" s="1035"/>
      <c r="U536" s="1034"/>
      <c r="V536" s="1035"/>
      <c r="W536" s="1035"/>
      <c r="X536" s="1037"/>
      <c r="Y536" s="1035"/>
      <c r="Z536" s="1035">
        <f t="shared" si="115"/>
        <v>1</v>
      </c>
      <c r="AA536" s="1033" t="s">
        <v>2886</v>
      </c>
      <c r="AB536" s="1033" t="s">
        <v>2876</v>
      </c>
      <c r="AC536" s="1021">
        <v>111885</v>
      </c>
      <c r="AD536" s="1021" t="s">
        <v>3068</v>
      </c>
      <c r="AE536" s="1022">
        <f>VLOOKUP(AC536,[5]Hoja1!$A$10:$K$1393,11,0)</f>
        <v>40424660</v>
      </c>
      <c r="AF536" s="1022"/>
      <c r="AG536" s="1022">
        <f t="shared" si="116"/>
        <v>40424660</v>
      </c>
      <c r="AH536" s="1022">
        <f t="shared" si="117"/>
        <v>40425</v>
      </c>
      <c r="AI536" s="448"/>
      <c r="AJ536" s="445"/>
      <c r="AK536" s="448"/>
      <c r="AL536" s="445"/>
    </row>
    <row r="537" spans="1:38" s="467" customFormat="1" ht="12.75" customHeight="1">
      <c r="A537" s="1033">
        <v>5153300</v>
      </c>
      <c r="B537" s="1033" t="s">
        <v>599</v>
      </c>
      <c r="C537" s="1034"/>
      <c r="D537" s="1033"/>
      <c r="E537" s="1033"/>
      <c r="F537" s="1034"/>
      <c r="G537" s="1033"/>
      <c r="H537" s="1033"/>
      <c r="I537" s="1034"/>
      <c r="J537" s="1033"/>
      <c r="K537" s="1033"/>
      <c r="L537" s="1034"/>
      <c r="M537" s="1035"/>
      <c r="N537" s="1035"/>
      <c r="O537" s="1036"/>
      <c r="P537" s="1033"/>
      <c r="Q537" s="1033"/>
      <c r="R537" s="1034"/>
      <c r="S537" s="1035"/>
      <c r="T537" s="1035"/>
      <c r="U537" s="1034"/>
      <c r="V537" s="1035"/>
      <c r="W537" s="1035"/>
      <c r="X537" s="1037" t="str">
        <f>+Y537&amp;Z537</f>
        <v xml:space="preserve"> 1</v>
      </c>
      <c r="Y537" s="1035" t="s">
        <v>1805</v>
      </c>
      <c r="Z537" s="1035">
        <f t="shared" si="115"/>
        <v>1</v>
      </c>
      <c r="AA537" s="1033" t="s">
        <v>2915</v>
      </c>
      <c r="AB537" s="1033" t="s">
        <v>2913</v>
      </c>
      <c r="AC537" s="1021">
        <v>111886</v>
      </c>
      <c r="AD537" s="1021" t="s">
        <v>1515</v>
      </c>
      <c r="AE537" s="1022">
        <f>VLOOKUP(AC537,[5]Hoja1!$A$10:$K$1393,11,0)</f>
        <v>0</v>
      </c>
      <c r="AF537" s="1022"/>
      <c r="AG537" s="1022">
        <f t="shared" si="116"/>
        <v>0</v>
      </c>
      <c r="AH537" s="1188">
        <f t="shared" si="117"/>
        <v>0</v>
      </c>
      <c r="AI537" s="448"/>
      <c r="AJ537" s="445"/>
      <c r="AK537" s="448"/>
      <c r="AL537" s="445"/>
    </row>
    <row r="538" spans="1:38" s="467" customFormat="1" ht="12.75" customHeight="1">
      <c r="A538" s="1033">
        <v>5153500</v>
      </c>
      <c r="B538" s="1033" t="s">
        <v>1457</v>
      </c>
      <c r="C538" s="1034"/>
      <c r="D538" s="1033"/>
      <c r="E538" s="1033"/>
      <c r="F538" s="1034"/>
      <c r="G538" s="1033"/>
      <c r="H538" s="1033"/>
      <c r="I538" s="1034"/>
      <c r="J538" s="1033"/>
      <c r="K538" s="1033"/>
      <c r="L538" s="1034"/>
      <c r="M538" s="1035"/>
      <c r="N538" s="1035"/>
      <c r="O538" s="1036"/>
      <c r="P538" s="1033"/>
      <c r="Q538" s="1033"/>
      <c r="R538" s="1034"/>
      <c r="S538" s="1035"/>
      <c r="T538" s="1035"/>
      <c r="U538" s="1034"/>
      <c r="V538" s="1035"/>
      <c r="W538" s="1035"/>
      <c r="X538" s="1037" t="str">
        <f>+Y538&amp;Z538</f>
        <v>221</v>
      </c>
      <c r="Y538" s="1035">
        <v>22</v>
      </c>
      <c r="Z538" s="1035">
        <f t="shared" si="115"/>
        <v>1</v>
      </c>
      <c r="AA538" s="1033" t="s">
        <v>2886</v>
      </c>
      <c r="AB538" s="1033" t="s">
        <v>2882</v>
      </c>
      <c r="AC538" s="1021">
        <v>111887</v>
      </c>
      <c r="AD538" s="1021" t="s">
        <v>432</v>
      </c>
      <c r="AE538" s="1022">
        <f>VLOOKUP(AC538,[5]Hoja1!$A$10:$K$1393,11,0)</f>
        <v>0</v>
      </c>
      <c r="AF538" s="1022">
        <f>+AE967</f>
        <v>0</v>
      </c>
      <c r="AG538" s="1022">
        <f t="shared" si="116"/>
        <v>0</v>
      </c>
      <c r="AH538" s="1022">
        <f t="shared" si="117"/>
        <v>0</v>
      </c>
      <c r="AI538" s="448"/>
      <c r="AJ538" s="445"/>
      <c r="AK538" s="448"/>
      <c r="AL538" s="445"/>
    </row>
    <row r="539" spans="1:38" s="467" customFormat="1" ht="12.75" customHeight="1">
      <c r="A539" s="1033">
        <v>5116200</v>
      </c>
      <c r="B539" s="1033" t="s">
        <v>2732</v>
      </c>
      <c r="C539" s="1034"/>
      <c r="D539" s="1033"/>
      <c r="E539" s="1033"/>
      <c r="F539" s="1034"/>
      <c r="G539" s="1033"/>
      <c r="H539" s="1033"/>
      <c r="I539" s="1034"/>
      <c r="J539" s="1033"/>
      <c r="K539" s="1033"/>
      <c r="L539" s="1034"/>
      <c r="M539" s="1035"/>
      <c r="N539" s="1035"/>
      <c r="O539" s="1036"/>
      <c r="P539" s="1033"/>
      <c r="Q539" s="1033"/>
      <c r="R539" s="1034"/>
      <c r="S539" s="1035"/>
      <c r="T539" s="1035"/>
      <c r="U539" s="1034"/>
      <c r="V539" s="1035"/>
      <c r="W539" s="1035"/>
      <c r="X539" s="1037" t="str">
        <f>+Y539&amp;Z539</f>
        <v>221</v>
      </c>
      <c r="Y539" s="1035">
        <v>22</v>
      </c>
      <c r="Z539" s="1035">
        <f t="shared" si="115"/>
        <v>1</v>
      </c>
      <c r="AA539" s="1035"/>
      <c r="AB539" s="1035"/>
      <c r="AC539" s="1021">
        <v>111891</v>
      </c>
      <c r="AD539" s="1021" t="s">
        <v>2103</v>
      </c>
      <c r="AE539" s="1022">
        <f>VLOOKUP(AC539,[5]Hoja1!$A$10:$K$1393,11,0)</f>
        <v>27687095</v>
      </c>
      <c r="AF539" s="1022"/>
      <c r="AG539" s="1022">
        <f t="shared" si="116"/>
        <v>27687095</v>
      </c>
      <c r="AH539" s="1460">
        <f t="shared" si="117"/>
        <v>27687</v>
      </c>
      <c r="AI539" s="1512">
        <f>+AH539+AH540+AH547</f>
        <v>-22080</v>
      </c>
      <c r="AJ539" s="445"/>
      <c r="AK539" s="448"/>
      <c r="AL539" s="445"/>
    </row>
    <row r="540" spans="1:38" s="467" customFormat="1" ht="12.75" customHeight="1">
      <c r="A540" s="1033">
        <v>5116200</v>
      </c>
      <c r="B540" s="1033" t="s">
        <v>2732</v>
      </c>
      <c r="C540" s="1034"/>
      <c r="D540" s="1033"/>
      <c r="E540" s="1033"/>
      <c r="F540" s="1034"/>
      <c r="G540" s="1033"/>
      <c r="H540" s="1033"/>
      <c r="I540" s="1034"/>
      <c r="J540" s="1033"/>
      <c r="K540" s="1033"/>
      <c r="L540" s="1034"/>
      <c r="M540" s="1035"/>
      <c r="N540" s="1035"/>
      <c r="O540" s="1036"/>
      <c r="P540" s="1033"/>
      <c r="Q540" s="1033"/>
      <c r="R540" s="1034"/>
      <c r="S540" s="1035"/>
      <c r="T540" s="1035"/>
      <c r="U540" s="1034"/>
      <c r="V540" s="1035"/>
      <c r="W540" s="1035"/>
      <c r="X540" s="1037" t="str">
        <f>+Y540&amp;Z540</f>
        <v>221</v>
      </c>
      <c r="Y540" s="1035">
        <v>22</v>
      </c>
      <c r="Z540" s="1035">
        <f t="shared" si="115"/>
        <v>1</v>
      </c>
      <c r="AA540" s="1035"/>
      <c r="AB540" s="1035"/>
      <c r="AC540" s="1021">
        <v>111892</v>
      </c>
      <c r="AD540" s="1021" t="s">
        <v>2104</v>
      </c>
      <c r="AE540" s="1022">
        <f>VLOOKUP(AC540,[5]Hoja1!$A$10:$K$1393,11,0)</f>
        <v>-19202886</v>
      </c>
      <c r="AF540" s="1022"/>
      <c r="AG540" s="1022">
        <f t="shared" si="116"/>
        <v>-19202886</v>
      </c>
      <c r="AH540" s="1460">
        <f t="shared" si="117"/>
        <v>-19203</v>
      </c>
      <c r="AI540" s="1512"/>
      <c r="AJ540" s="445"/>
      <c r="AK540" s="448"/>
      <c r="AL540" s="445"/>
    </row>
    <row r="541" spans="1:38" s="467" customFormat="1" ht="12.75" customHeight="1">
      <c r="A541" s="1033">
        <v>5153300</v>
      </c>
      <c r="B541" s="1033" t="s">
        <v>599</v>
      </c>
      <c r="C541" s="1034"/>
      <c r="D541" s="1033"/>
      <c r="E541" s="1033"/>
      <c r="F541" s="1034"/>
      <c r="G541" s="1033"/>
      <c r="H541" s="1033"/>
      <c r="I541" s="1034"/>
      <c r="J541" s="1033"/>
      <c r="K541" s="1033"/>
      <c r="L541" s="1034"/>
      <c r="M541" s="1035"/>
      <c r="N541" s="1035"/>
      <c r="O541" s="1036"/>
      <c r="P541" s="1033"/>
      <c r="Q541" s="1033"/>
      <c r="R541" s="1034"/>
      <c r="S541" s="1035"/>
      <c r="T541" s="1035"/>
      <c r="U541" s="1034"/>
      <c r="V541" s="1035"/>
      <c r="W541" s="1035"/>
      <c r="X541" s="1037"/>
      <c r="Y541" s="1035"/>
      <c r="Z541" s="1035">
        <f t="shared" si="115"/>
        <v>1</v>
      </c>
      <c r="AA541" s="1033" t="s">
        <v>2915</v>
      </c>
      <c r="AB541" s="1033" t="s">
        <v>2913</v>
      </c>
      <c r="AC541" s="1021">
        <v>111893</v>
      </c>
      <c r="AD541" s="1021" t="s">
        <v>2105</v>
      </c>
      <c r="AE541" s="1022">
        <f>VLOOKUP(AC541,[5]Hoja1!$A$10:$K$1393,11,0)</f>
        <v>1979778227</v>
      </c>
      <c r="AF541" s="1022"/>
      <c r="AG541" s="1022">
        <f t="shared" si="116"/>
        <v>1979778227</v>
      </c>
      <c r="AH541" s="1188">
        <f t="shared" si="117"/>
        <v>1979778</v>
      </c>
      <c r="AI541" s="448"/>
      <c r="AJ541" s="445"/>
      <c r="AK541" s="448"/>
      <c r="AL541" s="445"/>
    </row>
    <row r="542" spans="1:38" s="467" customFormat="1" ht="12.75" customHeight="1">
      <c r="A542" s="1033">
        <v>5153300</v>
      </c>
      <c r="B542" s="1033" t="s">
        <v>599</v>
      </c>
      <c r="C542" s="1034"/>
      <c r="D542" s="1033"/>
      <c r="E542" s="1033"/>
      <c r="F542" s="1034"/>
      <c r="G542" s="1033"/>
      <c r="H542" s="1033"/>
      <c r="I542" s="1034"/>
      <c r="J542" s="1033"/>
      <c r="K542" s="1033"/>
      <c r="L542" s="1034"/>
      <c r="M542" s="1035"/>
      <c r="N542" s="1035"/>
      <c r="O542" s="1036"/>
      <c r="P542" s="1033"/>
      <c r="Q542" s="1033"/>
      <c r="R542" s="1034"/>
      <c r="S542" s="1035"/>
      <c r="T542" s="1035"/>
      <c r="U542" s="1034"/>
      <c r="V542" s="1035"/>
      <c r="W542" s="1035"/>
      <c r="X542" s="1037" t="str">
        <f>+Y542&amp;Z542</f>
        <v xml:space="preserve"> 1</v>
      </c>
      <c r="Y542" s="1035" t="s">
        <v>1805</v>
      </c>
      <c r="Z542" s="1035">
        <f t="shared" si="115"/>
        <v>1</v>
      </c>
      <c r="AA542" s="1033" t="s">
        <v>2915</v>
      </c>
      <c r="AB542" s="1033" t="s">
        <v>2913</v>
      </c>
      <c r="AC542" s="1021">
        <v>111894</v>
      </c>
      <c r="AD542" s="1021" t="s">
        <v>2106</v>
      </c>
      <c r="AE542" s="1022">
        <f>VLOOKUP(AC542,[5]Hoja1!$A$10:$K$1393,11,0)</f>
        <v>0</v>
      </c>
      <c r="AF542" s="1022"/>
      <c r="AG542" s="1022">
        <f t="shared" si="116"/>
        <v>0</v>
      </c>
      <c r="AH542" s="1022">
        <f t="shared" si="117"/>
        <v>0</v>
      </c>
      <c r="AI542" s="448"/>
      <c r="AJ542" s="445"/>
      <c r="AK542" s="448"/>
      <c r="AL542" s="445"/>
    </row>
    <row r="543" spans="1:38" s="467" customFormat="1" ht="12.75" customHeight="1">
      <c r="A543" s="1033">
        <v>5116200</v>
      </c>
      <c r="B543" s="1033" t="s">
        <v>2732</v>
      </c>
      <c r="C543" s="1034"/>
      <c r="D543" s="1033"/>
      <c r="E543" s="1033"/>
      <c r="F543" s="1034"/>
      <c r="G543" s="1033"/>
      <c r="H543" s="1033"/>
      <c r="I543" s="1034"/>
      <c r="J543" s="1033"/>
      <c r="K543" s="1033"/>
      <c r="L543" s="1034"/>
      <c r="M543" s="1035"/>
      <c r="N543" s="1035"/>
      <c r="O543" s="1036"/>
      <c r="P543" s="1033"/>
      <c r="Q543" s="1033"/>
      <c r="R543" s="1034"/>
      <c r="S543" s="1035"/>
      <c r="T543" s="1035"/>
      <c r="U543" s="1034"/>
      <c r="V543" s="1035"/>
      <c r="W543" s="1035"/>
      <c r="X543" s="1037"/>
      <c r="Y543" s="1035"/>
      <c r="Z543" s="1035">
        <f t="shared" si="115"/>
        <v>1</v>
      </c>
      <c r="AA543" s="1035"/>
      <c r="AB543" s="1035"/>
      <c r="AC543" s="1023">
        <v>111895</v>
      </c>
      <c r="AD543" s="1021" t="s">
        <v>2692</v>
      </c>
      <c r="AE543" s="1022">
        <f>VLOOKUP(AC543,[5]Hoja1!$A$10:$K$1393,11,0)</f>
        <v>10033045560</v>
      </c>
      <c r="AF543" s="1022">
        <v>0</v>
      </c>
      <c r="AG543" s="1022">
        <f t="shared" si="116"/>
        <v>10033045560</v>
      </c>
      <c r="AH543" s="1460">
        <f t="shared" si="117"/>
        <v>10033046</v>
      </c>
      <c r="AI543" s="1512"/>
      <c r="AJ543" s="445"/>
      <c r="AK543" s="448"/>
      <c r="AL543" s="445"/>
    </row>
    <row r="544" spans="1:38" s="467" customFormat="1" ht="12.75" customHeight="1">
      <c r="A544" s="1033">
        <v>5116200</v>
      </c>
      <c r="B544" s="1033" t="s">
        <v>2732</v>
      </c>
      <c r="C544" s="1034"/>
      <c r="D544" s="1033"/>
      <c r="E544" s="1033"/>
      <c r="F544" s="1034"/>
      <c r="G544" s="1033"/>
      <c r="H544" s="1033"/>
      <c r="I544" s="1034"/>
      <c r="J544" s="1033"/>
      <c r="K544" s="1033"/>
      <c r="L544" s="1034"/>
      <c r="M544" s="1035"/>
      <c r="N544" s="1035"/>
      <c r="O544" s="1036"/>
      <c r="P544" s="1033"/>
      <c r="Q544" s="1033"/>
      <c r="R544" s="1034"/>
      <c r="S544" s="1035"/>
      <c r="T544" s="1035"/>
      <c r="U544" s="1034"/>
      <c r="V544" s="1035"/>
      <c r="W544" s="1035"/>
      <c r="X544" s="1037"/>
      <c r="Y544" s="1035"/>
      <c r="Z544" s="1035">
        <f t="shared" si="115"/>
        <v>1</v>
      </c>
      <c r="AA544" s="1035"/>
      <c r="AB544" s="1035"/>
      <c r="AC544" s="1023">
        <v>111896</v>
      </c>
      <c r="AD544" s="1021" t="s">
        <v>2693</v>
      </c>
      <c r="AE544" s="1022">
        <f>VLOOKUP(AC544,[5]Hoja1!$A$10:$K$1393,11,0)</f>
        <v>-19206155</v>
      </c>
      <c r="AF544" s="1022">
        <v>0</v>
      </c>
      <c r="AG544" s="1022">
        <f t="shared" si="116"/>
        <v>-19206155</v>
      </c>
      <c r="AH544" s="1460">
        <f t="shared" si="117"/>
        <v>-19206</v>
      </c>
      <c r="AI544" s="1512"/>
      <c r="AJ544" s="445"/>
      <c r="AK544" s="448"/>
      <c r="AL544" s="445"/>
    </row>
    <row r="545" spans="1:38" s="467" customFormat="1" ht="12.75" customHeight="1">
      <c r="A545" s="1033">
        <v>5116200</v>
      </c>
      <c r="B545" s="1033" t="s">
        <v>2732</v>
      </c>
      <c r="C545" s="1034"/>
      <c r="D545" s="1033"/>
      <c r="E545" s="1033"/>
      <c r="F545" s="1034"/>
      <c r="G545" s="1033"/>
      <c r="H545" s="1033"/>
      <c r="I545" s="1034"/>
      <c r="J545" s="1033"/>
      <c r="K545" s="1033"/>
      <c r="L545" s="1034"/>
      <c r="M545" s="1035"/>
      <c r="N545" s="1035"/>
      <c r="O545" s="1036"/>
      <c r="P545" s="1033"/>
      <c r="Q545" s="1033"/>
      <c r="R545" s="1034"/>
      <c r="S545" s="1035"/>
      <c r="T545" s="1035"/>
      <c r="U545" s="1034"/>
      <c r="V545" s="1035"/>
      <c r="W545" s="1035"/>
      <c r="X545" s="1037"/>
      <c r="Y545" s="1035"/>
      <c r="Z545" s="1035">
        <f t="shared" si="115"/>
        <v>1</v>
      </c>
      <c r="AA545" s="1035"/>
      <c r="AB545" s="1035"/>
      <c r="AC545" s="1023">
        <v>111897</v>
      </c>
      <c r="AD545" s="1021" t="s">
        <v>2694</v>
      </c>
      <c r="AE545" s="1022">
        <f>VLOOKUP(AC545,[5]Hoja1!$A$10:$K$1393,11,0)</f>
        <v>-88645551</v>
      </c>
      <c r="AF545" s="1022">
        <v>0</v>
      </c>
      <c r="AG545" s="1022">
        <f t="shared" si="116"/>
        <v>-88645551</v>
      </c>
      <c r="AH545" s="1460">
        <f t="shared" si="117"/>
        <v>-88646</v>
      </c>
      <c r="AI545" s="1512"/>
      <c r="AJ545" s="445"/>
      <c r="AK545" s="448"/>
      <c r="AL545" s="445"/>
    </row>
    <row r="546" spans="1:38" s="467" customFormat="1" ht="12.75" customHeight="1">
      <c r="A546" s="1033">
        <v>5116200</v>
      </c>
      <c r="B546" s="1033" t="s">
        <v>2732</v>
      </c>
      <c r="C546" s="1034"/>
      <c r="D546" s="1033"/>
      <c r="E546" s="1033"/>
      <c r="F546" s="1034"/>
      <c r="G546" s="1033"/>
      <c r="H546" s="1033"/>
      <c r="I546" s="1034"/>
      <c r="J546" s="1033"/>
      <c r="K546" s="1033"/>
      <c r="L546" s="1034"/>
      <c r="M546" s="1035"/>
      <c r="N546" s="1035"/>
      <c r="O546" s="1036"/>
      <c r="P546" s="1033"/>
      <c r="Q546" s="1033"/>
      <c r="R546" s="1034"/>
      <c r="S546" s="1035"/>
      <c r="T546" s="1035"/>
      <c r="U546" s="1034"/>
      <c r="V546" s="1035"/>
      <c r="W546" s="1035"/>
      <c r="X546" s="1037"/>
      <c r="Y546" s="1035"/>
      <c r="Z546" s="1035">
        <f t="shared" si="115"/>
        <v>1</v>
      </c>
      <c r="AA546" s="1035"/>
      <c r="AB546" s="1035"/>
      <c r="AC546" s="1023">
        <v>111898</v>
      </c>
      <c r="AD546" s="1021" t="s">
        <v>2695</v>
      </c>
      <c r="AE546" s="1022">
        <f>VLOOKUP(AC546,[5]Hoja1!$A$10:$K$1393,11,0)</f>
        <v>-961205610</v>
      </c>
      <c r="AF546" s="1022">
        <v>0</v>
      </c>
      <c r="AG546" s="1022">
        <f t="shared" si="116"/>
        <v>-961205610</v>
      </c>
      <c r="AH546" s="1460">
        <f t="shared" si="117"/>
        <v>-961206</v>
      </c>
      <c r="AI546" s="1512"/>
      <c r="AJ546" s="445"/>
      <c r="AK546" s="448"/>
      <c r="AL546" s="445"/>
    </row>
    <row r="547" spans="1:38" s="467" customFormat="1" ht="12.75" customHeight="1">
      <c r="A547" s="1033">
        <v>5116200</v>
      </c>
      <c r="B547" s="1033" t="s">
        <v>2732</v>
      </c>
      <c r="C547" s="1034"/>
      <c r="D547" s="1033"/>
      <c r="E547" s="1033"/>
      <c r="F547" s="1034"/>
      <c r="G547" s="1033"/>
      <c r="H547" s="1033"/>
      <c r="I547" s="1034"/>
      <c r="J547" s="1033"/>
      <c r="K547" s="1033"/>
      <c r="L547" s="1034"/>
      <c r="M547" s="1035"/>
      <c r="N547" s="1035"/>
      <c r="O547" s="1036"/>
      <c r="P547" s="1033"/>
      <c r="Q547" s="1033"/>
      <c r="R547" s="1034"/>
      <c r="S547" s="1035"/>
      <c r="T547" s="1035"/>
      <c r="U547" s="1034"/>
      <c r="V547" s="1035"/>
      <c r="W547" s="1035"/>
      <c r="X547" s="1037"/>
      <c r="Y547" s="1035"/>
      <c r="Z547" s="1035">
        <f t="shared" si="115"/>
        <v>1</v>
      </c>
      <c r="AA547" s="1035"/>
      <c r="AB547" s="1035"/>
      <c r="AC547" s="1023">
        <v>111899</v>
      </c>
      <c r="AD547" s="1021" t="s">
        <v>2696</v>
      </c>
      <c r="AE547" s="1022">
        <f>VLOOKUP(AC547,[5]Hoja1!$A$10:$K$1393,11,0)</f>
        <v>-30564004</v>
      </c>
      <c r="AF547" s="1022">
        <v>0</v>
      </c>
      <c r="AG547" s="1022">
        <f t="shared" si="116"/>
        <v>-30564004</v>
      </c>
      <c r="AH547" s="1460">
        <f t="shared" si="117"/>
        <v>-30564</v>
      </c>
      <c r="AI547" s="1512"/>
      <c r="AJ547" s="445"/>
      <c r="AK547" s="448"/>
      <c r="AL547" s="445"/>
    </row>
    <row r="548" spans="1:38" s="467" customFormat="1" ht="12.75" customHeight="1">
      <c r="A548" s="1033">
        <v>5152200</v>
      </c>
      <c r="B548" s="1033" t="s">
        <v>2766</v>
      </c>
      <c r="C548" s="1034" t="str">
        <f>+D548&amp;E548</f>
        <v/>
      </c>
      <c r="D548" s="1033"/>
      <c r="E548" s="1033"/>
      <c r="F548" s="1034" t="str">
        <f>+G548&amp;H548</f>
        <v/>
      </c>
      <c r="G548" s="1033"/>
      <c r="H548" s="1033"/>
      <c r="I548" s="1034" t="str">
        <f>+J548&amp;K548</f>
        <v/>
      </c>
      <c r="J548" s="1033"/>
      <c r="K548" s="1033"/>
      <c r="L548" s="1034" t="str">
        <f>+M548&amp;N548</f>
        <v/>
      </c>
      <c r="M548" s="1035"/>
      <c r="N548" s="1035"/>
      <c r="O548" s="1036" t="str">
        <f>+P548&amp;Q548</f>
        <v/>
      </c>
      <c r="P548" s="1033"/>
      <c r="Q548" s="1033"/>
      <c r="R548" s="1034" t="str">
        <f>+S548&amp;T548</f>
        <v/>
      </c>
      <c r="S548" s="1035"/>
      <c r="T548" s="1035"/>
      <c r="U548" s="1034" t="str">
        <f>+V548&amp;W548</f>
        <v/>
      </c>
      <c r="V548" s="1035"/>
      <c r="W548" s="1035"/>
      <c r="X548" s="1037" t="str">
        <f>+Y548&amp;Z548</f>
        <v>1</v>
      </c>
      <c r="Y548" s="1035"/>
      <c r="Z548" s="1035">
        <f t="shared" si="115"/>
        <v>1</v>
      </c>
      <c r="AA548" s="1035"/>
      <c r="AB548" s="1035"/>
      <c r="AC548" s="1021">
        <v>111901</v>
      </c>
      <c r="AD548" s="1021" t="s">
        <v>562</v>
      </c>
      <c r="AE548" s="1022">
        <f>VLOOKUP(AC548,[5]Hoja1!$A$10:$K$1393,11,0)</f>
        <v>5088567928</v>
      </c>
      <c r="AF548" s="1022"/>
      <c r="AG548" s="1022">
        <f t="shared" si="116"/>
        <v>5088567928</v>
      </c>
      <c r="AH548" s="1022">
        <f t="shared" si="117"/>
        <v>5088568</v>
      </c>
      <c r="AK548" s="448"/>
      <c r="AL548" s="445"/>
    </row>
    <row r="549" spans="1:38" s="467" customFormat="1" ht="12.75" customHeight="1">
      <c r="A549" s="1033"/>
      <c r="B549" s="1033"/>
      <c r="C549" s="1034" t="str">
        <f>+D549&amp;E549</f>
        <v/>
      </c>
      <c r="D549" s="1033"/>
      <c r="E549" s="1033"/>
      <c r="F549" s="1034" t="str">
        <f>+G549&amp;H549</f>
        <v/>
      </c>
      <c r="G549" s="1033"/>
      <c r="H549" s="1033"/>
      <c r="I549" s="1034" t="str">
        <f>+J549&amp;K549</f>
        <v/>
      </c>
      <c r="J549" s="1033"/>
      <c r="K549" s="1033"/>
      <c r="L549" s="1034" t="str">
        <f>+M549&amp;N549</f>
        <v/>
      </c>
      <c r="M549" s="1035"/>
      <c r="N549" s="1035"/>
      <c r="O549" s="1036" t="str">
        <f>+P549&amp;Q549</f>
        <v/>
      </c>
      <c r="P549" s="1033"/>
      <c r="Q549" s="1033"/>
      <c r="R549" s="1034" t="str">
        <f>+S549&amp;T549</f>
        <v/>
      </c>
      <c r="S549" s="1035"/>
      <c r="T549" s="1035"/>
      <c r="U549" s="1034" t="str">
        <f>+V549&amp;W549</f>
        <v/>
      </c>
      <c r="V549" s="1035"/>
      <c r="W549" s="1035"/>
      <c r="X549" s="1037" t="str">
        <f>+Y549&amp;Z549</f>
        <v>1</v>
      </c>
      <c r="Y549" s="1035"/>
      <c r="Z549" s="1035">
        <f t="shared" si="115"/>
        <v>1</v>
      </c>
      <c r="AA549" s="1035"/>
      <c r="AB549" s="1035"/>
      <c r="AC549" s="1021">
        <v>111902</v>
      </c>
      <c r="AD549" s="1021" t="s">
        <v>1273</v>
      </c>
      <c r="AE549" s="1022">
        <v>0</v>
      </c>
      <c r="AF549" s="1022"/>
      <c r="AG549" s="1022">
        <f t="shared" si="116"/>
        <v>0</v>
      </c>
      <c r="AH549" s="1022">
        <f t="shared" si="117"/>
        <v>0</v>
      </c>
      <c r="AK549" s="448"/>
      <c r="AL549" s="445"/>
    </row>
    <row r="550" spans="1:38" s="467" customFormat="1" ht="12.75" customHeight="1">
      <c r="A550" s="1033"/>
      <c r="B550" s="1033"/>
      <c r="C550" s="1034"/>
      <c r="D550" s="1033"/>
      <c r="E550" s="1033"/>
      <c r="F550" s="1034"/>
      <c r="G550" s="1033"/>
      <c r="H550" s="1033"/>
      <c r="I550" s="1034"/>
      <c r="J550" s="1033"/>
      <c r="K550" s="1033"/>
      <c r="L550" s="1034"/>
      <c r="M550" s="1035"/>
      <c r="N550" s="1035"/>
      <c r="O550" s="1036"/>
      <c r="P550" s="1033"/>
      <c r="Q550" s="1033"/>
      <c r="R550" s="1034"/>
      <c r="S550" s="1035"/>
      <c r="T550" s="1035"/>
      <c r="U550" s="1034"/>
      <c r="V550" s="1035"/>
      <c r="W550" s="1035"/>
      <c r="X550" s="1037"/>
      <c r="Y550" s="1035"/>
      <c r="Z550" s="1035">
        <f t="shared" si="115"/>
        <v>1</v>
      </c>
      <c r="AA550" s="1035"/>
      <c r="AB550" s="1035"/>
      <c r="AC550" s="1021">
        <v>111903</v>
      </c>
      <c r="AD550" s="1021" t="s">
        <v>2107</v>
      </c>
      <c r="AE550" s="1022">
        <v>0</v>
      </c>
      <c r="AF550" s="1022"/>
      <c r="AG550" s="1022">
        <f t="shared" si="116"/>
        <v>0</v>
      </c>
      <c r="AH550" s="1022">
        <f t="shared" si="117"/>
        <v>0</v>
      </c>
      <c r="AK550" s="448"/>
      <c r="AL550" s="445"/>
    </row>
    <row r="551" spans="1:38" s="467" customFormat="1" ht="12.75" customHeight="1">
      <c r="A551" s="1033"/>
      <c r="B551" s="1033"/>
      <c r="C551" s="1034" t="str">
        <f t="shared" ref="C551:C572" si="118">+D551&amp;E551</f>
        <v/>
      </c>
      <c r="D551" s="1033"/>
      <c r="E551" s="1033"/>
      <c r="F551" s="1034" t="str">
        <f t="shared" ref="F551:F572" si="119">+G551&amp;H551</f>
        <v/>
      </c>
      <c r="G551" s="1033"/>
      <c r="H551" s="1033"/>
      <c r="I551" s="1034" t="str">
        <f t="shared" ref="I551:I572" si="120">+J551&amp;K551</f>
        <v/>
      </c>
      <c r="J551" s="1033"/>
      <c r="K551" s="1033"/>
      <c r="L551" s="1034" t="str">
        <f t="shared" ref="L551:L572" si="121">+M551&amp;N551</f>
        <v/>
      </c>
      <c r="M551" s="1035"/>
      <c r="N551" s="1035"/>
      <c r="O551" s="1036" t="str">
        <f t="shared" ref="O551:O572" si="122">+P551&amp;Q551</f>
        <v/>
      </c>
      <c r="P551" s="1033"/>
      <c r="Q551" s="1033"/>
      <c r="R551" s="1034" t="str">
        <f t="shared" ref="R551:R572" si="123">+S551&amp;T551</f>
        <v/>
      </c>
      <c r="S551" s="1035"/>
      <c r="T551" s="1035"/>
      <c r="U551" s="1034" t="str">
        <f t="shared" ref="U551:U572" si="124">+V551&amp;W551</f>
        <v/>
      </c>
      <c r="V551" s="1035"/>
      <c r="W551" s="1035"/>
      <c r="X551" s="1037" t="str">
        <f t="shared" ref="X551:X572" si="125">+Y551&amp;Z551</f>
        <v>221</v>
      </c>
      <c r="Y551" s="1035">
        <v>22</v>
      </c>
      <c r="Z551" s="1035">
        <f t="shared" si="115"/>
        <v>1</v>
      </c>
      <c r="AA551" s="1035"/>
      <c r="AB551" s="1035"/>
      <c r="AC551" s="1021">
        <v>112001</v>
      </c>
      <c r="AD551" s="1021" t="s">
        <v>2108</v>
      </c>
      <c r="AE551" s="1022">
        <f>VLOOKUP(AC551,[5]Hoja1!$A$10:$K$1393,11,0)</f>
        <v>0</v>
      </c>
      <c r="AF551" s="1022">
        <f>-AF510-AF513</f>
        <v>0</v>
      </c>
      <c r="AG551" s="1022">
        <f t="shared" si="116"/>
        <v>0</v>
      </c>
      <c r="AH551" s="1022">
        <f t="shared" si="117"/>
        <v>0</v>
      </c>
      <c r="AJ551" s="467">
        <v>1106135.041</v>
      </c>
      <c r="AK551" s="448"/>
      <c r="AL551" s="445"/>
    </row>
    <row r="552" spans="1:38" s="467" customFormat="1" ht="12.75" customHeight="1">
      <c r="A552" s="1033"/>
      <c r="B552" s="1033"/>
      <c r="C552" s="1034" t="str">
        <f t="shared" si="118"/>
        <v/>
      </c>
      <c r="D552" s="1033"/>
      <c r="E552" s="1033"/>
      <c r="F552" s="1034" t="str">
        <f t="shared" si="119"/>
        <v/>
      </c>
      <c r="G552" s="1033"/>
      <c r="H552" s="1033"/>
      <c r="I552" s="1034" t="str">
        <f t="shared" si="120"/>
        <v/>
      </c>
      <c r="J552" s="1033"/>
      <c r="K552" s="1033"/>
      <c r="L552" s="1034" t="str">
        <f t="shared" si="121"/>
        <v/>
      </c>
      <c r="M552" s="1035"/>
      <c r="N552" s="1035"/>
      <c r="O552" s="1036" t="str">
        <f t="shared" si="122"/>
        <v/>
      </c>
      <c r="P552" s="1033"/>
      <c r="Q552" s="1033"/>
      <c r="R552" s="1034" t="str">
        <f t="shared" si="123"/>
        <v/>
      </c>
      <c r="S552" s="1035"/>
      <c r="T552" s="1035"/>
      <c r="U552" s="1034" t="str">
        <f t="shared" si="124"/>
        <v/>
      </c>
      <c r="V552" s="1035"/>
      <c r="W552" s="1035"/>
      <c r="X552" s="1037" t="str">
        <f t="shared" si="125"/>
        <v>221</v>
      </c>
      <c r="Y552" s="1035">
        <v>22</v>
      </c>
      <c r="Z552" s="1035">
        <f t="shared" si="115"/>
        <v>1</v>
      </c>
      <c r="AA552" s="1035"/>
      <c r="AB552" s="1035"/>
      <c r="AC552" s="1021">
        <v>112002</v>
      </c>
      <c r="AD552" s="1021" t="s">
        <v>2109</v>
      </c>
      <c r="AE552" s="1022">
        <f>VLOOKUP(AC552,[5]Hoja1!$A$10:$K$1393,11,0)</f>
        <v>0</v>
      </c>
      <c r="AF552" s="1022"/>
      <c r="AG552" s="1022">
        <f t="shared" si="116"/>
        <v>0</v>
      </c>
      <c r="AH552" s="1022">
        <f t="shared" si="117"/>
        <v>0</v>
      </c>
      <c r="AK552" s="448"/>
      <c r="AL552" s="445"/>
    </row>
    <row r="553" spans="1:38" s="467" customFormat="1" ht="12.75" customHeight="1">
      <c r="A553" s="1033">
        <v>5113000</v>
      </c>
      <c r="B553" s="1033" t="s">
        <v>2726</v>
      </c>
      <c r="C553" s="1034" t="str">
        <f t="shared" si="118"/>
        <v/>
      </c>
      <c r="D553" s="1033"/>
      <c r="E553" s="1033"/>
      <c r="F553" s="1034" t="str">
        <f t="shared" si="119"/>
        <v/>
      </c>
      <c r="G553" s="1033"/>
      <c r="H553" s="1033"/>
      <c r="I553" s="1034" t="str">
        <f t="shared" si="120"/>
        <v/>
      </c>
      <c r="J553" s="1033"/>
      <c r="K553" s="1033"/>
      <c r="L553" s="1034" t="str">
        <f t="shared" si="121"/>
        <v/>
      </c>
      <c r="M553" s="1035"/>
      <c r="N553" s="1035"/>
      <c r="O553" s="1036" t="str">
        <f t="shared" si="122"/>
        <v/>
      </c>
      <c r="P553" s="1033"/>
      <c r="Q553" s="1033"/>
      <c r="R553" s="1034" t="str">
        <f t="shared" si="123"/>
        <v/>
      </c>
      <c r="S553" s="1035"/>
      <c r="T553" s="1035"/>
      <c r="U553" s="1034" t="str">
        <f t="shared" si="124"/>
        <v/>
      </c>
      <c r="V553" s="1035"/>
      <c r="W553" s="1035"/>
      <c r="X553" s="1037" t="str">
        <f t="shared" si="125"/>
        <v>131</v>
      </c>
      <c r="Y553" s="1035">
        <v>13</v>
      </c>
      <c r="Z553" s="1035">
        <f t="shared" si="115"/>
        <v>1</v>
      </c>
      <c r="AA553" s="1035"/>
      <c r="AB553" s="1035"/>
      <c r="AC553" s="1021">
        <v>112003</v>
      </c>
      <c r="AD553" s="1021" t="s">
        <v>563</v>
      </c>
      <c r="AE553" s="1022">
        <f>VLOOKUP(AC553,[5]Hoja1!$A$10:$K$1393,11,0)</f>
        <v>1595144140</v>
      </c>
      <c r="AF553" s="1191">
        <f>-AF186-AF225-AF102-AF136</f>
        <v>-1595144140</v>
      </c>
      <c r="AG553" s="1022">
        <f t="shared" si="116"/>
        <v>0</v>
      </c>
      <c r="AH553" s="1189">
        <f t="shared" si="117"/>
        <v>0</v>
      </c>
      <c r="AI553" s="467">
        <v>1112907</v>
      </c>
      <c r="AJ553" s="445">
        <f>+AI553-AH553</f>
        <v>1112907</v>
      </c>
      <c r="AK553" s="448"/>
      <c r="AL553" s="445"/>
    </row>
    <row r="554" spans="1:38" s="467" customFormat="1" ht="12.75" customHeight="1">
      <c r="A554" s="1033"/>
      <c r="B554" s="1033"/>
      <c r="C554" s="1034" t="str">
        <f t="shared" si="118"/>
        <v/>
      </c>
      <c r="D554" s="1033"/>
      <c r="E554" s="1033"/>
      <c r="F554" s="1034" t="str">
        <f t="shared" si="119"/>
        <v/>
      </c>
      <c r="G554" s="1033"/>
      <c r="H554" s="1033"/>
      <c r="I554" s="1034" t="str">
        <f t="shared" si="120"/>
        <v/>
      </c>
      <c r="J554" s="1033"/>
      <c r="K554" s="1033"/>
      <c r="L554" s="1034" t="str">
        <f t="shared" si="121"/>
        <v/>
      </c>
      <c r="M554" s="1035"/>
      <c r="N554" s="1035"/>
      <c r="O554" s="1036" t="str">
        <f t="shared" si="122"/>
        <v/>
      </c>
      <c r="P554" s="1033"/>
      <c r="Q554" s="1033"/>
      <c r="R554" s="1034" t="str">
        <f t="shared" si="123"/>
        <v/>
      </c>
      <c r="S554" s="1035"/>
      <c r="T554" s="1035"/>
      <c r="U554" s="1034" t="str">
        <f t="shared" si="124"/>
        <v/>
      </c>
      <c r="V554" s="1035"/>
      <c r="W554" s="1035"/>
      <c r="X554" s="1037" t="str">
        <f t="shared" si="125"/>
        <v>131</v>
      </c>
      <c r="Y554" s="1035">
        <v>13</v>
      </c>
      <c r="Z554" s="1035">
        <f t="shared" si="115"/>
        <v>1</v>
      </c>
      <c r="AA554" s="1035"/>
      <c r="AB554" s="1035"/>
      <c r="AC554" s="1021">
        <v>112004</v>
      </c>
      <c r="AD554" s="1021" t="s">
        <v>2110</v>
      </c>
      <c r="AE554" s="1022">
        <f>VLOOKUP(AC554,[5]Hoja1!$A$10:$K$1393,11,0)</f>
        <v>0</v>
      </c>
      <c r="AF554" s="1022"/>
      <c r="AG554" s="1022">
        <f t="shared" si="116"/>
        <v>0</v>
      </c>
      <c r="AH554" s="1022">
        <f t="shared" si="117"/>
        <v>0</v>
      </c>
      <c r="AK554" s="448"/>
      <c r="AL554" s="445"/>
    </row>
    <row r="555" spans="1:38" s="467" customFormat="1" ht="12.75" customHeight="1">
      <c r="A555" s="1033">
        <v>5153500</v>
      </c>
      <c r="B555" s="1033" t="s">
        <v>1457</v>
      </c>
      <c r="C555" s="1034" t="str">
        <f t="shared" si="118"/>
        <v/>
      </c>
      <c r="D555" s="1033"/>
      <c r="E555" s="1033"/>
      <c r="F555" s="1034" t="str">
        <f t="shared" si="119"/>
        <v/>
      </c>
      <c r="G555" s="1033"/>
      <c r="H555" s="1033"/>
      <c r="I555" s="1034" t="str">
        <f t="shared" si="120"/>
        <v/>
      </c>
      <c r="J555" s="1033"/>
      <c r="K555" s="1033"/>
      <c r="L555" s="1034" t="str">
        <f t="shared" si="121"/>
        <v/>
      </c>
      <c r="M555" s="1035"/>
      <c r="N555" s="1035"/>
      <c r="O555" s="1036" t="str">
        <f t="shared" si="122"/>
        <v/>
      </c>
      <c r="P555" s="1033"/>
      <c r="Q555" s="1033"/>
      <c r="R555" s="1034" t="str">
        <f t="shared" si="123"/>
        <v/>
      </c>
      <c r="S555" s="1035"/>
      <c r="T555" s="1035"/>
      <c r="U555" s="1034" t="str">
        <f t="shared" si="124"/>
        <v/>
      </c>
      <c r="V555" s="1035"/>
      <c r="W555" s="1035"/>
      <c r="X555" s="1037" t="str">
        <f t="shared" si="125"/>
        <v>221</v>
      </c>
      <c r="Y555" s="1035">
        <v>22</v>
      </c>
      <c r="Z555" s="1035">
        <f t="shared" si="115"/>
        <v>1</v>
      </c>
      <c r="AA555" s="1033" t="s">
        <v>2886</v>
      </c>
      <c r="AB555" s="1033" t="s">
        <v>2881</v>
      </c>
      <c r="AC555" s="1021">
        <v>112005</v>
      </c>
      <c r="AD555" s="1021" t="s">
        <v>313</v>
      </c>
      <c r="AE555" s="1022">
        <f>VLOOKUP(AC555,[5]Hoja1!$A$10:$K$1393,11,0)</f>
        <v>7744007639</v>
      </c>
      <c r="AF555" s="1022"/>
      <c r="AG555" s="1022">
        <f t="shared" si="116"/>
        <v>7744007639</v>
      </c>
      <c r="AH555" s="1022">
        <f t="shared" si="117"/>
        <v>7744008</v>
      </c>
      <c r="AK555" s="448"/>
      <c r="AL555" s="445"/>
    </row>
    <row r="556" spans="1:38" s="467" customFormat="1" ht="12.75" customHeight="1">
      <c r="A556" s="1033">
        <v>5112000</v>
      </c>
      <c r="B556" s="1033" t="s">
        <v>2725</v>
      </c>
      <c r="C556" s="1034" t="str">
        <f t="shared" si="118"/>
        <v/>
      </c>
      <c r="D556" s="1033"/>
      <c r="E556" s="1033"/>
      <c r="F556" s="1034" t="str">
        <f t="shared" si="119"/>
        <v/>
      </c>
      <c r="G556" s="1033"/>
      <c r="H556" s="1033"/>
      <c r="I556" s="1034" t="str">
        <f t="shared" si="120"/>
        <v/>
      </c>
      <c r="J556" s="1033"/>
      <c r="K556" s="1033"/>
      <c r="L556" s="1034" t="str">
        <f t="shared" si="121"/>
        <v/>
      </c>
      <c r="M556" s="1035"/>
      <c r="N556" s="1035"/>
      <c r="O556" s="1036" t="str">
        <f t="shared" si="122"/>
        <v/>
      </c>
      <c r="P556" s="1033"/>
      <c r="Q556" s="1033"/>
      <c r="R556" s="1034" t="str">
        <f t="shared" si="123"/>
        <v/>
      </c>
      <c r="S556" s="1035"/>
      <c r="T556" s="1035"/>
      <c r="U556" s="1034" t="str">
        <f t="shared" si="124"/>
        <v/>
      </c>
      <c r="V556" s="1035"/>
      <c r="W556" s="1035"/>
      <c r="X556" s="1037" t="str">
        <f t="shared" si="125"/>
        <v>301</v>
      </c>
      <c r="Y556" s="1035">
        <v>30</v>
      </c>
      <c r="Z556" s="1035">
        <f t="shared" si="115"/>
        <v>1</v>
      </c>
      <c r="AA556" s="1035"/>
      <c r="AB556" s="1035"/>
      <c r="AC556" s="1021">
        <v>112006</v>
      </c>
      <c r="AD556" s="1021" t="s">
        <v>53</v>
      </c>
      <c r="AE556" s="1022">
        <f>VLOOKUP(AC556,[5]Hoja1!$A$10:$K$1393,11,0)</f>
        <v>91374342</v>
      </c>
      <c r="AF556" s="1022">
        <v>0</v>
      </c>
      <c r="AG556" s="1022">
        <f t="shared" si="116"/>
        <v>91374342</v>
      </c>
      <c r="AH556" s="1022">
        <f t="shared" si="117"/>
        <v>91374</v>
      </c>
      <c r="AI556" s="445">
        <f>+AH556+AH557</f>
        <v>534896</v>
      </c>
      <c r="AJ556" s="467">
        <v>401528</v>
      </c>
      <c r="AK556" s="448"/>
      <c r="AL556" s="445"/>
    </row>
    <row r="557" spans="1:38" s="467" customFormat="1" ht="12.75" customHeight="1">
      <c r="A557" s="1033">
        <v>5113000</v>
      </c>
      <c r="B557" s="1033" t="s">
        <v>2726</v>
      </c>
      <c r="C557" s="1034" t="str">
        <f t="shared" si="118"/>
        <v/>
      </c>
      <c r="D557" s="1033"/>
      <c r="E557" s="1033"/>
      <c r="F557" s="1034" t="str">
        <f t="shared" si="119"/>
        <v/>
      </c>
      <c r="G557" s="1033"/>
      <c r="H557" s="1033"/>
      <c r="I557" s="1034" t="str">
        <f t="shared" si="120"/>
        <v/>
      </c>
      <c r="J557" s="1035"/>
      <c r="K557" s="1035"/>
      <c r="L557" s="1034" t="str">
        <f t="shared" si="121"/>
        <v/>
      </c>
      <c r="M557" s="1035"/>
      <c r="N557" s="1035"/>
      <c r="O557" s="1036" t="str">
        <f t="shared" si="122"/>
        <v/>
      </c>
      <c r="P557" s="1033"/>
      <c r="Q557" s="1033"/>
      <c r="R557" s="1034" t="str">
        <f t="shared" si="123"/>
        <v/>
      </c>
      <c r="S557" s="1035"/>
      <c r="T557" s="1035"/>
      <c r="U557" s="1034" t="str">
        <f t="shared" si="124"/>
        <v/>
      </c>
      <c r="V557" s="1035"/>
      <c r="W557" s="1035"/>
      <c r="X557" s="1037" t="str">
        <f t="shared" si="125"/>
        <v>131</v>
      </c>
      <c r="Y557" s="1035">
        <v>13</v>
      </c>
      <c r="Z557" s="1035">
        <f t="shared" si="115"/>
        <v>1</v>
      </c>
      <c r="AA557" s="1035"/>
      <c r="AB557" s="1035"/>
      <c r="AC557" s="1021">
        <v>112007</v>
      </c>
      <c r="AD557" s="1021" t="s">
        <v>54</v>
      </c>
      <c r="AE557" s="1022">
        <f>VLOOKUP(AC557,[5]Hoja1!$A$10:$K$1393,11,0)</f>
        <v>443521802</v>
      </c>
      <c r="AF557" s="1022">
        <v>0</v>
      </c>
      <c r="AG557" s="1022">
        <f t="shared" si="116"/>
        <v>443521802</v>
      </c>
      <c r="AH557" s="1187">
        <f t="shared" si="117"/>
        <v>443522</v>
      </c>
      <c r="AJ557" s="445">
        <f>+AJ556-AI556</f>
        <v>-133368</v>
      </c>
      <c r="AK557" s="448"/>
      <c r="AL557" s="445"/>
    </row>
    <row r="558" spans="1:38" s="467" customFormat="1" ht="12.75" customHeight="1">
      <c r="A558" s="1033"/>
      <c r="B558" s="1033"/>
      <c r="C558" s="1034" t="str">
        <f t="shared" si="118"/>
        <v/>
      </c>
      <c r="D558" s="1033"/>
      <c r="E558" s="1033"/>
      <c r="F558" s="1034" t="str">
        <f t="shared" si="119"/>
        <v/>
      </c>
      <c r="G558" s="1033"/>
      <c r="H558" s="1033"/>
      <c r="I558" s="1034" t="str">
        <f t="shared" si="120"/>
        <v/>
      </c>
      <c r="J558" s="1035"/>
      <c r="K558" s="1035"/>
      <c r="L558" s="1034" t="str">
        <f t="shared" si="121"/>
        <v/>
      </c>
      <c r="M558" s="1035"/>
      <c r="N558" s="1035"/>
      <c r="O558" s="1036" t="str">
        <f t="shared" si="122"/>
        <v/>
      </c>
      <c r="P558" s="1033"/>
      <c r="Q558" s="1033"/>
      <c r="R558" s="1034" t="str">
        <f t="shared" si="123"/>
        <v/>
      </c>
      <c r="S558" s="1035"/>
      <c r="T558" s="1035"/>
      <c r="U558" s="1034" t="str">
        <f t="shared" si="124"/>
        <v/>
      </c>
      <c r="V558" s="1035"/>
      <c r="W558" s="1035"/>
      <c r="X558" s="1037" t="str">
        <f t="shared" si="125"/>
        <v>131</v>
      </c>
      <c r="Y558" s="1035">
        <v>13</v>
      </c>
      <c r="Z558" s="1035">
        <f t="shared" si="115"/>
        <v>1</v>
      </c>
      <c r="AA558" s="1035"/>
      <c r="AB558" s="1035"/>
      <c r="AC558" s="1021">
        <v>112008</v>
      </c>
      <c r="AD558" s="1021" t="s">
        <v>2111</v>
      </c>
      <c r="AE558" s="1022">
        <v>0</v>
      </c>
      <c r="AF558" s="1022"/>
      <c r="AG558" s="1022">
        <f t="shared" si="116"/>
        <v>0</v>
      </c>
      <c r="AH558" s="1022">
        <f t="shared" si="117"/>
        <v>0</v>
      </c>
      <c r="AK558" s="448"/>
      <c r="AL558" s="445"/>
    </row>
    <row r="559" spans="1:38" s="467" customFormat="1" ht="12.75" customHeight="1">
      <c r="A559" s="1033"/>
      <c r="B559" s="1033"/>
      <c r="C559" s="1034" t="str">
        <f t="shared" si="118"/>
        <v/>
      </c>
      <c r="D559" s="1033"/>
      <c r="E559" s="1033"/>
      <c r="F559" s="1034" t="str">
        <f t="shared" si="119"/>
        <v/>
      </c>
      <c r="G559" s="1033"/>
      <c r="H559" s="1033"/>
      <c r="I559" s="1034" t="str">
        <f t="shared" si="120"/>
        <v/>
      </c>
      <c r="J559" s="1035"/>
      <c r="K559" s="1035"/>
      <c r="L559" s="1034" t="str">
        <f t="shared" si="121"/>
        <v/>
      </c>
      <c r="M559" s="1035"/>
      <c r="N559" s="1035"/>
      <c r="O559" s="1036" t="str">
        <f t="shared" si="122"/>
        <v/>
      </c>
      <c r="P559" s="1033"/>
      <c r="Q559" s="1033"/>
      <c r="R559" s="1034" t="str">
        <f t="shared" si="123"/>
        <v/>
      </c>
      <c r="S559" s="1035"/>
      <c r="T559" s="1035"/>
      <c r="U559" s="1034" t="str">
        <f t="shared" si="124"/>
        <v/>
      </c>
      <c r="V559" s="1035"/>
      <c r="W559" s="1035"/>
      <c r="X559" s="1037" t="str">
        <f t="shared" si="125"/>
        <v>221</v>
      </c>
      <c r="Y559" s="1035">
        <v>22</v>
      </c>
      <c r="Z559" s="1035">
        <f t="shared" si="115"/>
        <v>1</v>
      </c>
      <c r="AA559" s="1035"/>
      <c r="AB559" s="1035"/>
      <c r="AC559" s="1021">
        <v>112009</v>
      </c>
      <c r="AD559" s="1021" t="s">
        <v>1345</v>
      </c>
      <c r="AE559" s="1022">
        <v>0</v>
      </c>
      <c r="AF559" s="1022"/>
      <c r="AG559" s="1022">
        <f t="shared" si="116"/>
        <v>0</v>
      </c>
      <c r="AH559" s="1022">
        <f t="shared" si="117"/>
        <v>0</v>
      </c>
      <c r="AK559" s="448"/>
      <c r="AL559" s="445"/>
    </row>
    <row r="560" spans="1:38" s="467" customFormat="1" ht="12.75" customHeight="1">
      <c r="A560" s="1033"/>
      <c r="B560" s="1033"/>
      <c r="C560" s="1034" t="str">
        <f t="shared" si="118"/>
        <v/>
      </c>
      <c r="D560" s="1033"/>
      <c r="E560" s="1033"/>
      <c r="F560" s="1034" t="str">
        <f t="shared" si="119"/>
        <v/>
      </c>
      <c r="G560" s="1033"/>
      <c r="H560" s="1033"/>
      <c r="I560" s="1034" t="str">
        <f t="shared" si="120"/>
        <v/>
      </c>
      <c r="J560" s="1035"/>
      <c r="K560" s="1035"/>
      <c r="L560" s="1034" t="str">
        <f t="shared" si="121"/>
        <v/>
      </c>
      <c r="M560" s="1035"/>
      <c r="N560" s="1035"/>
      <c r="O560" s="1036" t="str">
        <f t="shared" si="122"/>
        <v/>
      </c>
      <c r="P560" s="1033"/>
      <c r="Q560" s="1033"/>
      <c r="R560" s="1034" t="str">
        <f t="shared" si="123"/>
        <v/>
      </c>
      <c r="S560" s="1035"/>
      <c r="T560" s="1035"/>
      <c r="U560" s="1034" t="str">
        <f t="shared" si="124"/>
        <v/>
      </c>
      <c r="V560" s="1035"/>
      <c r="W560" s="1035"/>
      <c r="X560" s="1037" t="str">
        <f t="shared" si="125"/>
        <v>221</v>
      </c>
      <c r="Y560" s="1035">
        <v>22</v>
      </c>
      <c r="Z560" s="1035">
        <f t="shared" si="115"/>
        <v>1</v>
      </c>
      <c r="AA560" s="1035"/>
      <c r="AB560" s="1035"/>
      <c r="AC560" s="1021">
        <v>112010</v>
      </c>
      <c r="AD560" s="1021" t="s">
        <v>1343</v>
      </c>
      <c r="AE560" s="1022">
        <f>VLOOKUP(AC560,[5]Hoja1!$A$10:$K$1393,11,0)</f>
        <v>0</v>
      </c>
      <c r="AF560" s="1022"/>
      <c r="AG560" s="1022">
        <f t="shared" si="116"/>
        <v>0</v>
      </c>
      <c r="AH560" s="1022">
        <f t="shared" si="117"/>
        <v>0</v>
      </c>
      <c r="AK560" s="448"/>
      <c r="AL560" s="445"/>
    </row>
    <row r="561" spans="1:38" s="467" customFormat="1" ht="12.75" customHeight="1">
      <c r="A561" s="1033"/>
      <c r="B561" s="1033"/>
      <c r="C561" s="1034" t="str">
        <f t="shared" si="118"/>
        <v/>
      </c>
      <c r="D561" s="1033"/>
      <c r="E561" s="1033"/>
      <c r="F561" s="1034" t="str">
        <f t="shared" si="119"/>
        <v/>
      </c>
      <c r="G561" s="1033"/>
      <c r="H561" s="1033"/>
      <c r="I561" s="1034" t="str">
        <f t="shared" si="120"/>
        <v/>
      </c>
      <c r="J561" s="1035"/>
      <c r="K561" s="1035"/>
      <c r="L561" s="1034" t="str">
        <f t="shared" si="121"/>
        <v/>
      </c>
      <c r="M561" s="1035"/>
      <c r="N561" s="1035"/>
      <c r="O561" s="1036" t="str">
        <f t="shared" si="122"/>
        <v/>
      </c>
      <c r="P561" s="1033"/>
      <c r="Q561" s="1033"/>
      <c r="R561" s="1034" t="str">
        <f t="shared" si="123"/>
        <v/>
      </c>
      <c r="S561" s="1035"/>
      <c r="T561" s="1035"/>
      <c r="U561" s="1034" t="str">
        <f t="shared" si="124"/>
        <v/>
      </c>
      <c r="V561" s="1035"/>
      <c r="W561" s="1035"/>
      <c r="X561" s="1037" t="str">
        <f t="shared" si="125"/>
        <v>221</v>
      </c>
      <c r="Y561" s="1035">
        <v>22</v>
      </c>
      <c r="Z561" s="1035">
        <f t="shared" si="115"/>
        <v>1</v>
      </c>
      <c r="AA561" s="1035"/>
      <c r="AB561" s="1035"/>
      <c r="AC561" s="1021">
        <v>112011</v>
      </c>
      <c r="AD561" s="1021" t="s">
        <v>1344</v>
      </c>
      <c r="AE561" s="1022">
        <f>VLOOKUP(AC561,[5]Hoja1!$A$10:$K$1393,11,0)</f>
        <v>0</v>
      </c>
      <c r="AF561" s="1022"/>
      <c r="AG561" s="1022">
        <f t="shared" si="116"/>
        <v>0</v>
      </c>
      <c r="AH561" s="1022">
        <f t="shared" si="117"/>
        <v>0</v>
      </c>
      <c r="AK561" s="448"/>
      <c r="AL561" s="445"/>
    </row>
    <row r="562" spans="1:38" s="467" customFormat="1" ht="12.75" customHeight="1">
      <c r="A562" s="1033">
        <v>5112000</v>
      </c>
      <c r="B562" s="1033" t="s">
        <v>2725</v>
      </c>
      <c r="C562" s="1034" t="str">
        <f t="shared" si="118"/>
        <v/>
      </c>
      <c r="D562" s="1033"/>
      <c r="E562" s="1033"/>
      <c r="F562" s="1034" t="str">
        <f t="shared" si="119"/>
        <v/>
      </c>
      <c r="G562" s="1033"/>
      <c r="H562" s="1033"/>
      <c r="I562" s="1034" t="str">
        <f t="shared" si="120"/>
        <v/>
      </c>
      <c r="J562" s="1033"/>
      <c r="K562" s="1033"/>
      <c r="L562" s="1034" t="str">
        <f t="shared" si="121"/>
        <v/>
      </c>
      <c r="M562" s="1035"/>
      <c r="N562" s="1035"/>
      <c r="O562" s="1036" t="str">
        <f t="shared" si="122"/>
        <v/>
      </c>
      <c r="P562" s="1033"/>
      <c r="Q562" s="1033"/>
      <c r="R562" s="1034" t="str">
        <f t="shared" si="123"/>
        <v/>
      </c>
      <c r="S562" s="1035"/>
      <c r="T562" s="1035"/>
      <c r="U562" s="1034" t="str">
        <f t="shared" si="124"/>
        <v/>
      </c>
      <c r="V562" s="1035"/>
      <c r="W562" s="1035"/>
      <c r="X562" s="1037" t="str">
        <f t="shared" si="125"/>
        <v>301</v>
      </c>
      <c r="Y562" s="1035">
        <v>30</v>
      </c>
      <c r="Z562" s="1035">
        <f t="shared" si="115"/>
        <v>1</v>
      </c>
      <c r="AA562" s="1035"/>
      <c r="AB562" s="1035"/>
      <c r="AC562" s="1021">
        <v>112012</v>
      </c>
      <c r="AD562" s="1021" t="s">
        <v>1345</v>
      </c>
      <c r="AE562" s="1022">
        <f>VLOOKUP(AC562,[5]Hoja1!$A$10:$K$1393,11,0)</f>
        <v>0</v>
      </c>
      <c r="AF562" s="1022">
        <v>0</v>
      </c>
      <c r="AG562" s="1022">
        <f t="shared" si="116"/>
        <v>0</v>
      </c>
      <c r="AH562" s="1197">
        <f t="shared" si="117"/>
        <v>0</v>
      </c>
      <c r="AK562" s="448"/>
      <c r="AL562" s="445"/>
    </row>
    <row r="563" spans="1:38" s="467" customFormat="1" ht="12.75" customHeight="1">
      <c r="A563" s="1033">
        <v>5113000</v>
      </c>
      <c r="B563" s="1033" t="s">
        <v>2726</v>
      </c>
      <c r="C563" s="1034" t="str">
        <f t="shared" si="118"/>
        <v/>
      </c>
      <c r="D563" s="1033"/>
      <c r="E563" s="1033"/>
      <c r="F563" s="1034" t="str">
        <f t="shared" si="119"/>
        <v/>
      </c>
      <c r="G563" s="1033"/>
      <c r="H563" s="1033"/>
      <c r="I563" s="1034" t="str">
        <f t="shared" si="120"/>
        <v/>
      </c>
      <c r="J563" s="1033"/>
      <c r="K563" s="1033"/>
      <c r="L563" s="1034" t="str">
        <f t="shared" si="121"/>
        <v/>
      </c>
      <c r="M563" s="1035"/>
      <c r="N563" s="1035"/>
      <c r="O563" s="1036" t="str">
        <f t="shared" si="122"/>
        <v/>
      </c>
      <c r="P563" s="1033"/>
      <c r="Q563" s="1033"/>
      <c r="R563" s="1034" t="str">
        <f t="shared" si="123"/>
        <v/>
      </c>
      <c r="S563" s="1035"/>
      <c r="T563" s="1035"/>
      <c r="U563" s="1034" t="str">
        <f t="shared" si="124"/>
        <v/>
      </c>
      <c r="V563" s="1035"/>
      <c r="W563" s="1035"/>
      <c r="X563" s="1037" t="str">
        <f t="shared" si="125"/>
        <v>221</v>
      </c>
      <c r="Y563" s="1035">
        <v>22</v>
      </c>
      <c r="Z563" s="1035">
        <f t="shared" si="115"/>
        <v>1</v>
      </c>
      <c r="AA563" s="1035"/>
      <c r="AB563" s="1035"/>
      <c r="AC563" s="1021">
        <v>112013</v>
      </c>
      <c r="AD563" s="1021" t="s">
        <v>2112</v>
      </c>
      <c r="AE563" s="1022">
        <f>VLOOKUP(AC563,[5]Hoja1!$A$10:$K$1393,11,0)</f>
        <v>0</v>
      </c>
      <c r="AF563" s="1022"/>
      <c r="AG563" s="1022">
        <f t="shared" si="116"/>
        <v>0</v>
      </c>
      <c r="AH563" s="1022">
        <f t="shared" si="117"/>
        <v>0</v>
      </c>
      <c r="AK563" s="448"/>
      <c r="AL563" s="445"/>
    </row>
    <row r="564" spans="1:38" s="467" customFormat="1" ht="12.75" customHeight="1">
      <c r="A564" s="1033"/>
      <c r="B564" s="1033"/>
      <c r="C564" s="1034" t="str">
        <f t="shared" si="118"/>
        <v/>
      </c>
      <c r="D564" s="1033"/>
      <c r="E564" s="1033"/>
      <c r="F564" s="1034" t="str">
        <f t="shared" si="119"/>
        <v/>
      </c>
      <c r="G564" s="1033"/>
      <c r="H564" s="1033"/>
      <c r="I564" s="1034" t="str">
        <f t="shared" si="120"/>
        <v/>
      </c>
      <c r="J564" s="1035"/>
      <c r="K564" s="1035"/>
      <c r="L564" s="1034" t="str">
        <f t="shared" si="121"/>
        <v/>
      </c>
      <c r="M564" s="1035"/>
      <c r="N564" s="1035"/>
      <c r="O564" s="1036" t="str">
        <f t="shared" si="122"/>
        <v/>
      </c>
      <c r="P564" s="1033"/>
      <c r="Q564" s="1033"/>
      <c r="R564" s="1034" t="str">
        <f t="shared" si="123"/>
        <v/>
      </c>
      <c r="S564" s="1035"/>
      <c r="T564" s="1035"/>
      <c r="U564" s="1034" t="str">
        <f t="shared" si="124"/>
        <v/>
      </c>
      <c r="V564" s="1035"/>
      <c r="W564" s="1035"/>
      <c r="X564" s="1037" t="str">
        <f t="shared" si="125"/>
        <v>221</v>
      </c>
      <c r="Y564" s="1035">
        <v>22</v>
      </c>
      <c r="Z564" s="1035">
        <f t="shared" si="115"/>
        <v>1</v>
      </c>
      <c r="AA564" s="1035"/>
      <c r="AB564" s="1035"/>
      <c r="AC564" s="1021">
        <v>112014</v>
      </c>
      <c r="AD564" s="1021" t="s">
        <v>1346</v>
      </c>
      <c r="AE564" s="1022">
        <v>0</v>
      </c>
      <c r="AF564" s="1022"/>
      <c r="AG564" s="1022">
        <f t="shared" si="116"/>
        <v>0</v>
      </c>
      <c r="AH564" s="1022">
        <f t="shared" si="117"/>
        <v>0</v>
      </c>
      <c r="AK564" s="448"/>
      <c r="AL564" s="445"/>
    </row>
    <row r="565" spans="1:38" s="467" customFormat="1" ht="12.75" customHeight="1">
      <c r="A565" s="1033">
        <v>5112000</v>
      </c>
      <c r="B565" s="1033" t="s">
        <v>2725</v>
      </c>
      <c r="C565" s="1034" t="str">
        <f t="shared" si="118"/>
        <v/>
      </c>
      <c r="D565" s="1033"/>
      <c r="E565" s="1033"/>
      <c r="F565" s="1034" t="str">
        <f t="shared" si="119"/>
        <v/>
      </c>
      <c r="G565" s="1033"/>
      <c r="H565" s="1033"/>
      <c r="I565" s="1034" t="str">
        <f t="shared" si="120"/>
        <v/>
      </c>
      <c r="J565" s="1035"/>
      <c r="K565" s="1035"/>
      <c r="L565" s="1034" t="str">
        <f t="shared" si="121"/>
        <v/>
      </c>
      <c r="M565" s="1035"/>
      <c r="N565" s="1035"/>
      <c r="O565" s="1036" t="str">
        <f t="shared" si="122"/>
        <v/>
      </c>
      <c r="P565" s="1033"/>
      <c r="Q565" s="1033"/>
      <c r="R565" s="1034" t="str">
        <f t="shared" si="123"/>
        <v/>
      </c>
      <c r="S565" s="1035"/>
      <c r="T565" s="1035"/>
      <c r="U565" s="1034" t="str">
        <f t="shared" si="124"/>
        <v/>
      </c>
      <c r="V565" s="1035"/>
      <c r="W565" s="1035"/>
      <c r="X565" s="1037" t="str">
        <f t="shared" si="125"/>
        <v>221</v>
      </c>
      <c r="Y565" s="1035">
        <v>22</v>
      </c>
      <c r="Z565" s="1035">
        <f t="shared" si="115"/>
        <v>1</v>
      </c>
      <c r="AA565" s="1035"/>
      <c r="AB565" s="1035"/>
      <c r="AC565" s="1021">
        <v>112015</v>
      </c>
      <c r="AD565" s="1021" t="s">
        <v>2113</v>
      </c>
      <c r="AE565" s="1022">
        <f>VLOOKUP(AC565,[5]Hoja1!$A$10:$K$1393,11,0)</f>
        <v>0</v>
      </c>
      <c r="AF565" s="1022"/>
      <c r="AG565" s="1022">
        <f t="shared" si="116"/>
        <v>0</v>
      </c>
      <c r="AH565" s="1022">
        <f t="shared" si="117"/>
        <v>0</v>
      </c>
      <c r="AK565" s="448"/>
      <c r="AL565" s="445"/>
    </row>
    <row r="566" spans="1:38" s="467" customFormat="1" ht="12.75" customHeight="1">
      <c r="A566" s="1033">
        <v>5112000</v>
      </c>
      <c r="B566" s="1033" t="s">
        <v>2725</v>
      </c>
      <c r="C566" s="1034" t="str">
        <f t="shared" si="118"/>
        <v/>
      </c>
      <c r="D566" s="1033"/>
      <c r="E566" s="1033"/>
      <c r="F566" s="1034" t="str">
        <f t="shared" si="119"/>
        <v/>
      </c>
      <c r="G566" s="1033"/>
      <c r="H566" s="1033"/>
      <c r="I566" s="1034" t="str">
        <f t="shared" si="120"/>
        <v/>
      </c>
      <c r="J566" s="1035"/>
      <c r="K566" s="1035"/>
      <c r="L566" s="1034" t="str">
        <f t="shared" si="121"/>
        <v/>
      </c>
      <c r="M566" s="1035"/>
      <c r="N566" s="1035"/>
      <c r="O566" s="1036" t="str">
        <f t="shared" si="122"/>
        <v/>
      </c>
      <c r="P566" s="1033"/>
      <c r="Q566" s="1033"/>
      <c r="R566" s="1034" t="str">
        <f t="shared" si="123"/>
        <v/>
      </c>
      <c r="S566" s="1035"/>
      <c r="T566" s="1035"/>
      <c r="U566" s="1034" t="str">
        <f t="shared" si="124"/>
        <v/>
      </c>
      <c r="V566" s="1035"/>
      <c r="W566" s="1035"/>
      <c r="X566" s="1037" t="str">
        <f t="shared" si="125"/>
        <v>221</v>
      </c>
      <c r="Y566" s="1035">
        <v>22</v>
      </c>
      <c r="Z566" s="1035">
        <f t="shared" si="115"/>
        <v>1</v>
      </c>
      <c r="AA566" s="1035"/>
      <c r="AB566" s="1035"/>
      <c r="AC566" s="1021">
        <v>112016</v>
      </c>
      <c r="AD566" s="1021" t="s">
        <v>2114</v>
      </c>
      <c r="AE566" s="1022">
        <f>VLOOKUP(AC566,[5]Hoja1!$A$10:$K$1393,11,0)</f>
        <v>0</v>
      </c>
      <c r="AF566" s="1022"/>
      <c r="AG566" s="1022">
        <f t="shared" si="116"/>
        <v>0</v>
      </c>
      <c r="AH566" s="1022">
        <f t="shared" si="117"/>
        <v>0</v>
      </c>
      <c r="AK566" s="448"/>
      <c r="AL566" s="445"/>
    </row>
    <row r="567" spans="1:38" s="467" customFormat="1" ht="12.75" customHeight="1">
      <c r="A567" s="1033">
        <v>5111000</v>
      </c>
      <c r="B567" s="1033" t="s">
        <v>2724</v>
      </c>
      <c r="C567" s="1034" t="str">
        <f t="shared" si="118"/>
        <v/>
      </c>
      <c r="D567" s="1033"/>
      <c r="E567" s="1033"/>
      <c r="F567" s="1034" t="str">
        <f t="shared" si="119"/>
        <v/>
      </c>
      <c r="G567" s="1033"/>
      <c r="H567" s="1033"/>
      <c r="I567" s="1034" t="str">
        <f t="shared" si="120"/>
        <v/>
      </c>
      <c r="J567" s="1033"/>
      <c r="K567" s="1033"/>
      <c r="L567" s="1034" t="str">
        <f t="shared" si="121"/>
        <v/>
      </c>
      <c r="M567" s="1035"/>
      <c r="N567" s="1035"/>
      <c r="O567" s="1036" t="str">
        <f t="shared" si="122"/>
        <v/>
      </c>
      <c r="P567" s="1033"/>
      <c r="Q567" s="1033"/>
      <c r="R567" s="1034" t="str">
        <f t="shared" si="123"/>
        <v/>
      </c>
      <c r="S567" s="1035"/>
      <c r="T567" s="1035"/>
      <c r="U567" s="1034" t="str">
        <f t="shared" si="124"/>
        <v/>
      </c>
      <c r="V567" s="1035"/>
      <c r="W567" s="1035"/>
      <c r="X567" s="1037" t="str">
        <f t="shared" si="125"/>
        <v>221</v>
      </c>
      <c r="Y567" s="1035">
        <v>22</v>
      </c>
      <c r="Z567" s="1035">
        <f t="shared" si="115"/>
        <v>1</v>
      </c>
      <c r="AA567" s="1035"/>
      <c r="AB567" s="1035"/>
      <c r="AC567" s="1021">
        <v>112017</v>
      </c>
      <c r="AD567" s="1021" t="s">
        <v>2115</v>
      </c>
      <c r="AE567" s="1022">
        <f>VLOOKUP(AC567,[5]Hoja1!$A$10:$K$1393,11,0)</f>
        <v>0</v>
      </c>
      <c r="AF567" s="1022"/>
      <c r="AG567" s="1022">
        <f t="shared" si="116"/>
        <v>0</v>
      </c>
      <c r="AH567" s="1022">
        <f t="shared" si="117"/>
        <v>0</v>
      </c>
      <c r="AK567" s="448"/>
      <c r="AL567" s="445"/>
    </row>
    <row r="568" spans="1:38" s="467" customFormat="1" ht="12.75" customHeight="1">
      <c r="A568" s="1033">
        <v>5113000</v>
      </c>
      <c r="B568" s="1033" t="s">
        <v>2726</v>
      </c>
      <c r="C568" s="1034" t="str">
        <f t="shared" si="118"/>
        <v/>
      </c>
      <c r="D568" s="1033"/>
      <c r="E568" s="1033"/>
      <c r="F568" s="1034" t="str">
        <f t="shared" si="119"/>
        <v/>
      </c>
      <c r="G568" s="1033"/>
      <c r="H568" s="1033"/>
      <c r="I568" s="1034" t="str">
        <f t="shared" si="120"/>
        <v/>
      </c>
      <c r="J568" s="1035"/>
      <c r="K568" s="1035"/>
      <c r="L568" s="1034" t="str">
        <f t="shared" si="121"/>
        <v/>
      </c>
      <c r="M568" s="1035"/>
      <c r="N568" s="1035"/>
      <c r="O568" s="1036" t="str">
        <f t="shared" si="122"/>
        <v/>
      </c>
      <c r="P568" s="1033"/>
      <c r="Q568" s="1033"/>
      <c r="R568" s="1034" t="str">
        <f t="shared" si="123"/>
        <v/>
      </c>
      <c r="S568" s="1035"/>
      <c r="T568" s="1035"/>
      <c r="U568" s="1034" t="str">
        <f t="shared" si="124"/>
        <v/>
      </c>
      <c r="V568" s="1035"/>
      <c r="W568" s="1035"/>
      <c r="X568" s="1037" t="str">
        <f t="shared" si="125"/>
        <v>221</v>
      </c>
      <c r="Y568" s="1035">
        <v>22</v>
      </c>
      <c r="Z568" s="1035">
        <f t="shared" si="115"/>
        <v>1</v>
      </c>
      <c r="AA568" s="1035"/>
      <c r="AB568" s="1035"/>
      <c r="AC568" s="1021">
        <v>112018</v>
      </c>
      <c r="AD568" s="1021" t="s">
        <v>2116</v>
      </c>
      <c r="AE568" s="1022">
        <f>VLOOKUP(AC568,[5]Hoja1!$A$10:$K$1393,11,0)</f>
        <v>0</v>
      </c>
      <c r="AF568" s="1022"/>
      <c r="AG568" s="1022">
        <f t="shared" si="116"/>
        <v>0</v>
      </c>
      <c r="AH568" s="1022">
        <f t="shared" si="117"/>
        <v>0</v>
      </c>
      <c r="AK568" s="448"/>
      <c r="AL568" s="445"/>
    </row>
    <row r="569" spans="1:38" s="467" customFormat="1" ht="12.75" customHeight="1">
      <c r="A569" s="1033"/>
      <c r="B569" s="1033"/>
      <c r="C569" s="1034" t="str">
        <f t="shared" si="118"/>
        <v/>
      </c>
      <c r="D569" s="1033"/>
      <c r="E569" s="1033"/>
      <c r="F569" s="1034" t="str">
        <f t="shared" si="119"/>
        <v/>
      </c>
      <c r="G569" s="1033"/>
      <c r="H569" s="1033"/>
      <c r="I569" s="1034" t="str">
        <f t="shared" si="120"/>
        <v/>
      </c>
      <c r="J569" s="1035"/>
      <c r="K569" s="1035"/>
      <c r="L569" s="1034" t="str">
        <f t="shared" si="121"/>
        <v/>
      </c>
      <c r="M569" s="1035"/>
      <c r="N569" s="1035"/>
      <c r="O569" s="1036" t="str">
        <f t="shared" si="122"/>
        <v/>
      </c>
      <c r="P569" s="1033"/>
      <c r="Q569" s="1033"/>
      <c r="R569" s="1034" t="str">
        <f t="shared" si="123"/>
        <v/>
      </c>
      <c r="S569" s="1035"/>
      <c r="T569" s="1035"/>
      <c r="U569" s="1034" t="str">
        <f t="shared" si="124"/>
        <v/>
      </c>
      <c r="V569" s="1035"/>
      <c r="W569" s="1035"/>
      <c r="X569" s="1037" t="str">
        <f t="shared" si="125"/>
        <v>221</v>
      </c>
      <c r="Y569" s="1035">
        <v>22</v>
      </c>
      <c r="Z569" s="1035">
        <f t="shared" si="115"/>
        <v>1</v>
      </c>
      <c r="AA569" s="1035"/>
      <c r="AB569" s="1035"/>
      <c r="AC569" s="1021">
        <v>112019</v>
      </c>
      <c r="AD569" s="1021" t="s">
        <v>2117</v>
      </c>
      <c r="AE569" s="1022">
        <f>VLOOKUP(AC569,[5]Hoja1!$A$10:$K$1393,11,0)</f>
        <v>0</v>
      </c>
      <c r="AF569" s="1022"/>
      <c r="AG569" s="1022">
        <f t="shared" si="116"/>
        <v>0</v>
      </c>
      <c r="AH569" s="1022">
        <f t="shared" si="117"/>
        <v>0</v>
      </c>
      <c r="AK569" s="448"/>
      <c r="AL569" s="445"/>
    </row>
    <row r="570" spans="1:38" s="467" customFormat="1" ht="12.75" customHeight="1">
      <c r="A570" s="1033">
        <v>5153500</v>
      </c>
      <c r="B570" s="1033" t="s">
        <v>1457</v>
      </c>
      <c r="C570" s="1034" t="str">
        <f>+D570&amp;E570</f>
        <v/>
      </c>
      <c r="D570" s="1033"/>
      <c r="E570" s="1033"/>
      <c r="F570" s="1034" t="str">
        <f>+G570&amp;H570</f>
        <v/>
      </c>
      <c r="G570" s="1033"/>
      <c r="H570" s="1033"/>
      <c r="I570" s="1034" t="str">
        <f>+J570&amp;K570</f>
        <v/>
      </c>
      <c r="J570" s="1035"/>
      <c r="K570" s="1035"/>
      <c r="L570" s="1034" t="str">
        <f>+M570&amp;N570</f>
        <v/>
      </c>
      <c r="M570" s="1035"/>
      <c r="N570" s="1035"/>
      <c r="O570" s="1036" t="str">
        <f>+P570&amp;Q570</f>
        <v/>
      </c>
      <c r="P570" s="1033"/>
      <c r="Q570" s="1033"/>
      <c r="R570" s="1034" t="str">
        <f>+S570&amp;T570</f>
        <v/>
      </c>
      <c r="S570" s="1035"/>
      <c r="T570" s="1035"/>
      <c r="U570" s="1034" t="str">
        <f>+V570&amp;W570</f>
        <v/>
      </c>
      <c r="V570" s="1035"/>
      <c r="W570" s="1035"/>
      <c r="X570" s="1037" t="str">
        <f t="shared" si="125"/>
        <v>221</v>
      </c>
      <c r="Y570" s="1035">
        <v>22</v>
      </c>
      <c r="Z570" s="1035">
        <f t="shared" si="115"/>
        <v>1</v>
      </c>
      <c r="AA570" s="1033" t="s">
        <v>2886</v>
      </c>
      <c r="AB570" s="1033" t="s">
        <v>2879</v>
      </c>
      <c r="AC570" s="1021">
        <v>112020</v>
      </c>
      <c r="AD570" s="1021" t="s">
        <v>2118</v>
      </c>
      <c r="AE570" s="1022">
        <f>VLOOKUP(AC570,[5]Hoja1!$A$10:$K$1393,11,0)</f>
        <v>1933390</v>
      </c>
      <c r="AF570" s="1022">
        <v>0</v>
      </c>
      <c r="AG570" s="1022">
        <f t="shared" si="116"/>
        <v>1933390</v>
      </c>
      <c r="AH570" s="1022">
        <f t="shared" si="117"/>
        <v>1933</v>
      </c>
      <c r="AK570" s="448"/>
      <c r="AL570" s="445"/>
    </row>
    <row r="571" spans="1:38" s="467" customFormat="1" ht="12.75" customHeight="1">
      <c r="A571" s="1033">
        <v>5153100</v>
      </c>
      <c r="B571" s="1033" t="s">
        <v>869</v>
      </c>
      <c r="C571" s="1034" t="str">
        <f t="shared" si="118"/>
        <v/>
      </c>
      <c r="D571" s="1033"/>
      <c r="E571" s="1033"/>
      <c r="F571" s="1034" t="str">
        <f t="shared" si="119"/>
        <v/>
      </c>
      <c r="G571" s="1033"/>
      <c r="H571" s="1033"/>
      <c r="I571" s="1034" t="str">
        <f t="shared" si="120"/>
        <v/>
      </c>
      <c r="J571" s="1035"/>
      <c r="K571" s="1035"/>
      <c r="L571" s="1034" t="str">
        <f t="shared" si="121"/>
        <v/>
      </c>
      <c r="M571" s="1035"/>
      <c r="N571" s="1035"/>
      <c r="O571" s="1036" t="str">
        <f t="shared" si="122"/>
        <v/>
      </c>
      <c r="P571" s="1033"/>
      <c r="Q571" s="1033"/>
      <c r="R571" s="1034" t="str">
        <f t="shared" si="123"/>
        <v/>
      </c>
      <c r="S571" s="1035"/>
      <c r="T571" s="1035"/>
      <c r="U571" s="1034" t="str">
        <f t="shared" si="124"/>
        <v/>
      </c>
      <c r="V571" s="1035"/>
      <c r="W571" s="1035"/>
      <c r="X571" s="1037" t="str">
        <f t="shared" si="125"/>
        <v>1</v>
      </c>
      <c r="Y571" s="1035"/>
      <c r="Z571" s="1035">
        <f t="shared" si="115"/>
        <v>1</v>
      </c>
      <c r="AA571" s="1035"/>
      <c r="AB571" s="1035"/>
      <c r="AC571" s="1021">
        <v>112021</v>
      </c>
      <c r="AD571" s="1021" t="s">
        <v>2119</v>
      </c>
      <c r="AE571" s="1022">
        <f>VLOOKUP(AC571,[5]Hoja1!$A$10:$K$1393,11,0)</f>
        <v>0</v>
      </c>
      <c r="AF571" s="1022"/>
      <c r="AG571" s="1022">
        <f t="shared" si="116"/>
        <v>0</v>
      </c>
      <c r="AH571" s="1022">
        <f t="shared" si="117"/>
        <v>0</v>
      </c>
      <c r="AK571" s="448"/>
      <c r="AL571" s="445"/>
    </row>
    <row r="572" spans="1:38" s="467" customFormat="1" ht="12.75" customHeight="1">
      <c r="A572" s="1033">
        <v>5113000</v>
      </c>
      <c r="B572" s="1033" t="s">
        <v>2726</v>
      </c>
      <c r="C572" s="1034" t="str">
        <f t="shared" si="118"/>
        <v/>
      </c>
      <c r="D572" s="1033"/>
      <c r="E572" s="1033"/>
      <c r="F572" s="1034" t="str">
        <f t="shared" si="119"/>
        <v/>
      </c>
      <c r="G572" s="1033"/>
      <c r="H572" s="1033"/>
      <c r="I572" s="1034" t="str">
        <f t="shared" si="120"/>
        <v/>
      </c>
      <c r="J572" s="1035"/>
      <c r="K572" s="1035"/>
      <c r="L572" s="1034" t="str">
        <f t="shared" si="121"/>
        <v/>
      </c>
      <c r="M572" s="1035"/>
      <c r="N572" s="1035"/>
      <c r="O572" s="1036" t="str">
        <f t="shared" si="122"/>
        <v/>
      </c>
      <c r="P572" s="1033"/>
      <c r="Q572" s="1033"/>
      <c r="R572" s="1034" t="str">
        <f t="shared" si="123"/>
        <v/>
      </c>
      <c r="S572" s="1035"/>
      <c r="T572" s="1035"/>
      <c r="U572" s="1034" t="str">
        <f t="shared" si="124"/>
        <v/>
      </c>
      <c r="V572" s="1035"/>
      <c r="W572" s="1035"/>
      <c r="X572" s="1037" t="str">
        <f t="shared" si="125"/>
        <v>131</v>
      </c>
      <c r="Y572" s="1035">
        <v>13</v>
      </c>
      <c r="Z572" s="1035">
        <f t="shared" si="115"/>
        <v>1</v>
      </c>
      <c r="AA572" s="1035"/>
      <c r="AB572" s="1035"/>
      <c r="AC572" s="1021">
        <v>112022</v>
      </c>
      <c r="AD572" s="1021" t="s">
        <v>2120</v>
      </c>
      <c r="AE572" s="1022">
        <f>VLOOKUP(AC572,[5]Hoja1!$A$10:$K$1393,11,0)</f>
        <v>594866664</v>
      </c>
      <c r="AF572" s="1022"/>
      <c r="AG572" s="1022">
        <f t="shared" si="116"/>
        <v>594866664</v>
      </c>
      <c r="AH572" s="1187">
        <f t="shared" si="117"/>
        <v>594867</v>
      </c>
      <c r="AK572" s="448"/>
      <c r="AL572" s="445"/>
    </row>
    <row r="573" spans="1:38" s="467" customFormat="1" ht="12.75" customHeight="1">
      <c r="A573" s="1033"/>
      <c r="B573" s="1033"/>
      <c r="C573" s="1034"/>
      <c r="D573" s="1033"/>
      <c r="E573" s="1033"/>
      <c r="F573" s="1034"/>
      <c r="G573" s="1033"/>
      <c r="H573" s="1033"/>
      <c r="I573" s="1034"/>
      <c r="J573" s="1035"/>
      <c r="K573" s="1035"/>
      <c r="L573" s="1034"/>
      <c r="M573" s="1035"/>
      <c r="N573" s="1035"/>
      <c r="O573" s="1036"/>
      <c r="P573" s="1033"/>
      <c r="Q573" s="1033"/>
      <c r="R573" s="1034"/>
      <c r="S573" s="1035"/>
      <c r="T573" s="1035"/>
      <c r="U573" s="1034"/>
      <c r="V573" s="1035"/>
      <c r="W573" s="1035"/>
      <c r="X573" s="1037"/>
      <c r="Y573" s="1035"/>
      <c r="Z573" s="1035">
        <f t="shared" si="115"/>
        <v>1</v>
      </c>
      <c r="AA573" s="1035"/>
      <c r="AB573" s="1035"/>
      <c r="AC573" s="1021">
        <v>112023</v>
      </c>
      <c r="AD573" s="1021" t="s">
        <v>2121</v>
      </c>
      <c r="AE573" s="1022">
        <v>0</v>
      </c>
      <c r="AF573" s="1022"/>
      <c r="AG573" s="1022">
        <f t="shared" si="116"/>
        <v>0</v>
      </c>
      <c r="AH573" s="1022">
        <f t="shared" si="117"/>
        <v>0</v>
      </c>
      <c r="AK573" s="448"/>
      <c r="AL573" s="445"/>
    </row>
    <row r="574" spans="1:38" s="467" customFormat="1" ht="12.75" customHeight="1">
      <c r="A574" s="1033"/>
      <c r="B574" s="1033"/>
      <c r="C574" s="1034"/>
      <c r="D574" s="1033"/>
      <c r="E574" s="1033"/>
      <c r="F574" s="1034"/>
      <c r="G574" s="1033"/>
      <c r="H574" s="1033"/>
      <c r="I574" s="1034"/>
      <c r="J574" s="1035"/>
      <c r="K574" s="1035"/>
      <c r="L574" s="1034"/>
      <c r="M574" s="1035"/>
      <c r="N574" s="1035"/>
      <c r="O574" s="1036"/>
      <c r="P574" s="1033"/>
      <c r="Q574" s="1033"/>
      <c r="R574" s="1034"/>
      <c r="S574" s="1035"/>
      <c r="T574" s="1035"/>
      <c r="U574" s="1034"/>
      <c r="V574" s="1035"/>
      <c r="W574" s="1035"/>
      <c r="X574" s="1037"/>
      <c r="Y574" s="1035"/>
      <c r="Z574" s="1035">
        <f t="shared" si="115"/>
        <v>1</v>
      </c>
      <c r="AA574" s="1035"/>
      <c r="AB574" s="1035"/>
      <c r="AC574" s="1021">
        <v>112024</v>
      </c>
      <c r="AD574" s="1021" t="s">
        <v>1251</v>
      </c>
      <c r="AE574" s="1022">
        <v>0</v>
      </c>
      <c r="AF574" s="1022"/>
      <c r="AG574" s="1022">
        <f t="shared" si="116"/>
        <v>0</v>
      </c>
      <c r="AH574" s="1022">
        <f t="shared" si="117"/>
        <v>0</v>
      </c>
      <c r="AK574" s="448"/>
      <c r="AL574" s="445"/>
    </row>
    <row r="575" spans="1:38" s="467" customFormat="1" ht="12.75" customHeight="1">
      <c r="A575" s="1033"/>
      <c r="B575" s="1033"/>
      <c r="C575" s="1034" t="str">
        <f>+D575&amp;E575</f>
        <v/>
      </c>
      <c r="D575" s="1033"/>
      <c r="E575" s="1033"/>
      <c r="F575" s="1034" t="str">
        <f>+G575&amp;H575</f>
        <v/>
      </c>
      <c r="G575" s="1033"/>
      <c r="H575" s="1033"/>
      <c r="I575" s="1034" t="str">
        <f>+J575&amp;K575</f>
        <v/>
      </c>
      <c r="J575" s="1035"/>
      <c r="K575" s="1035"/>
      <c r="L575" s="1034" t="str">
        <f>+M575&amp;N575</f>
        <v/>
      </c>
      <c r="M575" s="1035"/>
      <c r="N575" s="1035"/>
      <c r="O575" s="1036" t="str">
        <f>+P575&amp;Q575</f>
        <v/>
      </c>
      <c r="P575" s="1033"/>
      <c r="Q575" s="1033"/>
      <c r="R575" s="1034" t="str">
        <f>+S575&amp;T575</f>
        <v/>
      </c>
      <c r="S575" s="1035"/>
      <c r="T575" s="1035"/>
      <c r="U575" s="1034" t="str">
        <f>+V575&amp;W575</f>
        <v/>
      </c>
      <c r="V575" s="1035"/>
      <c r="W575" s="1035"/>
      <c r="X575" s="1037" t="str">
        <f>+Y575&amp;Z575</f>
        <v>1</v>
      </c>
      <c r="Y575" s="1035"/>
      <c r="Z575" s="1035">
        <f t="shared" si="115"/>
        <v>1</v>
      </c>
      <c r="AA575" s="1035"/>
      <c r="AB575" s="1035"/>
      <c r="AC575" s="1021">
        <v>112025</v>
      </c>
      <c r="AD575" s="1021" t="s">
        <v>2122</v>
      </c>
      <c r="AE575" s="1022">
        <v>0</v>
      </c>
      <c r="AF575" s="1022"/>
      <c r="AG575" s="1022">
        <f t="shared" si="116"/>
        <v>0</v>
      </c>
      <c r="AH575" s="1022">
        <f t="shared" si="117"/>
        <v>0</v>
      </c>
      <c r="AK575" s="448"/>
      <c r="AL575" s="445"/>
    </row>
    <row r="576" spans="1:38" s="467" customFormat="1" ht="12.75" customHeight="1">
      <c r="A576" s="1033"/>
      <c r="B576" s="1033"/>
      <c r="C576" s="1034" t="str">
        <f>+D576&amp;E576</f>
        <v/>
      </c>
      <c r="D576" s="1033"/>
      <c r="E576" s="1033"/>
      <c r="F576" s="1034" t="str">
        <f>+G576&amp;H576</f>
        <v/>
      </c>
      <c r="G576" s="1033"/>
      <c r="H576" s="1033"/>
      <c r="I576" s="1034" t="str">
        <f>+J576&amp;K576</f>
        <v/>
      </c>
      <c r="J576" s="1035"/>
      <c r="K576" s="1035"/>
      <c r="L576" s="1034" t="str">
        <f>+M576&amp;N576</f>
        <v/>
      </c>
      <c r="M576" s="1035"/>
      <c r="N576" s="1035"/>
      <c r="O576" s="1036" t="str">
        <f>+P576&amp;Q576</f>
        <v/>
      </c>
      <c r="P576" s="1033"/>
      <c r="Q576" s="1033"/>
      <c r="R576" s="1034" t="str">
        <f>+S576&amp;T576</f>
        <v/>
      </c>
      <c r="S576" s="1035"/>
      <c r="T576" s="1035"/>
      <c r="U576" s="1034" t="str">
        <f>+V576&amp;W576</f>
        <v/>
      </c>
      <c r="V576" s="1035"/>
      <c r="W576" s="1035"/>
      <c r="X576" s="1037" t="str">
        <f>+Y576&amp;Z576</f>
        <v>221</v>
      </c>
      <c r="Y576" s="1035">
        <v>22</v>
      </c>
      <c r="Z576" s="1035">
        <f t="shared" si="115"/>
        <v>1</v>
      </c>
      <c r="AA576" s="1035"/>
      <c r="AB576" s="1035"/>
      <c r="AC576" s="1021">
        <v>112026</v>
      </c>
      <c r="AD576" s="1021" t="s">
        <v>2123</v>
      </c>
      <c r="AE576" s="1022">
        <v>0</v>
      </c>
      <c r="AF576" s="1022"/>
      <c r="AG576" s="1022">
        <f t="shared" si="116"/>
        <v>0</v>
      </c>
      <c r="AH576" s="1022">
        <f t="shared" si="117"/>
        <v>0</v>
      </c>
      <c r="AI576" s="445"/>
      <c r="AK576" s="448"/>
      <c r="AL576" s="445"/>
    </row>
    <row r="577" spans="1:38" s="467" customFormat="1" ht="12.75" customHeight="1">
      <c r="A577" s="1033"/>
      <c r="B577" s="1033"/>
      <c r="C577" s="1034"/>
      <c r="D577" s="1033"/>
      <c r="E577" s="1033"/>
      <c r="F577" s="1034"/>
      <c r="G577" s="1033"/>
      <c r="H577" s="1033"/>
      <c r="I577" s="1034"/>
      <c r="J577" s="1035"/>
      <c r="K577" s="1035"/>
      <c r="L577" s="1034"/>
      <c r="M577" s="1035"/>
      <c r="N577" s="1035"/>
      <c r="O577" s="1036"/>
      <c r="P577" s="1033"/>
      <c r="Q577" s="1033"/>
      <c r="R577" s="1034"/>
      <c r="S577" s="1035"/>
      <c r="T577" s="1035"/>
      <c r="U577" s="1034"/>
      <c r="V577" s="1035"/>
      <c r="W577" s="1035"/>
      <c r="X577" s="1037"/>
      <c r="Y577" s="1035"/>
      <c r="Z577" s="1035">
        <f t="shared" si="115"/>
        <v>1</v>
      </c>
      <c r="AA577" s="1035"/>
      <c r="AB577" s="1035"/>
      <c r="AC577" s="1021">
        <v>112027</v>
      </c>
      <c r="AD577" s="1021" t="s">
        <v>2124</v>
      </c>
      <c r="AE577" s="1022">
        <v>0</v>
      </c>
      <c r="AF577" s="1022"/>
      <c r="AG577" s="1022">
        <f t="shared" si="116"/>
        <v>0</v>
      </c>
      <c r="AH577" s="1022">
        <f t="shared" si="117"/>
        <v>0</v>
      </c>
      <c r="AI577" s="445"/>
      <c r="AK577" s="448"/>
      <c r="AL577" s="445"/>
    </row>
    <row r="578" spans="1:38" s="467" customFormat="1" ht="12.75" customHeight="1">
      <c r="A578" s="1033"/>
      <c r="B578" s="1033"/>
      <c r="C578" s="1034"/>
      <c r="D578" s="1033"/>
      <c r="E578" s="1033"/>
      <c r="F578" s="1034"/>
      <c r="G578" s="1033"/>
      <c r="H578" s="1033"/>
      <c r="I578" s="1034"/>
      <c r="J578" s="1035"/>
      <c r="K578" s="1035"/>
      <c r="L578" s="1034"/>
      <c r="M578" s="1035"/>
      <c r="N578" s="1035"/>
      <c r="O578" s="1036"/>
      <c r="P578" s="1033"/>
      <c r="Q578" s="1033"/>
      <c r="R578" s="1034"/>
      <c r="S578" s="1035"/>
      <c r="T578" s="1035"/>
      <c r="U578" s="1034"/>
      <c r="V578" s="1035"/>
      <c r="W578" s="1035"/>
      <c r="X578" s="1037"/>
      <c r="Y578" s="1035"/>
      <c r="Z578" s="1035">
        <f t="shared" si="115"/>
        <v>1</v>
      </c>
      <c r="AA578" s="1035"/>
      <c r="AB578" s="1035"/>
      <c r="AC578" s="1021">
        <v>112028</v>
      </c>
      <c r="AD578" s="1021" t="s">
        <v>2125</v>
      </c>
      <c r="AE578" s="1022">
        <v>0</v>
      </c>
      <c r="AF578" s="1022"/>
      <c r="AG578" s="1022">
        <f t="shared" si="116"/>
        <v>0</v>
      </c>
      <c r="AH578" s="1022">
        <f t="shared" si="117"/>
        <v>0</v>
      </c>
      <c r="AI578" s="445"/>
      <c r="AK578" s="448"/>
      <c r="AL578" s="445"/>
    </row>
    <row r="579" spans="1:38" s="467" customFormat="1" ht="12.75" customHeight="1">
      <c r="A579" s="1033">
        <v>5153100</v>
      </c>
      <c r="B579" s="1033" t="s">
        <v>869</v>
      </c>
      <c r="C579" s="1034"/>
      <c r="D579" s="1033"/>
      <c r="E579" s="1033"/>
      <c r="F579" s="1034"/>
      <c r="G579" s="1033"/>
      <c r="H579" s="1033"/>
      <c r="I579" s="1034"/>
      <c r="J579" s="1035"/>
      <c r="K579" s="1035"/>
      <c r="L579" s="1034"/>
      <c r="M579" s="1035"/>
      <c r="N579" s="1035"/>
      <c r="O579" s="1036"/>
      <c r="P579" s="1033"/>
      <c r="Q579" s="1033"/>
      <c r="R579" s="1034"/>
      <c r="S579" s="1035"/>
      <c r="T579" s="1035"/>
      <c r="U579" s="1034"/>
      <c r="V579" s="1035"/>
      <c r="W579" s="1035"/>
      <c r="X579" s="1037"/>
      <c r="Y579" s="1035"/>
      <c r="Z579" s="1035">
        <f t="shared" si="115"/>
        <v>1</v>
      </c>
      <c r="AA579" s="1035"/>
      <c r="AB579" s="1035"/>
      <c r="AC579" s="1021">
        <v>112029</v>
      </c>
      <c r="AD579" s="1021" t="s">
        <v>1252</v>
      </c>
      <c r="AE579" s="1022">
        <f>VLOOKUP(AC579,[5]Hoja1!$A$10:$K$1393,11,0)</f>
        <v>2671042</v>
      </c>
      <c r="AF579" s="1022">
        <v>0</v>
      </c>
      <c r="AG579" s="1022">
        <f t="shared" si="116"/>
        <v>2671042</v>
      </c>
      <c r="AH579" s="1022">
        <f t="shared" si="117"/>
        <v>2671</v>
      </c>
      <c r="AI579" s="445"/>
      <c r="AK579" s="448"/>
      <c r="AL579" s="445"/>
    </row>
    <row r="580" spans="1:38" s="467" customFormat="1" ht="12.75" customHeight="1">
      <c r="A580" s="1033">
        <v>5112000</v>
      </c>
      <c r="B580" s="1033" t="s">
        <v>2725</v>
      </c>
      <c r="C580" s="1034" t="str">
        <f>+D580&amp;E580</f>
        <v/>
      </c>
      <c r="D580" s="1033"/>
      <c r="E580" s="1033"/>
      <c r="F580" s="1034" t="str">
        <f>+G580&amp;H580</f>
        <v/>
      </c>
      <c r="G580" s="1033"/>
      <c r="H580" s="1033"/>
      <c r="I580" s="1034" t="str">
        <f>+J580&amp;K580</f>
        <v/>
      </c>
      <c r="J580" s="1033"/>
      <c r="K580" s="1033"/>
      <c r="L580" s="1034" t="str">
        <f>+M580&amp;N580</f>
        <v/>
      </c>
      <c r="M580" s="1035"/>
      <c r="N580" s="1035"/>
      <c r="O580" s="1036" t="str">
        <f>+P580&amp;Q580</f>
        <v/>
      </c>
      <c r="P580" s="1033"/>
      <c r="Q580" s="1033"/>
      <c r="R580" s="1034" t="str">
        <f>+S580&amp;T580</f>
        <v/>
      </c>
      <c r="S580" s="1035"/>
      <c r="T580" s="1035"/>
      <c r="U580" s="1034" t="str">
        <f>+V580&amp;W580</f>
        <v/>
      </c>
      <c r="V580" s="1035"/>
      <c r="W580" s="1035"/>
      <c r="X580" s="1037" t="str">
        <f>+Y580&amp;Z580</f>
        <v>301</v>
      </c>
      <c r="Y580" s="1035">
        <v>30</v>
      </c>
      <c r="Z580" s="1035">
        <f t="shared" si="115"/>
        <v>1</v>
      </c>
      <c r="AA580" s="1035"/>
      <c r="AB580" s="1035"/>
      <c r="AC580" s="1021">
        <v>112030</v>
      </c>
      <c r="AD580" s="1021" t="s">
        <v>576</v>
      </c>
      <c r="AE580" s="1022">
        <f>VLOOKUP(AC580,[5]Hoja1!$A$10:$K$1393,11,0)</f>
        <v>0</v>
      </c>
      <c r="AF580" s="1022"/>
      <c r="AG580" s="1022">
        <f t="shared" si="116"/>
        <v>0</v>
      </c>
      <c r="AH580" s="1022">
        <f t="shared" si="117"/>
        <v>0</v>
      </c>
      <c r="AI580" s="445"/>
      <c r="AK580" s="448"/>
      <c r="AL580" s="445"/>
    </row>
    <row r="581" spans="1:38" s="467" customFormat="1" ht="12.75" customHeight="1">
      <c r="A581" s="1033">
        <v>5153500</v>
      </c>
      <c r="B581" s="1033" t="s">
        <v>1457</v>
      </c>
      <c r="C581" s="1034"/>
      <c r="D581" s="1033"/>
      <c r="E581" s="1033"/>
      <c r="F581" s="1034"/>
      <c r="G581" s="1033"/>
      <c r="H581" s="1033"/>
      <c r="I581" s="1034"/>
      <c r="J581" s="1035"/>
      <c r="K581" s="1035"/>
      <c r="L581" s="1034"/>
      <c r="M581" s="1035"/>
      <c r="N581" s="1035"/>
      <c r="O581" s="1036"/>
      <c r="P581" s="1033"/>
      <c r="Q581" s="1033"/>
      <c r="R581" s="1034"/>
      <c r="S581" s="1035"/>
      <c r="T581" s="1035"/>
      <c r="U581" s="1034"/>
      <c r="V581" s="1035"/>
      <c r="W581" s="1035"/>
      <c r="X581" s="1037"/>
      <c r="Y581" s="1035"/>
      <c r="Z581" s="1035">
        <f t="shared" si="115"/>
        <v>1</v>
      </c>
      <c r="AA581" s="1033" t="s">
        <v>2886</v>
      </c>
      <c r="AB581" s="1033" t="s">
        <v>2879</v>
      </c>
      <c r="AC581" s="1021">
        <v>112031</v>
      </c>
      <c r="AD581" s="1021" t="s">
        <v>577</v>
      </c>
      <c r="AE581" s="1022">
        <f>VLOOKUP(AC581,[5]Hoja1!$A$10:$K$1393,11,0)</f>
        <v>-2488255</v>
      </c>
      <c r="AF581" s="1022"/>
      <c r="AG581" s="1022">
        <f t="shared" si="116"/>
        <v>-2488255</v>
      </c>
      <c r="AH581" s="1022">
        <f t="shared" si="117"/>
        <v>-2488</v>
      </c>
      <c r="AI581" s="445"/>
      <c r="AK581" s="448"/>
      <c r="AL581" s="445"/>
    </row>
    <row r="582" spans="1:38" s="467" customFormat="1" ht="12.75" customHeight="1">
      <c r="A582" s="1033">
        <v>5113000</v>
      </c>
      <c r="B582" s="1033" t="s">
        <v>2726</v>
      </c>
      <c r="C582" s="1034"/>
      <c r="D582" s="1033"/>
      <c r="E582" s="1033"/>
      <c r="F582" s="1034"/>
      <c r="G582" s="1033"/>
      <c r="H582" s="1033"/>
      <c r="I582" s="1034"/>
      <c r="J582" s="1035"/>
      <c r="K582" s="1035"/>
      <c r="L582" s="1034"/>
      <c r="M582" s="1035"/>
      <c r="N582" s="1035"/>
      <c r="O582" s="1036"/>
      <c r="P582" s="1033"/>
      <c r="Q582" s="1033"/>
      <c r="R582" s="1034"/>
      <c r="S582" s="1035"/>
      <c r="T582" s="1035"/>
      <c r="U582" s="1034"/>
      <c r="V582" s="1035"/>
      <c r="W582" s="1035"/>
      <c r="X582" s="1037" t="str">
        <f>+Y582&amp;Z582</f>
        <v>221</v>
      </c>
      <c r="Y582" s="1035">
        <v>22</v>
      </c>
      <c r="Z582" s="1035">
        <f t="shared" si="115"/>
        <v>1</v>
      </c>
      <c r="AA582" s="1035"/>
      <c r="AB582" s="1035"/>
      <c r="AC582" s="1021">
        <v>112032</v>
      </c>
      <c r="AD582" s="1021" t="s">
        <v>1900</v>
      </c>
      <c r="AE582" s="1022">
        <f>VLOOKUP(AC582,[5]Hoja1!$A$10:$K$1393,11,0)</f>
        <v>0</v>
      </c>
      <c r="AF582" s="1022"/>
      <c r="AG582" s="1022">
        <f t="shared" si="116"/>
        <v>0</v>
      </c>
      <c r="AH582" s="1022">
        <f t="shared" si="117"/>
        <v>0</v>
      </c>
      <c r="AI582" s="445"/>
      <c r="AK582" s="448"/>
      <c r="AL582" s="445"/>
    </row>
    <row r="583" spans="1:38" s="467" customFormat="1" ht="12.75" customHeight="1">
      <c r="A583" s="1033">
        <v>5115000</v>
      </c>
      <c r="B583" s="1033" t="s">
        <v>2729</v>
      </c>
      <c r="C583" s="1034"/>
      <c r="D583" s="1033"/>
      <c r="E583" s="1033"/>
      <c r="F583" s="1034"/>
      <c r="G583" s="1033"/>
      <c r="H583" s="1033"/>
      <c r="I583" s="1034"/>
      <c r="J583" s="1035"/>
      <c r="K583" s="1035"/>
      <c r="L583" s="1034"/>
      <c r="M583" s="1035"/>
      <c r="N583" s="1035"/>
      <c r="O583" s="1036"/>
      <c r="P583" s="1033"/>
      <c r="Q583" s="1033"/>
      <c r="R583" s="1034"/>
      <c r="S583" s="1035"/>
      <c r="T583" s="1035"/>
      <c r="U583" s="1034"/>
      <c r="V583" s="1035"/>
      <c r="W583" s="1035"/>
      <c r="X583" s="1037"/>
      <c r="Y583" s="1035"/>
      <c r="Z583" s="1035">
        <f t="shared" si="115"/>
        <v>1</v>
      </c>
      <c r="AA583" s="1035"/>
      <c r="AB583" s="1035"/>
      <c r="AC583" s="1021">
        <v>112033</v>
      </c>
      <c r="AD583" s="1021" t="s">
        <v>2631</v>
      </c>
      <c r="AE583" s="1022">
        <f>VLOOKUP(AC583,[5]Hoja1!$A$10:$K$1393,11,0)</f>
        <v>579932737</v>
      </c>
      <c r="AF583" s="1022">
        <v>0</v>
      </c>
      <c r="AG583" s="1022">
        <f t="shared" si="116"/>
        <v>579932737</v>
      </c>
      <c r="AH583" s="1189">
        <f t="shared" si="117"/>
        <v>579933</v>
      </c>
      <c r="AI583" s="445"/>
      <c r="AK583" s="448"/>
      <c r="AL583" s="445"/>
    </row>
    <row r="584" spans="1:38" s="467" customFormat="1" ht="12.75" customHeight="1">
      <c r="A584" s="1033">
        <v>5153500</v>
      </c>
      <c r="B584" s="1033" t="s">
        <v>1457</v>
      </c>
      <c r="C584" s="1034"/>
      <c r="D584" s="1033"/>
      <c r="E584" s="1033"/>
      <c r="F584" s="1034"/>
      <c r="G584" s="1033"/>
      <c r="H584" s="1033"/>
      <c r="I584" s="1034"/>
      <c r="J584" s="1035"/>
      <c r="K584" s="1035"/>
      <c r="L584" s="1034"/>
      <c r="M584" s="1035"/>
      <c r="N584" s="1035"/>
      <c r="O584" s="1036"/>
      <c r="P584" s="1033"/>
      <c r="Q584" s="1033"/>
      <c r="R584" s="1034"/>
      <c r="S584" s="1035"/>
      <c r="T584" s="1035"/>
      <c r="U584" s="1034"/>
      <c r="V584" s="1035"/>
      <c r="W584" s="1035"/>
      <c r="X584" s="1037" t="str">
        <f>+Y584&amp;Z584</f>
        <v>221</v>
      </c>
      <c r="Y584" s="1035">
        <v>22</v>
      </c>
      <c r="Z584" s="1035">
        <f t="shared" si="115"/>
        <v>1</v>
      </c>
      <c r="AA584" s="1033" t="s">
        <v>2886</v>
      </c>
      <c r="AB584" s="1033" t="s">
        <v>2881</v>
      </c>
      <c r="AC584" s="1021">
        <v>112034</v>
      </c>
      <c r="AD584" s="1021" t="s">
        <v>2632</v>
      </c>
      <c r="AE584" s="1022">
        <f>VLOOKUP(AC584,[5]Hoja1!$A$10:$K$1393,11,0)</f>
        <v>747735</v>
      </c>
      <c r="AF584" s="1022">
        <v>0</v>
      </c>
      <c r="AG584" s="1022">
        <f t="shared" si="116"/>
        <v>747735</v>
      </c>
      <c r="AH584" s="1022">
        <f t="shared" si="117"/>
        <v>748</v>
      </c>
      <c r="AI584" s="445"/>
      <c r="AK584" s="448"/>
      <c r="AL584" s="445"/>
    </row>
    <row r="585" spans="1:38" s="467" customFormat="1" ht="12.75" customHeight="1">
      <c r="A585" s="1033">
        <v>5115000</v>
      </c>
      <c r="B585" s="1033" t="s">
        <v>2729</v>
      </c>
      <c r="C585" s="1034"/>
      <c r="D585" s="1033"/>
      <c r="E585" s="1033"/>
      <c r="F585" s="1034"/>
      <c r="G585" s="1033"/>
      <c r="H585" s="1033"/>
      <c r="I585" s="1034"/>
      <c r="J585" s="1035"/>
      <c r="K585" s="1035"/>
      <c r="L585" s="1034"/>
      <c r="M585" s="1035"/>
      <c r="N585" s="1035"/>
      <c r="O585" s="1036"/>
      <c r="P585" s="1033"/>
      <c r="Q585" s="1033"/>
      <c r="R585" s="1034"/>
      <c r="S585" s="1035"/>
      <c r="T585" s="1035"/>
      <c r="U585" s="1034"/>
      <c r="V585" s="1035"/>
      <c r="W585" s="1035"/>
      <c r="X585" s="1037"/>
      <c r="Y585" s="1035"/>
      <c r="Z585" s="1035">
        <f t="shared" si="115"/>
        <v>1</v>
      </c>
      <c r="AA585" s="1035"/>
      <c r="AB585" s="1035"/>
      <c r="AC585" s="1021">
        <v>112036</v>
      </c>
      <c r="AD585" s="1021" t="s">
        <v>2633</v>
      </c>
      <c r="AE585" s="1022">
        <f>VLOOKUP(AC585,[5]Hoja1!$A$10:$K$1393,11,0)</f>
        <v>225079811</v>
      </c>
      <c r="AF585" s="1022">
        <v>0</v>
      </c>
      <c r="AG585" s="1022">
        <f t="shared" si="116"/>
        <v>225079811</v>
      </c>
      <c r="AH585" s="1189">
        <f t="shared" si="117"/>
        <v>225080</v>
      </c>
      <c r="AI585" s="445"/>
      <c r="AK585" s="448"/>
      <c r="AL585" s="445"/>
    </row>
    <row r="586" spans="1:38" s="467" customFormat="1" ht="12.75" customHeight="1">
      <c r="A586" s="1033">
        <v>5121000</v>
      </c>
      <c r="B586" s="1033" t="s">
        <v>2734</v>
      </c>
      <c r="C586" s="1034" t="str">
        <f t="shared" ref="C586:C653" si="126">+D586&amp;E586</f>
        <v/>
      </c>
      <c r="D586" s="1033"/>
      <c r="E586" s="1033"/>
      <c r="F586" s="1034" t="str">
        <f t="shared" ref="F586:F653" si="127">+G586&amp;H586</f>
        <v/>
      </c>
      <c r="G586" s="1033"/>
      <c r="H586" s="1033"/>
      <c r="I586" s="1034" t="str">
        <f t="shared" ref="I586:I653" si="128">+J586&amp;K586</f>
        <v/>
      </c>
      <c r="J586" s="1035"/>
      <c r="K586" s="1035"/>
      <c r="L586" s="1034" t="str">
        <f t="shared" ref="L586:L653" si="129">+M586&amp;N586</f>
        <v/>
      </c>
      <c r="M586" s="1035"/>
      <c r="N586" s="1035"/>
      <c r="O586" s="1036" t="str">
        <f t="shared" ref="O586:O653" si="130">+P586&amp;Q586</f>
        <v/>
      </c>
      <c r="P586" s="1033"/>
      <c r="Q586" s="1033"/>
      <c r="R586" s="1034" t="str">
        <f t="shared" ref="R586:R653" si="131">+S586&amp;T586</f>
        <v/>
      </c>
      <c r="S586" s="1035"/>
      <c r="T586" s="1035"/>
      <c r="U586" s="1034" t="str">
        <f t="shared" ref="U586:U653" si="132">+V586&amp;W586</f>
        <v/>
      </c>
      <c r="V586" s="1035"/>
      <c r="W586" s="1035"/>
      <c r="X586" s="1037" t="str">
        <f>+Y586&amp;Z586</f>
        <v>221</v>
      </c>
      <c r="Y586" s="1035">
        <v>22</v>
      </c>
      <c r="Z586" s="1035">
        <f t="shared" si="115"/>
        <v>1</v>
      </c>
      <c r="AA586" s="1035"/>
      <c r="AB586" s="1035"/>
      <c r="AC586" s="1026">
        <v>113001</v>
      </c>
      <c r="AD586" s="1021" t="s">
        <v>1274</v>
      </c>
      <c r="AE586" s="1022">
        <f>VLOOKUP(AC586,[5]Hoja1!$A$10:$K$1393,11,0)</f>
        <v>46963664588</v>
      </c>
      <c r="AF586" s="1191">
        <f>-AF587</f>
        <v>-7848848802</v>
      </c>
      <c r="AG586" s="1022">
        <f t="shared" si="116"/>
        <v>39114815786</v>
      </c>
      <c r="AH586" s="1022">
        <f t="shared" si="117"/>
        <v>39114816</v>
      </c>
      <c r="AK586" s="448"/>
      <c r="AL586" s="445"/>
    </row>
    <row r="587" spans="1:38" s="467" customFormat="1" ht="12.75" customHeight="1">
      <c r="A587" s="1033">
        <v>5123100</v>
      </c>
      <c r="B587" s="1033" t="s">
        <v>2737</v>
      </c>
      <c r="C587" s="1034"/>
      <c r="D587" s="1033"/>
      <c r="E587" s="1033"/>
      <c r="F587" s="1034"/>
      <c r="G587" s="1033"/>
      <c r="H587" s="1033"/>
      <c r="I587" s="1034"/>
      <c r="J587" s="1035"/>
      <c r="K587" s="1035"/>
      <c r="L587" s="1034"/>
      <c r="M587" s="1035"/>
      <c r="N587" s="1035"/>
      <c r="O587" s="1036"/>
      <c r="P587" s="1033"/>
      <c r="Q587" s="1033"/>
      <c r="R587" s="1034"/>
      <c r="S587" s="1035"/>
      <c r="T587" s="1035"/>
      <c r="U587" s="1034"/>
      <c r="V587" s="1035"/>
      <c r="W587" s="1035"/>
      <c r="X587" s="1037"/>
      <c r="Y587" s="1035"/>
      <c r="Z587" s="1035">
        <f t="shared" si="115"/>
        <v>1</v>
      </c>
      <c r="AA587" s="1035"/>
      <c r="AB587" s="1035"/>
      <c r="AC587" s="1426">
        <v>113001</v>
      </c>
      <c r="AD587" s="1024" t="s">
        <v>2857</v>
      </c>
      <c r="AE587" s="1022">
        <v>0</v>
      </c>
      <c r="AF587" s="1191">
        <v>7848848802</v>
      </c>
      <c r="AG587" s="1022">
        <f t="shared" si="116"/>
        <v>7848848802</v>
      </c>
      <c r="AH587" s="1022">
        <f t="shared" si="117"/>
        <v>7848849</v>
      </c>
      <c r="AK587" s="448"/>
      <c r="AL587" s="445"/>
    </row>
    <row r="588" spans="1:38" s="467" customFormat="1" ht="12.75" customHeight="1">
      <c r="A588" s="1033">
        <v>5121000</v>
      </c>
      <c r="B588" s="1033" t="s">
        <v>2734</v>
      </c>
      <c r="C588" s="1034" t="str">
        <f t="shared" si="126"/>
        <v/>
      </c>
      <c r="D588" s="1033"/>
      <c r="E588" s="1033"/>
      <c r="F588" s="1034" t="str">
        <f t="shared" si="127"/>
        <v/>
      </c>
      <c r="G588" s="1033"/>
      <c r="H588" s="1033"/>
      <c r="I588" s="1034" t="str">
        <f t="shared" si="128"/>
        <v/>
      </c>
      <c r="J588" s="1035"/>
      <c r="K588" s="1035"/>
      <c r="L588" s="1034" t="str">
        <f t="shared" si="129"/>
        <v/>
      </c>
      <c r="M588" s="1035"/>
      <c r="N588" s="1035"/>
      <c r="O588" s="1036" t="str">
        <f t="shared" si="130"/>
        <v/>
      </c>
      <c r="P588" s="1033"/>
      <c r="Q588" s="1033"/>
      <c r="R588" s="1034" t="str">
        <f t="shared" si="131"/>
        <v/>
      </c>
      <c r="S588" s="1035"/>
      <c r="T588" s="1035"/>
      <c r="U588" s="1034" t="str">
        <f t="shared" si="132"/>
        <v/>
      </c>
      <c r="V588" s="1035"/>
      <c r="W588" s="1035"/>
      <c r="X588" s="1037" t="str">
        <f>+Y588&amp;Z588</f>
        <v>221</v>
      </c>
      <c r="Y588" s="1035">
        <v>22</v>
      </c>
      <c r="Z588" s="1035">
        <f t="shared" si="115"/>
        <v>1</v>
      </c>
      <c r="AA588" s="1035"/>
      <c r="AB588" s="1035"/>
      <c r="AC588" s="1026">
        <v>113002</v>
      </c>
      <c r="AD588" s="1021" t="s">
        <v>1275</v>
      </c>
      <c r="AE588" s="1022">
        <f>VLOOKUP(AC588,[5]Hoja1!$A$10:$K$1393,11,0)</f>
        <v>-5538672423</v>
      </c>
      <c r="AF588" s="1022"/>
      <c r="AG588" s="1022">
        <f t="shared" si="116"/>
        <v>-5538672423</v>
      </c>
      <c r="AH588" s="1022">
        <f t="shared" si="117"/>
        <v>-5538672</v>
      </c>
      <c r="AK588" s="448"/>
      <c r="AL588" s="445"/>
    </row>
    <row r="589" spans="1:38" s="467" customFormat="1" ht="12.75" customHeight="1">
      <c r="A589" s="1033">
        <v>5121000</v>
      </c>
      <c r="B589" s="1033" t="s">
        <v>2734</v>
      </c>
      <c r="C589" s="1034" t="str">
        <f t="shared" si="126"/>
        <v/>
      </c>
      <c r="D589" s="1033"/>
      <c r="E589" s="1033"/>
      <c r="F589" s="1034" t="str">
        <f t="shared" si="127"/>
        <v/>
      </c>
      <c r="G589" s="1033"/>
      <c r="H589" s="1033"/>
      <c r="I589" s="1034" t="str">
        <f t="shared" si="128"/>
        <v/>
      </c>
      <c r="J589" s="1035"/>
      <c r="K589" s="1035"/>
      <c r="L589" s="1034" t="str">
        <f t="shared" si="129"/>
        <v/>
      </c>
      <c r="M589" s="1035"/>
      <c r="N589" s="1035"/>
      <c r="O589" s="1036" t="str">
        <f t="shared" si="130"/>
        <v/>
      </c>
      <c r="P589" s="1033"/>
      <c r="Q589" s="1033"/>
      <c r="R589" s="1034" t="str">
        <f t="shared" si="131"/>
        <v/>
      </c>
      <c r="S589" s="1035"/>
      <c r="T589" s="1035"/>
      <c r="U589" s="1034" t="str">
        <f t="shared" si="132"/>
        <v/>
      </c>
      <c r="V589" s="1035"/>
      <c r="W589" s="1035"/>
      <c r="X589" s="1037" t="str">
        <f>+Y589&amp;Z589</f>
        <v>221</v>
      </c>
      <c r="Y589" s="1035">
        <v>22</v>
      </c>
      <c r="Z589" s="1035">
        <f t="shared" si="115"/>
        <v>1</v>
      </c>
      <c r="AA589" s="1035"/>
      <c r="AB589" s="1035"/>
      <c r="AC589" s="1026">
        <v>113003</v>
      </c>
      <c r="AD589" s="1021" t="s">
        <v>1403</v>
      </c>
      <c r="AE589" s="1022">
        <f>VLOOKUP(AC589,[5]Hoja1!$A$10:$K$1393,11,0)</f>
        <v>46616225840</v>
      </c>
      <c r="AF589" s="1191">
        <f>-AF590</f>
        <v>-1064995556</v>
      </c>
      <c r="AG589" s="1022">
        <f t="shared" si="116"/>
        <v>45551230284</v>
      </c>
      <c r="AH589" s="1022">
        <f t="shared" si="117"/>
        <v>45551230</v>
      </c>
      <c r="AK589" s="448"/>
      <c r="AL589" s="445"/>
    </row>
    <row r="590" spans="1:38" s="467" customFormat="1" ht="12.75" customHeight="1">
      <c r="A590" s="1033">
        <v>5123100</v>
      </c>
      <c r="B590" s="1033" t="s">
        <v>2737</v>
      </c>
      <c r="C590" s="1034"/>
      <c r="D590" s="1033"/>
      <c r="E590" s="1033"/>
      <c r="F590" s="1034"/>
      <c r="G590" s="1033"/>
      <c r="H590" s="1033"/>
      <c r="I590" s="1034"/>
      <c r="J590" s="1035"/>
      <c r="K590" s="1035"/>
      <c r="L590" s="1034"/>
      <c r="M590" s="1035"/>
      <c r="N590" s="1035"/>
      <c r="O590" s="1036"/>
      <c r="P590" s="1033"/>
      <c r="Q590" s="1033"/>
      <c r="R590" s="1034"/>
      <c r="S590" s="1035"/>
      <c r="T590" s="1035"/>
      <c r="U590" s="1034"/>
      <c r="V590" s="1035"/>
      <c r="W590" s="1035"/>
      <c r="X590" s="1037"/>
      <c r="Y590" s="1035"/>
      <c r="Z590" s="1035">
        <f t="shared" si="115"/>
        <v>1</v>
      </c>
      <c r="AA590" s="1035"/>
      <c r="AB590" s="1035"/>
      <c r="AC590" s="1426">
        <v>113003</v>
      </c>
      <c r="AD590" s="1024" t="s">
        <v>2858</v>
      </c>
      <c r="AE590" s="1022">
        <v>0</v>
      </c>
      <c r="AF590" s="1191">
        <v>1064995556</v>
      </c>
      <c r="AG590" s="1022">
        <f t="shared" si="116"/>
        <v>1064995556</v>
      </c>
      <c r="AH590" s="1022">
        <f t="shared" si="117"/>
        <v>1064996</v>
      </c>
      <c r="AK590" s="448"/>
      <c r="AL590" s="445"/>
    </row>
    <row r="591" spans="1:38" s="467" customFormat="1" ht="12.75" customHeight="1">
      <c r="A591" s="1033">
        <v>5123200</v>
      </c>
      <c r="B591" s="1033" t="s">
        <v>2738</v>
      </c>
      <c r="C591" s="1034" t="str">
        <f t="shared" si="126"/>
        <v/>
      </c>
      <c r="D591" s="1033"/>
      <c r="E591" s="1033"/>
      <c r="F591" s="1034" t="str">
        <f t="shared" si="127"/>
        <v/>
      </c>
      <c r="G591" s="1033"/>
      <c r="H591" s="1033"/>
      <c r="I591" s="1034" t="str">
        <f t="shared" si="128"/>
        <v/>
      </c>
      <c r="J591" s="1033"/>
      <c r="K591" s="1033"/>
      <c r="L591" s="1034" t="str">
        <f t="shared" si="129"/>
        <v/>
      </c>
      <c r="M591" s="1035"/>
      <c r="N591" s="1035"/>
      <c r="O591" s="1036" t="str">
        <f t="shared" si="130"/>
        <v/>
      </c>
      <c r="P591" s="1035"/>
      <c r="Q591" s="1033"/>
      <c r="R591" s="1034" t="str">
        <f t="shared" si="131"/>
        <v/>
      </c>
      <c r="S591" s="1035"/>
      <c r="T591" s="1035"/>
      <c r="U591" s="1034" t="str">
        <f t="shared" si="132"/>
        <v/>
      </c>
      <c r="V591" s="1035"/>
      <c r="W591" s="1035"/>
      <c r="X591" s="1037" t="str">
        <f>+Y591&amp;Z591</f>
        <v>221</v>
      </c>
      <c r="Y591" s="1035">
        <v>22</v>
      </c>
      <c r="Z591" s="1035">
        <f t="shared" si="115"/>
        <v>1</v>
      </c>
      <c r="AA591" s="1035"/>
      <c r="AB591" s="1035"/>
      <c r="AC591" s="1021">
        <v>113004</v>
      </c>
      <c r="AD591" s="1021" t="s">
        <v>426</v>
      </c>
      <c r="AE591" s="1022">
        <f>VLOOKUP(AC591,[5]Hoja1!$A$10:$K$1393,11,0)</f>
        <v>180856494</v>
      </c>
      <c r="AF591" s="1022"/>
      <c r="AG591" s="1022">
        <f t="shared" si="116"/>
        <v>180856494</v>
      </c>
      <c r="AH591" s="1022">
        <f t="shared" si="117"/>
        <v>180856</v>
      </c>
      <c r="AK591" s="448"/>
      <c r="AL591" s="445"/>
    </row>
    <row r="592" spans="1:38" s="467" customFormat="1" ht="12.75" customHeight="1">
      <c r="A592" s="1033">
        <v>5123200</v>
      </c>
      <c r="B592" s="1033" t="s">
        <v>2738</v>
      </c>
      <c r="C592" s="1034" t="str">
        <f t="shared" si="126"/>
        <v/>
      </c>
      <c r="D592" s="1033"/>
      <c r="E592" s="1033"/>
      <c r="F592" s="1034" t="str">
        <f t="shared" si="127"/>
        <v/>
      </c>
      <c r="G592" s="1033"/>
      <c r="H592" s="1033"/>
      <c r="I592" s="1034" t="str">
        <f t="shared" si="128"/>
        <v/>
      </c>
      <c r="J592" s="1033"/>
      <c r="K592" s="1033"/>
      <c r="L592" s="1034" t="str">
        <f t="shared" si="129"/>
        <v/>
      </c>
      <c r="M592" s="1035"/>
      <c r="N592" s="1035"/>
      <c r="O592" s="1036" t="str">
        <f t="shared" si="130"/>
        <v/>
      </c>
      <c r="P592" s="1035"/>
      <c r="Q592" s="1033"/>
      <c r="R592" s="1034" t="str">
        <f t="shared" si="131"/>
        <v/>
      </c>
      <c r="S592" s="1035"/>
      <c r="T592" s="1035"/>
      <c r="U592" s="1034" t="str">
        <f t="shared" si="132"/>
        <v/>
      </c>
      <c r="V592" s="1035"/>
      <c r="W592" s="1035"/>
      <c r="X592" s="1037" t="str">
        <f>+Y592&amp;Z592</f>
        <v>221</v>
      </c>
      <c r="Y592" s="1035">
        <v>22</v>
      </c>
      <c r="Z592" s="1035">
        <f t="shared" si="115"/>
        <v>1</v>
      </c>
      <c r="AA592" s="1035"/>
      <c r="AB592" s="1035"/>
      <c r="AC592" s="1021">
        <v>113005</v>
      </c>
      <c r="AD592" s="1021" t="s">
        <v>1276</v>
      </c>
      <c r="AE592" s="1022">
        <f>VLOOKUP(AC592,[5]Hoja1!$A$10:$K$1393,11,0)</f>
        <v>-22910411</v>
      </c>
      <c r="AF592" s="1022"/>
      <c r="AG592" s="1022">
        <f t="shared" si="116"/>
        <v>-22910411</v>
      </c>
      <c r="AH592" s="1022">
        <f t="shared" si="117"/>
        <v>-22910</v>
      </c>
      <c r="AK592" s="448"/>
      <c r="AL592" s="445"/>
    </row>
    <row r="593" spans="1:38" s="467" customFormat="1" ht="12.75" customHeight="1">
      <c r="A593" s="1033">
        <v>5123200</v>
      </c>
      <c r="B593" s="1033" t="s">
        <v>2738</v>
      </c>
      <c r="C593" s="1034" t="str">
        <f t="shared" si="126"/>
        <v/>
      </c>
      <c r="D593" s="1033"/>
      <c r="E593" s="1033"/>
      <c r="F593" s="1034" t="str">
        <f t="shared" si="127"/>
        <v/>
      </c>
      <c r="G593" s="1033"/>
      <c r="H593" s="1033"/>
      <c r="I593" s="1034" t="str">
        <f t="shared" si="128"/>
        <v/>
      </c>
      <c r="J593" s="1035"/>
      <c r="K593" s="1035"/>
      <c r="L593" s="1034" t="str">
        <f t="shared" si="129"/>
        <v/>
      </c>
      <c r="M593" s="1035"/>
      <c r="N593" s="1035"/>
      <c r="O593" s="1036" t="str">
        <f t="shared" si="130"/>
        <v/>
      </c>
      <c r="P593" s="1042"/>
      <c r="Q593" s="1042"/>
      <c r="R593" s="1034" t="str">
        <f t="shared" si="131"/>
        <v/>
      </c>
      <c r="S593" s="1035"/>
      <c r="T593" s="1035"/>
      <c r="U593" s="1034" t="str">
        <f t="shared" si="132"/>
        <v/>
      </c>
      <c r="V593" s="1035"/>
      <c r="W593" s="1035"/>
      <c r="X593" s="1037" t="str">
        <f>+Y593&amp;Z593</f>
        <v>221</v>
      </c>
      <c r="Y593" s="1035">
        <v>22</v>
      </c>
      <c r="Z593" s="1035">
        <f t="shared" si="115"/>
        <v>1</v>
      </c>
      <c r="AA593" s="1035"/>
      <c r="AB593" s="1035"/>
      <c r="AC593" s="1021">
        <v>113006</v>
      </c>
      <c r="AD593" s="1021" t="s">
        <v>1277</v>
      </c>
      <c r="AE593" s="1022">
        <f>VLOOKUP(AC593,[5]Hoja1!$A$10:$K$1393,11,0)</f>
        <v>496335239</v>
      </c>
      <c r="AF593" s="1022"/>
      <c r="AG593" s="1022">
        <f t="shared" si="116"/>
        <v>496335239</v>
      </c>
      <c r="AH593" s="1022">
        <f t="shared" si="117"/>
        <v>496335</v>
      </c>
      <c r="AK593" s="448"/>
      <c r="AL593" s="445"/>
    </row>
    <row r="594" spans="1:38" s="467" customFormat="1" ht="12.75" customHeight="1">
      <c r="A594" s="1033">
        <v>5123200</v>
      </c>
      <c r="B594" s="1033" t="s">
        <v>2738</v>
      </c>
      <c r="C594" s="1034" t="str">
        <f t="shared" si="126"/>
        <v/>
      </c>
      <c r="D594" s="1033"/>
      <c r="E594" s="1033"/>
      <c r="F594" s="1034" t="str">
        <f t="shared" si="127"/>
        <v/>
      </c>
      <c r="G594" s="1033"/>
      <c r="H594" s="1033"/>
      <c r="I594" s="1034" t="str">
        <f t="shared" si="128"/>
        <v/>
      </c>
      <c r="J594" s="1035"/>
      <c r="K594" s="1035"/>
      <c r="L594" s="1034" t="str">
        <f t="shared" si="129"/>
        <v/>
      </c>
      <c r="M594" s="1035"/>
      <c r="N594" s="1035"/>
      <c r="O594" s="1036" t="str">
        <f t="shared" si="130"/>
        <v/>
      </c>
      <c r="P594" s="1042"/>
      <c r="Q594" s="1042"/>
      <c r="R594" s="1034" t="str">
        <f t="shared" si="131"/>
        <v/>
      </c>
      <c r="S594" s="1035"/>
      <c r="T594" s="1035"/>
      <c r="U594" s="1034" t="str">
        <f t="shared" si="132"/>
        <v/>
      </c>
      <c r="V594" s="1035"/>
      <c r="W594" s="1035"/>
      <c r="X594" s="1037" t="str">
        <f>+Y594&amp;Z594</f>
        <v>21</v>
      </c>
      <c r="Y594" s="1035">
        <v>2</v>
      </c>
      <c r="Z594" s="1035">
        <f t="shared" si="115"/>
        <v>1</v>
      </c>
      <c r="AA594" s="1035"/>
      <c r="AB594" s="1035"/>
      <c r="AC594" s="1021">
        <v>113007</v>
      </c>
      <c r="AD594" s="1021" t="s">
        <v>2126</v>
      </c>
      <c r="AE594" s="1022">
        <f>VLOOKUP(AC594,[5]Hoja1!$A$10:$K$1393,11,0)</f>
        <v>-156578552</v>
      </c>
      <c r="AF594" s="1022"/>
      <c r="AG594" s="1022">
        <f t="shared" si="116"/>
        <v>-156578552</v>
      </c>
      <c r="AH594" s="1022">
        <f t="shared" si="117"/>
        <v>-156579</v>
      </c>
      <c r="AI594" s="445">
        <f>SUM(AH591:AH594)</f>
        <v>497702</v>
      </c>
      <c r="AK594" s="448"/>
      <c r="AL594" s="445"/>
    </row>
    <row r="595" spans="1:38" s="467" customFormat="1" ht="12.75" customHeight="1">
      <c r="A595" s="1033">
        <v>5151200</v>
      </c>
      <c r="B595" s="1033" t="s">
        <v>2763</v>
      </c>
      <c r="C595" s="1034" t="str">
        <f t="shared" si="126"/>
        <v/>
      </c>
      <c r="D595" s="1033"/>
      <c r="E595" s="1033"/>
      <c r="F595" s="1034" t="str">
        <f t="shared" si="127"/>
        <v/>
      </c>
      <c r="G595" s="1033"/>
      <c r="H595" s="1033"/>
      <c r="I595" s="1034" t="str">
        <f t="shared" si="128"/>
        <v/>
      </c>
      <c r="J595" s="1035"/>
      <c r="K595" s="1035"/>
      <c r="L595" s="1034" t="str">
        <f t="shared" si="129"/>
        <v/>
      </c>
      <c r="M595" s="1033"/>
      <c r="N595" s="1035"/>
      <c r="O595" s="1036" t="str">
        <f t="shared" si="130"/>
        <v/>
      </c>
      <c r="P595" s="1042"/>
      <c r="Q595" s="1042"/>
      <c r="R595" s="1034" t="str">
        <f t="shared" si="131"/>
        <v/>
      </c>
      <c r="S595" s="1035"/>
      <c r="T595" s="1035"/>
      <c r="U595" s="1034" t="str">
        <f t="shared" si="132"/>
        <v/>
      </c>
      <c r="V595" s="1035"/>
      <c r="W595" s="1035"/>
      <c r="X595" s="1037"/>
      <c r="Y595" s="1035"/>
      <c r="Z595" s="1035">
        <f t="shared" ref="Z595:Z659" si="133">VALUE(LEFT(AC595,1))</f>
        <v>1</v>
      </c>
      <c r="AA595" s="1033" t="s">
        <v>2915</v>
      </c>
      <c r="AB595" s="1033" t="s">
        <v>2910</v>
      </c>
      <c r="AC595" s="1021">
        <v>113008</v>
      </c>
      <c r="AD595" s="1021" t="s">
        <v>1278</v>
      </c>
      <c r="AE595" s="1022">
        <f>VLOOKUP(AC595,[5]Hoja1!$A$10:$K$1393,11,0)</f>
        <v>133977162</v>
      </c>
      <c r="AF595" s="1022"/>
      <c r="AG595" s="1022">
        <f t="shared" ref="AG595:AG659" si="134">AE595+AF595</f>
        <v>133977162</v>
      </c>
      <c r="AH595" s="1191">
        <f t="shared" ref="AH595:AH659" si="135">ROUND((AE595+AF595)/$AH$2,0)</f>
        <v>133977</v>
      </c>
      <c r="AI595" s="445">
        <f>+AH595+AH596</f>
        <v>50396</v>
      </c>
      <c r="AK595" s="448"/>
      <c r="AL595" s="445"/>
    </row>
    <row r="596" spans="1:38" s="467" customFormat="1" ht="12.75" customHeight="1">
      <c r="A596" s="1033">
        <v>5151200</v>
      </c>
      <c r="B596" s="1033" t="s">
        <v>2763</v>
      </c>
      <c r="C596" s="1034" t="str">
        <f t="shared" si="126"/>
        <v/>
      </c>
      <c r="D596" s="1033"/>
      <c r="E596" s="1033"/>
      <c r="F596" s="1034" t="str">
        <f t="shared" si="127"/>
        <v/>
      </c>
      <c r="G596" s="1033"/>
      <c r="H596" s="1033"/>
      <c r="I596" s="1034" t="str">
        <f t="shared" si="128"/>
        <v/>
      </c>
      <c r="J596" s="1035"/>
      <c r="K596" s="1035"/>
      <c r="L596" s="1034" t="str">
        <f t="shared" si="129"/>
        <v/>
      </c>
      <c r="M596" s="1033"/>
      <c r="N596" s="1035"/>
      <c r="O596" s="1036" t="str">
        <f t="shared" si="130"/>
        <v/>
      </c>
      <c r="P596" s="1042"/>
      <c r="Q596" s="1042"/>
      <c r="R596" s="1034" t="str">
        <f t="shared" si="131"/>
        <v/>
      </c>
      <c r="S596" s="1035"/>
      <c r="T596" s="1035"/>
      <c r="U596" s="1034" t="str">
        <f t="shared" si="132"/>
        <v/>
      </c>
      <c r="V596" s="1035"/>
      <c r="W596" s="1035"/>
      <c r="X596" s="1037"/>
      <c r="Y596" s="1035"/>
      <c r="Z596" s="1035">
        <f t="shared" si="133"/>
        <v>1</v>
      </c>
      <c r="AA596" s="1033" t="s">
        <v>2915</v>
      </c>
      <c r="AB596" s="1033" t="s">
        <v>2922</v>
      </c>
      <c r="AC596" s="1021">
        <v>113009</v>
      </c>
      <c r="AD596" s="1021" t="s">
        <v>2127</v>
      </c>
      <c r="AE596" s="1022">
        <f>VLOOKUP(AC596,[5]Hoja1!$A$10:$K$1393,11,0)</f>
        <v>-83581246</v>
      </c>
      <c r="AF596" s="1022"/>
      <c r="AG596" s="1022">
        <f t="shared" si="134"/>
        <v>-83581246</v>
      </c>
      <c r="AH596" s="1191">
        <f t="shared" si="135"/>
        <v>-83581</v>
      </c>
      <c r="AK596" s="448"/>
      <c r="AL596" s="445"/>
    </row>
    <row r="597" spans="1:38" s="467" customFormat="1" ht="12.75" customHeight="1">
      <c r="A597" s="1033">
        <v>5123200</v>
      </c>
      <c r="B597" s="1033" t="s">
        <v>2738</v>
      </c>
      <c r="C597" s="1034" t="str">
        <f t="shared" si="126"/>
        <v/>
      </c>
      <c r="D597" s="1033"/>
      <c r="E597" s="1033"/>
      <c r="F597" s="1034" t="str">
        <f t="shared" si="127"/>
        <v/>
      </c>
      <c r="G597" s="1033"/>
      <c r="H597" s="1033"/>
      <c r="I597" s="1034" t="str">
        <f t="shared" si="128"/>
        <v/>
      </c>
      <c r="J597" s="1035"/>
      <c r="K597" s="1035"/>
      <c r="L597" s="1034" t="str">
        <f t="shared" si="129"/>
        <v/>
      </c>
      <c r="M597" s="1035"/>
      <c r="N597" s="1035"/>
      <c r="O597" s="1036" t="str">
        <f t="shared" si="130"/>
        <v/>
      </c>
      <c r="P597" s="1042"/>
      <c r="Q597" s="1042"/>
      <c r="R597" s="1034" t="str">
        <f t="shared" si="131"/>
        <v/>
      </c>
      <c r="S597" s="1035"/>
      <c r="T597" s="1035"/>
      <c r="U597" s="1034" t="str">
        <f t="shared" si="132"/>
        <v/>
      </c>
      <c r="V597" s="1035"/>
      <c r="W597" s="1035"/>
      <c r="X597" s="1037" t="str">
        <f t="shared" ref="X597:X609" si="136">+Y597&amp;Z597</f>
        <v>221</v>
      </c>
      <c r="Y597" s="1035">
        <v>22</v>
      </c>
      <c r="Z597" s="1035">
        <f t="shared" si="133"/>
        <v>1</v>
      </c>
      <c r="AA597" s="1035"/>
      <c r="AB597" s="1035"/>
      <c r="AC597" s="1021">
        <v>113010</v>
      </c>
      <c r="AD597" s="1021" t="s">
        <v>427</v>
      </c>
      <c r="AE597" s="1022">
        <f>VLOOKUP(AC597,[5]Hoja1!$A$10:$K$1393,11,0)</f>
        <v>14597808</v>
      </c>
      <c r="AF597" s="1022"/>
      <c r="AG597" s="1022">
        <f t="shared" si="134"/>
        <v>14597808</v>
      </c>
      <c r="AH597" s="1022">
        <f t="shared" si="135"/>
        <v>14598</v>
      </c>
      <c r="AJ597" s="445"/>
      <c r="AK597" s="448"/>
      <c r="AL597" s="445"/>
    </row>
    <row r="598" spans="1:38" s="467" customFormat="1" ht="12.75" customHeight="1">
      <c r="A598" s="1033">
        <v>5123200</v>
      </c>
      <c r="B598" s="1033" t="s">
        <v>2738</v>
      </c>
      <c r="C598" s="1034" t="str">
        <f t="shared" si="126"/>
        <v/>
      </c>
      <c r="D598" s="1033"/>
      <c r="E598" s="1033"/>
      <c r="F598" s="1034" t="str">
        <f t="shared" si="127"/>
        <v/>
      </c>
      <c r="G598" s="1033"/>
      <c r="H598" s="1033"/>
      <c r="I598" s="1034" t="str">
        <f t="shared" si="128"/>
        <v/>
      </c>
      <c r="J598" s="1035"/>
      <c r="K598" s="1035"/>
      <c r="L598" s="1034" t="str">
        <f t="shared" si="129"/>
        <v/>
      </c>
      <c r="M598" s="1035"/>
      <c r="N598" s="1035"/>
      <c r="O598" s="1036" t="str">
        <f t="shared" si="130"/>
        <v/>
      </c>
      <c r="P598" s="1042"/>
      <c r="Q598" s="1042"/>
      <c r="R598" s="1034" t="str">
        <f t="shared" si="131"/>
        <v/>
      </c>
      <c r="S598" s="1035"/>
      <c r="T598" s="1035"/>
      <c r="U598" s="1034" t="str">
        <f t="shared" si="132"/>
        <v/>
      </c>
      <c r="V598" s="1035"/>
      <c r="W598" s="1035"/>
      <c r="X598" s="1037" t="str">
        <f t="shared" si="136"/>
        <v>221</v>
      </c>
      <c r="Y598" s="1035">
        <v>22</v>
      </c>
      <c r="Z598" s="1035">
        <f t="shared" si="133"/>
        <v>1</v>
      </c>
      <c r="AA598" s="1035"/>
      <c r="AB598" s="1035"/>
      <c r="AC598" s="1021">
        <v>113011</v>
      </c>
      <c r="AD598" s="1021" t="s">
        <v>218</v>
      </c>
      <c r="AE598" s="1022">
        <f>VLOOKUP(AC598,[5]Hoja1!$A$10:$K$1393,11,0)</f>
        <v>-1818467</v>
      </c>
      <c r="AF598" s="1022"/>
      <c r="AG598" s="1022">
        <f t="shared" si="134"/>
        <v>-1818467</v>
      </c>
      <c r="AH598" s="1022">
        <f t="shared" si="135"/>
        <v>-1818</v>
      </c>
      <c r="AK598" s="448"/>
      <c r="AL598" s="445"/>
    </row>
    <row r="599" spans="1:38" s="467" customFormat="1" ht="12.75" customHeight="1">
      <c r="A599" s="1033">
        <v>5123200</v>
      </c>
      <c r="B599" s="1033" t="s">
        <v>2738</v>
      </c>
      <c r="C599" s="1034" t="str">
        <f t="shared" si="126"/>
        <v/>
      </c>
      <c r="D599" s="1033"/>
      <c r="E599" s="1033"/>
      <c r="F599" s="1034" t="str">
        <f t="shared" si="127"/>
        <v/>
      </c>
      <c r="G599" s="1033"/>
      <c r="H599" s="1033"/>
      <c r="I599" s="1034" t="str">
        <f t="shared" si="128"/>
        <v/>
      </c>
      <c r="J599" s="1035"/>
      <c r="K599" s="1035"/>
      <c r="L599" s="1034" t="str">
        <f t="shared" si="129"/>
        <v/>
      </c>
      <c r="M599" s="1033"/>
      <c r="N599" s="1035"/>
      <c r="O599" s="1036" t="str">
        <f t="shared" si="130"/>
        <v/>
      </c>
      <c r="P599" s="1042"/>
      <c r="Q599" s="1042"/>
      <c r="R599" s="1034" t="str">
        <f t="shared" si="131"/>
        <v/>
      </c>
      <c r="S599" s="1035"/>
      <c r="T599" s="1035"/>
      <c r="U599" s="1034" t="str">
        <f t="shared" si="132"/>
        <v/>
      </c>
      <c r="V599" s="1035"/>
      <c r="W599" s="1035"/>
      <c r="X599" s="1037" t="str">
        <f t="shared" si="136"/>
        <v>221</v>
      </c>
      <c r="Y599" s="1035">
        <v>22</v>
      </c>
      <c r="Z599" s="1035">
        <f t="shared" si="133"/>
        <v>1</v>
      </c>
      <c r="AA599" s="1035"/>
      <c r="AB599" s="1035"/>
      <c r="AC599" s="1021">
        <v>113012</v>
      </c>
      <c r="AD599" s="1021" t="s">
        <v>428</v>
      </c>
      <c r="AE599" s="1022">
        <f>VLOOKUP(AC599,[5]Hoja1!$A$10:$K$1393,11,0)</f>
        <v>0</v>
      </c>
      <c r="AF599" s="1022"/>
      <c r="AG599" s="1022">
        <f t="shared" si="134"/>
        <v>0</v>
      </c>
      <c r="AH599" s="1022">
        <f t="shared" si="135"/>
        <v>0</v>
      </c>
      <c r="AK599" s="448"/>
      <c r="AL599" s="445"/>
    </row>
    <row r="600" spans="1:38" s="467" customFormat="1" ht="12.75" customHeight="1">
      <c r="A600" s="1033">
        <v>5123200</v>
      </c>
      <c r="B600" s="1033" t="s">
        <v>2738</v>
      </c>
      <c r="C600" s="1034" t="str">
        <f t="shared" si="126"/>
        <v/>
      </c>
      <c r="D600" s="1033"/>
      <c r="E600" s="1033"/>
      <c r="F600" s="1034" t="str">
        <f t="shared" si="127"/>
        <v/>
      </c>
      <c r="G600" s="1033"/>
      <c r="H600" s="1033"/>
      <c r="I600" s="1034" t="str">
        <f t="shared" si="128"/>
        <v/>
      </c>
      <c r="J600" s="1035"/>
      <c r="K600" s="1035"/>
      <c r="L600" s="1034" t="str">
        <f t="shared" si="129"/>
        <v/>
      </c>
      <c r="M600" s="1033"/>
      <c r="N600" s="1035"/>
      <c r="O600" s="1036" t="str">
        <f t="shared" si="130"/>
        <v/>
      </c>
      <c r="P600" s="1042"/>
      <c r="Q600" s="1042"/>
      <c r="R600" s="1034" t="str">
        <f t="shared" si="131"/>
        <v/>
      </c>
      <c r="S600" s="1035"/>
      <c r="T600" s="1035"/>
      <c r="U600" s="1034" t="str">
        <f t="shared" si="132"/>
        <v/>
      </c>
      <c r="V600" s="1035"/>
      <c r="W600" s="1035"/>
      <c r="X600" s="1037" t="str">
        <f t="shared" si="136"/>
        <v>221</v>
      </c>
      <c r="Y600" s="1035">
        <v>22</v>
      </c>
      <c r="Z600" s="1035">
        <f t="shared" si="133"/>
        <v>1</v>
      </c>
      <c r="AA600" s="1035"/>
      <c r="AB600" s="1035"/>
      <c r="AC600" s="1021">
        <v>113013</v>
      </c>
      <c r="AD600" s="1021" t="s">
        <v>2128</v>
      </c>
      <c r="AE600" s="1022">
        <f>VLOOKUP(AC600,[5]Hoja1!$A$10:$K$1393,11,0)</f>
        <v>0</v>
      </c>
      <c r="AF600" s="1022"/>
      <c r="AG600" s="1022">
        <f t="shared" si="134"/>
        <v>0</v>
      </c>
      <c r="AH600" s="1022">
        <f t="shared" si="135"/>
        <v>0</v>
      </c>
      <c r="AK600" s="448"/>
      <c r="AL600" s="445"/>
    </row>
    <row r="601" spans="1:38" s="467" customFormat="1" ht="12.75" customHeight="1">
      <c r="A601" s="1033">
        <v>5123200</v>
      </c>
      <c r="B601" s="1033" t="s">
        <v>2738</v>
      </c>
      <c r="C601" s="1034" t="str">
        <f t="shared" si="126"/>
        <v/>
      </c>
      <c r="D601" s="1033"/>
      <c r="E601" s="1033"/>
      <c r="F601" s="1034" t="str">
        <f t="shared" si="127"/>
        <v/>
      </c>
      <c r="G601" s="1033"/>
      <c r="H601" s="1033"/>
      <c r="I601" s="1034" t="str">
        <f t="shared" si="128"/>
        <v/>
      </c>
      <c r="J601" s="1035"/>
      <c r="K601" s="1035"/>
      <c r="L601" s="1034" t="str">
        <f t="shared" si="129"/>
        <v/>
      </c>
      <c r="M601" s="1033"/>
      <c r="N601" s="1035"/>
      <c r="O601" s="1036" t="str">
        <f t="shared" si="130"/>
        <v/>
      </c>
      <c r="P601" s="1042"/>
      <c r="Q601" s="1042"/>
      <c r="R601" s="1034" t="str">
        <f t="shared" si="131"/>
        <v/>
      </c>
      <c r="S601" s="1035"/>
      <c r="T601" s="1035"/>
      <c r="U601" s="1034" t="str">
        <f t="shared" si="132"/>
        <v/>
      </c>
      <c r="V601" s="1035"/>
      <c r="W601" s="1035"/>
      <c r="X601" s="1037" t="str">
        <f t="shared" si="136"/>
        <v>221</v>
      </c>
      <c r="Y601" s="1035">
        <v>22</v>
      </c>
      <c r="Z601" s="1035">
        <f t="shared" si="133"/>
        <v>1</v>
      </c>
      <c r="AA601" s="1035"/>
      <c r="AB601" s="1035"/>
      <c r="AC601" s="1021">
        <v>113014</v>
      </c>
      <c r="AD601" s="1021" t="s">
        <v>264</v>
      </c>
      <c r="AE601" s="1022">
        <f>VLOOKUP(AC601,[5]Hoja1!$A$10:$K$1393,11,0)</f>
        <v>0</v>
      </c>
      <c r="AF601" s="1022"/>
      <c r="AG601" s="1022">
        <f t="shared" si="134"/>
        <v>0</v>
      </c>
      <c r="AH601" s="1022">
        <f t="shared" si="135"/>
        <v>0</v>
      </c>
      <c r="AK601" s="448"/>
      <c r="AL601" s="445"/>
    </row>
    <row r="602" spans="1:38" s="467" customFormat="1" ht="12.75" customHeight="1">
      <c r="A602" s="1033">
        <v>5123200</v>
      </c>
      <c r="B602" s="1033" t="s">
        <v>2738</v>
      </c>
      <c r="C602" s="1034" t="str">
        <f t="shared" si="126"/>
        <v/>
      </c>
      <c r="D602" s="1033"/>
      <c r="E602" s="1033"/>
      <c r="F602" s="1034" t="str">
        <f t="shared" si="127"/>
        <v/>
      </c>
      <c r="G602" s="1033"/>
      <c r="H602" s="1033"/>
      <c r="I602" s="1034" t="str">
        <f t="shared" si="128"/>
        <v/>
      </c>
      <c r="J602" s="1035"/>
      <c r="K602" s="1035"/>
      <c r="L602" s="1034" t="str">
        <f t="shared" si="129"/>
        <v/>
      </c>
      <c r="M602" s="1033"/>
      <c r="N602" s="1035"/>
      <c r="O602" s="1036" t="str">
        <f t="shared" si="130"/>
        <v/>
      </c>
      <c r="P602" s="1042"/>
      <c r="Q602" s="1042"/>
      <c r="R602" s="1034" t="str">
        <f t="shared" si="131"/>
        <v/>
      </c>
      <c r="S602" s="1035"/>
      <c r="T602" s="1035"/>
      <c r="U602" s="1034" t="str">
        <f t="shared" si="132"/>
        <v/>
      </c>
      <c r="V602" s="1035"/>
      <c r="W602" s="1035"/>
      <c r="X602" s="1037" t="str">
        <f t="shared" si="136"/>
        <v>221</v>
      </c>
      <c r="Y602" s="1035">
        <v>22</v>
      </c>
      <c r="Z602" s="1035">
        <f t="shared" si="133"/>
        <v>1</v>
      </c>
      <c r="AA602" s="1035"/>
      <c r="AB602" s="1035"/>
      <c r="AC602" s="1021">
        <v>113015</v>
      </c>
      <c r="AD602" s="1021" t="s">
        <v>2129</v>
      </c>
      <c r="AE602" s="1022">
        <f>VLOOKUP(AC602,[5]Hoja1!$A$10:$K$1393,11,0)</f>
        <v>0</v>
      </c>
      <c r="AF602" s="1022"/>
      <c r="AG602" s="1022">
        <f t="shared" si="134"/>
        <v>0</v>
      </c>
      <c r="AH602" s="1022">
        <f t="shared" si="135"/>
        <v>0</v>
      </c>
      <c r="AK602" s="448"/>
      <c r="AL602" s="445"/>
    </row>
    <row r="603" spans="1:38" s="467" customFormat="1" ht="12.75" customHeight="1">
      <c r="A603" s="1033">
        <v>5153500</v>
      </c>
      <c r="B603" s="1033" t="s">
        <v>1457</v>
      </c>
      <c r="C603" s="1034" t="str">
        <f t="shared" si="126"/>
        <v/>
      </c>
      <c r="D603" s="1033"/>
      <c r="E603" s="1033"/>
      <c r="F603" s="1034" t="str">
        <f t="shared" si="127"/>
        <v/>
      </c>
      <c r="G603" s="1033"/>
      <c r="H603" s="1033"/>
      <c r="I603" s="1034" t="str">
        <f t="shared" si="128"/>
        <v/>
      </c>
      <c r="J603" s="1035"/>
      <c r="K603" s="1035"/>
      <c r="L603" s="1034" t="str">
        <f t="shared" si="129"/>
        <v/>
      </c>
      <c r="M603" s="1033"/>
      <c r="N603" s="1035"/>
      <c r="O603" s="1036" t="str">
        <f t="shared" si="130"/>
        <v/>
      </c>
      <c r="P603" s="1042"/>
      <c r="Q603" s="1042"/>
      <c r="R603" s="1034" t="str">
        <f t="shared" si="131"/>
        <v/>
      </c>
      <c r="S603" s="1035"/>
      <c r="T603" s="1035"/>
      <c r="U603" s="1034" t="str">
        <f t="shared" si="132"/>
        <v/>
      </c>
      <c r="V603" s="1035"/>
      <c r="W603" s="1035"/>
      <c r="X603" s="1037" t="str">
        <f t="shared" si="136"/>
        <v>221</v>
      </c>
      <c r="Y603" s="1035">
        <v>22</v>
      </c>
      <c r="Z603" s="1035">
        <f t="shared" si="133"/>
        <v>1</v>
      </c>
      <c r="AA603" s="1033" t="s">
        <v>2886</v>
      </c>
      <c r="AB603" s="1033" t="s">
        <v>2879</v>
      </c>
      <c r="AC603" s="1021">
        <v>113016</v>
      </c>
      <c r="AD603" s="1021" t="s">
        <v>219</v>
      </c>
      <c r="AE603" s="1022">
        <f>VLOOKUP(AC603,[5]Hoja1!$A$10:$K$1393,11,0)</f>
        <v>48969628</v>
      </c>
      <c r="AF603" s="1022"/>
      <c r="AG603" s="1022">
        <f t="shared" si="134"/>
        <v>48969628</v>
      </c>
      <c r="AH603" s="1022">
        <f t="shared" si="135"/>
        <v>48970</v>
      </c>
      <c r="AK603" s="448"/>
      <c r="AL603" s="445"/>
    </row>
    <row r="604" spans="1:38" s="467" customFormat="1" ht="12.75" customHeight="1">
      <c r="A604" s="1033">
        <v>5151200</v>
      </c>
      <c r="B604" s="1033" t="s">
        <v>2763</v>
      </c>
      <c r="C604" s="1034" t="str">
        <f t="shared" si="126"/>
        <v/>
      </c>
      <c r="D604" s="1033"/>
      <c r="E604" s="1033"/>
      <c r="F604" s="1034" t="str">
        <f t="shared" si="127"/>
        <v/>
      </c>
      <c r="G604" s="1033"/>
      <c r="H604" s="1033"/>
      <c r="I604" s="1034" t="str">
        <f t="shared" si="128"/>
        <v/>
      </c>
      <c r="J604" s="1035"/>
      <c r="K604" s="1035"/>
      <c r="L604" s="1034" t="str">
        <f t="shared" si="129"/>
        <v/>
      </c>
      <c r="M604" s="1033"/>
      <c r="N604" s="1035"/>
      <c r="O604" s="1036" t="str">
        <f t="shared" si="130"/>
        <v/>
      </c>
      <c r="P604" s="1042"/>
      <c r="Q604" s="1042"/>
      <c r="R604" s="1034" t="str">
        <f t="shared" si="131"/>
        <v/>
      </c>
      <c r="S604" s="1035"/>
      <c r="T604" s="1035"/>
      <c r="U604" s="1034" t="str">
        <f t="shared" si="132"/>
        <v/>
      </c>
      <c r="V604" s="1035"/>
      <c r="W604" s="1035"/>
      <c r="X604" s="1037" t="str">
        <f t="shared" si="136"/>
        <v>221</v>
      </c>
      <c r="Y604" s="1035">
        <v>22</v>
      </c>
      <c r="Z604" s="1035">
        <f t="shared" si="133"/>
        <v>1</v>
      </c>
      <c r="AA604" s="1035"/>
      <c r="AB604" s="1035"/>
      <c r="AC604" s="1021">
        <v>113017</v>
      </c>
      <c r="AD604" s="1021" t="s">
        <v>1347</v>
      </c>
      <c r="AE604" s="1022">
        <f>VLOOKUP(AC604,[5]Hoja1!$A$10:$K$1393,11,0)</f>
        <v>0</v>
      </c>
      <c r="AF604" s="1027"/>
      <c r="AG604" s="1022">
        <f t="shared" si="134"/>
        <v>0</v>
      </c>
      <c r="AH604" s="1022">
        <f t="shared" si="135"/>
        <v>0</v>
      </c>
      <c r="AK604" s="448"/>
      <c r="AL604" s="445"/>
    </row>
    <row r="605" spans="1:38" s="467" customFormat="1" ht="12.75" customHeight="1">
      <c r="A605" s="1033">
        <v>5121000</v>
      </c>
      <c r="B605" s="1033" t="s">
        <v>2734</v>
      </c>
      <c r="C605" s="1034" t="str">
        <f t="shared" si="126"/>
        <v/>
      </c>
      <c r="D605" s="1033"/>
      <c r="E605" s="1033"/>
      <c r="F605" s="1034" t="str">
        <f t="shared" si="127"/>
        <v/>
      </c>
      <c r="G605" s="1033"/>
      <c r="H605" s="1033"/>
      <c r="I605" s="1034" t="str">
        <f t="shared" si="128"/>
        <v/>
      </c>
      <c r="J605" s="1035"/>
      <c r="K605" s="1035"/>
      <c r="L605" s="1034" t="str">
        <f t="shared" si="129"/>
        <v/>
      </c>
      <c r="M605" s="1033"/>
      <c r="N605" s="1035"/>
      <c r="O605" s="1036" t="str">
        <f t="shared" si="130"/>
        <v/>
      </c>
      <c r="P605" s="1042"/>
      <c r="Q605" s="1042"/>
      <c r="R605" s="1034" t="str">
        <f t="shared" si="131"/>
        <v/>
      </c>
      <c r="S605" s="1035"/>
      <c r="T605" s="1035"/>
      <c r="U605" s="1034" t="str">
        <f t="shared" si="132"/>
        <v/>
      </c>
      <c r="V605" s="1035"/>
      <c r="W605" s="1035"/>
      <c r="X605" s="1037" t="str">
        <f t="shared" si="136"/>
        <v>221</v>
      </c>
      <c r="Y605" s="1035">
        <v>22</v>
      </c>
      <c r="Z605" s="1035">
        <f t="shared" si="133"/>
        <v>1</v>
      </c>
      <c r="AA605" s="1035"/>
      <c r="AB605" s="1035"/>
      <c r="AC605" s="1021">
        <v>113018</v>
      </c>
      <c r="AD605" s="1021" t="s">
        <v>2130</v>
      </c>
      <c r="AE605" s="1022">
        <f>VLOOKUP(AC605,[5]Hoja1!$A$10:$K$1393,11,0)</f>
        <v>0</v>
      </c>
      <c r="AF605" s="1022"/>
      <c r="AG605" s="1022">
        <f t="shared" si="134"/>
        <v>0</v>
      </c>
      <c r="AH605" s="1022">
        <f t="shared" si="135"/>
        <v>0</v>
      </c>
      <c r="AK605" s="448"/>
      <c r="AL605" s="445"/>
    </row>
    <row r="606" spans="1:38" s="467" customFormat="1" ht="12.75" customHeight="1">
      <c r="A606" s="1033">
        <v>5121000</v>
      </c>
      <c r="B606" s="1033" t="s">
        <v>2734</v>
      </c>
      <c r="C606" s="1034" t="str">
        <f t="shared" si="126"/>
        <v/>
      </c>
      <c r="D606" s="1033"/>
      <c r="E606" s="1033"/>
      <c r="F606" s="1034" t="str">
        <f t="shared" si="127"/>
        <v/>
      </c>
      <c r="G606" s="1033"/>
      <c r="H606" s="1033"/>
      <c r="I606" s="1034" t="str">
        <f t="shared" si="128"/>
        <v/>
      </c>
      <c r="J606" s="1035"/>
      <c r="K606" s="1035"/>
      <c r="L606" s="1034" t="str">
        <f t="shared" si="129"/>
        <v/>
      </c>
      <c r="M606" s="1033"/>
      <c r="N606" s="1035"/>
      <c r="O606" s="1036" t="str">
        <f t="shared" si="130"/>
        <v/>
      </c>
      <c r="P606" s="1042"/>
      <c r="Q606" s="1042"/>
      <c r="R606" s="1034" t="str">
        <f t="shared" si="131"/>
        <v/>
      </c>
      <c r="S606" s="1035"/>
      <c r="T606" s="1035"/>
      <c r="U606" s="1034" t="str">
        <f t="shared" si="132"/>
        <v/>
      </c>
      <c r="V606" s="1035"/>
      <c r="W606" s="1035"/>
      <c r="X606" s="1037" t="str">
        <f t="shared" si="136"/>
        <v>221</v>
      </c>
      <c r="Y606" s="1035">
        <v>22</v>
      </c>
      <c r="Z606" s="1035">
        <f t="shared" si="133"/>
        <v>1</v>
      </c>
      <c r="AA606" s="1035"/>
      <c r="AB606" s="1035"/>
      <c r="AC606" s="1021">
        <v>113019</v>
      </c>
      <c r="AD606" s="1021" t="s">
        <v>1747</v>
      </c>
      <c r="AE606" s="1022">
        <f>VLOOKUP(AC606,[5]Hoja1!$A$10:$K$1393,11,0)</f>
        <v>-4495841</v>
      </c>
      <c r="AF606" s="1022"/>
      <c r="AG606" s="1022">
        <f t="shared" si="134"/>
        <v>-4495841</v>
      </c>
      <c r="AH606" s="1022">
        <f t="shared" si="135"/>
        <v>-4496</v>
      </c>
      <c r="AK606" s="448"/>
      <c r="AL606" s="445"/>
    </row>
    <row r="607" spans="1:38" s="467" customFormat="1" ht="12.75" customHeight="1">
      <c r="A607" s="1033">
        <v>5121000</v>
      </c>
      <c r="B607" s="1033" t="s">
        <v>2734</v>
      </c>
      <c r="C607" s="1034"/>
      <c r="D607" s="1033"/>
      <c r="E607" s="1033"/>
      <c r="F607" s="1034"/>
      <c r="G607" s="1033"/>
      <c r="H607" s="1033"/>
      <c r="I607" s="1034"/>
      <c r="J607" s="1035"/>
      <c r="K607" s="1035"/>
      <c r="L607" s="1034"/>
      <c r="M607" s="1033"/>
      <c r="N607" s="1035"/>
      <c r="O607" s="1036"/>
      <c r="P607" s="1042"/>
      <c r="Q607" s="1042"/>
      <c r="R607" s="1034"/>
      <c r="S607" s="1035"/>
      <c r="T607" s="1035"/>
      <c r="U607" s="1034"/>
      <c r="V607" s="1035"/>
      <c r="W607" s="1035"/>
      <c r="X607" s="1037" t="str">
        <f t="shared" si="136"/>
        <v>221</v>
      </c>
      <c r="Y607" s="1035">
        <v>22</v>
      </c>
      <c r="Z607" s="1035">
        <f t="shared" si="133"/>
        <v>1</v>
      </c>
      <c r="AA607" s="1035"/>
      <c r="AB607" s="1035"/>
      <c r="AC607" s="1021">
        <v>113020</v>
      </c>
      <c r="AD607" s="1021" t="s">
        <v>2131</v>
      </c>
      <c r="AE607" s="1022">
        <f>VLOOKUP(AC607,[5]Hoja1!$A$10:$K$1393,11,0)</f>
        <v>0</v>
      </c>
      <c r="AF607" s="1022"/>
      <c r="AG607" s="1022">
        <f t="shared" si="134"/>
        <v>0</v>
      </c>
      <c r="AH607" s="1022">
        <f t="shared" si="135"/>
        <v>0</v>
      </c>
      <c r="AK607" s="448"/>
      <c r="AL607" s="445"/>
    </row>
    <row r="608" spans="1:38" s="467" customFormat="1" ht="12.75" customHeight="1">
      <c r="A608" s="1033">
        <v>5121000</v>
      </c>
      <c r="B608" s="1033" t="s">
        <v>2734</v>
      </c>
      <c r="C608" s="1034"/>
      <c r="D608" s="1033"/>
      <c r="E608" s="1033"/>
      <c r="F608" s="1034"/>
      <c r="G608" s="1033"/>
      <c r="H608" s="1033"/>
      <c r="I608" s="1034"/>
      <c r="J608" s="1035"/>
      <c r="K608" s="1035"/>
      <c r="L608" s="1034"/>
      <c r="M608" s="1033"/>
      <c r="N608" s="1035"/>
      <c r="O608" s="1036"/>
      <c r="P608" s="1042"/>
      <c r="Q608" s="1042"/>
      <c r="R608" s="1034"/>
      <c r="S608" s="1035"/>
      <c r="T608" s="1035"/>
      <c r="U608" s="1034"/>
      <c r="V608" s="1035"/>
      <c r="W608" s="1035"/>
      <c r="X608" s="1037" t="str">
        <f t="shared" si="136"/>
        <v>221</v>
      </c>
      <c r="Y608" s="1035">
        <v>22</v>
      </c>
      <c r="Z608" s="1035">
        <f t="shared" si="133"/>
        <v>1</v>
      </c>
      <c r="AA608" s="1035"/>
      <c r="AB608" s="1035"/>
      <c r="AC608" s="1021">
        <v>113021</v>
      </c>
      <c r="AD608" s="1021" t="s">
        <v>2132</v>
      </c>
      <c r="AE608" s="1022">
        <f>VLOOKUP(AC608,[5]Hoja1!$A$10:$K$1393,11,0)</f>
        <v>0</v>
      </c>
      <c r="AF608" s="1022"/>
      <c r="AG608" s="1022">
        <f t="shared" si="134"/>
        <v>0</v>
      </c>
      <c r="AH608" s="1022">
        <f t="shared" si="135"/>
        <v>0</v>
      </c>
      <c r="AK608" s="448"/>
      <c r="AL608" s="445"/>
    </row>
    <row r="609" spans="1:38" s="467" customFormat="1" ht="12.75" customHeight="1">
      <c r="A609" s="1033">
        <v>5121000</v>
      </c>
      <c r="B609" s="1033" t="s">
        <v>2734</v>
      </c>
      <c r="C609" s="1034"/>
      <c r="D609" s="1033"/>
      <c r="E609" s="1033"/>
      <c r="F609" s="1034"/>
      <c r="G609" s="1033"/>
      <c r="H609" s="1033"/>
      <c r="I609" s="1034"/>
      <c r="J609" s="1035"/>
      <c r="K609" s="1035"/>
      <c r="L609" s="1034"/>
      <c r="M609" s="1033"/>
      <c r="N609" s="1035"/>
      <c r="O609" s="1036"/>
      <c r="P609" s="1042"/>
      <c r="Q609" s="1042"/>
      <c r="R609" s="1034"/>
      <c r="S609" s="1035"/>
      <c r="T609" s="1035"/>
      <c r="U609" s="1034"/>
      <c r="V609" s="1035"/>
      <c r="W609" s="1035"/>
      <c r="X609" s="1037" t="str">
        <f t="shared" si="136"/>
        <v>221</v>
      </c>
      <c r="Y609" s="1035">
        <v>22</v>
      </c>
      <c r="Z609" s="1035">
        <f t="shared" si="133"/>
        <v>1</v>
      </c>
      <c r="AA609" s="1035"/>
      <c r="AB609" s="1035"/>
      <c r="AC609" s="1021">
        <v>113022</v>
      </c>
      <c r="AD609" s="1021" t="s">
        <v>433</v>
      </c>
      <c r="AE609" s="1022">
        <f>VLOOKUP(AC609,[5]Hoja1!$A$10:$K$1393,11,0)</f>
        <v>0</v>
      </c>
      <c r="AF609" s="1022"/>
      <c r="AG609" s="1022">
        <f t="shared" si="134"/>
        <v>0</v>
      </c>
      <c r="AH609" s="1022">
        <f t="shared" si="135"/>
        <v>0</v>
      </c>
      <c r="AJ609" s="445"/>
      <c r="AK609" s="448"/>
      <c r="AL609" s="445"/>
    </row>
    <row r="610" spans="1:38" s="467" customFormat="1" ht="12.75" customHeight="1">
      <c r="A610" s="1033">
        <v>5123200</v>
      </c>
      <c r="B610" s="1033" t="s">
        <v>2738</v>
      </c>
      <c r="C610" s="1034"/>
      <c r="D610" s="1033"/>
      <c r="E610" s="1033"/>
      <c r="F610" s="1034"/>
      <c r="G610" s="1033"/>
      <c r="H610" s="1033"/>
      <c r="I610" s="1034"/>
      <c r="J610" s="1035"/>
      <c r="K610" s="1035"/>
      <c r="L610" s="1034"/>
      <c r="M610" s="1033"/>
      <c r="N610" s="1035"/>
      <c r="O610" s="1036"/>
      <c r="P610" s="1042"/>
      <c r="Q610" s="1042"/>
      <c r="R610" s="1034"/>
      <c r="S610" s="1035"/>
      <c r="T610" s="1035"/>
      <c r="U610" s="1034"/>
      <c r="V610" s="1035"/>
      <c r="W610" s="1035"/>
      <c r="X610" s="1037"/>
      <c r="Y610" s="1035"/>
      <c r="Z610" s="1035">
        <f t="shared" si="133"/>
        <v>1</v>
      </c>
      <c r="AA610" s="1035"/>
      <c r="AB610" s="1035"/>
      <c r="AC610" s="1023">
        <v>113023</v>
      </c>
      <c r="AD610" s="1021" t="s">
        <v>2697</v>
      </c>
      <c r="AE610" s="1022">
        <f>VLOOKUP(AC610,[5]Hoja1!$A$10:$K$1393,11,0)</f>
        <v>0</v>
      </c>
      <c r="AF610" s="1022"/>
      <c r="AG610" s="1022">
        <f t="shared" si="134"/>
        <v>0</v>
      </c>
      <c r="AH610" s="1022">
        <f t="shared" si="135"/>
        <v>0</v>
      </c>
      <c r="AJ610" s="445"/>
      <c r="AK610" s="448"/>
      <c r="AL610" s="445"/>
    </row>
    <row r="611" spans="1:38" s="467" customFormat="1" ht="12.75" customHeight="1">
      <c r="A611" s="1033">
        <v>5123200</v>
      </c>
      <c r="B611" s="1033" t="s">
        <v>2738</v>
      </c>
      <c r="C611" s="1034"/>
      <c r="D611" s="1033"/>
      <c r="E611" s="1033"/>
      <c r="F611" s="1034"/>
      <c r="G611" s="1033"/>
      <c r="H611" s="1033"/>
      <c r="I611" s="1034"/>
      <c r="J611" s="1035"/>
      <c r="K611" s="1035"/>
      <c r="L611" s="1034"/>
      <c r="M611" s="1033"/>
      <c r="N611" s="1035"/>
      <c r="O611" s="1036"/>
      <c r="P611" s="1042"/>
      <c r="Q611" s="1042"/>
      <c r="R611" s="1034"/>
      <c r="S611" s="1035"/>
      <c r="T611" s="1035"/>
      <c r="U611" s="1034"/>
      <c r="V611" s="1035"/>
      <c r="W611" s="1035"/>
      <c r="X611" s="1037"/>
      <c r="Y611" s="1035"/>
      <c r="Z611" s="1035">
        <f t="shared" si="133"/>
        <v>1</v>
      </c>
      <c r="AA611" s="1035"/>
      <c r="AB611" s="1035"/>
      <c r="AC611" s="1023">
        <v>113024</v>
      </c>
      <c r="AD611" s="1021" t="s">
        <v>2698</v>
      </c>
      <c r="AE611" s="1022">
        <f>VLOOKUP(AC611,[5]Hoja1!$A$10:$K$1393,11,0)</f>
        <v>0</v>
      </c>
      <c r="AF611" s="1022"/>
      <c r="AG611" s="1022">
        <f t="shared" si="134"/>
        <v>0</v>
      </c>
      <c r="AH611" s="1022">
        <f t="shared" si="135"/>
        <v>0</v>
      </c>
      <c r="AJ611" s="445"/>
      <c r="AK611" s="448"/>
      <c r="AL611" s="445"/>
    </row>
    <row r="612" spans="1:38" s="467" customFormat="1" ht="12.75" customHeight="1">
      <c r="A612" s="1033">
        <v>5123200</v>
      </c>
      <c r="B612" s="1033" t="s">
        <v>2738</v>
      </c>
      <c r="C612" s="1034"/>
      <c r="D612" s="1033"/>
      <c r="E612" s="1033"/>
      <c r="F612" s="1034"/>
      <c r="G612" s="1033"/>
      <c r="H612" s="1033"/>
      <c r="I612" s="1034"/>
      <c r="J612" s="1035"/>
      <c r="K612" s="1035"/>
      <c r="L612" s="1034"/>
      <c r="M612" s="1033"/>
      <c r="N612" s="1035"/>
      <c r="O612" s="1036"/>
      <c r="P612" s="1042"/>
      <c r="Q612" s="1042"/>
      <c r="R612" s="1034"/>
      <c r="S612" s="1035"/>
      <c r="T612" s="1035"/>
      <c r="U612" s="1034"/>
      <c r="V612" s="1035"/>
      <c r="W612" s="1035"/>
      <c r="X612" s="1037"/>
      <c r="Y612" s="1035"/>
      <c r="Z612" s="1035">
        <f t="shared" si="133"/>
        <v>1</v>
      </c>
      <c r="AA612" s="1035"/>
      <c r="AB612" s="1035"/>
      <c r="AC612" s="1023">
        <v>113025</v>
      </c>
      <c r="AD612" s="1021" t="s">
        <v>2699</v>
      </c>
      <c r="AE612" s="1022">
        <f>VLOOKUP(AC612,[5]Hoja1!$A$10:$K$1393,11,0)</f>
        <v>0</v>
      </c>
      <c r="AF612" s="1022"/>
      <c r="AG612" s="1022">
        <f t="shared" si="134"/>
        <v>0</v>
      </c>
      <c r="AH612" s="1022">
        <f t="shared" si="135"/>
        <v>0</v>
      </c>
      <c r="AJ612" s="445"/>
      <c r="AK612" s="448"/>
      <c r="AL612" s="445"/>
    </row>
    <row r="613" spans="1:38" s="467" customFormat="1" ht="12.75" customHeight="1">
      <c r="A613" s="1033">
        <v>5151200</v>
      </c>
      <c r="B613" s="1033" t="s">
        <v>2763</v>
      </c>
      <c r="C613" s="1034"/>
      <c r="D613" s="1033"/>
      <c r="E613" s="1033"/>
      <c r="F613" s="1034"/>
      <c r="G613" s="1033"/>
      <c r="H613" s="1033"/>
      <c r="I613" s="1034"/>
      <c r="J613" s="1035"/>
      <c r="K613" s="1035"/>
      <c r="L613" s="1034"/>
      <c r="M613" s="1033"/>
      <c r="N613" s="1035"/>
      <c r="O613" s="1036"/>
      <c r="P613" s="1042"/>
      <c r="Q613" s="1042"/>
      <c r="R613" s="1034"/>
      <c r="S613" s="1035"/>
      <c r="T613" s="1035"/>
      <c r="U613" s="1034"/>
      <c r="V613" s="1035"/>
      <c r="W613" s="1035"/>
      <c r="X613" s="1037"/>
      <c r="Y613" s="1035"/>
      <c r="Z613" s="1035">
        <f t="shared" si="133"/>
        <v>1</v>
      </c>
      <c r="AA613" s="1035"/>
      <c r="AB613" s="1035"/>
      <c r="AC613" s="1023">
        <v>113026</v>
      </c>
      <c r="AD613" s="1021" t="s">
        <v>2700</v>
      </c>
      <c r="AE613" s="1022">
        <f>VLOOKUP(AC613,[5]Hoja1!$A$10:$K$1393,11,0)</f>
        <v>0</v>
      </c>
      <c r="AF613" s="1022"/>
      <c r="AG613" s="1022">
        <f t="shared" si="134"/>
        <v>0</v>
      </c>
      <c r="AH613" s="1022">
        <f t="shared" si="135"/>
        <v>0</v>
      </c>
      <c r="AJ613" s="445"/>
      <c r="AK613" s="448"/>
      <c r="AL613" s="445"/>
    </row>
    <row r="614" spans="1:38" s="467" customFormat="1" ht="12.75" customHeight="1">
      <c r="A614" s="1033">
        <v>5151200</v>
      </c>
      <c r="B614" s="1033" t="s">
        <v>2763</v>
      </c>
      <c r="C614" s="1034"/>
      <c r="D614" s="1033"/>
      <c r="E614" s="1033"/>
      <c r="F614" s="1034"/>
      <c r="G614" s="1033"/>
      <c r="H614" s="1033"/>
      <c r="I614" s="1034"/>
      <c r="J614" s="1035"/>
      <c r="K614" s="1035"/>
      <c r="L614" s="1034"/>
      <c r="M614" s="1033"/>
      <c r="N614" s="1035"/>
      <c r="O614" s="1036"/>
      <c r="P614" s="1042"/>
      <c r="Q614" s="1042"/>
      <c r="R614" s="1034"/>
      <c r="S614" s="1035"/>
      <c r="T614" s="1035"/>
      <c r="U614" s="1034"/>
      <c r="V614" s="1035"/>
      <c r="W614" s="1035"/>
      <c r="X614" s="1037"/>
      <c r="Y614" s="1035"/>
      <c r="Z614" s="1035">
        <f t="shared" si="133"/>
        <v>1</v>
      </c>
      <c r="AA614" s="1035"/>
      <c r="AB614" s="1035"/>
      <c r="AC614" s="1023">
        <v>113027</v>
      </c>
      <c r="AD614" s="1021" t="s">
        <v>2700</v>
      </c>
      <c r="AE614" s="1022">
        <f>VLOOKUP(AC614,[5]Hoja1!$A$10:$K$1393,11,0)</f>
        <v>0</v>
      </c>
      <c r="AF614" s="1022"/>
      <c r="AG614" s="1022">
        <f t="shared" si="134"/>
        <v>0</v>
      </c>
      <c r="AH614" s="1022">
        <f t="shared" si="135"/>
        <v>0</v>
      </c>
      <c r="AJ614" s="445"/>
      <c r="AK614" s="448"/>
      <c r="AL614" s="445"/>
    </row>
    <row r="615" spans="1:38" s="467" customFormat="1" ht="12.75" customHeight="1">
      <c r="A615" s="1033">
        <v>5153400</v>
      </c>
      <c r="B615" s="1033" t="s">
        <v>870</v>
      </c>
      <c r="C615" s="1034"/>
      <c r="D615" s="1033"/>
      <c r="E615" s="1033"/>
      <c r="F615" s="1034"/>
      <c r="G615" s="1033"/>
      <c r="H615" s="1033"/>
      <c r="I615" s="1034"/>
      <c r="J615" s="1035"/>
      <c r="K615" s="1035"/>
      <c r="L615" s="1034"/>
      <c r="M615" s="1033"/>
      <c r="N615" s="1035"/>
      <c r="O615" s="1036"/>
      <c r="P615" s="1042"/>
      <c r="Q615" s="1042"/>
      <c r="R615" s="1034"/>
      <c r="S615" s="1035"/>
      <c r="T615" s="1035"/>
      <c r="U615" s="1034"/>
      <c r="V615" s="1035"/>
      <c r="W615" s="1035"/>
      <c r="X615" s="1037"/>
      <c r="Y615" s="1035"/>
      <c r="Z615" s="1035">
        <f t="shared" si="133"/>
        <v>1</v>
      </c>
      <c r="AA615" s="1035"/>
      <c r="AB615" s="1035"/>
      <c r="AC615" s="1023">
        <v>113028</v>
      </c>
      <c r="AD615" s="1021" t="s">
        <v>2701</v>
      </c>
      <c r="AE615" s="1022">
        <f>VLOOKUP(AC615,[5]Hoja1!$A$10:$K$1393,11,0)</f>
        <v>-445250</v>
      </c>
      <c r="AF615" s="1022"/>
      <c r="AG615" s="1022">
        <f t="shared" si="134"/>
        <v>-445250</v>
      </c>
      <c r="AH615" s="1022">
        <f t="shared" si="135"/>
        <v>-445</v>
      </c>
      <c r="AJ615" s="445"/>
      <c r="AK615" s="448"/>
      <c r="AL615" s="445"/>
    </row>
    <row r="616" spans="1:38" s="467" customFormat="1" ht="12.75" customHeight="1">
      <c r="A616" s="1033">
        <v>5153400</v>
      </c>
      <c r="B616" s="1033" t="s">
        <v>870</v>
      </c>
      <c r="C616" s="1034" t="str">
        <f t="shared" si="126"/>
        <v/>
      </c>
      <c r="D616" s="1033"/>
      <c r="E616" s="1033"/>
      <c r="F616" s="1034" t="str">
        <f t="shared" si="127"/>
        <v/>
      </c>
      <c r="G616" s="1033"/>
      <c r="H616" s="1033"/>
      <c r="I616" s="1034" t="str">
        <f t="shared" si="128"/>
        <v/>
      </c>
      <c r="J616" s="1035"/>
      <c r="K616" s="1035"/>
      <c r="L616" s="1034" t="str">
        <f t="shared" si="129"/>
        <v/>
      </c>
      <c r="M616" s="1033"/>
      <c r="N616" s="1035"/>
      <c r="O616" s="1036" t="str">
        <f t="shared" si="130"/>
        <v/>
      </c>
      <c r="P616" s="1042"/>
      <c r="Q616" s="1042"/>
      <c r="R616" s="1034" t="str">
        <f t="shared" si="131"/>
        <v/>
      </c>
      <c r="S616" s="1035"/>
      <c r="T616" s="1035"/>
      <c r="U616" s="1034" t="str">
        <f t="shared" si="132"/>
        <v/>
      </c>
      <c r="V616" s="1035"/>
      <c r="W616" s="1035"/>
      <c r="X616" s="1037" t="str">
        <f t="shared" ref="X616:X627" si="137">+Y616&amp;Z616</f>
        <v>221</v>
      </c>
      <c r="Y616" s="1035">
        <v>22</v>
      </c>
      <c r="Z616" s="1035">
        <f t="shared" si="133"/>
        <v>1</v>
      </c>
      <c r="AA616" s="1035"/>
      <c r="AB616" s="1035"/>
      <c r="AC616" s="1021">
        <v>113050</v>
      </c>
      <c r="AD616" s="1021" t="s">
        <v>1748</v>
      </c>
      <c r="AE616" s="1022">
        <f>VLOOKUP(AC616,[5]Hoja1!$A$10:$K$1393,11,0)</f>
        <v>537500</v>
      </c>
      <c r="AF616" s="1022">
        <f>-AF1006</f>
        <v>0</v>
      </c>
      <c r="AG616" s="1022">
        <f t="shared" si="134"/>
        <v>537500</v>
      </c>
      <c r="AH616" s="1022">
        <f t="shared" si="135"/>
        <v>538</v>
      </c>
      <c r="AJ616" s="445"/>
      <c r="AK616" s="448"/>
      <c r="AL616" s="445"/>
    </row>
    <row r="617" spans="1:38" s="467" customFormat="1" ht="12.75" customHeight="1">
      <c r="A617" s="1033">
        <v>5153400</v>
      </c>
      <c r="B617" s="1033" t="s">
        <v>870</v>
      </c>
      <c r="C617" s="1034" t="str">
        <f t="shared" si="126"/>
        <v/>
      </c>
      <c r="D617" s="1033"/>
      <c r="E617" s="1033"/>
      <c r="F617" s="1034" t="str">
        <f t="shared" si="127"/>
        <v/>
      </c>
      <c r="G617" s="1033"/>
      <c r="H617" s="1033"/>
      <c r="I617" s="1034" t="str">
        <f t="shared" si="128"/>
        <v/>
      </c>
      <c r="J617" s="1035"/>
      <c r="K617" s="1035"/>
      <c r="L617" s="1034" t="str">
        <f t="shared" si="129"/>
        <v/>
      </c>
      <c r="M617" s="1033"/>
      <c r="N617" s="1035"/>
      <c r="O617" s="1036" t="str">
        <f t="shared" si="130"/>
        <v/>
      </c>
      <c r="P617" s="1042"/>
      <c r="Q617" s="1042"/>
      <c r="R617" s="1034" t="str">
        <f t="shared" si="131"/>
        <v/>
      </c>
      <c r="S617" s="1035"/>
      <c r="T617" s="1035"/>
      <c r="U617" s="1034" t="str">
        <f t="shared" si="132"/>
        <v/>
      </c>
      <c r="V617" s="1035"/>
      <c r="W617" s="1035"/>
      <c r="X617" s="1037" t="str">
        <f t="shared" si="137"/>
        <v>221</v>
      </c>
      <c r="Y617" s="1035">
        <v>22</v>
      </c>
      <c r="Z617" s="1035">
        <f t="shared" si="133"/>
        <v>1</v>
      </c>
      <c r="AA617" s="1035"/>
      <c r="AB617" s="1035"/>
      <c r="AC617" s="1021">
        <v>113051</v>
      </c>
      <c r="AD617" s="1021" t="s">
        <v>1749</v>
      </c>
      <c r="AE617" s="1022">
        <f>VLOOKUP(AC617,[5]Hoja1!$A$10:$K$1393,11,0)</f>
        <v>74367971</v>
      </c>
      <c r="AF617" s="1022"/>
      <c r="AG617" s="1022">
        <f t="shared" si="134"/>
        <v>74367971</v>
      </c>
      <c r="AH617" s="1022">
        <f t="shared" si="135"/>
        <v>74368</v>
      </c>
      <c r="AJ617" s="445"/>
      <c r="AK617" s="448"/>
      <c r="AL617" s="445"/>
    </row>
    <row r="618" spans="1:38" s="467" customFormat="1" ht="12.75" customHeight="1">
      <c r="A618" s="1033">
        <v>5153400</v>
      </c>
      <c r="B618" s="1033" t="s">
        <v>870</v>
      </c>
      <c r="C618" s="1034" t="str">
        <f t="shared" si="126"/>
        <v/>
      </c>
      <c r="D618" s="1033"/>
      <c r="E618" s="1033"/>
      <c r="F618" s="1034" t="str">
        <f t="shared" si="127"/>
        <v/>
      </c>
      <c r="G618" s="1033"/>
      <c r="H618" s="1033"/>
      <c r="I618" s="1034" t="str">
        <f t="shared" si="128"/>
        <v/>
      </c>
      <c r="J618" s="1035"/>
      <c r="K618" s="1035"/>
      <c r="L618" s="1034" t="str">
        <f t="shared" si="129"/>
        <v/>
      </c>
      <c r="M618" s="1033"/>
      <c r="N618" s="1035"/>
      <c r="O618" s="1036" t="str">
        <f t="shared" si="130"/>
        <v/>
      </c>
      <c r="P618" s="1042"/>
      <c r="Q618" s="1042"/>
      <c r="R618" s="1034" t="str">
        <f t="shared" si="131"/>
        <v/>
      </c>
      <c r="S618" s="1035"/>
      <c r="T618" s="1035"/>
      <c r="U618" s="1034" t="str">
        <f t="shared" si="132"/>
        <v/>
      </c>
      <c r="V618" s="1035"/>
      <c r="W618" s="1035"/>
      <c r="X618" s="1037" t="str">
        <f t="shared" si="137"/>
        <v>221</v>
      </c>
      <c r="Y618" s="1035">
        <v>22</v>
      </c>
      <c r="Z618" s="1035">
        <f t="shared" si="133"/>
        <v>1</v>
      </c>
      <c r="AA618" s="1035"/>
      <c r="AB618" s="1035"/>
      <c r="AC618" s="1021">
        <v>113052</v>
      </c>
      <c r="AD618" s="1021" t="s">
        <v>1750</v>
      </c>
      <c r="AE618" s="1022">
        <f>VLOOKUP(AC618,[5]Hoja1!$A$10:$K$1393,11,0)</f>
        <v>6401081</v>
      </c>
      <c r="AF618" s="1022"/>
      <c r="AG618" s="1022">
        <f t="shared" si="134"/>
        <v>6401081</v>
      </c>
      <c r="AH618" s="1022">
        <f t="shared" si="135"/>
        <v>6401</v>
      </c>
      <c r="AJ618" s="445"/>
      <c r="AK618" s="448"/>
      <c r="AL618" s="445"/>
    </row>
    <row r="619" spans="1:38" s="467" customFormat="1" ht="12.75" customHeight="1">
      <c r="A619" s="1033">
        <v>5153400</v>
      </c>
      <c r="B619" s="1033" t="s">
        <v>870</v>
      </c>
      <c r="C619" s="1034" t="str">
        <f t="shared" si="126"/>
        <v/>
      </c>
      <c r="D619" s="1033"/>
      <c r="E619" s="1033"/>
      <c r="F619" s="1034" t="str">
        <f t="shared" si="127"/>
        <v/>
      </c>
      <c r="G619" s="1033"/>
      <c r="H619" s="1033"/>
      <c r="I619" s="1034" t="str">
        <f t="shared" si="128"/>
        <v/>
      </c>
      <c r="J619" s="1035"/>
      <c r="K619" s="1035"/>
      <c r="L619" s="1034" t="str">
        <f t="shared" si="129"/>
        <v/>
      </c>
      <c r="M619" s="1033"/>
      <c r="N619" s="1035"/>
      <c r="O619" s="1036" t="str">
        <f t="shared" si="130"/>
        <v/>
      </c>
      <c r="P619" s="1042"/>
      <c r="Q619" s="1042"/>
      <c r="R619" s="1034" t="str">
        <f t="shared" si="131"/>
        <v/>
      </c>
      <c r="S619" s="1035"/>
      <c r="T619" s="1035"/>
      <c r="U619" s="1034" t="str">
        <f t="shared" si="132"/>
        <v/>
      </c>
      <c r="V619" s="1035"/>
      <c r="W619" s="1035"/>
      <c r="X619" s="1037" t="str">
        <f t="shared" si="137"/>
        <v>221</v>
      </c>
      <c r="Y619" s="1035">
        <v>22</v>
      </c>
      <c r="Z619" s="1035">
        <f t="shared" si="133"/>
        <v>1</v>
      </c>
      <c r="AA619" s="1035"/>
      <c r="AB619" s="1035"/>
      <c r="AC619" s="1021">
        <v>113053</v>
      </c>
      <c r="AD619" s="1021" t="s">
        <v>1751</v>
      </c>
      <c r="AE619" s="1022">
        <f>VLOOKUP(AC619,[5]Hoja1!$A$10:$K$1393,11,0)</f>
        <v>2772289</v>
      </c>
      <c r="AF619" s="1022"/>
      <c r="AG619" s="1022">
        <f t="shared" si="134"/>
        <v>2772289</v>
      </c>
      <c r="AH619" s="1022">
        <f t="shared" si="135"/>
        <v>2772</v>
      </c>
      <c r="AJ619" s="445"/>
      <c r="AK619" s="448"/>
      <c r="AL619" s="445"/>
    </row>
    <row r="620" spans="1:38" s="467" customFormat="1" ht="12.75" customHeight="1">
      <c r="A620" s="1033"/>
      <c r="B620" s="1033"/>
      <c r="C620" s="1034" t="str">
        <f t="shared" si="126"/>
        <v/>
      </c>
      <c r="D620" s="1033"/>
      <c r="E620" s="1033"/>
      <c r="F620" s="1034" t="str">
        <f t="shared" si="127"/>
        <v/>
      </c>
      <c r="G620" s="1033"/>
      <c r="H620" s="1033"/>
      <c r="I620" s="1034" t="str">
        <f t="shared" si="128"/>
        <v/>
      </c>
      <c r="J620" s="1035"/>
      <c r="K620" s="1035"/>
      <c r="L620" s="1034" t="str">
        <f t="shared" si="129"/>
        <v/>
      </c>
      <c r="M620" s="1033"/>
      <c r="N620" s="1035"/>
      <c r="O620" s="1036" t="str">
        <f t="shared" si="130"/>
        <v/>
      </c>
      <c r="P620" s="1042"/>
      <c r="Q620" s="1042"/>
      <c r="R620" s="1034" t="str">
        <f t="shared" si="131"/>
        <v/>
      </c>
      <c r="S620" s="1035"/>
      <c r="T620" s="1035"/>
      <c r="U620" s="1034" t="str">
        <f t="shared" si="132"/>
        <v/>
      </c>
      <c r="V620" s="1035"/>
      <c r="W620" s="1035"/>
      <c r="X620" s="1037" t="str">
        <f t="shared" si="137"/>
        <v>221</v>
      </c>
      <c r="Y620" s="1035">
        <v>22</v>
      </c>
      <c r="Z620" s="1035">
        <f t="shared" si="133"/>
        <v>1</v>
      </c>
      <c r="AA620" s="1035"/>
      <c r="AB620" s="1035"/>
      <c r="AC620" s="1021">
        <v>113054</v>
      </c>
      <c r="AD620" s="1021" t="s">
        <v>1829</v>
      </c>
      <c r="AE620" s="1022">
        <f>VLOOKUP(AC620,[5]Hoja1!$A$10:$K$1393,11,0)</f>
        <v>0</v>
      </c>
      <c r="AF620" s="1022"/>
      <c r="AG620" s="1022">
        <f t="shared" si="134"/>
        <v>0</v>
      </c>
      <c r="AH620" s="1022">
        <f t="shared" si="135"/>
        <v>0</v>
      </c>
      <c r="AJ620" s="445"/>
      <c r="AK620" s="448"/>
      <c r="AL620" s="445"/>
    </row>
    <row r="621" spans="1:38" s="467" customFormat="1" ht="12.75" customHeight="1">
      <c r="A621" s="1033"/>
      <c r="B621" s="1033"/>
      <c r="C621" s="1034" t="str">
        <f t="shared" si="126"/>
        <v/>
      </c>
      <c r="D621" s="1033"/>
      <c r="E621" s="1033"/>
      <c r="F621" s="1034" t="str">
        <f t="shared" si="127"/>
        <v/>
      </c>
      <c r="G621" s="1033"/>
      <c r="H621" s="1033"/>
      <c r="I621" s="1034" t="str">
        <f t="shared" si="128"/>
        <v/>
      </c>
      <c r="J621" s="1035"/>
      <c r="K621" s="1035"/>
      <c r="L621" s="1034" t="str">
        <f t="shared" si="129"/>
        <v/>
      </c>
      <c r="M621" s="1033"/>
      <c r="N621" s="1035"/>
      <c r="O621" s="1036" t="str">
        <f t="shared" si="130"/>
        <v/>
      </c>
      <c r="P621" s="1042"/>
      <c r="Q621" s="1042"/>
      <c r="R621" s="1034" t="str">
        <f t="shared" si="131"/>
        <v/>
      </c>
      <c r="S621" s="1035"/>
      <c r="T621" s="1035"/>
      <c r="U621" s="1034" t="str">
        <f t="shared" si="132"/>
        <v/>
      </c>
      <c r="V621" s="1035"/>
      <c r="W621" s="1035"/>
      <c r="X621" s="1037" t="str">
        <f t="shared" si="137"/>
        <v>221</v>
      </c>
      <c r="Y621" s="1035">
        <v>22</v>
      </c>
      <c r="Z621" s="1035">
        <f t="shared" si="133"/>
        <v>1</v>
      </c>
      <c r="AA621" s="1035"/>
      <c r="AB621" s="1035"/>
      <c r="AC621" s="1021">
        <v>113055</v>
      </c>
      <c r="AD621" s="1021" t="s">
        <v>1830</v>
      </c>
      <c r="AE621" s="1022">
        <v>0</v>
      </c>
      <c r="AF621" s="1022"/>
      <c r="AG621" s="1022">
        <f t="shared" si="134"/>
        <v>0</v>
      </c>
      <c r="AH621" s="1022">
        <f t="shared" si="135"/>
        <v>0</v>
      </c>
      <c r="AJ621" s="445"/>
      <c r="AK621" s="448"/>
      <c r="AL621" s="445"/>
    </row>
    <row r="622" spans="1:38" s="467" customFormat="1" ht="12.75" customHeight="1">
      <c r="A622" s="1033">
        <v>5121000</v>
      </c>
      <c r="B622" s="1033" t="s">
        <v>2734</v>
      </c>
      <c r="C622" s="1034" t="str">
        <f t="shared" si="126"/>
        <v/>
      </c>
      <c r="D622" s="1033"/>
      <c r="E622" s="1033"/>
      <c r="F622" s="1034" t="str">
        <f t="shared" si="127"/>
        <v/>
      </c>
      <c r="G622" s="1033"/>
      <c r="H622" s="1033"/>
      <c r="I622" s="1034" t="str">
        <f t="shared" si="128"/>
        <v/>
      </c>
      <c r="J622" s="1035"/>
      <c r="K622" s="1035"/>
      <c r="L622" s="1034" t="str">
        <f t="shared" si="129"/>
        <v/>
      </c>
      <c r="M622" s="1035"/>
      <c r="N622" s="1035"/>
      <c r="O622" s="1036" t="str">
        <f t="shared" si="130"/>
        <v/>
      </c>
      <c r="P622" s="1033"/>
      <c r="Q622" s="1033"/>
      <c r="R622" s="1034" t="str">
        <f t="shared" si="131"/>
        <v/>
      </c>
      <c r="S622" s="1035"/>
      <c r="T622" s="1035"/>
      <c r="U622" s="1034" t="str">
        <f t="shared" si="132"/>
        <v/>
      </c>
      <c r="V622" s="1035"/>
      <c r="W622" s="1035"/>
      <c r="X622" s="1037" t="str">
        <f t="shared" si="137"/>
        <v>221</v>
      </c>
      <c r="Y622" s="1035">
        <v>22</v>
      </c>
      <c r="Z622" s="1035">
        <f t="shared" si="133"/>
        <v>1</v>
      </c>
      <c r="AA622" s="1035"/>
      <c r="AB622" s="1035"/>
      <c r="AC622" s="1021">
        <v>113060</v>
      </c>
      <c r="AD622" s="1021" t="s">
        <v>1253</v>
      </c>
      <c r="AE622" s="1022">
        <f>VLOOKUP(AC622,[5]Hoja1!$A$10:$K$1393,11,0)</f>
        <v>22509114435</v>
      </c>
      <c r="AF622" s="1022">
        <v>0</v>
      </c>
      <c r="AG622" s="1022">
        <f t="shared" si="134"/>
        <v>22509114435</v>
      </c>
      <c r="AH622" s="1022">
        <f t="shared" si="135"/>
        <v>22509114</v>
      </c>
      <c r="AJ622" s="445"/>
      <c r="AK622" s="448"/>
      <c r="AL622" s="445"/>
    </row>
    <row r="623" spans="1:38" s="467" customFormat="1" ht="12.75" customHeight="1">
      <c r="A623" s="1033">
        <v>5121000</v>
      </c>
      <c r="B623" s="1033" t="s">
        <v>2734</v>
      </c>
      <c r="C623" s="1034"/>
      <c r="D623" s="1033"/>
      <c r="E623" s="1033"/>
      <c r="F623" s="1034"/>
      <c r="G623" s="1033"/>
      <c r="H623" s="1033"/>
      <c r="I623" s="1034"/>
      <c r="J623" s="1035"/>
      <c r="K623" s="1035"/>
      <c r="L623" s="1034"/>
      <c r="M623" s="1033"/>
      <c r="N623" s="1035"/>
      <c r="O623" s="1036"/>
      <c r="P623" s="1042"/>
      <c r="Q623" s="1042"/>
      <c r="R623" s="1034"/>
      <c r="S623" s="1035"/>
      <c r="T623" s="1035"/>
      <c r="U623" s="1034"/>
      <c r="V623" s="1035"/>
      <c r="W623" s="1035"/>
      <c r="X623" s="1037" t="str">
        <f t="shared" si="137"/>
        <v>221</v>
      </c>
      <c r="Y623" s="1035">
        <v>22</v>
      </c>
      <c r="Z623" s="1035">
        <f t="shared" si="133"/>
        <v>1</v>
      </c>
      <c r="AA623" s="1035"/>
      <c r="AB623" s="1035"/>
      <c r="AC623" s="1021">
        <v>113061</v>
      </c>
      <c r="AD623" s="1021" t="s">
        <v>1254</v>
      </c>
      <c r="AE623" s="1022">
        <f>VLOOKUP(AC623,[5]Hoja1!$A$10:$K$1393,11,0)</f>
        <v>0</v>
      </c>
      <c r="AF623" s="1022"/>
      <c r="AG623" s="1022">
        <f t="shared" si="134"/>
        <v>0</v>
      </c>
      <c r="AH623" s="1022">
        <f t="shared" si="135"/>
        <v>0</v>
      </c>
      <c r="AJ623" s="445"/>
      <c r="AK623" s="448"/>
      <c r="AL623" s="445"/>
    </row>
    <row r="624" spans="1:38" s="467" customFormat="1" ht="12.75" customHeight="1">
      <c r="A624" s="1033">
        <v>5123200</v>
      </c>
      <c r="B624" s="1033" t="s">
        <v>2738</v>
      </c>
      <c r="C624" s="1034" t="str">
        <f t="shared" si="126"/>
        <v/>
      </c>
      <c r="D624" s="1033"/>
      <c r="E624" s="1033"/>
      <c r="F624" s="1034" t="str">
        <f t="shared" si="127"/>
        <v/>
      </c>
      <c r="G624" s="1033"/>
      <c r="H624" s="1033"/>
      <c r="I624" s="1034" t="str">
        <f t="shared" si="128"/>
        <v/>
      </c>
      <c r="J624" s="1035"/>
      <c r="K624" s="1035"/>
      <c r="L624" s="1034" t="str">
        <f t="shared" si="129"/>
        <v/>
      </c>
      <c r="M624" s="1033"/>
      <c r="N624" s="1035"/>
      <c r="O624" s="1036" t="str">
        <f t="shared" si="130"/>
        <v/>
      </c>
      <c r="P624" s="1042"/>
      <c r="Q624" s="1042"/>
      <c r="R624" s="1034" t="str">
        <f t="shared" si="131"/>
        <v/>
      </c>
      <c r="S624" s="1035"/>
      <c r="T624" s="1035"/>
      <c r="U624" s="1034" t="str">
        <f t="shared" si="132"/>
        <v/>
      </c>
      <c r="V624" s="1035"/>
      <c r="W624" s="1035"/>
      <c r="X624" s="1037" t="str">
        <f t="shared" si="137"/>
        <v>221</v>
      </c>
      <c r="Y624" s="1035">
        <v>22</v>
      </c>
      <c r="Z624" s="1035">
        <f t="shared" si="133"/>
        <v>1</v>
      </c>
      <c r="AA624" s="1033" t="s">
        <v>2915</v>
      </c>
      <c r="AB624" s="1033" t="s">
        <v>2914</v>
      </c>
      <c r="AC624" s="1021">
        <v>113101</v>
      </c>
      <c r="AD624" s="1021" t="s">
        <v>85</v>
      </c>
      <c r="AE624" s="1022">
        <f>VLOOKUP(AC624,[5]Hoja1!$A$10:$K$1393,11,0)</f>
        <v>38657736</v>
      </c>
      <c r="AF624" s="1022">
        <v>0</v>
      </c>
      <c r="AG624" s="1022">
        <f t="shared" si="134"/>
        <v>38657736</v>
      </c>
      <c r="AH624" s="1191">
        <f t="shared" si="135"/>
        <v>38658</v>
      </c>
      <c r="AJ624" s="445"/>
      <c r="AK624" s="448"/>
      <c r="AL624" s="445"/>
    </row>
    <row r="625" spans="1:38" s="467" customFormat="1" ht="12.75" customHeight="1">
      <c r="A625" s="1033"/>
      <c r="B625" s="1033"/>
      <c r="C625" s="1034" t="str">
        <f t="shared" si="126"/>
        <v/>
      </c>
      <c r="D625" s="1033"/>
      <c r="E625" s="1033"/>
      <c r="F625" s="1034" t="str">
        <f t="shared" si="127"/>
        <v/>
      </c>
      <c r="G625" s="1033"/>
      <c r="H625" s="1033"/>
      <c r="I625" s="1034" t="str">
        <f t="shared" si="128"/>
        <v/>
      </c>
      <c r="J625" s="1035"/>
      <c r="K625" s="1035"/>
      <c r="L625" s="1034" t="str">
        <f t="shared" si="129"/>
        <v/>
      </c>
      <c r="M625" s="1033"/>
      <c r="N625" s="1035"/>
      <c r="O625" s="1036" t="str">
        <f t="shared" si="130"/>
        <v/>
      </c>
      <c r="P625" s="1042"/>
      <c r="Q625" s="1042"/>
      <c r="R625" s="1034" t="str">
        <f t="shared" si="131"/>
        <v/>
      </c>
      <c r="S625" s="1035"/>
      <c r="T625" s="1035"/>
      <c r="U625" s="1034" t="str">
        <f t="shared" si="132"/>
        <v/>
      </c>
      <c r="V625" s="1035"/>
      <c r="W625" s="1035"/>
      <c r="X625" s="1037" t="str">
        <f t="shared" si="137"/>
        <v>221</v>
      </c>
      <c r="Y625" s="1035">
        <v>22</v>
      </c>
      <c r="Z625" s="1035">
        <f t="shared" si="133"/>
        <v>1</v>
      </c>
      <c r="AA625" s="1035"/>
      <c r="AB625" s="1035"/>
      <c r="AC625" s="1021">
        <v>113102</v>
      </c>
      <c r="AD625" s="1021" t="s">
        <v>86</v>
      </c>
      <c r="AE625" s="1022">
        <v>0</v>
      </c>
      <c r="AF625" s="1022"/>
      <c r="AG625" s="1022">
        <f t="shared" si="134"/>
        <v>0</v>
      </c>
      <c r="AH625" s="1022">
        <f t="shared" si="135"/>
        <v>0</v>
      </c>
      <c r="AJ625" s="445"/>
      <c r="AK625" s="448"/>
      <c r="AL625" s="445"/>
    </row>
    <row r="626" spans="1:38" s="467" customFormat="1" ht="12.75" customHeight="1">
      <c r="A626" s="1033"/>
      <c r="B626" s="1033"/>
      <c r="C626" s="1034" t="str">
        <f t="shared" si="126"/>
        <v/>
      </c>
      <c r="D626" s="1033"/>
      <c r="E626" s="1033"/>
      <c r="F626" s="1034" t="str">
        <f t="shared" si="127"/>
        <v/>
      </c>
      <c r="G626" s="1033"/>
      <c r="H626" s="1033"/>
      <c r="I626" s="1034" t="str">
        <f t="shared" si="128"/>
        <v/>
      </c>
      <c r="J626" s="1035"/>
      <c r="K626" s="1035"/>
      <c r="L626" s="1034" t="str">
        <f t="shared" si="129"/>
        <v/>
      </c>
      <c r="M626" s="1033"/>
      <c r="N626" s="1035"/>
      <c r="O626" s="1036" t="str">
        <f t="shared" si="130"/>
        <v/>
      </c>
      <c r="P626" s="1042"/>
      <c r="Q626" s="1042"/>
      <c r="R626" s="1034" t="str">
        <f t="shared" si="131"/>
        <v/>
      </c>
      <c r="S626" s="1035"/>
      <c r="T626" s="1035"/>
      <c r="U626" s="1034" t="str">
        <f t="shared" si="132"/>
        <v/>
      </c>
      <c r="V626" s="1035"/>
      <c r="W626" s="1035"/>
      <c r="X626" s="1037" t="str">
        <f t="shared" si="137"/>
        <v>1</v>
      </c>
      <c r="Y626" s="1035"/>
      <c r="Z626" s="1035">
        <f t="shared" si="133"/>
        <v>1</v>
      </c>
      <c r="AA626" s="1035"/>
      <c r="AB626" s="1035"/>
      <c r="AC626" s="1021">
        <v>113103</v>
      </c>
      <c r="AD626" s="1021" t="s">
        <v>1795</v>
      </c>
      <c r="AE626" s="1022">
        <v>0</v>
      </c>
      <c r="AF626" s="1022"/>
      <c r="AG626" s="1022">
        <f t="shared" si="134"/>
        <v>0</v>
      </c>
      <c r="AH626" s="1022">
        <f t="shared" si="135"/>
        <v>0</v>
      </c>
      <c r="AJ626" s="445"/>
      <c r="AK626" s="448"/>
      <c r="AL626" s="445"/>
    </row>
    <row r="627" spans="1:38" s="467" customFormat="1" ht="12.75" customHeight="1">
      <c r="A627" s="1033"/>
      <c r="B627" s="1033"/>
      <c r="C627" s="1034" t="str">
        <f t="shared" si="126"/>
        <v/>
      </c>
      <c r="D627" s="1033"/>
      <c r="E627" s="1033"/>
      <c r="F627" s="1034" t="str">
        <f t="shared" si="127"/>
        <v/>
      </c>
      <c r="G627" s="1033"/>
      <c r="H627" s="1033"/>
      <c r="I627" s="1034" t="str">
        <f t="shared" si="128"/>
        <v/>
      </c>
      <c r="J627" s="1035"/>
      <c r="K627" s="1035"/>
      <c r="L627" s="1034" t="str">
        <f t="shared" si="129"/>
        <v/>
      </c>
      <c r="M627" s="1033"/>
      <c r="N627" s="1035"/>
      <c r="O627" s="1036" t="str">
        <f t="shared" si="130"/>
        <v/>
      </c>
      <c r="P627" s="1042"/>
      <c r="Q627" s="1042"/>
      <c r="R627" s="1034" t="str">
        <f t="shared" si="131"/>
        <v/>
      </c>
      <c r="S627" s="1035"/>
      <c r="T627" s="1035"/>
      <c r="U627" s="1034" t="str">
        <f t="shared" si="132"/>
        <v/>
      </c>
      <c r="V627" s="1035"/>
      <c r="W627" s="1035"/>
      <c r="X627" s="1037" t="str">
        <f t="shared" si="137"/>
        <v>221</v>
      </c>
      <c r="Y627" s="1035">
        <v>22</v>
      </c>
      <c r="Z627" s="1035">
        <f t="shared" si="133"/>
        <v>1</v>
      </c>
      <c r="AA627" s="1035"/>
      <c r="AB627" s="1035"/>
      <c r="AC627" s="1021">
        <v>113104</v>
      </c>
      <c r="AD627" s="1021" t="s">
        <v>208</v>
      </c>
      <c r="AE627" s="1022">
        <v>0</v>
      </c>
      <c r="AF627" s="1025"/>
      <c r="AG627" s="1022">
        <f t="shared" si="134"/>
        <v>0</v>
      </c>
      <c r="AH627" s="1022">
        <f t="shared" si="135"/>
        <v>0</v>
      </c>
      <c r="AJ627" s="445"/>
      <c r="AK627" s="448"/>
      <c r="AL627" s="445"/>
    </row>
    <row r="628" spans="1:38" s="467" customFormat="1" ht="12.75" customHeight="1">
      <c r="A628" s="1033"/>
      <c r="B628" s="1033"/>
      <c r="C628" s="1034"/>
      <c r="D628" s="1033"/>
      <c r="E628" s="1033"/>
      <c r="F628" s="1034"/>
      <c r="G628" s="1033"/>
      <c r="H628" s="1033"/>
      <c r="I628" s="1034"/>
      <c r="J628" s="1035"/>
      <c r="K628" s="1035"/>
      <c r="L628" s="1034"/>
      <c r="M628" s="1033"/>
      <c r="N628" s="1035"/>
      <c r="O628" s="1036"/>
      <c r="P628" s="1042"/>
      <c r="Q628" s="1042"/>
      <c r="R628" s="1034"/>
      <c r="S628" s="1035"/>
      <c r="T628" s="1035"/>
      <c r="U628" s="1034"/>
      <c r="V628" s="1035"/>
      <c r="W628" s="1035"/>
      <c r="X628" s="1037"/>
      <c r="Y628" s="1035"/>
      <c r="Z628" s="1035">
        <f t="shared" si="133"/>
        <v>1</v>
      </c>
      <c r="AA628" s="1035"/>
      <c r="AB628" s="1035"/>
      <c r="AC628" s="1021">
        <v>113105</v>
      </c>
      <c r="AD628" s="1021" t="s">
        <v>2133</v>
      </c>
      <c r="AE628" s="1022">
        <v>0</v>
      </c>
      <c r="AF628" s="1025"/>
      <c r="AG628" s="1022">
        <f t="shared" si="134"/>
        <v>0</v>
      </c>
      <c r="AH628" s="1022">
        <f t="shared" si="135"/>
        <v>0</v>
      </c>
      <c r="AJ628" s="445"/>
      <c r="AK628" s="448"/>
      <c r="AL628" s="445"/>
    </row>
    <row r="629" spans="1:38" s="467" customFormat="1" ht="12.75" customHeight="1">
      <c r="A629" s="1033">
        <v>5121000</v>
      </c>
      <c r="B629" s="1033" t="s">
        <v>2734</v>
      </c>
      <c r="C629" s="1034" t="str">
        <f>+D629&amp;E629</f>
        <v/>
      </c>
      <c r="D629" s="1033"/>
      <c r="E629" s="1033"/>
      <c r="F629" s="1034" t="str">
        <f>+G629&amp;H629</f>
        <v/>
      </c>
      <c r="G629" s="1033"/>
      <c r="H629" s="1033"/>
      <c r="I629" s="1034" t="str">
        <f>+J629&amp;K629</f>
        <v/>
      </c>
      <c r="J629" s="1035"/>
      <c r="K629" s="1035"/>
      <c r="L629" s="1034" t="str">
        <f>+M629&amp;N629</f>
        <v/>
      </c>
      <c r="M629" s="1033"/>
      <c r="N629" s="1035"/>
      <c r="O629" s="1036" t="str">
        <f>+P629&amp;Q629</f>
        <v/>
      </c>
      <c r="P629" s="1042"/>
      <c r="Q629" s="1042"/>
      <c r="R629" s="1034" t="str">
        <f>+S629&amp;T629</f>
        <v/>
      </c>
      <c r="S629" s="1035"/>
      <c r="T629" s="1035"/>
      <c r="U629" s="1034" t="str">
        <f>+V629&amp;W629</f>
        <v/>
      </c>
      <c r="V629" s="1035"/>
      <c r="W629" s="1035"/>
      <c r="X629" s="1037" t="str">
        <f t="shared" ref="X629:X635" si="138">+Y629&amp;Z629</f>
        <v>221</v>
      </c>
      <c r="Y629" s="1035">
        <v>22</v>
      </c>
      <c r="Z629" s="1035">
        <f t="shared" si="133"/>
        <v>1</v>
      </c>
      <c r="AA629" s="1035"/>
      <c r="AB629" s="1035"/>
      <c r="AC629" s="1021">
        <v>114001</v>
      </c>
      <c r="AD629" s="1021" t="s">
        <v>220</v>
      </c>
      <c r="AE629" s="1022">
        <f>VLOOKUP(AC629,[5]Hoja1!$A$10:$K$1393,11,0)</f>
        <v>3293660985</v>
      </c>
      <c r="AF629" s="1025">
        <v>0</v>
      </c>
      <c r="AG629" s="1022">
        <f t="shared" si="134"/>
        <v>3293660985</v>
      </c>
      <c r="AH629" s="1022">
        <f t="shared" si="135"/>
        <v>3293661</v>
      </c>
      <c r="AJ629" s="445"/>
      <c r="AK629" s="448"/>
      <c r="AL629" s="445"/>
    </row>
    <row r="630" spans="1:38" s="467" customFormat="1" ht="12.75" customHeight="1">
      <c r="A630" s="1033">
        <v>5153500</v>
      </c>
      <c r="B630" s="1033" t="s">
        <v>1457</v>
      </c>
      <c r="C630" s="1034" t="str">
        <f t="shared" si="126"/>
        <v/>
      </c>
      <c r="D630" s="1033"/>
      <c r="E630" s="1033"/>
      <c r="F630" s="1034" t="str">
        <f t="shared" si="127"/>
        <v/>
      </c>
      <c r="G630" s="1033"/>
      <c r="H630" s="1033"/>
      <c r="I630" s="1034" t="str">
        <f t="shared" si="128"/>
        <v/>
      </c>
      <c r="J630" s="1035"/>
      <c r="K630" s="1035"/>
      <c r="L630" s="1034" t="str">
        <f t="shared" si="129"/>
        <v/>
      </c>
      <c r="M630" s="1033"/>
      <c r="N630" s="1035"/>
      <c r="O630" s="1036" t="str">
        <f t="shared" si="130"/>
        <v/>
      </c>
      <c r="P630" s="1042"/>
      <c r="Q630" s="1042"/>
      <c r="R630" s="1034" t="str">
        <f t="shared" si="131"/>
        <v/>
      </c>
      <c r="S630" s="1035"/>
      <c r="T630" s="1035"/>
      <c r="U630" s="1034" t="str">
        <f t="shared" si="132"/>
        <v/>
      </c>
      <c r="V630" s="1035"/>
      <c r="W630" s="1035"/>
      <c r="X630" s="1037" t="str">
        <f t="shared" si="138"/>
        <v>221</v>
      </c>
      <c r="Y630" s="1035">
        <v>22</v>
      </c>
      <c r="Z630" s="1035">
        <f t="shared" si="133"/>
        <v>1</v>
      </c>
      <c r="AA630" s="1035"/>
      <c r="AB630" s="1035"/>
      <c r="AC630" s="1021">
        <v>114002</v>
      </c>
      <c r="AD630" s="1021" t="s">
        <v>1645</v>
      </c>
      <c r="AE630" s="1022">
        <f>VLOOKUP(AC630,[5]Hoja1!$A$10:$K$1393,11,0)</f>
        <v>30783870441</v>
      </c>
      <c r="AF630" s="1191">
        <v>-30783870441</v>
      </c>
      <c r="AG630" s="1022">
        <f t="shared" si="134"/>
        <v>0</v>
      </c>
      <c r="AH630" s="1193">
        <f t="shared" si="135"/>
        <v>0</v>
      </c>
      <c r="AI630" s="445"/>
      <c r="AJ630" s="445"/>
      <c r="AK630" s="448"/>
      <c r="AL630" s="445"/>
    </row>
    <row r="631" spans="1:38" s="467" customFormat="1" ht="12.75" customHeight="1">
      <c r="A631" s="1033">
        <v>5116200</v>
      </c>
      <c r="B631" s="1033" t="s">
        <v>2732</v>
      </c>
      <c r="C631" s="1034" t="str">
        <f t="shared" si="126"/>
        <v/>
      </c>
      <c r="D631" s="1033"/>
      <c r="E631" s="1033"/>
      <c r="F631" s="1034" t="str">
        <f t="shared" si="127"/>
        <v/>
      </c>
      <c r="G631" s="1033"/>
      <c r="H631" s="1033"/>
      <c r="I631" s="1034" t="str">
        <f t="shared" si="128"/>
        <v/>
      </c>
      <c r="J631" s="1035"/>
      <c r="K631" s="1035"/>
      <c r="L631" s="1034" t="str">
        <f t="shared" si="129"/>
        <v/>
      </c>
      <c r="M631" s="1033"/>
      <c r="N631" s="1035"/>
      <c r="O631" s="1036" t="str">
        <f t="shared" si="130"/>
        <v/>
      </c>
      <c r="P631" s="1042"/>
      <c r="Q631" s="1042"/>
      <c r="R631" s="1034" t="str">
        <f t="shared" si="131"/>
        <v/>
      </c>
      <c r="S631" s="1035"/>
      <c r="T631" s="1035"/>
      <c r="U631" s="1034" t="str">
        <f t="shared" si="132"/>
        <v/>
      </c>
      <c r="V631" s="1035"/>
      <c r="W631" s="1035"/>
      <c r="X631" s="1037" t="str">
        <f t="shared" si="138"/>
        <v>1</v>
      </c>
      <c r="Y631" s="1035"/>
      <c r="Z631" s="1035">
        <f t="shared" si="133"/>
        <v>1</v>
      </c>
      <c r="AA631" s="1033" t="s">
        <v>2915</v>
      </c>
      <c r="AB631" s="1033" t="s">
        <v>2912</v>
      </c>
      <c r="AC631" s="1021">
        <v>114003</v>
      </c>
      <c r="AD631" s="1021" t="s">
        <v>2134</v>
      </c>
      <c r="AE631" s="1022">
        <f>VLOOKUP(AC631,[5]Hoja1!$A$10:$K$1393,11,0)</f>
        <v>1338591598</v>
      </c>
      <c r="AF631" s="1022"/>
      <c r="AG631" s="1022">
        <f t="shared" si="134"/>
        <v>1338591598</v>
      </c>
      <c r="AH631" s="1191">
        <f t="shared" si="135"/>
        <v>1338592</v>
      </c>
      <c r="AI631" s="875">
        <v>0</v>
      </c>
      <c r="AK631" s="448"/>
      <c r="AL631" s="445"/>
    </row>
    <row r="632" spans="1:38" s="467" customFormat="1" ht="12.75" customHeight="1">
      <c r="A632" s="1033">
        <v>5153500</v>
      </c>
      <c r="B632" s="1033" t="s">
        <v>1457</v>
      </c>
      <c r="C632" s="1034" t="str">
        <f t="shared" si="126"/>
        <v/>
      </c>
      <c r="D632" s="1033"/>
      <c r="E632" s="1033"/>
      <c r="F632" s="1034" t="str">
        <f t="shared" si="127"/>
        <v/>
      </c>
      <c r="G632" s="1033"/>
      <c r="H632" s="1033"/>
      <c r="I632" s="1034" t="str">
        <f t="shared" si="128"/>
        <v/>
      </c>
      <c r="J632" s="1035"/>
      <c r="K632" s="1035"/>
      <c r="L632" s="1034" t="str">
        <f t="shared" si="129"/>
        <v/>
      </c>
      <c r="M632" s="1033"/>
      <c r="N632" s="1035"/>
      <c r="O632" s="1036" t="str">
        <f t="shared" si="130"/>
        <v/>
      </c>
      <c r="P632" s="1042"/>
      <c r="Q632" s="1042"/>
      <c r="R632" s="1034" t="str">
        <f t="shared" si="131"/>
        <v/>
      </c>
      <c r="S632" s="1035"/>
      <c r="T632" s="1035"/>
      <c r="U632" s="1034" t="str">
        <f t="shared" si="132"/>
        <v/>
      </c>
      <c r="V632" s="1035"/>
      <c r="W632" s="1035"/>
      <c r="X632" s="1037" t="str">
        <f t="shared" si="138"/>
        <v>221</v>
      </c>
      <c r="Y632" s="1035">
        <v>22</v>
      </c>
      <c r="Z632" s="1035">
        <f t="shared" si="133"/>
        <v>1</v>
      </c>
      <c r="AA632" s="1033" t="s">
        <v>2886</v>
      </c>
      <c r="AB632" s="1033" t="s">
        <v>2879</v>
      </c>
      <c r="AC632" s="1021">
        <v>114004</v>
      </c>
      <c r="AD632" s="1021" t="s">
        <v>2135</v>
      </c>
      <c r="AE632" s="1022">
        <f>VLOOKUP(AC632,[5]Hoja1!$A$10:$K$1393,11,0)</f>
        <v>327157</v>
      </c>
      <c r="AF632" s="1191">
        <f>-AE632</f>
        <v>-327157</v>
      </c>
      <c r="AG632" s="1022">
        <f t="shared" si="134"/>
        <v>0</v>
      </c>
      <c r="AH632" s="1022">
        <f t="shared" si="135"/>
        <v>0</v>
      </c>
      <c r="AK632" s="448"/>
      <c r="AL632" s="445"/>
    </row>
    <row r="633" spans="1:38" s="467" customFormat="1" ht="12.75" customHeight="1">
      <c r="A633" s="1033"/>
      <c r="B633" s="1033"/>
      <c r="C633" s="1034" t="str">
        <f t="shared" si="126"/>
        <v/>
      </c>
      <c r="D633" s="1033"/>
      <c r="E633" s="1033"/>
      <c r="F633" s="1034" t="str">
        <f t="shared" si="127"/>
        <v/>
      </c>
      <c r="G633" s="1033"/>
      <c r="H633" s="1033"/>
      <c r="I633" s="1034" t="str">
        <f t="shared" si="128"/>
        <v/>
      </c>
      <c r="J633" s="1035"/>
      <c r="K633" s="1035"/>
      <c r="L633" s="1034" t="str">
        <f t="shared" si="129"/>
        <v/>
      </c>
      <c r="M633" s="1033"/>
      <c r="N633" s="1035"/>
      <c r="O633" s="1036" t="str">
        <f t="shared" si="130"/>
        <v/>
      </c>
      <c r="P633" s="1042"/>
      <c r="Q633" s="1042"/>
      <c r="R633" s="1034" t="str">
        <f t="shared" si="131"/>
        <v/>
      </c>
      <c r="S633" s="1035"/>
      <c r="T633" s="1035"/>
      <c r="U633" s="1034" t="str">
        <f t="shared" si="132"/>
        <v/>
      </c>
      <c r="V633" s="1035"/>
      <c r="W633" s="1035"/>
      <c r="X633" s="1037" t="str">
        <f t="shared" si="138"/>
        <v>221</v>
      </c>
      <c r="Y633" s="1035">
        <v>22</v>
      </c>
      <c r="Z633" s="1035">
        <f t="shared" si="133"/>
        <v>1</v>
      </c>
      <c r="AA633" s="1035"/>
      <c r="AB633" s="1035"/>
      <c r="AC633" s="1021">
        <v>114005</v>
      </c>
      <c r="AD633" s="1021" t="s">
        <v>6</v>
      </c>
      <c r="AE633" s="1022">
        <v>0</v>
      </c>
      <c r="AF633" s="1022">
        <v>0</v>
      </c>
      <c r="AG633" s="1022">
        <f t="shared" si="134"/>
        <v>0</v>
      </c>
      <c r="AH633" s="1022">
        <f t="shared" si="135"/>
        <v>0</v>
      </c>
      <c r="AK633" s="448"/>
      <c r="AL633" s="445"/>
    </row>
    <row r="634" spans="1:38" s="467" customFormat="1" ht="12.75" customHeight="1">
      <c r="A634" s="1033">
        <v>5116100</v>
      </c>
      <c r="B634" s="1033" t="s">
        <v>2731</v>
      </c>
      <c r="C634" s="1034"/>
      <c r="D634" s="1033"/>
      <c r="E634" s="1033"/>
      <c r="F634" s="1034"/>
      <c r="G634" s="1033"/>
      <c r="H634" s="1033"/>
      <c r="I634" s="1034"/>
      <c r="J634" s="1035"/>
      <c r="K634" s="1035"/>
      <c r="L634" s="1034"/>
      <c r="M634" s="1033"/>
      <c r="N634" s="1035"/>
      <c r="O634" s="1036"/>
      <c r="P634" s="1042"/>
      <c r="Q634" s="1042"/>
      <c r="R634" s="1034"/>
      <c r="S634" s="1035"/>
      <c r="T634" s="1035"/>
      <c r="U634" s="1034"/>
      <c r="V634" s="1035"/>
      <c r="W634" s="1035"/>
      <c r="X634" s="1037" t="str">
        <f t="shared" si="138"/>
        <v>221</v>
      </c>
      <c r="Y634" s="1035">
        <v>22</v>
      </c>
      <c r="Z634" s="1035">
        <f t="shared" si="133"/>
        <v>1</v>
      </c>
      <c r="AA634" s="1035"/>
      <c r="AB634" s="1035"/>
      <c r="AC634" s="1021">
        <v>114006</v>
      </c>
      <c r="AD634" s="1021" t="s">
        <v>1255</v>
      </c>
      <c r="AE634" s="1022">
        <f>VLOOKUP(AC634,[5]Hoja1!$A$10:$K$1393,11,0)</f>
        <v>3448998669</v>
      </c>
      <c r="AF634" s="1022"/>
      <c r="AG634" s="1022">
        <f t="shared" si="134"/>
        <v>3448998669</v>
      </c>
      <c r="AH634" s="1022">
        <f t="shared" si="135"/>
        <v>3448999</v>
      </c>
      <c r="AK634" s="448"/>
      <c r="AL634" s="445"/>
    </row>
    <row r="635" spans="1:38" s="467" customFormat="1" ht="12.75" customHeight="1">
      <c r="A635" s="1033"/>
      <c r="B635" s="1033"/>
      <c r="C635" s="1034"/>
      <c r="D635" s="1033"/>
      <c r="E635" s="1033"/>
      <c r="F635" s="1034"/>
      <c r="G635" s="1033"/>
      <c r="H635" s="1033"/>
      <c r="I635" s="1034"/>
      <c r="J635" s="1035"/>
      <c r="K635" s="1035"/>
      <c r="L635" s="1034"/>
      <c r="M635" s="1033"/>
      <c r="N635" s="1035"/>
      <c r="O635" s="1036"/>
      <c r="P635" s="1042"/>
      <c r="Q635" s="1042"/>
      <c r="R635" s="1034"/>
      <c r="S635" s="1035"/>
      <c r="T635" s="1035"/>
      <c r="U635" s="1034"/>
      <c r="V635" s="1035"/>
      <c r="W635" s="1035"/>
      <c r="X635" s="1037" t="str">
        <f t="shared" si="138"/>
        <v>221</v>
      </c>
      <c r="Y635" s="1035">
        <v>22</v>
      </c>
      <c r="Z635" s="1035">
        <f t="shared" si="133"/>
        <v>1</v>
      </c>
      <c r="AA635" s="1035"/>
      <c r="AB635" s="1035"/>
      <c r="AC635" s="1021">
        <v>114007</v>
      </c>
      <c r="AD635" s="1021" t="s">
        <v>2136</v>
      </c>
      <c r="AE635" s="1022">
        <f>VLOOKUP(AC635,[5]Hoja1!$A$10:$K$1393,11,0)</f>
        <v>0</v>
      </c>
      <c r="AF635" s="1022">
        <v>0</v>
      </c>
      <c r="AG635" s="1022">
        <f t="shared" si="134"/>
        <v>0</v>
      </c>
      <c r="AH635" s="1022">
        <f t="shared" si="135"/>
        <v>0</v>
      </c>
      <c r="AK635" s="448"/>
      <c r="AL635" s="445"/>
    </row>
    <row r="636" spans="1:38" s="467" customFormat="1" ht="12.75" customHeight="1">
      <c r="A636" s="1033">
        <v>5151200</v>
      </c>
      <c r="B636" s="1033" t="s">
        <v>2763</v>
      </c>
      <c r="C636" s="1034"/>
      <c r="D636" s="1033"/>
      <c r="E636" s="1033"/>
      <c r="F636" s="1034"/>
      <c r="G636" s="1033"/>
      <c r="H636" s="1033"/>
      <c r="I636" s="1034"/>
      <c r="J636" s="1035"/>
      <c r="K636" s="1035"/>
      <c r="L636" s="1034"/>
      <c r="M636" s="1033"/>
      <c r="N636" s="1035"/>
      <c r="O636" s="1036"/>
      <c r="P636" s="1042"/>
      <c r="Q636" s="1042"/>
      <c r="R636" s="1034"/>
      <c r="S636" s="1035"/>
      <c r="T636" s="1035"/>
      <c r="U636" s="1034"/>
      <c r="V636" s="1035"/>
      <c r="W636" s="1035"/>
      <c r="X636" s="1037"/>
      <c r="Y636" s="1035"/>
      <c r="Z636" s="1035">
        <f t="shared" si="133"/>
        <v>1</v>
      </c>
      <c r="AA636" s="1035"/>
      <c r="AB636" s="1035"/>
      <c r="AC636" s="1021">
        <v>114008</v>
      </c>
      <c r="AD636" s="1021" t="s">
        <v>1104</v>
      </c>
      <c r="AE636" s="1022">
        <f>VLOOKUP(AC636,[5]Hoja1!$A$10:$K$1393,11,0)</f>
        <v>451644280</v>
      </c>
      <c r="AF636" s="1022"/>
      <c r="AG636" s="1022">
        <f t="shared" si="134"/>
        <v>451644280</v>
      </c>
      <c r="AH636" s="1191">
        <f t="shared" si="135"/>
        <v>451644</v>
      </c>
      <c r="AK636" s="448"/>
      <c r="AL636" s="445"/>
    </row>
    <row r="637" spans="1:38" s="467" customFormat="1" ht="12.75" customHeight="1">
      <c r="A637" s="1033">
        <v>5151200</v>
      </c>
      <c r="B637" s="1033" t="s">
        <v>2763</v>
      </c>
      <c r="C637" s="1034"/>
      <c r="D637" s="1033"/>
      <c r="E637" s="1033"/>
      <c r="F637" s="1034"/>
      <c r="G637" s="1033"/>
      <c r="H637" s="1033"/>
      <c r="I637" s="1034"/>
      <c r="J637" s="1035"/>
      <c r="K637" s="1035"/>
      <c r="L637" s="1034"/>
      <c r="M637" s="1033"/>
      <c r="N637" s="1035"/>
      <c r="O637" s="1036"/>
      <c r="P637" s="1042"/>
      <c r="Q637" s="1042"/>
      <c r="R637" s="1034"/>
      <c r="S637" s="1035"/>
      <c r="T637" s="1035"/>
      <c r="U637" s="1034"/>
      <c r="V637" s="1035"/>
      <c r="W637" s="1035"/>
      <c r="X637" s="1037"/>
      <c r="Y637" s="1035"/>
      <c r="Z637" s="1035">
        <f t="shared" si="133"/>
        <v>1</v>
      </c>
      <c r="AA637" s="1035"/>
      <c r="AB637" s="1035"/>
      <c r="AC637" s="1021">
        <v>114009</v>
      </c>
      <c r="AD637" s="1021" t="s">
        <v>195</v>
      </c>
      <c r="AE637" s="1022">
        <f>VLOOKUP(AC637,[5]Hoja1!$A$10:$K$1393,11,0)</f>
        <v>0</v>
      </c>
      <c r="AF637" s="1022">
        <f>-AE637</f>
        <v>0</v>
      </c>
      <c r="AG637" s="1022">
        <f t="shared" si="134"/>
        <v>0</v>
      </c>
      <c r="AH637" s="1022">
        <f t="shared" si="135"/>
        <v>0</v>
      </c>
      <c r="AK637" s="448"/>
      <c r="AL637" s="445"/>
    </row>
    <row r="638" spans="1:38" s="467" customFormat="1" ht="12.75" customHeight="1">
      <c r="A638" s="1033">
        <v>5151200</v>
      </c>
      <c r="B638" s="1033" t="s">
        <v>2763</v>
      </c>
      <c r="C638" s="1034"/>
      <c r="D638" s="1033"/>
      <c r="E638" s="1033"/>
      <c r="F638" s="1034"/>
      <c r="G638" s="1033"/>
      <c r="H638" s="1033"/>
      <c r="I638" s="1034"/>
      <c r="J638" s="1035"/>
      <c r="K638" s="1035"/>
      <c r="L638" s="1034"/>
      <c r="M638" s="1033"/>
      <c r="N638" s="1035"/>
      <c r="O638" s="1036"/>
      <c r="P638" s="1042"/>
      <c r="Q638" s="1042"/>
      <c r="R638" s="1034"/>
      <c r="S638" s="1035"/>
      <c r="T638" s="1035"/>
      <c r="U638" s="1034"/>
      <c r="V638" s="1035"/>
      <c r="W638" s="1035"/>
      <c r="X638" s="1037"/>
      <c r="Y638" s="1035"/>
      <c r="Z638" s="1035">
        <f t="shared" si="133"/>
        <v>1</v>
      </c>
      <c r="AA638" s="1035"/>
      <c r="AB638" s="1035"/>
      <c r="AC638" s="1021">
        <v>114010</v>
      </c>
      <c r="AD638" s="1021" t="s">
        <v>2137</v>
      </c>
      <c r="AE638" s="1022">
        <f>VLOOKUP(AC638,[5]Hoja1!$A$10:$K$1393,11,0)</f>
        <v>-451644279</v>
      </c>
      <c r="AF638" s="1022"/>
      <c r="AG638" s="1022">
        <f t="shared" si="134"/>
        <v>-451644279</v>
      </c>
      <c r="AH638" s="1191">
        <f t="shared" si="135"/>
        <v>-451644</v>
      </c>
      <c r="AK638" s="448"/>
      <c r="AL638" s="445"/>
    </row>
    <row r="639" spans="1:38" s="467" customFormat="1" ht="12.75" customHeight="1">
      <c r="A639" s="1033">
        <v>5153500</v>
      </c>
      <c r="B639" s="1033" t="s">
        <v>1457</v>
      </c>
      <c r="C639" s="1034"/>
      <c r="D639" s="1033"/>
      <c r="E639" s="1033"/>
      <c r="F639" s="1034"/>
      <c r="G639" s="1033"/>
      <c r="H639" s="1033"/>
      <c r="I639" s="1034"/>
      <c r="J639" s="1035"/>
      <c r="K639" s="1035"/>
      <c r="L639" s="1034"/>
      <c r="M639" s="1033"/>
      <c r="N639" s="1035"/>
      <c r="O639" s="1036"/>
      <c r="P639" s="1042"/>
      <c r="Q639" s="1042"/>
      <c r="R639" s="1034"/>
      <c r="S639" s="1035"/>
      <c r="T639" s="1035"/>
      <c r="U639" s="1034"/>
      <c r="V639" s="1035"/>
      <c r="W639" s="1035"/>
      <c r="X639" s="1037" t="str">
        <f>+Y639&amp;Z639</f>
        <v>221</v>
      </c>
      <c r="Y639" s="1035">
        <v>22</v>
      </c>
      <c r="Z639" s="1035">
        <f t="shared" si="133"/>
        <v>1</v>
      </c>
      <c r="AA639" s="1033" t="s">
        <v>2886</v>
      </c>
      <c r="AB639" s="1033" t="s">
        <v>2881</v>
      </c>
      <c r="AC639" s="1021">
        <v>114011</v>
      </c>
      <c r="AD639" s="1021" t="s">
        <v>2138</v>
      </c>
      <c r="AE639" s="1022">
        <f>VLOOKUP(AC639,[5]Hoja1!$A$10:$K$1393,11,0)</f>
        <v>182526334</v>
      </c>
      <c r="AF639" s="1022">
        <f>-AF629</f>
        <v>0</v>
      </c>
      <c r="AG639" s="1022">
        <f t="shared" si="134"/>
        <v>182526334</v>
      </c>
      <c r="AH639" s="1022">
        <f t="shared" si="135"/>
        <v>182526</v>
      </c>
      <c r="AK639" s="448"/>
      <c r="AL639" s="445"/>
    </row>
    <row r="640" spans="1:38" s="467" customFormat="1" ht="12.75" customHeight="1">
      <c r="A640" s="1033">
        <v>5153500</v>
      </c>
      <c r="B640" s="1033" t="s">
        <v>1457</v>
      </c>
      <c r="C640" s="1034"/>
      <c r="D640" s="1033"/>
      <c r="E640" s="1033"/>
      <c r="F640" s="1034"/>
      <c r="G640" s="1033"/>
      <c r="H640" s="1033"/>
      <c r="I640" s="1034"/>
      <c r="J640" s="1035"/>
      <c r="K640" s="1035"/>
      <c r="L640" s="1034"/>
      <c r="M640" s="1033"/>
      <c r="N640" s="1035"/>
      <c r="O640" s="1036"/>
      <c r="P640" s="1042"/>
      <c r="Q640" s="1042"/>
      <c r="R640" s="1034"/>
      <c r="S640" s="1035"/>
      <c r="T640" s="1035"/>
      <c r="U640" s="1034"/>
      <c r="V640" s="1035"/>
      <c r="W640" s="1035"/>
      <c r="X640" s="1037" t="str">
        <f>+Y640&amp;Z640</f>
        <v>221</v>
      </c>
      <c r="Y640" s="1035">
        <v>22</v>
      </c>
      <c r="Z640" s="1035">
        <f t="shared" si="133"/>
        <v>1</v>
      </c>
      <c r="AA640" s="1033" t="s">
        <v>2886</v>
      </c>
      <c r="AB640" s="1033" t="s">
        <v>2881</v>
      </c>
      <c r="AC640" s="1021">
        <v>114012</v>
      </c>
      <c r="AD640" s="1021" t="s">
        <v>2139</v>
      </c>
      <c r="AE640" s="1022">
        <f>VLOOKUP(AC640,[5]Hoja1!$A$10:$K$1393,11,0)</f>
        <v>176918463</v>
      </c>
      <c r="AF640" s="1022"/>
      <c r="AG640" s="1022">
        <f t="shared" si="134"/>
        <v>176918463</v>
      </c>
      <c r="AH640" s="1022">
        <f t="shared" si="135"/>
        <v>176918</v>
      </c>
      <c r="AK640" s="448"/>
      <c r="AL640" s="445"/>
    </row>
    <row r="641" spans="1:38" s="467" customFormat="1" ht="12.75" customHeight="1">
      <c r="A641" s="1033"/>
      <c r="B641" s="1033"/>
      <c r="C641" s="1034"/>
      <c r="D641" s="1033"/>
      <c r="E641" s="1033"/>
      <c r="F641" s="1034"/>
      <c r="G641" s="1033"/>
      <c r="H641" s="1033"/>
      <c r="I641" s="1034"/>
      <c r="J641" s="1035"/>
      <c r="K641" s="1035"/>
      <c r="L641" s="1034"/>
      <c r="M641" s="1033"/>
      <c r="N641" s="1035"/>
      <c r="O641" s="1036"/>
      <c r="P641" s="1042"/>
      <c r="Q641" s="1042"/>
      <c r="R641" s="1034"/>
      <c r="S641" s="1035"/>
      <c r="T641" s="1035"/>
      <c r="U641" s="1034"/>
      <c r="V641" s="1035"/>
      <c r="W641" s="1035"/>
      <c r="X641" s="1037" t="str">
        <f>+Y641&amp;Z641</f>
        <v>221</v>
      </c>
      <c r="Y641" s="1035">
        <v>22</v>
      </c>
      <c r="Z641" s="1035">
        <f t="shared" si="133"/>
        <v>1</v>
      </c>
      <c r="AA641" s="1035"/>
      <c r="AB641" s="1035"/>
      <c r="AC641" s="1021">
        <v>114013</v>
      </c>
      <c r="AD641" s="1021" t="s">
        <v>172</v>
      </c>
      <c r="AE641" s="1022">
        <f>VLOOKUP(AC641,[5]Hoja1!$A$10:$K$1393,11,0)</f>
        <v>0</v>
      </c>
      <c r="AF641" s="1022">
        <f>-AF964</f>
        <v>0</v>
      </c>
      <c r="AG641" s="1022">
        <f t="shared" si="134"/>
        <v>0</v>
      </c>
      <c r="AH641" s="1022">
        <f t="shared" si="135"/>
        <v>0</v>
      </c>
      <c r="AK641" s="448"/>
      <c r="AL641" s="445"/>
    </row>
    <row r="642" spans="1:38" s="467" customFormat="1" ht="12.75" customHeight="1">
      <c r="A642" s="1033">
        <v>5121000</v>
      </c>
      <c r="B642" s="1033" t="s">
        <v>2734</v>
      </c>
      <c r="C642" s="1034" t="str">
        <f>+D642&amp;E642</f>
        <v/>
      </c>
      <c r="D642" s="1033"/>
      <c r="E642" s="1033"/>
      <c r="F642" s="1034" t="str">
        <f>+G642&amp;H642</f>
        <v/>
      </c>
      <c r="G642" s="1033"/>
      <c r="H642" s="1033"/>
      <c r="I642" s="1034" t="str">
        <f>+J642&amp;K642</f>
        <v/>
      </c>
      <c r="J642" s="1035"/>
      <c r="K642" s="1035"/>
      <c r="L642" s="1034" t="str">
        <f>+M642&amp;N642</f>
        <v/>
      </c>
      <c r="M642" s="1033"/>
      <c r="N642" s="1035"/>
      <c r="O642" s="1036" t="str">
        <f>+P642&amp;Q642</f>
        <v/>
      </c>
      <c r="P642" s="1042"/>
      <c r="Q642" s="1042"/>
      <c r="R642" s="1034" t="str">
        <f>+S642&amp;T642</f>
        <v/>
      </c>
      <c r="S642" s="1035"/>
      <c r="T642" s="1035"/>
      <c r="U642" s="1034" t="str">
        <f>+V642&amp;W642</f>
        <v/>
      </c>
      <c r="V642" s="1035"/>
      <c r="W642" s="1035"/>
      <c r="X642" s="1037" t="str">
        <f>+Y642&amp;Z642</f>
        <v>221</v>
      </c>
      <c r="Y642" s="1035">
        <v>22</v>
      </c>
      <c r="Z642" s="1035">
        <f t="shared" si="133"/>
        <v>1</v>
      </c>
      <c r="AA642" s="1035"/>
      <c r="AB642" s="1035"/>
      <c r="AC642" s="1021">
        <v>114014</v>
      </c>
      <c r="AD642" s="1021" t="s">
        <v>2140</v>
      </c>
      <c r="AE642" s="1022">
        <f>VLOOKUP(AC642,[5]Hoja1!$A$10:$K$1393,11,0)</f>
        <v>-81372329</v>
      </c>
      <c r="AF642" s="1022">
        <v>0</v>
      </c>
      <c r="AG642" s="1022">
        <f t="shared" si="134"/>
        <v>-81372329</v>
      </c>
      <c r="AH642" s="1022">
        <f t="shared" si="135"/>
        <v>-81372</v>
      </c>
      <c r="AK642" s="448"/>
      <c r="AL642" s="445"/>
    </row>
    <row r="643" spans="1:38" s="467" customFormat="1" ht="12.75" customHeight="1">
      <c r="A643" s="1033">
        <v>5153500</v>
      </c>
      <c r="B643" s="1033" t="s">
        <v>1457</v>
      </c>
      <c r="C643" s="1034"/>
      <c r="D643" s="1033"/>
      <c r="E643" s="1033"/>
      <c r="F643" s="1034"/>
      <c r="G643" s="1033"/>
      <c r="H643" s="1033"/>
      <c r="I643" s="1034"/>
      <c r="J643" s="1035"/>
      <c r="K643" s="1035"/>
      <c r="L643" s="1034"/>
      <c r="M643" s="1033"/>
      <c r="N643" s="1035"/>
      <c r="O643" s="1036"/>
      <c r="P643" s="1042"/>
      <c r="Q643" s="1042"/>
      <c r="R643" s="1034"/>
      <c r="S643" s="1035"/>
      <c r="T643" s="1035"/>
      <c r="U643" s="1034"/>
      <c r="V643" s="1035"/>
      <c r="W643" s="1035"/>
      <c r="X643" s="1037" t="str">
        <f>+Y643&amp;Z643</f>
        <v>221</v>
      </c>
      <c r="Y643" s="1035">
        <v>22</v>
      </c>
      <c r="Z643" s="1035">
        <f t="shared" si="133"/>
        <v>1</v>
      </c>
      <c r="AA643" s="1033" t="s">
        <v>2886</v>
      </c>
      <c r="AB643" s="1033" t="s">
        <v>2882</v>
      </c>
      <c r="AC643" s="1021">
        <v>114015</v>
      </c>
      <c r="AD643" s="1021" t="s">
        <v>2141</v>
      </c>
      <c r="AE643" s="1022">
        <f>VLOOKUP(AC643,[5]Hoja1!$A$10:$K$1393,11,0)</f>
        <v>0</v>
      </c>
      <c r="AF643" s="1022">
        <f>-AF992</f>
        <v>0</v>
      </c>
      <c r="AG643" s="1022">
        <f t="shared" si="134"/>
        <v>0</v>
      </c>
      <c r="AH643" s="1022">
        <f t="shared" si="135"/>
        <v>0</v>
      </c>
      <c r="AK643" s="448"/>
      <c r="AL643" s="445"/>
    </row>
    <row r="644" spans="1:38" s="467" customFormat="1" ht="12.75" customHeight="1">
      <c r="A644" s="1033">
        <v>5153500</v>
      </c>
      <c r="B644" s="1033" t="s">
        <v>1457</v>
      </c>
      <c r="C644" s="1034"/>
      <c r="D644" s="1033"/>
      <c r="E644" s="1033"/>
      <c r="F644" s="1034"/>
      <c r="G644" s="1033"/>
      <c r="H644" s="1033"/>
      <c r="I644" s="1034"/>
      <c r="J644" s="1035"/>
      <c r="K644" s="1035"/>
      <c r="L644" s="1034"/>
      <c r="M644" s="1033"/>
      <c r="N644" s="1035"/>
      <c r="O644" s="1036"/>
      <c r="P644" s="1042"/>
      <c r="Q644" s="1042"/>
      <c r="R644" s="1034"/>
      <c r="S644" s="1035"/>
      <c r="T644" s="1035"/>
      <c r="U644" s="1034"/>
      <c r="V644" s="1035"/>
      <c r="W644" s="1035"/>
      <c r="X644" s="1037"/>
      <c r="Y644" s="1035"/>
      <c r="Z644" s="1035">
        <f t="shared" si="133"/>
        <v>1</v>
      </c>
      <c r="AA644" s="1033" t="s">
        <v>2886</v>
      </c>
      <c r="AB644" s="1033" t="s">
        <v>2879</v>
      </c>
      <c r="AC644" s="1021">
        <v>114017</v>
      </c>
      <c r="AD644" s="1021" t="s">
        <v>2142</v>
      </c>
      <c r="AE644" s="1022">
        <f>VLOOKUP(AC644,[5]Hoja1!$A$10:$K$1393,11,0)</f>
        <v>135581180</v>
      </c>
      <c r="AF644" s="1191">
        <f>-AF1033</f>
        <v>-135581180</v>
      </c>
      <c r="AG644" s="1022">
        <f t="shared" si="134"/>
        <v>0</v>
      </c>
      <c r="AH644" s="1022">
        <f t="shared" si="135"/>
        <v>0</v>
      </c>
      <c r="AK644" s="448"/>
      <c r="AL644" s="445"/>
    </row>
    <row r="645" spans="1:38" s="467" customFormat="1" ht="12.75" customHeight="1">
      <c r="A645" s="1033">
        <v>5153500</v>
      </c>
      <c r="B645" s="1033" t="s">
        <v>1457</v>
      </c>
      <c r="C645" s="1034"/>
      <c r="D645" s="1033"/>
      <c r="E645" s="1033"/>
      <c r="F645" s="1034"/>
      <c r="G645" s="1033"/>
      <c r="H645" s="1033"/>
      <c r="I645" s="1034"/>
      <c r="J645" s="1035"/>
      <c r="K645" s="1035"/>
      <c r="L645" s="1034"/>
      <c r="M645" s="1033"/>
      <c r="N645" s="1035"/>
      <c r="O645" s="1036"/>
      <c r="P645" s="1042"/>
      <c r="Q645" s="1042"/>
      <c r="R645" s="1034"/>
      <c r="S645" s="1035"/>
      <c r="T645" s="1035"/>
      <c r="U645" s="1034"/>
      <c r="V645" s="1035"/>
      <c r="W645" s="1035"/>
      <c r="X645" s="1037"/>
      <c r="Y645" s="1035"/>
      <c r="Z645" s="1035">
        <f t="shared" si="133"/>
        <v>1</v>
      </c>
      <c r="AA645" s="1033" t="s">
        <v>2886</v>
      </c>
      <c r="AB645" s="1033" t="s">
        <v>2879</v>
      </c>
      <c r="AC645" s="1021">
        <v>114018</v>
      </c>
      <c r="AD645" s="1021" t="s">
        <v>2143</v>
      </c>
      <c r="AE645" s="1022">
        <f>VLOOKUP(AC645,[5]Hoja1!$A$10:$K$1393,11,0)</f>
        <v>9655496167</v>
      </c>
      <c r="AF645" s="1191">
        <f>-AF1034</f>
        <v>-9655496167</v>
      </c>
      <c r="AG645" s="1022">
        <f t="shared" si="134"/>
        <v>0</v>
      </c>
      <c r="AH645" s="1022">
        <f t="shared" si="135"/>
        <v>0</v>
      </c>
      <c r="AK645" s="448"/>
      <c r="AL645" s="445"/>
    </row>
    <row r="646" spans="1:38" s="467" customFormat="1" ht="12.75" customHeight="1">
      <c r="A646" s="1033">
        <v>5141100</v>
      </c>
      <c r="B646" s="1033" t="s">
        <v>2742</v>
      </c>
      <c r="C646" s="1034"/>
      <c r="D646" s="1033"/>
      <c r="E646" s="1033"/>
      <c r="F646" s="1034"/>
      <c r="G646" s="1033"/>
      <c r="H646" s="1033"/>
      <c r="I646" s="1034"/>
      <c r="J646" s="1035"/>
      <c r="K646" s="1035"/>
      <c r="L646" s="1034"/>
      <c r="M646" s="1033"/>
      <c r="N646" s="1035"/>
      <c r="O646" s="1036"/>
      <c r="P646" s="1042"/>
      <c r="Q646" s="1042"/>
      <c r="R646" s="1034"/>
      <c r="S646" s="1035"/>
      <c r="T646" s="1035"/>
      <c r="U646" s="1034"/>
      <c r="V646" s="1035"/>
      <c r="W646" s="1035"/>
      <c r="X646" s="1037"/>
      <c r="Y646" s="1035"/>
      <c r="Z646" s="1035">
        <f t="shared" si="133"/>
        <v>1</v>
      </c>
      <c r="AA646" s="1035"/>
      <c r="AB646" s="1035"/>
      <c r="AC646" s="1021">
        <v>114019</v>
      </c>
      <c r="AD646" s="1021" t="s">
        <v>2144</v>
      </c>
      <c r="AE646" s="1022">
        <f>VLOOKUP(AC646,[5]Hoja1!$A$10:$K$1393,11,0)</f>
        <v>0</v>
      </c>
      <c r="AF646" s="1022"/>
      <c r="AG646" s="1022">
        <f t="shared" si="134"/>
        <v>0</v>
      </c>
      <c r="AH646" s="1022">
        <f t="shared" si="135"/>
        <v>0</v>
      </c>
      <c r="AK646" s="448"/>
      <c r="AL646" s="445"/>
    </row>
    <row r="647" spans="1:38" s="467" customFormat="1" ht="12.75" customHeight="1">
      <c r="A647" s="1033">
        <v>5121000</v>
      </c>
      <c r="B647" s="1033" t="s">
        <v>2734</v>
      </c>
      <c r="C647" s="1034"/>
      <c r="D647" s="1033"/>
      <c r="E647" s="1033"/>
      <c r="F647" s="1034"/>
      <c r="G647" s="1033"/>
      <c r="H647" s="1033"/>
      <c r="I647" s="1034"/>
      <c r="J647" s="1035"/>
      <c r="K647" s="1035"/>
      <c r="L647" s="1034"/>
      <c r="M647" s="1033"/>
      <c r="N647" s="1035"/>
      <c r="O647" s="1036"/>
      <c r="P647" s="1042"/>
      <c r="Q647" s="1042"/>
      <c r="R647" s="1034"/>
      <c r="S647" s="1035"/>
      <c r="T647" s="1035"/>
      <c r="U647" s="1034"/>
      <c r="V647" s="1035"/>
      <c r="W647" s="1035"/>
      <c r="X647" s="1037"/>
      <c r="Y647" s="1035"/>
      <c r="Z647" s="1035">
        <f t="shared" si="133"/>
        <v>1</v>
      </c>
      <c r="AA647" s="1035"/>
      <c r="AB647" s="1035"/>
      <c r="AC647" s="1023">
        <v>114027</v>
      </c>
      <c r="AD647" s="1021" t="s">
        <v>2702</v>
      </c>
      <c r="AE647" s="1022">
        <f>VLOOKUP(AC647,[5]Hoja1!$A$10:$K$1393,11,0)</f>
        <v>0</v>
      </c>
      <c r="AF647" s="1022"/>
      <c r="AG647" s="1022">
        <f t="shared" si="134"/>
        <v>0</v>
      </c>
      <c r="AH647" s="1022">
        <f t="shared" si="135"/>
        <v>0</v>
      </c>
      <c r="AK647" s="448"/>
      <c r="AL647" s="445"/>
    </row>
    <row r="648" spans="1:38" s="467" customFormat="1" ht="12.75" customHeight="1">
      <c r="A648" s="1033">
        <v>5153500</v>
      </c>
      <c r="B648" s="1033" t="s">
        <v>1457</v>
      </c>
      <c r="C648" s="1034"/>
      <c r="D648" s="1033"/>
      <c r="E648" s="1033"/>
      <c r="F648" s="1034"/>
      <c r="G648" s="1033"/>
      <c r="H648" s="1033"/>
      <c r="I648" s="1034"/>
      <c r="J648" s="1035"/>
      <c r="K648" s="1035"/>
      <c r="L648" s="1034"/>
      <c r="M648" s="1033"/>
      <c r="N648" s="1035"/>
      <c r="O648" s="1036"/>
      <c r="P648" s="1042"/>
      <c r="Q648" s="1042"/>
      <c r="R648" s="1034"/>
      <c r="S648" s="1035"/>
      <c r="T648" s="1035"/>
      <c r="U648" s="1034"/>
      <c r="V648" s="1035"/>
      <c r="W648" s="1035"/>
      <c r="X648" s="1037"/>
      <c r="Y648" s="1035"/>
      <c r="Z648" s="1035">
        <f t="shared" si="133"/>
        <v>1</v>
      </c>
      <c r="AA648" s="1033" t="s">
        <v>2886</v>
      </c>
      <c r="AB648" s="1033" t="s">
        <v>2881</v>
      </c>
      <c r="AC648" s="1023">
        <v>114028</v>
      </c>
      <c r="AD648" s="1021" t="s">
        <v>2887</v>
      </c>
      <c r="AE648" s="1022">
        <f>VLOOKUP(AC648,[5]Hoja1!$A$10:$K$1393,11,0)</f>
        <v>-186837262</v>
      </c>
      <c r="AF648" s="1022"/>
      <c r="AG648" s="1022">
        <f t="shared" si="134"/>
        <v>-186837262</v>
      </c>
      <c r="AH648" s="1022">
        <f t="shared" si="135"/>
        <v>-186837</v>
      </c>
      <c r="AK648" s="448"/>
      <c r="AL648" s="445"/>
    </row>
    <row r="649" spans="1:38" s="467" customFormat="1" ht="12.75" customHeight="1">
      <c r="A649" s="1033">
        <v>5153500</v>
      </c>
      <c r="B649" s="1033" t="s">
        <v>1457</v>
      </c>
      <c r="C649" s="1034"/>
      <c r="D649" s="1033"/>
      <c r="E649" s="1033"/>
      <c r="F649" s="1034"/>
      <c r="G649" s="1033"/>
      <c r="H649" s="1033"/>
      <c r="I649" s="1034"/>
      <c r="J649" s="1035"/>
      <c r="K649" s="1035"/>
      <c r="L649" s="1034"/>
      <c r="M649" s="1033"/>
      <c r="N649" s="1035"/>
      <c r="O649" s="1036"/>
      <c r="P649" s="1042"/>
      <c r="Q649" s="1042"/>
      <c r="R649" s="1034"/>
      <c r="S649" s="1035"/>
      <c r="T649" s="1035"/>
      <c r="U649" s="1034"/>
      <c r="V649" s="1035"/>
      <c r="W649" s="1035"/>
      <c r="X649" s="1037"/>
      <c r="Y649" s="1035"/>
      <c r="Z649" s="1035">
        <f t="shared" si="133"/>
        <v>1</v>
      </c>
      <c r="AA649" s="1033" t="s">
        <v>2886</v>
      </c>
      <c r="AB649" s="1033" t="s">
        <v>2881</v>
      </c>
      <c r="AC649" s="1023">
        <v>114029</v>
      </c>
      <c r="AD649" s="1021" t="s">
        <v>2888</v>
      </c>
      <c r="AE649" s="1022">
        <f>VLOOKUP(AC649,[5]Hoja1!$A$10:$K$1393,11,0)</f>
        <v>-100834438</v>
      </c>
      <c r="AF649" s="1022"/>
      <c r="AG649" s="1022">
        <f t="shared" si="134"/>
        <v>-100834438</v>
      </c>
      <c r="AH649" s="1022">
        <f t="shared" si="135"/>
        <v>-100834</v>
      </c>
      <c r="AK649" s="448"/>
      <c r="AL649" s="445"/>
    </row>
    <row r="650" spans="1:38" s="467" customFormat="1" ht="12.75" customHeight="1">
      <c r="A650" s="1033">
        <v>5121000</v>
      </c>
      <c r="B650" s="1033" t="s">
        <v>2734</v>
      </c>
      <c r="C650" s="1034"/>
      <c r="D650" s="1033"/>
      <c r="E650" s="1033"/>
      <c r="F650" s="1034"/>
      <c r="G650" s="1033"/>
      <c r="H650" s="1033"/>
      <c r="I650" s="1034"/>
      <c r="J650" s="1035"/>
      <c r="K650" s="1035"/>
      <c r="L650" s="1034"/>
      <c r="M650" s="1033"/>
      <c r="N650" s="1035"/>
      <c r="O650" s="1036"/>
      <c r="P650" s="1042"/>
      <c r="Q650" s="1042"/>
      <c r="R650" s="1034"/>
      <c r="S650" s="1035"/>
      <c r="T650" s="1035"/>
      <c r="U650" s="1034"/>
      <c r="V650" s="1035"/>
      <c r="W650" s="1035"/>
      <c r="X650" s="1037"/>
      <c r="Y650" s="1035"/>
      <c r="Z650" s="1035">
        <f t="shared" si="133"/>
        <v>1</v>
      </c>
      <c r="AA650" s="1035"/>
      <c r="AB650" s="1035"/>
      <c r="AC650" s="1023">
        <v>114030</v>
      </c>
      <c r="AD650" s="27" t="s">
        <v>2937</v>
      </c>
      <c r="AE650" s="1022">
        <f>VLOOKUP(AC650,[5]Hoja1!$A$10:$K$1393,11,0)</f>
        <v>0</v>
      </c>
      <c r="AF650" s="1022"/>
      <c r="AG650" s="1022">
        <f t="shared" si="134"/>
        <v>0</v>
      </c>
      <c r="AH650" s="1022">
        <f t="shared" si="135"/>
        <v>0</v>
      </c>
      <c r="AK650" s="448"/>
      <c r="AL650" s="445"/>
    </row>
    <row r="651" spans="1:38" s="467" customFormat="1" ht="12.75" customHeight="1">
      <c r="A651" s="1033">
        <v>5121000</v>
      </c>
      <c r="B651" s="1033" t="s">
        <v>2734</v>
      </c>
      <c r="C651" s="1034"/>
      <c r="D651" s="1033"/>
      <c r="E651" s="1033"/>
      <c r="F651" s="1034"/>
      <c r="G651" s="1033"/>
      <c r="H651" s="1033"/>
      <c r="I651" s="1034"/>
      <c r="J651" s="1035"/>
      <c r="K651" s="1035"/>
      <c r="L651" s="1034"/>
      <c r="M651" s="1033"/>
      <c r="N651" s="1035"/>
      <c r="O651" s="1036"/>
      <c r="P651" s="1042"/>
      <c r="Q651" s="1042"/>
      <c r="R651" s="1034"/>
      <c r="S651" s="1035"/>
      <c r="T651" s="1035"/>
      <c r="U651" s="1034"/>
      <c r="V651" s="1035"/>
      <c r="W651" s="1035"/>
      <c r="X651" s="1037"/>
      <c r="Y651" s="1035"/>
      <c r="Z651" s="1035">
        <f t="shared" si="133"/>
        <v>1</v>
      </c>
      <c r="AA651" s="1035"/>
      <c r="AB651" s="1035"/>
      <c r="AC651" s="1021">
        <v>114032</v>
      </c>
      <c r="AD651" s="27" t="s">
        <v>3085</v>
      </c>
      <c r="AE651" s="1022">
        <f>VLOOKUP(AC651,[5]Hoja1!$A$10:$K$1393,11,0)</f>
        <v>-125068732</v>
      </c>
      <c r="AF651" s="1022">
        <v>0</v>
      </c>
      <c r="AG651" s="1022">
        <f t="shared" ref="AG651" si="139">AE651+AF651</f>
        <v>-125068732</v>
      </c>
      <c r="AH651" s="1022">
        <f t="shared" ref="AH651" si="140">ROUND((AE651+AF651)/$AH$2,0)</f>
        <v>-125069</v>
      </c>
      <c r="AK651" s="448"/>
      <c r="AL651" s="445"/>
    </row>
    <row r="652" spans="1:38" s="467" customFormat="1" ht="12.75" customHeight="1">
      <c r="A652" s="1033">
        <v>5152200</v>
      </c>
      <c r="B652" s="1033" t="s">
        <v>2766</v>
      </c>
      <c r="C652" s="1034" t="str">
        <f t="shared" si="126"/>
        <v/>
      </c>
      <c r="D652" s="1033"/>
      <c r="E652" s="1033"/>
      <c r="F652" s="1034" t="str">
        <f t="shared" si="127"/>
        <v/>
      </c>
      <c r="G652" s="1033"/>
      <c r="H652" s="1033"/>
      <c r="I652" s="1034" t="str">
        <f t="shared" si="128"/>
        <v/>
      </c>
      <c r="J652" s="1035"/>
      <c r="K652" s="1035"/>
      <c r="L652" s="1034" t="str">
        <f t="shared" si="129"/>
        <v/>
      </c>
      <c r="M652" s="1033"/>
      <c r="N652" s="1035"/>
      <c r="O652" s="1036" t="str">
        <f t="shared" si="130"/>
        <v/>
      </c>
      <c r="P652" s="1042"/>
      <c r="Q652" s="1042"/>
      <c r="R652" s="1034" t="str">
        <f t="shared" si="131"/>
        <v/>
      </c>
      <c r="S652" s="1035"/>
      <c r="T652" s="1035"/>
      <c r="U652" s="1034" t="str">
        <f t="shared" si="132"/>
        <v/>
      </c>
      <c r="V652" s="1035"/>
      <c r="W652" s="1035"/>
      <c r="X652" s="1037" t="str">
        <f t="shared" ref="X652:X683" si="141">+Y652&amp;Z652</f>
        <v>1</v>
      </c>
      <c r="Y652" s="1035"/>
      <c r="Z652" s="1035">
        <f t="shared" si="133"/>
        <v>1</v>
      </c>
      <c r="AA652" s="1035"/>
      <c r="AB652" s="1035"/>
      <c r="AC652" s="1021">
        <v>114101</v>
      </c>
      <c r="AD652" s="1021" t="s">
        <v>249</v>
      </c>
      <c r="AE652" s="1022">
        <f>VLOOKUP(AC652,[5]Hoja1!$A$10:$K$1393,11,0)</f>
        <v>2178021682</v>
      </c>
      <c r="AF652" s="1022">
        <v>0</v>
      </c>
      <c r="AG652" s="1022">
        <f t="shared" si="134"/>
        <v>2178021682</v>
      </c>
      <c r="AH652" s="1022">
        <f t="shared" si="135"/>
        <v>2178022</v>
      </c>
      <c r="AK652" s="448"/>
      <c r="AL652" s="445"/>
    </row>
    <row r="653" spans="1:38" s="467" customFormat="1" ht="12.75" customHeight="1">
      <c r="A653" s="1033"/>
      <c r="B653" s="1033"/>
      <c r="C653" s="1034" t="str">
        <f t="shared" si="126"/>
        <v/>
      </c>
      <c r="D653" s="1033"/>
      <c r="E653" s="1033"/>
      <c r="F653" s="1034" t="str">
        <f t="shared" si="127"/>
        <v/>
      </c>
      <c r="G653" s="1033"/>
      <c r="H653" s="1033"/>
      <c r="I653" s="1034" t="str">
        <f t="shared" si="128"/>
        <v/>
      </c>
      <c r="J653" s="1035"/>
      <c r="K653" s="1035"/>
      <c r="L653" s="1034" t="str">
        <f t="shared" si="129"/>
        <v/>
      </c>
      <c r="M653" s="1033"/>
      <c r="N653" s="1035"/>
      <c r="O653" s="1036" t="str">
        <f t="shared" si="130"/>
        <v/>
      </c>
      <c r="P653" s="1042"/>
      <c r="Q653" s="1042"/>
      <c r="R653" s="1034" t="str">
        <f t="shared" si="131"/>
        <v/>
      </c>
      <c r="S653" s="1035"/>
      <c r="T653" s="1035"/>
      <c r="U653" s="1034" t="str">
        <f t="shared" si="132"/>
        <v/>
      </c>
      <c r="V653" s="1035"/>
      <c r="W653" s="1035"/>
      <c r="X653" s="1037" t="str">
        <f t="shared" si="141"/>
        <v>1</v>
      </c>
      <c r="Y653" s="1035"/>
      <c r="Z653" s="1035">
        <f t="shared" si="133"/>
        <v>1</v>
      </c>
      <c r="AA653" s="1035"/>
      <c r="AB653" s="1035"/>
      <c r="AC653" s="1021">
        <v>114102</v>
      </c>
      <c r="AD653" s="1021" t="s">
        <v>221</v>
      </c>
      <c r="AE653" s="1022">
        <v>0</v>
      </c>
      <c r="AF653" s="1022"/>
      <c r="AG653" s="1022">
        <f t="shared" si="134"/>
        <v>0</v>
      </c>
      <c r="AH653" s="1022">
        <f t="shared" si="135"/>
        <v>0</v>
      </c>
      <c r="AK653" s="448"/>
      <c r="AL653" s="445"/>
    </row>
    <row r="654" spans="1:38" s="467" customFormat="1" ht="12.75" customHeight="1">
      <c r="A654" s="1033">
        <v>5153500</v>
      </c>
      <c r="B654" s="1033" t="s">
        <v>1457</v>
      </c>
      <c r="C654" s="1034"/>
      <c r="D654" s="1033"/>
      <c r="E654" s="1033"/>
      <c r="F654" s="1034"/>
      <c r="G654" s="1033"/>
      <c r="H654" s="1033"/>
      <c r="I654" s="1034"/>
      <c r="J654" s="1035"/>
      <c r="K654" s="1035"/>
      <c r="L654" s="1034"/>
      <c r="M654" s="1033"/>
      <c r="N654" s="1035"/>
      <c r="O654" s="1036"/>
      <c r="P654" s="1042"/>
      <c r="Q654" s="1042"/>
      <c r="R654" s="1034"/>
      <c r="S654" s="1035"/>
      <c r="T654" s="1035"/>
      <c r="U654" s="1034"/>
      <c r="V654" s="1035"/>
      <c r="W654" s="1035"/>
      <c r="X654" s="1037" t="str">
        <f t="shared" si="141"/>
        <v>221</v>
      </c>
      <c r="Y654" s="1035">
        <v>22</v>
      </c>
      <c r="Z654" s="1035">
        <f t="shared" si="133"/>
        <v>1</v>
      </c>
      <c r="AA654" s="1033" t="s">
        <v>2886</v>
      </c>
      <c r="AB654" s="1033" t="s">
        <v>2879</v>
      </c>
      <c r="AC654" s="1021">
        <v>115001</v>
      </c>
      <c r="AD654" s="1021" t="s">
        <v>248</v>
      </c>
      <c r="AE654" s="1022">
        <f>VLOOKUP(AC654,[5]Hoja1!$A$10:$K$1393,11,0)</f>
        <v>148161</v>
      </c>
      <c r="AF654" s="1022"/>
      <c r="AG654" s="1022">
        <f t="shared" si="134"/>
        <v>148161</v>
      </c>
      <c r="AH654" s="1022">
        <f t="shared" si="135"/>
        <v>148</v>
      </c>
      <c r="AK654" s="448"/>
      <c r="AL654" s="445"/>
    </row>
    <row r="655" spans="1:38" s="467" customFormat="1" ht="12.75" customHeight="1">
      <c r="A655" s="1033"/>
      <c r="B655" s="1033"/>
      <c r="C655" s="1034"/>
      <c r="D655" s="1033"/>
      <c r="E655" s="1033"/>
      <c r="F655" s="1034"/>
      <c r="G655" s="1033"/>
      <c r="H655" s="1033"/>
      <c r="I655" s="1034"/>
      <c r="J655" s="1035"/>
      <c r="K655" s="1035"/>
      <c r="L655" s="1034"/>
      <c r="M655" s="1033"/>
      <c r="N655" s="1035"/>
      <c r="O655" s="1036"/>
      <c r="P655" s="1042"/>
      <c r="Q655" s="1042"/>
      <c r="R655" s="1034"/>
      <c r="S655" s="1035"/>
      <c r="T655" s="1035"/>
      <c r="U655" s="1034"/>
      <c r="V655" s="1035"/>
      <c r="W655" s="1035"/>
      <c r="X655" s="1037" t="str">
        <f t="shared" si="141"/>
        <v>221</v>
      </c>
      <c r="Y655" s="1035">
        <v>22</v>
      </c>
      <c r="Z655" s="1035">
        <f t="shared" si="133"/>
        <v>1</v>
      </c>
      <c r="AA655" s="1035"/>
      <c r="AB655" s="1035"/>
      <c r="AC655" s="1021">
        <v>115002</v>
      </c>
      <c r="AD655" s="1021" t="s">
        <v>924</v>
      </c>
      <c r="AE655" s="1022">
        <v>0</v>
      </c>
      <c r="AF655" s="1022"/>
      <c r="AG655" s="1022">
        <f t="shared" si="134"/>
        <v>0</v>
      </c>
      <c r="AH655" s="1022">
        <f t="shared" si="135"/>
        <v>0</v>
      </c>
      <c r="AK655" s="448"/>
      <c r="AL655" s="445"/>
    </row>
    <row r="656" spans="1:38" s="467" customFormat="1" ht="12.75" customHeight="1">
      <c r="A656" s="1033"/>
      <c r="B656" s="1033"/>
      <c r="C656" s="1034"/>
      <c r="D656" s="1033"/>
      <c r="E656" s="1033"/>
      <c r="F656" s="1034"/>
      <c r="G656" s="1033"/>
      <c r="H656" s="1033"/>
      <c r="I656" s="1034"/>
      <c r="J656" s="1035"/>
      <c r="K656" s="1035"/>
      <c r="L656" s="1034"/>
      <c r="M656" s="1033"/>
      <c r="N656" s="1035"/>
      <c r="O656" s="1036"/>
      <c r="P656" s="1042"/>
      <c r="Q656" s="1042"/>
      <c r="R656" s="1034"/>
      <c r="S656" s="1035"/>
      <c r="T656" s="1035"/>
      <c r="U656" s="1034"/>
      <c r="V656" s="1035"/>
      <c r="W656" s="1035"/>
      <c r="X656" s="1037" t="str">
        <f t="shared" si="141"/>
        <v>221</v>
      </c>
      <c r="Y656" s="1035">
        <v>22</v>
      </c>
      <c r="Z656" s="1035">
        <f t="shared" si="133"/>
        <v>1</v>
      </c>
      <c r="AA656" s="1035"/>
      <c r="AB656" s="1035"/>
      <c r="AC656" s="1021">
        <v>115003</v>
      </c>
      <c r="AD656" s="1021" t="s">
        <v>925</v>
      </c>
      <c r="AE656" s="1022">
        <f>VLOOKUP(AC656,[5]Hoja1!$A$10:$K$1393,11,0)</f>
        <v>0</v>
      </c>
      <c r="AF656" s="1022"/>
      <c r="AG656" s="1022">
        <f t="shared" si="134"/>
        <v>0</v>
      </c>
      <c r="AH656" s="1022">
        <f t="shared" si="135"/>
        <v>0</v>
      </c>
      <c r="AK656" s="448"/>
      <c r="AL656" s="445"/>
    </row>
    <row r="657" spans="1:38" s="467" customFormat="1" ht="12.75" customHeight="1">
      <c r="A657" s="1033"/>
      <c r="B657" s="1033"/>
      <c r="C657" s="1034"/>
      <c r="D657" s="1033"/>
      <c r="E657" s="1033"/>
      <c r="F657" s="1034"/>
      <c r="G657" s="1033"/>
      <c r="H657" s="1033"/>
      <c r="I657" s="1034"/>
      <c r="J657" s="1035"/>
      <c r="K657" s="1035"/>
      <c r="L657" s="1034"/>
      <c r="M657" s="1033"/>
      <c r="N657" s="1035"/>
      <c r="O657" s="1036"/>
      <c r="P657" s="1042"/>
      <c r="Q657" s="1042"/>
      <c r="R657" s="1034"/>
      <c r="S657" s="1035"/>
      <c r="T657" s="1035"/>
      <c r="U657" s="1034"/>
      <c r="V657" s="1035"/>
      <c r="W657" s="1035"/>
      <c r="X657" s="1037" t="str">
        <f t="shared" si="141"/>
        <v>221</v>
      </c>
      <c r="Y657" s="1035">
        <v>22</v>
      </c>
      <c r="Z657" s="1035">
        <f t="shared" si="133"/>
        <v>1</v>
      </c>
      <c r="AA657" s="1035"/>
      <c r="AB657" s="1035"/>
      <c r="AC657" s="1021">
        <v>115004</v>
      </c>
      <c r="AD657" s="1021" t="s">
        <v>926</v>
      </c>
      <c r="AE657" s="1022">
        <v>0</v>
      </c>
      <c r="AF657" s="1022"/>
      <c r="AG657" s="1022">
        <f t="shared" si="134"/>
        <v>0</v>
      </c>
      <c r="AH657" s="1022">
        <f t="shared" si="135"/>
        <v>0</v>
      </c>
      <c r="AK657" s="448"/>
      <c r="AL657" s="445"/>
    </row>
    <row r="658" spans="1:38" s="467" customFormat="1" ht="12.75" customHeight="1">
      <c r="A658" s="1033"/>
      <c r="B658" s="1033"/>
      <c r="C658" s="1034"/>
      <c r="D658" s="1033"/>
      <c r="E658" s="1033"/>
      <c r="F658" s="1034"/>
      <c r="G658" s="1033"/>
      <c r="H658" s="1033"/>
      <c r="I658" s="1034"/>
      <c r="J658" s="1035"/>
      <c r="K658" s="1035"/>
      <c r="L658" s="1034"/>
      <c r="M658" s="1033"/>
      <c r="N658" s="1035"/>
      <c r="O658" s="1036"/>
      <c r="P658" s="1042"/>
      <c r="Q658" s="1042"/>
      <c r="R658" s="1034"/>
      <c r="S658" s="1035"/>
      <c r="T658" s="1035"/>
      <c r="U658" s="1034"/>
      <c r="V658" s="1035"/>
      <c r="W658" s="1035"/>
      <c r="X658" s="1037" t="str">
        <f t="shared" si="141"/>
        <v>221</v>
      </c>
      <c r="Y658" s="1035">
        <v>22</v>
      </c>
      <c r="Z658" s="1035">
        <f t="shared" si="133"/>
        <v>1</v>
      </c>
      <c r="AA658" s="1035"/>
      <c r="AB658" s="1035"/>
      <c r="AC658" s="1021">
        <v>115005</v>
      </c>
      <c r="AD658" s="1021" t="s">
        <v>927</v>
      </c>
      <c r="AE658" s="1022">
        <v>0</v>
      </c>
      <c r="AF658" s="1022"/>
      <c r="AG658" s="1022">
        <f t="shared" si="134"/>
        <v>0</v>
      </c>
      <c r="AH658" s="1022">
        <f t="shared" si="135"/>
        <v>0</v>
      </c>
      <c r="AK658" s="448"/>
      <c r="AL658" s="445"/>
    </row>
    <row r="659" spans="1:38" s="467" customFormat="1" ht="12.75" customHeight="1">
      <c r="A659" s="1033"/>
      <c r="B659" s="1033"/>
      <c r="C659" s="1034"/>
      <c r="D659" s="1033"/>
      <c r="E659" s="1033"/>
      <c r="F659" s="1034"/>
      <c r="G659" s="1033"/>
      <c r="H659" s="1033"/>
      <c r="I659" s="1034"/>
      <c r="J659" s="1035"/>
      <c r="K659" s="1035"/>
      <c r="L659" s="1034"/>
      <c r="M659" s="1033"/>
      <c r="N659" s="1035"/>
      <c r="O659" s="1036"/>
      <c r="P659" s="1042"/>
      <c r="Q659" s="1042"/>
      <c r="R659" s="1034"/>
      <c r="S659" s="1035"/>
      <c r="T659" s="1035"/>
      <c r="U659" s="1034"/>
      <c r="V659" s="1035"/>
      <c r="W659" s="1035"/>
      <c r="X659" s="1037" t="str">
        <f t="shared" si="141"/>
        <v>221</v>
      </c>
      <c r="Y659" s="1035">
        <v>22</v>
      </c>
      <c r="Z659" s="1035">
        <f t="shared" si="133"/>
        <v>1</v>
      </c>
      <c r="AA659" s="1035"/>
      <c r="AB659" s="1035"/>
      <c r="AC659" s="1021">
        <v>115006</v>
      </c>
      <c r="AD659" s="1021" t="s">
        <v>2145</v>
      </c>
      <c r="AE659" s="1022">
        <v>0</v>
      </c>
      <c r="AF659" s="1022"/>
      <c r="AG659" s="1022">
        <f t="shared" si="134"/>
        <v>0</v>
      </c>
      <c r="AH659" s="1022">
        <f t="shared" si="135"/>
        <v>0</v>
      </c>
      <c r="AK659" s="448"/>
      <c r="AL659" s="445"/>
    </row>
    <row r="660" spans="1:38" s="467" customFormat="1" ht="12.75" customHeight="1">
      <c r="A660" s="1033">
        <v>5153500</v>
      </c>
      <c r="B660" s="1033" t="s">
        <v>1457</v>
      </c>
      <c r="C660" s="1034"/>
      <c r="D660" s="1033"/>
      <c r="E660" s="1033"/>
      <c r="F660" s="1034"/>
      <c r="G660" s="1033"/>
      <c r="H660" s="1033"/>
      <c r="I660" s="1034"/>
      <c r="J660" s="1035"/>
      <c r="K660" s="1035"/>
      <c r="L660" s="1034"/>
      <c r="M660" s="1033"/>
      <c r="N660" s="1035"/>
      <c r="O660" s="1036"/>
      <c r="P660" s="1042"/>
      <c r="Q660" s="1042"/>
      <c r="R660" s="1034"/>
      <c r="S660" s="1035"/>
      <c r="T660" s="1035"/>
      <c r="U660" s="1034"/>
      <c r="V660" s="1035"/>
      <c r="W660" s="1035"/>
      <c r="X660" s="1037" t="str">
        <f t="shared" si="141"/>
        <v>221</v>
      </c>
      <c r="Y660" s="1035">
        <v>22</v>
      </c>
      <c r="Z660" s="1035">
        <f t="shared" ref="Z660:Z723" si="142">VALUE(LEFT(AC660,1))</f>
        <v>1</v>
      </c>
      <c r="AA660" s="1033" t="s">
        <v>2886</v>
      </c>
      <c r="AB660" s="1033" t="s">
        <v>2879</v>
      </c>
      <c r="AC660" s="1021">
        <v>115013</v>
      </c>
      <c r="AD660" s="1021" t="s">
        <v>434</v>
      </c>
      <c r="AE660" s="1022">
        <f>VLOOKUP(AC660,[5]Hoja1!$A$10:$K$1393,11,0)</f>
        <v>-2238150</v>
      </c>
      <c r="AF660" s="1022"/>
      <c r="AG660" s="1022">
        <f t="shared" ref="AG660:AG723" si="143">AE660+AF660</f>
        <v>-2238150</v>
      </c>
      <c r="AH660" s="1022">
        <f t="shared" ref="AH660:AH723" si="144">ROUND((AE660+AF660)/$AH$2,0)</f>
        <v>-2238</v>
      </c>
      <c r="AK660" s="448"/>
      <c r="AL660" s="445"/>
    </row>
    <row r="661" spans="1:38" s="467" customFormat="1" ht="12.75" customHeight="1">
      <c r="A661" s="1033"/>
      <c r="B661" s="1033"/>
      <c r="C661" s="1034"/>
      <c r="D661" s="1033"/>
      <c r="E661" s="1033"/>
      <c r="F661" s="1034"/>
      <c r="G661" s="1033"/>
      <c r="H661" s="1033"/>
      <c r="I661" s="1034"/>
      <c r="J661" s="1035"/>
      <c r="K661" s="1035"/>
      <c r="L661" s="1034"/>
      <c r="M661" s="1033"/>
      <c r="N661" s="1035"/>
      <c r="O661" s="1036"/>
      <c r="P661" s="1042"/>
      <c r="Q661" s="1042"/>
      <c r="R661" s="1034"/>
      <c r="S661" s="1035"/>
      <c r="T661" s="1035"/>
      <c r="U661" s="1034"/>
      <c r="V661" s="1035"/>
      <c r="W661" s="1035"/>
      <c r="X661" s="1037" t="str">
        <f t="shared" si="141"/>
        <v>221</v>
      </c>
      <c r="Y661" s="1035">
        <v>22</v>
      </c>
      <c r="Z661" s="1035">
        <f t="shared" si="142"/>
        <v>1</v>
      </c>
      <c r="AA661" s="1035"/>
      <c r="AB661" s="1035"/>
      <c r="AC661" s="1021">
        <v>115014</v>
      </c>
      <c r="AD661" s="1021" t="s">
        <v>2146</v>
      </c>
      <c r="AE661" s="1022">
        <f>VLOOKUP(AC661,[5]Hoja1!$A$10:$K$1393,11,0)</f>
        <v>0</v>
      </c>
      <c r="AF661" s="1022"/>
      <c r="AG661" s="1022">
        <f t="shared" si="143"/>
        <v>0</v>
      </c>
      <c r="AH661" s="1022">
        <f t="shared" si="144"/>
        <v>0</v>
      </c>
      <c r="AK661" s="448"/>
      <c r="AL661" s="445"/>
    </row>
    <row r="662" spans="1:38" s="467" customFormat="1" ht="12.75" customHeight="1">
      <c r="A662" s="1033"/>
      <c r="B662" s="1033"/>
      <c r="C662" s="1034"/>
      <c r="D662" s="1033"/>
      <c r="E662" s="1033"/>
      <c r="F662" s="1034"/>
      <c r="G662" s="1033"/>
      <c r="H662" s="1033"/>
      <c r="I662" s="1034"/>
      <c r="J662" s="1035"/>
      <c r="K662" s="1035"/>
      <c r="L662" s="1034"/>
      <c r="M662" s="1033"/>
      <c r="N662" s="1035"/>
      <c r="O662" s="1036"/>
      <c r="P662" s="1042"/>
      <c r="Q662" s="1042"/>
      <c r="R662" s="1034"/>
      <c r="S662" s="1035"/>
      <c r="T662" s="1035"/>
      <c r="U662" s="1034"/>
      <c r="V662" s="1035"/>
      <c r="W662" s="1035"/>
      <c r="X662" s="1037" t="str">
        <f t="shared" si="141"/>
        <v>221</v>
      </c>
      <c r="Y662" s="1035">
        <v>22</v>
      </c>
      <c r="Z662" s="1035">
        <f t="shared" si="142"/>
        <v>1</v>
      </c>
      <c r="AA662" s="1035"/>
      <c r="AB662" s="1035"/>
      <c r="AC662" s="1021">
        <v>115016</v>
      </c>
      <c r="AD662" s="1021" t="s">
        <v>2147</v>
      </c>
      <c r="AE662" s="1022">
        <f>VLOOKUP(AC662,[5]Hoja1!$A$10:$K$1393,11,0)</f>
        <v>0</v>
      </c>
      <c r="AF662" s="1022"/>
      <c r="AG662" s="1022">
        <f t="shared" si="143"/>
        <v>0</v>
      </c>
      <c r="AH662" s="1022">
        <f t="shared" si="144"/>
        <v>0</v>
      </c>
      <c r="AK662" s="448"/>
      <c r="AL662" s="445"/>
    </row>
    <row r="663" spans="1:38" s="467" customFormat="1" ht="12.75" customHeight="1">
      <c r="A663" s="1033">
        <v>5213110</v>
      </c>
      <c r="B663" s="1033" t="s">
        <v>2772</v>
      </c>
      <c r="C663" s="1034" t="str">
        <f t="shared" ref="C663:C728" si="145">+D663&amp;E663</f>
        <v/>
      </c>
      <c r="D663" s="1033"/>
      <c r="E663" s="1033"/>
      <c r="F663" s="1034" t="str">
        <f t="shared" ref="F663:F728" si="146">+G663&amp;H663</f>
        <v/>
      </c>
      <c r="G663" s="1033"/>
      <c r="H663" s="1033"/>
      <c r="I663" s="1034" t="str">
        <f t="shared" ref="I663:I728" si="147">+J663&amp;K663</f>
        <v>6511200212</v>
      </c>
      <c r="J663" s="1033">
        <v>6511200</v>
      </c>
      <c r="K663" s="1033">
        <v>212</v>
      </c>
      <c r="L663" s="1034" t="str">
        <f t="shared" ref="L663:L728" si="148">+M663&amp;N663</f>
        <v/>
      </c>
      <c r="M663" s="1033"/>
      <c r="N663" s="1035"/>
      <c r="O663" s="1036" t="str">
        <f t="shared" ref="O663:O747" si="149">+P663&amp;Q663</f>
        <v/>
      </c>
      <c r="P663" s="1042"/>
      <c r="Q663" s="1042"/>
      <c r="R663" s="1034" t="str">
        <f t="shared" ref="R663:R728" si="150">+S663&amp;T663</f>
        <v>6210000212</v>
      </c>
      <c r="S663" s="1035">
        <v>6210000</v>
      </c>
      <c r="T663" s="1035">
        <v>212</v>
      </c>
      <c r="U663" s="1034" t="str">
        <f t="shared" ref="U663:U728" si="151">+V663&amp;W663</f>
        <v/>
      </c>
      <c r="V663" s="1035"/>
      <c r="W663" s="1035"/>
      <c r="X663" s="1037" t="str">
        <f t="shared" si="141"/>
        <v>102</v>
      </c>
      <c r="Y663" s="1035">
        <v>10</v>
      </c>
      <c r="Z663" s="1035">
        <f t="shared" si="142"/>
        <v>2</v>
      </c>
      <c r="AA663" s="1035"/>
      <c r="AB663" s="1035"/>
      <c r="AC663" s="1021">
        <v>210101</v>
      </c>
      <c r="AD663" s="1021" t="s">
        <v>2148</v>
      </c>
      <c r="AE663" s="1022">
        <f>VLOOKUP(AC663,[5]Hoja1!$A$10:$K$1393,11,0)</f>
        <v>-1541231560</v>
      </c>
      <c r="AF663" s="1022"/>
      <c r="AG663" s="1022">
        <f t="shared" si="143"/>
        <v>-1541231560</v>
      </c>
      <c r="AH663" s="1022">
        <f t="shared" si="144"/>
        <v>-1541232</v>
      </c>
      <c r="AK663" s="448"/>
      <c r="AL663" s="445"/>
    </row>
    <row r="664" spans="1:38" s="467" customFormat="1" ht="12.75" customHeight="1">
      <c r="A664" s="1033">
        <v>5213110</v>
      </c>
      <c r="B664" s="1033" t="s">
        <v>2772</v>
      </c>
      <c r="C664" s="1034" t="str">
        <f t="shared" si="145"/>
        <v/>
      </c>
      <c r="D664" s="1033"/>
      <c r="E664" s="1033"/>
      <c r="F664" s="1034" t="str">
        <f t="shared" si="146"/>
        <v/>
      </c>
      <c r="G664" s="1033"/>
      <c r="H664" s="1033"/>
      <c r="I664" s="1034" t="str">
        <f t="shared" si="147"/>
        <v>6511200112</v>
      </c>
      <c r="J664" s="1033">
        <v>6511200</v>
      </c>
      <c r="K664" s="1033">
        <v>112</v>
      </c>
      <c r="L664" s="1034" t="str">
        <f t="shared" si="148"/>
        <v/>
      </c>
      <c r="M664" s="1033"/>
      <c r="N664" s="1035"/>
      <c r="O664" s="1036" t="str">
        <f t="shared" si="149"/>
        <v/>
      </c>
      <c r="P664" s="1042"/>
      <c r="Q664" s="1042"/>
      <c r="R664" s="1034" t="str">
        <f t="shared" si="150"/>
        <v>6210000112</v>
      </c>
      <c r="S664" s="1035">
        <v>6210000</v>
      </c>
      <c r="T664" s="1035">
        <v>112</v>
      </c>
      <c r="U664" s="1034" t="str">
        <f t="shared" si="151"/>
        <v/>
      </c>
      <c r="V664" s="1035"/>
      <c r="W664" s="1035"/>
      <c r="X664" s="1037" t="str">
        <f t="shared" si="141"/>
        <v>102</v>
      </c>
      <c r="Y664" s="1035">
        <v>10</v>
      </c>
      <c r="Z664" s="1035">
        <f t="shared" si="142"/>
        <v>2</v>
      </c>
      <c r="AA664" s="1035"/>
      <c r="AB664" s="1035"/>
      <c r="AC664" s="1021">
        <v>210102</v>
      </c>
      <c r="AD664" s="1021" t="s">
        <v>2149</v>
      </c>
      <c r="AE664" s="1022">
        <f>VLOOKUP(AC664,[5]Hoja1!$A$10:$K$1393,11,0)</f>
        <v>-4311356</v>
      </c>
      <c r="AF664" s="1022"/>
      <c r="AG664" s="1022">
        <f t="shared" si="143"/>
        <v>-4311356</v>
      </c>
      <c r="AH664" s="1022">
        <f t="shared" si="144"/>
        <v>-4311</v>
      </c>
      <c r="AK664" s="448"/>
      <c r="AL664" s="445"/>
    </row>
    <row r="665" spans="1:38" s="467" customFormat="1" ht="12.75" customHeight="1">
      <c r="A665" s="1033">
        <v>5213110</v>
      </c>
      <c r="B665" s="1033" t="s">
        <v>2772</v>
      </c>
      <c r="C665" s="1034" t="str">
        <f t="shared" si="145"/>
        <v/>
      </c>
      <c r="D665" s="1033"/>
      <c r="E665" s="1033"/>
      <c r="F665" s="1034" t="str">
        <f t="shared" si="146"/>
        <v/>
      </c>
      <c r="G665" s="1033"/>
      <c r="H665" s="1033"/>
      <c r="I665" s="1034" t="str">
        <f t="shared" si="147"/>
        <v>6511200210</v>
      </c>
      <c r="J665" s="1033">
        <v>6511200</v>
      </c>
      <c r="K665" s="1033">
        <v>210</v>
      </c>
      <c r="L665" s="1034" t="str">
        <f t="shared" si="148"/>
        <v/>
      </c>
      <c r="M665" s="1033"/>
      <c r="N665" s="1035"/>
      <c r="O665" s="1036" t="str">
        <f t="shared" si="149"/>
        <v/>
      </c>
      <c r="P665" s="1042"/>
      <c r="Q665" s="1042"/>
      <c r="R665" s="1034" t="str">
        <f t="shared" si="150"/>
        <v>6210000210</v>
      </c>
      <c r="S665" s="1035">
        <v>6210000</v>
      </c>
      <c r="T665" s="1035">
        <v>210</v>
      </c>
      <c r="U665" s="1034" t="str">
        <f t="shared" si="151"/>
        <v/>
      </c>
      <c r="V665" s="1035"/>
      <c r="W665" s="1035"/>
      <c r="X665" s="1037" t="str">
        <f t="shared" si="141"/>
        <v>102</v>
      </c>
      <c r="Y665" s="1035">
        <v>10</v>
      </c>
      <c r="Z665" s="1035">
        <f t="shared" si="142"/>
        <v>2</v>
      </c>
      <c r="AA665" s="1035"/>
      <c r="AB665" s="1035"/>
      <c r="AC665" s="1021">
        <v>210103</v>
      </c>
      <c r="AD665" s="1021" t="s">
        <v>2150</v>
      </c>
      <c r="AE665" s="1022">
        <f>VLOOKUP(AC665,[5]Hoja1!$A$10:$K$1393,11,0)</f>
        <v>-563301047</v>
      </c>
      <c r="AF665" s="1022"/>
      <c r="AG665" s="1022">
        <f t="shared" si="143"/>
        <v>-563301047</v>
      </c>
      <c r="AH665" s="1022">
        <f t="shared" si="144"/>
        <v>-563301</v>
      </c>
      <c r="AK665" s="448"/>
      <c r="AL665" s="445"/>
    </row>
    <row r="666" spans="1:38" s="467" customFormat="1" ht="12.75" customHeight="1">
      <c r="A666" s="1033">
        <v>5213110</v>
      </c>
      <c r="B666" s="1033" t="s">
        <v>2772</v>
      </c>
      <c r="C666" s="1034" t="str">
        <f t="shared" si="145"/>
        <v/>
      </c>
      <c r="D666" s="1033"/>
      <c r="E666" s="1033"/>
      <c r="F666" s="1034" t="str">
        <f t="shared" si="146"/>
        <v/>
      </c>
      <c r="G666" s="1033"/>
      <c r="H666" s="1033"/>
      <c r="I666" s="1034" t="str">
        <f t="shared" si="147"/>
        <v>6511200202</v>
      </c>
      <c r="J666" s="1033">
        <v>6511200</v>
      </c>
      <c r="K666" s="1033">
        <v>202</v>
      </c>
      <c r="L666" s="1034" t="str">
        <f t="shared" si="148"/>
        <v/>
      </c>
      <c r="M666" s="1033"/>
      <c r="N666" s="1035"/>
      <c r="O666" s="1036" t="str">
        <f t="shared" si="149"/>
        <v/>
      </c>
      <c r="P666" s="1042"/>
      <c r="Q666" s="1042"/>
      <c r="R666" s="1034" t="str">
        <f t="shared" si="150"/>
        <v>6210000202</v>
      </c>
      <c r="S666" s="1035">
        <v>6210000</v>
      </c>
      <c r="T666" s="1035">
        <v>202</v>
      </c>
      <c r="U666" s="1034" t="str">
        <f t="shared" si="151"/>
        <v/>
      </c>
      <c r="V666" s="1035"/>
      <c r="W666" s="1035"/>
      <c r="X666" s="1037" t="str">
        <f t="shared" si="141"/>
        <v>102</v>
      </c>
      <c r="Y666" s="1035">
        <v>10</v>
      </c>
      <c r="Z666" s="1035">
        <f t="shared" si="142"/>
        <v>2</v>
      </c>
      <c r="AA666" s="1035"/>
      <c r="AB666" s="1035"/>
      <c r="AC666" s="1021">
        <v>210104</v>
      </c>
      <c r="AD666" s="1021" t="s">
        <v>2151</v>
      </c>
      <c r="AE666" s="1022">
        <f>VLOOKUP(AC666,[5]Hoja1!$A$10:$K$1393,11,0)</f>
        <v>-2158274165</v>
      </c>
      <c r="AF666" s="1022"/>
      <c r="AG666" s="1022">
        <f t="shared" si="143"/>
        <v>-2158274165</v>
      </c>
      <c r="AH666" s="1022">
        <f t="shared" si="144"/>
        <v>-2158274</v>
      </c>
      <c r="AK666" s="448"/>
      <c r="AL666" s="445"/>
    </row>
    <row r="667" spans="1:38" s="467" customFormat="1" ht="12.75" customHeight="1">
      <c r="A667" s="1033">
        <v>5213110</v>
      </c>
      <c r="B667" s="1033" t="s">
        <v>2772</v>
      </c>
      <c r="C667" s="1034" t="str">
        <f t="shared" si="145"/>
        <v/>
      </c>
      <c r="D667" s="1033"/>
      <c r="E667" s="1033"/>
      <c r="F667" s="1034" t="str">
        <f t="shared" si="146"/>
        <v/>
      </c>
      <c r="G667" s="1033"/>
      <c r="H667" s="1033"/>
      <c r="I667" s="1034" t="str">
        <f t="shared" si="147"/>
        <v>6511200102</v>
      </c>
      <c r="J667" s="1033">
        <v>6511200</v>
      </c>
      <c r="K667" s="1033">
        <v>102</v>
      </c>
      <c r="L667" s="1034" t="str">
        <f t="shared" si="148"/>
        <v/>
      </c>
      <c r="M667" s="1033"/>
      <c r="N667" s="1035"/>
      <c r="O667" s="1036" t="str">
        <f t="shared" si="149"/>
        <v/>
      </c>
      <c r="P667" s="1042"/>
      <c r="Q667" s="1042"/>
      <c r="R667" s="1034" t="str">
        <f t="shared" si="150"/>
        <v>6210000102</v>
      </c>
      <c r="S667" s="1035">
        <v>6210000</v>
      </c>
      <c r="T667" s="1035">
        <v>102</v>
      </c>
      <c r="U667" s="1034" t="str">
        <f t="shared" si="151"/>
        <v/>
      </c>
      <c r="V667" s="1035"/>
      <c r="W667" s="1035"/>
      <c r="X667" s="1037" t="str">
        <f t="shared" si="141"/>
        <v>102</v>
      </c>
      <c r="Y667" s="1035">
        <v>10</v>
      </c>
      <c r="Z667" s="1035">
        <f t="shared" si="142"/>
        <v>2</v>
      </c>
      <c r="AA667" s="1035"/>
      <c r="AB667" s="1035"/>
      <c r="AC667" s="1021">
        <v>210105</v>
      </c>
      <c r="AD667" s="1021" t="s">
        <v>2152</v>
      </c>
      <c r="AE667" s="1022">
        <f>VLOOKUP(AC667,[5]Hoja1!$A$10:$K$1393,11,0)</f>
        <v>-14132329</v>
      </c>
      <c r="AF667" s="1022"/>
      <c r="AG667" s="1022">
        <f t="shared" si="143"/>
        <v>-14132329</v>
      </c>
      <c r="AH667" s="1022">
        <f t="shared" si="144"/>
        <v>-14132</v>
      </c>
      <c r="AK667" s="448"/>
      <c r="AL667" s="445"/>
    </row>
    <row r="668" spans="1:38" s="467" customFormat="1" ht="12.75" customHeight="1">
      <c r="A668" s="1033">
        <v>5213110</v>
      </c>
      <c r="B668" s="1033" t="s">
        <v>2772</v>
      </c>
      <c r="C668" s="1034" t="str">
        <f t="shared" si="145"/>
        <v/>
      </c>
      <c r="D668" s="1033"/>
      <c r="E668" s="1033"/>
      <c r="F668" s="1034" t="str">
        <f t="shared" si="146"/>
        <v/>
      </c>
      <c r="G668" s="1033"/>
      <c r="H668" s="1033"/>
      <c r="I668" s="1034" t="str">
        <f t="shared" si="147"/>
        <v>6511200209</v>
      </c>
      <c r="J668" s="1033">
        <v>6511200</v>
      </c>
      <c r="K668" s="1033">
        <v>209</v>
      </c>
      <c r="L668" s="1034" t="str">
        <f t="shared" si="148"/>
        <v/>
      </c>
      <c r="M668" s="1035"/>
      <c r="N668" s="1035"/>
      <c r="O668" s="1036" t="str">
        <f t="shared" si="149"/>
        <v/>
      </c>
      <c r="P668" s="1033"/>
      <c r="Q668" s="1033"/>
      <c r="R668" s="1034" t="str">
        <f t="shared" si="150"/>
        <v>6210000209</v>
      </c>
      <c r="S668" s="1035">
        <v>6210000</v>
      </c>
      <c r="T668" s="1035">
        <v>209</v>
      </c>
      <c r="U668" s="1034" t="str">
        <f t="shared" si="151"/>
        <v/>
      </c>
      <c r="V668" s="1035"/>
      <c r="W668" s="1035"/>
      <c r="X668" s="1037" t="str">
        <f t="shared" si="141"/>
        <v>102</v>
      </c>
      <c r="Y668" s="1035">
        <v>10</v>
      </c>
      <c r="Z668" s="1035">
        <f t="shared" si="142"/>
        <v>2</v>
      </c>
      <c r="AA668" s="1035"/>
      <c r="AB668" s="1035"/>
      <c r="AC668" s="1021">
        <v>210106</v>
      </c>
      <c r="AD668" s="1021" t="s">
        <v>250</v>
      </c>
      <c r="AE668" s="1022">
        <f>VLOOKUP(AC668,[5]Hoja1!$A$10:$K$1393,11,0)</f>
        <v>-2204382168</v>
      </c>
      <c r="AF668" s="1022"/>
      <c r="AG668" s="1022">
        <f t="shared" si="143"/>
        <v>-2204382168</v>
      </c>
      <c r="AH668" s="1022">
        <f t="shared" si="144"/>
        <v>-2204382</v>
      </c>
      <c r="AJ668" s="445"/>
      <c r="AK668" s="448"/>
      <c r="AL668" s="445"/>
    </row>
    <row r="669" spans="1:38" s="467" customFormat="1" ht="12.75" customHeight="1">
      <c r="A669" s="1033">
        <v>5213110</v>
      </c>
      <c r="B669" s="1033" t="s">
        <v>2772</v>
      </c>
      <c r="C669" s="1034" t="str">
        <f t="shared" si="145"/>
        <v/>
      </c>
      <c r="D669" s="1033"/>
      <c r="E669" s="1033"/>
      <c r="F669" s="1034" t="str">
        <f t="shared" si="146"/>
        <v/>
      </c>
      <c r="G669" s="1033"/>
      <c r="H669" s="1033"/>
      <c r="I669" s="1034" t="str">
        <f t="shared" si="147"/>
        <v>6511200109</v>
      </c>
      <c r="J669" s="1033">
        <v>6511200</v>
      </c>
      <c r="K669" s="1033">
        <v>109</v>
      </c>
      <c r="L669" s="1034" t="str">
        <f t="shared" si="148"/>
        <v/>
      </c>
      <c r="M669" s="1035"/>
      <c r="N669" s="1035"/>
      <c r="O669" s="1036" t="str">
        <f t="shared" si="149"/>
        <v/>
      </c>
      <c r="P669" s="1033"/>
      <c r="Q669" s="1033"/>
      <c r="R669" s="1034" t="str">
        <f t="shared" si="150"/>
        <v>6210000109</v>
      </c>
      <c r="S669" s="1035">
        <v>6210000</v>
      </c>
      <c r="T669" s="1035">
        <v>109</v>
      </c>
      <c r="U669" s="1034" t="str">
        <f t="shared" si="151"/>
        <v/>
      </c>
      <c r="V669" s="1035"/>
      <c r="W669" s="1035"/>
      <c r="X669" s="1037" t="str">
        <f t="shared" si="141"/>
        <v>102</v>
      </c>
      <c r="Y669" s="1035">
        <v>10</v>
      </c>
      <c r="Z669" s="1035">
        <f t="shared" si="142"/>
        <v>2</v>
      </c>
      <c r="AA669" s="1035"/>
      <c r="AB669" s="1035"/>
      <c r="AC669" s="1021">
        <v>210107</v>
      </c>
      <c r="AD669" s="1021" t="s">
        <v>343</v>
      </c>
      <c r="AE669" s="1022">
        <f>VLOOKUP(AC669,[5]Hoja1!$A$10:$K$1393,11,0)</f>
        <v>-118767226</v>
      </c>
      <c r="AF669" s="1022"/>
      <c r="AG669" s="1022">
        <f t="shared" si="143"/>
        <v>-118767226</v>
      </c>
      <c r="AH669" s="1022">
        <f t="shared" si="144"/>
        <v>-118767</v>
      </c>
      <c r="AK669" s="448"/>
      <c r="AL669" s="445"/>
    </row>
    <row r="670" spans="1:38" s="467" customFormat="1" ht="12.75" customHeight="1">
      <c r="A670" s="1033">
        <v>5213110</v>
      </c>
      <c r="B670" s="1033" t="s">
        <v>2772</v>
      </c>
      <c r="C670" s="1034" t="str">
        <f t="shared" si="145"/>
        <v/>
      </c>
      <c r="D670" s="1033"/>
      <c r="E670" s="1033"/>
      <c r="F670" s="1034" t="str">
        <f t="shared" si="146"/>
        <v/>
      </c>
      <c r="G670" s="1033"/>
      <c r="H670" s="1033"/>
      <c r="I670" s="1034" t="str">
        <f t="shared" si="147"/>
        <v>6511200110</v>
      </c>
      <c r="J670" s="1033">
        <v>6511200</v>
      </c>
      <c r="K670" s="1033">
        <v>110</v>
      </c>
      <c r="L670" s="1034" t="str">
        <f t="shared" si="148"/>
        <v/>
      </c>
      <c r="M670" s="1035"/>
      <c r="N670" s="1035"/>
      <c r="O670" s="1036" t="str">
        <f t="shared" si="149"/>
        <v/>
      </c>
      <c r="P670" s="1033"/>
      <c r="Q670" s="1033"/>
      <c r="R670" s="1034" t="str">
        <f t="shared" si="150"/>
        <v>6210000110</v>
      </c>
      <c r="S670" s="1035">
        <v>6210000</v>
      </c>
      <c r="T670" s="1035">
        <v>110</v>
      </c>
      <c r="U670" s="1034" t="str">
        <f t="shared" si="151"/>
        <v/>
      </c>
      <c r="V670" s="1035"/>
      <c r="W670" s="1035"/>
      <c r="X670" s="1037" t="str">
        <f t="shared" si="141"/>
        <v>102</v>
      </c>
      <c r="Y670" s="1035">
        <v>10</v>
      </c>
      <c r="Z670" s="1035">
        <f t="shared" si="142"/>
        <v>2</v>
      </c>
      <c r="AA670" s="1035"/>
      <c r="AB670" s="1035"/>
      <c r="AC670" s="1021">
        <v>210108</v>
      </c>
      <c r="AD670" s="1021" t="s">
        <v>1865</v>
      </c>
      <c r="AE670" s="1022">
        <f>VLOOKUP(AC670,[5]Hoja1!$A$10:$K$1393,11,0)</f>
        <v>-42271137</v>
      </c>
      <c r="AF670" s="1022"/>
      <c r="AG670" s="1022">
        <f t="shared" si="143"/>
        <v>-42271137</v>
      </c>
      <c r="AH670" s="1022">
        <f t="shared" si="144"/>
        <v>-42271</v>
      </c>
      <c r="AK670" s="448"/>
      <c r="AL670" s="445"/>
    </row>
    <row r="671" spans="1:38" s="467" customFormat="1" ht="12.75" customHeight="1">
      <c r="A671" s="1033">
        <v>5213110</v>
      </c>
      <c r="B671" s="1033" t="s">
        <v>2772</v>
      </c>
      <c r="C671" s="1034" t="str">
        <f t="shared" si="145"/>
        <v/>
      </c>
      <c r="D671" s="1033"/>
      <c r="E671" s="1033"/>
      <c r="F671" s="1034" t="str">
        <f t="shared" si="146"/>
        <v/>
      </c>
      <c r="G671" s="1033"/>
      <c r="H671" s="1033"/>
      <c r="I671" s="1034" t="str">
        <f t="shared" si="147"/>
        <v>6511200103</v>
      </c>
      <c r="J671" s="1033">
        <v>6511200</v>
      </c>
      <c r="K671" s="1033">
        <v>103</v>
      </c>
      <c r="L671" s="1034" t="str">
        <f t="shared" si="148"/>
        <v/>
      </c>
      <c r="M671" s="1035"/>
      <c r="N671" s="1035"/>
      <c r="O671" s="1036" t="str">
        <f t="shared" si="149"/>
        <v/>
      </c>
      <c r="P671" s="1033"/>
      <c r="Q671" s="1033"/>
      <c r="R671" s="1034" t="str">
        <f t="shared" si="150"/>
        <v>6210000103</v>
      </c>
      <c r="S671" s="1035">
        <v>6210000</v>
      </c>
      <c r="T671" s="1035">
        <v>103</v>
      </c>
      <c r="U671" s="1034" t="str">
        <f t="shared" si="151"/>
        <v/>
      </c>
      <c r="V671" s="1035"/>
      <c r="W671" s="1035"/>
      <c r="X671" s="1037" t="str">
        <f t="shared" si="141"/>
        <v>102</v>
      </c>
      <c r="Y671" s="1035">
        <v>10</v>
      </c>
      <c r="Z671" s="1035">
        <f t="shared" si="142"/>
        <v>2</v>
      </c>
      <c r="AA671" s="1035"/>
      <c r="AB671" s="1035"/>
      <c r="AC671" s="1021">
        <v>210109</v>
      </c>
      <c r="AD671" s="1021" t="s">
        <v>1451</v>
      </c>
      <c r="AE671" s="1022">
        <f>VLOOKUP(AC671,[5]Hoja1!$A$10:$K$1393,11,0)</f>
        <v>-269808682</v>
      </c>
      <c r="AF671" s="1022"/>
      <c r="AG671" s="1022">
        <f t="shared" si="143"/>
        <v>-269808682</v>
      </c>
      <c r="AH671" s="1022">
        <f t="shared" si="144"/>
        <v>-269809</v>
      </c>
      <c r="AJ671" s="445"/>
      <c r="AK671" s="448"/>
      <c r="AL671" s="445"/>
    </row>
    <row r="672" spans="1:38" s="467" customFormat="1" ht="12.75" customHeight="1">
      <c r="A672" s="1033">
        <v>5213110</v>
      </c>
      <c r="B672" s="1033" t="s">
        <v>2772</v>
      </c>
      <c r="C672" s="1034" t="str">
        <f t="shared" si="145"/>
        <v/>
      </c>
      <c r="D672" s="1033"/>
      <c r="E672" s="1033"/>
      <c r="F672" s="1034" t="str">
        <f t="shared" si="146"/>
        <v/>
      </c>
      <c r="G672" s="1033"/>
      <c r="H672" s="1033"/>
      <c r="I672" s="1034" t="str">
        <f t="shared" si="147"/>
        <v>6511200104</v>
      </c>
      <c r="J672" s="1033">
        <v>6511200</v>
      </c>
      <c r="K672" s="1033">
        <v>104</v>
      </c>
      <c r="L672" s="1034" t="str">
        <f t="shared" si="148"/>
        <v/>
      </c>
      <c r="M672" s="1035"/>
      <c r="N672" s="1035"/>
      <c r="O672" s="1036" t="str">
        <f t="shared" si="149"/>
        <v/>
      </c>
      <c r="P672" s="1033"/>
      <c r="Q672" s="1033"/>
      <c r="R672" s="1034" t="str">
        <f t="shared" si="150"/>
        <v>6210000104</v>
      </c>
      <c r="S672" s="1035">
        <v>6210000</v>
      </c>
      <c r="T672" s="1035">
        <v>104</v>
      </c>
      <c r="U672" s="1034" t="str">
        <f t="shared" si="151"/>
        <v/>
      </c>
      <c r="V672" s="1035"/>
      <c r="W672" s="1035"/>
      <c r="X672" s="1037" t="str">
        <f t="shared" si="141"/>
        <v>102</v>
      </c>
      <c r="Y672" s="1035">
        <v>10</v>
      </c>
      <c r="Z672" s="1035">
        <f t="shared" si="142"/>
        <v>2</v>
      </c>
      <c r="AA672" s="1035"/>
      <c r="AB672" s="1035"/>
      <c r="AC672" s="1021">
        <v>210110</v>
      </c>
      <c r="AD672" s="1021" t="s">
        <v>507</v>
      </c>
      <c r="AE672" s="1022">
        <f>VLOOKUP(AC672,[5]Hoja1!$A$10:$K$1393,11,0)</f>
        <v>-4546507</v>
      </c>
      <c r="AF672" s="1022"/>
      <c r="AG672" s="1022">
        <f t="shared" si="143"/>
        <v>-4546507</v>
      </c>
      <c r="AH672" s="1022">
        <f t="shared" si="144"/>
        <v>-4547</v>
      </c>
      <c r="AJ672" s="445"/>
      <c r="AK672" s="448"/>
      <c r="AL672" s="445"/>
    </row>
    <row r="673" spans="1:38" s="467" customFormat="1" ht="12.75" customHeight="1">
      <c r="A673" s="1033">
        <v>5213110</v>
      </c>
      <c r="B673" s="1033" t="s">
        <v>2772</v>
      </c>
      <c r="C673" s="1034" t="str">
        <f t="shared" si="145"/>
        <v/>
      </c>
      <c r="D673" s="1033"/>
      <c r="E673" s="1033"/>
      <c r="F673" s="1034" t="str">
        <f t="shared" si="146"/>
        <v/>
      </c>
      <c r="G673" s="1033"/>
      <c r="H673" s="1033"/>
      <c r="I673" s="1034" t="str">
        <f t="shared" si="147"/>
        <v>6511200108</v>
      </c>
      <c r="J673" s="1033">
        <v>6511200</v>
      </c>
      <c r="K673" s="1033">
        <v>108</v>
      </c>
      <c r="L673" s="1034" t="str">
        <f t="shared" si="148"/>
        <v/>
      </c>
      <c r="M673" s="1035"/>
      <c r="N673" s="1035"/>
      <c r="O673" s="1036" t="str">
        <f t="shared" si="149"/>
        <v/>
      </c>
      <c r="P673" s="1033"/>
      <c r="Q673" s="1033"/>
      <c r="R673" s="1034" t="str">
        <f t="shared" si="150"/>
        <v>6210000108</v>
      </c>
      <c r="S673" s="1035">
        <v>6210000</v>
      </c>
      <c r="T673" s="1035">
        <v>108</v>
      </c>
      <c r="U673" s="1034" t="str">
        <f t="shared" si="151"/>
        <v/>
      </c>
      <c r="V673" s="1035"/>
      <c r="W673" s="1035"/>
      <c r="X673" s="1037" t="str">
        <f t="shared" si="141"/>
        <v>102</v>
      </c>
      <c r="Y673" s="1035">
        <v>10</v>
      </c>
      <c r="Z673" s="1035">
        <f t="shared" si="142"/>
        <v>2</v>
      </c>
      <c r="AA673" s="1035"/>
      <c r="AB673" s="1035"/>
      <c r="AC673" s="1021">
        <v>210111</v>
      </c>
      <c r="AD673" s="1021" t="s">
        <v>2153</v>
      </c>
      <c r="AE673" s="1022">
        <f>VLOOKUP(AC673,[5]Hoja1!$A$10:$K$1393,11,0)</f>
        <v>-972797</v>
      </c>
      <c r="AF673" s="1022"/>
      <c r="AG673" s="1022">
        <f t="shared" si="143"/>
        <v>-972797</v>
      </c>
      <c r="AH673" s="1022">
        <f t="shared" si="144"/>
        <v>-973</v>
      </c>
      <c r="AJ673" s="445"/>
      <c r="AK673" s="448"/>
      <c r="AL673" s="445"/>
    </row>
    <row r="674" spans="1:38" s="467" customFormat="1" ht="12.75" customHeight="1">
      <c r="A674" s="1033">
        <v>5213110</v>
      </c>
      <c r="B674" s="1033" t="s">
        <v>2772</v>
      </c>
      <c r="C674" s="1034" t="str">
        <f t="shared" si="145"/>
        <v/>
      </c>
      <c r="D674" s="1033"/>
      <c r="E674" s="1033"/>
      <c r="F674" s="1034" t="str">
        <f t="shared" si="146"/>
        <v/>
      </c>
      <c r="G674" s="1033"/>
      <c r="H674" s="1033"/>
      <c r="I674" s="1034" t="str">
        <f t="shared" si="147"/>
        <v>6511200208</v>
      </c>
      <c r="J674" s="1033">
        <v>6511200</v>
      </c>
      <c r="K674" s="1033">
        <v>208</v>
      </c>
      <c r="L674" s="1034" t="str">
        <f t="shared" si="148"/>
        <v/>
      </c>
      <c r="M674" s="1035"/>
      <c r="N674" s="1035"/>
      <c r="O674" s="1036" t="str">
        <f t="shared" si="149"/>
        <v/>
      </c>
      <c r="P674" s="1033"/>
      <c r="Q674" s="1033"/>
      <c r="R674" s="1034" t="str">
        <f t="shared" si="150"/>
        <v>6210000208</v>
      </c>
      <c r="S674" s="1035">
        <v>6210000</v>
      </c>
      <c r="T674" s="1035">
        <v>208</v>
      </c>
      <c r="U674" s="1034" t="str">
        <f t="shared" si="151"/>
        <v/>
      </c>
      <c r="V674" s="1035"/>
      <c r="W674" s="1035"/>
      <c r="X674" s="1037" t="str">
        <f t="shared" si="141"/>
        <v>102</v>
      </c>
      <c r="Y674" s="1035">
        <v>10</v>
      </c>
      <c r="Z674" s="1035">
        <f t="shared" si="142"/>
        <v>2</v>
      </c>
      <c r="AA674" s="1035"/>
      <c r="AB674" s="1035"/>
      <c r="AC674" s="1021">
        <v>210112</v>
      </c>
      <c r="AD674" s="1021" t="s">
        <v>2154</v>
      </c>
      <c r="AE674" s="1022">
        <f>VLOOKUP(AC674,[5]Hoja1!$A$10:$K$1393,11,0)</f>
        <v>0</v>
      </c>
      <c r="AF674" s="1022"/>
      <c r="AG674" s="1022">
        <f t="shared" si="143"/>
        <v>0</v>
      </c>
      <c r="AH674" s="1022">
        <f t="shared" si="144"/>
        <v>0</v>
      </c>
      <c r="AJ674" s="445"/>
      <c r="AK674" s="448"/>
      <c r="AL674" s="445"/>
    </row>
    <row r="675" spans="1:38" s="467" customFormat="1" ht="12.75" customHeight="1">
      <c r="A675" s="1033"/>
      <c r="B675" s="1033"/>
      <c r="C675" s="1034" t="str">
        <f t="shared" si="145"/>
        <v/>
      </c>
      <c r="D675" s="1033"/>
      <c r="E675" s="1033"/>
      <c r="F675" s="1034" t="str">
        <f t="shared" si="146"/>
        <v/>
      </c>
      <c r="G675" s="1033"/>
      <c r="H675" s="1033"/>
      <c r="I675" s="1034" t="str">
        <f t="shared" si="147"/>
        <v>6513200114</v>
      </c>
      <c r="J675" s="1033">
        <v>6513200</v>
      </c>
      <c r="K675" s="1033">
        <v>114</v>
      </c>
      <c r="L675" s="1034" t="str">
        <f t="shared" si="148"/>
        <v/>
      </c>
      <c r="M675" s="1035"/>
      <c r="N675" s="1035"/>
      <c r="O675" s="1036" t="str">
        <f t="shared" si="149"/>
        <v/>
      </c>
      <c r="P675" s="1033"/>
      <c r="Q675" s="1033"/>
      <c r="R675" s="1034" t="str">
        <f t="shared" si="150"/>
        <v/>
      </c>
      <c r="S675" s="1035"/>
      <c r="T675" s="1035"/>
      <c r="U675" s="1034" t="str">
        <f t="shared" si="151"/>
        <v/>
      </c>
      <c r="V675" s="1035"/>
      <c r="W675" s="1035"/>
      <c r="X675" s="1037" t="str">
        <f t="shared" si="141"/>
        <v>102</v>
      </c>
      <c r="Y675" s="1035">
        <v>10</v>
      </c>
      <c r="Z675" s="1035">
        <f t="shared" si="142"/>
        <v>2</v>
      </c>
      <c r="AA675" s="1035"/>
      <c r="AB675" s="1035"/>
      <c r="AC675" s="1021">
        <v>210113</v>
      </c>
      <c r="AD675" s="1021" t="s">
        <v>794</v>
      </c>
      <c r="AE675" s="1022">
        <f>VLOOKUP(AC675,[5]Hoja1!$A$10:$K$1393,11,0)</f>
        <v>0</v>
      </c>
      <c r="AF675" s="1022"/>
      <c r="AG675" s="1022">
        <f t="shared" si="143"/>
        <v>0</v>
      </c>
      <c r="AH675" s="1022">
        <f t="shared" si="144"/>
        <v>0</v>
      </c>
      <c r="AJ675" s="445"/>
      <c r="AK675" s="448"/>
      <c r="AL675" s="445"/>
    </row>
    <row r="676" spans="1:38" s="467" customFormat="1" ht="12.75" customHeight="1">
      <c r="A676" s="1033"/>
      <c r="B676" s="1033"/>
      <c r="C676" s="1034" t="str">
        <f t="shared" si="145"/>
        <v/>
      </c>
      <c r="D676" s="1033"/>
      <c r="E676" s="1033"/>
      <c r="F676" s="1034" t="str">
        <f t="shared" si="146"/>
        <v/>
      </c>
      <c r="G676" s="1033"/>
      <c r="H676" s="1033"/>
      <c r="I676" s="1034" t="str">
        <f t="shared" si="147"/>
        <v>6511200206</v>
      </c>
      <c r="J676" s="1033">
        <v>6511200</v>
      </c>
      <c r="K676" s="1033">
        <v>206</v>
      </c>
      <c r="L676" s="1034" t="str">
        <f t="shared" si="148"/>
        <v/>
      </c>
      <c r="M676" s="1035"/>
      <c r="N676" s="1035"/>
      <c r="O676" s="1036" t="str">
        <f t="shared" si="149"/>
        <v/>
      </c>
      <c r="P676" s="1033"/>
      <c r="Q676" s="1033"/>
      <c r="R676" s="1034" t="str">
        <f t="shared" si="150"/>
        <v>6210000206</v>
      </c>
      <c r="S676" s="1035">
        <v>6210000</v>
      </c>
      <c r="T676" s="1035">
        <v>206</v>
      </c>
      <c r="U676" s="1034" t="str">
        <f t="shared" si="151"/>
        <v/>
      </c>
      <c r="V676" s="1035"/>
      <c r="W676" s="1035"/>
      <c r="X676" s="1037" t="str">
        <f t="shared" si="141"/>
        <v>102</v>
      </c>
      <c r="Y676" s="1035">
        <v>10</v>
      </c>
      <c r="Z676" s="1035">
        <f t="shared" si="142"/>
        <v>2</v>
      </c>
      <c r="AA676" s="1035"/>
      <c r="AB676" s="1035"/>
      <c r="AC676" s="1021">
        <v>210114</v>
      </c>
      <c r="AD676" s="1021" t="s">
        <v>795</v>
      </c>
      <c r="AE676" s="1022">
        <v>0</v>
      </c>
      <c r="AF676" s="1022"/>
      <c r="AG676" s="1022">
        <f t="shared" si="143"/>
        <v>0</v>
      </c>
      <c r="AH676" s="1022">
        <f t="shared" si="144"/>
        <v>0</v>
      </c>
      <c r="AJ676" s="445"/>
      <c r="AK676" s="448"/>
      <c r="AL676" s="445"/>
    </row>
    <row r="677" spans="1:38" s="467" customFormat="1" ht="12.75" customHeight="1">
      <c r="A677" s="1033">
        <v>5213110</v>
      </c>
      <c r="B677" s="1033" t="s">
        <v>2772</v>
      </c>
      <c r="C677" s="1034" t="str">
        <f t="shared" si="145"/>
        <v/>
      </c>
      <c r="D677" s="1033"/>
      <c r="E677" s="1033"/>
      <c r="F677" s="1034" t="str">
        <f t="shared" si="146"/>
        <v/>
      </c>
      <c r="G677" s="1033"/>
      <c r="H677" s="1033"/>
      <c r="I677" s="1034" t="str">
        <f t="shared" si="147"/>
        <v>6511200207</v>
      </c>
      <c r="J677" s="1033">
        <v>6511200</v>
      </c>
      <c r="K677" s="1033">
        <v>207</v>
      </c>
      <c r="L677" s="1034" t="str">
        <f t="shared" si="148"/>
        <v/>
      </c>
      <c r="M677" s="1035"/>
      <c r="N677" s="1035"/>
      <c r="O677" s="1036" t="str">
        <f t="shared" si="149"/>
        <v/>
      </c>
      <c r="P677" s="1033"/>
      <c r="Q677" s="1033"/>
      <c r="R677" s="1034" t="str">
        <f t="shared" si="150"/>
        <v>6210000207</v>
      </c>
      <c r="S677" s="1035">
        <v>6210000</v>
      </c>
      <c r="T677" s="1035">
        <v>207</v>
      </c>
      <c r="U677" s="1034" t="str">
        <f t="shared" si="151"/>
        <v/>
      </c>
      <c r="V677" s="1035"/>
      <c r="W677" s="1035"/>
      <c r="X677" s="1037" t="str">
        <f t="shared" si="141"/>
        <v>102</v>
      </c>
      <c r="Y677" s="1035">
        <v>10</v>
      </c>
      <c r="Z677" s="1035">
        <f t="shared" si="142"/>
        <v>2</v>
      </c>
      <c r="AA677" s="1035"/>
      <c r="AB677" s="1035"/>
      <c r="AC677" s="1021">
        <v>210115</v>
      </c>
      <c r="AD677" s="1021" t="s">
        <v>2155</v>
      </c>
      <c r="AE677" s="1022">
        <f>VLOOKUP(AC677,[5]Hoja1!$A$10:$K$1393,11,0)</f>
        <v>-45382757</v>
      </c>
      <c r="AF677" s="1022"/>
      <c r="AG677" s="1022">
        <f t="shared" si="143"/>
        <v>-45382757</v>
      </c>
      <c r="AH677" s="1022">
        <f t="shared" si="144"/>
        <v>-45383</v>
      </c>
      <c r="AJ677" s="445"/>
      <c r="AK677" s="448"/>
      <c r="AL677" s="445"/>
    </row>
    <row r="678" spans="1:38" s="467" customFormat="1" ht="12.75" customHeight="1">
      <c r="A678" s="1033">
        <v>5213110</v>
      </c>
      <c r="B678" s="1033" t="s">
        <v>2772</v>
      </c>
      <c r="C678" s="1034" t="str">
        <f t="shared" si="145"/>
        <v/>
      </c>
      <c r="D678" s="1033"/>
      <c r="E678" s="1033"/>
      <c r="F678" s="1034" t="str">
        <f t="shared" si="146"/>
        <v/>
      </c>
      <c r="G678" s="1033"/>
      <c r="H678" s="1033"/>
      <c r="I678" s="1034" t="str">
        <f t="shared" si="147"/>
        <v>6511200114</v>
      </c>
      <c r="J678" s="1033">
        <v>6511200</v>
      </c>
      <c r="K678" s="1033">
        <v>114</v>
      </c>
      <c r="L678" s="1034" t="str">
        <f t="shared" si="148"/>
        <v/>
      </c>
      <c r="M678" s="1035"/>
      <c r="N678" s="1035"/>
      <c r="O678" s="1036" t="str">
        <f t="shared" si="149"/>
        <v/>
      </c>
      <c r="P678" s="1033"/>
      <c r="Q678" s="1033"/>
      <c r="R678" s="1034" t="str">
        <f t="shared" si="150"/>
        <v>6210000114</v>
      </c>
      <c r="S678" s="1035">
        <v>6210000</v>
      </c>
      <c r="T678" s="1035">
        <v>114</v>
      </c>
      <c r="U678" s="1034" t="str">
        <f t="shared" si="151"/>
        <v/>
      </c>
      <c r="V678" s="1035"/>
      <c r="W678" s="1035"/>
      <c r="X678" s="1037" t="str">
        <f t="shared" si="141"/>
        <v>102</v>
      </c>
      <c r="Y678" s="1035">
        <v>10</v>
      </c>
      <c r="Z678" s="1035">
        <f t="shared" si="142"/>
        <v>2</v>
      </c>
      <c r="AA678" s="1035"/>
      <c r="AB678" s="1035"/>
      <c r="AC678" s="1021">
        <v>210116</v>
      </c>
      <c r="AD678" s="1021" t="s">
        <v>2156</v>
      </c>
      <c r="AE678" s="1022">
        <f>VLOOKUP(AC678,[5]Hoja1!$A$10:$K$1393,11,0)</f>
        <v>-118930501</v>
      </c>
      <c r="AF678" s="1022"/>
      <c r="AG678" s="1022">
        <f t="shared" si="143"/>
        <v>-118930501</v>
      </c>
      <c r="AH678" s="1022">
        <f t="shared" si="144"/>
        <v>-118931</v>
      </c>
      <c r="AJ678" s="445"/>
      <c r="AK678" s="448"/>
      <c r="AL678" s="445"/>
    </row>
    <row r="679" spans="1:38" s="467" customFormat="1" ht="12.75" customHeight="1">
      <c r="A679" s="1033"/>
      <c r="B679" s="1033"/>
      <c r="C679" s="1034" t="str">
        <f t="shared" si="145"/>
        <v/>
      </c>
      <c r="D679" s="1033"/>
      <c r="E679" s="1033"/>
      <c r="F679" s="1034" t="str">
        <f t="shared" si="146"/>
        <v/>
      </c>
      <c r="G679" s="1033"/>
      <c r="H679" s="1033"/>
      <c r="I679" s="1034" t="str">
        <f t="shared" si="147"/>
        <v>6511200202</v>
      </c>
      <c r="J679" s="1033">
        <v>6511200</v>
      </c>
      <c r="K679" s="1033">
        <v>202</v>
      </c>
      <c r="L679" s="1034" t="str">
        <f t="shared" si="148"/>
        <v/>
      </c>
      <c r="M679" s="1035"/>
      <c r="N679" s="1035"/>
      <c r="O679" s="1036" t="str">
        <f t="shared" si="149"/>
        <v/>
      </c>
      <c r="P679" s="1033"/>
      <c r="Q679" s="1033"/>
      <c r="R679" s="1034" t="str">
        <f t="shared" si="150"/>
        <v>6210000202</v>
      </c>
      <c r="S679" s="1035">
        <v>6210000</v>
      </c>
      <c r="T679" s="1035">
        <v>202</v>
      </c>
      <c r="U679" s="1034" t="str">
        <f t="shared" si="151"/>
        <v/>
      </c>
      <c r="V679" s="1035"/>
      <c r="W679" s="1035"/>
      <c r="X679" s="1037" t="str">
        <f t="shared" si="141"/>
        <v>102</v>
      </c>
      <c r="Y679" s="1035">
        <v>10</v>
      </c>
      <c r="Z679" s="1035">
        <f t="shared" si="142"/>
        <v>2</v>
      </c>
      <c r="AA679" s="1035"/>
      <c r="AB679" s="1035"/>
      <c r="AC679" s="1021">
        <v>210117</v>
      </c>
      <c r="AD679" s="1021" t="s">
        <v>1864</v>
      </c>
      <c r="AE679" s="1022">
        <v>0</v>
      </c>
      <c r="AF679" s="1022"/>
      <c r="AG679" s="1022">
        <f t="shared" si="143"/>
        <v>0</v>
      </c>
      <c r="AH679" s="1022">
        <f t="shared" si="144"/>
        <v>0</v>
      </c>
      <c r="AJ679" s="445"/>
      <c r="AK679" s="448"/>
      <c r="AL679" s="445"/>
    </row>
    <row r="680" spans="1:38" s="467" customFormat="1" ht="12.75" customHeight="1">
      <c r="A680" s="1033">
        <v>5213110</v>
      </c>
      <c r="B680" s="1033" t="s">
        <v>2772</v>
      </c>
      <c r="C680" s="1034" t="str">
        <f t="shared" si="145"/>
        <v/>
      </c>
      <c r="D680" s="1033"/>
      <c r="E680" s="1033"/>
      <c r="F680" s="1034" t="str">
        <f t="shared" si="146"/>
        <v/>
      </c>
      <c r="G680" s="1033"/>
      <c r="H680" s="1033"/>
      <c r="I680" s="1034" t="str">
        <f t="shared" si="147"/>
        <v>6511200101</v>
      </c>
      <c r="J680" s="1033">
        <v>6511200</v>
      </c>
      <c r="K680" s="1033">
        <v>101</v>
      </c>
      <c r="L680" s="1034" t="str">
        <f t="shared" si="148"/>
        <v/>
      </c>
      <c r="M680" s="1035"/>
      <c r="N680" s="1035"/>
      <c r="O680" s="1036" t="str">
        <f t="shared" si="149"/>
        <v/>
      </c>
      <c r="P680" s="1033"/>
      <c r="Q680" s="1033"/>
      <c r="R680" s="1034" t="str">
        <f t="shared" si="150"/>
        <v>6210000101</v>
      </c>
      <c r="S680" s="1035">
        <v>6210000</v>
      </c>
      <c r="T680" s="1035">
        <v>101</v>
      </c>
      <c r="U680" s="1034" t="str">
        <f t="shared" si="151"/>
        <v/>
      </c>
      <c r="V680" s="1035"/>
      <c r="W680" s="1035"/>
      <c r="X680" s="1037" t="str">
        <f t="shared" si="141"/>
        <v>102</v>
      </c>
      <c r="Y680" s="1035">
        <v>10</v>
      </c>
      <c r="Z680" s="1035">
        <f t="shared" si="142"/>
        <v>2</v>
      </c>
      <c r="AA680" s="1035"/>
      <c r="AB680" s="1035"/>
      <c r="AC680" s="1021">
        <v>210118</v>
      </c>
      <c r="AD680" s="1021" t="s">
        <v>1865</v>
      </c>
      <c r="AE680" s="1022">
        <f>VLOOKUP(AC680,[5]Hoja1!$A$10:$K$1393,11,0)</f>
        <v>-3685917</v>
      </c>
      <c r="AF680" s="1022">
        <f>-AF667</f>
        <v>0</v>
      </c>
      <c r="AG680" s="1022">
        <f t="shared" si="143"/>
        <v>-3685917</v>
      </c>
      <c r="AH680" s="1022">
        <f t="shared" si="144"/>
        <v>-3686</v>
      </c>
      <c r="AJ680" s="445"/>
      <c r="AK680" s="448"/>
      <c r="AL680" s="445"/>
    </row>
    <row r="681" spans="1:38" s="467" customFormat="1" ht="12.75" customHeight="1">
      <c r="A681" s="1033"/>
      <c r="B681" s="1033"/>
      <c r="C681" s="1034" t="str">
        <f t="shared" si="145"/>
        <v/>
      </c>
      <c r="D681" s="1033"/>
      <c r="E681" s="1033"/>
      <c r="F681" s="1034" t="str">
        <f t="shared" si="146"/>
        <v/>
      </c>
      <c r="G681" s="1033"/>
      <c r="H681" s="1033"/>
      <c r="I681" s="1034" t="str">
        <f t="shared" si="147"/>
        <v>6512200212</v>
      </c>
      <c r="J681" s="1033">
        <v>6512200</v>
      </c>
      <c r="K681" s="1033">
        <v>212</v>
      </c>
      <c r="L681" s="1034" t="str">
        <f t="shared" si="148"/>
        <v/>
      </c>
      <c r="M681" s="1035"/>
      <c r="N681" s="1035"/>
      <c r="O681" s="1036" t="str">
        <f t="shared" si="149"/>
        <v/>
      </c>
      <c r="P681" s="1033"/>
      <c r="Q681" s="1033"/>
      <c r="R681" s="1034" t="str">
        <f t="shared" si="150"/>
        <v>6203200212</v>
      </c>
      <c r="S681" s="1035">
        <v>6203200</v>
      </c>
      <c r="T681" s="1035">
        <v>212</v>
      </c>
      <c r="U681" s="1034" t="str">
        <f t="shared" si="151"/>
        <v/>
      </c>
      <c r="V681" s="1035"/>
      <c r="W681" s="1035"/>
      <c r="X681" s="1037" t="str">
        <f t="shared" si="141"/>
        <v>102</v>
      </c>
      <c r="Y681" s="1035">
        <v>10</v>
      </c>
      <c r="Z681" s="1035">
        <f t="shared" si="142"/>
        <v>2</v>
      </c>
      <c r="AA681" s="1035"/>
      <c r="AB681" s="1035"/>
      <c r="AC681" s="1021">
        <v>210201</v>
      </c>
      <c r="AD681" s="1021" t="s">
        <v>972</v>
      </c>
      <c r="AE681" s="1022">
        <v>0</v>
      </c>
      <c r="AF681" s="1022"/>
      <c r="AG681" s="1022">
        <f t="shared" si="143"/>
        <v>0</v>
      </c>
      <c r="AH681" s="1022">
        <f t="shared" si="144"/>
        <v>0</v>
      </c>
      <c r="AJ681" s="445"/>
      <c r="AK681" s="448"/>
      <c r="AL681" s="445"/>
    </row>
    <row r="682" spans="1:38" s="467" customFormat="1" ht="12.75" customHeight="1">
      <c r="A682" s="1033"/>
      <c r="B682" s="1033"/>
      <c r="C682" s="1034" t="str">
        <f t="shared" si="145"/>
        <v/>
      </c>
      <c r="D682" s="1033"/>
      <c r="E682" s="1033"/>
      <c r="F682" s="1034" t="str">
        <f t="shared" si="146"/>
        <v/>
      </c>
      <c r="G682" s="1033"/>
      <c r="H682" s="1033"/>
      <c r="I682" s="1034" t="str">
        <f t="shared" si="147"/>
        <v>6512200112</v>
      </c>
      <c r="J682" s="1033">
        <v>6512200</v>
      </c>
      <c r="K682" s="1033">
        <v>112</v>
      </c>
      <c r="L682" s="1034" t="str">
        <f t="shared" si="148"/>
        <v/>
      </c>
      <c r="M682" s="1035"/>
      <c r="N682" s="1035"/>
      <c r="O682" s="1036" t="str">
        <f t="shared" si="149"/>
        <v/>
      </c>
      <c r="P682" s="1033"/>
      <c r="Q682" s="1033"/>
      <c r="R682" s="1034" t="str">
        <f t="shared" si="150"/>
        <v/>
      </c>
      <c r="S682" s="1035"/>
      <c r="T682" s="1035"/>
      <c r="U682" s="1034" t="str">
        <f t="shared" si="151"/>
        <v/>
      </c>
      <c r="V682" s="1035"/>
      <c r="W682" s="1035"/>
      <c r="X682" s="1037" t="str">
        <f t="shared" si="141"/>
        <v>102</v>
      </c>
      <c r="Y682" s="1035">
        <v>10</v>
      </c>
      <c r="Z682" s="1035">
        <f t="shared" si="142"/>
        <v>2</v>
      </c>
      <c r="AA682" s="1035"/>
      <c r="AB682" s="1035"/>
      <c r="AC682" s="1021">
        <v>210202</v>
      </c>
      <c r="AD682" s="1021" t="s">
        <v>685</v>
      </c>
      <c r="AE682" s="1022">
        <v>0</v>
      </c>
      <c r="AF682" s="1022"/>
      <c r="AG682" s="1022">
        <f t="shared" si="143"/>
        <v>0</v>
      </c>
      <c r="AH682" s="1022">
        <f t="shared" si="144"/>
        <v>0</v>
      </c>
      <c r="AJ682" s="445"/>
      <c r="AK682" s="448"/>
      <c r="AL682" s="445"/>
    </row>
    <row r="683" spans="1:38" s="467" customFormat="1" ht="12.75" customHeight="1">
      <c r="A683" s="1033"/>
      <c r="B683" s="1033"/>
      <c r="C683" s="1034" t="str">
        <f t="shared" si="145"/>
        <v/>
      </c>
      <c r="D683" s="1033"/>
      <c r="E683" s="1033"/>
      <c r="F683" s="1034" t="str">
        <f t="shared" si="146"/>
        <v/>
      </c>
      <c r="G683" s="1033"/>
      <c r="H683" s="1033"/>
      <c r="I683" s="1034" t="str">
        <f t="shared" si="147"/>
        <v>6512200210</v>
      </c>
      <c r="J683" s="1033">
        <v>6512200</v>
      </c>
      <c r="K683" s="1033">
        <v>210</v>
      </c>
      <c r="L683" s="1034" t="str">
        <f t="shared" si="148"/>
        <v/>
      </c>
      <c r="M683" s="1035"/>
      <c r="N683" s="1035"/>
      <c r="O683" s="1036" t="str">
        <f t="shared" si="149"/>
        <v/>
      </c>
      <c r="P683" s="1033"/>
      <c r="Q683" s="1033"/>
      <c r="R683" s="1034" t="str">
        <f t="shared" si="150"/>
        <v/>
      </c>
      <c r="S683" s="1035"/>
      <c r="T683" s="1035"/>
      <c r="U683" s="1034" t="str">
        <f t="shared" si="151"/>
        <v/>
      </c>
      <c r="V683" s="1035"/>
      <c r="W683" s="1035"/>
      <c r="X683" s="1037" t="str">
        <f t="shared" si="141"/>
        <v>102</v>
      </c>
      <c r="Y683" s="1035">
        <v>10</v>
      </c>
      <c r="Z683" s="1035">
        <f t="shared" si="142"/>
        <v>2</v>
      </c>
      <c r="AA683" s="1035"/>
      <c r="AB683" s="1035"/>
      <c r="AC683" s="1021">
        <v>210203</v>
      </c>
      <c r="AD683" s="1021" t="s">
        <v>2157</v>
      </c>
      <c r="AE683" s="1022">
        <v>0</v>
      </c>
      <c r="AF683" s="1022"/>
      <c r="AG683" s="1022">
        <f t="shared" si="143"/>
        <v>0</v>
      </c>
      <c r="AH683" s="1022">
        <f t="shared" si="144"/>
        <v>0</v>
      </c>
      <c r="AJ683" s="445"/>
      <c r="AK683" s="448"/>
      <c r="AL683" s="445"/>
    </row>
    <row r="684" spans="1:38" s="467" customFormat="1" ht="12.75" customHeight="1">
      <c r="A684" s="1033"/>
      <c r="B684" s="1033"/>
      <c r="C684" s="1034" t="str">
        <f t="shared" si="145"/>
        <v/>
      </c>
      <c r="D684" s="1033"/>
      <c r="E684" s="1033"/>
      <c r="F684" s="1034" t="str">
        <f t="shared" si="146"/>
        <v/>
      </c>
      <c r="G684" s="1033"/>
      <c r="H684" s="1033"/>
      <c r="I684" s="1034" t="str">
        <f t="shared" si="147"/>
        <v>6512200202</v>
      </c>
      <c r="J684" s="1033">
        <v>6512200</v>
      </c>
      <c r="K684" s="1033">
        <v>202</v>
      </c>
      <c r="L684" s="1034" t="str">
        <f t="shared" si="148"/>
        <v/>
      </c>
      <c r="M684" s="1035"/>
      <c r="N684" s="1035"/>
      <c r="O684" s="1036" t="str">
        <f t="shared" si="149"/>
        <v/>
      </c>
      <c r="P684" s="1033"/>
      <c r="Q684" s="1033"/>
      <c r="R684" s="1034" t="str">
        <f t="shared" si="150"/>
        <v/>
      </c>
      <c r="S684" s="1035"/>
      <c r="T684" s="1035"/>
      <c r="U684" s="1034" t="str">
        <f t="shared" si="151"/>
        <v/>
      </c>
      <c r="V684" s="1035"/>
      <c r="W684" s="1035"/>
      <c r="X684" s="1037" t="str">
        <f t="shared" ref="X684:X715" si="152">+Y684&amp;Z684</f>
        <v>102</v>
      </c>
      <c r="Y684" s="1035">
        <v>10</v>
      </c>
      <c r="Z684" s="1035">
        <f t="shared" si="142"/>
        <v>2</v>
      </c>
      <c r="AA684" s="1035"/>
      <c r="AB684" s="1035"/>
      <c r="AC684" s="1021">
        <v>210204</v>
      </c>
      <c r="AD684" s="1021" t="s">
        <v>2158</v>
      </c>
      <c r="AE684" s="1022">
        <v>0</v>
      </c>
      <c r="AF684" s="1022"/>
      <c r="AG684" s="1022">
        <f t="shared" si="143"/>
        <v>0</v>
      </c>
      <c r="AH684" s="1022">
        <f t="shared" si="144"/>
        <v>0</v>
      </c>
      <c r="AJ684" s="445"/>
      <c r="AK684" s="448"/>
      <c r="AL684" s="445"/>
    </row>
    <row r="685" spans="1:38" s="467" customFormat="1" ht="12.75" customHeight="1">
      <c r="A685" s="1033"/>
      <c r="B685" s="1033"/>
      <c r="C685" s="1034" t="str">
        <f t="shared" si="145"/>
        <v/>
      </c>
      <c r="D685" s="1033"/>
      <c r="E685" s="1033"/>
      <c r="F685" s="1034" t="str">
        <f t="shared" si="146"/>
        <v/>
      </c>
      <c r="G685" s="1033"/>
      <c r="H685" s="1033"/>
      <c r="I685" s="1034" t="str">
        <f t="shared" si="147"/>
        <v>6512200101</v>
      </c>
      <c r="J685" s="1033">
        <v>6512200</v>
      </c>
      <c r="K685" s="1033">
        <v>101</v>
      </c>
      <c r="L685" s="1034" t="str">
        <f t="shared" si="148"/>
        <v/>
      </c>
      <c r="M685" s="1035"/>
      <c r="N685" s="1035"/>
      <c r="O685" s="1036" t="str">
        <f t="shared" si="149"/>
        <v/>
      </c>
      <c r="P685" s="1033"/>
      <c r="Q685" s="1033"/>
      <c r="R685" s="1034" t="str">
        <f t="shared" si="150"/>
        <v/>
      </c>
      <c r="S685" s="1035"/>
      <c r="T685" s="1035"/>
      <c r="U685" s="1034" t="str">
        <f t="shared" si="151"/>
        <v/>
      </c>
      <c r="V685" s="1035"/>
      <c r="W685" s="1035"/>
      <c r="X685" s="1037" t="str">
        <f t="shared" si="152"/>
        <v>102</v>
      </c>
      <c r="Y685" s="1035">
        <v>10</v>
      </c>
      <c r="Z685" s="1035">
        <f t="shared" si="142"/>
        <v>2</v>
      </c>
      <c r="AA685" s="1035"/>
      <c r="AB685" s="1035"/>
      <c r="AC685" s="1021">
        <v>210205</v>
      </c>
      <c r="AD685" s="1021" t="s">
        <v>2159</v>
      </c>
      <c r="AE685" s="1022">
        <v>0</v>
      </c>
      <c r="AF685" s="1022"/>
      <c r="AG685" s="1022">
        <f t="shared" si="143"/>
        <v>0</v>
      </c>
      <c r="AH685" s="1022">
        <f t="shared" si="144"/>
        <v>0</v>
      </c>
      <c r="AJ685" s="445"/>
      <c r="AK685" s="448"/>
      <c r="AL685" s="445"/>
    </row>
    <row r="686" spans="1:38" s="467" customFormat="1" ht="12.75" customHeight="1">
      <c r="A686" s="1033"/>
      <c r="B686" s="1033"/>
      <c r="C686" s="1034" t="str">
        <f t="shared" si="145"/>
        <v/>
      </c>
      <c r="D686" s="1033"/>
      <c r="E686" s="1033"/>
      <c r="F686" s="1034" t="str">
        <f t="shared" si="146"/>
        <v/>
      </c>
      <c r="G686" s="1033"/>
      <c r="H686" s="1033"/>
      <c r="I686" s="1034" t="str">
        <f t="shared" si="147"/>
        <v>6512200209</v>
      </c>
      <c r="J686" s="1033">
        <v>6512200</v>
      </c>
      <c r="K686" s="1033">
        <v>209</v>
      </c>
      <c r="L686" s="1034" t="str">
        <f t="shared" si="148"/>
        <v/>
      </c>
      <c r="M686" s="1035"/>
      <c r="N686" s="1035"/>
      <c r="O686" s="1036" t="str">
        <f t="shared" si="149"/>
        <v/>
      </c>
      <c r="P686" s="1033"/>
      <c r="Q686" s="1033"/>
      <c r="R686" s="1034" t="str">
        <f t="shared" si="150"/>
        <v/>
      </c>
      <c r="S686" s="1035"/>
      <c r="T686" s="1035"/>
      <c r="U686" s="1034" t="str">
        <f t="shared" si="151"/>
        <v/>
      </c>
      <c r="V686" s="1035"/>
      <c r="W686" s="1035"/>
      <c r="X686" s="1037" t="str">
        <f t="shared" si="152"/>
        <v>102</v>
      </c>
      <c r="Y686" s="1035">
        <v>10</v>
      </c>
      <c r="Z686" s="1035">
        <f t="shared" si="142"/>
        <v>2</v>
      </c>
      <c r="AA686" s="1035"/>
      <c r="AB686" s="1035"/>
      <c r="AC686" s="1021">
        <v>210206</v>
      </c>
      <c r="AD686" s="1021" t="s">
        <v>1030</v>
      </c>
      <c r="AE686" s="1022">
        <v>0</v>
      </c>
      <c r="AF686" s="1022"/>
      <c r="AG686" s="1022">
        <f t="shared" si="143"/>
        <v>0</v>
      </c>
      <c r="AH686" s="1022">
        <f t="shared" si="144"/>
        <v>0</v>
      </c>
      <c r="AJ686" s="445"/>
      <c r="AK686" s="448"/>
      <c r="AL686" s="445"/>
    </row>
    <row r="687" spans="1:38" s="467" customFormat="1" ht="12.75" customHeight="1">
      <c r="A687" s="1033"/>
      <c r="B687" s="1033"/>
      <c r="C687" s="1034" t="str">
        <f t="shared" si="145"/>
        <v/>
      </c>
      <c r="D687" s="1033"/>
      <c r="E687" s="1033"/>
      <c r="F687" s="1034" t="str">
        <f t="shared" si="146"/>
        <v/>
      </c>
      <c r="G687" s="1033"/>
      <c r="H687" s="1033"/>
      <c r="I687" s="1034" t="str">
        <f t="shared" si="147"/>
        <v>6512200109</v>
      </c>
      <c r="J687" s="1033">
        <v>6512200</v>
      </c>
      <c r="K687" s="1035">
        <v>109</v>
      </c>
      <c r="L687" s="1034" t="str">
        <f t="shared" si="148"/>
        <v/>
      </c>
      <c r="M687" s="1033"/>
      <c r="N687" s="1035"/>
      <c r="O687" s="1036" t="str">
        <f t="shared" si="149"/>
        <v/>
      </c>
      <c r="P687" s="1042"/>
      <c r="Q687" s="1042"/>
      <c r="R687" s="1034" t="str">
        <f t="shared" si="150"/>
        <v/>
      </c>
      <c r="S687" s="1035"/>
      <c r="T687" s="1035"/>
      <c r="U687" s="1034" t="str">
        <f t="shared" si="151"/>
        <v/>
      </c>
      <c r="V687" s="1035"/>
      <c r="W687" s="1035"/>
      <c r="X687" s="1037" t="str">
        <f t="shared" si="152"/>
        <v>102</v>
      </c>
      <c r="Y687" s="1035">
        <v>10</v>
      </c>
      <c r="Z687" s="1035">
        <f t="shared" si="142"/>
        <v>2</v>
      </c>
      <c r="AA687" s="1035"/>
      <c r="AB687" s="1035"/>
      <c r="AC687" s="1021">
        <v>210207</v>
      </c>
      <c r="AD687" s="1021" t="s">
        <v>1031</v>
      </c>
      <c r="AE687" s="1022">
        <v>0</v>
      </c>
      <c r="AF687" s="1022"/>
      <c r="AG687" s="1022">
        <f t="shared" si="143"/>
        <v>0</v>
      </c>
      <c r="AH687" s="1022">
        <f t="shared" si="144"/>
        <v>0</v>
      </c>
      <c r="AJ687" s="445"/>
      <c r="AK687" s="448"/>
      <c r="AL687" s="445"/>
    </row>
    <row r="688" spans="1:38" s="467" customFormat="1" ht="12.75" customHeight="1">
      <c r="A688" s="1033"/>
      <c r="B688" s="1033"/>
      <c r="C688" s="1034" t="str">
        <f t="shared" si="145"/>
        <v/>
      </c>
      <c r="D688" s="1033"/>
      <c r="E688" s="1033"/>
      <c r="F688" s="1034" t="str">
        <f t="shared" si="146"/>
        <v/>
      </c>
      <c r="G688" s="1033"/>
      <c r="H688" s="1033"/>
      <c r="I688" s="1034" t="str">
        <f t="shared" si="147"/>
        <v>6512200101</v>
      </c>
      <c r="J688" s="1033">
        <v>6512200</v>
      </c>
      <c r="K688" s="1035">
        <v>101</v>
      </c>
      <c r="L688" s="1034" t="str">
        <f t="shared" si="148"/>
        <v/>
      </c>
      <c r="M688" s="1033"/>
      <c r="N688" s="1035"/>
      <c r="O688" s="1036" t="str">
        <f t="shared" si="149"/>
        <v/>
      </c>
      <c r="P688" s="1042"/>
      <c r="Q688" s="1042"/>
      <c r="R688" s="1034" t="str">
        <f t="shared" si="150"/>
        <v>6203200101</v>
      </c>
      <c r="S688" s="1035">
        <v>6203200</v>
      </c>
      <c r="T688" s="1035">
        <v>101</v>
      </c>
      <c r="U688" s="1034" t="str">
        <f t="shared" si="151"/>
        <v/>
      </c>
      <c r="V688" s="1035"/>
      <c r="W688" s="1035"/>
      <c r="X688" s="1037" t="str">
        <f t="shared" si="152"/>
        <v>102</v>
      </c>
      <c r="Y688" s="1035">
        <v>10</v>
      </c>
      <c r="Z688" s="1035">
        <f t="shared" si="142"/>
        <v>2</v>
      </c>
      <c r="AA688" s="1035"/>
      <c r="AB688" s="1035"/>
      <c r="AC688" s="1021">
        <v>210208</v>
      </c>
      <c r="AD688" s="1021" t="s">
        <v>2160</v>
      </c>
      <c r="AE688" s="1022">
        <v>0</v>
      </c>
      <c r="AF688" s="1022"/>
      <c r="AG688" s="1022">
        <f t="shared" si="143"/>
        <v>0</v>
      </c>
      <c r="AH688" s="1022">
        <f t="shared" si="144"/>
        <v>0</v>
      </c>
      <c r="AJ688" s="445"/>
      <c r="AK688" s="448"/>
      <c r="AL688" s="445"/>
    </row>
    <row r="689" spans="1:38" s="467" customFormat="1" ht="12.75" customHeight="1">
      <c r="A689" s="1033"/>
      <c r="B689" s="1033"/>
      <c r="C689" s="1034" t="str">
        <f t="shared" si="145"/>
        <v/>
      </c>
      <c r="D689" s="1033"/>
      <c r="E689" s="1033"/>
      <c r="F689" s="1034" t="str">
        <f t="shared" si="146"/>
        <v/>
      </c>
      <c r="G689" s="1033"/>
      <c r="H689" s="1033"/>
      <c r="I689" s="1034" t="str">
        <f t="shared" si="147"/>
        <v>6513200103</v>
      </c>
      <c r="J689" s="1033">
        <v>6513200</v>
      </c>
      <c r="K689" s="1035">
        <v>103</v>
      </c>
      <c r="L689" s="1034" t="str">
        <f t="shared" si="148"/>
        <v/>
      </c>
      <c r="M689" s="1035"/>
      <c r="N689" s="1035"/>
      <c r="O689" s="1036" t="str">
        <f t="shared" si="149"/>
        <v/>
      </c>
      <c r="P689" s="1035"/>
      <c r="Q689" s="1033"/>
      <c r="R689" s="1034" t="str">
        <f t="shared" si="150"/>
        <v/>
      </c>
      <c r="S689" s="1035"/>
      <c r="T689" s="1035"/>
      <c r="U689" s="1034" t="str">
        <f t="shared" si="151"/>
        <v/>
      </c>
      <c r="V689" s="1035"/>
      <c r="W689" s="1035"/>
      <c r="X689" s="1037" t="str">
        <f t="shared" si="152"/>
        <v>102</v>
      </c>
      <c r="Y689" s="1035">
        <v>10</v>
      </c>
      <c r="Z689" s="1035">
        <f t="shared" si="142"/>
        <v>2</v>
      </c>
      <c r="AA689" s="1035"/>
      <c r="AB689" s="1035"/>
      <c r="AC689" s="1021">
        <v>210209</v>
      </c>
      <c r="AD689" s="1021" t="s">
        <v>1032</v>
      </c>
      <c r="AE689" s="1022">
        <v>0</v>
      </c>
      <c r="AF689" s="1022"/>
      <c r="AG689" s="1022">
        <f t="shared" si="143"/>
        <v>0</v>
      </c>
      <c r="AH689" s="1022">
        <f t="shared" si="144"/>
        <v>0</v>
      </c>
      <c r="AJ689" s="445"/>
      <c r="AK689" s="448"/>
      <c r="AL689" s="445"/>
    </row>
    <row r="690" spans="1:38" s="467" customFormat="1" ht="12.75" customHeight="1">
      <c r="A690" s="1033"/>
      <c r="B690" s="1033"/>
      <c r="C690" s="1034" t="str">
        <f t="shared" si="145"/>
        <v/>
      </c>
      <c r="D690" s="1033"/>
      <c r="E690" s="1033"/>
      <c r="F690" s="1034" t="str">
        <f t="shared" si="146"/>
        <v/>
      </c>
      <c r="G690" s="1033"/>
      <c r="H690" s="1033"/>
      <c r="I690" s="1034" t="str">
        <f t="shared" si="147"/>
        <v>6512200104</v>
      </c>
      <c r="J690" s="1033">
        <v>6512200</v>
      </c>
      <c r="K690" s="1035">
        <v>104</v>
      </c>
      <c r="L690" s="1034" t="str">
        <f t="shared" si="148"/>
        <v/>
      </c>
      <c r="M690" s="1035"/>
      <c r="N690" s="1035"/>
      <c r="O690" s="1036" t="str">
        <f t="shared" si="149"/>
        <v/>
      </c>
      <c r="P690" s="1035"/>
      <c r="Q690" s="1033"/>
      <c r="R690" s="1034" t="str">
        <f t="shared" si="150"/>
        <v/>
      </c>
      <c r="S690" s="1035"/>
      <c r="T690" s="1035"/>
      <c r="U690" s="1034" t="str">
        <f t="shared" si="151"/>
        <v/>
      </c>
      <c r="V690" s="1035"/>
      <c r="W690" s="1035"/>
      <c r="X690" s="1037" t="str">
        <f t="shared" si="152"/>
        <v>102</v>
      </c>
      <c r="Y690" s="1035">
        <v>10</v>
      </c>
      <c r="Z690" s="1035">
        <f t="shared" si="142"/>
        <v>2</v>
      </c>
      <c r="AA690" s="1035"/>
      <c r="AB690" s="1035"/>
      <c r="AC690" s="1021">
        <v>210210</v>
      </c>
      <c r="AD690" s="1021" t="s">
        <v>1033</v>
      </c>
      <c r="AE690" s="1022">
        <v>0</v>
      </c>
      <c r="AF690" s="1022"/>
      <c r="AG690" s="1022">
        <f t="shared" si="143"/>
        <v>0</v>
      </c>
      <c r="AH690" s="1022">
        <f t="shared" si="144"/>
        <v>0</v>
      </c>
      <c r="AJ690" s="445"/>
      <c r="AK690" s="448"/>
      <c r="AL690" s="445"/>
    </row>
    <row r="691" spans="1:38" s="467" customFormat="1" ht="12.75" customHeight="1">
      <c r="A691" s="1033"/>
      <c r="B691" s="1033"/>
      <c r="C691" s="1034" t="str">
        <f t="shared" si="145"/>
        <v/>
      </c>
      <c r="D691" s="1033"/>
      <c r="E691" s="1033"/>
      <c r="F691" s="1034" t="str">
        <f t="shared" si="146"/>
        <v/>
      </c>
      <c r="G691" s="1033"/>
      <c r="H691" s="1033"/>
      <c r="I691" s="1034" t="str">
        <f t="shared" si="147"/>
        <v>6512200108</v>
      </c>
      <c r="J691" s="1033">
        <v>6512200</v>
      </c>
      <c r="K691" s="1035">
        <v>108</v>
      </c>
      <c r="L691" s="1034" t="str">
        <f t="shared" si="148"/>
        <v/>
      </c>
      <c r="M691" s="1035"/>
      <c r="N691" s="1035"/>
      <c r="O691" s="1036" t="str">
        <f t="shared" si="149"/>
        <v/>
      </c>
      <c r="P691" s="1035"/>
      <c r="Q691" s="1033"/>
      <c r="R691" s="1034" t="str">
        <f t="shared" si="150"/>
        <v/>
      </c>
      <c r="S691" s="1035"/>
      <c r="T691" s="1035"/>
      <c r="U691" s="1034" t="str">
        <f t="shared" si="151"/>
        <v/>
      </c>
      <c r="V691" s="1035"/>
      <c r="W691" s="1035"/>
      <c r="X691" s="1037" t="str">
        <f t="shared" si="152"/>
        <v>102</v>
      </c>
      <c r="Y691" s="1035">
        <v>10</v>
      </c>
      <c r="Z691" s="1035">
        <f t="shared" si="142"/>
        <v>2</v>
      </c>
      <c r="AA691" s="1035"/>
      <c r="AB691" s="1035"/>
      <c r="AC691" s="1021">
        <v>210211</v>
      </c>
      <c r="AD691" s="1021" t="s">
        <v>2161</v>
      </c>
      <c r="AE691" s="1022">
        <v>0</v>
      </c>
      <c r="AF691" s="1022"/>
      <c r="AG691" s="1022">
        <f t="shared" si="143"/>
        <v>0</v>
      </c>
      <c r="AH691" s="1022">
        <f t="shared" si="144"/>
        <v>0</v>
      </c>
      <c r="AJ691" s="445"/>
      <c r="AK691" s="448"/>
      <c r="AL691" s="445"/>
    </row>
    <row r="692" spans="1:38" s="467" customFormat="1" ht="12.75" customHeight="1">
      <c r="A692" s="1033"/>
      <c r="B692" s="1033"/>
      <c r="C692" s="1034" t="str">
        <f t="shared" si="145"/>
        <v/>
      </c>
      <c r="D692" s="1035"/>
      <c r="E692" s="1035"/>
      <c r="F692" s="1034" t="str">
        <f t="shared" si="146"/>
        <v/>
      </c>
      <c r="G692" s="1033"/>
      <c r="H692" s="1033"/>
      <c r="I692" s="1034" t="str">
        <f t="shared" si="147"/>
        <v>6512200208</v>
      </c>
      <c r="J692" s="1033">
        <v>6512200</v>
      </c>
      <c r="K692" s="1033">
        <v>208</v>
      </c>
      <c r="L692" s="1034" t="str">
        <f t="shared" si="148"/>
        <v/>
      </c>
      <c r="M692" s="1035"/>
      <c r="N692" s="1035"/>
      <c r="O692" s="1036" t="str">
        <f t="shared" si="149"/>
        <v/>
      </c>
      <c r="P692" s="1033"/>
      <c r="Q692" s="1033"/>
      <c r="R692" s="1034" t="str">
        <f t="shared" si="150"/>
        <v/>
      </c>
      <c r="S692" s="1035"/>
      <c r="T692" s="1035"/>
      <c r="U692" s="1034" t="str">
        <f t="shared" si="151"/>
        <v/>
      </c>
      <c r="V692" s="1035"/>
      <c r="W692" s="1035"/>
      <c r="X692" s="1037" t="str">
        <f t="shared" si="152"/>
        <v>102</v>
      </c>
      <c r="Y692" s="1035">
        <v>10</v>
      </c>
      <c r="Z692" s="1035">
        <f t="shared" si="142"/>
        <v>2</v>
      </c>
      <c r="AA692" s="1035"/>
      <c r="AB692" s="1035"/>
      <c r="AC692" s="1021">
        <v>210212</v>
      </c>
      <c r="AD692" s="1021" t="s">
        <v>2162</v>
      </c>
      <c r="AE692" s="1022">
        <v>0</v>
      </c>
      <c r="AF692" s="1022"/>
      <c r="AG692" s="1022">
        <f t="shared" si="143"/>
        <v>0</v>
      </c>
      <c r="AH692" s="1022">
        <f t="shared" si="144"/>
        <v>0</v>
      </c>
      <c r="AJ692" s="445"/>
      <c r="AK692" s="448"/>
      <c r="AL692" s="445"/>
    </row>
    <row r="693" spans="1:38" s="467" customFormat="1" ht="12.75" customHeight="1">
      <c r="A693" s="1033"/>
      <c r="B693" s="1033"/>
      <c r="C693" s="1034" t="str">
        <f t="shared" si="145"/>
        <v/>
      </c>
      <c r="D693" s="1033"/>
      <c r="E693" s="1033"/>
      <c r="F693" s="1034" t="str">
        <f t="shared" si="146"/>
        <v/>
      </c>
      <c r="G693" s="1033"/>
      <c r="H693" s="1033"/>
      <c r="I693" s="1034" t="str">
        <f t="shared" si="147"/>
        <v>6513200114</v>
      </c>
      <c r="J693" s="1033">
        <v>6513200</v>
      </c>
      <c r="K693" s="1035">
        <v>114</v>
      </c>
      <c r="L693" s="1034" t="str">
        <f t="shared" si="148"/>
        <v/>
      </c>
      <c r="M693" s="1033"/>
      <c r="N693" s="1035"/>
      <c r="O693" s="1036" t="str">
        <f t="shared" si="149"/>
        <v/>
      </c>
      <c r="P693" s="1042"/>
      <c r="Q693" s="1042"/>
      <c r="R693" s="1034" t="str">
        <f t="shared" si="150"/>
        <v/>
      </c>
      <c r="S693" s="1035"/>
      <c r="T693" s="1035"/>
      <c r="U693" s="1034" t="str">
        <f t="shared" si="151"/>
        <v/>
      </c>
      <c r="V693" s="1035"/>
      <c r="W693" s="1035"/>
      <c r="X693" s="1037" t="str">
        <f t="shared" si="152"/>
        <v>102</v>
      </c>
      <c r="Y693" s="1035">
        <v>10</v>
      </c>
      <c r="Z693" s="1035">
        <f t="shared" si="142"/>
        <v>2</v>
      </c>
      <c r="AA693" s="1035"/>
      <c r="AB693" s="1035"/>
      <c r="AC693" s="1021">
        <v>210213</v>
      </c>
      <c r="AD693" s="1021" t="s">
        <v>574</v>
      </c>
      <c r="AE693" s="1022">
        <v>0</v>
      </c>
      <c r="AF693" s="1022"/>
      <c r="AG693" s="1022">
        <f t="shared" si="143"/>
        <v>0</v>
      </c>
      <c r="AH693" s="1022">
        <f t="shared" si="144"/>
        <v>0</v>
      </c>
      <c r="AJ693" s="445"/>
      <c r="AK693" s="448"/>
      <c r="AL693" s="445"/>
    </row>
    <row r="694" spans="1:38" s="467" customFormat="1" ht="12.75" customHeight="1">
      <c r="A694" s="1033"/>
      <c r="B694" s="1033"/>
      <c r="C694" s="1034" t="str">
        <f t="shared" si="145"/>
        <v/>
      </c>
      <c r="D694" s="1033"/>
      <c r="E694" s="1033"/>
      <c r="F694" s="1034" t="str">
        <f t="shared" si="146"/>
        <v/>
      </c>
      <c r="G694" s="1033"/>
      <c r="H694" s="1033"/>
      <c r="I694" s="1034" t="str">
        <f t="shared" si="147"/>
        <v>6512200206</v>
      </c>
      <c r="J694" s="1033">
        <v>6512200</v>
      </c>
      <c r="K694" s="1035">
        <v>206</v>
      </c>
      <c r="L694" s="1034" t="str">
        <f t="shared" si="148"/>
        <v/>
      </c>
      <c r="M694" s="1033"/>
      <c r="N694" s="1035"/>
      <c r="O694" s="1036" t="str">
        <f t="shared" si="149"/>
        <v/>
      </c>
      <c r="P694" s="1042"/>
      <c r="Q694" s="1042"/>
      <c r="R694" s="1034" t="str">
        <f t="shared" si="150"/>
        <v/>
      </c>
      <c r="S694" s="1035"/>
      <c r="T694" s="1035"/>
      <c r="U694" s="1034" t="str">
        <f t="shared" si="151"/>
        <v/>
      </c>
      <c r="V694" s="1035"/>
      <c r="W694" s="1035"/>
      <c r="X694" s="1037" t="str">
        <f t="shared" si="152"/>
        <v>102</v>
      </c>
      <c r="Y694" s="1035">
        <v>10</v>
      </c>
      <c r="Z694" s="1035">
        <f t="shared" si="142"/>
        <v>2</v>
      </c>
      <c r="AA694" s="1035"/>
      <c r="AB694" s="1035"/>
      <c r="AC694" s="1021">
        <v>210214</v>
      </c>
      <c r="AD694" s="1021" t="s">
        <v>575</v>
      </c>
      <c r="AE694" s="1022">
        <v>0</v>
      </c>
      <c r="AF694" s="1022"/>
      <c r="AG694" s="1022">
        <f t="shared" si="143"/>
        <v>0</v>
      </c>
      <c r="AH694" s="1022">
        <f t="shared" si="144"/>
        <v>0</v>
      </c>
      <c r="AJ694" s="445"/>
      <c r="AK694" s="448"/>
      <c r="AL694" s="445"/>
    </row>
    <row r="695" spans="1:38" s="467" customFormat="1" ht="12.75" customHeight="1">
      <c r="A695" s="1033"/>
      <c r="B695" s="1033"/>
      <c r="C695" s="1034" t="str">
        <f t="shared" si="145"/>
        <v/>
      </c>
      <c r="D695" s="1033"/>
      <c r="E695" s="1033"/>
      <c r="F695" s="1034" t="str">
        <f t="shared" si="146"/>
        <v/>
      </c>
      <c r="G695" s="1033"/>
      <c r="H695" s="1033"/>
      <c r="I695" s="1034" t="str">
        <f t="shared" si="147"/>
        <v>6512200207</v>
      </c>
      <c r="J695" s="1033">
        <v>6512200</v>
      </c>
      <c r="K695" s="1033">
        <v>207</v>
      </c>
      <c r="L695" s="1034" t="str">
        <f t="shared" si="148"/>
        <v/>
      </c>
      <c r="M695" s="1035"/>
      <c r="N695" s="1035"/>
      <c r="O695" s="1036" t="str">
        <f t="shared" si="149"/>
        <v/>
      </c>
      <c r="P695" s="1033"/>
      <c r="Q695" s="1033"/>
      <c r="R695" s="1034" t="str">
        <f t="shared" si="150"/>
        <v/>
      </c>
      <c r="S695" s="1035"/>
      <c r="T695" s="1035"/>
      <c r="U695" s="1034" t="str">
        <f t="shared" si="151"/>
        <v/>
      </c>
      <c r="V695" s="1035"/>
      <c r="W695" s="1035"/>
      <c r="X695" s="1037" t="str">
        <f t="shared" si="152"/>
        <v>102</v>
      </c>
      <c r="Y695" s="1035">
        <v>10</v>
      </c>
      <c r="Z695" s="1035">
        <f t="shared" si="142"/>
        <v>2</v>
      </c>
      <c r="AA695" s="1035"/>
      <c r="AB695" s="1035"/>
      <c r="AC695" s="1021">
        <v>210215</v>
      </c>
      <c r="AD695" s="1021" t="s">
        <v>2163</v>
      </c>
      <c r="AE695" s="1022">
        <v>0</v>
      </c>
      <c r="AF695" s="1022"/>
      <c r="AG695" s="1022">
        <f t="shared" si="143"/>
        <v>0</v>
      </c>
      <c r="AH695" s="1022">
        <f t="shared" si="144"/>
        <v>0</v>
      </c>
      <c r="AK695" s="448"/>
      <c r="AL695" s="445"/>
    </row>
    <row r="696" spans="1:38" s="467" customFormat="1" ht="12.75" customHeight="1">
      <c r="A696" s="1033"/>
      <c r="B696" s="1033"/>
      <c r="C696" s="1034" t="str">
        <f t="shared" si="145"/>
        <v/>
      </c>
      <c r="D696" s="1033"/>
      <c r="E696" s="1033"/>
      <c r="F696" s="1034" t="str">
        <f t="shared" si="146"/>
        <v/>
      </c>
      <c r="G696" s="1033"/>
      <c r="H696" s="1033"/>
      <c r="I696" s="1034" t="str">
        <f t="shared" si="147"/>
        <v>6512200112</v>
      </c>
      <c r="J696" s="1033">
        <v>6512200</v>
      </c>
      <c r="K696" s="1033">
        <v>112</v>
      </c>
      <c r="L696" s="1034" t="str">
        <f t="shared" si="148"/>
        <v/>
      </c>
      <c r="M696" s="1035"/>
      <c r="N696" s="1035"/>
      <c r="O696" s="1036" t="str">
        <f t="shared" si="149"/>
        <v/>
      </c>
      <c r="P696" s="1033"/>
      <c r="Q696" s="1033"/>
      <c r="R696" s="1034" t="str">
        <f t="shared" si="150"/>
        <v/>
      </c>
      <c r="S696" s="1035"/>
      <c r="T696" s="1035"/>
      <c r="U696" s="1034" t="str">
        <f t="shared" si="151"/>
        <v/>
      </c>
      <c r="V696" s="1035"/>
      <c r="W696" s="1035"/>
      <c r="X696" s="1037" t="str">
        <f t="shared" si="152"/>
        <v>102</v>
      </c>
      <c r="Y696" s="1035">
        <v>10</v>
      </c>
      <c r="Z696" s="1035">
        <f t="shared" si="142"/>
        <v>2</v>
      </c>
      <c r="AA696" s="1035"/>
      <c r="AB696" s="1035"/>
      <c r="AC696" s="1021">
        <v>210216</v>
      </c>
      <c r="AD696" s="1021" t="s">
        <v>1089</v>
      </c>
      <c r="AE696" s="1022">
        <v>0</v>
      </c>
      <c r="AF696" s="1022"/>
      <c r="AG696" s="1022">
        <f t="shared" si="143"/>
        <v>0</v>
      </c>
      <c r="AH696" s="1022">
        <f t="shared" si="144"/>
        <v>0</v>
      </c>
      <c r="AK696" s="448"/>
      <c r="AL696" s="445"/>
    </row>
    <row r="697" spans="1:38" s="467" customFormat="1" ht="12.75" customHeight="1">
      <c r="A697" s="1033"/>
      <c r="B697" s="1033"/>
      <c r="C697" s="1034" t="str">
        <f t="shared" si="145"/>
        <v/>
      </c>
      <c r="D697" s="1033"/>
      <c r="E697" s="1033"/>
      <c r="F697" s="1034" t="str">
        <f t="shared" si="146"/>
        <v/>
      </c>
      <c r="G697" s="1033"/>
      <c r="H697" s="1033"/>
      <c r="I697" s="1034" t="str">
        <f t="shared" si="147"/>
        <v>6512200212</v>
      </c>
      <c r="J697" s="1033">
        <v>6512200</v>
      </c>
      <c r="K697" s="1033">
        <v>212</v>
      </c>
      <c r="L697" s="1034" t="str">
        <f t="shared" si="148"/>
        <v/>
      </c>
      <c r="M697" s="1035"/>
      <c r="N697" s="1035"/>
      <c r="O697" s="1036" t="str">
        <f t="shared" si="149"/>
        <v/>
      </c>
      <c r="P697" s="1033"/>
      <c r="Q697" s="1033"/>
      <c r="R697" s="1034" t="str">
        <f t="shared" si="150"/>
        <v/>
      </c>
      <c r="S697" s="1035"/>
      <c r="T697" s="1035"/>
      <c r="U697" s="1034" t="str">
        <f t="shared" si="151"/>
        <v/>
      </c>
      <c r="V697" s="1035"/>
      <c r="W697" s="1035"/>
      <c r="X697" s="1037" t="str">
        <f t="shared" si="152"/>
        <v>102</v>
      </c>
      <c r="Y697" s="1035">
        <v>10</v>
      </c>
      <c r="Z697" s="1035">
        <f t="shared" si="142"/>
        <v>2</v>
      </c>
      <c r="AA697" s="1035"/>
      <c r="AB697" s="1035"/>
      <c r="AC697" s="1021">
        <v>210217</v>
      </c>
      <c r="AD697" s="1021" t="s">
        <v>1090</v>
      </c>
      <c r="AE697" s="1022">
        <v>0</v>
      </c>
      <c r="AF697" s="1022"/>
      <c r="AG697" s="1022">
        <f t="shared" si="143"/>
        <v>0</v>
      </c>
      <c r="AH697" s="1022">
        <f t="shared" si="144"/>
        <v>0</v>
      </c>
      <c r="AI697" s="445">
        <f>+AH700+AH707+AH710+AH712+AH714+AH720+AH721++AH722+AH723+AH724+AH725+AH726+AH702</f>
        <v>-4822085</v>
      </c>
      <c r="AK697" s="448"/>
      <c r="AL697" s="445"/>
    </row>
    <row r="698" spans="1:38" s="467" customFormat="1" ht="12.75" customHeight="1">
      <c r="A698" s="1033">
        <v>5213160</v>
      </c>
      <c r="B698" s="1033" t="s">
        <v>2777</v>
      </c>
      <c r="C698" s="1034" t="str">
        <f t="shared" si="145"/>
        <v/>
      </c>
      <c r="D698" s="1033"/>
      <c r="E698" s="1033"/>
      <c r="F698" s="1034" t="str">
        <f t="shared" si="146"/>
        <v/>
      </c>
      <c r="G698" s="1033"/>
      <c r="H698" s="1033"/>
      <c r="I698" s="1034" t="str">
        <f t="shared" si="147"/>
        <v/>
      </c>
      <c r="J698" s="1033"/>
      <c r="K698" s="1033"/>
      <c r="L698" s="1034" t="str">
        <f t="shared" si="148"/>
        <v/>
      </c>
      <c r="M698" s="1035"/>
      <c r="N698" s="1035"/>
      <c r="O698" s="1036" t="str">
        <f t="shared" si="149"/>
        <v>6352110202</v>
      </c>
      <c r="P698" s="1033">
        <v>6352110</v>
      </c>
      <c r="Q698" s="1033">
        <v>202</v>
      </c>
      <c r="R698" s="1034" t="str">
        <f t="shared" si="150"/>
        <v/>
      </c>
      <c r="S698" s="1035"/>
      <c r="T698" s="1035"/>
      <c r="U698" s="1034" t="str">
        <f t="shared" si="151"/>
        <v/>
      </c>
      <c r="V698" s="1035"/>
      <c r="W698" s="1035"/>
      <c r="X698" s="1037" t="str">
        <f t="shared" si="152"/>
        <v>102</v>
      </c>
      <c r="Y698" s="1035">
        <v>10</v>
      </c>
      <c r="Z698" s="1035">
        <f t="shared" si="142"/>
        <v>2</v>
      </c>
      <c r="AA698" s="1035"/>
      <c r="AB698" s="1035"/>
      <c r="AC698" s="1021">
        <v>210301</v>
      </c>
      <c r="AD698" s="1021" t="s">
        <v>2164</v>
      </c>
      <c r="AE698" s="1022">
        <f>VLOOKUP(AC698,[5]Hoja1!$A$10:$K$1393,11,0)</f>
        <v>-498234791</v>
      </c>
      <c r="AF698" s="1025"/>
      <c r="AG698" s="1022">
        <f t="shared" si="143"/>
        <v>-498234791</v>
      </c>
      <c r="AH698" s="1022">
        <f t="shared" si="144"/>
        <v>-498235</v>
      </c>
      <c r="AI698" s="875">
        <v>-2794148903</v>
      </c>
      <c r="AJ698" s="445">
        <f>+AE698-AI698</f>
        <v>2295914112</v>
      </c>
      <c r="AK698" s="448"/>
      <c r="AL698" s="445"/>
    </row>
    <row r="699" spans="1:38" s="467" customFormat="1" ht="12.75" customHeight="1">
      <c r="A699" s="1033">
        <v>5213160</v>
      </c>
      <c r="B699" s="1033" t="s">
        <v>2777</v>
      </c>
      <c r="C699" s="1034" t="str">
        <f t="shared" si="145"/>
        <v/>
      </c>
      <c r="D699" s="1033"/>
      <c r="E699" s="1033"/>
      <c r="F699" s="1034" t="str">
        <f t="shared" si="146"/>
        <v/>
      </c>
      <c r="G699" s="1033"/>
      <c r="H699" s="1033"/>
      <c r="I699" s="1034" t="str">
        <f t="shared" si="147"/>
        <v/>
      </c>
      <c r="J699" s="1033"/>
      <c r="K699" s="1033"/>
      <c r="L699" s="1034" t="str">
        <f t="shared" si="148"/>
        <v/>
      </c>
      <c r="M699" s="1035"/>
      <c r="N699" s="1035"/>
      <c r="O699" s="1036" t="str">
        <f t="shared" si="149"/>
        <v>6352110209</v>
      </c>
      <c r="P699" s="1033">
        <v>6352110</v>
      </c>
      <c r="Q699" s="1033">
        <v>209</v>
      </c>
      <c r="R699" s="1034" t="str">
        <f t="shared" si="150"/>
        <v/>
      </c>
      <c r="S699" s="1035"/>
      <c r="T699" s="1035"/>
      <c r="U699" s="1034" t="str">
        <f t="shared" si="151"/>
        <v/>
      </c>
      <c r="V699" s="1035"/>
      <c r="W699" s="1035"/>
      <c r="X699" s="1037" t="str">
        <f t="shared" si="152"/>
        <v>102</v>
      </c>
      <c r="Y699" s="1035">
        <v>10</v>
      </c>
      <c r="Z699" s="1035">
        <f t="shared" si="142"/>
        <v>2</v>
      </c>
      <c r="AA699" s="1035"/>
      <c r="AB699" s="1035"/>
      <c r="AC699" s="1021">
        <v>210302</v>
      </c>
      <c r="AD699" s="1021" t="s">
        <v>2165</v>
      </c>
      <c r="AE699" s="1022">
        <f>VLOOKUP(AC699,[5]Hoja1!$A$10:$K$1393,11,0)</f>
        <v>0</v>
      </c>
      <c r="AF699" s="1022"/>
      <c r="AG699" s="1022">
        <f t="shared" si="143"/>
        <v>0</v>
      </c>
      <c r="AH699" s="1022">
        <f t="shared" si="144"/>
        <v>0</v>
      </c>
      <c r="AK699" s="448"/>
      <c r="AL699" s="445"/>
    </row>
    <row r="700" spans="1:38" s="467" customFormat="1" ht="12.75" customHeight="1">
      <c r="A700" s="1033">
        <v>5213160</v>
      </c>
      <c r="B700" s="1033" t="s">
        <v>2777</v>
      </c>
      <c r="C700" s="1034" t="str">
        <f t="shared" si="145"/>
        <v/>
      </c>
      <c r="D700" s="1033"/>
      <c r="E700" s="1033"/>
      <c r="F700" s="1034" t="str">
        <f t="shared" si="146"/>
        <v/>
      </c>
      <c r="G700" s="1033"/>
      <c r="H700" s="1033"/>
      <c r="I700" s="1034" t="str">
        <f t="shared" si="147"/>
        <v/>
      </c>
      <c r="J700" s="1033"/>
      <c r="K700" s="1033"/>
      <c r="L700" s="1034" t="str">
        <f t="shared" si="148"/>
        <v/>
      </c>
      <c r="M700" s="1035"/>
      <c r="N700" s="1035"/>
      <c r="O700" s="1036" t="str">
        <f t="shared" si="149"/>
        <v>6352300209</v>
      </c>
      <c r="P700" s="1033">
        <v>6352300</v>
      </c>
      <c r="Q700" s="1033">
        <v>209</v>
      </c>
      <c r="R700" s="1034" t="str">
        <f t="shared" si="150"/>
        <v/>
      </c>
      <c r="S700" s="1035"/>
      <c r="T700" s="1035"/>
      <c r="U700" s="1034" t="str">
        <f t="shared" si="151"/>
        <v/>
      </c>
      <c r="V700" s="1035"/>
      <c r="W700" s="1035"/>
      <c r="X700" s="1037" t="str">
        <f t="shared" si="152"/>
        <v>102</v>
      </c>
      <c r="Y700" s="1035">
        <v>10</v>
      </c>
      <c r="Z700" s="1035">
        <f t="shared" si="142"/>
        <v>2</v>
      </c>
      <c r="AA700" s="1035"/>
      <c r="AB700" s="1035"/>
      <c r="AC700" s="1021">
        <v>210303</v>
      </c>
      <c r="AD700" s="1021" t="s">
        <v>2166</v>
      </c>
      <c r="AE700" s="1022">
        <f>VLOOKUP(AC700,[5]Hoja1!$A$10:$K$1393,11,0)</f>
        <v>-3470637396</v>
      </c>
      <c r="AF700" s="1022"/>
      <c r="AG700" s="1022">
        <f t="shared" si="143"/>
        <v>-3470637396</v>
      </c>
      <c r="AH700" s="1022">
        <f t="shared" si="144"/>
        <v>-3470637</v>
      </c>
      <c r="AK700" s="448"/>
      <c r="AL700" s="445"/>
    </row>
    <row r="701" spans="1:38" s="467" customFormat="1" ht="12.75" customHeight="1">
      <c r="A701" s="1033">
        <v>5213160</v>
      </c>
      <c r="B701" s="1033" t="s">
        <v>2777</v>
      </c>
      <c r="C701" s="1034" t="str">
        <f t="shared" si="145"/>
        <v/>
      </c>
      <c r="D701" s="1033"/>
      <c r="E701" s="1033"/>
      <c r="F701" s="1034" t="str">
        <f t="shared" si="146"/>
        <v/>
      </c>
      <c r="G701" s="1033"/>
      <c r="H701" s="1033"/>
      <c r="I701" s="1034" t="str">
        <f t="shared" si="147"/>
        <v/>
      </c>
      <c r="J701" s="1033"/>
      <c r="K701" s="1033"/>
      <c r="L701" s="1034" t="str">
        <f t="shared" si="148"/>
        <v/>
      </c>
      <c r="M701" s="1035"/>
      <c r="N701" s="1035"/>
      <c r="O701" s="1036" t="str">
        <f t="shared" si="149"/>
        <v>6352110212</v>
      </c>
      <c r="P701" s="1033">
        <v>6352110</v>
      </c>
      <c r="Q701" s="1033">
        <v>212</v>
      </c>
      <c r="R701" s="1034" t="str">
        <f t="shared" si="150"/>
        <v/>
      </c>
      <c r="S701" s="1035"/>
      <c r="T701" s="1035"/>
      <c r="U701" s="1034" t="str">
        <f t="shared" si="151"/>
        <v/>
      </c>
      <c r="V701" s="1035"/>
      <c r="W701" s="1035"/>
      <c r="X701" s="1037" t="str">
        <f t="shared" si="152"/>
        <v>102</v>
      </c>
      <c r="Y701" s="1035">
        <v>10</v>
      </c>
      <c r="Z701" s="1035">
        <f t="shared" si="142"/>
        <v>2</v>
      </c>
      <c r="AA701" s="1035"/>
      <c r="AB701" s="1035"/>
      <c r="AC701" s="1021">
        <v>210304</v>
      </c>
      <c r="AD701" s="1021" t="s">
        <v>1091</v>
      </c>
      <c r="AE701" s="1022">
        <f>VLOOKUP(AC701,[5]Hoja1!$A$10:$K$1393,11,0)</f>
        <v>-67172775</v>
      </c>
      <c r="AF701" s="1022">
        <v>0</v>
      </c>
      <c r="AG701" s="1022">
        <f t="shared" si="143"/>
        <v>-67172775</v>
      </c>
      <c r="AH701" s="1022">
        <f t="shared" si="144"/>
        <v>-67173</v>
      </c>
      <c r="AK701" s="448"/>
      <c r="AL701" s="445"/>
    </row>
    <row r="702" spans="1:38" s="467" customFormat="1" ht="12.75" customHeight="1">
      <c r="A702" s="1033">
        <v>5213160</v>
      </c>
      <c r="B702" s="1033" t="s">
        <v>2777</v>
      </c>
      <c r="C702" s="1034" t="str">
        <f t="shared" si="145"/>
        <v/>
      </c>
      <c r="D702" s="1033"/>
      <c r="E702" s="1033"/>
      <c r="F702" s="1034" t="str">
        <f t="shared" si="146"/>
        <v/>
      </c>
      <c r="G702" s="1033"/>
      <c r="H702" s="1033"/>
      <c r="I702" s="1034" t="str">
        <f t="shared" si="147"/>
        <v/>
      </c>
      <c r="J702" s="1033"/>
      <c r="K702" s="1033"/>
      <c r="L702" s="1034" t="str">
        <f t="shared" si="148"/>
        <v/>
      </c>
      <c r="M702" s="1035"/>
      <c r="N702" s="1035"/>
      <c r="O702" s="1036" t="str">
        <f t="shared" si="149"/>
        <v>6352300112</v>
      </c>
      <c r="P702" s="1033">
        <v>6352300</v>
      </c>
      <c r="Q702" s="1033">
        <v>112</v>
      </c>
      <c r="R702" s="1034" t="str">
        <f t="shared" si="150"/>
        <v/>
      </c>
      <c r="S702" s="1035"/>
      <c r="T702" s="1035"/>
      <c r="U702" s="1034" t="str">
        <f t="shared" si="151"/>
        <v/>
      </c>
      <c r="V702" s="1035"/>
      <c r="W702" s="1035"/>
      <c r="X702" s="1037" t="str">
        <f t="shared" si="152"/>
        <v>102</v>
      </c>
      <c r="Y702" s="1035">
        <v>10</v>
      </c>
      <c r="Z702" s="1035">
        <f t="shared" si="142"/>
        <v>2</v>
      </c>
      <c r="AA702" s="1035"/>
      <c r="AB702" s="1035"/>
      <c r="AC702" s="1021">
        <v>210305</v>
      </c>
      <c r="AD702" s="1021" t="s">
        <v>2167</v>
      </c>
      <c r="AE702" s="1022">
        <f>VLOOKUP(AC702,[5]Hoja1!$A$10:$K$1393,11,0)</f>
        <v>-538433</v>
      </c>
      <c r="AF702" s="1022"/>
      <c r="AG702" s="1022">
        <f t="shared" si="143"/>
        <v>-538433</v>
      </c>
      <c r="AH702" s="1022">
        <f t="shared" si="144"/>
        <v>-538</v>
      </c>
      <c r="AI702" s="432"/>
      <c r="AK702" s="448"/>
      <c r="AL702" s="445"/>
    </row>
    <row r="703" spans="1:38" s="467" customFormat="1" ht="12.75" customHeight="1">
      <c r="A703" s="1033">
        <v>5213160</v>
      </c>
      <c r="B703" s="1033" t="s">
        <v>2777</v>
      </c>
      <c r="C703" s="1034" t="str">
        <f t="shared" si="145"/>
        <v/>
      </c>
      <c r="D703" s="1033"/>
      <c r="E703" s="1033"/>
      <c r="F703" s="1034" t="str">
        <f t="shared" si="146"/>
        <v/>
      </c>
      <c r="G703" s="1033"/>
      <c r="H703" s="1033"/>
      <c r="I703" s="1034" t="str">
        <f t="shared" si="147"/>
        <v/>
      </c>
      <c r="J703" s="1033"/>
      <c r="K703" s="1033"/>
      <c r="L703" s="1034" t="str">
        <f t="shared" si="148"/>
        <v/>
      </c>
      <c r="M703" s="1035"/>
      <c r="N703" s="1035"/>
      <c r="O703" s="1036" t="str">
        <f t="shared" si="149"/>
        <v>6352110210</v>
      </c>
      <c r="P703" s="1033">
        <v>6352110</v>
      </c>
      <c r="Q703" s="1033">
        <v>210</v>
      </c>
      <c r="R703" s="1034" t="str">
        <f t="shared" si="150"/>
        <v/>
      </c>
      <c r="S703" s="1035"/>
      <c r="T703" s="1035"/>
      <c r="U703" s="1034" t="str">
        <f t="shared" si="151"/>
        <v/>
      </c>
      <c r="V703" s="1035"/>
      <c r="W703" s="1035"/>
      <c r="X703" s="1037" t="str">
        <f t="shared" si="152"/>
        <v>102</v>
      </c>
      <c r="Y703" s="1035">
        <v>10</v>
      </c>
      <c r="Z703" s="1035">
        <f t="shared" si="142"/>
        <v>2</v>
      </c>
      <c r="AA703" s="1035"/>
      <c r="AB703" s="1035"/>
      <c r="AC703" s="1021">
        <v>210306</v>
      </c>
      <c r="AD703" s="1021" t="s">
        <v>1092</v>
      </c>
      <c r="AE703" s="1022">
        <f>VLOOKUP(AC703,[5]Hoja1!$A$10:$K$1393,11,0)</f>
        <v>-206963</v>
      </c>
      <c r="AF703" s="1022">
        <v>0</v>
      </c>
      <c r="AG703" s="1022">
        <f t="shared" si="143"/>
        <v>-206963</v>
      </c>
      <c r="AH703" s="1022">
        <f t="shared" si="144"/>
        <v>-207</v>
      </c>
      <c r="AI703" s="875">
        <v>-15339407</v>
      </c>
      <c r="AJ703" s="876">
        <f>+AE703-AI703</f>
        <v>15132444</v>
      </c>
      <c r="AK703" s="448"/>
      <c r="AL703" s="445"/>
    </row>
    <row r="704" spans="1:38" s="467" customFormat="1" ht="12.75" customHeight="1">
      <c r="A704" s="1033">
        <v>5213160</v>
      </c>
      <c r="B704" s="1033" t="s">
        <v>2777</v>
      </c>
      <c r="C704" s="1034" t="str">
        <f t="shared" si="145"/>
        <v/>
      </c>
      <c r="D704" s="1033"/>
      <c r="E704" s="1033"/>
      <c r="F704" s="1034" t="str">
        <f t="shared" si="146"/>
        <v/>
      </c>
      <c r="G704" s="1033"/>
      <c r="H704" s="1033"/>
      <c r="I704" s="1034" t="str">
        <f t="shared" si="147"/>
        <v/>
      </c>
      <c r="J704" s="1033"/>
      <c r="K704" s="1033"/>
      <c r="L704" s="1034" t="str">
        <f t="shared" si="148"/>
        <v/>
      </c>
      <c r="M704" s="1035"/>
      <c r="N704" s="1035"/>
      <c r="O704" s="1036" t="str">
        <f t="shared" si="149"/>
        <v>6352110101</v>
      </c>
      <c r="P704" s="1033">
        <v>6352110</v>
      </c>
      <c r="Q704" s="1033">
        <v>101</v>
      </c>
      <c r="R704" s="1034" t="str">
        <f t="shared" si="150"/>
        <v/>
      </c>
      <c r="S704" s="1035"/>
      <c r="T704" s="1035"/>
      <c r="U704" s="1034" t="str">
        <f t="shared" si="151"/>
        <v/>
      </c>
      <c r="V704" s="1035"/>
      <c r="W704" s="1035"/>
      <c r="X704" s="1037" t="str">
        <f t="shared" si="152"/>
        <v>102</v>
      </c>
      <c r="Y704" s="1035">
        <v>10</v>
      </c>
      <c r="Z704" s="1035">
        <f t="shared" si="142"/>
        <v>2</v>
      </c>
      <c r="AA704" s="1035"/>
      <c r="AB704" s="1035"/>
      <c r="AC704" s="1021">
        <v>210307</v>
      </c>
      <c r="AD704" s="1021" t="s">
        <v>1524</v>
      </c>
      <c r="AE704" s="1022">
        <f>VLOOKUP(AC704,[5]Hoja1!$A$10:$K$1393,11,0)</f>
        <v>0</v>
      </c>
      <c r="AF704" s="1022"/>
      <c r="AG704" s="1022">
        <f t="shared" si="143"/>
        <v>0</v>
      </c>
      <c r="AH704" s="1022">
        <f t="shared" si="144"/>
        <v>0</v>
      </c>
      <c r="AK704" s="448"/>
      <c r="AL704" s="445"/>
    </row>
    <row r="705" spans="1:38" s="467" customFormat="1" ht="12.75" customHeight="1">
      <c r="A705" s="1033">
        <v>5213160</v>
      </c>
      <c r="B705" s="1033" t="s">
        <v>2777</v>
      </c>
      <c r="C705" s="1034" t="str">
        <f t="shared" si="145"/>
        <v/>
      </c>
      <c r="D705" s="1033"/>
      <c r="E705" s="1033"/>
      <c r="F705" s="1034" t="str">
        <f t="shared" si="146"/>
        <v/>
      </c>
      <c r="G705" s="1033"/>
      <c r="H705" s="1033"/>
      <c r="I705" s="1034" t="str">
        <f t="shared" si="147"/>
        <v/>
      </c>
      <c r="J705" s="1033"/>
      <c r="K705" s="1033"/>
      <c r="L705" s="1034" t="str">
        <f t="shared" si="148"/>
        <v/>
      </c>
      <c r="M705" s="1035"/>
      <c r="N705" s="1035"/>
      <c r="O705" s="1036" t="str">
        <f t="shared" si="149"/>
        <v>6352110109</v>
      </c>
      <c r="P705" s="1033">
        <v>6352110</v>
      </c>
      <c r="Q705" s="1033">
        <v>109</v>
      </c>
      <c r="R705" s="1034" t="str">
        <f t="shared" si="150"/>
        <v/>
      </c>
      <c r="S705" s="1035"/>
      <c r="T705" s="1035"/>
      <c r="U705" s="1034" t="str">
        <f t="shared" si="151"/>
        <v/>
      </c>
      <c r="V705" s="1035"/>
      <c r="W705" s="1035"/>
      <c r="X705" s="1037" t="str">
        <f t="shared" si="152"/>
        <v>102</v>
      </c>
      <c r="Y705" s="1035">
        <v>10</v>
      </c>
      <c r="Z705" s="1035">
        <f t="shared" si="142"/>
        <v>2</v>
      </c>
      <c r="AA705" s="1035"/>
      <c r="AB705" s="1035"/>
      <c r="AC705" s="1021">
        <v>210308</v>
      </c>
      <c r="AD705" s="1021" t="s">
        <v>1525</v>
      </c>
      <c r="AE705" s="1022">
        <f>VLOOKUP(AC705,[5]Hoja1!$A$10:$K$1393,11,0)</f>
        <v>-327494</v>
      </c>
      <c r="AF705" s="1022">
        <v>0</v>
      </c>
      <c r="AG705" s="1022">
        <f t="shared" si="143"/>
        <v>-327494</v>
      </c>
      <c r="AH705" s="1022">
        <f t="shared" si="144"/>
        <v>-327</v>
      </c>
      <c r="AK705" s="448"/>
      <c r="AL705" s="445"/>
    </row>
    <row r="706" spans="1:38" s="467" customFormat="1" ht="12.75" customHeight="1">
      <c r="A706" s="1033">
        <v>5213160</v>
      </c>
      <c r="B706" s="1033" t="s">
        <v>2777</v>
      </c>
      <c r="C706" s="1034" t="str">
        <f t="shared" si="145"/>
        <v/>
      </c>
      <c r="D706" s="1033"/>
      <c r="E706" s="1033"/>
      <c r="F706" s="1034" t="str">
        <f t="shared" si="146"/>
        <v/>
      </c>
      <c r="G706" s="1033"/>
      <c r="H706" s="1033"/>
      <c r="I706" s="1034" t="str">
        <f t="shared" si="147"/>
        <v/>
      </c>
      <c r="J706" s="1033"/>
      <c r="K706" s="1033"/>
      <c r="L706" s="1034" t="str">
        <f t="shared" si="148"/>
        <v/>
      </c>
      <c r="M706" s="1035"/>
      <c r="N706" s="1035"/>
      <c r="O706" s="1036" t="str">
        <f t="shared" si="149"/>
        <v>6352110101</v>
      </c>
      <c r="P706" s="1033">
        <v>6352110</v>
      </c>
      <c r="Q706" s="1033">
        <v>101</v>
      </c>
      <c r="R706" s="1034" t="str">
        <f t="shared" si="150"/>
        <v/>
      </c>
      <c r="S706" s="1035"/>
      <c r="T706" s="1035"/>
      <c r="U706" s="1034" t="str">
        <f t="shared" si="151"/>
        <v/>
      </c>
      <c r="V706" s="1035"/>
      <c r="W706" s="1035"/>
      <c r="X706" s="1037" t="str">
        <f t="shared" si="152"/>
        <v>102</v>
      </c>
      <c r="Y706" s="1035">
        <v>10</v>
      </c>
      <c r="Z706" s="1035">
        <f t="shared" si="142"/>
        <v>2</v>
      </c>
      <c r="AA706" s="1035"/>
      <c r="AB706" s="1035"/>
      <c r="AC706" s="1021">
        <v>210309</v>
      </c>
      <c r="AD706" s="1021" t="s">
        <v>1526</v>
      </c>
      <c r="AE706" s="1022">
        <f>VLOOKUP(AC706,[5]Hoja1!$A$10:$K$1393,11,0)</f>
        <v>0</v>
      </c>
      <c r="AF706" s="1022"/>
      <c r="AG706" s="1022">
        <f t="shared" si="143"/>
        <v>0</v>
      </c>
      <c r="AH706" s="1022">
        <f t="shared" si="144"/>
        <v>0</v>
      </c>
      <c r="AK706" s="448"/>
      <c r="AL706" s="445"/>
    </row>
    <row r="707" spans="1:38" s="467" customFormat="1" ht="12.75" customHeight="1">
      <c r="A707" s="1033">
        <v>5213160</v>
      </c>
      <c r="B707" s="1033" t="s">
        <v>2777</v>
      </c>
      <c r="C707" s="1034" t="str">
        <f t="shared" si="145"/>
        <v/>
      </c>
      <c r="D707" s="1033"/>
      <c r="E707" s="1033"/>
      <c r="F707" s="1034" t="str">
        <f t="shared" si="146"/>
        <v/>
      </c>
      <c r="G707" s="1033"/>
      <c r="H707" s="1033"/>
      <c r="I707" s="1034" t="str">
        <f t="shared" si="147"/>
        <v/>
      </c>
      <c r="J707" s="1033"/>
      <c r="K707" s="1033"/>
      <c r="L707" s="1034" t="str">
        <f t="shared" si="148"/>
        <v/>
      </c>
      <c r="M707" s="1035"/>
      <c r="N707" s="1035"/>
      <c r="O707" s="1036" t="str">
        <f t="shared" si="149"/>
        <v>6352300202</v>
      </c>
      <c r="P707" s="1033">
        <v>6352300</v>
      </c>
      <c r="Q707" s="1033">
        <v>202</v>
      </c>
      <c r="R707" s="1034" t="str">
        <f t="shared" si="150"/>
        <v/>
      </c>
      <c r="S707" s="1035"/>
      <c r="T707" s="1035"/>
      <c r="U707" s="1034" t="str">
        <f t="shared" si="151"/>
        <v/>
      </c>
      <c r="V707" s="1035"/>
      <c r="W707" s="1035"/>
      <c r="X707" s="1037" t="str">
        <f t="shared" si="152"/>
        <v>102</v>
      </c>
      <c r="Y707" s="1035">
        <v>10</v>
      </c>
      <c r="Z707" s="1035">
        <f t="shared" si="142"/>
        <v>2</v>
      </c>
      <c r="AA707" s="1035"/>
      <c r="AB707" s="1035"/>
      <c r="AC707" s="1021">
        <v>210310</v>
      </c>
      <c r="AD707" s="1021" t="s">
        <v>2168</v>
      </c>
      <c r="AE707" s="1022">
        <f>VLOOKUP(AC707,[5]Hoja1!$A$10:$K$1393,11,0)</f>
        <v>-592266122</v>
      </c>
      <c r="AF707" s="1022"/>
      <c r="AG707" s="1022">
        <f t="shared" si="143"/>
        <v>-592266122</v>
      </c>
      <c r="AH707" s="1022">
        <f t="shared" si="144"/>
        <v>-592266</v>
      </c>
      <c r="AK707" s="448"/>
      <c r="AL707" s="445"/>
    </row>
    <row r="708" spans="1:38" s="467" customFormat="1" ht="12.75" customHeight="1">
      <c r="A708" s="1033">
        <v>5213160</v>
      </c>
      <c r="B708" s="1033" t="s">
        <v>2777</v>
      </c>
      <c r="C708" s="1034" t="str">
        <f t="shared" si="145"/>
        <v/>
      </c>
      <c r="D708" s="1033"/>
      <c r="E708" s="1033"/>
      <c r="F708" s="1034" t="str">
        <f t="shared" si="146"/>
        <v/>
      </c>
      <c r="G708" s="1033"/>
      <c r="H708" s="1033"/>
      <c r="I708" s="1034" t="str">
        <f t="shared" si="147"/>
        <v/>
      </c>
      <c r="J708" s="1033"/>
      <c r="K708" s="1033"/>
      <c r="L708" s="1034" t="str">
        <f t="shared" si="148"/>
        <v/>
      </c>
      <c r="M708" s="1035"/>
      <c r="N708" s="1035"/>
      <c r="O708" s="1036" t="str">
        <f t="shared" si="149"/>
        <v>6352110104</v>
      </c>
      <c r="P708" s="1033">
        <v>6352110</v>
      </c>
      <c r="Q708" s="1033">
        <v>104</v>
      </c>
      <c r="R708" s="1034" t="str">
        <f t="shared" si="150"/>
        <v/>
      </c>
      <c r="S708" s="1035"/>
      <c r="T708" s="1035"/>
      <c r="U708" s="1034" t="str">
        <f t="shared" si="151"/>
        <v/>
      </c>
      <c r="V708" s="1035"/>
      <c r="W708" s="1035"/>
      <c r="X708" s="1037" t="str">
        <f t="shared" si="152"/>
        <v>102</v>
      </c>
      <c r="Y708" s="1035">
        <v>10</v>
      </c>
      <c r="Z708" s="1035">
        <f t="shared" si="142"/>
        <v>2</v>
      </c>
      <c r="AA708" s="1035"/>
      <c r="AB708" s="1035"/>
      <c r="AC708" s="1021">
        <v>210311</v>
      </c>
      <c r="AD708" s="1021" t="s">
        <v>1527</v>
      </c>
      <c r="AE708" s="1022">
        <f>VLOOKUP(AC708,[5]Hoja1!$A$10:$K$1393,11,0)</f>
        <v>0</v>
      </c>
      <c r="AF708" s="1022"/>
      <c r="AG708" s="1022">
        <f t="shared" si="143"/>
        <v>0</v>
      </c>
      <c r="AH708" s="1022">
        <f t="shared" si="144"/>
        <v>0</v>
      </c>
      <c r="AK708" s="448"/>
      <c r="AL708" s="445"/>
    </row>
    <row r="709" spans="1:38" s="467" customFormat="1" ht="12.75" customHeight="1">
      <c r="A709" s="1033">
        <v>5213160</v>
      </c>
      <c r="B709" s="1033" t="s">
        <v>2777</v>
      </c>
      <c r="C709" s="1034" t="str">
        <f t="shared" si="145"/>
        <v/>
      </c>
      <c r="D709" s="1033"/>
      <c r="E709" s="1033"/>
      <c r="F709" s="1034" t="str">
        <f t="shared" si="146"/>
        <v/>
      </c>
      <c r="G709" s="1033"/>
      <c r="H709" s="1033"/>
      <c r="I709" s="1034" t="str">
        <f t="shared" si="147"/>
        <v/>
      </c>
      <c r="J709" s="1033"/>
      <c r="K709" s="1033"/>
      <c r="L709" s="1034" t="str">
        <f t="shared" si="148"/>
        <v/>
      </c>
      <c r="M709" s="1035"/>
      <c r="N709" s="1035"/>
      <c r="O709" s="1036" t="str">
        <f t="shared" si="149"/>
        <v>6352110108</v>
      </c>
      <c r="P709" s="1033">
        <v>6352110</v>
      </c>
      <c r="Q709" s="1033">
        <v>108</v>
      </c>
      <c r="R709" s="1034" t="str">
        <f t="shared" si="150"/>
        <v/>
      </c>
      <c r="S709" s="1035"/>
      <c r="T709" s="1035"/>
      <c r="U709" s="1034" t="str">
        <f t="shared" si="151"/>
        <v/>
      </c>
      <c r="V709" s="1035"/>
      <c r="W709" s="1035"/>
      <c r="X709" s="1037" t="str">
        <f t="shared" si="152"/>
        <v>102</v>
      </c>
      <c r="Y709" s="1035">
        <v>10</v>
      </c>
      <c r="Z709" s="1035">
        <f t="shared" si="142"/>
        <v>2</v>
      </c>
      <c r="AA709" s="1035"/>
      <c r="AB709" s="1035"/>
      <c r="AC709" s="1021">
        <v>210312</v>
      </c>
      <c r="AD709" s="1021" t="s">
        <v>2169</v>
      </c>
      <c r="AE709" s="1022">
        <f>VLOOKUP(AC709,[5]Hoja1!$A$10:$K$1393,11,0)</f>
        <v>0</v>
      </c>
      <c r="AF709" s="1022"/>
      <c r="AG709" s="1022">
        <f t="shared" si="143"/>
        <v>0</v>
      </c>
      <c r="AH709" s="1022">
        <f t="shared" si="144"/>
        <v>0</v>
      </c>
      <c r="AK709" s="448"/>
      <c r="AL709" s="445"/>
    </row>
    <row r="710" spans="1:38" s="467" customFormat="1" ht="12.75" customHeight="1">
      <c r="A710" s="1033">
        <v>5213160</v>
      </c>
      <c r="B710" s="1033" t="s">
        <v>2777</v>
      </c>
      <c r="C710" s="1034" t="str">
        <f t="shared" si="145"/>
        <v/>
      </c>
      <c r="D710" s="1033"/>
      <c r="E710" s="1033"/>
      <c r="F710" s="1034" t="str">
        <f t="shared" si="146"/>
        <v/>
      </c>
      <c r="G710" s="1033"/>
      <c r="H710" s="1033"/>
      <c r="I710" s="1034" t="str">
        <f t="shared" si="147"/>
        <v/>
      </c>
      <c r="J710" s="1033"/>
      <c r="K710" s="1033"/>
      <c r="L710" s="1034" t="str">
        <f t="shared" si="148"/>
        <v/>
      </c>
      <c r="M710" s="1035"/>
      <c r="N710" s="1035"/>
      <c r="O710" s="1036" t="str">
        <f t="shared" si="149"/>
        <v>6352300207</v>
      </c>
      <c r="P710" s="1033">
        <v>6352300</v>
      </c>
      <c r="Q710" s="1033">
        <v>207</v>
      </c>
      <c r="R710" s="1034" t="str">
        <f t="shared" si="150"/>
        <v/>
      </c>
      <c r="S710" s="1035"/>
      <c r="T710" s="1035"/>
      <c r="U710" s="1034" t="str">
        <f t="shared" si="151"/>
        <v/>
      </c>
      <c r="V710" s="1035"/>
      <c r="W710" s="1035"/>
      <c r="X710" s="1037" t="str">
        <f t="shared" si="152"/>
        <v>102</v>
      </c>
      <c r="Y710" s="1035">
        <v>10</v>
      </c>
      <c r="Z710" s="1035">
        <f t="shared" si="142"/>
        <v>2</v>
      </c>
      <c r="AA710" s="1035"/>
      <c r="AB710" s="1035"/>
      <c r="AC710" s="1021">
        <v>210313</v>
      </c>
      <c r="AD710" s="1021" t="s">
        <v>2170</v>
      </c>
      <c r="AE710" s="1022">
        <f>VLOOKUP(AC710,[5]Hoja1!$A$10:$K$1393,11,0)</f>
        <v>-140208447</v>
      </c>
      <c r="AF710" s="1022"/>
      <c r="AG710" s="1022">
        <f t="shared" si="143"/>
        <v>-140208447</v>
      </c>
      <c r="AH710" s="1022">
        <f t="shared" si="144"/>
        <v>-140208</v>
      </c>
      <c r="AK710" s="448"/>
      <c r="AL710" s="445"/>
    </row>
    <row r="711" spans="1:38" s="467" customFormat="1" ht="12.75" customHeight="1">
      <c r="A711" s="1033">
        <v>5213160</v>
      </c>
      <c r="B711" s="1033" t="s">
        <v>2777</v>
      </c>
      <c r="C711" s="1034" t="str">
        <f t="shared" si="145"/>
        <v/>
      </c>
      <c r="D711" s="1033"/>
      <c r="E711" s="1033"/>
      <c r="F711" s="1034" t="str">
        <f t="shared" si="146"/>
        <v/>
      </c>
      <c r="G711" s="1033"/>
      <c r="H711" s="1033"/>
      <c r="I711" s="1034" t="str">
        <f t="shared" si="147"/>
        <v/>
      </c>
      <c r="J711" s="1033"/>
      <c r="K711" s="1033"/>
      <c r="L711" s="1034" t="str">
        <f t="shared" si="148"/>
        <v/>
      </c>
      <c r="M711" s="1035"/>
      <c r="N711" s="1035"/>
      <c r="O711" s="1036" t="str">
        <f t="shared" si="149"/>
        <v>6352300208</v>
      </c>
      <c r="P711" s="1033">
        <v>6352300</v>
      </c>
      <c r="Q711" s="1033">
        <v>208</v>
      </c>
      <c r="R711" s="1034" t="str">
        <f t="shared" si="150"/>
        <v/>
      </c>
      <c r="S711" s="1035"/>
      <c r="T711" s="1035"/>
      <c r="U711" s="1034" t="str">
        <f t="shared" si="151"/>
        <v/>
      </c>
      <c r="V711" s="1035"/>
      <c r="W711" s="1035"/>
      <c r="X711" s="1037" t="str">
        <f t="shared" si="152"/>
        <v>102</v>
      </c>
      <c r="Y711" s="1035">
        <v>10</v>
      </c>
      <c r="Z711" s="1035">
        <f t="shared" si="142"/>
        <v>2</v>
      </c>
      <c r="AA711" s="1035"/>
      <c r="AB711" s="1035"/>
      <c r="AC711" s="1021">
        <v>210314</v>
      </c>
      <c r="AD711" s="1021" t="s">
        <v>2171</v>
      </c>
      <c r="AE711" s="1022">
        <f>VLOOKUP(AC711,[5]Hoja1!$A$10:$K$1393,11,0)</f>
        <v>0</v>
      </c>
      <c r="AF711" s="1022"/>
      <c r="AG711" s="1022">
        <f t="shared" si="143"/>
        <v>0</v>
      </c>
      <c r="AH711" s="1022">
        <f t="shared" si="144"/>
        <v>0</v>
      </c>
      <c r="AK711" s="448"/>
      <c r="AL711" s="445"/>
    </row>
    <row r="712" spans="1:38" s="467" customFormat="1" ht="12.75" customHeight="1">
      <c r="A712" s="1033">
        <v>5213160</v>
      </c>
      <c r="B712" s="1033" t="s">
        <v>2777</v>
      </c>
      <c r="C712" s="1034" t="str">
        <f t="shared" si="145"/>
        <v/>
      </c>
      <c r="D712" s="1033"/>
      <c r="E712" s="1033"/>
      <c r="F712" s="1034" t="str">
        <f t="shared" si="146"/>
        <v/>
      </c>
      <c r="G712" s="1033"/>
      <c r="H712" s="1033"/>
      <c r="I712" s="1034" t="str">
        <f t="shared" si="147"/>
        <v/>
      </c>
      <c r="J712" s="1033"/>
      <c r="K712" s="1033"/>
      <c r="L712" s="1034" t="str">
        <f t="shared" si="148"/>
        <v/>
      </c>
      <c r="M712" s="1035"/>
      <c r="N712" s="1035"/>
      <c r="O712" s="1036" t="str">
        <f t="shared" si="149"/>
        <v>6352300210</v>
      </c>
      <c r="P712" s="1033">
        <v>6352300</v>
      </c>
      <c r="Q712" s="1033">
        <v>210</v>
      </c>
      <c r="R712" s="1034" t="str">
        <f t="shared" si="150"/>
        <v/>
      </c>
      <c r="S712" s="1035"/>
      <c r="T712" s="1035"/>
      <c r="U712" s="1034" t="str">
        <f t="shared" si="151"/>
        <v/>
      </c>
      <c r="V712" s="1035"/>
      <c r="W712" s="1035"/>
      <c r="X712" s="1037" t="str">
        <f t="shared" si="152"/>
        <v>102</v>
      </c>
      <c r="Y712" s="1035">
        <v>10</v>
      </c>
      <c r="Z712" s="1035">
        <f t="shared" si="142"/>
        <v>2</v>
      </c>
      <c r="AA712" s="1035"/>
      <c r="AB712" s="1035"/>
      <c r="AC712" s="1021">
        <v>210315</v>
      </c>
      <c r="AD712" s="1021" t="s">
        <v>2172</v>
      </c>
      <c r="AE712" s="1022">
        <f>VLOOKUP(AC712,[5]Hoja1!$A$10:$K$1393,11,0)</f>
        <v>-6907630</v>
      </c>
      <c r="AF712" s="1022"/>
      <c r="AG712" s="1022">
        <f t="shared" si="143"/>
        <v>-6907630</v>
      </c>
      <c r="AH712" s="1022">
        <f t="shared" si="144"/>
        <v>-6908</v>
      </c>
      <c r="AI712" s="445"/>
      <c r="AK712" s="448"/>
      <c r="AL712" s="445"/>
    </row>
    <row r="713" spans="1:38" s="467" customFormat="1" ht="12.75" customHeight="1">
      <c r="A713" s="1033">
        <v>5213160</v>
      </c>
      <c r="B713" s="1033" t="s">
        <v>2777</v>
      </c>
      <c r="C713" s="1034" t="str">
        <f t="shared" si="145"/>
        <v/>
      </c>
      <c r="D713" s="1033"/>
      <c r="E713" s="1033"/>
      <c r="F713" s="1034" t="str">
        <f t="shared" si="146"/>
        <v/>
      </c>
      <c r="G713" s="1033"/>
      <c r="H713" s="1033"/>
      <c r="I713" s="1034" t="str">
        <f t="shared" si="147"/>
        <v/>
      </c>
      <c r="J713" s="1033"/>
      <c r="K713" s="1033"/>
      <c r="L713" s="1034" t="str">
        <f t="shared" si="148"/>
        <v/>
      </c>
      <c r="M713" s="1035"/>
      <c r="N713" s="1035"/>
      <c r="O713" s="1036" t="str">
        <f t="shared" si="149"/>
        <v>6352110207</v>
      </c>
      <c r="P713" s="1033">
        <v>6352110</v>
      </c>
      <c r="Q713" s="1033">
        <v>207</v>
      </c>
      <c r="R713" s="1034" t="str">
        <f t="shared" si="150"/>
        <v/>
      </c>
      <c r="S713" s="1035"/>
      <c r="T713" s="1035"/>
      <c r="U713" s="1034" t="str">
        <f t="shared" si="151"/>
        <v/>
      </c>
      <c r="V713" s="1035"/>
      <c r="W713" s="1035"/>
      <c r="X713" s="1037" t="str">
        <f t="shared" si="152"/>
        <v>102</v>
      </c>
      <c r="Y713" s="1035">
        <v>10</v>
      </c>
      <c r="Z713" s="1035">
        <f t="shared" si="142"/>
        <v>2</v>
      </c>
      <c r="AA713" s="1035"/>
      <c r="AB713" s="1035"/>
      <c r="AC713" s="1021">
        <v>210316</v>
      </c>
      <c r="AD713" s="1021" t="s">
        <v>2173</v>
      </c>
      <c r="AE713" s="1022">
        <f>VLOOKUP(AC713,[5]Hoja1!$A$10:$K$1393,11,0)</f>
        <v>-23708795</v>
      </c>
      <c r="AF713" s="1022"/>
      <c r="AG713" s="1022">
        <f t="shared" si="143"/>
        <v>-23708795</v>
      </c>
      <c r="AH713" s="1022">
        <f t="shared" si="144"/>
        <v>-23709</v>
      </c>
      <c r="AI713" s="875">
        <v>-75576762</v>
      </c>
      <c r="AJ713" s="876">
        <f>+AE713-AI713</f>
        <v>51867967</v>
      </c>
      <c r="AK713" s="448"/>
      <c r="AL713" s="445"/>
    </row>
    <row r="714" spans="1:38" s="467" customFormat="1" ht="12.75" customHeight="1">
      <c r="A714" s="1033">
        <v>5213160</v>
      </c>
      <c r="B714" s="1033" t="s">
        <v>2777</v>
      </c>
      <c r="C714" s="1034" t="str">
        <f t="shared" si="145"/>
        <v/>
      </c>
      <c r="D714" s="1033"/>
      <c r="E714" s="1033"/>
      <c r="F714" s="1034" t="str">
        <f t="shared" si="146"/>
        <v/>
      </c>
      <c r="G714" s="1033"/>
      <c r="H714" s="1033"/>
      <c r="I714" s="1034" t="str">
        <f t="shared" si="147"/>
        <v/>
      </c>
      <c r="J714" s="1033"/>
      <c r="K714" s="1033"/>
      <c r="L714" s="1034" t="str">
        <f t="shared" si="148"/>
        <v/>
      </c>
      <c r="M714" s="1035"/>
      <c r="N714" s="1035"/>
      <c r="O714" s="1036" t="str">
        <f t="shared" si="149"/>
        <v>6352300212</v>
      </c>
      <c r="P714" s="1033">
        <v>6352300</v>
      </c>
      <c r="Q714" s="1033">
        <v>212</v>
      </c>
      <c r="R714" s="1034" t="str">
        <f t="shared" si="150"/>
        <v/>
      </c>
      <c r="S714" s="1035"/>
      <c r="T714" s="1035"/>
      <c r="U714" s="1034" t="str">
        <f t="shared" si="151"/>
        <v/>
      </c>
      <c r="V714" s="1035"/>
      <c r="W714" s="1035"/>
      <c r="X714" s="1037" t="str">
        <f t="shared" si="152"/>
        <v>102</v>
      </c>
      <c r="Y714" s="1035">
        <v>10</v>
      </c>
      <c r="Z714" s="1035">
        <f t="shared" si="142"/>
        <v>2</v>
      </c>
      <c r="AA714" s="1035"/>
      <c r="AB714" s="1035"/>
      <c r="AC714" s="1021">
        <v>210317</v>
      </c>
      <c r="AD714" s="1021" t="s">
        <v>2531</v>
      </c>
      <c r="AE714" s="1022">
        <f>VLOOKUP(AC714,[5]Hoja1!$A$10:$K$1393,11,0)</f>
        <v>-549582361</v>
      </c>
      <c r="AF714" s="1022"/>
      <c r="AG714" s="1022">
        <f t="shared" si="143"/>
        <v>-549582361</v>
      </c>
      <c r="AH714" s="1022">
        <f t="shared" si="144"/>
        <v>-549582</v>
      </c>
      <c r="AK714" s="448"/>
      <c r="AL714" s="445"/>
    </row>
    <row r="715" spans="1:38" s="467" customFormat="1" ht="12.75" customHeight="1">
      <c r="A715" s="1033"/>
      <c r="B715" s="1033"/>
      <c r="C715" s="1034" t="str">
        <f t="shared" si="145"/>
        <v/>
      </c>
      <c r="D715" s="1033"/>
      <c r="E715" s="1033"/>
      <c r="F715" s="1034" t="str">
        <f t="shared" si="146"/>
        <v/>
      </c>
      <c r="G715" s="1033"/>
      <c r="H715" s="1033"/>
      <c r="I715" s="1034" t="str">
        <f t="shared" si="147"/>
        <v/>
      </c>
      <c r="J715" s="1033"/>
      <c r="K715" s="1033"/>
      <c r="L715" s="1034" t="str">
        <f t="shared" si="148"/>
        <v/>
      </c>
      <c r="M715" s="1035"/>
      <c r="N715" s="1035"/>
      <c r="O715" s="1036" t="str">
        <f t="shared" si="149"/>
        <v>6352110202</v>
      </c>
      <c r="P715" s="1033">
        <v>6352110</v>
      </c>
      <c r="Q715" s="1033">
        <v>202</v>
      </c>
      <c r="R715" s="1034" t="str">
        <f t="shared" si="150"/>
        <v/>
      </c>
      <c r="S715" s="1035"/>
      <c r="T715" s="1035"/>
      <c r="U715" s="1034" t="str">
        <f t="shared" si="151"/>
        <v/>
      </c>
      <c r="V715" s="1035"/>
      <c r="W715" s="1035"/>
      <c r="X715" s="1037" t="str">
        <f t="shared" si="152"/>
        <v>102</v>
      </c>
      <c r="Y715" s="1035">
        <v>10</v>
      </c>
      <c r="Z715" s="1035">
        <f t="shared" si="142"/>
        <v>2</v>
      </c>
      <c r="AA715" s="1035"/>
      <c r="AB715" s="1035"/>
      <c r="AC715" s="1021">
        <v>210318</v>
      </c>
      <c r="AD715" s="1021" t="s">
        <v>1551</v>
      </c>
      <c r="AE715" s="1022">
        <v>0</v>
      </c>
      <c r="AF715" s="1022"/>
      <c r="AG715" s="1022">
        <f t="shared" si="143"/>
        <v>0</v>
      </c>
      <c r="AH715" s="1022">
        <f t="shared" si="144"/>
        <v>0</v>
      </c>
      <c r="AK715" s="448"/>
      <c r="AL715" s="445"/>
    </row>
    <row r="716" spans="1:38" s="467" customFormat="1" ht="12.75" customHeight="1">
      <c r="A716" s="1033">
        <v>5213160</v>
      </c>
      <c r="B716" s="1033" t="s">
        <v>2777</v>
      </c>
      <c r="C716" s="1034" t="str">
        <f t="shared" si="145"/>
        <v/>
      </c>
      <c r="D716" s="1033"/>
      <c r="E716" s="1033"/>
      <c r="F716" s="1034" t="str">
        <f t="shared" si="146"/>
        <v/>
      </c>
      <c r="G716" s="1033"/>
      <c r="H716" s="1033"/>
      <c r="I716" s="1034" t="str">
        <f t="shared" si="147"/>
        <v/>
      </c>
      <c r="J716" s="1033"/>
      <c r="K716" s="1033"/>
      <c r="L716" s="1034" t="str">
        <f t="shared" si="148"/>
        <v/>
      </c>
      <c r="M716" s="1035"/>
      <c r="N716" s="1035"/>
      <c r="O716" s="1036" t="str">
        <f t="shared" si="149"/>
        <v>6352110103</v>
      </c>
      <c r="P716" s="1033">
        <v>6352110</v>
      </c>
      <c r="Q716" s="1033">
        <v>103</v>
      </c>
      <c r="R716" s="1034" t="str">
        <f t="shared" si="150"/>
        <v/>
      </c>
      <c r="S716" s="1035"/>
      <c r="T716" s="1035"/>
      <c r="U716" s="1034" t="str">
        <f t="shared" si="151"/>
        <v/>
      </c>
      <c r="V716" s="1035"/>
      <c r="W716" s="1035"/>
      <c r="X716" s="1037" t="str">
        <f t="shared" ref="X716:X747" si="153">+Y716&amp;Z716</f>
        <v>102</v>
      </c>
      <c r="Y716" s="1035">
        <v>10</v>
      </c>
      <c r="Z716" s="1035">
        <f t="shared" si="142"/>
        <v>2</v>
      </c>
      <c r="AA716" s="1035"/>
      <c r="AB716" s="1035"/>
      <c r="AC716" s="1021">
        <v>210319</v>
      </c>
      <c r="AD716" s="1021" t="s">
        <v>1552</v>
      </c>
      <c r="AE716" s="1022">
        <f>VLOOKUP(AC716,[5]Hoja1!$A$10:$K$1393,11,0)</f>
        <v>-103638</v>
      </c>
      <c r="AF716" s="1022"/>
      <c r="AG716" s="1022">
        <f t="shared" si="143"/>
        <v>-103638</v>
      </c>
      <c r="AH716" s="1022">
        <f t="shared" si="144"/>
        <v>-104</v>
      </c>
      <c r="AK716" s="448"/>
      <c r="AL716" s="445"/>
    </row>
    <row r="717" spans="1:38" s="467" customFormat="1" ht="12.75" customHeight="1">
      <c r="A717" s="1033">
        <v>5213160</v>
      </c>
      <c r="B717" s="1033" t="s">
        <v>2777</v>
      </c>
      <c r="C717" s="1034" t="str">
        <f t="shared" si="145"/>
        <v/>
      </c>
      <c r="D717" s="1033"/>
      <c r="E717" s="1033"/>
      <c r="F717" s="1034" t="str">
        <f t="shared" si="146"/>
        <v/>
      </c>
      <c r="G717" s="1033"/>
      <c r="H717" s="1033"/>
      <c r="I717" s="1034" t="str">
        <f t="shared" si="147"/>
        <v/>
      </c>
      <c r="J717" s="1033"/>
      <c r="K717" s="1033"/>
      <c r="L717" s="1034" t="str">
        <f t="shared" si="148"/>
        <v/>
      </c>
      <c r="M717" s="1035"/>
      <c r="N717" s="1035"/>
      <c r="O717" s="1036" t="str">
        <f t="shared" si="149"/>
        <v>6352110110</v>
      </c>
      <c r="P717" s="1033">
        <v>6352110</v>
      </c>
      <c r="Q717" s="1033">
        <v>110</v>
      </c>
      <c r="R717" s="1034" t="str">
        <f t="shared" si="150"/>
        <v/>
      </c>
      <c r="S717" s="1035"/>
      <c r="T717" s="1035"/>
      <c r="U717" s="1034" t="str">
        <f t="shared" si="151"/>
        <v/>
      </c>
      <c r="V717" s="1035"/>
      <c r="W717" s="1035"/>
      <c r="X717" s="1037" t="str">
        <f t="shared" si="153"/>
        <v>102</v>
      </c>
      <c r="Y717" s="1035">
        <v>10</v>
      </c>
      <c r="Z717" s="1035">
        <f t="shared" si="142"/>
        <v>2</v>
      </c>
      <c r="AA717" s="1035"/>
      <c r="AB717" s="1035"/>
      <c r="AC717" s="1021">
        <v>210320</v>
      </c>
      <c r="AD717" s="1021" t="s">
        <v>317</v>
      </c>
      <c r="AE717" s="1022">
        <f>VLOOKUP(AC717,[5]Hoja1!$A$10:$K$1393,11,0)</f>
        <v>0</v>
      </c>
      <c r="AF717" s="1022"/>
      <c r="AG717" s="1022">
        <f t="shared" si="143"/>
        <v>0</v>
      </c>
      <c r="AH717" s="1022">
        <f t="shared" si="144"/>
        <v>0</v>
      </c>
      <c r="AI717" s="875">
        <v>-51195119</v>
      </c>
      <c r="AJ717" s="445">
        <f>+AI717-AE717</f>
        <v>-51195119</v>
      </c>
      <c r="AK717" s="448"/>
      <c r="AL717" s="445"/>
    </row>
    <row r="718" spans="1:38" s="467" customFormat="1" ht="12.75" customHeight="1">
      <c r="A718" s="1033">
        <v>5213140</v>
      </c>
      <c r="B718" s="1033" t="s">
        <v>907</v>
      </c>
      <c r="C718" s="1034" t="str">
        <f t="shared" si="145"/>
        <v/>
      </c>
      <c r="D718" s="1033"/>
      <c r="E718" s="1033"/>
      <c r="F718" s="1034" t="str">
        <f t="shared" si="146"/>
        <v/>
      </c>
      <c r="G718" s="1033"/>
      <c r="H718" s="1033"/>
      <c r="I718" s="1034" t="str">
        <f t="shared" si="147"/>
        <v>6513200103</v>
      </c>
      <c r="J718" s="1033">
        <v>6513200</v>
      </c>
      <c r="K718" s="1033">
        <v>103</v>
      </c>
      <c r="L718" s="1034" t="str">
        <f t="shared" si="148"/>
        <v/>
      </c>
      <c r="M718" s="1035"/>
      <c r="N718" s="1035"/>
      <c r="O718" s="1036" t="str">
        <f t="shared" si="149"/>
        <v/>
      </c>
      <c r="P718" s="1033"/>
      <c r="Q718" s="1033"/>
      <c r="R718" s="1034" t="str">
        <f t="shared" si="150"/>
        <v/>
      </c>
      <c r="S718" s="1035"/>
      <c r="T718" s="1035"/>
      <c r="U718" s="1034" t="str">
        <f t="shared" si="151"/>
        <v/>
      </c>
      <c r="V718" s="1035"/>
      <c r="W718" s="1035"/>
      <c r="X718" s="1037" t="str">
        <f t="shared" si="153"/>
        <v>102</v>
      </c>
      <c r="Y718" s="1035">
        <v>10</v>
      </c>
      <c r="Z718" s="1035">
        <f t="shared" si="142"/>
        <v>2</v>
      </c>
      <c r="AA718" s="1035"/>
      <c r="AB718" s="1035"/>
      <c r="AC718" s="1021">
        <v>210321</v>
      </c>
      <c r="AD718" s="1021" t="s">
        <v>164</v>
      </c>
      <c r="AE718" s="1022">
        <f>VLOOKUP(AC718,[5]Hoja1!$A$10:$K$1393,11,0)</f>
        <v>-32541716367</v>
      </c>
      <c r="AF718" s="1022"/>
      <c r="AG718" s="1022">
        <f t="shared" si="143"/>
        <v>-32541716367</v>
      </c>
      <c r="AH718" s="1022">
        <f t="shared" si="144"/>
        <v>-32541716</v>
      </c>
      <c r="AI718" s="876">
        <f>+AI717+AI713+AI703+AI698</f>
        <v>-2936260191</v>
      </c>
      <c r="AJ718" s="445">
        <f>+AE717+AE713+AE703+AE698</f>
        <v>-522150549</v>
      </c>
      <c r="AK718" s="448"/>
      <c r="AL718" s="445"/>
    </row>
    <row r="719" spans="1:38" s="467" customFormat="1" ht="12.75" customHeight="1">
      <c r="A719" s="1033">
        <v>5213140</v>
      </c>
      <c r="B719" s="1033" t="s">
        <v>907</v>
      </c>
      <c r="C719" s="1034" t="str">
        <f t="shared" si="145"/>
        <v/>
      </c>
      <c r="D719" s="1033"/>
      <c r="E719" s="1033"/>
      <c r="F719" s="1034" t="str">
        <f t="shared" si="146"/>
        <v/>
      </c>
      <c r="G719" s="1033"/>
      <c r="H719" s="1033"/>
      <c r="I719" s="1034" t="str">
        <f t="shared" si="147"/>
        <v>6513200114</v>
      </c>
      <c r="J719" s="1033">
        <v>6513200</v>
      </c>
      <c r="K719" s="1033">
        <v>114</v>
      </c>
      <c r="L719" s="1034" t="str">
        <f t="shared" si="148"/>
        <v/>
      </c>
      <c r="M719" s="1035"/>
      <c r="N719" s="1035"/>
      <c r="O719" s="1036" t="str">
        <f t="shared" si="149"/>
        <v/>
      </c>
      <c r="P719" s="1033"/>
      <c r="Q719" s="1033"/>
      <c r="R719" s="1034" t="str">
        <f t="shared" si="150"/>
        <v/>
      </c>
      <c r="S719" s="1035"/>
      <c r="T719" s="1035"/>
      <c r="U719" s="1034" t="str">
        <f t="shared" si="151"/>
        <v/>
      </c>
      <c r="V719" s="1035"/>
      <c r="W719" s="1035"/>
      <c r="X719" s="1037" t="str">
        <f t="shared" si="153"/>
        <v>102</v>
      </c>
      <c r="Y719" s="1035">
        <v>10</v>
      </c>
      <c r="Z719" s="1035">
        <f t="shared" si="142"/>
        <v>2</v>
      </c>
      <c r="AA719" s="1035"/>
      <c r="AB719" s="1035"/>
      <c r="AC719" s="1021">
        <v>210322</v>
      </c>
      <c r="AD719" s="1021" t="s">
        <v>165</v>
      </c>
      <c r="AE719" s="1022">
        <f>VLOOKUP(AC719,[5]Hoja1!$A$10:$K$1393,11,0)</f>
        <v>0</v>
      </c>
      <c r="AF719" s="1022"/>
      <c r="AG719" s="1022">
        <f t="shared" si="143"/>
        <v>0</v>
      </c>
      <c r="AH719" s="1022">
        <f t="shared" si="144"/>
        <v>0</v>
      </c>
      <c r="AJ719" s="491"/>
      <c r="AK719" s="448"/>
      <c r="AL719" s="445"/>
    </row>
    <row r="720" spans="1:38" s="467" customFormat="1" ht="12.75" customHeight="1">
      <c r="A720" s="1033">
        <v>5213160</v>
      </c>
      <c r="B720" s="1033" t="s">
        <v>2777</v>
      </c>
      <c r="C720" s="1034"/>
      <c r="D720" s="1033"/>
      <c r="E720" s="1033"/>
      <c r="F720" s="1034"/>
      <c r="G720" s="1033"/>
      <c r="H720" s="1033"/>
      <c r="I720" s="1034"/>
      <c r="J720" s="1033"/>
      <c r="K720" s="1033"/>
      <c r="L720" s="1034"/>
      <c r="M720" s="1035"/>
      <c r="N720" s="1035"/>
      <c r="O720" s="1036" t="str">
        <f t="shared" si="149"/>
        <v>6352300101</v>
      </c>
      <c r="P720" s="1033">
        <v>6352300</v>
      </c>
      <c r="Q720" s="1033">
        <v>101</v>
      </c>
      <c r="R720" s="1034"/>
      <c r="S720" s="1035"/>
      <c r="T720" s="1035"/>
      <c r="U720" s="1034"/>
      <c r="V720" s="1035"/>
      <c r="W720" s="1035"/>
      <c r="X720" s="1037" t="str">
        <f t="shared" si="153"/>
        <v>102</v>
      </c>
      <c r="Y720" s="1035">
        <v>10</v>
      </c>
      <c r="Z720" s="1035">
        <f t="shared" si="142"/>
        <v>2</v>
      </c>
      <c r="AA720" s="1035"/>
      <c r="AB720" s="1035"/>
      <c r="AC720" s="1021">
        <v>210323</v>
      </c>
      <c r="AD720" s="1021" t="s">
        <v>2174</v>
      </c>
      <c r="AE720" s="1022">
        <f>VLOOKUP(AC720,[5]Hoja1!$A$10:$K$1393,11,0)</f>
        <v>-3618008</v>
      </c>
      <c r="AF720" s="1022"/>
      <c r="AG720" s="1022">
        <f t="shared" si="143"/>
        <v>-3618008</v>
      </c>
      <c r="AH720" s="1022">
        <f t="shared" si="144"/>
        <v>-3618</v>
      </c>
      <c r="AJ720" s="491"/>
      <c r="AK720" s="448"/>
      <c r="AL720" s="445"/>
    </row>
    <row r="721" spans="1:38" s="467" customFormat="1" ht="12.75" customHeight="1">
      <c r="A721" s="1033">
        <v>5213160</v>
      </c>
      <c r="B721" s="1033" t="s">
        <v>2777</v>
      </c>
      <c r="C721" s="1034"/>
      <c r="D721" s="1033"/>
      <c r="E721" s="1033"/>
      <c r="F721" s="1034"/>
      <c r="G721" s="1033"/>
      <c r="H721" s="1033"/>
      <c r="I721" s="1034"/>
      <c r="J721" s="1033"/>
      <c r="K721" s="1033"/>
      <c r="L721" s="1034"/>
      <c r="M721" s="1035"/>
      <c r="N721" s="1035"/>
      <c r="O721" s="1036" t="str">
        <f t="shared" si="149"/>
        <v>6352300102</v>
      </c>
      <c r="P721" s="1033">
        <v>6352300</v>
      </c>
      <c r="Q721" s="1033">
        <v>102</v>
      </c>
      <c r="R721" s="1034"/>
      <c r="S721" s="1035"/>
      <c r="T721" s="1035"/>
      <c r="U721" s="1034"/>
      <c r="V721" s="1035"/>
      <c r="W721" s="1035"/>
      <c r="X721" s="1037" t="str">
        <f t="shared" si="153"/>
        <v>102</v>
      </c>
      <c r="Y721" s="1035">
        <v>10</v>
      </c>
      <c r="Z721" s="1035">
        <f t="shared" si="142"/>
        <v>2</v>
      </c>
      <c r="AA721" s="1035"/>
      <c r="AB721" s="1035"/>
      <c r="AC721" s="1021">
        <v>210324</v>
      </c>
      <c r="AD721" s="1021" t="s">
        <v>2175</v>
      </c>
      <c r="AE721" s="1022">
        <f>VLOOKUP(AC721,[5]Hoja1!$A$10:$K$1393,11,0)</f>
        <v>-3036081</v>
      </c>
      <c r="AF721" s="1022"/>
      <c r="AG721" s="1022">
        <f t="shared" si="143"/>
        <v>-3036081</v>
      </c>
      <c r="AH721" s="1022">
        <f t="shared" si="144"/>
        <v>-3036</v>
      </c>
      <c r="AJ721" s="491"/>
      <c r="AK721" s="448"/>
      <c r="AL721" s="445"/>
    </row>
    <row r="722" spans="1:38" s="467" customFormat="1" ht="12.75" customHeight="1">
      <c r="A722" s="1033">
        <v>5213160</v>
      </c>
      <c r="B722" s="1033" t="s">
        <v>2777</v>
      </c>
      <c r="C722" s="1034"/>
      <c r="D722" s="1033"/>
      <c r="E722" s="1033"/>
      <c r="F722" s="1034"/>
      <c r="G722" s="1033"/>
      <c r="H722" s="1033"/>
      <c r="I722" s="1034"/>
      <c r="J722" s="1033"/>
      <c r="K722" s="1033"/>
      <c r="L722" s="1034"/>
      <c r="M722" s="1035"/>
      <c r="N722" s="1035"/>
      <c r="O722" s="1036" t="str">
        <f t="shared" si="149"/>
        <v>6352300103</v>
      </c>
      <c r="P722" s="1033">
        <v>6352300</v>
      </c>
      <c r="Q722" s="1033">
        <v>103</v>
      </c>
      <c r="R722" s="1034"/>
      <c r="S722" s="1035"/>
      <c r="T722" s="1035"/>
      <c r="U722" s="1034"/>
      <c r="V722" s="1035"/>
      <c r="W722" s="1035"/>
      <c r="X722" s="1037" t="str">
        <f t="shared" si="153"/>
        <v>102</v>
      </c>
      <c r="Y722" s="1035">
        <v>10</v>
      </c>
      <c r="Z722" s="1035">
        <f t="shared" si="142"/>
        <v>2</v>
      </c>
      <c r="AA722" s="1035"/>
      <c r="AB722" s="1035"/>
      <c r="AC722" s="1021">
        <v>210325</v>
      </c>
      <c r="AD722" s="1021" t="s">
        <v>2176</v>
      </c>
      <c r="AE722" s="1022">
        <f>VLOOKUP(AC722,[5]Hoja1!$A$10:$K$1393,11,0)</f>
        <v>-18198037</v>
      </c>
      <c r="AF722" s="1022"/>
      <c r="AG722" s="1022">
        <f t="shared" si="143"/>
        <v>-18198037</v>
      </c>
      <c r="AH722" s="1022">
        <f t="shared" si="144"/>
        <v>-18198</v>
      </c>
      <c r="AJ722" s="491"/>
      <c r="AK722" s="448"/>
      <c r="AL722" s="445"/>
    </row>
    <row r="723" spans="1:38" s="467" customFormat="1" ht="12.75" customHeight="1">
      <c r="A723" s="1033">
        <v>5213160</v>
      </c>
      <c r="B723" s="1033" t="s">
        <v>2777</v>
      </c>
      <c r="C723" s="1034"/>
      <c r="D723" s="1033"/>
      <c r="E723" s="1033"/>
      <c r="F723" s="1034"/>
      <c r="G723" s="1033"/>
      <c r="H723" s="1033"/>
      <c r="I723" s="1034"/>
      <c r="J723" s="1033"/>
      <c r="K723" s="1033"/>
      <c r="L723" s="1034"/>
      <c r="M723" s="1035"/>
      <c r="N723" s="1035"/>
      <c r="O723" s="1036" t="str">
        <f t="shared" si="149"/>
        <v>6352300104</v>
      </c>
      <c r="P723" s="1033">
        <v>6352300</v>
      </c>
      <c r="Q723" s="1033">
        <v>104</v>
      </c>
      <c r="R723" s="1034"/>
      <c r="S723" s="1035"/>
      <c r="T723" s="1035"/>
      <c r="U723" s="1034"/>
      <c r="V723" s="1035"/>
      <c r="W723" s="1035"/>
      <c r="X723" s="1037" t="str">
        <f t="shared" si="153"/>
        <v>102</v>
      </c>
      <c r="Y723" s="1035">
        <v>10</v>
      </c>
      <c r="Z723" s="1035">
        <f t="shared" si="142"/>
        <v>2</v>
      </c>
      <c r="AA723" s="1035"/>
      <c r="AB723" s="1035"/>
      <c r="AC723" s="1021">
        <v>210326</v>
      </c>
      <c r="AD723" s="1021" t="s">
        <v>2177</v>
      </c>
      <c r="AE723" s="1022">
        <f>VLOOKUP(AC723,[5]Hoja1!$A$10:$K$1393,11,0)</f>
        <v>-2815261</v>
      </c>
      <c r="AF723" s="1022"/>
      <c r="AG723" s="1022">
        <f t="shared" si="143"/>
        <v>-2815261</v>
      </c>
      <c r="AH723" s="1022">
        <f t="shared" si="144"/>
        <v>-2815</v>
      </c>
      <c r="AJ723" s="491"/>
      <c r="AK723" s="448"/>
      <c r="AL723" s="445"/>
    </row>
    <row r="724" spans="1:38" s="467" customFormat="1" ht="12.75" customHeight="1">
      <c r="A724" s="1033">
        <v>5213160</v>
      </c>
      <c r="B724" s="1033" t="s">
        <v>2777</v>
      </c>
      <c r="C724" s="1034"/>
      <c r="D724" s="1033"/>
      <c r="E724" s="1033"/>
      <c r="F724" s="1034"/>
      <c r="G724" s="1033"/>
      <c r="H724" s="1033"/>
      <c r="I724" s="1034"/>
      <c r="J724" s="1033"/>
      <c r="K724" s="1033"/>
      <c r="L724" s="1034"/>
      <c r="M724" s="1035"/>
      <c r="N724" s="1035"/>
      <c r="O724" s="1036" t="str">
        <f t="shared" si="149"/>
        <v>6352300108</v>
      </c>
      <c r="P724" s="1033">
        <v>6352300</v>
      </c>
      <c r="Q724" s="1033">
        <v>108</v>
      </c>
      <c r="R724" s="1034"/>
      <c r="S724" s="1035"/>
      <c r="T724" s="1035"/>
      <c r="U724" s="1034"/>
      <c r="V724" s="1035"/>
      <c r="W724" s="1035"/>
      <c r="X724" s="1037" t="str">
        <f t="shared" si="153"/>
        <v>102</v>
      </c>
      <c r="Y724" s="1035">
        <v>10</v>
      </c>
      <c r="Z724" s="1035">
        <f t="shared" ref="Z724:Z790" si="154">VALUE(LEFT(AC724,1))</f>
        <v>2</v>
      </c>
      <c r="AA724" s="1035"/>
      <c r="AB724" s="1035"/>
      <c r="AC724" s="1021">
        <v>210327</v>
      </c>
      <c r="AD724" s="1021" t="s">
        <v>2178</v>
      </c>
      <c r="AE724" s="1022">
        <f>VLOOKUP(AC724,[5]Hoja1!$A$10:$K$1393,11,0)</f>
        <v>-278738</v>
      </c>
      <c r="AF724" s="1022"/>
      <c r="AG724" s="1022">
        <f t="shared" ref="AG724:AG790" si="155">AE724+AF724</f>
        <v>-278738</v>
      </c>
      <c r="AH724" s="1022">
        <f t="shared" ref="AH724:AH790" si="156">ROUND((AE724+AF724)/$AH$2,0)</f>
        <v>-279</v>
      </c>
      <c r="AJ724" s="491"/>
      <c r="AK724" s="448"/>
      <c r="AL724" s="445"/>
    </row>
    <row r="725" spans="1:38" s="467" customFormat="1" ht="12.75" customHeight="1">
      <c r="A725" s="1033">
        <v>5213160</v>
      </c>
      <c r="B725" s="1033" t="s">
        <v>2777</v>
      </c>
      <c r="C725" s="1034"/>
      <c r="D725" s="1033"/>
      <c r="E725" s="1033"/>
      <c r="F725" s="1034"/>
      <c r="G725" s="1033"/>
      <c r="H725" s="1033"/>
      <c r="I725" s="1034"/>
      <c r="J725" s="1033"/>
      <c r="K725" s="1033"/>
      <c r="L725" s="1034"/>
      <c r="M725" s="1035"/>
      <c r="N725" s="1035"/>
      <c r="O725" s="1036" t="str">
        <f t="shared" si="149"/>
        <v>6352300109</v>
      </c>
      <c r="P725" s="1033">
        <v>6352300</v>
      </c>
      <c r="Q725" s="1033">
        <v>109</v>
      </c>
      <c r="R725" s="1034"/>
      <c r="S725" s="1035"/>
      <c r="T725" s="1035"/>
      <c r="U725" s="1034"/>
      <c r="V725" s="1035"/>
      <c r="W725" s="1035"/>
      <c r="X725" s="1037" t="str">
        <f t="shared" si="153"/>
        <v>102</v>
      </c>
      <c r="Y725" s="1035">
        <v>10</v>
      </c>
      <c r="Z725" s="1035">
        <f t="shared" si="154"/>
        <v>2</v>
      </c>
      <c r="AA725" s="1035"/>
      <c r="AB725" s="1035"/>
      <c r="AC725" s="1021">
        <v>210328</v>
      </c>
      <c r="AD725" s="1021" t="s">
        <v>2179</v>
      </c>
      <c r="AE725" s="1022">
        <f>VLOOKUP(AC725,[5]Hoja1!$A$10:$K$1393,11,0)</f>
        <v>-30878626</v>
      </c>
      <c r="AF725" s="1022"/>
      <c r="AG725" s="1022">
        <f t="shared" si="155"/>
        <v>-30878626</v>
      </c>
      <c r="AH725" s="1022">
        <f t="shared" si="156"/>
        <v>-30879</v>
      </c>
      <c r="AJ725" s="491"/>
      <c r="AK725" s="448"/>
      <c r="AL725" s="445"/>
    </row>
    <row r="726" spans="1:38" s="467" customFormat="1" ht="12.75" customHeight="1">
      <c r="A726" s="1033">
        <v>5213160</v>
      </c>
      <c r="B726" s="1033" t="s">
        <v>2777</v>
      </c>
      <c r="C726" s="1034"/>
      <c r="D726" s="1033"/>
      <c r="E726" s="1033"/>
      <c r="F726" s="1034"/>
      <c r="G726" s="1033"/>
      <c r="H726" s="1033"/>
      <c r="I726" s="1034"/>
      <c r="J726" s="1033"/>
      <c r="K726" s="1033"/>
      <c r="L726" s="1034"/>
      <c r="M726" s="1035"/>
      <c r="N726" s="1035"/>
      <c r="O726" s="1036" t="str">
        <f t="shared" si="149"/>
        <v>6352300110</v>
      </c>
      <c r="P726" s="1033">
        <v>6352300</v>
      </c>
      <c r="Q726" s="1033">
        <v>110</v>
      </c>
      <c r="R726" s="1034"/>
      <c r="S726" s="1035"/>
      <c r="T726" s="1035"/>
      <c r="U726" s="1034"/>
      <c r="V726" s="1035"/>
      <c r="W726" s="1035"/>
      <c r="X726" s="1037" t="str">
        <f t="shared" si="153"/>
        <v>102</v>
      </c>
      <c r="Y726" s="1035">
        <v>10</v>
      </c>
      <c r="Z726" s="1035">
        <f t="shared" si="154"/>
        <v>2</v>
      </c>
      <c r="AA726" s="1035"/>
      <c r="AB726" s="1035"/>
      <c r="AC726" s="1021">
        <v>210329</v>
      </c>
      <c r="AD726" s="1021" t="s">
        <v>2180</v>
      </c>
      <c r="AE726" s="1022">
        <f>VLOOKUP(AC726,[5]Hoja1!$A$10:$K$1393,11,0)</f>
        <v>-3120700</v>
      </c>
      <c r="AF726" s="1022"/>
      <c r="AG726" s="1022">
        <f t="shared" si="155"/>
        <v>-3120700</v>
      </c>
      <c r="AH726" s="1022">
        <f t="shared" si="156"/>
        <v>-3121</v>
      </c>
      <c r="AJ726" s="491"/>
      <c r="AK726" s="448"/>
      <c r="AL726" s="445"/>
    </row>
    <row r="727" spans="1:38" s="467" customFormat="1" ht="12.75" customHeight="1">
      <c r="A727" s="1033">
        <v>5213122</v>
      </c>
      <c r="B727" s="1033" t="s">
        <v>2775</v>
      </c>
      <c r="C727" s="1034" t="str">
        <f t="shared" si="145"/>
        <v/>
      </c>
      <c r="D727" s="1033"/>
      <c r="E727" s="1033"/>
      <c r="F727" s="1034" t="str">
        <f t="shared" si="146"/>
        <v/>
      </c>
      <c r="G727" s="1033"/>
      <c r="H727" s="1033"/>
      <c r="I727" s="1034" t="str">
        <f t="shared" si="147"/>
        <v/>
      </c>
      <c r="J727" s="1033"/>
      <c r="K727" s="1033"/>
      <c r="L727" s="1034" t="str">
        <f t="shared" si="148"/>
        <v>6402100420</v>
      </c>
      <c r="M727" s="1035">
        <v>6402100</v>
      </c>
      <c r="N727" s="1035">
        <v>420</v>
      </c>
      <c r="O727" s="1036" t="str">
        <f t="shared" si="149"/>
        <v>6352110420</v>
      </c>
      <c r="P727" s="1033">
        <v>6352110</v>
      </c>
      <c r="Q727" s="1033">
        <v>420</v>
      </c>
      <c r="R727" s="1034" t="str">
        <f t="shared" si="150"/>
        <v/>
      </c>
      <c r="S727" s="1035"/>
      <c r="T727" s="1035"/>
      <c r="U727" s="1034" t="str">
        <f t="shared" si="151"/>
        <v/>
      </c>
      <c r="V727" s="1035"/>
      <c r="W727" s="1035"/>
      <c r="X727" s="1037" t="str">
        <f t="shared" si="153"/>
        <v>102</v>
      </c>
      <c r="Y727" s="1035">
        <v>10</v>
      </c>
      <c r="Z727" s="1035">
        <f t="shared" si="154"/>
        <v>2</v>
      </c>
      <c r="AA727" s="1035"/>
      <c r="AB727" s="1035"/>
      <c r="AC727" s="1021">
        <v>210331</v>
      </c>
      <c r="AD727" s="1021" t="s">
        <v>169</v>
      </c>
      <c r="AE727" s="1022">
        <f>VLOOKUP(AC727,[5]Hoja1!$A$10:$K$1393,11,0)</f>
        <v>0</v>
      </c>
      <c r="AF727" s="1022"/>
      <c r="AG727" s="1022">
        <f t="shared" si="155"/>
        <v>0</v>
      </c>
      <c r="AH727" s="1022">
        <f t="shared" si="156"/>
        <v>0</v>
      </c>
      <c r="AK727" s="448"/>
      <c r="AL727" s="445"/>
    </row>
    <row r="728" spans="1:38" s="467" customFormat="1" ht="12.75" customHeight="1">
      <c r="A728" s="1033">
        <v>5213122</v>
      </c>
      <c r="B728" s="1033" t="s">
        <v>2775</v>
      </c>
      <c r="C728" s="1034" t="str">
        <f t="shared" si="145"/>
        <v/>
      </c>
      <c r="D728" s="1033"/>
      <c r="E728" s="1033"/>
      <c r="F728" s="1034" t="str">
        <f t="shared" si="146"/>
        <v/>
      </c>
      <c r="G728" s="1033"/>
      <c r="H728" s="1033"/>
      <c r="I728" s="1034" t="str">
        <f t="shared" si="147"/>
        <v/>
      </c>
      <c r="J728" s="1033"/>
      <c r="K728" s="1033"/>
      <c r="L728" s="1034" t="str">
        <f t="shared" si="148"/>
        <v>6402100420</v>
      </c>
      <c r="M728" s="1035">
        <v>6402100</v>
      </c>
      <c r="N728" s="1035">
        <v>420</v>
      </c>
      <c r="O728" s="1036" t="str">
        <f t="shared" si="149"/>
        <v>6352110420</v>
      </c>
      <c r="P728" s="1033">
        <v>6352110</v>
      </c>
      <c r="Q728" s="1033">
        <v>420</v>
      </c>
      <c r="R728" s="1034" t="str">
        <f t="shared" si="150"/>
        <v/>
      </c>
      <c r="S728" s="1035"/>
      <c r="T728" s="1035"/>
      <c r="U728" s="1034" t="str">
        <f t="shared" si="151"/>
        <v/>
      </c>
      <c r="V728" s="1035"/>
      <c r="W728" s="1035"/>
      <c r="X728" s="1037" t="str">
        <f t="shared" si="153"/>
        <v>102</v>
      </c>
      <c r="Y728" s="1035">
        <v>10</v>
      </c>
      <c r="Z728" s="1035">
        <f t="shared" si="154"/>
        <v>2</v>
      </c>
      <c r="AA728" s="1035"/>
      <c r="AB728" s="1035"/>
      <c r="AC728" s="1021">
        <v>210332</v>
      </c>
      <c r="AD728" s="1021" t="s">
        <v>170</v>
      </c>
      <c r="AE728" s="1022">
        <f>VLOOKUP(AC728,[5]Hoja1!$A$10:$K$1393,11,0)</f>
        <v>-6067342496</v>
      </c>
      <c r="AF728" s="1022"/>
      <c r="AG728" s="1022">
        <f t="shared" si="155"/>
        <v>-6067342496</v>
      </c>
      <c r="AH728" s="1022">
        <f t="shared" si="156"/>
        <v>-6067342</v>
      </c>
      <c r="AI728" s="445">
        <f>+AH701+AH703+AH698+AH704+AH705+AH713+AH716+AH717+AH730+AH731+AH733+AH735</f>
        <v>-2671206</v>
      </c>
      <c r="AK728" s="448"/>
      <c r="AL728" s="445"/>
    </row>
    <row r="729" spans="1:38" s="467" customFormat="1" ht="12.75" customHeight="1">
      <c r="A729" s="1033">
        <v>5213122</v>
      </c>
      <c r="B729" s="1033" t="s">
        <v>2775</v>
      </c>
      <c r="C729" s="1034" t="str">
        <f>+D729&amp;E729</f>
        <v/>
      </c>
      <c r="D729" s="1033"/>
      <c r="E729" s="1033"/>
      <c r="F729" s="1034" t="str">
        <f>+G729&amp;H729</f>
        <v/>
      </c>
      <c r="G729" s="1033"/>
      <c r="H729" s="1033"/>
      <c r="I729" s="1034" t="str">
        <f>+J729&amp;K729</f>
        <v/>
      </c>
      <c r="J729" s="1033"/>
      <c r="K729" s="1033"/>
      <c r="L729" s="1034" t="str">
        <f>+M729&amp;N729</f>
        <v>6402100420</v>
      </c>
      <c r="M729" s="1035">
        <v>6402100</v>
      </c>
      <c r="N729" s="1035">
        <v>420</v>
      </c>
      <c r="O729" s="1036" t="str">
        <f t="shared" si="149"/>
        <v>6352110420</v>
      </c>
      <c r="P729" s="1033">
        <v>6352110</v>
      </c>
      <c r="Q729" s="1033">
        <v>420</v>
      </c>
      <c r="R729" s="1034" t="str">
        <f>+S729&amp;T729</f>
        <v/>
      </c>
      <c r="S729" s="1035"/>
      <c r="T729" s="1035"/>
      <c r="U729" s="1034" t="str">
        <f>+V729&amp;W729</f>
        <v/>
      </c>
      <c r="V729" s="1035"/>
      <c r="W729" s="1035"/>
      <c r="X729" s="1037" t="str">
        <f t="shared" si="153"/>
        <v>102</v>
      </c>
      <c r="Y729" s="1035">
        <v>10</v>
      </c>
      <c r="Z729" s="1035">
        <f t="shared" si="154"/>
        <v>2</v>
      </c>
      <c r="AA729" s="1035"/>
      <c r="AB729" s="1035"/>
      <c r="AC729" s="1021">
        <v>210333</v>
      </c>
      <c r="AD729" s="1021" t="s">
        <v>168</v>
      </c>
      <c r="AE729" s="1022">
        <f>VLOOKUP(AC729,[5]Hoja1!$A$10:$K$1393,11,0)</f>
        <v>0</v>
      </c>
      <c r="AF729" s="1022"/>
      <c r="AG729" s="1022">
        <f t="shared" si="155"/>
        <v>0</v>
      </c>
      <c r="AH729" s="1022">
        <f t="shared" si="156"/>
        <v>0</v>
      </c>
      <c r="AI729" s="467">
        <v>2510495</v>
      </c>
      <c r="AK729" s="448"/>
      <c r="AL729" s="445"/>
    </row>
    <row r="730" spans="1:38" s="467" customFormat="1" ht="12.75" customHeight="1">
      <c r="A730" s="1033">
        <v>5213160</v>
      </c>
      <c r="B730" s="1033" t="s">
        <v>2777</v>
      </c>
      <c r="C730" s="1034"/>
      <c r="D730" s="1033"/>
      <c r="E730" s="1033"/>
      <c r="F730" s="1034"/>
      <c r="G730" s="1033"/>
      <c r="H730" s="1033"/>
      <c r="I730" s="1034"/>
      <c r="J730" s="1033"/>
      <c r="K730" s="1033"/>
      <c r="L730" s="1034"/>
      <c r="M730" s="1035"/>
      <c r="N730" s="1035"/>
      <c r="O730" s="1036" t="str">
        <f t="shared" si="149"/>
        <v>6352110109</v>
      </c>
      <c r="P730" s="1033">
        <v>6352110</v>
      </c>
      <c r="Q730" s="1033">
        <v>109</v>
      </c>
      <c r="R730" s="1034"/>
      <c r="S730" s="1035"/>
      <c r="T730" s="1035"/>
      <c r="U730" s="1034"/>
      <c r="V730" s="1035"/>
      <c r="W730" s="1035"/>
      <c r="X730" s="1037" t="str">
        <f t="shared" si="153"/>
        <v>102</v>
      </c>
      <c r="Y730" s="1035">
        <v>10</v>
      </c>
      <c r="Z730" s="1035">
        <f t="shared" si="154"/>
        <v>2</v>
      </c>
      <c r="AA730" s="1035"/>
      <c r="AB730" s="1035"/>
      <c r="AC730" s="1021">
        <v>210334</v>
      </c>
      <c r="AD730" s="1021" t="s">
        <v>2577</v>
      </c>
      <c r="AE730" s="1022">
        <f>VLOOKUP(AC730,[5]Hoja1!$A$10:$K$1393,11,0)</f>
        <v>-4778123251</v>
      </c>
      <c r="AF730" s="1507">
        <f>-AE730-2539478</f>
        <v>4775583773</v>
      </c>
      <c r="AG730" s="1022">
        <f t="shared" si="155"/>
        <v>-2539478</v>
      </c>
      <c r="AH730" s="1022">
        <f t="shared" si="156"/>
        <v>-2539</v>
      </c>
      <c r="AI730" s="445">
        <f>+AI729+AI728</f>
        <v>-160711</v>
      </c>
      <c r="AK730" s="448"/>
      <c r="AL730" s="445"/>
    </row>
    <row r="731" spans="1:38" s="467" customFormat="1" ht="12.75" customHeight="1">
      <c r="A731" s="1033">
        <v>5213160</v>
      </c>
      <c r="B731" s="1033" t="s">
        <v>2777</v>
      </c>
      <c r="C731" s="1034"/>
      <c r="D731" s="1033"/>
      <c r="E731" s="1033"/>
      <c r="F731" s="1034"/>
      <c r="G731" s="1033"/>
      <c r="H731" s="1033"/>
      <c r="I731" s="1034"/>
      <c r="J731" s="1033"/>
      <c r="K731" s="1033"/>
      <c r="L731" s="1034"/>
      <c r="M731" s="1035"/>
      <c r="N731" s="1035"/>
      <c r="O731" s="1036" t="str">
        <f t="shared" si="149"/>
        <v>6352110103</v>
      </c>
      <c r="P731" s="1033">
        <v>6352110</v>
      </c>
      <c r="Q731" s="1033">
        <v>103</v>
      </c>
      <c r="R731" s="1034"/>
      <c r="S731" s="1035"/>
      <c r="T731" s="1035"/>
      <c r="U731" s="1034"/>
      <c r="V731" s="1035"/>
      <c r="W731" s="1035"/>
      <c r="X731" s="1037" t="str">
        <f t="shared" si="153"/>
        <v>102</v>
      </c>
      <c r="Y731" s="1035">
        <v>10</v>
      </c>
      <c r="Z731" s="1035">
        <f t="shared" si="154"/>
        <v>2</v>
      </c>
      <c r="AA731" s="1035"/>
      <c r="AB731" s="1035"/>
      <c r="AC731" s="1021">
        <v>210334</v>
      </c>
      <c r="AD731" s="1024" t="s">
        <v>2577</v>
      </c>
      <c r="AE731" s="1022">
        <v>0</v>
      </c>
      <c r="AF731" s="1507">
        <v>-56595342</v>
      </c>
      <c r="AG731" s="1022">
        <f t="shared" si="155"/>
        <v>-56595342</v>
      </c>
      <c r="AH731" s="1022">
        <f t="shared" si="156"/>
        <v>-56595</v>
      </c>
      <c r="AK731" s="448"/>
      <c r="AL731" s="445"/>
    </row>
    <row r="732" spans="1:38" s="467" customFormat="1" ht="12.75" customHeight="1">
      <c r="A732" s="1033">
        <v>5213160</v>
      </c>
      <c r="B732" s="1033" t="s">
        <v>2777</v>
      </c>
      <c r="C732" s="1034"/>
      <c r="D732" s="1033"/>
      <c r="E732" s="1033"/>
      <c r="F732" s="1034"/>
      <c r="G732" s="1033"/>
      <c r="H732" s="1033"/>
      <c r="I732" s="1034"/>
      <c r="J732" s="1033"/>
      <c r="K732" s="1033"/>
      <c r="L732" s="1034"/>
      <c r="M732" s="1035"/>
      <c r="N732" s="1035"/>
      <c r="O732" s="1036" t="str">
        <f t="shared" si="149"/>
        <v>6352110104</v>
      </c>
      <c r="P732" s="1033">
        <v>6352110</v>
      </c>
      <c r="Q732" s="1033">
        <v>104</v>
      </c>
      <c r="R732" s="1034"/>
      <c r="S732" s="1035"/>
      <c r="T732" s="1035"/>
      <c r="U732" s="1034"/>
      <c r="V732" s="1035"/>
      <c r="W732" s="1035"/>
      <c r="X732" s="1037" t="str">
        <f t="shared" si="153"/>
        <v>102</v>
      </c>
      <c r="Y732" s="1035">
        <v>10</v>
      </c>
      <c r="Z732" s="1035">
        <f t="shared" si="154"/>
        <v>2</v>
      </c>
      <c r="AA732" s="1035"/>
      <c r="AB732" s="1035"/>
      <c r="AC732" s="1021">
        <v>210334</v>
      </c>
      <c r="AD732" s="1024" t="s">
        <v>2577</v>
      </c>
      <c r="AE732" s="1022">
        <v>0</v>
      </c>
      <c r="AF732" s="1507">
        <v>0</v>
      </c>
      <c r="AG732" s="1022">
        <f t="shared" si="155"/>
        <v>0</v>
      </c>
      <c r="AH732" s="1022">
        <f t="shared" si="156"/>
        <v>0</v>
      </c>
      <c r="AK732" s="448"/>
      <c r="AL732" s="445"/>
    </row>
    <row r="733" spans="1:38" s="467" customFormat="1" ht="12.75" customHeight="1">
      <c r="A733" s="1033">
        <v>5213160</v>
      </c>
      <c r="B733" s="1033" t="s">
        <v>2777</v>
      </c>
      <c r="C733" s="1034"/>
      <c r="D733" s="1033"/>
      <c r="E733" s="1033"/>
      <c r="F733" s="1034"/>
      <c r="G733" s="1033"/>
      <c r="H733" s="1033"/>
      <c r="I733" s="1034"/>
      <c r="J733" s="1033"/>
      <c r="K733" s="1033"/>
      <c r="L733" s="1034"/>
      <c r="M733" s="1035"/>
      <c r="N733" s="1035"/>
      <c r="O733" s="1036" t="str">
        <f t="shared" si="149"/>
        <v>6352110110</v>
      </c>
      <c r="P733" s="1033">
        <v>6352110</v>
      </c>
      <c r="Q733" s="1033">
        <v>110</v>
      </c>
      <c r="R733" s="1034"/>
      <c r="S733" s="1035"/>
      <c r="T733" s="1035"/>
      <c r="U733" s="1034"/>
      <c r="V733" s="1035"/>
      <c r="W733" s="1035"/>
      <c r="X733" s="1037" t="str">
        <f t="shared" si="153"/>
        <v>102</v>
      </c>
      <c r="Y733" s="1035">
        <v>10</v>
      </c>
      <c r="Z733" s="1035">
        <f t="shared" si="154"/>
        <v>2</v>
      </c>
      <c r="AA733" s="1035"/>
      <c r="AB733" s="1035"/>
      <c r="AC733" s="1021">
        <v>210334</v>
      </c>
      <c r="AD733" s="1024" t="s">
        <v>2577</v>
      </c>
      <c r="AE733" s="1022">
        <v>0</v>
      </c>
      <c r="AF733" s="1507">
        <v>-15036366</v>
      </c>
      <c r="AG733" s="1022">
        <f t="shared" si="155"/>
        <v>-15036366</v>
      </c>
      <c r="AH733" s="1022">
        <f t="shared" si="156"/>
        <v>-15036</v>
      </c>
      <c r="AK733" s="448"/>
      <c r="AL733" s="445"/>
    </row>
    <row r="734" spans="1:38" s="467" customFormat="1" ht="12.75" customHeight="1">
      <c r="A734" s="1033">
        <v>5213160</v>
      </c>
      <c r="B734" s="1033" t="s">
        <v>2777</v>
      </c>
      <c r="C734" s="1034"/>
      <c r="D734" s="1033"/>
      <c r="E734" s="1033"/>
      <c r="F734" s="1034"/>
      <c r="G734" s="1033"/>
      <c r="H734" s="1033"/>
      <c r="I734" s="1034"/>
      <c r="J734" s="1033"/>
      <c r="K734" s="1033"/>
      <c r="L734" s="1034"/>
      <c r="M734" s="1035"/>
      <c r="N734" s="1035"/>
      <c r="O734" s="1036" t="str">
        <f t="shared" si="149"/>
        <v>6352110114</v>
      </c>
      <c r="P734" s="1033">
        <v>6352110</v>
      </c>
      <c r="Q734" s="1033">
        <v>114</v>
      </c>
      <c r="R734" s="1034"/>
      <c r="S734" s="1035"/>
      <c r="T734" s="1035"/>
      <c r="U734" s="1034"/>
      <c r="V734" s="1035"/>
      <c r="W734" s="1035"/>
      <c r="X734" s="1037" t="str">
        <f t="shared" si="153"/>
        <v>102</v>
      </c>
      <c r="Y734" s="1035">
        <v>10</v>
      </c>
      <c r="Z734" s="1035">
        <f t="shared" si="154"/>
        <v>2</v>
      </c>
      <c r="AA734" s="1035"/>
      <c r="AB734" s="1035"/>
      <c r="AC734" s="1021">
        <v>210334</v>
      </c>
      <c r="AD734" s="1024" t="s">
        <v>2577</v>
      </c>
      <c r="AE734" s="1022">
        <v>0</v>
      </c>
      <c r="AF734" s="1507">
        <v>0</v>
      </c>
      <c r="AG734" s="1022">
        <f t="shared" si="155"/>
        <v>0</v>
      </c>
      <c r="AH734" s="1022">
        <f t="shared" si="156"/>
        <v>0</v>
      </c>
      <c r="AK734" s="448"/>
      <c r="AL734" s="445"/>
    </row>
    <row r="735" spans="1:38" s="467" customFormat="1" ht="12.75" customHeight="1">
      <c r="A735" s="1033">
        <v>5213160</v>
      </c>
      <c r="B735" s="1033" t="s">
        <v>2777</v>
      </c>
      <c r="C735" s="1034"/>
      <c r="D735" s="1033"/>
      <c r="E735" s="1033"/>
      <c r="F735" s="1034"/>
      <c r="G735" s="1033"/>
      <c r="H735" s="1033"/>
      <c r="I735" s="1034"/>
      <c r="J735" s="1033"/>
      <c r="K735" s="1033"/>
      <c r="L735" s="1034"/>
      <c r="M735" s="1035"/>
      <c r="N735" s="1035"/>
      <c r="O735" s="1036" t="str">
        <f t="shared" si="149"/>
        <v>6352110202</v>
      </c>
      <c r="P735" s="1033">
        <v>6352110</v>
      </c>
      <c r="Q735" s="1033">
        <v>202</v>
      </c>
      <c r="R735" s="1034"/>
      <c r="S735" s="1035"/>
      <c r="T735" s="1035"/>
      <c r="U735" s="1034"/>
      <c r="V735" s="1035"/>
      <c r="W735" s="1035"/>
      <c r="X735" s="1037" t="str">
        <f t="shared" si="153"/>
        <v>102</v>
      </c>
      <c r="Y735" s="1035">
        <v>10</v>
      </c>
      <c r="Z735" s="1035">
        <f t="shared" si="154"/>
        <v>2</v>
      </c>
      <c r="AA735" s="1035"/>
      <c r="AB735" s="1035"/>
      <c r="AC735" s="1021">
        <v>210334</v>
      </c>
      <c r="AD735" s="1024" t="s">
        <v>2577</v>
      </c>
      <c r="AE735" s="1022">
        <v>0</v>
      </c>
      <c r="AF735" s="1507">
        <v>-2007281453</v>
      </c>
      <c r="AG735" s="1022">
        <f t="shared" si="155"/>
        <v>-2007281453</v>
      </c>
      <c r="AH735" s="1022">
        <f t="shared" si="156"/>
        <v>-2007281</v>
      </c>
      <c r="AK735" s="448"/>
      <c r="AL735" s="445"/>
    </row>
    <row r="736" spans="1:38" s="467" customFormat="1" ht="12.75" customHeight="1">
      <c r="A736" s="1033">
        <v>5213160</v>
      </c>
      <c r="B736" s="1033" t="s">
        <v>2777</v>
      </c>
      <c r="C736" s="1034"/>
      <c r="D736" s="1033"/>
      <c r="E736" s="1033"/>
      <c r="F736" s="1034"/>
      <c r="G736" s="1033"/>
      <c r="H736" s="1033"/>
      <c r="I736" s="1034"/>
      <c r="J736" s="1033"/>
      <c r="K736" s="1033"/>
      <c r="L736" s="1034"/>
      <c r="M736" s="1035"/>
      <c r="N736" s="1035"/>
      <c r="O736" s="1036" t="str">
        <f t="shared" si="149"/>
        <v>6352110209</v>
      </c>
      <c r="P736" s="1033">
        <v>6352110</v>
      </c>
      <c r="Q736" s="1033">
        <v>209</v>
      </c>
      <c r="R736" s="1034"/>
      <c r="S736" s="1035"/>
      <c r="T736" s="1035"/>
      <c r="U736" s="1034"/>
      <c r="V736" s="1035"/>
      <c r="W736" s="1035"/>
      <c r="X736" s="1037" t="str">
        <f t="shared" si="153"/>
        <v>102</v>
      </c>
      <c r="Y736" s="1035">
        <v>10</v>
      </c>
      <c r="Z736" s="1035">
        <f t="shared" si="154"/>
        <v>2</v>
      </c>
      <c r="AA736" s="1035"/>
      <c r="AB736" s="1035"/>
      <c r="AC736" s="1021">
        <v>210334</v>
      </c>
      <c r="AD736" s="1024" t="s">
        <v>2577</v>
      </c>
      <c r="AE736" s="1022">
        <v>0</v>
      </c>
      <c r="AF736" s="1507">
        <v>0</v>
      </c>
      <c r="AG736" s="1022">
        <f t="shared" si="155"/>
        <v>0</v>
      </c>
      <c r="AH736" s="1022">
        <f t="shared" si="156"/>
        <v>0</v>
      </c>
      <c r="AK736" s="448"/>
      <c r="AL736" s="445"/>
    </row>
    <row r="737" spans="1:38" s="467" customFormat="1" ht="12.75" customHeight="1">
      <c r="A737" s="1033">
        <v>5213160</v>
      </c>
      <c r="B737" s="1033" t="s">
        <v>2777</v>
      </c>
      <c r="C737" s="1034"/>
      <c r="D737" s="1033"/>
      <c r="E737" s="1033"/>
      <c r="F737" s="1034"/>
      <c r="G737" s="1033"/>
      <c r="H737" s="1033"/>
      <c r="I737" s="1034"/>
      <c r="J737" s="1033"/>
      <c r="K737" s="1033"/>
      <c r="L737" s="1034"/>
      <c r="M737" s="1035"/>
      <c r="N737" s="1035"/>
      <c r="O737" s="1036" t="str">
        <f t="shared" si="149"/>
        <v>6352110210</v>
      </c>
      <c r="P737" s="1033">
        <v>6352110</v>
      </c>
      <c r="Q737" s="1033">
        <v>210</v>
      </c>
      <c r="R737" s="1034"/>
      <c r="S737" s="1035"/>
      <c r="T737" s="1035"/>
      <c r="U737" s="1034"/>
      <c r="V737" s="1035"/>
      <c r="W737" s="1035"/>
      <c r="X737" s="1037" t="str">
        <f t="shared" si="153"/>
        <v>102</v>
      </c>
      <c r="Y737" s="1035">
        <v>10</v>
      </c>
      <c r="Z737" s="1035">
        <f t="shared" si="154"/>
        <v>2</v>
      </c>
      <c r="AA737" s="1035"/>
      <c r="AB737" s="1035"/>
      <c r="AC737" s="1021">
        <v>210334</v>
      </c>
      <c r="AD737" s="1024" t="s">
        <v>2577</v>
      </c>
      <c r="AE737" s="1022">
        <v>0</v>
      </c>
      <c r="AF737" s="1507">
        <v>-911069</v>
      </c>
      <c r="AG737" s="1022">
        <f t="shared" si="155"/>
        <v>-911069</v>
      </c>
      <c r="AH737" s="1022">
        <f t="shared" si="156"/>
        <v>-911</v>
      </c>
      <c r="AK737" s="448"/>
      <c r="AL737" s="445"/>
    </row>
    <row r="738" spans="1:38" s="467" customFormat="1" ht="12.75" customHeight="1">
      <c r="A738" s="1033">
        <v>5213160</v>
      </c>
      <c r="B738" s="1033" t="s">
        <v>2777</v>
      </c>
      <c r="C738" s="1034"/>
      <c r="D738" s="1033"/>
      <c r="E738" s="1033"/>
      <c r="F738" s="1034"/>
      <c r="G738" s="1033"/>
      <c r="H738" s="1033"/>
      <c r="I738" s="1034"/>
      <c r="J738" s="1033"/>
      <c r="K738" s="1033"/>
      <c r="L738" s="1034"/>
      <c r="M738" s="1035"/>
      <c r="N738" s="1035"/>
      <c r="O738" s="1036" t="str">
        <f t="shared" si="149"/>
        <v>6352110212</v>
      </c>
      <c r="P738" s="1033">
        <v>6352110</v>
      </c>
      <c r="Q738" s="1033">
        <v>212</v>
      </c>
      <c r="R738" s="1034"/>
      <c r="S738" s="1035"/>
      <c r="T738" s="1035"/>
      <c r="U738" s="1034"/>
      <c r="V738" s="1035"/>
      <c r="W738" s="1035"/>
      <c r="X738" s="1037" t="str">
        <f t="shared" si="153"/>
        <v>102</v>
      </c>
      <c r="Y738" s="1035">
        <v>10</v>
      </c>
      <c r="Z738" s="1035">
        <f t="shared" si="154"/>
        <v>2</v>
      </c>
      <c r="AA738" s="1035"/>
      <c r="AB738" s="1035"/>
      <c r="AC738" s="1021">
        <v>210334</v>
      </c>
      <c r="AD738" s="1024" t="s">
        <v>2577</v>
      </c>
      <c r="AE738" s="1022">
        <v>0</v>
      </c>
      <c r="AF738" s="1507">
        <v>0</v>
      </c>
      <c r="AG738" s="1022">
        <f t="shared" si="155"/>
        <v>0</v>
      </c>
      <c r="AH738" s="1022">
        <f t="shared" si="156"/>
        <v>0</v>
      </c>
      <c r="AK738" s="448"/>
      <c r="AL738" s="445"/>
    </row>
    <row r="739" spans="1:38" s="467" customFormat="1" ht="12.75" customHeight="1">
      <c r="A739" s="1033">
        <v>5213160</v>
      </c>
      <c r="B739" s="1033" t="s">
        <v>2777</v>
      </c>
      <c r="C739" s="1034"/>
      <c r="D739" s="1033"/>
      <c r="E739" s="1033"/>
      <c r="F739" s="1034"/>
      <c r="G739" s="1033"/>
      <c r="H739" s="1033"/>
      <c r="I739" s="1034"/>
      <c r="J739" s="1033"/>
      <c r="K739" s="1033"/>
      <c r="L739" s="1034"/>
      <c r="M739" s="1035"/>
      <c r="N739" s="1035"/>
      <c r="O739" s="1036" t="str">
        <f t="shared" si="149"/>
        <v>6352210102</v>
      </c>
      <c r="P739" s="1033">
        <v>6352210</v>
      </c>
      <c r="Q739" s="1033">
        <v>102</v>
      </c>
      <c r="R739" s="1034"/>
      <c r="S739" s="1035"/>
      <c r="T739" s="1035"/>
      <c r="U739" s="1034"/>
      <c r="V739" s="1035"/>
      <c r="W739" s="1035"/>
      <c r="X739" s="1037" t="str">
        <f t="shared" si="153"/>
        <v>102</v>
      </c>
      <c r="Y739" s="1035">
        <v>10</v>
      </c>
      <c r="Z739" s="1035">
        <f t="shared" si="154"/>
        <v>2</v>
      </c>
      <c r="AA739" s="1035"/>
      <c r="AB739" s="1035"/>
      <c r="AC739" s="27">
        <v>210343</v>
      </c>
      <c r="AD739" s="1024" t="s">
        <v>2607</v>
      </c>
      <c r="AE739" s="1022">
        <v>0</v>
      </c>
      <c r="AF739" s="1191">
        <v>-80399196</v>
      </c>
      <c r="AG739" s="1022">
        <f t="shared" si="155"/>
        <v>-80399196</v>
      </c>
      <c r="AH739" s="1022">
        <f t="shared" si="156"/>
        <v>-80399</v>
      </c>
      <c r="AI739" s="445">
        <f>+AH739+AH740+AH741+AH742+AH743+AH744+AH745+AH746+AH747</f>
        <v>-2695758</v>
      </c>
      <c r="AK739" s="448"/>
      <c r="AL739" s="445"/>
    </row>
    <row r="740" spans="1:38" s="467" customFormat="1" ht="12.75" customHeight="1">
      <c r="A740" s="1033">
        <v>5213160</v>
      </c>
      <c r="B740" s="1033" t="s">
        <v>2777</v>
      </c>
      <c r="C740" s="1034"/>
      <c r="D740" s="1033"/>
      <c r="E740" s="1033"/>
      <c r="F740" s="1034"/>
      <c r="G740" s="1033"/>
      <c r="H740" s="1033"/>
      <c r="I740" s="1034"/>
      <c r="J740" s="1033"/>
      <c r="K740" s="1033"/>
      <c r="L740" s="1034"/>
      <c r="M740" s="1035"/>
      <c r="N740" s="1035"/>
      <c r="O740" s="1036" t="str">
        <f t="shared" si="149"/>
        <v>6352210103</v>
      </c>
      <c r="P740" s="1033">
        <v>6352210</v>
      </c>
      <c r="Q740" s="1033">
        <v>103</v>
      </c>
      <c r="R740" s="1034"/>
      <c r="S740" s="1035"/>
      <c r="T740" s="1035"/>
      <c r="U740" s="1034"/>
      <c r="V740" s="1035"/>
      <c r="W740" s="1035"/>
      <c r="X740" s="1037" t="str">
        <f t="shared" si="153"/>
        <v>102</v>
      </c>
      <c r="Y740" s="1035">
        <v>10</v>
      </c>
      <c r="Z740" s="1035">
        <f t="shared" si="154"/>
        <v>2</v>
      </c>
      <c r="AA740" s="1035"/>
      <c r="AB740" s="1035"/>
      <c r="AC740" s="27">
        <v>210344</v>
      </c>
      <c r="AD740" s="1024" t="s">
        <v>2607</v>
      </c>
      <c r="AE740" s="1022">
        <v>0</v>
      </c>
      <c r="AF740" s="1191">
        <f>-31685561-464905</f>
        <v>-32150466</v>
      </c>
      <c r="AG740" s="1022">
        <f t="shared" si="155"/>
        <v>-32150466</v>
      </c>
      <c r="AH740" s="1022">
        <f t="shared" si="156"/>
        <v>-32150</v>
      </c>
      <c r="AK740" s="448"/>
      <c r="AL740" s="445"/>
    </row>
    <row r="741" spans="1:38" s="467" customFormat="1" ht="12.75" customHeight="1">
      <c r="A741" s="1033">
        <v>5213160</v>
      </c>
      <c r="B741" s="1033" t="s">
        <v>2777</v>
      </c>
      <c r="C741" s="1034"/>
      <c r="D741" s="1033"/>
      <c r="E741" s="1033"/>
      <c r="F741" s="1034"/>
      <c r="G741" s="1033"/>
      <c r="H741" s="1033"/>
      <c r="I741" s="1034"/>
      <c r="J741" s="1033"/>
      <c r="K741" s="1033"/>
      <c r="L741" s="1034"/>
      <c r="M741" s="1035"/>
      <c r="N741" s="1035"/>
      <c r="O741" s="1036" t="str">
        <f t="shared" si="149"/>
        <v>6352210109</v>
      </c>
      <c r="P741" s="1033">
        <v>6352210</v>
      </c>
      <c r="Q741" s="1033">
        <v>109</v>
      </c>
      <c r="R741" s="1034"/>
      <c r="S741" s="1035"/>
      <c r="T741" s="1035"/>
      <c r="U741" s="1034"/>
      <c r="V741" s="1035"/>
      <c r="W741" s="1035"/>
      <c r="X741" s="1037" t="str">
        <f t="shared" si="153"/>
        <v>102</v>
      </c>
      <c r="Y741" s="1035">
        <v>10</v>
      </c>
      <c r="Z741" s="1035">
        <f t="shared" si="154"/>
        <v>2</v>
      </c>
      <c r="AA741" s="1035"/>
      <c r="AB741" s="1035"/>
      <c r="AC741" s="27">
        <v>210345</v>
      </c>
      <c r="AD741" s="1024" t="s">
        <v>2607</v>
      </c>
      <c r="AE741" s="1022">
        <v>0</v>
      </c>
      <c r="AF741" s="1191">
        <v>-13661069</v>
      </c>
      <c r="AG741" s="1022">
        <f t="shared" si="155"/>
        <v>-13661069</v>
      </c>
      <c r="AH741" s="1022">
        <f t="shared" si="156"/>
        <v>-13661</v>
      </c>
      <c r="AK741" s="448"/>
      <c r="AL741" s="445"/>
    </row>
    <row r="742" spans="1:38" s="467" customFormat="1" ht="12.75" customHeight="1">
      <c r="A742" s="1033">
        <v>5213160</v>
      </c>
      <c r="B742" s="1033" t="s">
        <v>2777</v>
      </c>
      <c r="C742" s="1034"/>
      <c r="D742" s="1033"/>
      <c r="E742" s="1033"/>
      <c r="F742" s="1034"/>
      <c r="G742" s="1033"/>
      <c r="H742" s="1033"/>
      <c r="I742" s="1034"/>
      <c r="J742" s="1033"/>
      <c r="K742" s="1033"/>
      <c r="L742" s="1034"/>
      <c r="M742" s="1035"/>
      <c r="N742" s="1035"/>
      <c r="O742" s="1036" t="str">
        <f t="shared" si="149"/>
        <v>6352210110</v>
      </c>
      <c r="P742" s="1033">
        <v>6352210</v>
      </c>
      <c r="Q742" s="1033">
        <v>110</v>
      </c>
      <c r="R742" s="1034"/>
      <c r="S742" s="1035"/>
      <c r="T742" s="1035"/>
      <c r="U742" s="1034"/>
      <c r="V742" s="1035"/>
      <c r="W742" s="1035"/>
      <c r="X742" s="1037" t="str">
        <f t="shared" si="153"/>
        <v>102</v>
      </c>
      <c r="Y742" s="1035">
        <v>10</v>
      </c>
      <c r="Z742" s="1035">
        <f t="shared" si="154"/>
        <v>2</v>
      </c>
      <c r="AA742" s="1035"/>
      <c r="AB742" s="1035"/>
      <c r="AC742" s="27">
        <v>210346</v>
      </c>
      <c r="AD742" s="1024" t="s">
        <v>2607</v>
      </c>
      <c r="AE742" s="1022">
        <v>0</v>
      </c>
      <c r="AF742" s="1191">
        <v>-26728306</v>
      </c>
      <c r="AG742" s="1022">
        <f t="shared" si="155"/>
        <v>-26728306</v>
      </c>
      <c r="AH742" s="1022">
        <f t="shared" si="156"/>
        <v>-26728</v>
      </c>
      <c r="AK742" s="448"/>
      <c r="AL742" s="445"/>
    </row>
    <row r="743" spans="1:38" s="467" customFormat="1" ht="12.75" customHeight="1">
      <c r="A743" s="1033">
        <v>5213160</v>
      </c>
      <c r="B743" s="1033" t="s">
        <v>2777</v>
      </c>
      <c r="C743" s="1034"/>
      <c r="D743" s="1033"/>
      <c r="E743" s="1033"/>
      <c r="F743" s="1034"/>
      <c r="G743" s="1033"/>
      <c r="H743" s="1033"/>
      <c r="I743" s="1034"/>
      <c r="J743" s="1033"/>
      <c r="K743" s="1033"/>
      <c r="L743" s="1034"/>
      <c r="M743" s="1035"/>
      <c r="N743" s="1035"/>
      <c r="O743" s="1036" t="str">
        <f t="shared" si="149"/>
        <v>6352210114</v>
      </c>
      <c r="P743" s="1033">
        <v>6352210</v>
      </c>
      <c r="Q743" s="1033">
        <v>114</v>
      </c>
      <c r="R743" s="1034"/>
      <c r="S743" s="1035"/>
      <c r="T743" s="1035"/>
      <c r="U743" s="1034"/>
      <c r="V743" s="1035"/>
      <c r="W743" s="1035"/>
      <c r="X743" s="1037" t="str">
        <f t="shared" si="153"/>
        <v>102</v>
      </c>
      <c r="Y743" s="1035">
        <v>10</v>
      </c>
      <c r="Z743" s="1035">
        <f t="shared" si="154"/>
        <v>2</v>
      </c>
      <c r="AA743" s="1035"/>
      <c r="AB743" s="1035"/>
      <c r="AC743" s="27">
        <v>210347</v>
      </c>
      <c r="AD743" s="1024" t="s">
        <v>2607</v>
      </c>
      <c r="AE743" s="1022">
        <v>0</v>
      </c>
      <c r="AF743" s="1191">
        <v>-22592482</v>
      </c>
      <c r="AG743" s="1022">
        <f t="shared" si="155"/>
        <v>-22592482</v>
      </c>
      <c r="AH743" s="1022">
        <f t="shared" si="156"/>
        <v>-22592</v>
      </c>
      <c r="AK743" s="448"/>
      <c r="AL743" s="445"/>
    </row>
    <row r="744" spans="1:38" s="467" customFormat="1" ht="12.75" customHeight="1">
      <c r="A744" s="1033">
        <v>5213160</v>
      </c>
      <c r="B744" s="1033" t="s">
        <v>2777</v>
      </c>
      <c r="C744" s="1034"/>
      <c r="D744" s="1033"/>
      <c r="E744" s="1033"/>
      <c r="F744" s="1034"/>
      <c r="G744" s="1033"/>
      <c r="H744" s="1033"/>
      <c r="I744" s="1034"/>
      <c r="J744" s="1033"/>
      <c r="K744" s="1033"/>
      <c r="L744" s="1034"/>
      <c r="M744" s="1035"/>
      <c r="N744" s="1035"/>
      <c r="O744" s="1036" t="str">
        <f t="shared" si="149"/>
        <v>6352210202</v>
      </c>
      <c r="P744" s="1033">
        <v>6352210</v>
      </c>
      <c r="Q744" s="1033">
        <v>202</v>
      </c>
      <c r="R744" s="1034"/>
      <c r="S744" s="1035"/>
      <c r="T744" s="1035"/>
      <c r="U744" s="1034"/>
      <c r="V744" s="1035"/>
      <c r="W744" s="1035"/>
      <c r="X744" s="1037" t="str">
        <f t="shared" si="153"/>
        <v>102</v>
      </c>
      <c r="Y744" s="1035">
        <v>10</v>
      </c>
      <c r="Z744" s="1035">
        <f t="shared" si="154"/>
        <v>2</v>
      </c>
      <c r="AA744" s="1035"/>
      <c r="AB744" s="1035"/>
      <c r="AC744" s="27">
        <v>210348</v>
      </c>
      <c r="AD744" s="1024" t="s">
        <v>2607</v>
      </c>
      <c r="AE744" s="1022">
        <v>0</v>
      </c>
      <c r="AF744" s="1188">
        <f>-2018599483-2271000</f>
        <v>-2020870483</v>
      </c>
      <c r="AG744" s="1022">
        <f t="shared" si="155"/>
        <v>-2020870483</v>
      </c>
      <c r="AH744" s="1022">
        <f t="shared" si="156"/>
        <v>-2020870</v>
      </c>
      <c r="AK744" s="448"/>
      <c r="AL744" s="445"/>
    </row>
    <row r="745" spans="1:38" s="467" customFormat="1" ht="12.75" customHeight="1">
      <c r="A745" s="1033">
        <v>5213160</v>
      </c>
      <c r="B745" s="1033" t="s">
        <v>2777</v>
      </c>
      <c r="C745" s="1034"/>
      <c r="D745" s="1033"/>
      <c r="E745" s="1033"/>
      <c r="F745" s="1034"/>
      <c r="G745" s="1033"/>
      <c r="H745" s="1033"/>
      <c r="I745" s="1034"/>
      <c r="J745" s="1033"/>
      <c r="K745" s="1033"/>
      <c r="L745" s="1034"/>
      <c r="M745" s="1035"/>
      <c r="N745" s="1035"/>
      <c r="O745" s="1036" t="str">
        <f t="shared" si="149"/>
        <v>6352210207</v>
      </c>
      <c r="P745" s="1033">
        <v>6352210</v>
      </c>
      <c r="Q745" s="1033">
        <v>207</v>
      </c>
      <c r="R745" s="1034"/>
      <c r="S745" s="1035"/>
      <c r="T745" s="1035"/>
      <c r="U745" s="1034"/>
      <c r="V745" s="1035"/>
      <c r="W745" s="1035"/>
      <c r="X745" s="1037" t="str">
        <f t="shared" si="153"/>
        <v>102</v>
      </c>
      <c r="Y745" s="1035">
        <v>10</v>
      </c>
      <c r="Z745" s="1035">
        <f t="shared" si="154"/>
        <v>2</v>
      </c>
      <c r="AA745" s="1035"/>
      <c r="AB745" s="1035"/>
      <c r="AC745" s="27">
        <v>210341</v>
      </c>
      <c r="AD745" s="1024" t="s">
        <v>2607</v>
      </c>
      <c r="AE745" s="1022">
        <v>0</v>
      </c>
      <c r="AF745" s="1191">
        <v>-49276533</v>
      </c>
      <c r="AG745" s="1022">
        <f t="shared" si="155"/>
        <v>-49276533</v>
      </c>
      <c r="AH745" s="1022">
        <f t="shared" si="156"/>
        <v>-49277</v>
      </c>
      <c r="AK745" s="448"/>
      <c r="AL745" s="445"/>
    </row>
    <row r="746" spans="1:38" s="467" customFormat="1" ht="12.75" customHeight="1">
      <c r="A746" s="1033">
        <v>5213160</v>
      </c>
      <c r="B746" s="1033" t="s">
        <v>2777</v>
      </c>
      <c r="C746" s="1034"/>
      <c r="D746" s="1033"/>
      <c r="E746" s="1033"/>
      <c r="F746" s="1034"/>
      <c r="G746" s="1033"/>
      <c r="H746" s="1033"/>
      <c r="I746" s="1034"/>
      <c r="J746" s="1033"/>
      <c r="K746" s="1033"/>
      <c r="L746" s="1034"/>
      <c r="M746" s="1035"/>
      <c r="N746" s="1035"/>
      <c r="O746" s="1036" t="str">
        <f t="shared" si="149"/>
        <v>6352210210</v>
      </c>
      <c r="P746" s="1033">
        <v>6352210</v>
      </c>
      <c r="Q746" s="1033">
        <v>210</v>
      </c>
      <c r="R746" s="1034"/>
      <c r="S746" s="1035"/>
      <c r="T746" s="1035"/>
      <c r="U746" s="1034"/>
      <c r="V746" s="1035"/>
      <c r="W746" s="1035"/>
      <c r="X746" s="1037" t="str">
        <f t="shared" si="153"/>
        <v>102</v>
      </c>
      <c r="Y746" s="1035">
        <v>10</v>
      </c>
      <c r="Z746" s="1035">
        <f t="shared" si="154"/>
        <v>2</v>
      </c>
      <c r="AA746" s="1035"/>
      <c r="AB746" s="1035"/>
      <c r="AC746" s="27">
        <v>210349</v>
      </c>
      <c r="AD746" s="1024" t="s">
        <v>2607</v>
      </c>
      <c r="AE746" s="1022">
        <v>0</v>
      </c>
      <c r="AF746" s="1191">
        <v>-58291940</v>
      </c>
      <c r="AG746" s="1022">
        <f t="shared" si="155"/>
        <v>-58291940</v>
      </c>
      <c r="AH746" s="1022">
        <f t="shared" si="156"/>
        <v>-58292</v>
      </c>
      <c r="AK746" s="448"/>
      <c r="AL746" s="445"/>
    </row>
    <row r="747" spans="1:38" s="467" customFormat="1" ht="12.75" customHeight="1">
      <c r="A747" s="1033">
        <v>5213160</v>
      </c>
      <c r="B747" s="1033" t="s">
        <v>2777</v>
      </c>
      <c r="C747" s="1034"/>
      <c r="D747" s="1033"/>
      <c r="E747" s="1033"/>
      <c r="F747" s="1034"/>
      <c r="G747" s="1033"/>
      <c r="H747" s="1033"/>
      <c r="I747" s="1034"/>
      <c r="J747" s="1033"/>
      <c r="K747" s="1033"/>
      <c r="L747" s="1034"/>
      <c r="M747" s="1035"/>
      <c r="N747" s="1035"/>
      <c r="O747" s="1036" t="str">
        <f t="shared" si="149"/>
        <v>6352210212</v>
      </c>
      <c r="P747" s="1033">
        <v>6352210</v>
      </c>
      <c r="Q747" s="1033">
        <v>212</v>
      </c>
      <c r="R747" s="1034"/>
      <c r="S747" s="1035"/>
      <c r="T747" s="1035"/>
      <c r="U747" s="1034"/>
      <c r="V747" s="1035"/>
      <c r="W747" s="1035"/>
      <c r="X747" s="1037" t="str">
        <f t="shared" si="153"/>
        <v>102</v>
      </c>
      <c r="Y747" s="1035">
        <v>10</v>
      </c>
      <c r="Z747" s="1035">
        <f t="shared" si="154"/>
        <v>2</v>
      </c>
      <c r="AA747" s="1035"/>
      <c r="AB747" s="1035"/>
      <c r="AC747" s="27">
        <v>210342</v>
      </c>
      <c r="AD747" s="1024" t="s">
        <v>2607</v>
      </c>
      <c r="AE747" s="1022">
        <v>0</v>
      </c>
      <c r="AF747" s="1191">
        <v>-391789068</v>
      </c>
      <c r="AG747" s="1022">
        <f t="shared" si="155"/>
        <v>-391789068</v>
      </c>
      <c r="AH747" s="1022">
        <f t="shared" si="156"/>
        <v>-391789</v>
      </c>
      <c r="AK747" s="448"/>
      <c r="AL747" s="445"/>
    </row>
    <row r="748" spans="1:38" s="467" customFormat="1" ht="12.75" customHeight="1">
      <c r="A748" s="1033">
        <v>5213140</v>
      </c>
      <c r="B748" s="1033" t="s">
        <v>907</v>
      </c>
      <c r="C748" s="1034"/>
      <c r="D748" s="1033"/>
      <c r="E748" s="1033"/>
      <c r="F748" s="1034"/>
      <c r="G748" s="1033"/>
      <c r="H748" s="1033"/>
      <c r="I748" s="1034"/>
      <c r="J748" s="1033"/>
      <c r="K748" s="1033"/>
      <c r="L748" s="1034"/>
      <c r="M748" s="1035"/>
      <c r="N748" s="1035"/>
      <c r="O748" s="1036"/>
      <c r="P748" s="1033"/>
      <c r="Q748" s="1033"/>
      <c r="R748" s="1034"/>
      <c r="S748" s="1035"/>
      <c r="T748" s="1035"/>
      <c r="U748" s="1034"/>
      <c r="V748" s="1035"/>
      <c r="W748" s="1035"/>
      <c r="X748" s="1037" t="str">
        <f t="shared" ref="X748:X758" si="157">+Y748&amp;Z748</f>
        <v>102</v>
      </c>
      <c r="Y748" s="1035">
        <v>10</v>
      </c>
      <c r="Z748" s="1035">
        <f t="shared" si="154"/>
        <v>2</v>
      </c>
      <c r="AA748" s="1035"/>
      <c r="AB748" s="1035"/>
      <c r="AC748" s="1021">
        <v>210351</v>
      </c>
      <c r="AD748" s="1021" t="s">
        <v>171</v>
      </c>
      <c r="AE748" s="1022">
        <f>VLOOKUP(AC748,[5]Hoja1!$A$10:$K$1393,11,0)</f>
        <v>-318549725</v>
      </c>
      <c r="AF748" s="1022"/>
      <c r="AG748" s="1022">
        <f t="shared" si="155"/>
        <v>-318549725</v>
      </c>
      <c r="AH748" s="1022">
        <f t="shared" si="156"/>
        <v>-318550</v>
      </c>
      <c r="AK748" s="448"/>
      <c r="AL748" s="445"/>
    </row>
    <row r="749" spans="1:38" s="467" customFormat="1" ht="12.75" customHeight="1">
      <c r="A749" s="1033"/>
      <c r="B749" s="1033"/>
      <c r="C749" s="1034" t="str">
        <f t="shared" ref="C749:C797" si="158">+D749&amp;E749</f>
        <v/>
      </c>
      <c r="D749" s="1033"/>
      <c r="E749" s="1033"/>
      <c r="F749" s="1034" t="str">
        <f t="shared" ref="F749:F797" si="159">+G749&amp;H749</f>
        <v/>
      </c>
      <c r="G749" s="1033"/>
      <c r="H749" s="1033"/>
      <c r="I749" s="1034"/>
      <c r="J749" s="1033"/>
      <c r="K749" s="1033"/>
      <c r="L749" s="1034" t="str">
        <f t="shared" ref="L749:L797" si="160">+M749&amp;N749</f>
        <v/>
      </c>
      <c r="M749" s="1035"/>
      <c r="N749" s="1035"/>
      <c r="O749" s="1036" t="str">
        <f t="shared" ref="O749:O797" si="161">+P749&amp;Q749</f>
        <v/>
      </c>
      <c r="P749" s="1033"/>
      <c r="Q749" s="1033"/>
      <c r="R749" s="1034" t="str">
        <f t="shared" ref="R749:R797" si="162">+S749&amp;T749</f>
        <v/>
      </c>
      <c r="S749" s="1035"/>
      <c r="T749" s="1035"/>
      <c r="U749" s="1034" t="str">
        <f t="shared" ref="U749:U797" si="163">+V749&amp;W749</f>
        <v/>
      </c>
      <c r="V749" s="1035"/>
      <c r="W749" s="1035"/>
      <c r="X749" s="1037" t="str">
        <f t="shared" si="157"/>
        <v>102</v>
      </c>
      <c r="Y749" s="1035">
        <v>10</v>
      </c>
      <c r="Z749" s="1035">
        <f t="shared" si="154"/>
        <v>2</v>
      </c>
      <c r="AA749" s="1035"/>
      <c r="AB749" s="1035"/>
      <c r="AC749" s="1021">
        <v>210352</v>
      </c>
      <c r="AD749" s="1021" t="s">
        <v>483</v>
      </c>
      <c r="AE749" s="1022">
        <f>VLOOKUP(AC749,[5]Hoja1!$A$10:$K$1393,11,0)</f>
        <v>0</v>
      </c>
      <c r="AF749" s="1022"/>
      <c r="AG749" s="1022">
        <f t="shared" si="155"/>
        <v>0</v>
      </c>
      <c r="AH749" s="1022">
        <f t="shared" si="156"/>
        <v>0</v>
      </c>
      <c r="AJ749" s="491"/>
      <c r="AK749" s="448"/>
      <c r="AL749" s="445"/>
    </row>
    <row r="750" spans="1:38" s="467" customFormat="1" ht="12.75" customHeight="1">
      <c r="A750" s="1033">
        <v>5213122</v>
      </c>
      <c r="B750" s="1033" t="s">
        <v>2775</v>
      </c>
      <c r="C750" s="1034" t="str">
        <f>+D750&amp;E750</f>
        <v/>
      </c>
      <c r="D750" s="1033"/>
      <c r="E750" s="1033"/>
      <c r="F750" s="1034" t="str">
        <f>+G750&amp;H750</f>
        <v/>
      </c>
      <c r="G750" s="1033"/>
      <c r="H750" s="1033"/>
      <c r="I750" s="1034" t="str">
        <f>+J750&amp;K750</f>
        <v/>
      </c>
      <c r="J750" s="1033"/>
      <c r="K750" s="1033"/>
      <c r="L750" s="1034" t="str">
        <f>+M750&amp;N750</f>
        <v>6402100420</v>
      </c>
      <c r="M750" s="1035">
        <v>6402100</v>
      </c>
      <c r="N750" s="1035">
        <v>420</v>
      </c>
      <c r="O750" s="1036" t="str">
        <f t="shared" si="161"/>
        <v>6352110420</v>
      </c>
      <c r="P750" s="1033">
        <v>6352110</v>
      </c>
      <c r="Q750" s="1033">
        <v>420</v>
      </c>
      <c r="R750" s="1034" t="str">
        <f>+S750&amp;T750</f>
        <v/>
      </c>
      <c r="S750" s="1035"/>
      <c r="T750" s="1035"/>
      <c r="U750" s="1034" t="str">
        <f>+V750&amp;W750</f>
        <v/>
      </c>
      <c r="V750" s="1035"/>
      <c r="W750" s="1035"/>
      <c r="X750" s="1037" t="str">
        <f t="shared" si="157"/>
        <v>102</v>
      </c>
      <c r="Y750" s="1035">
        <v>10</v>
      </c>
      <c r="Z750" s="1035">
        <f t="shared" ref="Z750:Z751" si="164">VALUE(LEFT(AC750,1))</f>
        <v>2</v>
      </c>
      <c r="AA750" s="1035"/>
      <c r="AB750" s="1035"/>
      <c r="AC750" s="1021">
        <v>210354</v>
      </c>
      <c r="AD750" s="1021" t="s">
        <v>3527</v>
      </c>
      <c r="AE750" s="1022">
        <f>VLOOKUP(AC750,[5]Hoja1!$A$10:$K$1393,11,0)</f>
        <v>-1094225099</v>
      </c>
      <c r="AF750" s="1022"/>
      <c r="AG750" s="1022">
        <f t="shared" ref="AG750" si="165">AE750+AF750</f>
        <v>-1094225099</v>
      </c>
      <c r="AH750" s="1022">
        <f t="shared" ref="AH750" si="166">ROUND((AE750+AF750)/$AH$2,0)</f>
        <v>-1094225</v>
      </c>
      <c r="AJ750" s="491"/>
      <c r="AK750" s="448"/>
      <c r="AL750" s="445"/>
    </row>
    <row r="751" spans="1:38" s="467" customFormat="1" ht="12.75" customHeight="1">
      <c r="A751" s="1033">
        <v>5213122</v>
      </c>
      <c r="B751" s="1033" t="s">
        <v>2775</v>
      </c>
      <c r="C751" s="1034"/>
      <c r="D751" s="1033"/>
      <c r="E751" s="1033"/>
      <c r="F751" s="1034"/>
      <c r="G751" s="1033"/>
      <c r="H751" s="1033"/>
      <c r="I751" s="1034"/>
      <c r="J751" s="1033"/>
      <c r="K751" s="1033"/>
      <c r="L751" s="1034"/>
      <c r="M751" s="1035"/>
      <c r="N751" s="1035"/>
      <c r="O751" s="1036"/>
      <c r="P751" s="1033"/>
      <c r="Q751" s="1033"/>
      <c r="R751" s="1034"/>
      <c r="S751" s="1035"/>
      <c r="T751" s="1035"/>
      <c r="U751" s="1034"/>
      <c r="V751" s="1035"/>
      <c r="W751" s="1035"/>
      <c r="X751" s="1037"/>
      <c r="Y751" s="1035"/>
      <c r="Z751" s="1035">
        <f t="shared" si="164"/>
        <v>2</v>
      </c>
      <c r="AA751" s="1035"/>
      <c r="AB751" s="1035"/>
      <c r="AC751" s="1021">
        <v>210355</v>
      </c>
      <c r="AD751" s="1021" t="s">
        <v>3528</v>
      </c>
      <c r="AE751" s="1022">
        <f>VLOOKUP(AC751,[5]Hoja1!$A$10:$K$1393,11,0)</f>
        <v>-960856</v>
      </c>
      <c r="AF751" s="1022"/>
      <c r="AG751" s="1022">
        <f t="shared" ref="AG751" si="167">AE751+AF751</f>
        <v>-960856</v>
      </c>
      <c r="AH751" s="1022">
        <f t="shared" ref="AH751" si="168">ROUND((AE751+AF751)/$AH$2,0)</f>
        <v>-961</v>
      </c>
      <c r="AJ751" s="491"/>
      <c r="AK751" s="448"/>
      <c r="AL751" s="445"/>
    </row>
    <row r="752" spans="1:38" s="467" customFormat="1" ht="12.75" customHeight="1">
      <c r="A752" s="1033">
        <v>5213220</v>
      </c>
      <c r="B752" s="1033" t="s">
        <v>2783</v>
      </c>
      <c r="C752" s="1034" t="str">
        <f t="shared" si="158"/>
        <v/>
      </c>
      <c r="D752" s="1033"/>
      <c r="E752" s="1033"/>
      <c r="F752" s="1034" t="str">
        <f t="shared" si="159"/>
        <v/>
      </c>
      <c r="G752" s="1033"/>
      <c r="H752" s="1033"/>
      <c r="I752" s="1034" t="str">
        <f t="shared" ref="I752:I797" si="169">+J752&amp;K752</f>
        <v/>
      </c>
      <c r="J752" s="1033"/>
      <c r="K752" s="1033"/>
      <c r="L752" s="1034" t="str">
        <f t="shared" si="160"/>
        <v/>
      </c>
      <c r="M752" s="1035"/>
      <c r="N752" s="1035"/>
      <c r="O752" s="1036" t="str">
        <f t="shared" si="161"/>
        <v/>
      </c>
      <c r="P752" s="1033"/>
      <c r="Q752" s="1033"/>
      <c r="R752" s="1034" t="str">
        <f t="shared" si="162"/>
        <v/>
      </c>
      <c r="S752" s="1035"/>
      <c r="T752" s="1035"/>
      <c r="U752" s="1034" t="str">
        <f t="shared" si="163"/>
        <v/>
      </c>
      <c r="V752" s="1035"/>
      <c r="W752" s="1035"/>
      <c r="X752" s="1037" t="str">
        <f t="shared" si="157"/>
        <v>222</v>
      </c>
      <c r="Y752" s="1035">
        <v>22</v>
      </c>
      <c r="Z752" s="1035">
        <f t="shared" si="154"/>
        <v>2</v>
      </c>
      <c r="AA752" s="1035"/>
      <c r="AB752" s="1035"/>
      <c r="AC752" s="1021">
        <v>210401</v>
      </c>
      <c r="AD752" s="1021" t="s">
        <v>1072</v>
      </c>
      <c r="AE752" s="1022">
        <f>VLOOKUP(AC752,[5]Hoja1!$A$10:$K$1393,11,0)</f>
        <v>-2972983091</v>
      </c>
      <c r="AF752" s="1022"/>
      <c r="AG752" s="1022">
        <f t="shared" si="155"/>
        <v>-2972983091</v>
      </c>
      <c r="AH752" s="1022">
        <f t="shared" si="156"/>
        <v>-2972983</v>
      </c>
      <c r="AJ752" s="491"/>
      <c r="AK752" s="448"/>
      <c r="AL752" s="445"/>
    </row>
    <row r="753" spans="1:38" s="467" customFormat="1" ht="12.75" customHeight="1">
      <c r="A753" s="1033"/>
      <c r="B753" s="1033"/>
      <c r="C753" s="1034" t="str">
        <f t="shared" si="158"/>
        <v/>
      </c>
      <c r="D753" s="1033"/>
      <c r="E753" s="1033"/>
      <c r="F753" s="1034" t="str">
        <f t="shared" si="159"/>
        <v/>
      </c>
      <c r="G753" s="1033"/>
      <c r="H753" s="1033"/>
      <c r="I753" s="1034" t="str">
        <f t="shared" si="169"/>
        <v/>
      </c>
      <c r="J753" s="1033"/>
      <c r="K753" s="1033"/>
      <c r="L753" s="1034" t="str">
        <f t="shared" si="160"/>
        <v/>
      </c>
      <c r="M753" s="1035"/>
      <c r="N753" s="1035"/>
      <c r="O753" s="1036" t="str">
        <f t="shared" si="161"/>
        <v/>
      </c>
      <c r="P753" s="1033"/>
      <c r="Q753" s="1033"/>
      <c r="R753" s="1034" t="str">
        <f t="shared" si="162"/>
        <v/>
      </c>
      <c r="S753" s="1035"/>
      <c r="T753" s="1035"/>
      <c r="U753" s="1034" t="str">
        <f t="shared" si="163"/>
        <v/>
      </c>
      <c r="V753" s="1035"/>
      <c r="W753" s="1035"/>
      <c r="X753" s="1037" t="str">
        <f t="shared" si="157"/>
        <v>222</v>
      </c>
      <c r="Y753" s="1035">
        <v>22</v>
      </c>
      <c r="Z753" s="1035">
        <f t="shared" si="154"/>
        <v>2</v>
      </c>
      <c r="AA753" s="1035"/>
      <c r="AB753" s="1035"/>
      <c r="AC753" s="1021">
        <v>210402</v>
      </c>
      <c r="AD753" s="1021" t="s">
        <v>56</v>
      </c>
      <c r="AE753" s="1022">
        <v>0</v>
      </c>
      <c r="AF753" s="1022"/>
      <c r="AG753" s="1022">
        <f t="shared" si="155"/>
        <v>0</v>
      </c>
      <c r="AH753" s="1022">
        <f t="shared" si="156"/>
        <v>0</v>
      </c>
      <c r="AK753" s="448"/>
      <c r="AL753" s="445"/>
    </row>
    <row r="754" spans="1:38" s="467" customFormat="1" ht="12.75" customHeight="1">
      <c r="A754" s="1033">
        <v>5213220</v>
      </c>
      <c r="B754" s="1033" t="s">
        <v>2783</v>
      </c>
      <c r="C754" s="1034" t="str">
        <f t="shared" si="158"/>
        <v/>
      </c>
      <c r="D754" s="1033"/>
      <c r="E754" s="1033"/>
      <c r="F754" s="1034" t="str">
        <f t="shared" si="159"/>
        <v/>
      </c>
      <c r="G754" s="1033"/>
      <c r="H754" s="1033"/>
      <c r="I754" s="1034" t="str">
        <f t="shared" si="169"/>
        <v/>
      </c>
      <c r="J754" s="1033"/>
      <c r="K754" s="1033"/>
      <c r="L754" s="1034" t="str">
        <f t="shared" si="160"/>
        <v/>
      </c>
      <c r="M754" s="1035"/>
      <c r="N754" s="1035"/>
      <c r="O754" s="1036" t="str">
        <f t="shared" si="161"/>
        <v/>
      </c>
      <c r="P754" s="1033"/>
      <c r="Q754" s="1033"/>
      <c r="R754" s="1034" t="str">
        <f t="shared" si="162"/>
        <v/>
      </c>
      <c r="S754" s="1035"/>
      <c r="T754" s="1035"/>
      <c r="U754" s="1034" t="str">
        <f t="shared" si="163"/>
        <v/>
      </c>
      <c r="V754" s="1035"/>
      <c r="W754" s="1035"/>
      <c r="X754" s="1037" t="str">
        <f t="shared" si="157"/>
        <v>222</v>
      </c>
      <c r="Y754" s="1035">
        <v>22</v>
      </c>
      <c r="Z754" s="1035">
        <f t="shared" si="154"/>
        <v>2</v>
      </c>
      <c r="AA754" s="1035"/>
      <c r="AB754" s="1035"/>
      <c r="AC754" s="1021">
        <v>210403</v>
      </c>
      <c r="AD754" s="1021" t="s">
        <v>484</v>
      </c>
      <c r="AE754" s="1022">
        <f>VLOOKUP(AC754,[5]Hoja1!$A$10:$K$1393,11,0)</f>
        <v>-13273375</v>
      </c>
      <c r="AF754" s="1022"/>
      <c r="AG754" s="1022">
        <f t="shared" si="155"/>
        <v>-13273375</v>
      </c>
      <c r="AH754" s="1022">
        <f t="shared" si="156"/>
        <v>-13273</v>
      </c>
      <c r="AK754" s="448"/>
      <c r="AL754" s="445"/>
    </row>
    <row r="755" spans="1:38" s="467" customFormat="1" ht="12.75" customHeight="1">
      <c r="A755" s="1033">
        <v>5213220</v>
      </c>
      <c r="B755" s="1033" t="s">
        <v>2783</v>
      </c>
      <c r="C755" s="1034" t="str">
        <f t="shared" si="158"/>
        <v/>
      </c>
      <c r="D755" s="1033"/>
      <c r="E755" s="1033"/>
      <c r="F755" s="1034" t="str">
        <f t="shared" si="159"/>
        <v/>
      </c>
      <c r="G755" s="1033"/>
      <c r="H755" s="1033"/>
      <c r="I755" s="1034" t="str">
        <f t="shared" si="169"/>
        <v/>
      </c>
      <c r="J755" s="1033"/>
      <c r="K755" s="1033"/>
      <c r="L755" s="1034" t="str">
        <f t="shared" si="160"/>
        <v/>
      </c>
      <c r="M755" s="1035"/>
      <c r="N755" s="1035"/>
      <c r="O755" s="1036" t="str">
        <f t="shared" si="161"/>
        <v/>
      </c>
      <c r="P755" s="1033"/>
      <c r="Q755" s="1033"/>
      <c r="R755" s="1034" t="str">
        <f t="shared" si="162"/>
        <v/>
      </c>
      <c r="S755" s="1035"/>
      <c r="T755" s="1035"/>
      <c r="U755" s="1034" t="str">
        <f t="shared" si="163"/>
        <v/>
      </c>
      <c r="V755" s="1035"/>
      <c r="W755" s="1035"/>
      <c r="X755" s="1037" t="str">
        <f t="shared" si="157"/>
        <v>222</v>
      </c>
      <c r="Y755" s="1035">
        <v>22</v>
      </c>
      <c r="Z755" s="1035">
        <f t="shared" si="154"/>
        <v>2</v>
      </c>
      <c r="AA755" s="1035"/>
      <c r="AB755" s="1035"/>
      <c r="AC755" s="1021">
        <v>210404</v>
      </c>
      <c r="AD755" s="1021" t="s">
        <v>2181</v>
      </c>
      <c r="AE755" s="1022">
        <f>VLOOKUP(AC755,[5]Hoja1!$A$10:$K$1393,11,0)</f>
        <v>0</v>
      </c>
      <c r="AF755" s="1022"/>
      <c r="AG755" s="1022">
        <f t="shared" si="155"/>
        <v>0</v>
      </c>
      <c r="AH755" s="1022">
        <f t="shared" si="156"/>
        <v>0</v>
      </c>
      <c r="AK755" s="448"/>
      <c r="AL755" s="445"/>
    </row>
    <row r="756" spans="1:38" s="467" customFormat="1" ht="12.75" customHeight="1">
      <c r="A756" s="1033">
        <v>5214260</v>
      </c>
      <c r="B756" s="1033" t="s">
        <v>2794</v>
      </c>
      <c r="C756" s="1034" t="str">
        <f t="shared" si="158"/>
        <v/>
      </c>
      <c r="D756" s="1033"/>
      <c r="E756" s="1033"/>
      <c r="F756" s="1034" t="str">
        <f t="shared" si="159"/>
        <v/>
      </c>
      <c r="G756" s="1033"/>
      <c r="H756" s="1033"/>
      <c r="I756" s="1034" t="str">
        <f t="shared" si="169"/>
        <v/>
      </c>
      <c r="J756" s="1033"/>
      <c r="K756" s="1033"/>
      <c r="L756" s="1034" t="str">
        <f t="shared" si="160"/>
        <v/>
      </c>
      <c r="M756" s="1035"/>
      <c r="N756" s="1035"/>
      <c r="O756" s="1036" t="str">
        <f t="shared" si="161"/>
        <v/>
      </c>
      <c r="P756" s="1033"/>
      <c r="Q756" s="1033"/>
      <c r="R756" s="1034" t="str">
        <f t="shared" si="162"/>
        <v/>
      </c>
      <c r="S756" s="1035"/>
      <c r="T756" s="1035"/>
      <c r="U756" s="1034" t="str">
        <f t="shared" si="163"/>
        <v/>
      </c>
      <c r="V756" s="1035"/>
      <c r="W756" s="1035"/>
      <c r="X756" s="1037" t="str">
        <f t="shared" si="157"/>
        <v>222</v>
      </c>
      <c r="Y756" s="1035">
        <v>22</v>
      </c>
      <c r="Z756" s="1035">
        <f t="shared" si="154"/>
        <v>2</v>
      </c>
      <c r="AA756" s="1033" t="s">
        <v>2906</v>
      </c>
      <c r="AB756" s="1035"/>
      <c r="AC756" s="1021">
        <v>210501</v>
      </c>
      <c r="AD756" s="1021" t="s">
        <v>57</v>
      </c>
      <c r="AE756" s="1022">
        <v>0</v>
      </c>
      <c r="AF756" s="1022"/>
      <c r="AG756" s="1022">
        <f t="shared" si="155"/>
        <v>0</v>
      </c>
      <c r="AH756" s="1022">
        <f t="shared" si="156"/>
        <v>0</v>
      </c>
      <c r="AK756" s="448"/>
      <c r="AL756" s="445"/>
    </row>
    <row r="757" spans="1:38" s="467" customFormat="1" ht="12.75" customHeight="1">
      <c r="A757" s="1033">
        <v>5214260</v>
      </c>
      <c r="B757" s="1033" t="s">
        <v>2794</v>
      </c>
      <c r="C757" s="1034" t="str">
        <f t="shared" si="158"/>
        <v/>
      </c>
      <c r="D757" s="1033"/>
      <c r="E757" s="1033"/>
      <c r="F757" s="1034" t="str">
        <f t="shared" si="159"/>
        <v/>
      </c>
      <c r="G757" s="1033"/>
      <c r="H757" s="1033"/>
      <c r="I757" s="1034" t="str">
        <f t="shared" si="169"/>
        <v/>
      </c>
      <c r="J757" s="1033"/>
      <c r="K757" s="1033"/>
      <c r="L757" s="1034" t="str">
        <f t="shared" si="160"/>
        <v/>
      </c>
      <c r="M757" s="1035"/>
      <c r="N757" s="1035"/>
      <c r="O757" s="1036" t="str">
        <f t="shared" si="161"/>
        <v/>
      </c>
      <c r="P757" s="1033"/>
      <c r="Q757" s="1033"/>
      <c r="R757" s="1034" t="str">
        <f t="shared" si="162"/>
        <v/>
      </c>
      <c r="S757" s="1035"/>
      <c r="T757" s="1035"/>
      <c r="U757" s="1034" t="str">
        <f t="shared" si="163"/>
        <v/>
      </c>
      <c r="V757" s="1035"/>
      <c r="W757" s="1035"/>
      <c r="X757" s="1037" t="str">
        <f t="shared" si="157"/>
        <v>222</v>
      </c>
      <c r="Y757" s="1035">
        <v>22</v>
      </c>
      <c r="Z757" s="1035">
        <f t="shared" si="154"/>
        <v>2</v>
      </c>
      <c r="AA757" s="1033" t="s">
        <v>2906</v>
      </c>
      <c r="AB757" s="1035"/>
      <c r="AC757" s="1021">
        <v>210502</v>
      </c>
      <c r="AD757" s="1021" t="s">
        <v>58</v>
      </c>
      <c r="AE757" s="1022">
        <f>VLOOKUP(AC757,[5]Hoja1!$A$10:$K$1393,11,0)</f>
        <v>0</v>
      </c>
      <c r="AF757" s="1022"/>
      <c r="AG757" s="1022">
        <f t="shared" si="155"/>
        <v>0</v>
      </c>
      <c r="AH757" s="1022">
        <f t="shared" si="156"/>
        <v>0</v>
      </c>
      <c r="AI757" s="445">
        <f>+AH758+AH821+AH840+AH857+AH860+AH862+AH865+AH867+AH869+AH886+AH887+AH890+AH894+AH895+AH899+AH900+AH906+AH910+AH914+AH917+AH921+AH947+AH949+AH950+AH956+AH958+AH959+AH962+AH963+AH965+AH966+AH969+AH972+AH974+AH977+AH978+AH1001</f>
        <v>-13223744</v>
      </c>
      <c r="AK757" s="448"/>
      <c r="AL757" s="445"/>
    </row>
    <row r="758" spans="1:38" s="467" customFormat="1" ht="12.75" customHeight="1">
      <c r="A758" s="1033">
        <v>5214220</v>
      </c>
      <c r="B758" s="1033" t="s">
        <v>2792</v>
      </c>
      <c r="C758" s="1034" t="str">
        <f t="shared" si="158"/>
        <v/>
      </c>
      <c r="D758" s="1033"/>
      <c r="E758" s="1033"/>
      <c r="F758" s="1034" t="str">
        <f t="shared" si="159"/>
        <v/>
      </c>
      <c r="G758" s="1033"/>
      <c r="H758" s="1033"/>
      <c r="I758" s="1034" t="str">
        <f t="shared" si="169"/>
        <v/>
      </c>
      <c r="J758" s="1033"/>
      <c r="K758" s="1033"/>
      <c r="L758" s="1034" t="str">
        <f t="shared" si="160"/>
        <v/>
      </c>
      <c r="M758" s="1035"/>
      <c r="N758" s="1035"/>
      <c r="O758" s="1036" t="str">
        <f t="shared" si="161"/>
        <v/>
      </c>
      <c r="P758" s="1033"/>
      <c r="Q758" s="1033"/>
      <c r="R758" s="1034" t="str">
        <f t="shared" si="162"/>
        <v/>
      </c>
      <c r="S758" s="1035"/>
      <c r="T758" s="1035"/>
      <c r="U758" s="1034" t="str">
        <f t="shared" si="163"/>
        <v/>
      </c>
      <c r="V758" s="1035"/>
      <c r="W758" s="1035"/>
      <c r="X758" s="1037" t="str">
        <f t="shared" si="157"/>
        <v>222</v>
      </c>
      <c r="Y758" s="1035">
        <v>22</v>
      </c>
      <c r="Z758" s="1035">
        <f t="shared" si="154"/>
        <v>2</v>
      </c>
      <c r="AA758" s="1033"/>
      <c r="AB758" s="1033"/>
      <c r="AC758" s="1021">
        <v>210503</v>
      </c>
      <c r="AD758" s="1021" t="s">
        <v>155</v>
      </c>
      <c r="AE758" s="1022">
        <f>VLOOKUP(AC758,[5]Hoja1!$A$10:$K$1393,11,0)</f>
        <v>-120227705</v>
      </c>
      <c r="AF758" s="1022"/>
      <c r="AG758" s="1022">
        <f t="shared" si="155"/>
        <v>-120227705</v>
      </c>
      <c r="AH758" s="1022">
        <f t="shared" si="156"/>
        <v>-120228</v>
      </c>
      <c r="AK758" s="448"/>
      <c r="AL758" s="445"/>
    </row>
    <row r="759" spans="1:38" s="467" customFormat="1" ht="12.75" customHeight="1">
      <c r="A759" s="1033">
        <v>5214260</v>
      </c>
      <c r="B759" s="1033" t="s">
        <v>2794</v>
      </c>
      <c r="C759" s="1034"/>
      <c r="D759" s="1033"/>
      <c r="E759" s="1033"/>
      <c r="F759" s="1034"/>
      <c r="G759" s="1033"/>
      <c r="H759" s="1033"/>
      <c r="I759" s="1034"/>
      <c r="J759" s="1033"/>
      <c r="K759" s="1033"/>
      <c r="L759" s="1034"/>
      <c r="M759" s="1035"/>
      <c r="N759" s="1035"/>
      <c r="O759" s="1036"/>
      <c r="P759" s="1033"/>
      <c r="Q759" s="1033"/>
      <c r="R759" s="1034"/>
      <c r="S759" s="1035"/>
      <c r="T759" s="1035"/>
      <c r="U759" s="1034"/>
      <c r="V759" s="1035"/>
      <c r="W759" s="1035"/>
      <c r="X759" s="1037"/>
      <c r="Y759" s="1035"/>
      <c r="Z759" s="1035">
        <f t="shared" si="154"/>
        <v>2</v>
      </c>
      <c r="AA759" s="1033" t="s">
        <v>2906</v>
      </c>
      <c r="AB759" s="1033" t="s">
        <v>2883</v>
      </c>
      <c r="AC759" s="1021">
        <v>210513</v>
      </c>
      <c r="AD759" s="1021" t="s">
        <v>1097</v>
      </c>
      <c r="AE759" s="1022">
        <f>VLOOKUP(AC759,[5]Hoja1!$A$10:$K$1393,11,0)</f>
        <v>-8919573</v>
      </c>
      <c r="AF759" s="1022"/>
      <c r="AG759" s="1022">
        <f t="shared" si="155"/>
        <v>-8919573</v>
      </c>
      <c r="AH759" s="1022">
        <f t="shared" si="156"/>
        <v>-8920</v>
      </c>
      <c r="AK759" s="448"/>
      <c r="AL759" s="445"/>
    </row>
    <row r="760" spans="1:38" s="467" customFormat="1" ht="12.75" customHeight="1">
      <c r="A760" s="1033">
        <v>5214260</v>
      </c>
      <c r="B760" s="1033" t="s">
        <v>2794</v>
      </c>
      <c r="C760" s="1034"/>
      <c r="D760" s="1033"/>
      <c r="E760" s="1033"/>
      <c r="F760" s="1034"/>
      <c r="G760" s="1033"/>
      <c r="H760" s="1033"/>
      <c r="I760" s="1034"/>
      <c r="J760" s="1033"/>
      <c r="K760" s="1033"/>
      <c r="L760" s="1034"/>
      <c r="M760" s="1035"/>
      <c r="N760" s="1035"/>
      <c r="O760" s="1036"/>
      <c r="P760" s="1033"/>
      <c r="Q760" s="1033"/>
      <c r="R760" s="1034"/>
      <c r="S760" s="1035"/>
      <c r="T760" s="1035"/>
      <c r="U760" s="1034"/>
      <c r="V760" s="1035"/>
      <c r="W760" s="1035"/>
      <c r="X760" s="1037"/>
      <c r="Y760" s="1035"/>
      <c r="Z760" s="1035">
        <f t="shared" si="154"/>
        <v>2</v>
      </c>
      <c r="AA760" s="1033"/>
      <c r="AB760" s="1033"/>
      <c r="AC760" s="1021">
        <v>210532</v>
      </c>
      <c r="AD760" s="1021" t="s">
        <v>3091</v>
      </c>
      <c r="AE760" s="1022">
        <f>VLOOKUP(AC760,[5]Hoja1!$A$10:$K$1393,11,0)</f>
        <v>0</v>
      </c>
      <c r="AF760" s="1022"/>
      <c r="AG760" s="1022">
        <f t="shared" ref="AG760" si="170">AE760+AF760</f>
        <v>0</v>
      </c>
      <c r="AH760" s="1022">
        <f t="shared" ref="AH760" si="171">ROUND((AE760+AF760)/$AH$2,0)</f>
        <v>0</v>
      </c>
      <c r="AK760" s="448"/>
      <c r="AL760" s="445"/>
    </row>
    <row r="761" spans="1:38" s="467" customFormat="1" ht="12.75" customHeight="1">
      <c r="A761" s="1033"/>
      <c r="B761" s="1033"/>
      <c r="C761" s="1034" t="str">
        <f t="shared" si="158"/>
        <v/>
      </c>
      <c r="D761" s="1033"/>
      <c r="E761" s="1033"/>
      <c r="F761" s="1034" t="str">
        <f t="shared" si="159"/>
        <v/>
      </c>
      <c r="G761" s="1033"/>
      <c r="H761" s="1033"/>
      <c r="I761" s="1034" t="str">
        <f t="shared" si="169"/>
        <v/>
      </c>
      <c r="J761" s="1033"/>
      <c r="K761" s="1033"/>
      <c r="L761" s="1034" t="str">
        <f t="shared" si="160"/>
        <v/>
      </c>
      <c r="M761" s="1035"/>
      <c r="N761" s="1035"/>
      <c r="O761" s="1036" t="str">
        <f t="shared" si="161"/>
        <v/>
      </c>
      <c r="P761" s="1033"/>
      <c r="Q761" s="1033"/>
      <c r="R761" s="1034" t="str">
        <f t="shared" si="162"/>
        <v/>
      </c>
      <c r="S761" s="1035"/>
      <c r="T761" s="1035"/>
      <c r="U761" s="1034" t="str">
        <f t="shared" si="163"/>
        <v/>
      </c>
      <c r="V761" s="1035"/>
      <c r="W761" s="1035"/>
      <c r="X761" s="1037" t="str">
        <f t="shared" ref="X761:X771" si="172">+Y761&amp;Z761</f>
        <v>2</v>
      </c>
      <c r="Y761" s="1035"/>
      <c r="Z761" s="1035">
        <f t="shared" si="154"/>
        <v>2</v>
      </c>
      <c r="AA761" s="1035"/>
      <c r="AB761" s="1035"/>
      <c r="AC761" s="1021">
        <v>210701</v>
      </c>
      <c r="AD761" s="1021" t="s">
        <v>830</v>
      </c>
      <c r="AE761" s="1022">
        <v>0</v>
      </c>
      <c r="AF761" s="1022"/>
      <c r="AG761" s="1022">
        <f t="shared" si="155"/>
        <v>0</v>
      </c>
      <c r="AH761" s="1022">
        <f t="shared" si="156"/>
        <v>0</v>
      </c>
      <c r="AK761" s="448"/>
      <c r="AL761" s="445"/>
    </row>
    <row r="762" spans="1:38" s="467" customFormat="1" ht="12.75" customHeight="1">
      <c r="A762" s="1033"/>
      <c r="B762" s="1033"/>
      <c r="C762" s="1034" t="str">
        <f t="shared" si="158"/>
        <v/>
      </c>
      <c r="D762" s="1033"/>
      <c r="E762" s="1033"/>
      <c r="F762" s="1034" t="str">
        <f t="shared" si="159"/>
        <v/>
      </c>
      <c r="G762" s="1033"/>
      <c r="H762" s="1033"/>
      <c r="I762" s="1034" t="str">
        <f t="shared" si="169"/>
        <v/>
      </c>
      <c r="J762" s="1033"/>
      <c r="K762" s="1033"/>
      <c r="L762" s="1034" t="str">
        <f t="shared" si="160"/>
        <v/>
      </c>
      <c r="M762" s="1035"/>
      <c r="N762" s="1035"/>
      <c r="O762" s="1036" t="str">
        <f t="shared" si="161"/>
        <v/>
      </c>
      <c r="P762" s="1033"/>
      <c r="Q762" s="1033"/>
      <c r="R762" s="1034" t="str">
        <f t="shared" si="162"/>
        <v/>
      </c>
      <c r="S762" s="1035"/>
      <c r="T762" s="1035"/>
      <c r="U762" s="1034" t="str">
        <f t="shared" si="163"/>
        <v/>
      </c>
      <c r="V762" s="1035"/>
      <c r="W762" s="1035"/>
      <c r="X762" s="1037" t="str">
        <f t="shared" si="172"/>
        <v>2</v>
      </c>
      <c r="Y762" s="1035"/>
      <c r="Z762" s="1035">
        <f t="shared" si="154"/>
        <v>2</v>
      </c>
      <c r="AA762" s="1035"/>
      <c r="AB762" s="1035"/>
      <c r="AC762" s="1021">
        <v>210702</v>
      </c>
      <c r="AD762" s="1021" t="s">
        <v>1777</v>
      </c>
      <c r="AE762" s="1022">
        <v>0</v>
      </c>
      <c r="AF762" s="1022"/>
      <c r="AG762" s="1022">
        <f t="shared" si="155"/>
        <v>0</v>
      </c>
      <c r="AH762" s="1022">
        <f t="shared" si="156"/>
        <v>0</v>
      </c>
      <c r="AK762" s="448"/>
      <c r="AL762" s="445"/>
    </row>
    <row r="763" spans="1:38" s="467" customFormat="1" ht="12.75" customHeight="1">
      <c r="A763" s="1033"/>
      <c r="B763" s="1033"/>
      <c r="C763" s="1034" t="str">
        <f t="shared" si="158"/>
        <v/>
      </c>
      <c r="D763" s="1033"/>
      <c r="E763" s="1033"/>
      <c r="F763" s="1034" t="str">
        <f t="shared" si="159"/>
        <v/>
      </c>
      <c r="G763" s="1033"/>
      <c r="H763" s="1033"/>
      <c r="I763" s="1034" t="str">
        <f t="shared" si="169"/>
        <v/>
      </c>
      <c r="J763" s="1033"/>
      <c r="K763" s="1033"/>
      <c r="L763" s="1034" t="str">
        <f t="shared" si="160"/>
        <v/>
      </c>
      <c r="M763" s="1035"/>
      <c r="N763" s="1035"/>
      <c r="O763" s="1036" t="str">
        <f t="shared" si="161"/>
        <v/>
      </c>
      <c r="P763" s="1033"/>
      <c r="Q763" s="1033"/>
      <c r="R763" s="1034" t="str">
        <f t="shared" si="162"/>
        <v/>
      </c>
      <c r="S763" s="1035"/>
      <c r="T763" s="1035"/>
      <c r="U763" s="1034" t="str">
        <f t="shared" si="163"/>
        <v/>
      </c>
      <c r="V763" s="1035"/>
      <c r="W763" s="1035"/>
      <c r="X763" s="1037" t="str">
        <f t="shared" si="172"/>
        <v>2</v>
      </c>
      <c r="Y763" s="1035"/>
      <c r="Z763" s="1035">
        <f t="shared" si="154"/>
        <v>2</v>
      </c>
      <c r="AA763" s="1035"/>
      <c r="AB763" s="1035"/>
      <c r="AC763" s="1021">
        <v>210703</v>
      </c>
      <c r="AD763" s="1021" t="s">
        <v>1778</v>
      </c>
      <c r="AE763" s="1022">
        <v>0</v>
      </c>
      <c r="AF763" s="1022"/>
      <c r="AG763" s="1022">
        <f t="shared" si="155"/>
        <v>0</v>
      </c>
      <c r="AH763" s="1022">
        <f t="shared" si="156"/>
        <v>0</v>
      </c>
      <c r="AK763" s="448"/>
      <c r="AL763" s="445"/>
    </row>
    <row r="764" spans="1:38" s="467" customFormat="1" ht="12.75" customHeight="1">
      <c r="A764" s="1033"/>
      <c r="B764" s="1033"/>
      <c r="C764" s="1034" t="str">
        <f t="shared" si="158"/>
        <v/>
      </c>
      <c r="D764" s="1033"/>
      <c r="E764" s="1033"/>
      <c r="F764" s="1034" t="str">
        <f t="shared" si="159"/>
        <v/>
      </c>
      <c r="G764" s="1033"/>
      <c r="H764" s="1033"/>
      <c r="I764" s="1034" t="str">
        <f t="shared" si="169"/>
        <v/>
      </c>
      <c r="J764" s="1033"/>
      <c r="K764" s="1033"/>
      <c r="L764" s="1034" t="str">
        <f t="shared" si="160"/>
        <v/>
      </c>
      <c r="M764" s="1035"/>
      <c r="N764" s="1035"/>
      <c r="O764" s="1036" t="str">
        <f t="shared" si="161"/>
        <v/>
      </c>
      <c r="P764" s="1033"/>
      <c r="Q764" s="1033"/>
      <c r="R764" s="1034" t="str">
        <f t="shared" si="162"/>
        <v/>
      </c>
      <c r="S764" s="1035"/>
      <c r="T764" s="1035"/>
      <c r="U764" s="1034" t="str">
        <f t="shared" si="163"/>
        <v/>
      </c>
      <c r="V764" s="1035"/>
      <c r="W764" s="1035"/>
      <c r="X764" s="1037" t="str">
        <f t="shared" si="172"/>
        <v>2</v>
      </c>
      <c r="Y764" s="1035"/>
      <c r="Z764" s="1035">
        <f t="shared" si="154"/>
        <v>2</v>
      </c>
      <c r="AA764" s="1035"/>
      <c r="AB764" s="1035"/>
      <c r="AC764" s="1021">
        <v>210704</v>
      </c>
      <c r="AD764" s="1021" t="s">
        <v>1779</v>
      </c>
      <c r="AE764" s="1022">
        <v>0</v>
      </c>
      <c r="AF764" s="1022"/>
      <c r="AG764" s="1022">
        <f t="shared" si="155"/>
        <v>0</v>
      </c>
      <c r="AH764" s="1022">
        <f t="shared" si="156"/>
        <v>0</v>
      </c>
      <c r="AK764" s="448"/>
      <c r="AL764" s="445"/>
    </row>
    <row r="765" spans="1:38" s="467" customFormat="1" ht="12.75" customHeight="1">
      <c r="A765" s="1033"/>
      <c r="B765" s="1033"/>
      <c r="C765" s="1034" t="str">
        <f t="shared" si="158"/>
        <v/>
      </c>
      <c r="D765" s="1033"/>
      <c r="E765" s="1033"/>
      <c r="F765" s="1034" t="str">
        <f t="shared" si="159"/>
        <v/>
      </c>
      <c r="G765" s="1033"/>
      <c r="H765" s="1033"/>
      <c r="I765" s="1034" t="str">
        <f t="shared" si="169"/>
        <v/>
      </c>
      <c r="J765" s="1033"/>
      <c r="K765" s="1033"/>
      <c r="L765" s="1034" t="str">
        <f t="shared" si="160"/>
        <v/>
      </c>
      <c r="M765" s="1035"/>
      <c r="N765" s="1035"/>
      <c r="O765" s="1036" t="str">
        <f t="shared" si="161"/>
        <v/>
      </c>
      <c r="P765" s="1033"/>
      <c r="Q765" s="1033"/>
      <c r="R765" s="1034" t="str">
        <f t="shared" si="162"/>
        <v/>
      </c>
      <c r="S765" s="1035"/>
      <c r="T765" s="1035"/>
      <c r="U765" s="1034" t="str">
        <f t="shared" si="163"/>
        <v/>
      </c>
      <c r="V765" s="1035"/>
      <c r="W765" s="1035"/>
      <c r="X765" s="1037" t="str">
        <f t="shared" si="172"/>
        <v>2</v>
      </c>
      <c r="Y765" s="1035"/>
      <c r="Z765" s="1035">
        <f t="shared" si="154"/>
        <v>2</v>
      </c>
      <c r="AA765" s="1035"/>
      <c r="AB765" s="1035"/>
      <c r="AC765" s="1021">
        <v>210705</v>
      </c>
      <c r="AD765" s="1021" t="s">
        <v>1780</v>
      </c>
      <c r="AE765" s="1022">
        <v>0</v>
      </c>
      <c r="AF765" s="1022"/>
      <c r="AG765" s="1022">
        <f t="shared" si="155"/>
        <v>0</v>
      </c>
      <c r="AH765" s="1022">
        <f t="shared" si="156"/>
        <v>0</v>
      </c>
      <c r="AK765" s="448"/>
      <c r="AL765" s="445"/>
    </row>
    <row r="766" spans="1:38" s="467" customFormat="1" ht="12.75" customHeight="1">
      <c r="A766" s="1033"/>
      <c r="B766" s="1033"/>
      <c r="C766" s="1034" t="str">
        <f t="shared" si="158"/>
        <v/>
      </c>
      <c r="D766" s="1033"/>
      <c r="E766" s="1033"/>
      <c r="F766" s="1034" t="str">
        <f t="shared" si="159"/>
        <v/>
      </c>
      <c r="G766" s="1033"/>
      <c r="H766" s="1033"/>
      <c r="I766" s="1034" t="str">
        <f t="shared" si="169"/>
        <v/>
      </c>
      <c r="J766" s="1033"/>
      <c r="K766" s="1033"/>
      <c r="L766" s="1034" t="str">
        <f t="shared" si="160"/>
        <v/>
      </c>
      <c r="M766" s="1035"/>
      <c r="N766" s="1035"/>
      <c r="O766" s="1036" t="str">
        <f t="shared" si="161"/>
        <v/>
      </c>
      <c r="P766" s="1033"/>
      <c r="Q766" s="1033"/>
      <c r="R766" s="1034" t="str">
        <f t="shared" si="162"/>
        <v/>
      </c>
      <c r="S766" s="1035"/>
      <c r="T766" s="1035"/>
      <c r="U766" s="1034" t="str">
        <f t="shared" si="163"/>
        <v/>
      </c>
      <c r="V766" s="1035"/>
      <c r="W766" s="1035"/>
      <c r="X766" s="1037" t="str">
        <f t="shared" si="172"/>
        <v>2</v>
      </c>
      <c r="Y766" s="1035"/>
      <c r="Z766" s="1035">
        <f t="shared" si="154"/>
        <v>2</v>
      </c>
      <c r="AA766" s="1035"/>
      <c r="AB766" s="1035"/>
      <c r="AC766" s="1021">
        <v>210706</v>
      </c>
      <c r="AD766" s="1021" t="s">
        <v>2002</v>
      </c>
      <c r="AE766" s="1022">
        <v>0</v>
      </c>
      <c r="AF766" s="1022"/>
      <c r="AG766" s="1022">
        <f t="shared" si="155"/>
        <v>0</v>
      </c>
      <c r="AH766" s="1022">
        <f t="shared" si="156"/>
        <v>0</v>
      </c>
      <c r="AK766" s="448"/>
      <c r="AL766" s="445"/>
    </row>
    <row r="767" spans="1:38" s="467" customFormat="1" ht="12.75" customHeight="1">
      <c r="A767" s="1033"/>
      <c r="B767" s="1033"/>
      <c r="C767" s="1034" t="str">
        <f t="shared" si="158"/>
        <v/>
      </c>
      <c r="D767" s="1033"/>
      <c r="E767" s="1033"/>
      <c r="F767" s="1034" t="str">
        <f t="shared" si="159"/>
        <v/>
      </c>
      <c r="G767" s="1033"/>
      <c r="H767" s="1033"/>
      <c r="I767" s="1034" t="str">
        <f t="shared" si="169"/>
        <v/>
      </c>
      <c r="J767" s="1033"/>
      <c r="K767" s="1033"/>
      <c r="L767" s="1034" t="str">
        <f t="shared" si="160"/>
        <v/>
      </c>
      <c r="M767" s="1035"/>
      <c r="N767" s="1035"/>
      <c r="O767" s="1036" t="str">
        <f t="shared" si="161"/>
        <v/>
      </c>
      <c r="P767" s="1033"/>
      <c r="Q767" s="1033"/>
      <c r="R767" s="1034" t="str">
        <f t="shared" si="162"/>
        <v/>
      </c>
      <c r="S767" s="1035"/>
      <c r="T767" s="1035"/>
      <c r="U767" s="1034" t="str">
        <f t="shared" si="163"/>
        <v/>
      </c>
      <c r="V767" s="1035"/>
      <c r="W767" s="1035"/>
      <c r="X767" s="1037" t="str">
        <f t="shared" si="172"/>
        <v>2</v>
      </c>
      <c r="Y767" s="1035"/>
      <c r="Z767" s="1035">
        <f t="shared" si="154"/>
        <v>2</v>
      </c>
      <c r="AA767" s="1035"/>
      <c r="AB767" s="1035"/>
      <c r="AC767" s="1021">
        <v>210707</v>
      </c>
      <c r="AD767" s="1021" t="s">
        <v>1718</v>
      </c>
      <c r="AE767" s="1022">
        <v>0</v>
      </c>
      <c r="AF767" s="1022"/>
      <c r="AG767" s="1022">
        <f t="shared" si="155"/>
        <v>0</v>
      </c>
      <c r="AH767" s="1022">
        <f t="shared" si="156"/>
        <v>0</v>
      </c>
      <c r="AK767" s="448"/>
      <c r="AL767" s="445"/>
    </row>
    <row r="768" spans="1:38" s="467" customFormat="1" ht="12.75" customHeight="1">
      <c r="A768" s="1033"/>
      <c r="B768" s="1033"/>
      <c r="C768" s="1034" t="str">
        <f t="shared" si="158"/>
        <v/>
      </c>
      <c r="D768" s="1033"/>
      <c r="E768" s="1033"/>
      <c r="F768" s="1034" t="str">
        <f t="shared" si="159"/>
        <v/>
      </c>
      <c r="G768" s="1033"/>
      <c r="H768" s="1033"/>
      <c r="I768" s="1034" t="str">
        <f t="shared" si="169"/>
        <v/>
      </c>
      <c r="J768" s="1033"/>
      <c r="K768" s="1033"/>
      <c r="L768" s="1034" t="str">
        <f t="shared" si="160"/>
        <v/>
      </c>
      <c r="M768" s="1035"/>
      <c r="N768" s="1035"/>
      <c r="O768" s="1036" t="str">
        <f t="shared" si="161"/>
        <v/>
      </c>
      <c r="P768" s="1033"/>
      <c r="Q768" s="1033"/>
      <c r="R768" s="1034" t="str">
        <f t="shared" si="162"/>
        <v/>
      </c>
      <c r="S768" s="1035"/>
      <c r="T768" s="1035"/>
      <c r="U768" s="1034" t="str">
        <f t="shared" si="163"/>
        <v/>
      </c>
      <c r="V768" s="1035"/>
      <c r="W768" s="1035"/>
      <c r="X768" s="1037" t="str">
        <f t="shared" si="172"/>
        <v>2</v>
      </c>
      <c r="Y768" s="1035"/>
      <c r="Z768" s="1035">
        <f t="shared" si="154"/>
        <v>2</v>
      </c>
      <c r="AA768" s="1035"/>
      <c r="AB768" s="1035"/>
      <c r="AC768" s="1021">
        <v>210708</v>
      </c>
      <c r="AD768" s="1021" t="s">
        <v>59</v>
      </c>
      <c r="AE768" s="1022">
        <f>VLOOKUP(AC768,[5]Hoja1!$A$10:$K$1393,11,0)</f>
        <v>0</v>
      </c>
      <c r="AF768" s="1022"/>
      <c r="AG768" s="1022">
        <f t="shared" si="155"/>
        <v>0</v>
      </c>
      <c r="AH768" s="1022">
        <f t="shared" si="156"/>
        <v>0</v>
      </c>
      <c r="AK768" s="448"/>
      <c r="AL768" s="445"/>
    </row>
    <row r="769" spans="1:38" s="467" customFormat="1" ht="12.75" customHeight="1">
      <c r="A769" s="1033"/>
      <c r="B769" s="1033"/>
      <c r="C769" s="1034" t="str">
        <f t="shared" si="158"/>
        <v/>
      </c>
      <c r="D769" s="1033"/>
      <c r="E769" s="1033"/>
      <c r="F769" s="1034" t="str">
        <f t="shared" si="159"/>
        <v/>
      </c>
      <c r="G769" s="1033"/>
      <c r="H769" s="1033"/>
      <c r="I769" s="1034" t="str">
        <f t="shared" si="169"/>
        <v/>
      </c>
      <c r="J769" s="1033"/>
      <c r="K769" s="1033"/>
      <c r="L769" s="1034" t="str">
        <f t="shared" si="160"/>
        <v/>
      </c>
      <c r="M769" s="1035"/>
      <c r="N769" s="1035"/>
      <c r="O769" s="1036" t="str">
        <f t="shared" si="161"/>
        <v/>
      </c>
      <c r="P769" s="1033"/>
      <c r="Q769" s="1033"/>
      <c r="R769" s="1034" t="str">
        <f t="shared" si="162"/>
        <v/>
      </c>
      <c r="S769" s="1035"/>
      <c r="T769" s="1035"/>
      <c r="U769" s="1034" t="str">
        <f t="shared" si="163"/>
        <v/>
      </c>
      <c r="V769" s="1035"/>
      <c r="W769" s="1035"/>
      <c r="X769" s="1037" t="str">
        <f t="shared" si="172"/>
        <v>2</v>
      </c>
      <c r="Y769" s="1035"/>
      <c r="Z769" s="1035">
        <f t="shared" si="154"/>
        <v>2</v>
      </c>
      <c r="AA769" s="1035"/>
      <c r="AB769" s="1035"/>
      <c r="AC769" s="1021">
        <v>210709</v>
      </c>
      <c r="AD769" s="1021" t="s">
        <v>1440</v>
      </c>
      <c r="AE769" s="1022">
        <v>0</v>
      </c>
      <c r="AF769" s="1022"/>
      <c r="AG769" s="1022">
        <f t="shared" si="155"/>
        <v>0</v>
      </c>
      <c r="AH769" s="1022">
        <f t="shared" si="156"/>
        <v>0</v>
      </c>
      <c r="AJ769" s="445"/>
      <c r="AK769" s="448"/>
      <c r="AL769" s="445"/>
    </row>
    <row r="770" spans="1:38" s="467" customFormat="1" ht="12.75" customHeight="1">
      <c r="A770" s="1033"/>
      <c r="B770" s="1033"/>
      <c r="C770" s="1034" t="str">
        <f t="shared" si="158"/>
        <v/>
      </c>
      <c r="D770" s="1033"/>
      <c r="E770" s="1033"/>
      <c r="F770" s="1034" t="str">
        <f t="shared" si="159"/>
        <v/>
      </c>
      <c r="G770" s="1033"/>
      <c r="H770" s="1033"/>
      <c r="I770" s="1034" t="str">
        <f t="shared" si="169"/>
        <v/>
      </c>
      <c r="J770" s="1033"/>
      <c r="K770" s="1033"/>
      <c r="L770" s="1034" t="str">
        <f t="shared" si="160"/>
        <v/>
      </c>
      <c r="M770" s="1035"/>
      <c r="N770" s="1035"/>
      <c r="O770" s="1036" t="str">
        <f t="shared" si="161"/>
        <v/>
      </c>
      <c r="P770" s="1033"/>
      <c r="Q770" s="1033"/>
      <c r="R770" s="1034" t="str">
        <f t="shared" si="162"/>
        <v/>
      </c>
      <c r="S770" s="1035"/>
      <c r="T770" s="1035"/>
      <c r="U770" s="1034" t="str">
        <f t="shared" si="163"/>
        <v/>
      </c>
      <c r="V770" s="1035"/>
      <c r="W770" s="1035"/>
      <c r="X770" s="1037" t="str">
        <f t="shared" si="172"/>
        <v>2</v>
      </c>
      <c r="Y770" s="1035"/>
      <c r="Z770" s="1035">
        <f t="shared" si="154"/>
        <v>2</v>
      </c>
      <c r="AA770" s="1035"/>
      <c r="AB770" s="1035"/>
      <c r="AC770" s="1021">
        <v>210710</v>
      </c>
      <c r="AD770" s="1021" t="s">
        <v>222</v>
      </c>
      <c r="AE770" s="1022">
        <v>0</v>
      </c>
      <c r="AF770" s="1022"/>
      <c r="AG770" s="1022">
        <f t="shared" si="155"/>
        <v>0</v>
      </c>
      <c r="AH770" s="1022">
        <f t="shared" si="156"/>
        <v>0</v>
      </c>
      <c r="AK770" s="448"/>
      <c r="AL770" s="445"/>
    </row>
    <row r="771" spans="1:38" s="467" customFormat="1" ht="12.75" customHeight="1">
      <c r="A771" s="1033">
        <v>5214260</v>
      </c>
      <c r="B771" s="1033" t="s">
        <v>2794</v>
      </c>
      <c r="C771" s="1034"/>
      <c r="D771" s="1033"/>
      <c r="E771" s="1033"/>
      <c r="F771" s="1034"/>
      <c r="G771" s="1033"/>
      <c r="H771" s="1033"/>
      <c r="I771" s="1034"/>
      <c r="J771" s="1033"/>
      <c r="K771" s="1033"/>
      <c r="L771" s="1034"/>
      <c r="M771" s="1035"/>
      <c r="N771" s="1035"/>
      <c r="O771" s="1036"/>
      <c r="P771" s="1033"/>
      <c r="Q771" s="1033"/>
      <c r="R771" s="1034"/>
      <c r="S771" s="1035"/>
      <c r="T771" s="1035"/>
      <c r="U771" s="1034"/>
      <c r="V771" s="1035"/>
      <c r="W771" s="1035"/>
      <c r="X771" s="1037" t="str">
        <f t="shared" si="172"/>
        <v>222</v>
      </c>
      <c r="Y771" s="1035">
        <v>22</v>
      </c>
      <c r="Z771" s="1035">
        <f t="shared" si="154"/>
        <v>2</v>
      </c>
      <c r="AA771" s="1033" t="s">
        <v>2906</v>
      </c>
      <c r="AB771" s="1035"/>
      <c r="AC771" s="1021">
        <v>210711</v>
      </c>
      <c r="AD771" s="1021" t="s">
        <v>2182</v>
      </c>
      <c r="AE771" s="1022">
        <f>VLOOKUP(AC771,[5]Hoja1!$A$10:$K$1393,11,0)</f>
        <v>0</v>
      </c>
      <c r="AF771" s="1022"/>
      <c r="AG771" s="1022">
        <f t="shared" si="155"/>
        <v>0</v>
      </c>
      <c r="AH771" s="1022">
        <f t="shared" si="156"/>
        <v>0</v>
      </c>
      <c r="AI771" s="445">
        <f>+AH121+AH836+AH864+AH872+AH992</f>
        <v>-599401</v>
      </c>
      <c r="AK771" s="448"/>
      <c r="AL771" s="445"/>
    </row>
    <row r="772" spans="1:38" s="467" customFormat="1" ht="12.75" customHeight="1">
      <c r="A772" s="1033"/>
      <c r="B772" s="1033"/>
      <c r="C772" s="1034"/>
      <c r="D772" s="1033"/>
      <c r="E772" s="1033"/>
      <c r="F772" s="1034"/>
      <c r="G772" s="1033"/>
      <c r="H772" s="1033"/>
      <c r="I772" s="1034"/>
      <c r="J772" s="1033"/>
      <c r="K772" s="1033"/>
      <c r="L772" s="1034"/>
      <c r="M772" s="1035"/>
      <c r="N772" s="1035"/>
      <c r="O772" s="1036"/>
      <c r="P772" s="1033"/>
      <c r="Q772" s="1033"/>
      <c r="R772" s="1034"/>
      <c r="S772" s="1035"/>
      <c r="T772" s="1035"/>
      <c r="U772" s="1034"/>
      <c r="V772" s="1035"/>
      <c r="W772" s="1035"/>
      <c r="X772" s="1037"/>
      <c r="Y772" s="1035"/>
      <c r="Z772" s="1035">
        <f t="shared" si="154"/>
        <v>2</v>
      </c>
      <c r="AA772" s="1035"/>
      <c r="AB772" s="1035"/>
      <c r="AC772" s="1021">
        <v>210720</v>
      </c>
      <c r="AD772" s="1021" t="s">
        <v>2575</v>
      </c>
      <c r="AE772" s="1022">
        <f>VLOOKUP(AC772,[5]Hoja1!$A$10:$K$1393,11,0)</f>
        <v>0</v>
      </c>
      <c r="AF772" s="1022"/>
      <c r="AG772" s="1022">
        <f t="shared" si="155"/>
        <v>0</v>
      </c>
      <c r="AH772" s="1022">
        <f t="shared" si="156"/>
        <v>0</v>
      </c>
      <c r="AI772" s="445"/>
      <c r="AK772" s="448"/>
      <c r="AL772" s="445"/>
    </row>
    <row r="773" spans="1:38" s="467" customFormat="1" ht="12.75" customHeight="1">
      <c r="A773" s="1033">
        <v>5211000</v>
      </c>
      <c r="B773" s="1033" t="s">
        <v>2769</v>
      </c>
      <c r="C773" s="1034" t="str">
        <f t="shared" si="158"/>
        <v/>
      </c>
      <c r="D773" s="1033"/>
      <c r="E773" s="1033"/>
      <c r="F773" s="1034" t="str">
        <f t="shared" si="159"/>
        <v/>
      </c>
      <c r="G773" s="1033"/>
      <c r="H773" s="1033"/>
      <c r="I773" s="1034" t="str">
        <f t="shared" si="169"/>
        <v/>
      </c>
      <c r="J773" s="1033"/>
      <c r="K773" s="1033"/>
      <c r="L773" s="1034" t="str">
        <f t="shared" si="160"/>
        <v/>
      </c>
      <c r="M773" s="1035"/>
      <c r="N773" s="1035"/>
      <c r="O773" s="1036" t="str">
        <f t="shared" si="161"/>
        <v/>
      </c>
      <c r="P773" s="1033"/>
      <c r="Q773" s="1033"/>
      <c r="R773" s="1034" t="str">
        <f t="shared" si="162"/>
        <v/>
      </c>
      <c r="S773" s="1035"/>
      <c r="T773" s="1035"/>
      <c r="U773" s="1034" t="str">
        <f t="shared" si="163"/>
        <v/>
      </c>
      <c r="V773" s="1035"/>
      <c r="W773" s="1035"/>
      <c r="X773" s="1037" t="str">
        <f t="shared" ref="X773:X800" si="173">+Y773&amp;Z773</f>
        <v>152</v>
      </c>
      <c r="Y773" s="1035">
        <v>15</v>
      </c>
      <c r="Z773" s="1035">
        <f t="shared" si="154"/>
        <v>2</v>
      </c>
      <c r="AA773" s="1035"/>
      <c r="AB773" s="1035"/>
      <c r="AC773" s="1021">
        <v>210801</v>
      </c>
      <c r="AD773" s="1021" t="s">
        <v>1073</v>
      </c>
      <c r="AE773" s="1022">
        <v>0</v>
      </c>
      <c r="AF773" s="1022"/>
      <c r="AG773" s="1022">
        <f t="shared" si="155"/>
        <v>0</v>
      </c>
      <c r="AH773" s="1022">
        <f t="shared" si="156"/>
        <v>0</v>
      </c>
      <c r="AJ773" s="445"/>
      <c r="AK773" s="448"/>
      <c r="AL773" s="445"/>
    </row>
    <row r="774" spans="1:38" s="467" customFormat="1" ht="12.75" customHeight="1">
      <c r="A774" s="1033">
        <v>5214240</v>
      </c>
      <c r="B774" s="1033" t="s">
        <v>664</v>
      </c>
      <c r="C774" s="1034" t="str">
        <f t="shared" si="158"/>
        <v/>
      </c>
      <c r="D774" s="1033"/>
      <c r="E774" s="1033"/>
      <c r="F774" s="1034" t="str">
        <f t="shared" si="159"/>
        <v/>
      </c>
      <c r="G774" s="1033"/>
      <c r="H774" s="1033"/>
      <c r="I774" s="1034" t="str">
        <f t="shared" si="169"/>
        <v/>
      </c>
      <c r="J774" s="1033"/>
      <c r="K774" s="1033"/>
      <c r="L774" s="1034" t="str">
        <f t="shared" si="160"/>
        <v/>
      </c>
      <c r="M774" s="1035"/>
      <c r="N774" s="1035"/>
      <c r="O774" s="1036" t="str">
        <f t="shared" si="161"/>
        <v/>
      </c>
      <c r="P774" s="1033"/>
      <c r="Q774" s="1033"/>
      <c r="R774" s="1034" t="str">
        <f t="shared" si="162"/>
        <v/>
      </c>
      <c r="S774" s="1035"/>
      <c r="T774" s="1035"/>
      <c r="U774" s="1034" t="str">
        <f t="shared" si="163"/>
        <v/>
      </c>
      <c r="V774" s="1035"/>
      <c r="W774" s="1035"/>
      <c r="X774" s="1037" t="str">
        <f t="shared" si="173"/>
        <v>2</v>
      </c>
      <c r="Y774" s="1035"/>
      <c r="Z774" s="1035">
        <f t="shared" si="154"/>
        <v>2</v>
      </c>
      <c r="AA774" s="1035"/>
      <c r="AB774" s="1035"/>
      <c r="AC774" s="1021">
        <v>210901</v>
      </c>
      <c r="AD774" s="1021" t="s">
        <v>1074</v>
      </c>
      <c r="AE774" s="1022">
        <f>VLOOKUP(AC774,[5]Hoja1!$A$10:$K$1393,11,0)</f>
        <v>-131090374</v>
      </c>
      <c r="AF774" s="1022"/>
      <c r="AG774" s="1022">
        <f t="shared" si="155"/>
        <v>-131090374</v>
      </c>
      <c r="AH774" s="1022">
        <f t="shared" si="156"/>
        <v>-131090</v>
      </c>
      <c r="AI774" s="445">
        <f>+AF774+AI802</f>
        <v>0</v>
      </c>
      <c r="AK774" s="448"/>
      <c r="AL774" s="445"/>
    </row>
    <row r="775" spans="1:38" s="467" customFormat="1" ht="12.75" customHeight="1">
      <c r="A775" s="1033">
        <v>5214240</v>
      </c>
      <c r="B775" s="1033" t="s">
        <v>664</v>
      </c>
      <c r="C775" s="1034" t="str">
        <f t="shared" si="158"/>
        <v/>
      </c>
      <c r="D775" s="1033"/>
      <c r="E775" s="1033"/>
      <c r="F775" s="1034" t="str">
        <f t="shared" si="159"/>
        <v/>
      </c>
      <c r="G775" s="1033"/>
      <c r="H775" s="1033"/>
      <c r="I775" s="1034" t="str">
        <f t="shared" si="169"/>
        <v/>
      </c>
      <c r="J775" s="1033"/>
      <c r="K775" s="1033"/>
      <c r="L775" s="1034" t="str">
        <f t="shared" si="160"/>
        <v/>
      </c>
      <c r="M775" s="1035"/>
      <c r="N775" s="1035"/>
      <c r="O775" s="1036" t="str">
        <f t="shared" si="161"/>
        <v/>
      </c>
      <c r="P775" s="1033"/>
      <c r="Q775" s="1033"/>
      <c r="R775" s="1034" t="str">
        <f t="shared" si="162"/>
        <v/>
      </c>
      <c r="S775" s="1035"/>
      <c r="T775" s="1035"/>
      <c r="U775" s="1034" t="str">
        <f t="shared" si="163"/>
        <v/>
      </c>
      <c r="V775" s="1035"/>
      <c r="W775" s="1035"/>
      <c r="X775" s="1037" t="str">
        <f t="shared" si="173"/>
        <v>2</v>
      </c>
      <c r="Y775" s="1035"/>
      <c r="Z775" s="1035">
        <f t="shared" si="154"/>
        <v>2</v>
      </c>
      <c r="AA775" s="1035"/>
      <c r="AB775" s="1035"/>
      <c r="AC775" s="1021">
        <v>210902</v>
      </c>
      <c r="AD775" s="1021" t="s">
        <v>632</v>
      </c>
      <c r="AE775" s="1022">
        <f>VLOOKUP(AC775,[5]Hoja1!$A$10:$K$1393,11,0)</f>
        <v>-64793036</v>
      </c>
      <c r="AF775" s="1022"/>
      <c r="AG775" s="1022">
        <f t="shared" si="155"/>
        <v>-64793036</v>
      </c>
      <c r="AH775" s="1022">
        <f t="shared" si="156"/>
        <v>-64793</v>
      </c>
      <c r="AK775" s="448"/>
      <c r="AL775" s="445"/>
    </row>
    <row r="776" spans="1:38" s="467" customFormat="1" ht="12.75" customHeight="1">
      <c r="A776" s="1033">
        <v>5214260</v>
      </c>
      <c r="B776" s="1033" t="s">
        <v>2794</v>
      </c>
      <c r="C776" s="1034" t="str">
        <f t="shared" si="158"/>
        <v/>
      </c>
      <c r="D776" s="1033"/>
      <c r="E776" s="1033"/>
      <c r="F776" s="1034" t="str">
        <f t="shared" si="159"/>
        <v/>
      </c>
      <c r="G776" s="1033"/>
      <c r="H776" s="1033"/>
      <c r="I776" s="1034" t="str">
        <f t="shared" si="169"/>
        <v/>
      </c>
      <c r="J776" s="1033"/>
      <c r="K776" s="1033"/>
      <c r="L776" s="1034" t="str">
        <f t="shared" si="160"/>
        <v/>
      </c>
      <c r="M776" s="1035"/>
      <c r="N776" s="1035"/>
      <c r="O776" s="1036" t="str">
        <f t="shared" si="161"/>
        <v/>
      </c>
      <c r="P776" s="1033"/>
      <c r="Q776" s="1033"/>
      <c r="R776" s="1034" t="str">
        <f t="shared" si="162"/>
        <v/>
      </c>
      <c r="S776" s="1035"/>
      <c r="T776" s="1035"/>
      <c r="U776" s="1034" t="str">
        <f t="shared" si="163"/>
        <v/>
      </c>
      <c r="V776" s="1035"/>
      <c r="W776" s="1035"/>
      <c r="X776" s="1037" t="str">
        <f t="shared" si="173"/>
        <v>2</v>
      </c>
      <c r="Y776" s="1035"/>
      <c r="Z776" s="1035">
        <f t="shared" si="154"/>
        <v>2</v>
      </c>
      <c r="AA776" s="1033" t="s">
        <v>2906</v>
      </c>
      <c r="AB776" s="1033" t="s">
        <v>303</v>
      </c>
      <c r="AC776" s="1021">
        <v>210903</v>
      </c>
      <c r="AD776" s="1021" t="s">
        <v>2183</v>
      </c>
      <c r="AE776" s="1022">
        <f>VLOOKUP(AC776,[5]Hoja1!$A$10:$K$1393,11,0)</f>
        <v>-987782763</v>
      </c>
      <c r="AF776" s="1022"/>
      <c r="AG776" s="1022">
        <f t="shared" si="155"/>
        <v>-987782763</v>
      </c>
      <c r="AH776" s="1022">
        <f t="shared" si="156"/>
        <v>-987783</v>
      </c>
      <c r="AK776" s="448"/>
      <c r="AL776" s="445"/>
    </row>
    <row r="777" spans="1:38" s="467" customFormat="1" ht="12.75" customHeight="1">
      <c r="A777" s="1033">
        <v>5214260</v>
      </c>
      <c r="B777" s="1033" t="s">
        <v>2794</v>
      </c>
      <c r="C777" s="1034" t="str">
        <f t="shared" si="158"/>
        <v/>
      </c>
      <c r="D777" s="1033"/>
      <c r="E777" s="1033"/>
      <c r="F777" s="1034" t="str">
        <f t="shared" si="159"/>
        <v/>
      </c>
      <c r="G777" s="1033"/>
      <c r="H777" s="1033"/>
      <c r="I777" s="1034" t="str">
        <f t="shared" si="169"/>
        <v/>
      </c>
      <c r="J777" s="1033"/>
      <c r="K777" s="1033"/>
      <c r="L777" s="1034" t="str">
        <f t="shared" si="160"/>
        <v/>
      </c>
      <c r="M777" s="1035"/>
      <c r="N777" s="1035"/>
      <c r="O777" s="1036" t="str">
        <f t="shared" si="161"/>
        <v/>
      </c>
      <c r="P777" s="1033"/>
      <c r="Q777" s="1033"/>
      <c r="R777" s="1034" t="str">
        <f t="shared" si="162"/>
        <v/>
      </c>
      <c r="S777" s="1035"/>
      <c r="T777" s="1035"/>
      <c r="U777" s="1034" t="str">
        <f t="shared" si="163"/>
        <v/>
      </c>
      <c r="V777" s="1035"/>
      <c r="W777" s="1035"/>
      <c r="X777" s="1037" t="str">
        <f t="shared" si="173"/>
        <v>2</v>
      </c>
      <c r="Y777" s="1035"/>
      <c r="Z777" s="1035">
        <f t="shared" si="154"/>
        <v>2</v>
      </c>
      <c r="AA777" s="1033" t="s">
        <v>2906</v>
      </c>
      <c r="AB777" s="1033" t="s">
        <v>2908</v>
      </c>
      <c r="AC777" s="1021">
        <v>210904</v>
      </c>
      <c r="AD777" s="1021" t="s">
        <v>60</v>
      </c>
      <c r="AE777" s="1022">
        <f>VLOOKUP(AC777,[5]Hoja1!$A$10:$K$1393,11,0)</f>
        <v>-6984148</v>
      </c>
      <c r="AF777" s="1022"/>
      <c r="AG777" s="1022">
        <f t="shared" si="155"/>
        <v>-6984148</v>
      </c>
      <c r="AH777" s="1022">
        <f t="shared" si="156"/>
        <v>-6984</v>
      </c>
      <c r="AK777" s="448"/>
      <c r="AL777" s="445"/>
    </row>
    <row r="778" spans="1:38" s="467" customFormat="1" ht="12.75" customHeight="1">
      <c r="A778" s="1033">
        <v>5214240</v>
      </c>
      <c r="B778" s="1033" t="s">
        <v>664</v>
      </c>
      <c r="C778" s="1034" t="str">
        <f t="shared" si="158"/>
        <v/>
      </c>
      <c r="D778" s="1033"/>
      <c r="E778" s="1033"/>
      <c r="F778" s="1034" t="str">
        <f t="shared" si="159"/>
        <v/>
      </c>
      <c r="G778" s="1033"/>
      <c r="H778" s="1033"/>
      <c r="I778" s="1034" t="str">
        <f t="shared" si="169"/>
        <v/>
      </c>
      <c r="J778" s="1033"/>
      <c r="K778" s="1033"/>
      <c r="L778" s="1034" t="str">
        <f t="shared" si="160"/>
        <v/>
      </c>
      <c r="M778" s="1035"/>
      <c r="N778" s="1035"/>
      <c r="O778" s="1036" t="str">
        <f t="shared" si="161"/>
        <v/>
      </c>
      <c r="P778" s="1033"/>
      <c r="Q778" s="1033"/>
      <c r="R778" s="1034" t="str">
        <f t="shared" si="162"/>
        <v/>
      </c>
      <c r="S778" s="1035"/>
      <c r="T778" s="1035"/>
      <c r="U778" s="1034" t="str">
        <f t="shared" si="163"/>
        <v/>
      </c>
      <c r="V778" s="1035"/>
      <c r="W778" s="1035"/>
      <c r="X778" s="1037" t="str">
        <f t="shared" si="173"/>
        <v>2</v>
      </c>
      <c r="Y778" s="1035"/>
      <c r="Z778" s="1035">
        <f t="shared" si="154"/>
        <v>2</v>
      </c>
      <c r="AA778" s="1035"/>
      <c r="AB778" s="1035"/>
      <c r="AC778" s="1021">
        <v>210905</v>
      </c>
      <c r="AD778" s="1021" t="s">
        <v>633</v>
      </c>
      <c r="AE778" s="1022">
        <f>VLOOKUP(AC778,[5]Hoja1!$A$10:$K$1393,11,0)</f>
        <v>-1711276</v>
      </c>
      <c r="AF778" s="1022"/>
      <c r="AG778" s="1022">
        <f t="shared" si="155"/>
        <v>-1711276</v>
      </c>
      <c r="AH778" s="1022">
        <f t="shared" si="156"/>
        <v>-1711</v>
      </c>
      <c r="AK778" s="448"/>
      <c r="AL778" s="445"/>
    </row>
    <row r="779" spans="1:38" s="467" customFormat="1" ht="12.75" customHeight="1">
      <c r="A779" s="1033">
        <v>5214260</v>
      </c>
      <c r="B779" s="1033" t="s">
        <v>2794</v>
      </c>
      <c r="C779" s="1034" t="str">
        <f t="shared" si="158"/>
        <v/>
      </c>
      <c r="D779" s="1033"/>
      <c r="E779" s="1033"/>
      <c r="F779" s="1034" t="str">
        <f t="shared" si="159"/>
        <v/>
      </c>
      <c r="G779" s="1033"/>
      <c r="H779" s="1033"/>
      <c r="I779" s="1034" t="str">
        <f t="shared" si="169"/>
        <v/>
      </c>
      <c r="J779" s="1033"/>
      <c r="K779" s="1033"/>
      <c r="L779" s="1034" t="str">
        <f t="shared" si="160"/>
        <v/>
      </c>
      <c r="M779" s="1035"/>
      <c r="N779" s="1035"/>
      <c r="O779" s="1036" t="str">
        <f t="shared" si="161"/>
        <v/>
      </c>
      <c r="P779" s="1033"/>
      <c r="Q779" s="1033"/>
      <c r="R779" s="1034" t="str">
        <f t="shared" si="162"/>
        <v/>
      </c>
      <c r="S779" s="1035"/>
      <c r="T779" s="1035"/>
      <c r="U779" s="1034" t="str">
        <f t="shared" si="163"/>
        <v/>
      </c>
      <c r="V779" s="1035"/>
      <c r="W779" s="1035"/>
      <c r="X779" s="1037" t="str">
        <f t="shared" si="173"/>
        <v>2</v>
      </c>
      <c r="Y779" s="1035"/>
      <c r="Z779" s="1035">
        <f t="shared" si="154"/>
        <v>2</v>
      </c>
      <c r="AA779" s="1033" t="s">
        <v>2906</v>
      </c>
      <c r="AB779" s="1033" t="s">
        <v>2907</v>
      </c>
      <c r="AC779" s="1021">
        <v>210906</v>
      </c>
      <c r="AD779" s="1021" t="s">
        <v>2184</v>
      </c>
      <c r="AE779" s="1022">
        <f>VLOOKUP(AC779,[5]Hoja1!$A$10:$K$1393,11,0)</f>
        <v>-66337175</v>
      </c>
      <c r="AF779" s="1022"/>
      <c r="AG779" s="1022">
        <f t="shared" si="155"/>
        <v>-66337175</v>
      </c>
      <c r="AH779" s="1022">
        <f t="shared" si="156"/>
        <v>-66337</v>
      </c>
      <c r="AK779" s="448"/>
      <c r="AL779" s="445"/>
    </row>
    <row r="780" spans="1:38" s="467" customFormat="1" ht="12.75" customHeight="1">
      <c r="A780" s="1033">
        <v>5214240</v>
      </c>
      <c r="B780" s="1033" t="s">
        <v>664</v>
      </c>
      <c r="C780" s="1034" t="str">
        <f t="shared" si="158"/>
        <v/>
      </c>
      <c r="D780" s="1033"/>
      <c r="E780" s="1033"/>
      <c r="F780" s="1034" t="str">
        <f t="shared" si="159"/>
        <v/>
      </c>
      <c r="G780" s="1033"/>
      <c r="H780" s="1033"/>
      <c r="I780" s="1034" t="str">
        <f t="shared" si="169"/>
        <v/>
      </c>
      <c r="J780" s="1033"/>
      <c r="K780" s="1033"/>
      <c r="L780" s="1034" t="str">
        <f t="shared" si="160"/>
        <v/>
      </c>
      <c r="M780" s="1035"/>
      <c r="N780" s="1035"/>
      <c r="O780" s="1036" t="str">
        <f t="shared" si="161"/>
        <v/>
      </c>
      <c r="P780" s="1033"/>
      <c r="Q780" s="1033"/>
      <c r="R780" s="1034" t="str">
        <f t="shared" si="162"/>
        <v/>
      </c>
      <c r="S780" s="1035"/>
      <c r="T780" s="1035"/>
      <c r="U780" s="1034" t="str">
        <f t="shared" si="163"/>
        <v/>
      </c>
      <c r="V780" s="1035"/>
      <c r="W780" s="1035"/>
      <c r="X780" s="1037" t="str">
        <f t="shared" si="173"/>
        <v>2</v>
      </c>
      <c r="Y780" s="1035"/>
      <c r="Z780" s="1035">
        <f t="shared" si="154"/>
        <v>2</v>
      </c>
      <c r="AA780" s="1035"/>
      <c r="AB780" s="1035"/>
      <c r="AC780" s="1021">
        <v>210907</v>
      </c>
      <c r="AD780" s="1021" t="s">
        <v>634</v>
      </c>
      <c r="AE780" s="1022">
        <f>VLOOKUP(AC780,[5]Hoja1!$A$10:$K$1393,11,0)</f>
        <v>-9598254</v>
      </c>
      <c r="AF780" s="1022"/>
      <c r="AG780" s="1022">
        <f t="shared" si="155"/>
        <v>-9598254</v>
      </c>
      <c r="AH780" s="1022">
        <f t="shared" si="156"/>
        <v>-9598</v>
      </c>
      <c r="AK780" s="448"/>
      <c r="AL780" s="445"/>
    </row>
    <row r="781" spans="1:38" s="467" customFormat="1" ht="12.75" customHeight="1">
      <c r="A781" s="1033">
        <v>5214240</v>
      </c>
      <c r="B781" s="1033" t="s">
        <v>664</v>
      </c>
      <c r="C781" s="1034" t="str">
        <f t="shared" si="158"/>
        <v/>
      </c>
      <c r="D781" s="1033"/>
      <c r="E781" s="1033"/>
      <c r="F781" s="1034" t="str">
        <f t="shared" si="159"/>
        <v/>
      </c>
      <c r="G781" s="1033"/>
      <c r="H781" s="1033"/>
      <c r="I781" s="1034" t="str">
        <f t="shared" si="169"/>
        <v/>
      </c>
      <c r="J781" s="1033"/>
      <c r="K781" s="1033"/>
      <c r="L781" s="1034" t="str">
        <f t="shared" si="160"/>
        <v/>
      </c>
      <c r="M781" s="1035"/>
      <c r="N781" s="1035"/>
      <c r="O781" s="1036" t="str">
        <f t="shared" si="161"/>
        <v/>
      </c>
      <c r="P781" s="1033"/>
      <c r="Q781" s="1033"/>
      <c r="R781" s="1034" t="str">
        <f t="shared" si="162"/>
        <v/>
      </c>
      <c r="S781" s="1035"/>
      <c r="T781" s="1035"/>
      <c r="U781" s="1034" t="str">
        <f t="shared" si="163"/>
        <v/>
      </c>
      <c r="V781" s="1035"/>
      <c r="W781" s="1035"/>
      <c r="X781" s="1037" t="str">
        <f t="shared" si="173"/>
        <v>2</v>
      </c>
      <c r="Y781" s="1035"/>
      <c r="Z781" s="1035">
        <f t="shared" si="154"/>
        <v>2</v>
      </c>
      <c r="AA781" s="1035"/>
      <c r="AB781" s="1035"/>
      <c r="AC781" s="1021">
        <v>210908</v>
      </c>
      <c r="AD781" s="1021" t="s">
        <v>2185</v>
      </c>
      <c r="AE781" s="1022">
        <f>VLOOKUP(AC781,[5]Hoja1!$A$10:$K$1393,11,0)</f>
        <v>-19516382</v>
      </c>
      <c r="AF781" s="1022"/>
      <c r="AG781" s="1022">
        <f t="shared" si="155"/>
        <v>-19516382</v>
      </c>
      <c r="AH781" s="1022">
        <f t="shared" si="156"/>
        <v>-19516</v>
      </c>
      <c r="AK781" s="448"/>
      <c r="AL781" s="445"/>
    </row>
    <row r="782" spans="1:38" s="467" customFormat="1" ht="12.75" customHeight="1">
      <c r="A782" s="1033">
        <v>5214260</v>
      </c>
      <c r="B782" s="1033" t="s">
        <v>2794</v>
      </c>
      <c r="C782" s="1034" t="str">
        <f t="shared" si="158"/>
        <v/>
      </c>
      <c r="D782" s="1033"/>
      <c r="E782" s="1033"/>
      <c r="F782" s="1034" t="str">
        <f t="shared" si="159"/>
        <v/>
      </c>
      <c r="G782" s="1033"/>
      <c r="H782" s="1033"/>
      <c r="I782" s="1034" t="str">
        <f t="shared" si="169"/>
        <v/>
      </c>
      <c r="J782" s="1033"/>
      <c r="K782" s="1033"/>
      <c r="L782" s="1034" t="str">
        <f t="shared" si="160"/>
        <v/>
      </c>
      <c r="M782" s="1035"/>
      <c r="N782" s="1035"/>
      <c r="O782" s="1036" t="str">
        <f t="shared" si="161"/>
        <v/>
      </c>
      <c r="P782" s="1033"/>
      <c r="Q782" s="1033"/>
      <c r="R782" s="1034" t="str">
        <f t="shared" si="162"/>
        <v/>
      </c>
      <c r="S782" s="1035"/>
      <c r="T782" s="1035"/>
      <c r="U782" s="1034" t="str">
        <f t="shared" si="163"/>
        <v/>
      </c>
      <c r="V782" s="1035"/>
      <c r="W782" s="1035"/>
      <c r="X782" s="1037" t="str">
        <f t="shared" si="173"/>
        <v>2</v>
      </c>
      <c r="Y782" s="1035"/>
      <c r="Z782" s="1035">
        <f t="shared" si="154"/>
        <v>2</v>
      </c>
      <c r="AA782" s="1033" t="s">
        <v>2906</v>
      </c>
      <c r="AB782" s="1033" t="s">
        <v>2907</v>
      </c>
      <c r="AC782" s="1021">
        <v>210909</v>
      </c>
      <c r="AD782" s="1021" t="s">
        <v>2186</v>
      </c>
      <c r="AE782" s="1022">
        <f>VLOOKUP(AC782,[5]Hoja1!$A$10:$K$1393,11,0)</f>
        <v>-641162003</v>
      </c>
      <c r="AF782" s="1022"/>
      <c r="AG782" s="1022">
        <f t="shared" si="155"/>
        <v>-641162003</v>
      </c>
      <c r="AH782" s="1022">
        <f t="shared" si="156"/>
        <v>-641162</v>
      </c>
      <c r="AK782" s="448"/>
      <c r="AL782" s="445"/>
    </row>
    <row r="783" spans="1:38" s="467" customFormat="1" ht="12.75" customHeight="1">
      <c r="A783" s="1033">
        <v>5214240</v>
      </c>
      <c r="B783" s="1033" t="s">
        <v>664</v>
      </c>
      <c r="C783" s="1034" t="str">
        <f t="shared" si="158"/>
        <v/>
      </c>
      <c r="D783" s="1033"/>
      <c r="E783" s="1033"/>
      <c r="F783" s="1034" t="str">
        <f t="shared" si="159"/>
        <v/>
      </c>
      <c r="G783" s="1033"/>
      <c r="H783" s="1033"/>
      <c r="I783" s="1034" t="str">
        <f t="shared" si="169"/>
        <v/>
      </c>
      <c r="J783" s="1033"/>
      <c r="K783" s="1033"/>
      <c r="L783" s="1034" t="str">
        <f t="shared" si="160"/>
        <v/>
      </c>
      <c r="M783" s="1035"/>
      <c r="N783" s="1035"/>
      <c r="O783" s="1036" t="str">
        <f t="shared" si="161"/>
        <v/>
      </c>
      <c r="P783" s="1033"/>
      <c r="Q783" s="1033"/>
      <c r="R783" s="1034" t="str">
        <f t="shared" si="162"/>
        <v/>
      </c>
      <c r="S783" s="1035"/>
      <c r="T783" s="1035"/>
      <c r="U783" s="1034" t="str">
        <f t="shared" si="163"/>
        <v/>
      </c>
      <c r="V783" s="1035"/>
      <c r="W783" s="1035"/>
      <c r="X783" s="1037" t="str">
        <f t="shared" si="173"/>
        <v>2</v>
      </c>
      <c r="Y783" s="1035"/>
      <c r="Z783" s="1035">
        <f t="shared" si="154"/>
        <v>2</v>
      </c>
      <c r="AA783" s="1035"/>
      <c r="AB783" s="1035"/>
      <c r="AC783" s="1021">
        <v>210910</v>
      </c>
      <c r="AD783" s="1021" t="s">
        <v>635</v>
      </c>
      <c r="AE783" s="1022">
        <f>VLOOKUP(AC783,[5]Hoja1!$A$10:$K$1393,11,0)</f>
        <v>0</v>
      </c>
      <c r="AF783" s="1022"/>
      <c r="AG783" s="1022">
        <f t="shared" si="155"/>
        <v>0</v>
      </c>
      <c r="AH783" s="1022">
        <f t="shared" si="156"/>
        <v>0</v>
      </c>
      <c r="AK783" s="448"/>
      <c r="AL783" s="445"/>
    </row>
    <row r="784" spans="1:38" s="467" customFormat="1" ht="12.75" customHeight="1">
      <c r="A784" s="1033">
        <v>5214240</v>
      </c>
      <c r="B784" s="1033" t="s">
        <v>664</v>
      </c>
      <c r="C784" s="1034" t="str">
        <f t="shared" si="158"/>
        <v/>
      </c>
      <c r="D784" s="1033"/>
      <c r="E784" s="1033"/>
      <c r="F784" s="1034" t="str">
        <f t="shared" si="159"/>
        <v/>
      </c>
      <c r="G784" s="1033"/>
      <c r="H784" s="1033"/>
      <c r="I784" s="1034" t="str">
        <f t="shared" si="169"/>
        <v/>
      </c>
      <c r="J784" s="1033"/>
      <c r="K784" s="1033"/>
      <c r="L784" s="1034" t="str">
        <f t="shared" si="160"/>
        <v/>
      </c>
      <c r="M784" s="1035"/>
      <c r="N784" s="1035"/>
      <c r="O784" s="1036" t="str">
        <f t="shared" si="161"/>
        <v/>
      </c>
      <c r="P784" s="1033"/>
      <c r="Q784" s="1033"/>
      <c r="R784" s="1034" t="str">
        <f t="shared" si="162"/>
        <v/>
      </c>
      <c r="S784" s="1035"/>
      <c r="T784" s="1035"/>
      <c r="U784" s="1034" t="str">
        <f t="shared" si="163"/>
        <v/>
      </c>
      <c r="V784" s="1035"/>
      <c r="W784" s="1035"/>
      <c r="X784" s="1037" t="str">
        <f t="shared" si="173"/>
        <v>2</v>
      </c>
      <c r="Y784" s="1035"/>
      <c r="Z784" s="1035">
        <f t="shared" si="154"/>
        <v>2</v>
      </c>
      <c r="AA784" s="1035"/>
      <c r="AB784" s="1035"/>
      <c r="AC784" s="1021">
        <v>210911</v>
      </c>
      <c r="AD784" s="1021" t="s">
        <v>636</v>
      </c>
      <c r="AE784" s="1022">
        <f>VLOOKUP(AC784,[5]Hoja1!$A$10:$K$1393,11,0)</f>
        <v>-1914619</v>
      </c>
      <c r="AF784" s="1022"/>
      <c r="AG784" s="1022">
        <f t="shared" si="155"/>
        <v>-1914619</v>
      </c>
      <c r="AH784" s="1022">
        <f t="shared" si="156"/>
        <v>-1915</v>
      </c>
      <c r="AK784" s="448"/>
      <c r="AL784" s="445"/>
    </row>
    <row r="785" spans="1:38" s="467" customFormat="1" ht="12.75" customHeight="1">
      <c r="A785" s="1033">
        <v>5214240</v>
      </c>
      <c r="B785" s="1033" t="s">
        <v>664</v>
      </c>
      <c r="C785" s="1034" t="str">
        <f t="shared" si="158"/>
        <v/>
      </c>
      <c r="D785" s="1033"/>
      <c r="E785" s="1033"/>
      <c r="F785" s="1034" t="str">
        <f t="shared" si="159"/>
        <v/>
      </c>
      <c r="G785" s="1033"/>
      <c r="H785" s="1033"/>
      <c r="I785" s="1034" t="str">
        <f t="shared" si="169"/>
        <v/>
      </c>
      <c r="J785" s="1033"/>
      <c r="K785" s="1033"/>
      <c r="L785" s="1034" t="str">
        <f t="shared" si="160"/>
        <v/>
      </c>
      <c r="M785" s="1035"/>
      <c r="N785" s="1035"/>
      <c r="O785" s="1036" t="str">
        <f t="shared" si="161"/>
        <v/>
      </c>
      <c r="P785" s="1033"/>
      <c r="Q785" s="1033"/>
      <c r="R785" s="1034" t="str">
        <f t="shared" si="162"/>
        <v/>
      </c>
      <c r="S785" s="1035"/>
      <c r="T785" s="1035"/>
      <c r="U785" s="1034" t="str">
        <f t="shared" si="163"/>
        <v/>
      </c>
      <c r="V785" s="1035"/>
      <c r="W785" s="1035"/>
      <c r="X785" s="1037" t="str">
        <f t="shared" si="173"/>
        <v>2</v>
      </c>
      <c r="Y785" s="1035"/>
      <c r="Z785" s="1035">
        <f t="shared" si="154"/>
        <v>2</v>
      </c>
      <c r="AA785" s="1035"/>
      <c r="AB785" s="1035"/>
      <c r="AC785" s="1021">
        <v>210912</v>
      </c>
      <c r="AD785" s="1021" t="s">
        <v>1300</v>
      </c>
      <c r="AE785" s="1022">
        <f>VLOOKUP(AC785,[5]Hoja1!$A$10:$K$1393,11,0)</f>
        <v>0</v>
      </c>
      <c r="AF785" s="1022"/>
      <c r="AG785" s="1022">
        <f t="shared" si="155"/>
        <v>0</v>
      </c>
      <c r="AH785" s="1022">
        <f t="shared" si="156"/>
        <v>0</v>
      </c>
      <c r="AK785" s="448"/>
      <c r="AL785" s="445"/>
    </row>
    <row r="786" spans="1:38" s="467" customFormat="1" ht="12.75" customHeight="1">
      <c r="A786" s="1033">
        <v>5214240</v>
      </c>
      <c r="B786" s="1033" t="s">
        <v>664</v>
      </c>
      <c r="C786" s="1034" t="str">
        <f t="shared" si="158"/>
        <v/>
      </c>
      <c r="D786" s="1033"/>
      <c r="E786" s="1033"/>
      <c r="F786" s="1034" t="str">
        <f t="shared" si="159"/>
        <v/>
      </c>
      <c r="G786" s="1033"/>
      <c r="H786" s="1033"/>
      <c r="I786" s="1034" t="str">
        <f t="shared" si="169"/>
        <v/>
      </c>
      <c r="J786" s="1033"/>
      <c r="K786" s="1033"/>
      <c r="L786" s="1034" t="str">
        <f t="shared" si="160"/>
        <v/>
      </c>
      <c r="M786" s="1035"/>
      <c r="N786" s="1035"/>
      <c r="O786" s="1036" t="str">
        <f t="shared" si="161"/>
        <v/>
      </c>
      <c r="P786" s="1033"/>
      <c r="Q786" s="1033"/>
      <c r="R786" s="1034" t="str">
        <f t="shared" si="162"/>
        <v/>
      </c>
      <c r="S786" s="1035"/>
      <c r="T786" s="1035"/>
      <c r="U786" s="1034" t="str">
        <f t="shared" si="163"/>
        <v/>
      </c>
      <c r="V786" s="1035"/>
      <c r="W786" s="1035"/>
      <c r="X786" s="1037" t="str">
        <f t="shared" si="173"/>
        <v>2</v>
      </c>
      <c r="Y786" s="1035"/>
      <c r="Z786" s="1035">
        <f t="shared" si="154"/>
        <v>2</v>
      </c>
      <c r="AA786" s="1035"/>
      <c r="AB786" s="1035"/>
      <c r="AC786" s="1021">
        <v>210913</v>
      </c>
      <c r="AD786" s="1021" t="s">
        <v>637</v>
      </c>
      <c r="AE786" s="1022">
        <f>VLOOKUP(AC786,[5]Hoja1!$A$10:$K$1393,11,0)</f>
        <v>-334363</v>
      </c>
      <c r="AF786" s="1022"/>
      <c r="AG786" s="1022">
        <f t="shared" si="155"/>
        <v>-334363</v>
      </c>
      <c r="AH786" s="1022">
        <f t="shared" si="156"/>
        <v>-334</v>
      </c>
      <c r="AK786" s="448"/>
      <c r="AL786" s="445"/>
    </row>
    <row r="787" spans="1:38" s="467" customFormat="1" ht="12.75" customHeight="1">
      <c r="A787" s="1033">
        <v>5214260</v>
      </c>
      <c r="B787" s="1033" t="s">
        <v>2794</v>
      </c>
      <c r="C787" s="1034" t="str">
        <f t="shared" si="158"/>
        <v/>
      </c>
      <c r="D787" s="1033"/>
      <c r="E787" s="1033"/>
      <c r="F787" s="1034" t="str">
        <f t="shared" si="159"/>
        <v/>
      </c>
      <c r="G787" s="1033"/>
      <c r="H787" s="1033"/>
      <c r="I787" s="1034" t="str">
        <f t="shared" si="169"/>
        <v/>
      </c>
      <c r="J787" s="1033"/>
      <c r="K787" s="1033"/>
      <c r="L787" s="1034" t="str">
        <f t="shared" si="160"/>
        <v/>
      </c>
      <c r="M787" s="1035"/>
      <c r="N787" s="1035"/>
      <c r="O787" s="1036" t="str">
        <f t="shared" si="161"/>
        <v/>
      </c>
      <c r="P787" s="1033"/>
      <c r="Q787" s="1033"/>
      <c r="R787" s="1034" t="str">
        <f t="shared" si="162"/>
        <v/>
      </c>
      <c r="S787" s="1035"/>
      <c r="T787" s="1035"/>
      <c r="U787" s="1034" t="str">
        <f t="shared" si="163"/>
        <v/>
      </c>
      <c r="V787" s="1035"/>
      <c r="W787" s="1035"/>
      <c r="X787" s="1037" t="str">
        <f t="shared" si="173"/>
        <v>2</v>
      </c>
      <c r="Y787" s="1035"/>
      <c r="Z787" s="1035">
        <f t="shared" si="154"/>
        <v>2</v>
      </c>
      <c r="AA787" s="1033" t="s">
        <v>2906</v>
      </c>
      <c r="AB787" s="1033" t="s">
        <v>354</v>
      </c>
      <c r="AC787" s="1021">
        <v>210914</v>
      </c>
      <c r="AD787" s="1021" t="s">
        <v>638</v>
      </c>
      <c r="AE787" s="1022">
        <f>VLOOKUP(AC787,[5]Hoja1!$A$10:$K$1393,11,0)</f>
        <v>0</v>
      </c>
      <c r="AF787" s="1022"/>
      <c r="AG787" s="1022">
        <f t="shared" si="155"/>
        <v>0</v>
      </c>
      <c r="AH787" s="1022">
        <f t="shared" si="156"/>
        <v>0</v>
      </c>
      <c r="AK787" s="448"/>
      <c r="AL787" s="445"/>
    </row>
    <row r="788" spans="1:38" s="467" customFormat="1" ht="12.75" customHeight="1">
      <c r="A788" s="1033">
        <v>5214240</v>
      </c>
      <c r="B788" s="1033" t="s">
        <v>664</v>
      </c>
      <c r="C788" s="1034" t="str">
        <f t="shared" si="158"/>
        <v/>
      </c>
      <c r="D788" s="1033"/>
      <c r="E788" s="1033"/>
      <c r="F788" s="1034" t="str">
        <f t="shared" si="159"/>
        <v/>
      </c>
      <c r="G788" s="1033"/>
      <c r="H788" s="1033"/>
      <c r="I788" s="1034" t="str">
        <f t="shared" si="169"/>
        <v/>
      </c>
      <c r="J788" s="1033"/>
      <c r="K788" s="1033"/>
      <c r="L788" s="1034" t="str">
        <f t="shared" si="160"/>
        <v/>
      </c>
      <c r="M788" s="1035"/>
      <c r="N788" s="1035"/>
      <c r="O788" s="1036" t="str">
        <f t="shared" si="161"/>
        <v/>
      </c>
      <c r="P788" s="1033"/>
      <c r="Q788" s="1033"/>
      <c r="R788" s="1034" t="str">
        <f t="shared" si="162"/>
        <v/>
      </c>
      <c r="S788" s="1035"/>
      <c r="T788" s="1035"/>
      <c r="U788" s="1034" t="str">
        <f t="shared" si="163"/>
        <v/>
      </c>
      <c r="V788" s="1035"/>
      <c r="W788" s="1035"/>
      <c r="X788" s="1037" t="str">
        <f t="shared" si="173"/>
        <v>2</v>
      </c>
      <c r="Y788" s="1035"/>
      <c r="Z788" s="1035">
        <f t="shared" si="154"/>
        <v>2</v>
      </c>
      <c r="AA788" s="1035"/>
      <c r="AB788" s="1035"/>
      <c r="AC788" s="1021">
        <v>210915</v>
      </c>
      <c r="AD788" s="1021" t="s">
        <v>639</v>
      </c>
      <c r="AE788" s="1022">
        <f>VLOOKUP(AC788,[5]Hoja1!$A$10:$K$1393,11,0)</f>
        <v>0</v>
      </c>
      <c r="AF788" s="1022"/>
      <c r="AG788" s="1022">
        <f t="shared" si="155"/>
        <v>0</v>
      </c>
      <c r="AH788" s="1022">
        <f t="shared" si="156"/>
        <v>0</v>
      </c>
      <c r="AK788" s="448"/>
      <c r="AL788" s="445"/>
    </row>
    <row r="789" spans="1:38" s="467" customFormat="1" ht="12.75" customHeight="1">
      <c r="A789" s="1033">
        <v>5214260</v>
      </c>
      <c r="B789" s="1033" t="s">
        <v>2794</v>
      </c>
      <c r="C789" s="1034" t="str">
        <f t="shared" si="158"/>
        <v/>
      </c>
      <c r="D789" s="1033"/>
      <c r="E789" s="1033"/>
      <c r="F789" s="1034" t="str">
        <f t="shared" si="159"/>
        <v/>
      </c>
      <c r="G789" s="1033"/>
      <c r="H789" s="1033"/>
      <c r="I789" s="1034" t="str">
        <f t="shared" si="169"/>
        <v/>
      </c>
      <c r="J789" s="1033"/>
      <c r="K789" s="1033"/>
      <c r="L789" s="1034" t="str">
        <f t="shared" si="160"/>
        <v/>
      </c>
      <c r="M789" s="1035"/>
      <c r="N789" s="1035"/>
      <c r="O789" s="1036" t="str">
        <f t="shared" si="161"/>
        <v/>
      </c>
      <c r="P789" s="1033"/>
      <c r="Q789" s="1033"/>
      <c r="R789" s="1034" t="str">
        <f t="shared" si="162"/>
        <v/>
      </c>
      <c r="S789" s="1035"/>
      <c r="T789" s="1035"/>
      <c r="U789" s="1034" t="str">
        <f t="shared" si="163"/>
        <v/>
      </c>
      <c r="V789" s="1035"/>
      <c r="W789" s="1035"/>
      <c r="X789" s="1037" t="str">
        <f t="shared" si="173"/>
        <v>2</v>
      </c>
      <c r="Y789" s="1035"/>
      <c r="Z789" s="1035">
        <f t="shared" si="154"/>
        <v>2</v>
      </c>
      <c r="AA789" s="1033" t="s">
        <v>2906</v>
      </c>
      <c r="AB789" s="1033" t="s">
        <v>354</v>
      </c>
      <c r="AC789" s="1021">
        <v>210916</v>
      </c>
      <c r="AD789" s="1021" t="s">
        <v>640</v>
      </c>
      <c r="AE789" s="1022">
        <f>VLOOKUP(AC789,[5]Hoja1!$A$10:$K$1393,11,0)</f>
        <v>0</v>
      </c>
      <c r="AF789" s="1022"/>
      <c r="AG789" s="1022">
        <f t="shared" si="155"/>
        <v>0</v>
      </c>
      <c r="AH789" s="1022">
        <f t="shared" si="156"/>
        <v>0</v>
      </c>
      <c r="AK789" s="448"/>
      <c r="AL789" s="445"/>
    </row>
    <row r="790" spans="1:38" s="467" customFormat="1" ht="12.75" customHeight="1">
      <c r="A790" s="1033">
        <v>5214240</v>
      </c>
      <c r="B790" s="1033" t="s">
        <v>664</v>
      </c>
      <c r="C790" s="1034" t="str">
        <f t="shared" si="158"/>
        <v/>
      </c>
      <c r="D790" s="1033"/>
      <c r="E790" s="1033"/>
      <c r="F790" s="1034" t="str">
        <f t="shared" si="159"/>
        <v/>
      </c>
      <c r="G790" s="1033"/>
      <c r="H790" s="1033"/>
      <c r="I790" s="1034" t="str">
        <f t="shared" si="169"/>
        <v/>
      </c>
      <c r="J790" s="1033"/>
      <c r="K790" s="1033"/>
      <c r="L790" s="1034" t="str">
        <f t="shared" si="160"/>
        <v/>
      </c>
      <c r="M790" s="1035"/>
      <c r="N790" s="1035"/>
      <c r="O790" s="1036" t="str">
        <f t="shared" si="161"/>
        <v/>
      </c>
      <c r="P790" s="1033"/>
      <c r="Q790" s="1033"/>
      <c r="R790" s="1034" t="str">
        <f t="shared" si="162"/>
        <v/>
      </c>
      <c r="S790" s="1035"/>
      <c r="T790" s="1035"/>
      <c r="U790" s="1034" t="str">
        <f t="shared" si="163"/>
        <v/>
      </c>
      <c r="V790" s="1035"/>
      <c r="W790" s="1035"/>
      <c r="X790" s="1037" t="str">
        <f t="shared" si="173"/>
        <v>2</v>
      </c>
      <c r="Y790" s="1035"/>
      <c r="Z790" s="1035">
        <f t="shared" si="154"/>
        <v>2</v>
      </c>
      <c r="AA790" s="1035"/>
      <c r="AB790" s="1035"/>
      <c r="AC790" s="1021">
        <v>210917</v>
      </c>
      <c r="AD790" s="1021" t="s">
        <v>1301</v>
      </c>
      <c r="AE790" s="1022">
        <f>VLOOKUP(AC790,[5]Hoja1!$A$10:$K$1393,11,0)</f>
        <v>-304825</v>
      </c>
      <c r="AF790" s="1022"/>
      <c r="AG790" s="1022">
        <f t="shared" si="155"/>
        <v>-304825</v>
      </c>
      <c r="AH790" s="1022">
        <f t="shared" si="156"/>
        <v>-305</v>
      </c>
      <c r="AK790" s="448"/>
      <c r="AL790" s="445"/>
    </row>
    <row r="791" spans="1:38" s="467" customFormat="1" ht="12.75" customHeight="1">
      <c r="A791" s="1033">
        <v>5214240</v>
      </c>
      <c r="B791" s="1033" t="s">
        <v>664</v>
      </c>
      <c r="C791" s="1034" t="str">
        <f t="shared" si="158"/>
        <v/>
      </c>
      <c r="D791" s="1033"/>
      <c r="E791" s="1033"/>
      <c r="F791" s="1034" t="str">
        <f t="shared" si="159"/>
        <v/>
      </c>
      <c r="G791" s="1033"/>
      <c r="H791" s="1033"/>
      <c r="I791" s="1034" t="str">
        <f t="shared" si="169"/>
        <v/>
      </c>
      <c r="J791" s="1033"/>
      <c r="K791" s="1033"/>
      <c r="L791" s="1034" t="str">
        <f t="shared" si="160"/>
        <v/>
      </c>
      <c r="M791" s="1035"/>
      <c r="N791" s="1035"/>
      <c r="O791" s="1036" t="str">
        <f t="shared" si="161"/>
        <v/>
      </c>
      <c r="P791" s="1033"/>
      <c r="Q791" s="1033"/>
      <c r="R791" s="1034" t="str">
        <f t="shared" si="162"/>
        <v/>
      </c>
      <c r="S791" s="1035"/>
      <c r="T791" s="1035"/>
      <c r="U791" s="1034" t="str">
        <f t="shared" si="163"/>
        <v/>
      </c>
      <c r="V791" s="1035"/>
      <c r="W791" s="1035"/>
      <c r="X791" s="1037" t="str">
        <f t="shared" si="173"/>
        <v>2</v>
      </c>
      <c r="Y791" s="1035"/>
      <c r="Z791" s="1035">
        <f t="shared" ref="Z791:Z854" si="174">VALUE(LEFT(AC791,1))</f>
        <v>2</v>
      </c>
      <c r="AA791" s="1035"/>
      <c r="AB791" s="1035"/>
      <c r="AC791" s="1021">
        <v>210918</v>
      </c>
      <c r="AD791" s="1021" t="s">
        <v>1005</v>
      </c>
      <c r="AE791" s="1022">
        <f>VLOOKUP(AC791,[5]Hoja1!$A$10:$K$1393,11,0)</f>
        <v>0</v>
      </c>
      <c r="AF791" s="1022"/>
      <c r="AG791" s="1022">
        <f t="shared" ref="AG791:AG854" si="175">AE791+AF791</f>
        <v>0</v>
      </c>
      <c r="AH791" s="1022">
        <f t="shared" ref="AH791:AH854" si="176">ROUND((AE791+AF791)/$AH$2,0)</f>
        <v>0</v>
      </c>
      <c r="AI791" s="445">
        <f>+AH108</f>
        <v>56094027</v>
      </c>
      <c r="AJ791" s="445">
        <f>+AI791+AH791</f>
        <v>56094027</v>
      </c>
      <c r="AK791" s="448"/>
      <c r="AL791" s="445"/>
    </row>
    <row r="792" spans="1:38" s="467" customFormat="1" ht="12.75" customHeight="1">
      <c r="A792" s="1033">
        <v>5214240</v>
      </c>
      <c r="B792" s="1033" t="s">
        <v>664</v>
      </c>
      <c r="C792" s="1034" t="str">
        <f t="shared" si="158"/>
        <v/>
      </c>
      <c r="D792" s="1033"/>
      <c r="E792" s="1033"/>
      <c r="F792" s="1034" t="str">
        <f t="shared" si="159"/>
        <v/>
      </c>
      <c r="G792" s="1033"/>
      <c r="H792" s="1033"/>
      <c r="I792" s="1034" t="str">
        <f t="shared" si="169"/>
        <v/>
      </c>
      <c r="J792" s="1033"/>
      <c r="K792" s="1033"/>
      <c r="L792" s="1034" t="str">
        <f t="shared" si="160"/>
        <v/>
      </c>
      <c r="M792" s="1035"/>
      <c r="N792" s="1035"/>
      <c r="O792" s="1036" t="str">
        <f t="shared" si="161"/>
        <v/>
      </c>
      <c r="P792" s="1033"/>
      <c r="Q792" s="1033"/>
      <c r="R792" s="1034" t="str">
        <f t="shared" si="162"/>
        <v/>
      </c>
      <c r="S792" s="1035"/>
      <c r="T792" s="1035"/>
      <c r="U792" s="1034" t="str">
        <f t="shared" si="163"/>
        <v/>
      </c>
      <c r="V792" s="1035"/>
      <c r="W792" s="1035"/>
      <c r="X792" s="1037" t="str">
        <f t="shared" si="173"/>
        <v>2</v>
      </c>
      <c r="Y792" s="1035"/>
      <c r="Z792" s="1035">
        <f t="shared" si="174"/>
        <v>2</v>
      </c>
      <c r="AA792" s="1035"/>
      <c r="AB792" s="1035"/>
      <c r="AC792" s="1021">
        <v>210919</v>
      </c>
      <c r="AD792" s="1021" t="s">
        <v>1568</v>
      </c>
      <c r="AE792" s="1022">
        <f>VLOOKUP(AC792,[5]Hoja1!$A$10:$K$1393,11,0)</f>
        <v>0</v>
      </c>
      <c r="AF792" s="1022"/>
      <c r="AG792" s="1022">
        <f t="shared" si="175"/>
        <v>0</v>
      </c>
      <c r="AH792" s="1022">
        <f t="shared" si="176"/>
        <v>0</v>
      </c>
      <c r="AI792" s="491"/>
      <c r="AJ792" s="445"/>
      <c r="AK792" s="448"/>
      <c r="AL792" s="445"/>
    </row>
    <row r="793" spans="1:38" s="467" customFormat="1" ht="12.75" customHeight="1">
      <c r="A793" s="1033">
        <v>5214240</v>
      </c>
      <c r="B793" s="1033" t="s">
        <v>664</v>
      </c>
      <c r="C793" s="1034" t="str">
        <f t="shared" si="158"/>
        <v/>
      </c>
      <c r="D793" s="1033"/>
      <c r="E793" s="1033"/>
      <c r="F793" s="1034" t="str">
        <f t="shared" si="159"/>
        <v/>
      </c>
      <c r="G793" s="1033"/>
      <c r="H793" s="1033"/>
      <c r="I793" s="1034" t="str">
        <f t="shared" si="169"/>
        <v/>
      </c>
      <c r="J793" s="1033"/>
      <c r="K793" s="1033"/>
      <c r="L793" s="1034" t="str">
        <f t="shared" si="160"/>
        <v/>
      </c>
      <c r="M793" s="1035"/>
      <c r="N793" s="1035"/>
      <c r="O793" s="1036" t="str">
        <f t="shared" si="161"/>
        <v/>
      </c>
      <c r="P793" s="1033"/>
      <c r="Q793" s="1033"/>
      <c r="R793" s="1034" t="str">
        <f t="shared" si="162"/>
        <v/>
      </c>
      <c r="S793" s="1035"/>
      <c r="T793" s="1035"/>
      <c r="U793" s="1034" t="str">
        <f t="shared" si="163"/>
        <v/>
      </c>
      <c r="V793" s="1035"/>
      <c r="W793" s="1035"/>
      <c r="X793" s="1037" t="str">
        <f t="shared" si="173"/>
        <v>2</v>
      </c>
      <c r="Y793" s="1035"/>
      <c r="Z793" s="1035">
        <f t="shared" si="174"/>
        <v>2</v>
      </c>
      <c r="AA793" s="1035"/>
      <c r="AB793" s="1035"/>
      <c r="AC793" s="1021">
        <v>210920</v>
      </c>
      <c r="AD793" s="1021" t="s">
        <v>1569</v>
      </c>
      <c r="AE793" s="1022">
        <f>VLOOKUP(AC793,[5]Hoja1!$A$10:$K$1393,11,0)</f>
        <v>-4730454</v>
      </c>
      <c r="AF793" s="1022"/>
      <c r="AG793" s="1022">
        <f t="shared" si="175"/>
        <v>-4730454</v>
      </c>
      <c r="AH793" s="1022">
        <f t="shared" si="176"/>
        <v>-4730</v>
      </c>
      <c r="AI793" s="445"/>
      <c r="AK793" s="448"/>
      <c r="AL793" s="445"/>
    </row>
    <row r="794" spans="1:38" s="467" customFormat="1" ht="12.75" customHeight="1">
      <c r="A794" s="1033">
        <v>5214240</v>
      </c>
      <c r="B794" s="1033" t="s">
        <v>664</v>
      </c>
      <c r="C794" s="1034" t="str">
        <f t="shared" si="158"/>
        <v/>
      </c>
      <c r="D794" s="1033"/>
      <c r="E794" s="1033"/>
      <c r="F794" s="1034" t="str">
        <f t="shared" si="159"/>
        <v/>
      </c>
      <c r="G794" s="1033"/>
      <c r="H794" s="1033"/>
      <c r="I794" s="1034" t="str">
        <f t="shared" si="169"/>
        <v/>
      </c>
      <c r="J794" s="1033"/>
      <c r="K794" s="1033"/>
      <c r="L794" s="1034" t="str">
        <f t="shared" si="160"/>
        <v/>
      </c>
      <c r="M794" s="1035"/>
      <c r="N794" s="1035"/>
      <c r="O794" s="1036" t="str">
        <f t="shared" si="161"/>
        <v/>
      </c>
      <c r="P794" s="1033"/>
      <c r="Q794" s="1033"/>
      <c r="R794" s="1034" t="str">
        <f t="shared" si="162"/>
        <v/>
      </c>
      <c r="S794" s="1035"/>
      <c r="T794" s="1035"/>
      <c r="U794" s="1034" t="str">
        <f t="shared" si="163"/>
        <v/>
      </c>
      <c r="V794" s="1035"/>
      <c r="W794" s="1035"/>
      <c r="X794" s="1037" t="str">
        <f t="shared" si="173"/>
        <v>2</v>
      </c>
      <c r="Y794" s="1035"/>
      <c r="Z794" s="1035">
        <f t="shared" si="174"/>
        <v>2</v>
      </c>
      <c r="AA794" s="1035"/>
      <c r="AB794" s="1035"/>
      <c r="AC794" s="1021">
        <v>210921</v>
      </c>
      <c r="AD794" s="1021" t="s">
        <v>1570</v>
      </c>
      <c r="AE794" s="1022">
        <f>VLOOKUP(AC794,[5]Hoja1!$A$10:$K$1393,11,0)</f>
        <v>0</v>
      </c>
      <c r="AF794" s="1022"/>
      <c r="AG794" s="1022">
        <f t="shared" si="175"/>
        <v>0</v>
      </c>
      <c r="AH794" s="1022">
        <f t="shared" si="176"/>
        <v>0</v>
      </c>
      <c r="AI794" s="445"/>
      <c r="AK794" s="448"/>
      <c r="AL794" s="445"/>
    </row>
    <row r="795" spans="1:38" s="467" customFormat="1" ht="12.75" customHeight="1">
      <c r="A795" s="1033">
        <v>5214240</v>
      </c>
      <c r="B795" s="1033" t="s">
        <v>664</v>
      </c>
      <c r="C795" s="1034" t="str">
        <f t="shared" si="158"/>
        <v/>
      </c>
      <c r="D795" s="1033"/>
      <c r="E795" s="1033"/>
      <c r="F795" s="1034" t="str">
        <f t="shared" si="159"/>
        <v/>
      </c>
      <c r="G795" s="1033"/>
      <c r="H795" s="1033"/>
      <c r="I795" s="1034" t="str">
        <f t="shared" si="169"/>
        <v/>
      </c>
      <c r="J795" s="1035"/>
      <c r="K795" s="1035"/>
      <c r="L795" s="1034" t="str">
        <f t="shared" si="160"/>
        <v/>
      </c>
      <c r="M795" s="1035"/>
      <c r="N795" s="1035"/>
      <c r="O795" s="1036" t="str">
        <f t="shared" si="161"/>
        <v/>
      </c>
      <c r="P795" s="1033"/>
      <c r="Q795" s="1033"/>
      <c r="R795" s="1034" t="str">
        <f t="shared" si="162"/>
        <v/>
      </c>
      <c r="S795" s="1035"/>
      <c r="T795" s="1035"/>
      <c r="U795" s="1034" t="str">
        <f t="shared" si="163"/>
        <v/>
      </c>
      <c r="V795" s="1035"/>
      <c r="W795" s="1035"/>
      <c r="X795" s="1037" t="str">
        <f t="shared" si="173"/>
        <v>2</v>
      </c>
      <c r="Y795" s="1035"/>
      <c r="Z795" s="1035">
        <f t="shared" si="174"/>
        <v>2</v>
      </c>
      <c r="AA795" s="1035"/>
      <c r="AB795" s="1035"/>
      <c r="AC795" s="1021">
        <v>210922</v>
      </c>
      <c r="AD795" s="1021" t="s">
        <v>1571</v>
      </c>
      <c r="AE795" s="1022">
        <f>VLOOKUP(AC795,[5]Hoja1!$A$10:$K$1393,11,0)</f>
        <v>0</v>
      </c>
      <c r="AF795" s="1022"/>
      <c r="AG795" s="1022">
        <f t="shared" si="175"/>
        <v>0</v>
      </c>
      <c r="AH795" s="1022">
        <f t="shared" si="176"/>
        <v>0</v>
      </c>
      <c r="AK795" s="448"/>
      <c r="AL795" s="445"/>
    </row>
    <row r="796" spans="1:38" s="467" customFormat="1" ht="12.75" customHeight="1">
      <c r="A796" s="1033">
        <v>5214240</v>
      </c>
      <c r="B796" s="1033" t="s">
        <v>664</v>
      </c>
      <c r="C796" s="1034" t="str">
        <f t="shared" si="158"/>
        <v/>
      </c>
      <c r="D796" s="1033"/>
      <c r="E796" s="1033"/>
      <c r="F796" s="1034" t="str">
        <f t="shared" si="159"/>
        <v/>
      </c>
      <c r="G796" s="1033"/>
      <c r="H796" s="1033"/>
      <c r="I796" s="1034" t="str">
        <f t="shared" si="169"/>
        <v/>
      </c>
      <c r="J796" s="1033"/>
      <c r="K796" s="1033"/>
      <c r="L796" s="1034" t="str">
        <f t="shared" si="160"/>
        <v/>
      </c>
      <c r="M796" s="1035"/>
      <c r="N796" s="1035"/>
      <c r="O796" s="1036" t="str">
        <f t="shared" si="161"/>
        <v/>
      </c>
      <c r="P796" s="1033"/>
      <c r="Q796" s="1033"/>
      <c r="R796" s="1034" t="str">
        <f t="shared" si="162"/>
        <v/>
      </c>
      <c r="S796" s="1035"/>
      <c r="T796" s="1035"/>
      <c r="U796" s="1034" t="str">
        <f t="shared" si="163"/>
        <v/>
      </c>
      <c r="V796" s="1035"/>
      <c r="W796" s="1035"/>
      <c r="X796" s="1037" t="str">
        <f t="shared" si="173"/>
        <v>2</v>
      </c>
      <c r="Y796" s="1035"/>
      <c r="Z796" s="1035">
        <f t="shared" si="174"/>
        <v>2</v>
      </c>
      <c r="AA796" s="1035"/>
      <c r="AB796" s="1035"/>
      <c r="AC796" s="1021">
        <v>210923</v>
      </c>
      <c r="AD796" s="1021" t="s">
        <v>798</v>
      </c>
      <c r="AE796" s="1022">
        <f>VLOOKUP(AC796,[5]Hoja1!$A$10:$K$1393,11,0)</f>
        <v>0</v>
      </c>
      <c r="AF796" s="1022"/>
      <c r="AG796" s="1022">
        <f t="shared" si="175"/>
        <v>0</v>
      </c>
      <c r="AH796" s="1022">
        <f t="shared" si="176"/>
        <v>0</v>
      </c>
      <c r="AK796" s="448"/>
      <c r="AL796" s="445"/>
    </row>
    <row r="797" spans="1:38" s="467" customFormat="1" ht="12.75" customHeight="1">
      <c r="A797" s="1033">
        <v>5214240</v>
      </c>
      <c r="B797" s="1033" t="s">
        <v>664</v>
      </c>
      <c r="C797" s="1034" t="str">
        <f t="shared" si="158"/>
        <v/>
      </c>
      <c r="D797" s="1033"/>
      <c r="E797" s="1033"/>
      <c r="F797" s="1034" t="str">
        <f t="shared" si="159"/>
        <v/>
      </c>
      <c r="G797" s="1033"/>
      <c r="H797" s="1033"/>
      <c r="I797" s="1034" t="str">
        <f t="shared" si="169"/>
        <v/>
      </c>
      <c r="J797" s="1035"/>
      <c r="K797" s="1035"/>
      <c r="L797" s="1034" t="str">
        <f t="shared" si="160"/>
        <v/>
      </c>
      <c r="M797" s="1035"/>
      <c r="N797" s="1035"/>
      <c r="O797" s="1036" t="str">
        <f t="shared" si="161"/>
        <v/>
      </c>
      <c r="P797" s="1033"/>
      <c r="Q797" s="1033"/>
      <c r="R797" s="1034" t="str">
        <f t="shared" si="162"/>
        <v/>
      </c>
      <c r="S797" s="1035"/>
      <c r="T797" s="1035"/>
      <c r="U797" s="1034" t="str">
        <f t="shared" si="163"/>
        <v/>
      </c>
      <c r="V797" s="1035"/>
      <c r="W797" s="1035"/>
      <c r="X797" s="1037" t="str">
        <f t="shared" si="173"/>
        <v>2</v>
      </c>
      <c r="Y797" s="1035"/>
      <c r="Z797" s="1035">
        <f t="shared" si="174"/>
        <v>2</v>
      </c>
      <c r="AA797" s="1035"/>
      <c r="AB797" s="1035"/>
      <c r="AC797" s="1021">
        <v>210924</v>
      </c>
      <c r="AD797" s="1021" t="s">
        <v>799</v>
      </c>
      <c r="AE797" s="1022">
        <f>VLOOKUP(AC797,[5]Hoja1!$A$10:$K$1393,11,0)</f>
        <v>0</v>
      </c>
      <c r="AF797" s="1022"/>
      <c r="AG797" s="1022">
        <f t="shared" si="175"/>
        <v>0</v>
      </c>
      <c r="AH797" s="1022">
        <f t="shared" si="176"/>
        <v>0</v>
      </c>
      <c r="AK797" s="448"/>
      <c r="AL797" s="445"/>
    </row>
    <row r="798" spans="1:38" s="467" customFormat="1" ht="12.75" customHeight="1">
      <c r="A798" s="1033">
        <v>5214240</v>
      </c>
      <c r="B798" s="1033" t="s">
        <v>664</v>
      </c>
      <c r="C798" s="1034" t="str">
        <f>+D798&amp;E798</f>
        <v/>
      </c>
      <c r="D798" s="1033"/>
      <c r="E798" s="1033"/>
      <c r="F798" s="1034" t="str">
        <f>+G798&amp;H798</f>
        <v/>
      </c>
      <c r="G798" s="1033"/>
      <c r="H798" s="1033"/>
      <c r="I798" s="1034" t="str">
        <f>+J798&amp;K798</f>
        <v/>
      </c>
      <c r="J798" s="1035"/>
      <c r="K798" s="1035"/>
      <c r="L798" s="1034" t="str">
        <f>+M798&amp;N798</f>
        <v/>
      </c>
      <c r="M798" s="1035"/>
      <c r="N798" s="1035"/>
      <c r="O798" s="1036" t="str">
        <f>+P798&amp;Q798</f>
        <v/>
      </c>
      <c r="P798" s="1033"/>
      <c r="Q798" s="1033"/>
      <c r="R798" s="1034" t="str">
        <f>+S798&amp;T798</f>
        <v/>
      </c>
      <c r="S798" s="1035"/>
      <c r="T798" s="1035"/>
      <c r="U798" s="1034" t="str">
        <f>+V798&amp;W798</f>
        <v/>
      </c>
      <c r="V798" s="1035"/>
      <c r="W798" s="1035"/>
      <c r="X798" s="1037" t="str">
        <f t="shared" si="173"/>
        <v>2</v>
      </c>
      <c r="Y798" s="1035"/>
      <c r="Z798" s="1035">
        <f t="shared" si="174"/>
        <v>2</v>
      </c>
      <c r="AA798" s="1035"/>
      <c r="AB798" s="1035"/>
      <c r="AC798" s="1021">
        <v>210925</v>
      </c>
      <c r="AD798" s="1021" t="s">
        <v>1268</v>
      </c>
      <c r="AE798" s="1022">
        <f>VLOOKUP(AC798,[5]Hoja1!$A$10:$K$1393,11,0)</f>
        <v>0</v>
      </c>
      <c r="AF798" s="1022"/>
      <c r="AG798" s="1022">
        <f t="shared" si="175"/>
        <v>0</v>
      </c>
      <c r="AH798" s="1022">
        <f t="shared" si="176"/>
        <v>0</v>
      </c>
      <c r="AK798" s="448"/>
      <c r="AL798" s="445"/>
    </row>
    <row r="799" spans="1:38" s="467" customFormat="1" ht="12.75" customHeight="1">
      <c r="A799" s="1033">
        <v>5214240</v>
      </c>
      <c r="B799" s="1033" t="s">
        <v>664</v>
      </c>
      <c r="C799" s="1034" t="str">
        <f>+D799&amp;E799</f>
        <v/>
      </c>
      <c r="D799" s="1033"/>
      <c r="E799" s="1033"/>
      <c r="F799" s="1034" t="str">
        <f>+G799&amp;H799</f>
        <v/>
      </c>
      <c r="G799" s="1033"/>
      <c r="H799" s="1033"/>
      <c r="I799" s="1034" t="str">
        <f>+J799&amp;K799</f>
        <v/>
      </c>
      <c r="J799" s="1033"/>
      <c r="K799" s="1033"/>
      <c r="L799" s="1034" t="str">
        <f>+M799&amp;N799</f>
        <v/>
      </c>
      <c r="M799" s="1035"/>
      <c r="N799" s="1035"/>
      <c r="O799" s="1036" t="str">
        <f>+P799&amp;Q799</f>
        <v/>
      </c>
      <c r="P799" s="1033"/>
      <c r="Q799" s="1033"/>
      <c r="R799" s="1034" t="str">
        <f>+S799&amp;T799</f>
        <v/>
      </c>
      <c r="S799" s="1035"/>
      <c r="T799" s="1035"/>
      <c r="U799" s="1034" t="str">
        <f>+V799&amp;W799</f>
        <v/>
      </c>
      <c r="V799" s="1035"/>
      <c r="W799" s="1035"/>
      <c r="X799" s="1037" t="str">
        <f t="shared" si="173"/>
        <v>2</v>
      </c>
      <c r="Y799" s="1035"/>
      <c r="Z799" s="1035">
        <f t="shared" si="174"/>
        <v>2</v>
      </c>
      <c r="AA799" s="1035"/>
      <c r="AB799" s="1035"/>
      <c r="AC799" s="1021">
        <v>210926</v>
      </c>
      <c r="AD799" s="1021" t="s">
        <v>1269</v>
      </c>
      <c r="AE799" s="1022">
        <f>VLOOKUP(AC799,[5]Hoja1!$A$10:$K$1393,11,0)</f>
        <v>0</v>
      </c>
      <c r="AF799" s="1022"/>
      <c r="AG799" s="1022">
        <f t="shared" si="175"/>
        <v>0</v>
      </c>
      <c r="AH799" s="1022">
        <f t="shared" si="176"/>
        <v>0</v>
      </c>
      <c r="AK799" s="448"/>
      <c r="AL799" s="445"/>
    </row>
    <row r="800" spans="1:38" s="467" customFormat="1" ht="12.75" customHeight="1">
      <c r="A800" s="1033"/>
      <c r="B800" s="1033"/>
      <c r="C800" s="1034" t="str">
        <f>+D800&amp;E800</f>
        <v/>
      </c>
      <c r="D800" s="1033"/>
      <c r="E800" s="1033"/>
      <c r="F800" s="1034" t="str">
        <f>+G800&amp;H800</f>
        <v/>
      </c>
      <c r="G800" s="1033"/>
      <c r="H800" s="1033"/>
      <c r="I800" s="1034" t="str">
        <f>+J800&amp;K800</f>
        <v/>
      </c>
      <c r="J800" s="1033"/>
      <c r="K800" s="1033"/>
      <c r="L800" s="1034" t="str">
        <f>+M800&amp;N800</f>
        <v/>
      </c>
      <c r="M800" s="1035"/>
      <c r="N800" s="1035"/>
      <c r="O800" s="1036" t="str">
        <f>+P800&amp;Q800</f>
        <v/>
      </c>
      <c r="P800" s="1033"/>
      <c r="Q800" s="1033"/>
      <c r="R800" s="1034" t="str">
        <f>+S800&amp;T800</f>
        <v/>
      </c>
      <c r="S800" s="1035"/>
      <c r="T800" s="1035"/>
      <c r="U800" s="1034" t="str">
        <f>+V800&amp;W800</f>
        <v/>
      </c>
      <c r="V800" s="1035"/>
      <c r="W800" s="1035"/>
      <c r="X800" s="1037" t="str">
        <f t="shared" si="173"/>
        <v>2</v>
      </c>
      <c r="Y800" s="1035"/>
      <c r="Z800" s="1035">
        <f t="shared" si="174"/>
        <v>2</v>
      </c>
      <c r="AA800" s="1035"/>
      <c r="AB800" s="1035"/>
      <c r="AC800" s="1021">
        <v>210927</v>
      </c>
      <c r="AD800" s="1021" t="s">
        <v>1270</v>
      </c>
      <c r="AE800" s="1022">
        <v>0</v>
      </c>
      <c r="AF800" s="1022"/>
      <c r="AG800" s="1022">
        <f t="shared" si="175"/>
        <v>0</v>
      </c>
      <c r="AH800" s="1022">
        <f t="shared" si="176"/>
        <v>0</v>
      </c>
      <c r="AI800" s="491"/>
      <c r="AJ800" s="491"/>
      <c r="AK800" s="448"/>
      <c r="AL800" s="445"/>
    </row>
    <row r="801" spans="1:38" s="467" customFormat="1" ht="12.75" customHeight="1">
      <c r="A801" s="1033"/>
      <c r="B801" s="1033"/>
      <c r="C801" s="1034"/>
      <c r="D801" s="1033"/>
      <c r="E801" s="1033"/>
      <c r="F801" s="1034"/>
      <c r="G801" s="1033"/>
      <c r="H801" s="1033"/>
      <c r="I801" s="1034"/>
      <c r="J801" s="1033"/>
      <c r="K801" s="1033"/>
      <c r="L801" s="1034"/>
      <c r="M801" s="1035"/>
      <c r="N801" s="1035"/>
      <c r="O801" s="1036"/>
      <c r="P801" s="1033"/>
      <c r="Q801" s="1033"/>
      <c r="R801" s="1034"/>
      <c r="S801" s="1035"/>
      <c r="T801" s="1035"/>
      <c r="U801" s="1034"/>
      <c r="V801" s="1035"/>
      <c r="W801" s="1035"/>
      <c r="X801" s="1037"/>
      <c r="Y801" s="1035"/>
      <c r="Z801" s="1035">
        <f t="shared" si="174"/>
        <v>2</v>
      </c>
      <c r="AA801" s="1035"/>
      <c r="AB801" s="1035"/>
      <c r="AC801" s="1021">
        <v>210928</v>
      </c>
      <c r="AD801" s="1021" t="s">
        <v>2187</v>
      </c>
      <c r="AE801" s="1022">
        <v>0</v>
      </c>
      <c r="AF801" s="1022"/>
      <c r="AG801" s="1022">
        <f t="shared" si="175"/>
        <v>0</v>
      </c>
      <c r="AH801" s="1022">
        <f t="shared" si="176"/>
        <v>0</v>
      </c>
      <c r="AI801" s="491"/>
      <c r="AJ801" s="491"/>
      <c r="AK801" s="448"/>
      <c r="AL801" s="445"/>
    </row>
    <row r="802" spans="1:38" s="467" customFormat="1" ht="12.75" customHeight="1">
      <c r="A802" s="1033">
        <v>5214211</v>
      </c>
      <c r="B802" s="1033" t="s">
        <v>2790</v>
      </c>
      <c r="C802" s="1034" t="str">
        <f t="shared" ref="C802:C815" si="177">+D802&amp;E802</f>
        <v/>
      </c>
      <c r="D802" s="1033"/>
      <c r="E802" s="1033"/>
      <c r="F802" s="1034" t="str">
        <f t="shared" ref="F802:F815" si="178">+G802&amp;H802</f>
        <v/>
      </c>
      <c r="G802" s="1033"/>
      <c r="H802" s="1033"/>
      <c r="I802" s="1034" t="str">
        <f t="shared" ref="I802:I815" si="179">+J802&amp;K802</f>
        <v/>
      </c>
      <c r="J802" s="1033"/>
      <c r="K802" s="1033"/>
      <c r="L802" s="1034" t="str">
        <f t="shared" ref="L802:L815" si="180">+M802&amp;N802</f>
        <v/>
      </c>
      <c r="M802" s="1035"/>
      <c r="N802" s="1035"/>
      <c r="O802" s="1036" t="str">
        <f t="shared" ref="O802:O815" si="181">+P802&amp;Q802</f>
        <v/>
      </c>
      <c r="P802" s="1033"/>
      <c r="Q802" s="1033"/>
      <c r="R802" s="1034" t="str">
        <f t="shared" ref="R802:R815" si="182">+S802&amp;T802</f>
        <v/>
      </c>
      <c r="S802" s="1035"/>
      <c r="T802" s="1035"/>
      <c r="U802" s="1034" t="str">
        <f t="shared" ref="U802:U815" si="183">+V802&amp;W802</f>
        <v/>
      </c>
      <c r="V802" s="1035"/>
      <c r="W802" s="1035"/>
      <c r="X802" s="1037" t="str">
        <f t="shared" ref="X802:X816" si="184">+Y802&amp;Z802</f>
        <v>2</v>
      </c>
      <c r="Y802" s="1035"/>
      <c r="Z802" s="1035">
        <f t="shared" si="174"/>
        <v>2</v>
      </c>
      <c r="AA802" s="1033" t="s">
        <v>2901</v>
      </c>
      <c r="AB802" s="1033" t="s">
        <v>2898</v>
      </c>
      <c r="AC802" s="1021">
        <v>211001</v>
      </c>
      <c r="AD802" s="1021" t="s">
        <v>1302</v>
      </c>
      <c r="AE802" s="1022">
        <f>VLOOKUP(AC802,[5]Hoja1!$A$10:$K$1393,11,0)</f>
        <v>-70096812</v>
      </c>
      <c r="AF802" s="1022">
        <v>0</v>
      </c>
      <c r="AG802" s="1022">
        <f t="shared" si="175"/>
        <v>-70096812</v>
      </c>
      <c r="AH802" s="1022">
        <f t="shared" si="176"/>
        <v>-70097</v>
      </c>
      <c r="AI802" s="445">
        <f>+AF802+AF837</f>
        <v>0</v>
      </c>
      <c r="AK802" s="448"/>
      <c r="AL802" s="445"/>
    </row>
    <row r="803" spans="1:38" s="467" customFormat="1" ht="12.75" customHeight="1">
      <c r="A803" s="1033">
        <v>5214211</v>
      </c>
      <c r="B803" s="1033" t="s">
        <v>2790</v>
      </c>
      <c r="C803" s="1034" t="str">
        <f t="shared" si="177"/>
        <v/>
      </c>
      <c r="D803" s="1033"/>
      <c r="E803" s="1033"/>
      <c r="F803" s="1034" t="str">
        <f t="shared" si="178"/>
        <v/>
      </c>
      <c r="G803" s="1033"/>
      <c r="H803" s="1033"/>
      <c r="I803" s="1034" t="str">
        <f t="shared" si="179"/>
        <v/>
      </c>
      <c r="J803" s="1033"/>
      <c r="K803" s="1033"/>
      <c r="L803" s="1034" t="str">
        <f t="shared" si="180"/>
        <v/>
      </c>
      <c r="M803" s="1035"/>
      <c r="N803" s="1035"/>
      <c r="O803" s="1036" t="str">
        <f t="shared" si="181"/>
        <v/>
      </c>
      <c r="P803" s="1033"/>
      <c r="Q803" s="1033"/>
      <c r="R803" s="1034" t="str">
        <f t="shared" si="182"/>
        <v/>
      </c>
      <c r="S803" s="1035"/>
      <c r="T803" s="1035"/>
      <c r="U803" s="1034" t="str">
        <f t="shared" si="183"/>
        <v/>
      </c>
      <c r="V803" s="1035"/>
      <c r="W803" s="1035"/>
      <c r="X803" s="1037" t="str">
        <f t="shared" si="184"/>
        <v>2</v>
      </c>
      <c r="Y803" s="1035"/>
      <c r="Z803" s="1035">
        <f t="shared" si="174"/>
        <v>2</v>
      </c>
      <c r="AA803" s="1033" t="s">
        <v>2901</v>
      </c>
      <c r="AB803" s="1033" t="s">
        <v>2898</v>
      </c>
      <c r="AC803" s="1021">
        <v>211002</v>
      </c>
      <c r="AD803" s="1021" t="s">
        <v>2188</v>
      </c>
      <c r="AE803" s="1022">
        <f>VLOOKUP(AC803,[5]Hoja1!$A$10:$K$1393,11,0)</f>
        <v>-17697420</v>
      </c>
      <c r="AF803" s="1022"/>
      <c r="AG803" s="1022">
        <f t="shared" si="175"/>
        <v>-17697420</v>
      </c>
      <c r="AH803" s="1022">
        <f t="shared" si="176"/>
        <v>-17697</v>
      </c>
      <c r="AK803" s="448"/>
      <c r="AL803" s="445"/>
    </row>
    <row r="804" spans="1:38" s="467" customFormat="1" ht="12.75" customHeight="1">
      <c r="A804" s="1033">
        <v>5214211</v>
      </c>
      <c r="B804" s="1033" t="s">
        <v>2790</v>
      </c>
      <c r="C804" s="1034" t="str">
        <f t="shared" si="177"/>
        <v/>
      </c>
      <c r="D804" s="1033"/>
      <c r="E804" s="1033"/>
      <c r="F804" s="1034" t="str">
        <f t="shared" si="178"/>
        <v/>
      </c>
      <c r="G804" s="1033"/>
      <c r="H804" s="1033"/>
      <c r="I804" s="1034" t="str">
        <f t="shared" si="179"/>
        <v/>
      </c>
      <c r="J804" s="1033"/>
      <c r="K804" s="1033"/>
      <c r="L804" s="1034" t="str">
        <f t="shared" si="180"/>
        <v/>
      </c>
      <c r="M804" s="1035"/>
      <c r="N804" s="1035"/>
      <c r="O804" s="1036" t="str">
        <f t="shared" si="181"/>
        <v/>
      </c>
      <c r="P804" s="1033"/>
      <c r="Q804" s="1033"/>
      <c r="R804" s="1034" t="str">
        <f t="shared" si="182"/>
        <v/>
      </c>
      <c r="S804" s="1035"/>
      <c r="T804" s="1035"/>
      <c r="U804" s="1034" t="str">
        <f t="shared" si="183"/>
        <v/>
      </c>
      <c r="V804" s="1035"/>
      <c r="W804" s="1035"/>
      <c r="X804" s="1037" t="str">
        <f t="shared" si="184"/>
        <v>2</v>
      </c>
      <c r="Y804" s="1035"/>
      <c r="Z804" s="1035">
        <f t="shared" si="174"/>
        <v>2</v>
      </c>
      <c r="AA804" s="1033" t="s">
        <v>2901</v>
      </c>
      <c r="AB804" s="1035"/>
      <c r="AC804" s="1021">
        <v>211003</v>
      </c>
      <c r="AD804" s="1021" t="s">
        <v>1308</v>
      </c>
      <c r="AE804" s="1022">
        <f>VLOOKUP(AC804,[5]Hoja1!$A$10:$K$1393,11,0)</f>
        <v>-234341632</v>
      </c>
      <c r="AF804" s="1191">
        <f>-AE804</f>
        <v>234341632</v>
      </c>
      <c r="AG804" s="1022">
        <f t="shared" si="175"/>
        <v>0</v>
      </c>
      <c r="AH804" s="1022">
        <f t="shared" si="176"/>
        <v>0</v>
      </c>
      <c r="AK804" s="448"/>
      <c r="AL804" s="445"/>
    </row>
    <row r="805" spans="1:38" s="467" customFormat="1" ht="12.75" customHeight="1">
      <c r="A805" s="1033">
        <v>5214211</v>
      </c>
      <c r="B805" s="1033" t="s">
        <v>2790</v>
      </c>
      <c r="C805" s="1034" t="str">
        <f t="shared" si="177"/>
        <v/>
      </c>
      <c r="D805" s="1033"/>
      <c r="E805" s="1033"/>
      <c r="F805" s="1034" t="str">
        <f t="shared" si="178"/>
        <v/>
      </c>
      <c r="G805" s="1033"/>
      <c r="H805" s="1033"/>
      <c r="I805" s="1034" t="str">
        <f t="shared" si="179"/>
        <v/>
      </c>
      <c r="J805" s="1033"/>
      <c r="K805" s="1033"/>
      <c r="L805" s="1034" t="str">
        <f t="shared" si="180"/>
        <v/>
      </c>
      <c r="M805" s="1035"/>
      <c r="N805" s="1035"/>
      <c r="O805" s="1036" t="str">
        <f t="shared" si="181"/>
        <v/>
      </c>
      <c r="P805" s="1033"/>
      <c r="Q805" s="1033"/>
      <c r="R805" s="1034" t="str">
        <f t="shared" si="182"/>
        <v/>
      </c>
      <c r="S805" s="1035"/>
      <c r="T805" s="1035"/>
      <c r="U805" s="1034" t="str">
        <f t="shared" si="183"/>
        <v/>
      </c>
      <c r="V805" s="1035"/>
      <c r="W805" s="1035"/>
      <c r="X805" s="1037" t="str">
        <f t="shared" si="184"/>
        <v>2</v>
      </c>
      <c r="Y805" s="1035"/>
      <c r="Z805" s="1035">
        <f t="shared" si="174"/>
        <v>2</v>
      </c>
      <c r="AA805" s="1033" t="s">
        <v>2901</v>
      </c>
      <c r="AB805" s="1033" t="s">
        <v>2898</v>
      </c>
      <c r="AC805" s="1021">
        <v>211004</v>
      </c>
      <c r="AD805" s="1021" t="s">
        <v>29</v>
      </c>
      <c r="AE805" s="1022">
        <f>VLOOKUP(AC805,[5]Hoja1!$A$10:$K$1393,11,0)</f>
        <v>-17068661</v>
      </c>
      <c r="AF805" s="1022"/>
      <c r="AG805" s="1022">
        <f t="shared" si="175"/>
        <v>-17068661</v>
      </c>
      <c r="AH805" s="1022">
        <f t="shared" si="176"/>
        <v>-17069</v>
      </c>
      <c r="AK805" s="448"/>
      <c r="AL805" s="445"/>
    </row>
    <row r="806" spans="1:38" s="467" customFormat="1" ht="12.75" customHeight="1">
      <c r="A806" s="1033">
        <v>5214211</v>
      </c>
      <c r="B806" s="1033" t="s">
        <v>2790</v>
      </c>
      <c r="C806" s="1034" t="str">
        <f t="shared" si="177"/>
        <v/>
      </c>
      <c r="D806" s="1033"/>
      <c r="E806" s="1033"/>
      <c r="F806" s="1034" t="str">
        <f t="shared" si="178"/>
        <v/>
      </c>
      <c r="G806" s="1033"/>
      <c r="H806" s="1033"/>
      <c r="I806" s="1034" t="str">
        <f t="shared" si="179"/>
        <v/>
      </c>
      <c r="J806" s="1033"/>
      <c r="K806" s="1033"/>
      <c r="L806" s="1034" t="str">
        <f t="shared" si="180"/>
        <v/>
      </c>
      <c r="M806" s="1035"/>
      <c r="N806" s="1035"/>
      <c r="O806" s="1036" t="str">
        <f t="shared" si="181"/>
        <v/>
      </c>
      <c r="P806" s="1033"/>
      <c r="Q806" s="1033"/>
      <c r="R806" s="1034" t="str">
        <f t="shared" si="182"/>
        <v/>
      </c>
      <c r="S806" s="1035"/>
      <c r="T806" s="1035"/>
      <c r="U806" s="1034" t="str">
        <f t="shared" si="183"/>
        <v/>
      </c>
      <c r="V806" s="1035"/>
      <c r="W806" s="1035"/>
      <c r="X806" s="1037" t="str">
        <f t="shared" si="184"/>
        <v>2</v>
      </c>
      <c r="Y806" s="1035"/>
      <c r="Z806" s="1035">
        <f t="shared" si="174"/>
        <v>2</v>
      </c>
      <c r="AA806" s="1033" t="s">
        <v>2901</v>
      </c>
      <c r="AB806" s="1033" t="s">
        <v>2897</v>
      </c>
      <c r="AC806" s="1021">
        <v>211005</v>
      </c>
      <c r="AD806" s="1021" t="s">
        <v>32</v>
      </c>
      <c r="AE806" s="1022">
        <f>VLOOKUP(AC806,[5]Hoja1!$A$10:$K$1393,11,0)</f>
        <v>-637095357</v>
      </c>
      <c r="AF806" s="1509">
        <f>-AF444</f>
        <v>443777025</v>
      </c>
      <c r="AG806" s="1022">
        <f t="shared" si="175"/>
        <v>-193318332</v>
      </c>
      <c r="AH806" s="1022">
        <f t="shared" si="176"/>
        <v>-193318</v>
      </c>
      <c r="AK806" s="448"/>
      <c r="AL806" s="445"/>
    </row>
    <row r="807" spans="1:38" s="467" customFormat="1" ht="12.75" customHeight="1">
      <c r="A807" s="1033">
        <v>5214211</v>
      </c>
      <c r="B807" s="1033" t="s">
        <v>2790</v>
      </c>
      <c r="C807" s="1034" t="str">
        <f t="shared" si="177"/>
        <v/>
      </c>
      <c r="D807" s="1033"/>
      <c r="E807" s="1033"/>
      <c r="F807" s="1034" t="str">
        <f t="shared" si="178"/>
        <v/>
      </c>
      <c r="G807" s="1033"/>
      <c r="H807" s="1033"/>
      <c r="I807" s="1034" t="str">
        <f t="shared" si="179"/>
        <v/>
      </c>
      <c r="J807" s="1033"/>
      <c r="K807" s="1033"/>
      <c r="L807" s="1034" t="str">
        <f t="shared" si="180"/>
        <v/>
      </c>
      <c r="M807" s="1035"/>
      <c r="N807" s="1035"/>
      <c r="O807" s="1036" t="str">
        <f t="shared" si="181"/>
        <v/>
      </c>
      <c r="P807" s="1033"/>
      <c r="Q807" s="1033"/>
      <c r="R807" s="1034" t="str">
        <f t="shared" si="182"/>
        <v/>
      </c>
      <c r="S807" s="1035"/>
      <c r="T807" s="1035"/>
      <c r="U807" s="1034" t="str">
        <f t="shared" si="183"/>
        <v/>
      </c>
      <c r="V807" s="1035"/>
      <c r="W807" s="1035"/>
      <c r="X807" s="1037" t="str">
        <f t="shared" si="184"/>
        <v>2</v>
      </c>
      <c r="Y807" s="1035"/>
      <c r="Z807" s="1035">
        <f t="shared" si="174"/>
        <v>2</v>
      </c>
      <c r="AA807" s="1033" t="s">
        <v>2901</v>
      </c>
      <c r="AB807" s="1033" t="s">
        <v>2846</v>
      </c>
      <c r="AC807" s="1021">
        <v>211006</v>
      </c>
      <c r="AD807" s="1021" t="s">
        <v>2189</v>
      </c>
      <c r="AE807" s="1022">
        <f>VLOOKUP(AC807,[5]Hoja1!$A$10:$K$1393,11,0)</f>
        <v>-1376735420</v>
      </c>
      <c r="AF807" s="1022">
        <v>0</v>
      </c>
      <c r="AG807" s="1022">
        <f t="shared" si="175"/>
        <v>-1376735420</v>
      </c>
      <c r="AH807" s="1022">
        <f t="shared" si="176"/>
        <v>-1376735</v>
      </c>
      <c r="AK807" s="448"/>
      <c r="AL807" s="445"/>
    </row>
    <row r="808" spans="1:38" s="467" customFormat="1" ht="12.75" customHeight="1">
      <c r="A808" s="1033">
        <v>5214211</v>
      </c>
      <c r="B808" s="1033" t="s">
        <v>2790</v>
      </c>
      <c r="C808" s="1034" t="str">
        <f t="shared" si="177"/>
        <v/>
      </c>
      <c r="D808" s="1033"/>
      <c r="E808" s="1033"/>
      <c r="F808" s="1034" t="str">
        <f t="shared" si="178"/>
        <v/>
      </c>
      <c r="G808" s="1033"/>
      <c r="H808" s="1033"/>
      <c r="I808" s="1034" t="str">
        <f t="shared" si="179"/>
        <v/>
      </c>
      <c r="J808" s="1033"/>
      <c r="K808" s="1033"/>
      <c r="L808" s="1034" t="str">
        <f t="shared" si="180"/>
        <v/>
      </c>
      <c r="M808" s="1035"/>
      <c r="N808" s="1035"/>
      <c r="O808" s="1036" t="str">
        <f t="shared" si="181"/>
        <v/>
      </c>
      <c r="P808" s="1033"/>
      <c r="Q808" s="1033"/>
      <c r="R808" s="1034" t="str">
        <f t="shared" si="182"/>
        <v/>
      </c>
      <c r="S808" s="1035"/>
      <c r="T808" s="1035"/>
      <c r="U808" s="1034" t="str">
        <f t="shared" si="183"/>
        <v/>
      </c>
      <c r="V808" s="1035"/>
      <c r="W808" s="1035"/>
      <c r="X808" s="1037" t="str">
        <f t="shared" si="184"/>
        <v>2</v>
      </c>
      <c r="Y808" s="1035"/>
      <c r="Z808" s="1035">
        <f t="shared" si="174"/>
        <v>2</v>
      </c>
      <c r="AA808" s="1033" t="s">
        <v>2901</v>
      </c>
      <c r="AB808" s="1033" t="s">
        <v>2846</v>
      </c>
      <c r="AC808" s="1021">
        <v>211007</v>
      </c>
      <c r="AD808" s="1021" t="s">
        <v>31</v>
      </c>
      <c r="AE808" s="1022">
        <f>VLOOKUP(AC808,[5]Hoja1!$A$10:$K$1393,11,0)</f>
        <v>-157696138</v>
      </c>
      <c r="AF808" s="1022">
        <v>0</v>
      </c>
      <c r="AG808" s="1022">
        <f t="shared" si="175"/>
        <v>-157696138</v>
      </c>
      <c r="AH808" s="1022">
        <f t="shared" si="176"/>
        <v>-157696</v>
      </c>
      <c r="AK808" s="448"/>
      <c r="AL808" s="445"/>
    </row>
    <row r="809" spans="1:38" s="467" customFormat="1" ht="12.75" customHeight="1">
      <c r="A809" s="1033">
        <v>5214211</v>
      </c>
      <c r="B809" s="1033" t="s">
        <v>2790</v>
      </c>
      <c r="C809" s="1034" t="str">
        <f t="shared" si="177"/>
        <v/>
      </c>
      <c r="D809" s="1033"/>
      <c r="E809" s="1033"/>
      <c r="F809" s="1034" t="str">
        <f t="shared" si="178"/>
        <v/>
      </c>
      <c r="G809" s="1033"/>
      <c r="H809" s="1033"/>
      <c r="I809" s="1034" t="str">
        <f t="shared" si="179"/>
        <v/>
      </c>
      <c r="J809" s="1033"/>
      <c r="K809" s="1033"/>
      <c r="L809" s="1034" t="str">
        <f t="shared" si="180"/>
        <v/>
      </c>
      <c r="M809" s="1035"/>
      <c r="N809" s="1035"/>
      <c r="O809" s="1036" t="str">
        <f t="shared" si="181"/>
        <v/>
      </c>
      <c r="P809" s="1033"/>
      <c r="Q809" s="1033"/>
      <c r="R809" s="1034" t="str">
        <f t="shared" si="182"/>
        <v/>
      </c>
      <c r="S809" s="1035"/>
      <c r="T809" s="1035"/>
      <c r="U809" s="1034" t="str">
        <f t="shared" si="183"/>
        <v/>
      </c>
      <c r="V809" s="1035"/>
      <c r="W809" s="1035"/>
      <c r="X809" s="1037" t="str">
        <f t="shared" si="184"/>
        <v>2</v>
      </c>
      <c r="Y809" s="1035"/>
      <c r="Z809" s="1035">
        <f t="shared" si="174"/>
        <v>2</v>
      </c>
      <c r="AA809" s="1033" t="s">
        <v>2901</v>
      </c>
      <c r="AB809" s="1033" t="s">
        <v>2897</v>
      </c>
      <c r="AC809" s="1021">
        <v>211008</v>
      </c>
      <c r="AD809" s="1021" t="s">
        <v>33</v>
      </c>
      <c r="AE809" s="1022">
        <f>VLOOKUP(AC809,[5]Hoja1!$A$10:$K$1393,11,0)</f>
        <v>-1007611</v>
      </c>
      <c r="AF809" s="1022"/>
      <c r="AG809" s="1022">
        <f t="shared" si="175"/>
        <v>-1007611</v>
      </c>
      <c r="AH809" s="1022">
        <f t="shared" si="176"/>
        <v>-1008</v>
      </c>
      <c r="AK809" s="448"/>
      <c r="AL809" s="445"/>
    </row>
    <row r="810" spans="1:38" s="467" customFormat="1" ht="12.75" customHeight="1">
      <c r="A810" s="1033">
        <v>5214211</v>
      </c>
      <c r="B810" s="1033" t="s">
        <v>2790</v>
      </c>
      <c r="C810" s="1034" t="str">
        <f t="shared" si="177"/>
        <v/>
      </c>
      <c r="D810" s="1035"/>
      <c r="E810" s="1035"/>
      <c r="F810" s="1034" t="str">
        <f t="shared" si="178"/>
        <v/>
      </c>
      <c r="G810" s="1033"/>
      <c r="H810" s="1033"/>
      <c r="I810" s="1034" t="str">
        <f t="shared" si="179"/>
        <v/>
      </c>
      <c r="J810" s="1033"/>
      <c r="K810" s="1033"/>
      <c r="L810" s="1034" t="str">
        <f t="shared" si="180"/>
        <v/>
      </c>
      <c r="M810" s="1035"/>
      <c r="N810" s="1035"/>
      <c r="O810" s="1036" t="str">
        <f t="shared" si="181"/>
        <v/>
      </c>
      <c r="P810" s="1033"/>
      <c r="Q810" s="1033"/>
      <c r="R810" s="1034" t="str">
        <f t="shared" si="182"/>
        <v/>
      </c>
      <c r="S810" s="1035"/>
      <c r="T810" s="1035"/>
      <c r="U810" s="1034" t="str">
        <f t="shared" si="183"/>
        <v/>
      </c>
      <c r="V810" s="1035"/>
      <c r="W810" s="1035"/>
      <c r="X810" s="1037" t="str">
        <f t="shared" si="184"/>
        <v>2</v>
      </c>
      <c r="Y810" s="1035"/>
      <c r="Z810" s="1035">
        <f t="shared" si="174"/>
        <v>2</v>
      </c>
      <c r="AA810" s="1033" t="s">
        <v>2901</v>
      </c>
      <c r="AB810" s="1033" t="s">
        <v>2902</v>
      </c>
      <c r="AC810" s="1021">
        <v>211009</v>
      </c>
      <c r="AD810" s="1021" t="s">
        <v>1565</v>
      </c>
      <c r="AE810" s="1022">
        <f>VLOOKUP(AC810,[5]Hoja1!$A$10:$K$1393,11,0)</f>
        <v>-6846724</v>
      </c>
      <c r="AF810" s="1022"/>
      <c r="AG810" s="1022">
        <f t="shared" si="175"/>
        <v>-6846724</v>
      </c>
      <c r="AH810" s="1022">
        <f t="shared" si="176"/>
        <v>-6847</v>
      </c>
      <c r="AK810" s="448"/>
      <c r="AL810" s="445"/>
    </row>
    <row r="811" spans="1:38" s="467" customFormat="1" ht="12.75" customHeight="1">
      <c r="A811" s="1033">
        <v>5214211</v>
      </c>
      <c r="B811" s="1033" t="s">
        <v>2790</v>
      </c>
      <c r="C811" s="1034" t="str">
        <f t="shared" si="177"/>
        <v/>
      </c>
      <c r="D811" s="1035"/>
      <c r="E811" s="1035"/>
      <c r="F811" s="1034" t="str">
        <f t="shared" si="178"/>
        <v/>
      </c>
      <c r="G811" s="1033"/>
      <c r="H811" s="1033"/>
      <c r="I811" s="1034" t="str">
        <f t="shared" si="179"/>
        <v/>
      </c>
      <c r="J811" s="1033"/>
      <c r="K811" s="1033"/>
      <c r="L811" s="1034" t="str">
        <f t="shared" si="180"/>
        <v/>
      </c>
      <c r="M811" s="1035"/>
      <c r="N811" s="1035"/>
      <c r="O811" s="1036" t="str">
        <f t="shared" si="181"/>
        <v/>
      </c>
      <c r="P811" s="1033"/>
      <c r="Q811" s="1033"/>
      <c r="R811" s="1034" t="str">
        <f t="shared" si="182"/>
        <v/>
      </c>
      <c r="S811" s="1035"/>
      <c r="T811" s="1035"/>
      <c r="U811" s="1034" t="str">
        <f t="shared" si="183"/>
        <v/>
      </c>
      <c r="V811" s="1035"/>
      <c r="W811" s="1035"/>
      <c r="X811" s="1037" t="str">
        <f t="shared" si="184"/>
        <v>2</v>
      </c>
      <c r="Y811" s="1035"/>
      <c r="Z811" s="1035">
        <f t="shared" si="174"/>
        <v>2</v>
      </c>
      <c r="AA811" s="1033" t="s">
        <v>2901</v>
      </c>
      <c r="AB811" s="1033" t="s">
        <v>2902</v>
      </c>
      <c r="AC811" s="1021">
        <v>211010</v>
      </c>
      <c r="AD811" s="1021" t="s">
        <v>2190</v>
      </c>
      <c r="AE811" s="1022">
        <f>VLOOKUP(AC811,[5]Hoja1!$A$10:$K$1393,11,0)</f>
        <v>-2143437</v>
      </c>
      <c r="AF811" s="1022">
        <v>0</v>
      </c>
      <c r="AG811" s="1022">
        <f t="shared" si="175"/>
        <v>-2143437</v>
      </c>
      <c r="AH811" s="1022">
        <f t="shared" si="176"/>
        <v>-2143</v>
      </c>
      <c r="AK811" s="448"/>
      <c r="AL811" s="445"/>
    </row>
    <row r="812" spans="1:38" s="467" customFormat="1" ht="12.75" customHeight="1">
      <c r="A812" s="1033">
        <v>5214211</v>
      </c>
      <c r="B812" s="1033" t="s">
        <v>2790</v>
      </c>
      <c r="C812" s="1034" t="str">
        <f t="shared" si="177"/>
        <v/>
      </c>
      <c r="D812" s="1033"/>
      <c r="E812" s="1033"/>
      <c r="F812" s="1034" t="str">
        <f t="shared" si="178"/>
        <v/>
      </c>
      <c r="G812" s="1033"/>
      <c r="H812" s="1033"/>
      <c r="I812" s="1034" t="str">
        <f t="shared" si="179"/>
        <v/>
      </c>
      <c r="J812" s="1033"/>
      <c r="K812" s="1033"/>
      <c r="L812" s="1034" t="str">
        <f t="shared" si="180"/>
        <v/>
      </c>
      <c r="M812" s="1035"/>
      <c r="N812" s="1035"/>
      <c r="O812" s="1036" t="str">
        <f t="shared" si="181"/>
        <v/>
      </c>
      <c r="P812" s="1033"/>
      <c r="Q812" s="1033"/>
      <c r="R812" s="1034" t="str">
        <f t="shared" si="182"/>
        <v/>
      </c>
      <c r="S812" s="1035"/>
      <c r="T812" s="1035"/>
      <c r="U812" s="1034" t="str">
        <f t="shared" si="183"/>
        <v/>
      </c>
      <c r="V812" s="1035"/>
      <c r="W812" s="1035"/>
      <c r="X812" s="1037" t="str">
        <f t="shared" si="184"/>
        <v>222</v>
      </c>
      <c r="Y812" s="1035">
        <v>22</v>
      </c>
      <c r="Z812" s="1035">
        <f t="shared" si="174"/>
        <v>2</v>
      </c>
      <c r="AA812" s="1033" t="s">
        <v>2901</v>
      </c>
      <c r="AB812" s="1033" t="s">
        <v>2902</v>
      </c>
      <c r="AC812" s="1021">
        <v>211011</v>
      </c>
      <c r="AD812" s="1021" t="s">
        <v>1656</v>
      </c>
      <c r="AE812" s="1022">
        <f>VLOOKUP(AC812,[5]Hoja1!$A$10:$K$1393,11,0)</f>
        <v>-1</v>
      </c>
      <c r="AF812" s="1022">
        <v>0</v>
      </c>
      <c r="AG812" s="1022">
        <f t="shared" si="175"/>
        <v>-1</v>
      </c>
      <c r="AH812" s="1022">
        <f t="shared" si="176"/>
        <v>0</v>
      </c>
      <c r="AK812" s="448"/>
      <c r="AL812" s="445"/>
    </row>
    <row r="813" spans="1:38" s="467" customFormat="1" ht="12.75" customHeight="1">
      <c r="A813" s="1033">
        <v>5214211</v>
      </c>
      <c r="B813" s="1033" t="s">
        <v>2790</v>
      </c>
      <c r="C813" s="1034" t="str">
        <f t="shared" si="177"/>
        <v/>
      </c>
      <c r="D813" s="1033"/>
      <c r="E813" s="1033"/>
      <c r="F813" s="1034" t="str">
        <f t="shared" si="178"/>
        <v/>
      </c>
      <c r="G813" s="1033"/>
      <c r="H813" s="1033"/>
      <c r="I813" s="1034" t="str">
        <f t="shared" si="179"/>
        <v/>
      </c>
      <c r="J813" s="1033"/>
      <c r="K813" s="1033"/>
      <c r="L813" s="1034" t="str">
        <f t="shared" si="180"/>
        <v/>
      </c>
      <c r="M813" s="1035"/>
      <c r="N813" s="1035"/>
      <c r="O813" s="1036" t="str">
        <f t="shared" si="181"/>
        <v/>
      </c>
      <c r="P813" s="1033"/>
      <c r="Q813" s="1033"/>
      <c r="R813" s="1034" t="str">
        <f t="shared" si="182"/>
        <v/>
      </c>
      <c r="S813" s="1035"/>
      <c r="T813" s="1035"/>
      <c r="U813" s="1034" t="str">
        <f t="shared" si="183"/>
        <v/>
      </c>
      <c r="V813" s="1035"/>
      <c r="W813" s="1035"/>
      <c r="X813" s="1037" t="str">
        <f t="shared" si="184"/>
        <v>2</v>
      </c>
      <c r="Y813" s="1035"/>
      <c r="Z813" s="1035">
        <f t="shared" si="174"/>
        <v>2</v>
      </c>
      <c r="AA813" s="1033" t="s">
        <v>2901</v>
      </c>
      <c r="AB813" s="1033" t="s">
        <v>2902</v>
      </c>
      <c r="AC813" s="1021">
        <v>211012</v>
      </c>
      <c r="AD813" s="1021" t="s">
        <v>30</v>
      </c>
      <c r="AE813" s="1022">
        <f>VLOOKUP(AC813,[5]Hoja1!$A$10:$K$1393,11,0)</f>
        <v>-5830363</v>
      </c>
      <c r="AF813" s="1022"/>
      <c r="AG813" s="1022">
        <f t="shared" si="175"/>
        <v>-5830363</v>
      </c>
      <c r="AH813" s="1022">
        <f t="shared" si="176"/>
        <v>-5830</v>
      </c>
      <c r="AK813" s="448"/>
      <c r="AL813" s="445"/>
    </row>
    <row r="814" spans="1:38" s="467" customFormat="1" ht="12.75" customHeight="1">
      <c r="A814" s="1033">
        <v>5214211</v>
      </c>
      <c r="B814" s="1033" t="s">
        <v>2790</v>
      </c>
      <c r="C814" s="1034" t="str">
        <f t="shared" si="177"/>
        <v/>
      </c>
      <c r="D814" s="1033"/>
      <c r="E814" s="1033"/>
      <c r="F814" s="1034" t="str">
        <f t="shared" si="178"/>
        <v/>
      </c>
      <c r="G814" s="1033"/>
      <c r="H814" s="1033"/>
      <c r="I814" s="1034" t="str">
        <f t="shared" si="179"/>
        <v/>
      </c>
      <c r="J814" s="1033"/>
      <c r="K814" s="1033"/>
      <c r="L814" s="1034" t="str">
        <f t="shared" si="180"/>
        <v/>
      </c>
      <c r="M814" s="1035"/>
      <c r="N814" s="1035"/>
      <c r="O814" s="1036" t="str">
        <f t="shared" si="181"/>
        <v/>
      </c>
      <c r="P814" s="1033"/>
      <c r="Q814" s="1033"/>
      <c r="R814" s="1034" t="str">
        <f t="shared" si="182"/>
        <v/>
      </c>
      <c r="S814" s="1035"/>
      <c r="T814" s="1035"/>
      <c r="U814" s="1034" t="str">
        <f t="shared" si="183"/>
        <v/>
      </c>
      <c r="V814" s="1035"/>
      <c r="W814" s="1035"/>
      <c r="X814" s="1037" t="str">
        <f t="shared" si="184"/>
        <v>2</v>
      </c>
      <c r="Y814" s="1035"/>
      <c r="Z814" s="1035">
        <f t="shared" si="174"/>
        <v>2</v>
      </c>
      <c r="AA814" s="1033" t="s">
        <v>2901</v>
      </c>
      <c r="AB814" s="1035"/>
      <c r="AC814" s="1021">
        <v>211013</v>
      </c>
      <c r="AD814" s="1021" t="s">
        <v>1562</v>
      </c>
      <c r="AE814" s="1022">
        <f>VLOOKUP(AC814,[5]Hoja1!$A$10:$K$1393,11,0)</f>
        <v>0</v>
      </c>
      <c r="AF814" s="1022"/>
      <c r="AG814" s="1022">
        <f t="shared" si="175"/>
        <v>0</v>
      </c>
      <c r="AH814" s="1022">
        <f t="shared" si="176"/>
        <v>0</v>
      </c>
      <c r="AK814" s="448"/>
      <c r="AL814" s="445"/>
    </row>
    <row r="815" spans="1:38" s="467" customFormat="1" ht="12.75" customHeight="1">
      <c r="A815" s="1033">
        <v>5214211</v>
      </c>
      <c r="B815" s="1033" t="s">
        <v>2790</v>
      </c>
      <c r="C815" s="1034" t="str">
        <f t="shared" si="177"/>
        <v/>
      </c>
      <c r="D815" s="1033"/>
      <c r="E815" s="1033"/>
      <c r="F815" s="1034" t="str">
        <f t="shared" si="178"/>
        <v/>
      </c>
      <c r="G815" s="1033"/>
      <c r="H815" s="1033"/>
      <c r="I815" s="1034" t="str">
        <f t="shared" si="179"/>
        <v/>
      </c>
      <c r="J815" s="1033"/>
      <c r="K815" s="1033"/>
      <c r="L815" s="1034" t="str">
        <f t="shared" si="180"/>
        <v/>
      </c>
      <c r="M815" s="1035"/>
      <c r="N815" s="1035"/>
      <c r="O815" s="1036" t="str">
        <f t="shared" si="181"/>
        <v/>
      </c>
      <c r="P815" s="1033"/>
      <c r="Q815" s="1033"/>
      <c r="R815" s="1034" t="str">
        <f t="shared" si="182"/>
        <v/>
      </c>
      <c r="S815" s="1035"/>
      <c r="T815" s="1035"/>
      <c r="U815" s="1034" t="str">
        <f t="shared" si="183"/>
        <v/>
      </c>
      <c r="V815" s="1035"/>
      <c r="W815" s="1035"/>
      <c r="X815" s="1037" t="str">
        <f t="shared" si="184"/>
        <v>2</v>
      </c>
      <c r="Y815" s="1035"/>
      <c r="Z815" s="1035">
        <f t="shared" si="174"/>
        <v>2</v>
      </c>
      <c r="AA815" s="1033" t="s">
        <v>2901</v>
      </c>
      <c r="AB815" s="1033" t="s">
        <v>2897</v>
      </c>
      <c r="AC815" s="1021">
        <v>211014</v>
      </c>
      <c r="AD815" s="1021" t="s">
        <v>154</v>
      </c>
      <c r="AE815" s="1022">
        <f>VLOOKUP(AC815,[5]Hoja1!$A$10:$K$1393,11,0)</f>
        <v>0</v>
      </c>
      <c r="AF815" s="1022"/>
      <c r="AG815" s="1022">
        <f t="shared" si="175"/>
        <v>0</v>
      </c>
      <c r="AH815" s="1022">
        <f t="shared" si="176"/>
        <v>0</v>
      </c>
      <c r="AK815" s="448"/>
      <c r="AL815" s="445"/>
    </row>
    <row r="816" spans="1:38" s="467" customFormat="1" ht="12.75" customHeight="1">
      <c r="A816" s="1033"/>
      <c r="B816" s="1033"/>
      <c r="C816" s="1034"/>
      <c r="D816" s="1033"/>
      <c r="E816" s="1033"/>
      <c r="F816" s="1034"/>
      <c r="G816" s="1033"/>
      <c r="H816" s="1033"/>
      <c r="I816" s="1034"/>
      <c r="J816" s="1033"/>
      <c r="K816" s="1033"/>
      <c r="L816" s="1034"/>
      <c r="M816" s="1035"/>
      <c r="N816" s="1035"/>
      <c r="O816" s="1036"/>
      <c r="P816" s="1033"/>
      <c r="Q816" s="1033"/>
      <c r="R816" s="1034"/>
      <c r="S816" s="1035"/>
      <c r="T816" s="1035"/>
      <c r="U816" s="1034"/>
      <c r="V816" s="1035"/>
      <c r="W816" s="1035"/>
      <c r="X816" s="1037" t="str">
        <f t="shared" si="184"/>
        <v>222</v>
      </c>
      <c r="Y816" s="1035">
        <v>22</v>
      </c>
      <c r="Z816" s="1035">
        <f t="shared" si="174"/>
        <v>2</v>
      </c>
      <c r="AA816" s="1035"/>
      <c r="AB816" s="1035"/>
      <c r="AC816" s="1021">
        <v>211015</v>
      </c>
      <c r="AD816" s="1021" t="s">
        <v>401</v>
      </c>
      <c r="AE816" s="1022">
        <v>0</v>
      </c>
      <c r="AF816" s="1022"/>
      <c r="AG816" s="1022">
        <f t="shared" si="175"/>
        <v>0</v>
      </c>
      <c r="AH816" s="1022">
        <f t="shared" si="176"/>
        <v>0</v>
      </c>
      <c r="AI816" s="491">
        <f>+AH1768-AI771</f>
        <v>599401</v>
      </c>
      <c r="AK816" s="448"/>
      <c r="AL816" s="445"/>
    </row>
    <row r="817" spans="1:38" s="467" customFormat="1" ht="12.75" customHeight="1">
      <c r="A817" s="1033"/>
      <c r="B817" s="1033"/>
      <c r="C817" s="1034"/>
      <c r="D817" s="1033"/>
      <c r="E817" s="1033"/>
      <c r="F817" s="1034"/>
      <c r="G817" s="1033"/>
      <c r="H817" s="1033"/>
      <c r="I817" s="1034"/>
      <c r="J817" s="1033"/>
      <c r="K817" s="1033"/>
      <c r="L817" s="1034"/>
      <c r="M817" s="1035"/>
      <c r="N817" s="1035"/>
      <c r="O817" s="1036"/>
      <c r="P817" s="1033"/>
      <c r="Q817" s="1033"/>
      <c r="R817" s="1034"/>
      <c r="S817" s="1035"/>
      <c r="T817" s="1035"/>
      <c r="U817" s="1034"/>
      <c r="V817" s="1035"/>
      <c r="W817" s="1035"/>
      <c r="X817" s="1037"/>
      <c r="Y817" s="1035"/>
      <c r="Z817" s="1035">
        <f t="shared" si="174"/>
        <v>2</v>
      </c>
      <c r="AA817" s="1035"/>
      <c r="AB817" s="1035"/>
      <c r="AC817" s="1021">
        <v>211016</v>
      </c>
      <c r="AD817" s="1021" t="s">
        <v>402</v>
      </c>
      <c r="AE817" s="1022">
        <v>0</v>
      </c>
      <c r="AF817" s="1022"/>
      <c r="AG817" s="1022">
        <f t="shared" si="175"/>
        <v>0</v>
      </c>
      <c r="AH817" s="1022">
        <f t="shared" si="176"/>
        <v>0</v>
      </c>
      <c r="AK817" s="448"/>
      <c r="AL817" s="445"/>
    </row>
    <row r="818" spans="1:38" s="467" customFormat="1" ht="12.75" customHeight="1">
      <c r="A818" s="1033">
        <v>5214211</v>
      </c>
      <c r="B818" s="1033" t="s">
        <v>2790</v>
      </c>
      <c r="C818" s="1034"/>
      <c r="D818" s="1033"/>
      <c r="E818" s="1033"/>
      <c r="F818" s="1034"/>
      <c r="G818" s="1033"/>
      <c r="H818" s="1033"/>
      <c r="I818" s="1034"/>
      <c r="J818" s="1033"/>
      <c r="K818" s="1033"/>
      <c r="L818" s="1034"/>
      <c r="M818" s="1035"/>
      <c r="N818" s="1035"/>
      <c r="O818" s="1036"/>
      <c r="P818" s="1033"/>
      <c r="Q818" s="1033"/>
      <c r="R818" s="1034"/>
      <c r="S818" s="1035"/>
      <c r="T818" s="1035"/>
      <c r="U818" s="1034"/>
      <c r="V818" s="1035"/>
      <c r="W818" s="1035"/>
      <c r="X818" s="1037"/>
      <c r="Y818" s="1035"/>
      <c r="Z818" s="1035">
        <f t="shared" si="174"/>
        <v>2</v>
      </c>
      <c r="AA818" s="1033" t="s">
        <v>2901</v>
      </c>
      <c r="AB818" s="1033" t="s">
        <v>2897</v>
      </c>
      <c r="AC818" s="1021">
        <v>211017</v>
      </c>
      <c r="AD818" s="1021" t="s">
        <v>581</v>
      </c>
      <c r="AE818" s="1022">
        <f>VLOOKUP(AC818,[5]Hoja1!$A$10:$K$1393,11,0)</f>
        <v>-402083</v>
      </c>
      <c r="AF818" s="1022"/>
      <c r="AG818" s="1022">
        <f t="shared" si="175"/>
        <v>-402083</v>
      </c>
      <c r="AH818" s="1022">
        <f t="shared" si="176"/>
        <v>-402</v>
      </c>
      <c r="AK818" s="448"/>
      <c r="AL818" s="445"/>
    </row>
    <row r="819" spans="1:38" s="467" customFormat="1" ht="12.75" customHeight="1">
      <c r="A819" s="1033">
        <v>5214211</v>
      </c>
      <c r="B819" s="1033" t="s">
        <v>2790</v>
      </c>
      <c r="C819" s="1034"/>
      <c r="D819" s="1033"/>
      <c r="E819" s="1033"/>
      <c r="F819" s="1034"/>
      <c r="G819" s="1033"/>
      <c r="H819" s="1033"/>
      <c r="I819" s="1034"/>
      <c r="J819" s="1033"/>
      <c r="K819" s="1033"/>
      <c r="L819" s="1034"/>
      <c r="M819" s="1035"/>
      <c r="N819" s="1035"/>
      <c r="O819" s="1036"/>
      <c r="P819" s="1033"/>
      <c r="Q819" s="1033"/>
      <c r="R819" s="1034"/>
      <c r="S819" s="1035"/>
      <c r="T819" s="1035"/>
      <c r="U819" s="1034"/>
      <c r="V819" s="1035"/>
      <c r="W819" s="1035"/>
      <c r="X819" s="1037"/>
      <c r="Y819" s="1035"/>
      <c r="Z819" s="1035">
        <f t="shared" si="174"/>
        <v>2</v>
      </c>
      <c r="AA819" s="1033" t="s">
        <v>2901</v>
      </c>
      <c r="AB819" s="1033" t="s">
        <v>2898</v>
      </c>
      <c r="AC819" s="1021">
        <v>211018</v>
      </c>
      <c r="AD819" s="1021" t="s">
        <v>1411</v>
      </c>
      <c r="AE819" s="1022">
        <f>VLOOKUP(AC819,[5]Hoja1!$A$10:$K$1393,11,0)</f>
        <v>-5102499</v>
      </c>
      <c r="AF819" s="1022"/>
      <c r="AG819" s="1022">
        <f t="shared" si="175"/>
        <v>-5102499</v>
      </c>
      <c r="AH819" s="1022">
        <f t="shared" si="176"/>
        <v>-5102</v>
      </c>
      <c r="AK819" s="448"/>
      <c r="AL819" s="445"/>
    </row>
    <row r="820" spans="1:38" s="467" customFormat="1" ht="12.75" customHeight="1">
      <c r="A820" s="1033">
        <v>5214211</v>
      </c>
      <c r="B820" s="1033" t="s">
        <v>2790</v>
      </c>
      <c r="C820" s="1034"/>
      <c r="D820" s="1033"/>
      <c r="E820" s="1033"/>
      <c r="F820" s="1034"/>
      <c r="G820" s="1033"/>
      <c r="H820" s="1033"/>
      <c r="I820" s="1034"/>
      <c r="J820" s="1033"/>
      <c r="K820" s="1033"/>
      <c r="L820" s="1034"/>
      <c r="M820" s="1035"/>
      <c r="N820" s="1035"/>
      <c r="O820" s="1036"/>
      <c r="P820" s="1033"/>
      <c r="Q820" s="1033"/>
      <c r="R820" s="1034"/>
      <c r="S820" s="1035"/>
      <c r="T820" s="1035"/>
      <c r="U820" s="1034"/>
      <c r="V820" s="1035"/>
      <c r="W820" s="1035"/>
      <c r="X820" s="1037"/>
      <c r="Y820" s="1035"/>
      <c r="Z820" s="1035">
        <f t="shared" si="174"/>
        <v>2</v>
      </c>
      <c r="AA820" s="1033" t="s">
        <v>2901</v>
      </c>
      <c r="AB820" s="1033" t="s">
        <v>2898</v>
      </c>
      <c r="AC820" s="1021">
        <v>211019</v>
      </c>
      <c r="AD820" s="1021" t="s">
        <v>2605</v>
      </c>
      <c r="AE820" s="1022">
        <f>VLOOKUP(AC820,[5]Hoja1!$A$10:$K$1393,11,0)</f>
        <v>-35763938</v>
      </c>
      <c r="AF820" s="1022"/>
      <c r="AG820" s="1022">
        <f t="shared" si="175"/>
        <v>-35763938</v>
      </c>
      <c r="AH820" s="1022">
        <f t="shared" si="176"/>
        <v>-35764</v>
      </c>
      <c r="AK820" s="448"/>
      <c r="AL820" s="445"/>
    </row>
    <row r="821" spans="1:38" s="467" customFormat="1" ht="12.75" customHeight="1">
      <c r="A821" s="1033">
        <v>5214260</v>
      </c>
      <c r="B821" s="1033" t="s">
        <v>2794</v>
      </c>
      <c r="C821" s="1034" t="str">
        <f t="shared" ref="C821:C831" si="185">+D821&amp;E821</f>
        <v/>
      </c>
      <c r="D821" s="1033"/>
      <c r="E821" s="1033"/>
      <c r="F821" s="1034" t="str">
        <f t="shared" ref="F821:F831" si="186">+G821&amp;H821</f>
        <v/>
      </c>
      <c r="G821" s="1033"/>
      <c r="H821" s="1033"/>
      <c r="I821" s="1034" t="str">
        <f t="shared" ref="I821:I831" si="187">+J821&amp;K821</f>
        <v/>
      </c>
      <c r="J821" s="1033"/>
      <c r="K821" s="1033"/>
      <c r="L821" s="1034" t="str">
        <f t="shared" ref="L821:L831" si="188">+M821&amp;N821</f>
        <v/>
      </c>
      <c r="M821" s="1035"/>
      <c r="N821" s="1035"/>
      <c r="O821" s="1036" t="str">
        <f t="shared" ref="O821:O831" si="189">+P821&amp;Q821</f>
        <v/>
      </c>
      <c r="P821" s="1033"/>
      <c r="Q821" s="1033"/>
      <c r="R821" s="1034" t="str">
        <f t="shared" ref="R821:R831" si="190">+S821&amp;T821</f>
        <v/>
      </c>
      <c r="S821" s="1035"/>
      <c r="T821" s="1035"/>
      <c r="U821" s="1034" t="str">
        <f t="shared" ref="U821:U831" si="191">+V821&amp;W821</f>
        <v/>
      </c>
      <c r="V821" s="1035"/>
      <c r="W821" s="1035"/>
      <c r="X821" s="1037" t="str">
        <f>+Y821&amp;Z821</f>
        <v>222</v>
      </c>
      <c r="Y821" s="1035">
        <v>22</v>
      </c>
      <c r="Z821" s="1035">
        <f t="shared" si="174"/>
        <v>2</v>
      </c>
      <c r="AA821" s="1033" t="s">
        <v>2906</v>
      </c>
      <c r="AB821" s="1033" t="s">
        <v>2883</v>
      </c>
      <c r="AC821" s="1021">
        <v>211101</v>
      </c>
      <c r="AD821" s="1021" t="s">
        <v>1674</v>
      </c>
      <c r="AE821" s="1022">
        <f>VLOOKUP(AC821,[5]Hoja1!$A$10:$K$1393,11,0)</f>
        <v>-8677583641</v>
      </c>
      <c r="AF821" s="1022">
        <f>-AF454</f>
        <v>0</v>
      </c>
      <c r="AG821" s="1022">
        <f t="shared" si="175"/>
        <v>-8677583641</v>
      </c>
      <c r="AH821" s="1022">
        <f t="shared" si="176"/>
        <v>-8677584</v>
      </c>
      <c r="AK821" s="448"/>
      <c r="AL821" s="445"/>
    </row>
    <row r="822" spans="1:38" s="467" customFormat="1" ht="12.75" customHeight="1">
      <c r="A822" s="1033"/>
      <c r="B822" s="1033"/>
      <c r="C822" s="1034" t="str">
        <f t="shared" si="185"/>
        <v/>
      </c>
      <c r="D822" s="1033"/>
      <c r="E822" s="1033"/>
      <c r="F822" s="1034" t="str">
        <f t="shared" si="186"/>
        <v/>
      </c>
      <c r="G822" s="1033"/>
      <c r="H822" s="1033"/>
      <c r="I822" s="1034" t="str">
        <f t="shared" si="187"/>
        <v/>
      </c>
      <c r="J822" s="1033"/>
      <c r="K822" s="1033"/>
      <c r="L822" s="1034" t="str">
        <f t="shared" si="188"/>
        <v/>
      </c>
      <c r="M822" s="1035"/>
      <c r="N822" s="1035"/>
      <c r="O822" s="1036" t="str">
        <f t="shared" si="189"/>
        <v/>
      </c>
      <c r="P822" s="1033"/>
      <c r="Q822" s="1033"/>
      <c r="R822" s="1034" t="str">
        <f t="shared" si="190"/>
        <v/>
      </c>
      <c r="S822" s="1035"/>
      <c r="T822" s="1035"/>
      <c r="U822" s="1034" t="str">
        <f t="shared" si="191"/>
        <v/>
      </c>
      <c r="V822" s="1035"/>
      <c r="W822" s="1035"/>
      <c r="X822" s="1037" t="str">
        <f>+Y822&amp;Z822</f>
        <v>2</v>
      </c>
      <c r="Y822" s="1035"/>
      <c r="Z822" s="1035">
        <f t="shared" si="174"/>
        <v>2</v>
      </c>
      <c r="AA822" s="1035"/>
      <c r="AB822" s="1035"/>
      <c r="AC822" s="1021">
        <v>211102</v>
      </c>
      <c r="AD822" s="1021" t="s">
        <v>1653</v>
      </c>
      <c r="AE822" s="1022">
        <v>0</v>
      </c>
      <c r="AF822" s="1022"/>
      <c r="AG822" s="1022">
        <f t="shared" si="175"/>
        <v>0</v>
      </c>
      <c r="AH822" s="1022">
        <f t="shared" si="176"/>
        <v>0</v>
      </c>
      <c r="AK822" s="448"/>
      <c r="AL822" s="445"/>
    </row>
    <row r="823" spans="1:38" s="467" customFormat="1" ht="12.75" customHeight="1">
      <c r="A823" s="1033"/>
      <c r="B823" s="1033"/>
      <c r="C823" s="1034" t="str">
        <f t="shared" si="185"/>
        <v/>
      </c>
      <c r="D823" s="1033"/>
      <c r="E823" s="1033"/>
      <c r="F823" s="1034" t="str">
        <f t="shared" si="186"/>
        <v/>
      </c>
      <c r="G823" s="1033"/>
      <c r="H823" s="1033"/>
      <c r="I823" s="1034" t="str">
        <f t="shared" si="187"/>
        <v/>
      </c>
      <c r="J823" s="1033"/>
      <c r="K823" s="1033"/>
      <c r="L823" s="1034" t="str">
        <f t="shared" si="188"/>
        <v/>
      </c>
      <c r="M823" s="1035"/>
      <c r="N823" s="1035"/>
      <c r="O823" s="1036" t="str">
        <f t="shared" si="189"/>
        <v/>
      </c>
      <c r="P823" s="1033"/>
      <c r="Q823" s="1033"/>
      <c r="R823" s="1034" t="str">
        <f t="shared" si="190"/>
        <v/>
      </c>
      <c r="S823" s="1035"/>
      <c r="T823" s="1035"/>
      <c r="U823" s="1034" t="str">
        <f t="shared" si="191"/>
        <v/>
      </c>
      <c r="V823" s="1035"/>
      <c r="W823" s="1035"/>
      <c r="X823" s="1037" t="str">
        <f>+Y823&amp;Z823</f>
        <v>2</v>
      </c>
      <c r="Y823" s="1035"/>
      <c r="Z823" s="1035">
        <f t="shared" si="174"/>
        <v>2</v>
      </c>
      <c r="AA823" s="1035"/>
      <c r="AB823" s="1035"/>
      <c r="AC823" s="1021">
        <v>211103</v>
      </c>
      <c r="AD823" s="1021" t="s">
        <v>2191</v>
      </c>
      <c r="AE823" s="1022">
        <f>VLOOKUP(AC823,[5]Hoja1!$A$10:$K$1393,11,0)</f>
        <v>0</v>
      </c>
      <c r="AF823" s="1022"/>
      <c r="AG823" s="1022">
        <f t="shared" si="175"/>
        <v>0</v>
      </c>
      <c r="AH823" s="1022">
        <f t="shared" si="176"/>
        <v>0</v>
      </c>
      <c r="AK823" s="448"/>
      <c r="AL823" s="445"/>
    </row>
    <row r="824" spans="1:38" s="467" customFormat="1" ht="12.75" customHeight="1">
      <c r="A824" s="1033"/>
      <c r="B824" s="1033"/>
      <c r="C824" s="1034" t="str">
        <f t="shared" si="185"/>
        <v/>
      </c>
      <c r="D824" s="1033"/>
      <c r="E824" s="1033"/>
      <c r="F824" s="1034" t="str">
        <f t="shared" si="186"/>
        <v/>
      </c>
      <c r="G824" s="1033"/>
      <c r="H824" s="1033"/>
      <c r="I824" s="1034" t="str">
        <f t="shared" si="187"/>
        <v/>
      </c>
      <c r="J824" s="1033"/>
      <c r="K824" s="1033"/>
      <c r="L824" s="1034" t="str">
        <f t="shared" si="188"/>
        <v/>
      </c>
      <c r="M824" s="1035"/>
      <c r="N824" s="1035"/>
      <c r="O824" s="1036" t="str">
        <f t="shared" si="189"/>
        <v/>
      </c>
      <c r="P824" s="1033"/>
      <c r="Q824" s="1033"/>
      <c r="R824" s="1034" t="str">
        <f t="shared" si="190"/>
        <v/>
      </c>
      <c r="S824" s="1035"/>
      <c r="T824" s="1035"/>
      <c r="U824" s="1034" t="str">
        <f t="shared" si="191"/>
        <v/>
      </c>
      <c r="V824" s="1035"/>
      <c r="W824" s="1035"/>
      <c r="X824" s="1037" t="str">
        <f>+Y824&amp;Z824</f>
        <v>2</v>
      </c>
      <c r="Y824" s="1035"/>
      <c r="Z824" s="1035">
        <f t="shared" si="174"/>
        <v>2</v>
      </c>
      <c r="AA824" s="1035"/>
      <c r="AB824" s="1035"/>
      <c r="AC824" s="1021">
        <v>211104</v>
      </c>
      <c r="AD824" s="1021" t="s">
        <v>2192</v>
      </c>
      <c r="AE824" s="1022">
        <v>0</v>
      </c>
      <c r="AF824" s="1022"/>
      <c r="AG824" s="1022">
        <f t="shared" si="175"/>
        <v>0</v>
      </c>
      <c r="AH824" s="1022">
        <f t="shared" si="176"/>
        <v>0</v>
      </c>
      <c r="AK824" s="448"/>
      <c r="AL824" s="445"/>
    </row>
    <row r="825" spans="1:38" s="467" customFormat="1" ht="12.75" customHeight="1">
      <c r="A825" s="1033">
        <v>5211000</v>
      </c>
      <c r="B825" s="1033" t="s">
        <v>2769</v>
      </c>
      <c r="C825" s="1034" t="str">
        <f t="shared" si="185"/>
        <v/>
      </c>
      <c r="D825" s="1033"/>
      <c r="E825" s="1033"/>
      <c r="F825" s="1034" t="str">
        <f t="shared" si="186"/>
        <v/>
      </c>
      <c r="G825" s="1033"/>
      <c r="H825" s="1033"/>
      <c r="I825" s="1034" t="str">
        <f t="shared" si="187"/>
        <v/>
      </c>
      <c r="J825" s="1033"/>
      <c r="K825" s="1033"/>
      <c r="L825" s="1034" t="str">
        <f t="shared" si="188"/>
        <v/>
      </c>
      <c r="M825" s="1035"/>
      <c r="N825" s="1035"/>
      <c r="O825" s="1036" t="str">
        <f t="shared" si="189"/>
        <v/>
      </c>
      <c r="P825" s="1033"/>
      <c r="Q825" s="1033"/>
      <c r="R825" s="1034" t="str">
        <f t="shared" si="190"/>
        <v/>
      </c>
      <c r="S825" s="1035"/>
      <c r="T825" s="1035"/>
      <c r="U825" s="1034" t="str">
        <f t="shared" si="191"/>
        <v/>
      </c>
      <c r="V825" s="1035"/>
      <c r="W825" s="1035"/>
      <c r="X825" s="1037">
        <f>VALUE(+Y825&amp;Z825)</f>
        <v>222</v>
      </c>
      <c r="Y825" s="1035">
        <v>22</v>
      </c>
      <c r="Z825" s="1035">
        <f t="shared" si="174"/>
        <v>2</v>
      </c>
      <c r="AA825" s="1035"/>
      <c r="AB825" s="1035"/>
      <c r="AC825" s="1021">
        <v>211105</v>
      </c>
      <c r="AD825" s="1021" t="s">
        <v>1652</v>
      </c>
      <c r="AE825" s="1022">
        <f>VLOOKUP(AC825,[5]Hoja1!$A$10:$K$1393,11,0)</f>
        <v>-32018586509</v>
      </c>
      <c r="AF825" s="1022">
        <v>0</v>
      </c>
      <c r="AG825" s="1022">
        <f t="shared" si="175"/>
        <v>-32018586509</v>
      </c>
      <c r="AH825" s="1022">
        <f t="shared" si="176"/>
        <v>-32018587</v>
      </c>
      <c r="AK825" s="448"/>
      <c r="AL825" s="445"/>
    </row>
    <row r="826" spans="1:38" s="467" customFormat="1" ht="12.75" customHeight="1">
      <c r="A826" s="1033">
        <v>5211000</v>
      </c>
      <c r="B826" s="1033" t="s">
        <v>2769</v>
      </c>
      <c r="C826" s="1034" t="str">
        <f t="shared" si="185"/>
        <v/>
      </c>
      <c r="D826" s="1033"/>
      <c r="E826" s="1033"/>
      <c r="F826" s="1034" t="str">
        <f t="shared" si="186"/>
        <v/>
      </c>
      <c r="G826" s="1033"/>
      <c r="H826" s="1033"/>
      <c r="I826" s="1034" t="str">
        <f t="shared" si="187"/>
        <v/>
      </c>
      <c r="J826" s="1033"/>
      <c r="K826" s="1033"/>
      <c r="L826" s="1034" t="str">
        <f t="shared" si="188"/>
        <v/>
      </c>
      <c r="M826" s="1035"/>
      <c r="N826" s="1035"/>
      <c r="O826" s="1036" t="str">
        <f t="shared" si="189"/>
        <v/>
      </c>
      <c r="P826" s="1033"/>
      <c r="Q826" s="1033"/>
      <c r="R826" s="1034" t="str">
        <f t="shared" si="190"/>
        <v/>
      </c>
      <c r="S826" s="1035"/>
      <c r="T826" s="1035"/>
      <c r="U826" s="1034" t="str">
        <f t="shared" si="191"/>
        <v/>
      </c>
      <c r="V826" s="1035"/>
      <c r="W826" s="1035"/>
      <c r="X826" s="1037" t="str">
        <f t="shared" ref="X826:X833" si="192">+Y826&amp;Z826</f>
        <v>302</v>
      </c>
      <c r="Y826" s="1035">
        <v>30</v>
      </c>
      <c r="Z826" s="1035">
        <f t="shared" si="174"/>
        <v>2</v>
      </c>
      <c r="AA826" s="1035"/>
      <c r="AB826" s="1035"/>
      <c r="AC826" s="1021">
        <v>211106</v>
      </c>
      <c r="AD826" s="1021" t="s">
        <v>764</v>
      </c>
      <c r="AE826" s="1022">
        <f>VLOOKUP(AC826,[5]Hoja1!$A$10:$K$1393,11,0)</f>
        <v>0</v>
      </c>
      <c r="AF826" s="1022">
        <v>0</v>
      </c>
      <c r="AG826" s="1022">
        <f t="shared" si="175"/>
        <v>0</v>
      </c>
      <c r="AH826" s="1022">
        <f t="shared" si="176"/>
        <v>0</v>
      </c>
      <c r="AK826" s="448"/>
      <c r="AL826" s="445"/>
    </row>
    <row r="827" spans="1:38" s="467" customFormat="1" ht="12.75" customHeight="1">
      <c r="A827" s="1033"/>
      <c r="B827" s="1033"/>
      <c r="C827" s="1034" t="str">
        <f t="shared" si="185"/>
        <v/>
      </c>
      <c r="D827" s="1033"/>
      <c r="E827" s="1033"/>
      <c r="F827" s="1034" t="str">
        <f t="shared" si="186"/>
        <v/>
      </c>
      <c r="G827" s="1033"/>
      <c r="H827" s="1033"/>
      <c r="I827" s="1034" t="str">
        <f t="shared" si="187"/>
        <v/>
      </c>
      <c r="J827" s="1033"/>
      <c r="K827" s="1033"/>
      <c r="L827" s="1034" t="str">
        <f t="shared" si="188"/>
        <v/>
      </c>
      <c r="M827" s="1035"/>
      <c r="N827" s="1035"/>
      <c r="O827" s="1036" t="str">
        <f t="shared" si="189"/>
        <v/>
      </c>
      <c r="P827" s="1033"/>
      <c r="Q827" s="1033"/>
      <c r="R827" s="1034" t="str">
        <f t="shared" si="190"/>
        <v/>
      </c>
      <c r="S827" s="1035"/>
      <c r="T827" s="1035"/>
      <c r="U827" s="1034" t="str">
        <f t="shared" si="191"/>
        <v/>
      </c>
      <c r="V827" s="1035"/>
      <c r="W827" s="1035"/>
      <c r="X827" s="1037" t="str">
        <f t="shared" si="192"/>
        <v>222</v>
      </c>
      <c r="Y827" s="1035">
        <v>22</v>
      </c>
      <c r="Z827" s="1035">
        <f t="shared" si="174"/>
        <v>2</v>
      </c>
      <c r="AA827" s="1035"/>
      <c r="AB827" s="1035"/>
      <c r="AC827" s="1021">
        <v>211107</v>
      </c>
      <c r="AD827" s="1021" t="s">
        <v>1657</v>
      </c>
      <c r="AE827" s="1022">
        <v>0</v>
      </c>
      <c r="AF827" s="1022"/>
      <c r="AG827" s="1022">
        <f t="shared" si="175"/>
        <v>0</v>
      </c>
      <c r="AH827" s="1022">
        <f t="shared" si="176"/>
        <v>0</v>
      </c>
      <c r="AK827" s="448"/>
      <c r="AL827" s="445"/>
    </row>
    <row r="828" spans="1:38" s="467" customFormat="1" ht="12.75" customHeight="1">
      <c r="A828" s="1033">
        <v>5211000</v>
      </c>
      <c r="B828" s="1033" t="s">
        <v>2769</v>
      </c>
      <c r="C828" s="1034" t="str">
        <f t="shared" si="185"/>
        <v/>
      </c>
      <c r="D828" s="1033"/>
      <c r="E828" s="1033"/>
      <c r="F828" s="1034" t="str">
        <f t="shared" si="186"/>
        <v/>
      </c>
      <c r="G828" s="1033"/>
      <c r="H828" s="1033"/>
      <c r="I828" s="1034" t="str">
        <f t="shared" si="187"/>
        <v/>
      </c>
      <c r="J828" s="1033"/>
      <c r="K828" s="1033"/>
      <c r="L828" s="1034" t="str">
        <f t="shared" si="188"/>
        <v/>
      </c>
      <c r="M828" s="1035"/>
      <c r="N828" s="1035"/>
      <c r="O828" s="1036" t="str">
        <f t="shared" si="189"/>
        <v/>
      </c>
      <c r="P828" s="1033"/>
      <c r="Q828" s="1033"/>
      <c r="R828" s="1034" t="str">
        <f t="shared" si="190"/>
        <v/>
      </c>
      <c r="S828" s="1035"/>
      <c r="T828" s="1035"/>
      <c r="U828" s="1034" t="str">
        <f t="shared" si="191"/>
        <v/>
      </c>
      <c r="V828" s="1035"/>
      <c r="W828" s="1035"/>
      <c r="X828" s="1037" t="str">
        <f t="shared" si="192"/>
        <v>302</v>
      </c>
      <c r="Y828" s="1035">
        <v>30</v>
      </c>
      <c r="Z828" s="1035">
        <f t="shared" si="174"/>
        <v>2</v>
      </c>
      <c r="AA828" s="1035"/>
      <c r="AB828" s="1035"/>
      <c r="AC828" s="1021">
        <v>211108</v>
      </c>
      <c r="AD828" s="1021" t="s">
        <v>1658</v>
      </c>
      <c r="AE828" s="1022">
        <f>VLOOKUP(AC828,[5]Hoja1!$A$10:$K$1393,11,0)</f>
        <v>0</v>
      </c>
      <c r="AF828" s="1022">
        <v>0</v>
      </c>
      <c r="AG828" s="1022">
        <f t="shared" si="175"/>
        <v>0</v>
      </c>
      <c r="AH828" s="1022">
        <f t="shared" si="176"/>
        <v>0</v>
      </c>
      <c r="AK828" s="448"/>
      <c r="AL828" s="445"/>
    </row>
    <row r="829" spans="1:38" s="467" customFormat="1" ht="12.75" customHeight="1">
      <c r="A829" s="1033"/>
      <c r="B829" s="1033"/>
      <c r="C829" s="1034" t="str">
        <f t="shared" si="185"/>
        <v/>
      </c>
      <c r="D829" s="1035"/>
      <c r="E829" s="1035"/>
      <c r="F829" s="1034" t="str">
        <f t="shared" si="186"/>
        <v/>
      </c>
      <c r="G829" s="1033"/>
      <c r="H829" s="1033"/>
      <c r="I829" s="1034" t="str">
        <f t="shared" si="187"/>
        <v/>
      </c>
      <c r="J829" s="1033"/>
      <c r="K829" s="1033"/>
      <c r="L829" s="1034" t="str">
        <f t="shared" si="188"/>
        <v/>
      </c>
      <c r="M829" s="1035"/>
      <c r="N829" s="1035"/>
      <c r="O829" s="1036" t="str">
        <f t="shared" si="189"/>
        <v/>
      </c>
      <c r="P829" s="1033"/>
      <c r="Q829" s="1033"/>
      <c r="R829" s="1034" t="str">
        <f t="shared" si="190"/>
        <v/>
      </c>
      <c r="S829" s="1035"/>
      <c r="T829" s="1035"/>
      <c r="U829" s="1034" t="str">
        <f t="shared" si="191"/>
        <v/>
      </c>
      <c r="V829" s="1035"/>
      <c r="W829" s="1035"/>
      <c r="X829" s="1037" t="str">
        <f t="shared" si="192"/>
        <v>222</v>
      </c>
      <c r="Y829" s="1035">
        <v>22</v>
      </c>
      <c r="Z829" s="1035">
        <f t="shared" si="174"/>
        <v>2</v>
      </c>
      <c r="AA829" s="1035"/>
      <c r="AB829" s="1035"/>
      <c r="AC829" s="1021">
        <v>211109</v>
      </c>
      <c r="AD829" s="1021" t="s">
        <v>7</v>
      </c>
      <c r="AE829" s="1022">
        <v>0</v>
      </c>
      <c r="AF829" s="1022"/>
      <c r="AG829" s="1022">
        <f t="shared" si="175"/>
        <v>0</v>
      </c>
      <c r="AH829" s="1022">
        <f t="shared" si="176"/>
        <v>0</v>
      </c>
      <c r="AK829" s="448"/>
      <c r="AL829" s="445"/>
    </row>
    <row r="830" spans="1:38" s="467" customFormat="1" ht="12.75" customHeight="1">
      <c r="A830" s="1033"/>
      <c r="B830" s="1033"/>
      <c r="C830" s="1034" t="str">
        <f t="shared" si="185"/>
        <v/>
      </c>
      <c r="D830" s="1035"/>
      <c r="E830" s="1035"/>
      <c r="F830" s="1034" t="str">
        <f t="shared" si="186"/>
        <v/>
      </c>
      <c r="G830" s="1033"/>
      <c r="H830" s="1033"/>
      <c r="I830" s="1034" t="str">
        <f t="shared" si="187"/>
        <v/>
      </c>
      <c r="J830" s="1033"/>
      <c r="K830" s="1033"/>
      <c r="L830" s="1034" t="str">
        <f t="shared" si="188"/>
        <v/>
      </c>
      <c r="M830" s="1035"/>
      <c r="N830" s="1035"/>
      <c r="O830" s="1036" t="str">
        <f t="shared" si="189"/>
        <v/>
      </c>
      <c r="P830" s="1033"/>
      <c r="Q830" s="1033"/>
      <c r="R830" s="1034" t="str">
        <f t="shared" si="190"/>
        <v/>
      </c>
      <c r="S830" s="1035"/>
      <c r="T830" s="1035"/>
      <c r="U830" s="1034" t="str">
        <f t="shared" si="191"/>
        <v/>
      </c>
      <c r="V830" s="1035"/>
      <c r="W830" s="1035"/>
      <c r="X830" s="1037" t="str">
        <f t="shared" si="192"/>
        <v>222</v>
      </c>
      <c r="Y830" s="1035">
        <v>22</v>
      </c>
      <c r="Z830" s="1035">
        <f t="shared" si="174"/>
        <v>2</v>
      </c>
      <c r="AA830" s="1035"/>
      <c r="AB830" s="1035"/>
      <c r="AC830" s="1021">
        <v>211110</v>
      </c>
      <c r="AD830" s="1021" t="s">
        <v>199</v>
      </c>
      <c r="AE830" s="1022">
        <v>0</v>
      </c>
      <c r="AF830" s="1022"/>
      <c r="AG830" s="1022">
        <f t="shared" si="175"/>
        <v>0</v>
      </c>
      <c r="AH830" s="1022">
        <f t="shared" si="176"/>
        <v>0</v>
      </c>
      <c r="AK830" s="448"/>
      <c r="AL830" s="445"/>
    </row>
    <row r="831" spans="1:38" s="467" customFormat="1" ht="12.75" customHeight="1">
      <c r="A831" s="1033"/>
      <c r="B831" s="1033"/>
      <c r="C831" s="1034" t="str">
        <f t="shared" si="185"/>
        <v/>
      </c>
      <c r="D831" s="1033"/>
      <c r="E831" s="1033"/>
      <c r="F831" s="1034" t="str">
        <f t="shared" si="186"/>
        <v/>
      </c>
      <c r="G831" s="1033"/>
      <c r="H831" s="1033"/>
      <c r="I831" s="1034" t="str">
        <f t="shared" si="187"/>
        <v/>
      </c>
      <c r="J831" s="1033"/>
      <c r="K831" s="1033"/>
      <c r="L831" s="1034" t="str">
        <f t="shared" si="188"/>
        <v/>
      </c>
      <c r="M831" s="1035"/>
      <c r="N831" s="1035"/>
      <c r="O831" s="1036" t="str">
        <f t="shared" si="189"/>
        <v/>
      </c>
      <c r="P831" s="1033"/>
      <c r="Q831" s="1033"/>
      <c r="R831" s="1034" t="str">
        <f t="shared" si="190"/>
        <v/>
      </c>
      <c r="S831" s="1035"/>
      <c r="T831" s="1035"/>
      <c r="U831" s="1034" t="str">
        <f t="shared" si="191"/>
        <v/>
      </c>
      <c r="V831" s="1035"/>
      <c r="W831" s="1035"/>
      <c r="X831" s="1037" t="str">
        <f t="shared" si="192"/>
        <v>302</v>
      </c>
      <c r="Y831" s="1035">
        <v>30</v>
      </c>
      <c r="Z831" s="1035">
        <f t="shared" si="174"/>
        <v>2</v>
      </c>
      <c r="AA831" s="1035"/>
      <c r="AB831" s="1035"/>
      <c r="AC831" s="1021">
        <v>211111</v>
      </c>
      <c r="AD831" s="1021" t="s">
        <v>1542</v>
      </c>
      <c r="AE831" s="1022">
        <f>VLOOKUP(AC831,[5]Hoja1!$A$10:$K$1393,11,0)</f>
        <v>0</v>
      </c>
      <c r="AF831" s="1022"/>
      <c r="AG831" s="1022">
        <f t="shared" si="175"/>
        <v>0</v>
      </c>
      <c r="AH831" s="1022">
        <f t="shared" si="176"/>
        <v>0</v>
      </c>
      <c r="AK831" s="448"/>
      <c r="AL831" s="445"/>
    </row>
    <row r="832" spans="1:38" s="467" customFormat="1" ht="12.75" customHeight="1">
      <c r="A832" s="1033">
        <v>5214260</v>
      </c>
      <c r="B832" s="1033" t="s">
        <v>2794</v>
      </c>
      <c r="C832" s="1034"/>
      <c r="D832" s="1033"/>
      <c r="E832" s="1033"/>
      <c r="F832" s="1034"/>
      <c r="G832" s="1033"/>
      <c r="H832" s="1033"/>
      <c r="I832" s="1034"/>
      <c r="J832" s="1033"/>
      <c r="K832" s="1033"/>
      <c r="L832" s="1034"/>
      <c r="M832" s="1035"/>
      <c r="N832" s="1035"/>
      <c r="O832" s="1036"/>
      <c r="P832" s="1033"/>
      <c r="Q832" s="1033"/>
      <c r="R832" s="1034"/>
      <c r="S832" s="1035"/>
      <c r="T832" s="1035"/>
      <c r="U832" s="1034"/>
      <c r="V832" s="1035"/>
      <c r="W832" s="1035"/>
      <c r="X832" s="1037" t="str">
        <f t="shared" si="192"/>
        <v>222</v>
      </c>
      <c r="Y832" s="1035">
        <v>22</v>
      </c>
      <c r="Z832" s="1035">
        <f t="shared" si="174"/>
        <v>2</v>
      </c>
      <c r="AA832" s="1033" t="s">
        <v>2906</v>
      </c>
      <c r="AB832" s="1035"/>
      <c r="AC832" s="1021">
        <v>211113</v>
      </c>
      <c r="AD832" s="1021" t="s">
        <v>1335</v>
      </c>
      <c r="AE832" s="1022">
        <f>VLOOKUP(AC832,[5]Hoja1!$A$10:$K$1393,11,0)</f>
        <v>0</v>
      </c>
      <c r="AF832" s="1022"/>
      <c r="AG832" s="1022">
        <f t="shared" si="175"/>
        <v>0</v>
      </c>
      <c r="AH832" s="1022">
        <f t="shared" si="176"/>
        <v>0</v>
      </c>
      <c r="AK832" s="448"/>
      <c r="AL832" s="445"/>
    </row>
    <row r="833" spans="1:38" s="467" customFormat="1" ht="12.75" customHeight="1">
      <c r="A833" s="1033"/>
      <c r="B833" s="1033"/>
      <c r="C833" s="1034"/>
      <c r="D833" s="1033"/>
      <c r="E833" s="1033"/>
      <c r="F833" s="1034"/>
      <c r="G833" s="1033"/>
      <c r="H833" s="1033"/>
      <c r="I833" s="1034"/>
      <c r="J833" s="1033"/>
      <c r="K833" s="1033"/>
      <c r="L833" s="1034"/>
      <c r="M833" s="1035"/>
      <c r="N833" s="1035"/>
      <c r="O833" s="1036"/>
      <c r="P833" s="1033"/>
      <c r="Q833" s="1033"/>
      <c r="R833" s="1034"/>
      <c r="S833" s="1035"/>
      <c r="T833" s="1035"/>
      <c r="U833" s="1034"/>
      <c r="V833" s="1035"/>
      <c r="W833" s="1035"/>
      <c r="X833" s="1037" t="str">
        <f t="shared" si="192"/>
        <v>302</v>
      </c>
      <c r="Y833" s="1035">
        <v>30</v>
      </c>
      <c r="Z833" s="1035">
        <f t="shared" si="174"/>
        <v>2</v>
      </c>
      <c r="AA833" s="1035"/>
      <c r="AB833" s="1035"/>
      <c r="AC833" s="1021">
        <v>211114</v>
      </c>
      <c r="AD833" s="1021" t="s">
        <v>2193</v>
      </c>
      <c r="AE833" s="1022">
        <f>VLOOKUP(AC833,[5]Hoja1!$A$10:$K$1393,11,0)</f>
        <v>0</v>
      </c>
      <c r="AF833" s="1022"/>
      <c r="AG833" s="1022">
        <f t="shared" si="175"/>
        <v>0</v>
      </c>
      <c r="AH833" s="1022">
        <f t="shared" si="176"/>
        <v>0</v>
      </c>
      <c r="AK833" s="448"/>
      <c r="AL833" s="445"/>
    </row>
    <row r="834" spans="1:38" s="467" customFormat="1" ht="12.75" customHeight="1">
      <c r="A834" s="1033">
        <v>5211000</v>
      </c>
      <c r="B834" s="1033" t="s">
        <v>2769</v>
      </c>
      <c r="C834" s="1034"/>
      <c r="D834" s="1033"/>
      <c r="E834" s="1033"/>
      <c r="F834" s="1034"/>
      <c r="G834" s="1033"/>
      <c r="H834" s="1033"/>
      <c r="I834" s="1034"/>
      <c r="J834" s="1033"/>
      <c r="K834" s="1033"/>
      <c r="L834" s="1034"/>
      <c r="M834" s="1035"/>
      <c r="N834" s="1035"/>
      <c r="O834" s="1036"/>
      <c r="P834" s="1033"/>
      <c r="Q834" s="1033"/>
      <c r="R834" s="1034"/>
      <c r="S834" s="1035"/>
      <c r="T834" s="1035"/>
      <c r="U834" s="1034"/>
      <c r="V834" s="1035"/>
      <c r="W834" s="1035"/>
      <c r="X834" s="1037"/>
      <c r="Y834" s="1035"/>
      <c r="Z834" s="1035">
        <f t="shared" si="174"/>
        <v>2</v>
      </c>
      <c r="AA834" s="1035"/>
      <c r="AB834" s="1035"/>
      <c r="AC834" s="1021">
        <v>211116</v>
      </c>
      <c r="AD834" s="1021" t="s">
        <v>2719</v>
      </c>
      <c r="AE834" s="1022">
        <f>VLOOKUP(AC834,[5]Hoja1!$A$10:$K$1393,11,0)</f>
        <v>-362122500</v>
      </c>
      <c r="AF834" s="1022"/>
      <c r="AG834" s="1022">
        <f t="shared" si="175"/>
        <v>-362122500</v>
      </c>
      <c r="AH834" s="1022">
        <f t="shared" si="176"/>
        <v>-362123</v>
      </c>
      <c r="AK834" s="448"/>
      <c r="AL834" s="445"/>
    </row>
    <row r="835" spans="1:38" s="467" customFormat="1" ht="12.75" customHeight="1">
      <c r="A835" s="1033">
        <v>5214260</v>
      </c>
      <c r="B835" s="1033" t="s">
        <v>2794</v>
      </c>
      <c r="C835" s="1034" t="str">
        <f t="shared" ref="C835:C865" si="193">+D835&amp;E835</f>
        <v/>
      </c>
      <c r="D835" s="1035"/>
      <c r="E835" s="1035"/>
      <c r="F835" s="1034" t="str">
        <f t="shared" ref="F835:F865" si="194">+G835&amp;H835</f>
        <v/>
      </c>
      <c r="G835" s="1033"/>
      <c r="H835" s="1033"/>
      <c r="I835" s="1034" t="str">
        <f t="shared" ref="I835:I865" si="195">+J835&amp;K835</f>
        <v/>
      </c>
      <c r="J835" s="1033"/>
      <c r="K835" s="1033"/>
      <c r="L835" s="1034" t="str">
        <f t="shared" ref="L835:L865" si="196">+M835&amp;N835</f>
        <v/>
      </c>
      <c r="M835" s="1035"/>
      <c r="N835" s="1035"/>
      <c r="O835" s="1036" t="str">
        <f t="shared" ref="O835:O865" si="197">+P835&amp;Q835</f>
        <v/>
      </c>
      <c r="P835" s="1033"/>
      <c r="Q835" s="1033"/>
      <c r="R835" s="1034" t="str">
        <f t="shared" ref="R835:R865" si="198">+S835&amp;T835</f>
        <v/>
      </c>
      <c r="S835" s="1035"/>
      <c r="T835" s="1035"/>
      <c r="U835" s="1034" t="str">
        <f t="shared" ref="U835:U865" si="199">+V835&amp;W835</f>
        <v/>
      </c>
      <c r="V835" s="1035"/>
      <c r="W835" s="1035"/>
      <c r="X835" s="1037" t="str">
        <f t="shared" ref="X835:X858" si="200">+Y835&amp;Z835</f>
        <v>2</v>
      </c>
      <c r="Y835" s="1035"/>
      <c r="Z835" s="1035">
        <f t="shared" si="174"/>
        <v>2</v>
      </c>
      <c r="AA835" s="1033" t="s">
        <v>2906</v>
      </c>
      <c r="AB835" s="1033" t="s">
        <v>354</v>
      </c>
      <c r="AC835" s="1021">
        <v>211201</v>
      </c>
      <c r="AD835" s="1021" t="s">
        <v>840</v>
      </c>
      <c r="AE835" s="1022">
        <f>VLOOKUP(AC835,[5]Hoja1!$A$10:$K$1393,11,0)</f>
        <v>-588834611</v>
      </c>
      <c r="AF835" s="1191">
        <v>-14363964</v>
      </c>
      <c r="AG835" s="1022">
        <f t="shared" si="175"/>
        <v>-603198575</v>
      </c>
      <c r="AH835" s="1022">
        <f t="shared" si="176"/>
        <v>-603199</v>
      </c>
      <c r="AI835" s="494"/>
      <c r="AK835" s="448"/>
      <c r="AL835" s="445"/>
    </row>
    <row r="836" spans="1:38" s="467" customFormat="1" ht="12.75" customHeight="1">
      <c r="A836" s="1033">
        <v>5214260</v>
      </c>
      <c r="B836" s="1033" t="s">
        <v>2794</v>
      </c>
      <c r="C836" s="1034" t="str">
        <f t="shared" si="193"/>
        <v/>
      </c>
      <c r="D836" s="1035"/>
      <c r="E836" s="1035"/>
      <c r="F836" s="1034" t="str">
        <f t="shared" si="194"/>
        <v/>
      </c>
      <c r="G836" s="1033"/>
      <c r="H836" s="1033"/>
      <c r="I836" s="1034" t="str">
        <f t="shared" si="195"/>
        <v/>
      </c>
      <c r="J836" s="1033"/>
      <c r="K836" s="1033"/>
      <c r="L836" s="1034" t="str">
        <f t="shared" si="196"/>
        <v/>
      </c>
      <c r="M836" s="1035"/>
      <c r="N836" s="1035"/>
      <c r="O836" s="1036" t="str">
        <f t="shared" si="197"/>
        <v/>
      </c>
      <c r="P836" s="1033"/>
      <c r="Q836" s="1033"/>
      <c r="R836" s="1034" t="str">
        <f t="shared" si="198"/>
        <v/>
      </c>
      <c r="S836" s="1035"/>
      <c r="T836" s="1035"/>
      <c r="U836" s="1034" t="str">
        <f t="shared" si="199"/>
        <v/>
      </c>
      <c r="V836" s="1035"/>
      <c r="W836" s="1035"/>
      <c r="X836" s="1037" t="str">
        <f t="shared" si="200"/>
        <v>222</v>
      </c>
      <c r="Y836" s="1035">
        <v>22</v>
      </c>
      <c r="Z836" s="1035">
        <f t="shared" si="174"/>
        <v>2</v>
      </c>
      <c r="AA836" s="1033" t="s">
        <v>2906</v>
      </c>
      <c r="AB836" s="1033" t="s">
        <v>354</v>
      </c>
      <c r="AC836" s="1021">
        <v>211202</v>
      </c>
      <c r="AD836" s="1021" t="s">
        <v>1654</v>
      </c>
      <c r="AE836" s="1022">
        <f>VLOOKUP(AC836,[5]Hoja1!$A$10:$K$1393,11,0)</f>
        <v>-3219097</v>
      </c>
      <c r="AF836" s="1022"/>
      <c r="AG836" s="1022">
        <f t="shared" si="175"/>
        <v>-3219097</v>
      </c>
      <c r="AH836" s="1022">
        <f t="shared" si="176"/>
        <v>-3219</v>
      </c>
      <c r="AK836" s="448"/>
      <c r="AL836" s="445"/>
    </row>
    <row r="837" spans="1:38" s="467" customFormat="1" ht="12.75" customHeight="1">
      <c r="A837" s="1033">
        <v>5214240</v>
      </c>
      <c r="B837" s="1033" t="s">
        <v>664</v>
      </c>
      <c r="C837" s="1034" t="str">
        <f t="shared" si="193"/>
        <v/>
      </c>
      <c r="D837" s="1035"/>
      <c r="E837" s="1035"/>
      <c r="F837" s="1034" t="str">
        <f t="shared" si="194"/>
        <v/>
      </c>
      <c r="G837" s="1033"/>
      <c r="H837" s="1033"/>
      <c r="I837" s="1034" t="str">
        <f t="shared" si="195"/>
        <v/>
      </c>
      <c r="J837" s="1033"/>
      <c r="K837" s="1033"/>
      <c r="L837" s="1034" t="str">
        <f t="shared" si="196"/>
        <v/>
      </c>
      <c r="M837" s="1035"/>
      <c r="N837" s="1035"/>
      <c r="O837" s="1036" t="str">
        <f t="shared" si="197"/>
        <v/>
      </c>
      <c r="P837" s="1033"/>
      <c r="Q837" s="1033"/>
      <c r="R837" s="1034" t="str">
        <f t="shared" si="198"/>
        <v/>
      </c>
      <c r="S837" s="1035"/>
      <c r="T837" s="1035"/>
      <c r="U837" s="1034" t="str">
        <f t="shared" si="199"/>
        <v/>
      </c>
      <c r="V837" s="1035"/>
      <c r="W837" s="1035"/>
      <c r="X837" s="1037" t="str">
        <f t="shared" si="200"/>
        <v>2</v>
      </c>
      <c r="Y837" s="1035"/>
      <c r="Z837" s="1035">
        <f t="shared" si="174"/>
        <v>2</v>
      </c>
      <c r="AA837" s="1035"/>
      <c r="AB837" s="1035"/>
      <c r="AC837" s="1021">
        <v>211203</v>
      </c>
      <c r="AD837" s="1021" t="s">
        <v>2194</v>
      </c>
      <c r="AE837" s="1022">
        <f>VLOOKUP(AC837,[5]Hoja1!$A$10:$K$1393,11,0)</f>
        <v>25051564</v>
      </c>
      <c r="AF837" s="1022"/>
      <c r="AG837" s="1022">
        <f t="shared" si="175"/>
        <v>25051564</v>
      </c>
      <c r="AH837" s="1022">
        <f t="shared" si="176"/>
        <v>25052</v>
      </c>
      <c r="AK837" s="448"/>
      <c r="AL837" s="445"/>
    </row>
    <row r="838" spans="1:38" s="467" customFormat="1" ht="12.75" customHeight="1">
      <c r="A838" s="1033">
        <v>5214240</v>
      </c>
      <c r="B838" s="1033" t="s">
        <v>664</v>
      </c>
      <c r="C838" s="1034" t="str">
        <f t="shared" si="193"/>
        <v/>
      </c>
      <c r="D838" s="1035"/>
      <c r="E838" s="1035"/>
      <c r="F838" s="1034" t="str">
        <f t="shared" si="194"/>
        <v/>
      </c>
      <c r="G838" s="1033"/>
      <c r="H838" s="1033"/>
      <c r="I838" s="1034" t="str">
        <f t="shared" si="195"/>
        <v/>
      </c>
      <c r="J838" s="1033"/>
      <c r="K838" s="1033"/>
      <c r="L838" s="1034" t="str">
        <f t="shared" si="196"/>
        <v/>
      </c>
      <c r="M838" s="1035"/>
      <c r="N838" s="1035"/>
      <c r="O838" s="1036" t="str">
        <f t="shared" si="197"/>
        <v/>
      </c>
      <c r="P838" s="1033"/>
      <c r="Q838" s="1033"/>
      <c r="R838" s="1034" t="str">
        <f t="shared" si="198"/>
        <v/>
      </c>
      <c r="S838" s="1035"/>
      <c r="T838" s="1035"/>
      <c r="U838" s="1034" t="str">
        <f t="shared" si="199"/>
        <v/>
      </c>
      <c r="V838" s="1035"/>
      <c r="W838" s="1035"/>
      <c r="X838" s="1037" t="str">
        <f t="shared" si="200"/>
        <v>2</v>
      </c>
      <c r="Y838" s="1035"/>
      <c r="Z838" s="1035">
        <f t="shared" si="174"/>
        <v>2</v>
      </c>
      <c r="AA838" s="1035"/>
      <c r="AB838" s="1035"/>
      <c r="AC838" s="1021">
        <v>211204</v>
      </c>
      <c r="AD838" s="1021" t="s">
        <v>2195</v>
      </c>
      <c r="AE838" s="1022">
        <f>VLOOKUP(AC838,[5]Hoja1!$A$10:$K$1393,11,0)</f>
        <v>-35933505</v>
      </c>
      <c r="AF838" s="1022">
        <v>0</v>
      </c>
      <c r="AG838" s="1022">
        <f t="shared" si="175"/>
        <v>-35933505</v>
      </c>
      <c r="AH838" s="1022">
        <f t="shared" si="176"/>
        <v>-35934</v>
      </c>
      <c r="AK838" s="448"/>
      <c r="AL838" s="445"/>
    </row>
    <row r="839" spans="1:38" s="467" customFormat="1" ht="12.75" customHeight="1">
      <c r="A839" s="1033">
        <v>5214260</v>
      </c>
      <c r="B839" s="1033" t="s">
        <v>2794</v>
      </c>
      <c r="C839" s="1034" t="str">
        <f t="shared" si="193"/>
        <v/>
      </c>
      <c r="D839" s="1035"/>
      <c r="E839" s="1035"/>
      <c r="F839" s="1034" t="str">
        <f t="shared" si="194"/>
        <v/>
      </c>
      <c r="G839" s="1033"/>
      <c r="H839" s="1033"/>
      <c r="I839" s="1034" t="str">
        <f t="shared" si="195"/>
        <v/>
      </c>
      <c r="J839" s="1033"/>
      <c r="K839" s="1033"/>
      <c r="L839" s="1034" t="str">
        <f t="shared" si="196"/>
        <v/>
      </c>
      <c r="M839" s="1035"/>
      <c r="N839" s="1035"/>
      <c r="O839" s="1036" t="str">
        <f t="shared" si="197"/>
        <v/>
      </c>
      <c r="P839" s="1033"/>
      <c r="Q839" s="1033"/>
      <c r="R839" s="1034" t="str">
        <f t="shared" si="198"/>
        <v/>
      </c>
      <c r="S839" s="1035"/>
      <c r="T839" s="1035"/>
      <c r="U839" s="1034" t="str">
        <f t="shared" si="199"/>
        <v/>
      </c>
      <c r="V839" s="1035"/>
      <c r="W839" s="1035"/>
      <c r="X839" s="1037" t="str">
        <f t="shared" si="200"/>
        <v>222</v>
      </c>
      <c r="Y839" s="1035">
        <v>22</v>
      </c>
      <c r="Z839" s="1035">
        <f t="shared" si="174"/>
        <v>2</v>
      </c>
      <c r="AA839" s="1033" t="s">
        <v>2906</v>
      </c>
      <c r="AB839" s="1035"/>
      <c r="AC839" s="1021">
        <v>211205</v>
      </c>
      <c r="AD839" s="1021" t="s">
        <v>1309</v>
      </c>
      <c r="AE839" s="1022">
        <f>VLOOKUP(AC839,[5]Hoja1!$A$10:$K$1393,11,0)</f>
        <v>0</v>
      </c>
      <c r="AF839" s="1022"/>
      <c r="AG839" s="1022">
        <f t="shared" si="175"/>
        <v>0</v>
      </c>
      <c r="AH839" s="1022">
        <f t="shared" si="176"/>
        <v>0</v>
      </c>
      <c r="AK839" s="448"/>
      <c r="AL839" s="445"/>
    </row>
    <row r="840" spans="1:38" s="467" customFormat="1" ht="12.75" customHeight="1">
      <c r="A840" s="1033">
        <v>5214260</v>
      </c>
      <c r="B840" s="1033" t="s">
        <v>2794</v>
      </c>
      <c r="C840" s="1034" t="str">
        <f t="shared" si="193"/>
        <v/>
      </c>
      <c r="D840" s="1035"/>
      <c r="E840" s="1035"/>
      <c r="F840" s="1034" t="str">
        <f t="shared" si="194"/>
        <v/>
      </c>
      <c r="G840" s="1033"/>
      <c r="H840" s="1033"/>
      <c r="I840" s="1034" t="str">
        <f t="shared" si="195"/>
        <v/>
      </c>
      <c r="J840" s="1033"/>
      <c r="K840" s="1033"/>
      <c r="L840" s="1034" t="str">
        <f t="shared" si="196"/>
        <v/>
      </c>
      <c r="M840" s="1035"/>
      <c r="N840" s="1035"/>
      <c r="O840" s="1036" t="str">
        <f t="shared" si="197"/>
        <v/>
      </c>
      <c r="P840" s="1033"/>
      <c r="Q840" s="1033"/>
      <c r="R840" s="1034" t="str">
        <f t="shared" si="198"/>
        <v/>
      </c>
      <c r="S840" s="1035"/>
      <c r="T840" s="1035"/>
      <c r="U840" s="1034" t="str">
        <f t="shared" si="199"/>
        <v/>
      </c>
      <c r="V840" s="1035"/>
      <c r="W840" s="1035"/>
      <c r="X840" s="1037" t="str">
        <f t="shared" si="200"/>
        <v>222</v>
      </c>
      <c r="Y840" s="1035">
        <v>22</v>
      </c>
      <c r="Z840" s="1035">
        <f t="shared" si="174"/>
        <v>2</v>
      </c>
      <c r="AA840" s="1033" t="s">
        <v>2906</v>
      </c>
      <c r="AB840" s="1033" t="s">
        <v>2908</v>
      </c>
      <c r="AC840" s="1021">
        <v>211206</v>
      </c>
      <c r="AD840" s="1021" t="s">
        <v>2196</v>
      </c>
      <c r="AE840" s="1022">
        <f>VLOOKUP(AC840,[5]Hoja1!$A$10:$K$1393,11,0)</f>
        <v>-234833007</v>
      </c>
      <c r="AF840" s="1022"/>
      <c r="AG840" s="1022">
        <f t="shared" si="175"/>
        <v>-234833007</v>
      </c>
      <c r="AH840" s="1022">
        <f t="shared" si="176"/>
        <v>-234833</v>
      </c>
      <c r="AK840" s="448"/>
      <c r="AL840" s="445"/>
    </row>
    <row r="841" spans="1:38" s="467" customFormat="1" ht="12.75" customHeight="1">
      <c r="A841" s="1033">
        <v>5214260</v>
      </c>
      <c r="B841" s="1033" t="s">
        <v>2794</v>
      </c>
      <c r="C841" s="1034" t="str">
        <f t="shared" si="193"/>
        <v/>
      </c>
      <c r="D841" s="1035"/>
      <c r="E841" s="1035"/>
      <c r="F841" s="1034" t="str">
        <f t="shared" si="194"/>
        <v/>
      </c>
      <c r="G841" s="1033"/>
      <c r="H841" s="1033"/>
      <c r="I841" s="1034" t="str">
        <f t="shared" si="195"/>
        <v/>
      </c>
      <c r="J841" s="1033"/>
      <c r="K841" s="1033"/>
      <c r="L841" s="1034" t="str">
        <f t="shared" si="196"/>
        <v/>
      </c>
      <c r="M841" s="1035"/>
      <c r="N841" s="1035"/>
      <c r="O841" s="1036" t="str">
        <f t="shared" si="197"/>
        <v/>
      </c>
      <c r="P841" s="1033"/>
      <c r="Q841" s="1033"/>
      <c r="R841" s="1034" t="str">
        <f t="shared" si="198"/>
        <v/>
      </c>
      <c r="S841" s="1035"/>
      <c r="T841" s="1035"/>
      <c r="U841" s="1034" t="str">
        <f t="shared" si="199"/>
        <v/>
      </c>
      <c r="V841" s="1035"/>
      <c r="W841" s="1035"/>
      <c r="X841" s="1037" t="str">
        <f t="shared" si="200"/>
        <v>222</v>
      </c>
      <c r="Y841" s="1035">
        <v>22</v>
      </c>
      <c r="Z841" s="1035">
        <f t="shared" si="174"/>
        <v>2</v>
      </c>
      <c r="AA841" s="1033" t="s">
        <v>2906</v>
      </c>
      <c r="AB841" s="1035"/>
      <c r="AC841" s="1021">
        <v>211207</v>
      </c>
      <c r="AD841" s="1021" t="s">
        <v>1659</v>
      </c>
      <c r="AE841" s="1022">
        <f>VLOOKUP(AC841,[5]Hoja1!$A$10:$K$1393,11,0)</f>
        <v>0</v>
      </c>
      <c r="AF841" s="1022"/>
      <c r="AG841" s="1022">
        <f t="shared" si="175"/>
        <v>0</v>
      </c>
      <c r="AH841" s="1022">
        <f t="shared" si="176"/>
        <v>0</v>
      </c>
      <c r="AK841" s="448"/>
      <c r="AL841" s="445"/>
    </row>
    <row r="842" spans="1:38" s="467" customFormat="1" ht="12.75" customHeight="1">
      <c r="A842" s="1033">
        <v>5214260</v>
      </c>
      <c r="B842" s="1033" t="s">
        <v>2794</v>
      </c>
      <c r="C842" s="1034" t="str">
        <f t="shared" si="193"/>
        <v/>
      </c>
      <c r="D842" s="1035"/>
      <c r="E842" s="1035"/>
      <c r="F842" s="1034" t="str">
        <f t="shared" si="194"/>
        <v/>
      </c>
      <c r="G842" s="1033"/>
      <c r="H842" s="1033"/>
      <c r="I842" s="1034" t="str">
        <f t="shared" si="195"/>
        <v/>
      </c>
      <c r="J842" s="1033"/>
      <c r="K842" s="1033"/>
      <c r="L842" s="1034" t="str">
        <f t="shared" si="196"/>
        <v/>
      </c>
      <c r="M842" s="1035"/>
      <c r="N842" s="1035"/>
      <c r="O842" s="1036" t="str">
        <f t="shared" si="197"/>
        <v/>
      </c>
      <c r="P842" s="1033"/>
      <c r="Q842" s="1033"/>
      <c r="R842" s="1034" t="str">
        <f t="shared" si="198"/>
        <v/>
      </c>
      <c r="S842" s="1035"/>
      <c r="T842" s="1035"/>
      <c r="U842" s="1034" t="str">
        <f t="shared" si="199"/>
        <v/>
      </c>
      <c r="V842" s="1035"/>
      <c r="W842" s="1035"/>
      <c r="X842" s="1037" t="str">
        <f t="shared" si="200"/>
        <v>222</v>
      </c>
      <c r="Y842" s="1035">
        <v>22</v>
      </c>
      <c r="Z842" s="1035">
        <f t="shared" si="174"/>
        <v>2</v>
      </c>
      <c r="AA842" s="1033" t="s">
        <v>2906</v>
      </c>
      <c r="AB842" s="1035"/>
      <c r="AC842" s="1021">
        <v>211208</v>
      </c>
      <c r="AD842" s="1021" t="s">
        <v>1655</v>
      </c>
      <c r="AE842" s="1022">
        <f>VLOOKUP(AC842,[5]Hoja1!$A$10:$K$1393,11,0)</f>
        <v>-688212796</v>
      </c>
      <c r="AF842" s="1191">
        <f>-AF417</f>
        <v>688212796</v>
      </c>
      <c r="AG842" s="1022">
        <f t="shared" si="175"/>
        <v>0</v>
      </c>
      <c r="AH842" s="1022">
        <f t="shared" si="176"/>
        <v>0</v>
      </c>
      <c r="AK842" s="448"/>
      <c r="AL842" s="445"/>
    </row>
    <row r="843" spans="1:38" s="467" customFormat="1" ht="12.75" customHeight="1">
      <c r="A843" s="1033">
        <v>5214260</v>
      </c>
      <c r="B843" s="1033" t="s">
        <v>2794</v>
      </c>
      <c r="C843" s="1034" t="str">
        <f t="shared" si="193"/>
        <v/>
      </c>
      <c r="D843" s="1035"/>
      <c r="E843" s="1035"/>
      <c r="F843" s="1034" t="str">
        <f t="shared" si="194"/>
        <v/>
      </c>
      <c r="G843" s="1033"/>
      <c r="H843" s="1033"/>
      <c r="I843" s="1034" t="str">
        <f t="shared" si="195"/>
        <v/>
      </c>
      <c r="J843" s="1033"/>
      <c r="K843" s="1033"/>
      <c r="L843" s="1034" t="str">
        <f t="shared" si="196"/>
        <v/>
      </c>
      <c r="M843" s="1035"/>
      <c r="N843" s="1035"/>
      <c r="O843" s="1036" t="str">
        <f t="shared" si="197"/>
        <v/>
      </c>
      <c r="P843" s="1033"/>
      <c r="Q843" s="1033"/>
      <c r="R843" s="1034" t="str">
        <f t="shared" si="198"/>
        <v/>
      </c>
      <c r="S843" s="1035"/>
      <c r="T843" s="1035"/>
      <c r="U843" s="1034" t="str">
        <f t="shared" si="199"/>
        <v/>
      </c>
      <c r="V843" s="1035"/>
      <c r="W843" s="1035"/>
      <c r="X843" s="1037" t="str">
        <f t="shared" si="200"/>
        <v>222</v>
      </c>
      <c r="Y843" s="1035">
        <v>22</v>
      </c>
      <c r="Z843" s="1035">
        <f t="shared" si="174"/>
        <v>2</v>
      </c>
      <c r="AA843" s="1033" t="s">
        <v>2906</v>
      </c>
      <c r="AB843" s="1035"/>
      <c r="AC843" s="1021">
        <v>211209</v>
      </c>
      <c r="AD843" s="1021" t="s">
        <v>1310</v>
      </c>
      <c r="AE843" s="1022">
        <f>VLOOKUP(AC843,[5]Hoja1!$A$10:$K$1393,11,0)</f>
        <v>0</v>
      </c>
      <c r="AF843" s="1022"/>
      <c r="AG843" s="1022">
        <f t="shared" si="175"/>
        <v>0</v>
      </c>
      <c r="AH843" s="1022">
        <f t="shared" si="176"/>
        <v>0</v>
      </c>
      <c r="AK843" s="448"/>
      <c r="AL843" s="445"/>
    </row>
    <row r="844" spans="1:38" s="467" customFormat="1" ht="12.75" customHeight="1">
      <c r="A844" s="1033"/>
      <c r="B844" s="1033"/>
      <c r="C844" s="1034" t="str">
        <f t="shared" si="193"/>
        <v/>
      </c>
      <c r="D844" s="1035"/>
      <c r="E844" s="1035"/>
      <c r="F844" s="1034" t="str">
        <f t="shared" si="194"/>
        <v/>
      </c>
      <c r="G844" s="1033"/>
      <c r="H844" s="1033"/>
      <c r="I844" s="1034" t="str">
        <f t="shared" si="195"/>
        <v/>
      </c>
      <c r="J844" s="1033"/>
      <c r="K844" s="1033"/>
      <c r="L844" s="1034" t="str">
        <f t="shared" si="196"/>
        <v/>
      </c>
      <c r="M844" s="1035"/>
      <c r="N844" s="1035"/>
      <c r="O844" s="1036" t="str">
        <f t="shared" si="197"/>
        <v/>
      </c>
      <c r="P844" s="1033"/>
      <c r="Q844" s="1033"/>
      <c r="R844" s="1034" t="str">
        <f t="shared" si="198"/>
        <v/>
      </c>
      <c r="S844" s="1035"/>
      <c r="T844" s="1035"/>
      <c r="U844" s="1034" t="str">
        <f t="shared" si="199"/>
        <v/>
      </c>
      <c r="V844" s="1035"/>
      <c r="W844" s="1035"/>
      <c r="X844" s="1037" t="str">
        <f t="shared" si="200"/>
        <v>2</v>
      </c>
      <c r="Y844" s="1035"/>
      <c r="Z844" s="1035">
        <f t="shared" si="174"/>
        <v>2</v>
      </c>
      <c r="AA844" s="1035"/>
      <c r="AB844" s="1035"/>
      <c r="AC844" s="1021">
        <v>211210</v>
      </c>
      <c r="AD844" s="1021" t="s">
        <v>2197</v>
      </c>
      <c r="AE844" s="1022">
        <f>VLOOKUP(AC844,[5]Hoja1!$A$10:$K$1393,11,0)</f>
        <v>0</v>
      </c>
      <c r="AF844" s="1022"/>
      <c r="AG844" s="1022">
        <f t="shared" si="175"/>
        <v>0</v>
      </c>
      <c r="AH844" s="1022">
        <f t="shared" si="176"/>
        <v>0</v>
      </c>
      <c r="AK844" s="448"/>
      <c r="AL844" s="445"/>
    </row>
    <row r="845" spans="1:38" s="467" customFormat="1" ht="12.75" customHeight="1">
      <c r="A845" s="1033">
        <v>5214260</v>
      </c>
      <c r="B845" s="1033" t="s">
        <v>2794</v>
      </c>
      <c r="C845" s="1034" t="str">
        <f t="shared" si="193"/>
        <v/>
      </c>
      <c r="D845" s="1035"/>
      <c r="E845" s="1035"/>
      <c r="F845" s="1034" t="str">
        <f t="shared" si="194"/>
        <v/>
      </c>
      <c r="G845" s="1033"/>
      <c r="H845" s="1033"/>
      <c r="I845" s="1034" t="str">
        <f t="shared" si="195"/>
        <v/>
      </c>
      <c r="J845" s="1033"/>
      <c r="K845" s="1033"/>
      <c r="L845" s="1034" t="str">
        <f t="shared" si="196"/>
        <v/>
      </c>
      <c r="M845" s="1035"/>
      <c r="N845" s="1035"/>
      <c r="O845" s="1036" t="str">
        <f t="shared" si="197"/>
        <v/>
      </c>
      <c r="P845" s="1033"/>
      <c r="Q845" s="1033"/>
      <c r="R845" s="1034" t="str">
        <f t="shared" si="198"/>
        <v/>
      </c>
      <c r="S845" s="1035"/>
      <c r="T845" s="1035"/>
      <c r="U845" s="1034" t="str">
        <f t="shared" si="199"/>
        <v/>
      </c>
      <c r="V845" s="1035"/>
      <c r="W845" s="1035"/>
      <c r="X845" s="1037" t="str">
        <f t="shared" si="200"/>
        <v>222</v>
      </c>
      <c r="Y845" s="1035">
        <v>22</v>
      </c>
      <c r="Z845" s="1035">
        <f t="shared" si="174"/>
        <v>2</v>
      </c>
      <c r="AA845" s="1033" t="s">
        <v>2906</v>
      </c>
      <c r="AB845" s="1035"/>
      <c r="AC845" s="1021">
        <v>211211</v>
      </c>
      <c r="AD845" s="1021" t="s">
        <v>1311</v>
      </c>
      <c r="AE845" s="1022">
        <f>VLOOKUP(AC845,[5]Hoja1!$A$10:$K$1393,11,0)</f>
        <v>0</v>
      </c>
      <c r="AF845" s="1022"/>
      <c r="AG845" s="1022">
        <f t="shared" si="175"/>
        <v>0</v>
      </c>
      <c r="AH845" s="1022">
        <f t="shared" si="176"/>
        <v>0</v>
      </c>
      <c r="AK845" s="448"/>
      <c r="AL845" s="445"/>
    </row>
    <row r="846" spans="1:38" s="467" customFormat="1" ht="12.75" customHeight="1">
      <c r="A846" s="1033">
        <v>5214260</v>
      </c>
      <c r="B846" s="1033" t="s">
        <v>2794</v>
      </c>
      <c r="C846" s="1034" t="str">
        <f t="shared" si="193"/>
        <v/>
      </c>
      <c r="D846" s="1035"/>
      <c r="E846" s="1035"/>
      <c r="F846" s="1034" t="str">
        <f t="shared" si="194"/>
        <v/>
      </c>
      <c r="G846" s="1033"/>
      <c r="H846" s="1033"/>
      <c r="I846" s="1034" t="str">
        <f t="shared" si="195"/>
        <v/>
      </c>
      <c r="J846" s="1033"/>
      <c r="K846" s="1033"/>
      <c r="L846" s="1034" t="str">
        <f t="shared" si="196"/>
        <v/>
      </c>
      <c r="M846" s="1035"/>
      <c r="N846" s="1035"/>
      <c r="O846" s="1036" t="str">
        <f t="shared" si="197"/>
        <v/>
      </c>
      <c r="P846" s="1033"/>
      <c r="Q846" s="1033"/>
      <c r="R846" s="1034" t="str">
        <f t="shared" si="198"/>
        <v/>
      </c>
      <c r="S846" s="1035"/>
      <c r="T846" s="1035"/>
      <c r="U846" s="1034" t="str">
        <f t="shared" si="199"/>
        <v/>
      </c>
      <c r="V846" s="1035"/>
      <c r="W846" s="1035"/>
      <c r="X846" s="1037" t="str">
        <f t="shared" si="200"/>
        <v>222</v>
      </c>
      <c r="Y846" s="1035">
        <v>22</v>
      </c>
      <c r="Z846" s="1035">
        <f t="shared" si="174"/>
        <v>2</v>
      </c>
      <c r="AA846" s="1033" t="s">
        <v>2906</v>
      </c>
      <c r="AB846" s="1035"/>
      <c r="AC846" s="1021">
        <v>211212</v>
      </c>
      <c r="AD846" s="1021" t="s">
        <v>2198</v>
      </c>
      <c r="AE846" s="1022">
        <f>VLOOKUP(AC846,[5]Hoja1!$A$10:$K$1393,11,0)</f>
        <v>0</v>
      </c>
      <c r="AF846" s="1022"/>
      <c r="AG846" s="1022">
        <f t="shared" si="175"/>
        <v>0</v>
      </c>
      <c r="AH846" s="1022">
        <f t="shared" si="176"/>
        <v>0</v>
      </c>
      <c r="AK846" s="448"/>
      <c r="AL846" s="445"/>
    </row>
    <row r="847" spans="1:38" s="467" customFormat="1" ht="12.75" customHeight="1">
      <c r="A847" s="1033">
        <v>5214260</v>
      </c>
      <c r="B847" s="1033" t="s">
        <v>2794</v>
      </c>
      <c r="C847" s="1034" t="str">
        <f>+D847&amp;E847</f>
        <v/>
      </c>
      <c r="D847" s="1035"/>
      <c r="E847" s="1035"/>
      <c r="F847" s="1034" t="str">
        <f>+G847&amp;H847</f>
        <v/>
      </c>
      <c r="G847" s="1033"/>
      <c r="H847" s="1033"/>
      <c r="I847" s="1034" t="str">
        <f>+J847&amp;K847</f>
        <v/>
      </c>
      <c r="J847" s="1033"/>
      <c r="K847" s="1033"/>
      <c r="L847" s="1034" t="str">
        <f>+M847&amp;N847</f>
        <v/>
      </c>
      <c r="M847" s="1035"/>
      <c r="N847" s="1035"/>
      <c r="O847" s="1036" t="str">
        <f>+P847&amp;Q847</f>
        <v/>
      </c>
      <c r="P847" s="1033"/>
      <c r="Q847" s="1033"/>
      <c r="R847" s="1034" t="str">
        <f>+S847&amp;T847</f>
        <v/>
      </c>
      <c r="S847" s="1035"/>
      <c r="T847" s="1035"/>
      <c r="U847" s="1034" t="str">
        <f>+V847&amp;W847</f>
        <v/>
      </c>
      <c r="V847" s="1035"/>
      <c r="W847" s="1035"/>
      <c r="X847" s="1037" t="str">
        <f t="shared" si="200"/>
        <v>222</v>
      </c>
      <c r="Y847" s="1035">
        <v>22</v>
      </c>
      <c r="Z847" s="1035">
        <f t="shared" si="174"/>
        <v>2</v>
      </c>
      <c r="AA847" s="1033" t="s">
        <v>2906</v>
      </c>
      <c r="AB847" s="1033" t="s">
        <v>2880</v>
      </c>
      <c r="AC847" s="1021">
        <v>211213</v>
      </c>
      <c r="AD847" s="1021" t="s">
        <v>2199</v>
      </c>
      <c r="AE847" s="1022">
        <f>VLOOKUP(AC847,[5]Hoja1!$A$10:$K$1393,11,0)</f>
        <v>0</v>
      </c>
      <c r="AF847" s="1022"/>
      <c r="AG847" s="1022">
        <f t="shared" si="175"/>
        <v>0</v>
      </c>
      <c r="AH847" s="1022">
        <f t="shared" si="176"/>
        <v>0</v>
      </c>
      <c r="AK847" s="448"/>
      <c r="AL847" s="445"/>
    </row>
    <row r="848" spans="1:38" s="467" customFormat="1" ht="12.75" customHeight="1">
      <c r="A848" s="1033"/>
      <c r="B848" s="1033"/>
      <c r="C848" s="1034" t="str">
        <f t="shared" si="193"/>
        <v/>
      </c>
      <c r="D848" s="1035"/>
      <c r="E848" s="1035"/>
      <c r="F848" s="1034" t="str">
        <f t="shared" si="194"/>
        <v/>
      </c>
      <c r="G848" s="1033"/>
      <c r="H848" s="1033"/>
      <c r="I848" s="1034" t="str">
        <f t="shared" si="195"/>
        <v/>
      </c>
      <c r="J848" s="1033"/>
      <c r="K848" s="1033"/>
      <c r="L848" s="1034" t="str">
        <f t="shared" si="196"/>
        <v/>
      </c>
      <c r="M848" s="1035"/>
      <c r="N848" s="1035"/>
      <c r="O848" s="1036" t="str">
        <f t="shared" si="197"/>
        <v/>
      </c>
      <c r="P848" s="1033"/>
      <c r="Q848" s="1033"/>
      <c r="R848" s="1034" t="str">
        <f t="shared" si="198"/>
        <v/>
      </c>
      <c r="S848" s="1035"/>
      <c r="T848" s="1035"/>
      <c r="U848" s="1034" t="str">
        <f t="shared" si="199"/>
        <v/>
      </c>
      <c r="V848" s="1035"/>
      <c r="W848" s="1035"/>
      <c r="X848" s="1037" t="str">
        <f t="shared" si="200"/>
        <v>2</v>
      </c>
      <c r="Y848" s="1035"/>
      <c r="Z848" s="1035">
        <f t="shared" si="174"/>
        <v>2</v>
      </c>
      <c r="AA848" s="1035"/>
      <c r="AB848" s="1035"/>
      <c r="AC848" s="1021">
        <v>211214</v>
      </c>
      <c r="AD848" s="1021" t="s">
        <v>2200</v>
      </c>
      <c r="AE848" s="1022">
        <v>0</v>
      </c>
      <c r="AF848" s="1022"/>
      <c r="AG848" s="1022">
        <f t="shared" si="175"/>
        <v>0</v>
      </c>
      <c r="AH848" s="1022">
        <f t="shared" si="176"/>
        <v>0</v>
      </c>
      <c r="AK848" s="448"/>
      <c r="AL848" s="445"/>
    </row>
    <row r="849" spans="1:38" s="467" customFormat="1" ht="12.75" customHeight="1">
      <c r="A849" s="1033"/>
      <c r="B849" s="1033"/>
      <c r="C849" s="1034" t="str">
        <f t="shared" si="193"/>
        <v/>
      </c>
      <c r="D849" s="1035"/>
      <c r="E849" s="1035"/>
      <c r="F849" s="1034" t="str">
        <f t="shared" si="194"/>
        <v/>
      </c>
      <c r="G849" s="1033"/>
      <c r="H849" s="1033"/>
      <c r="I849" s="1034" t="str">
        <f t="shared" si="195"/>
        <v/>
      </c>
      <c r="J849" s="1033"/>
      <c r="K849" s="1033"/>
      <c r="L849" s="1034" t="str">
        <f t="shared" si="196"/>
        <v/>
      </c>
      <c r="M849" s="1035"/>
      <c r="N849" s="1035"/>
      <c r="O849" s="1036" t="str">
        <f t="shared" si="197"/>
        <v/>
      </c>
      <c r="P849" s="1033"/>
      <c r="Q849" s="1033"/>
      <c r="R849" s="1034" t="str">
        <f t="shared" si="198"/>
        <v/>
      </c>
      <c r="S849" s="1035"/>
      <c r="T849" s="1035"/>
      <c r="U849" s="1034" t="str">
        <f t="shared" si="199"/>
        <v/>
      </c>
      <c r="V849" s="1035"/>
      <c r="W849" s="1035"/>
      <c r="X849" s="1037" t="str">
        <f t="shared" si="200"/>
        <v>2</v>
      </c>
      <c r="Y849" s="1035"/>
      <c r="Z849" s="1035">
        <f t="shared" si="174"/>
        <v>2</v>
      </c>
      <c r="AA849" s="1035"/>
      <c r="AB849" s="1035"/>
      <c r="AC849" s="1021">
        <v>211215</v>
      </c>
      <c r="AD849" s="1021" t="s">
        <v>2201</v>
      </c>
      <c r="AE849" s="1022">
        <f>VLOOKUP(AC849,[5]Hoja1!$A$10:$K$1393,11,0)</f>
        <v>0</v>
      </c>
      <c r="AF849" s="1022"/>
      <c r="AG849" s="1022">
        <f t="shared" si="175"/>
        <v>0</v>
      </c>
      <c r="AH849" s="1022">
        <f t="shared" si="176"/>
        <v>0</v>
      </c>
      <c r="AK849" s="448"/>
      <c r="AL849" s="445"/>
    </row>
    <row r="850" spans="1:38" s="467" customFormat="1" ht="12.75" customHeight="1">
      <c r="A850" s="1033"/>
      <c r="B850" s="1033"/>
      <c r="C850" s="1034" t="str">
        <f t="shared" si="193"/>
        <v/>
      </c>
      <c r="D850" s="1035"/>
      <c r="E850" s="1035"/>
      <c r="F850" s="1034" t="str">
        <f t="shared" si="194"/>
        <v/>
      </c>
      <c r="G850" s="1033"/>
      <c r="H850" s="1033"/>
      <c r="I850" s="1034" t="str">
        <f t="shared" si="195"/>
        <v/>
      </c>
      <c r="J850" s="1033"/>
      <c r="K850" s="1033"/>
      <c r="L850" s="1034" t="str">
        <f t="shared" si="196"/>
        <v/>
      </c>
      <c r="M850" s="1035"/>
      <c r="N850" s="1035"/>
      <c r="O850" s="1036" t="str">
        <f t="shared" si="197"/>
        <v/>
      </c>
      <c r="P850" s="1033"/>
      <c r="Q850" s="1033"/>
      <c r="R850" s="1034" t="str">
        <f t="shared" si="198"/>
        <v/>
      </c>
      <c r="S850" s="1035"/>
      <c r="T850" s="1035"/>
      <c r="U850" s="1034" t="str">
        <f t="shared" si="199"/>
        <v/>
      </c>
      <c r="V850" s="1035"/>
      <c r="W850" s="1035"/>
      <c r="X850" s="1037" t="str">
        <f t="shared" si="200"/>
        <v>2</v>
      </c>
      <c r="Y850" s="1035"/>
      <c r="Z850" s="1035">
        <f t="shared" si="174"/>
        <v>2</v>
      </c>
      <c r="AA850" s="1035"/>
      <c r="AB850" s="1035"/>
      <c r="AC850" s="1021">
        <v>211216</v>
      </c>
      <c r="AD850" s="1021" t="s">
        <v>2202</v>
      </c>
      <c r="AE850" s="1022">
        <v>0</v>
      </c>
      <c r="AF850" s="1022"/>
      <c r="AG850" s="1022">
        <f t="shared" si="175"/>
        <v>0</v>
      </c>
      <c r="AH850" s="1022">
        <f t="shared" si="176"/>
        <v>0</v>
      </c>
      <c r="AK850" s="448"/>
      <c r="AL850" s="445"/>
    </row>
    <row r="851" spans="1:38" s="467" customFormat="1" ht="12.75" customHeight="1">
      <c r="A851" s="1033"/>
      <c r="B851" s="1033"/>
      <c r="C851" s="1034" t="str">
        <f t="shared" si="193"/>
        <v/>
      </c>
      <c r="D851" s="1035"/>
      <c r="E851" s="1035"/>
      <c r="F851" s="1034" t="str">
        <f t="shared" si="194"/>
        <v/>
      </c>
      <c r="G851" s="1033"/>
      <c r="H851" s="1033"/>
      <c r="I851" s="1034" t="str">
        <f t="shared" si="195"/>
        <v/>
      </c>
      <c r="J851" s="1033"/>
      <c r="K851" s="1033"/>
      <c r="L851" s="1034" t="str">
        <f t="shared" si="196"/>
        <v/>
      </c>
      <c r="M851" s="1035"/>
      <c r="N851" s="1035"/>
      <c r="O851" s="1036" t="str">
        <f t="shared" si="197"/>
        <v/>
      </c>
      <c r="P851" s="1033"/>
      <c r="Q851" s="1033"/>
      <c r="R851" s="1034" t="str">
        <f t="shared" si="198"/>
        <v/>
      </c>
      <c r="S851" s="1035"/>
      <c r="T851" s="1035"/>
      <c r="U851" s="1034" t="str">
        <f t="shared" si="199"/>
        <v/>
      </c>
      <c r="V851" s="1035"/>
      <c r="W851" s="1035"/>
      <c r="X851" s="1037" t="str">
        <f t="shared" si="200"/>
        <v>2</v>
      </c>
      <c r="Y851" s="1035"/>
      <c r="Z851" s="1035">
        <f t="shared" si="174"/>
        <v>2</v>
      </c>
      <c r="AA851" s="1035"/>
      <c r="AB851" s="1035"/>
      <c r="AC851" s="1021">
        <v>211217</v>
      </c>
      <c r="AD851" s="1021" t="s">
        <v>1312</v>
      </c>
      <c r="AE851" s="1022">
        <v>0</v>
      </c>
      <c r="AF851" s="1022"/>
      <c r="AG851" s="1022">
        <f t="shared" si="175"/>
        <v>0</v>
      </c>
      <c r="AH851" s="1022">
        <f t="shared" si="176"/>
        <v>0</v>
      </c>
      <c r="AK851" s="448"/>
      <c r="AL851" s="445"/>
    </row>
    <row r="852" spans="1:38" s="467" customFormat="1" ht="12.75" customHeight="1">
      <c r="A852" s="1033"/>
      <c r="B852" s="1033"/>
      <c r="C852" s="1034" t="str">
        <f t="shared" si="193"/>
        <v/>
      </c>
      <c r="D852" s="1035"/>
      <c r="E852" s="1035"/>
      <c r="F852" s="1034" t="str">
        <f t="shared" si="194"/>
        <v/>
      </c>
      <c r="G852" s="1033"/>
      <c r="H852" s="1033"/>
      <c r="I852" s="1034" t="str">
        <f t="shared" si="195"/>
        <v/>
      </c>
      <c r="J852" s="1033"/>
      <c r="K852" s="1033"/>
      <c r="L852" s="1034" t="str">
        <f t="shared" si="196"/>
        <v/>
      </c>
      <c r="M852" s="1035"/>
      <c r="N852" s="1035"/>
      <c r="O852" s="1036" t="str">
        <f t="shared" si="197"/>
        <v/>
      </c>
      <c r="P852" s="1033"/>
      <c r="Q852" s="1033"/>
      <c r="R852" s="1034" t="str">
        <f t="shared" si="198"/>
        <v/>
      </c>
      <c r="S852" s="1035"/>
      <c r="T852" s="1035"/>
      <c r="U852" s="1034" t="str">
        <f t="shared" si="199"/>
        <v/>
      </c>
      <c r="V852" s="1035"/>
      <c r="W852" s="1035"/>
      <c r="X852" s="1037" t="str">
        <f t="shared" si="200"/>
        <v>2</v>
      </c>
      <c r="Y852" s="1035"/>
      <c r="Z852" s="1035">
        <f t="shared" si="174"/>
        <v>2</v>
      </c>
      <c r="AA852" s="1035"/>
      <c r="AB852" s="1035"/>
      <c r="AC852" s="1021">
        <v>211218</v>
      </c>
      <c r="AD852" s="1021" t="s">
        <v>1313</v>
      </c>
      <c r="AE852" s="1022">
        <f>VLOOKUP(AC852,[5]Hoja1!$A$10:$K$1393,11,0)</f>
        <v>0</v>
      </c>
      <c r="AF852" s="1022"/>
      <c r="AG852" s="1022">
        <f t="shared" si="175"/>
        <v>0</v>
      </c>
      <c r="AH852" s="1022">
        <f t="shared" si="176"/>
        <v>0</v>
      </c>
      <c r="AK852" s="448"/>
      <c r="AL852" s="445"/>
    </row>
    <row r="853" spans="1:38" s="467" customFormat="1" ht="12.75" customHeight="1">
      <c r="A853" s="1033"/>
      <c r="B853" s="1033"/>
      <c r="C853" s="1034" t="str">
        <f t="shared" si="193"/>
        <v/>
      </c>
      <c r="D853" s="1035"/>
      <c r="E853" s="1035"/>
      <c r="F853" s="1034" t="str">
        <f t="shared" si="194"/>
        <v/>
      </c>
      <c r="G853" s="1033"/>
      <c r="H853" s="1033"/>
      <c r="I853" s="1034" t="str">
        <f t="shared" si="195"/>
        <v/>
      </c>
      <c r="J853" s="1033"/>
      <c r="K853" s="1033"/>
      <c r="L853" s="1034" t="str">
        <f t="shared" si="196"/>
        <v/>
      </c>
      <c r="M853" s="1035"/>
      <c r="N853" s="1035"/>
      <c r="O853" s="1036" t="str">
        <f t="shared" si="197"/>
        <v/>
      </c>
      <c r="P853" s="1033"/>
      <c r="Q853" s="1033"/>
      <c r="R853" s="1034" t="str">
        <f t="shared" si="198"/>
        <v/>
      </c>
      <c r="S853" s="1035"/>
      <c r="T853" s="1035"/>
      <c r="U853" s="1034" t="str">
        <f t="shared" si="199"/>
        <v/>
      </c>
      <c r="V853" s="1035"/>
      <c r="W853" s="1035"/>
      <c r="X853" s="1037" t="str">
        <f t="shared" si="200"/>
        <v>222</v>
      </c>
      <c r="Y853" s="1035">
        <v>22</v>
      </c>
      <c r="Z853" s="1035">
        <f t="shared" si="174"/>
        <v>2</v>
      </c>
      <c r="AA853" s="1035"/>
      <c r="AB853" s="1035"/>
      <c r="AC853" s="1021">
        <v>211219</v>
      </c>
      <c r="AD853" s="1021" t="s">
        <v>1314</v>
      </c>
      <c r="AE853" s="1022">
        <f>VLOOKUP(AC853,[5]Hoja1!$A$10:$K$1393,11,0)</f>
        <v>0</v>
      </c>
      <c r="AF853" s="1022"/>
      <c r="AG853" s="1022">
        <f t="shared" si="175"/>
        <v>0</v>
      </c>
      <c r="AH853" s="1022">
        <f t="shared" si="176"/>
        <v>0</v>
      </c>
      <c r="AK853" s="448"/>
      <c r="AL853" s="445"/>
    </row>
    <row r="854" spans="1:38" s="467" customFormat="1" ht="12.75" customHeight="1">
      <c r="A854" s="1033"/>
      <c r="B854" s="1033"/>
      <c r="C854" s="1034" t="str">
        <f t="shared" si="193"/>
        <v/>
      </c>
      <c r="D854" s="1035"/>
      <c r="E854" s="1035"/>
      <c r="F854" s="1034" t="str">
        <f t="shared" si="194"/>
        <v/>
      </c>
      <c r="G854" s="1033"/>
      <c r="H854" s="1033"/>
      <c r="I854" s="1034" t="str">
        <f t="shared" si="195"/>
        <v/>
      </c>
      <c r="J854" s="1033"/>
      <c r="K854" s="1033"/>
      <c r="L854" s="1034" t="str">
        <f t="shared" si="196"/>
        <v/>
      </c>
      <c r="M854" s="1035"/>
      <c r="N854" s="1035"/>
      <c r="O854" s="1036" t="str">
        <f t="shared" si="197"/>
        <v/>
      </c>
      <c r="P854" s="1033"/>
      <c r="Q854" s="1033"/>
      <c r="R854" s="1034" t="str">
        <f t="shared" si="198"/>
        <v/>
      </c>
      <c r="S854" s="1035"/>
      <c r="T854" s="1035"/>
      <c r="U854" s="1034" t="str">
        <f t="shared" si="199"/>
        <v/>
      </c>
      <c r="V854" s="1035"/>
      <c r="W854" s="1035"/>
      <c r="X854" s="1037" t="str">
        <f t="shared" si="200"/>
        <v>222</v>
      </c>
      <c r="Y854" s="1035">
        <v>22</v>
      </c>
      <c r="Z854" s="1035">
        <f t="shared" si="174"/>
        <v>2</v>
      </c>
      <c r="AA854" s="1035"/>
      <c r="AB854" s="1035"/>
      <c r="AC854" s="1021">
        <v>211220</v>
      </c>
      <c r="AD854" s="1021" t="s">
        <v>396</v>
      </c>
      <c r="AE854" s="1022">
        <v>0</v>
      </c>
      <c r="AF854" s="1022"/>
      <c r="AG854" s="1022">
        <f t="shared" si="175"/>
        <v>0</v>
      </c>
      <c r="AH854" s="1022">
        <f t="shared" si="176"/>
        <v>0</v>
      </c>
      <c r="AK854" s="448"/>
      <c r="AL854" s="445"/>
    </row>
    <row r="855" spans="1:38" s="467" customFormat="1" ht="12.75" customHeight="1">
      <c r="A855" s="1033">
        <v>5214230</v>
      </c>
      <c r="B855" s="1033" t="s">
        <v>337</v>
      </c>
      <c r="C855" s="1034" t="str">
        <f t="shared" si="193"/>
        <v/>
      </c>
      <c r="D855" s="1035"/>
      <c r="E855" s="1035"/>
      <c r="F855" s="1034" t="str">
        <f t="shared" si="194"/>
        <v/>
      </c>
      <c r="G855" s="1033"/>
      <c r="H855" s="1033"/>
      <c r="I855" s="1034" t="str">
        <f t="shared" si="195"/>
        <v/>
      </c>
      <c r="J855" s="1033"/>
      <c r="K855" s="1033"/>
      <c r="L855" s="1034" t="str">
        <f t="shared" si="196"/>
        <v/>
      </c>
      <c r="M855" s="1035"/>
      <c r="N855" s="1035"/>
      <c r="O855" s="1036" t="str">
        <f t="shared" si="197"/>
        <v/>
      </c>
      <c r="P855" s="1033"/>
      <c r="Q855" s="1033"/>
      <c r="R855" s="1034" t="str">
        <f t="shared" si="198"/>
        <v/>
      </c>
      <c r="S855" s="1035"/>
      <c r="T855" s="1035"/>
      <c r="U855" s="1034" t="str">
        <f t="shared" si="199"/>
        <v/>
      </c>
      <c r="V855" s="1035"/>
      <c r="W855" s="1035"/>
      <c r="X855" s="1037" t="str">
        <f t="shared" si="200"/>
        <v>2</v>
      </c>
      <c r="Y855" s="1035"/>
      <c r="Z855" s="1035">
        <f t="shared" ref="Z855:Z918" si="201">VALUE(LEFT(AC855,1))</f>
        <v>2</v>
      </c>
      <c r="AA855" s="1035"/>
      <c r="AB855" s="1035"/>
      <c r="AC855" s="1021">
        <v>211221</v>
      </c>
      <c r="AD855" s="1021" t="s">
        <v>274</v>
      </c>
      <c r="AE855" s="1022">
        <f>VLOOKUP(AC855,[5]Hoja1!$A$10:$K$1393,11,0)</f>
        <v>0</v>
      </c>
      <c r="AF855" s="1022"/>
      <c r="AG855" s="1022">
        <f t="shared" ref="AG855:AG918" si="202">AE855+AF855</f>
        <v>0</v>
      </c>
      <c r="AH855" s="1022">
        <f t="shared" ref="AH855:AH918" si="203">ROUND((AE855+AF855)/$AH$2,0)</f>
        <v>0</v>
      </c>
      <c r="AK855" s="448"/>
      <c r="AL855" s="445"/>
    </row>
    <row r="856" spans="1:38" s="467" customFormat="1" ht="12.75" customHeight="1">
      <c r="A856" s="1033">
        <v>5214260</v>
      </c>
      <c r="B856" s="1033" t="s">
        <v>2794</v>
      </c>
      <c r="C856" s="1034" t="str">
        <f t="shared" si="193"/>
        <v/>
      </c>
      <c r="D856" s="1035"/>
      <c r="E856" s="1035"/>
      <c r="F856" s="1034" t="str">
        <f t="shared" si="194"/>
        <v/>
      </c>
      <c r="G856" s="1033"/>
      <c r="H856" s="1033"/>
      <c r="I856" s="1034" t="str">
        <f t="shared" si="195"/>
        <v/>
      </c>
      <c r="J856" s="1033"/>
      <c r="K856" s="1033"/>
      <c r="L856" s="1034" t="str">
        <f t="shared" si="196"/>
        <v/>
      </c>
      <c r="M856" s="1035"/>
      <c r="N856" s="1035"/>
      <c r="O856" s="1036" t="str">
        <f t="shared" si="197"/>
        <v/>
      </c>
      <c r="P856" s="1033"/>
      <c r="Q856" s="1033"/>
      <c r="R856" s="1034" t="str">
        <f t="shared" si="198"/>
        <v/>
      </c>
      <c r="S856" s="1035"/>
      <c r="T856" s="1035"/>
      <c r="U856" s="1034" t="str">
        <f t="shared" si="199"/>
        <v/>
      </c>
      <c r="V856" s="1035"/>
      <c r="W856" s="1035"/>
      <c r="X856" s="1037" t="str">
        <f t="shared" si="200"/>
        <v>222</v>
      </c>
      <c r="Y856" s="1035">
        <v>22</v>
      </c>
      <c r="Z856" s="1035">
        <f t="shared" si="201"/>
        <v>2</v>
      </c>
      <c r="AA856" s="1033" t="s">
        <v>2906</v>
      </c>
      <c r="AB856" s="1033" t="s">
        <v>2880</v>
      </c>
      <c r="AC856" s="1021">
        <v>211222</v>
      </c>
      <c r="AD856" s="1021" t="s">
        <v>364</v>
      </c>
      <c r="AE856" s="1022">
        <f>VLOOKUP(AC856,[5]Hoja1!$A$10:$K$1393,11,0)</f>
        <v>0</v>
      </c>
      <c r="AF856" s="1022"/>
      <c r="AG856" s="1022">
        <f t="shared" si="202"/>
        <v>0</v>
      </c>
      <c r="AH856" s="1022">
        <f t="shared" si="203"/>
        <v>0</v>
      </c>
      <c r="AK856" s="448"/>
      <c r="AL856" s="445"/>
    </row>
    <row r="857" spans="1:38" s="467" customFormat="1" ht="12.75" customHeight="1">
      <c r="A857" s="1033">
        <v>5214260</v>
      </c>
      <c r="B857" s="1033" t="s">
        <v>2794</v>
      </c>
      <c r="C857" s="1034" t="str">
        <f t="shared" si="193"/>
        <v/>
      </c>
      <c r="D857" s="1035"/>
      <c r="E857" s="1035"/>
      <c r="F857" s="1034" t="str">
        <f t="shared" si="194"/>
        <v/>
      </c>
      <c r="G857" s="1033"/>
      <c r="H857" s="1033"/>
      <c r="I857" s="1034" t="str">
        <f t="shared" si="195"/>
        <v/>
      </c>
      <c r="J857" s="1033"/>
      <c r="K857" s="1033"/>
      <c r="L857" s="1034" t="str">
        <f t="shared" si="196"/>
        <v/>
      </c>
      <c r="M857" s="1035"/>
      <c r="N857" s="1035"/>
      <c r="O857" s="1036" t="str">
        <f t="shared" si="197"/>
        <v/>
      </c>
      <c r="P857" s="1033"/>
      <c r="Q857" s="1033"/>
      <c r="R857" s="1034" t="str">
        <f t="shared" si="198"/>
        <v/>
      </c>
      <c r="S857" s="1035"/>
      <c r="T857" s="1035"/>
      <c r="U857" s="1034" t="str">
        <f t="shared" si="199"/>
        <v/>
      </c>
      <c r="V857" s="1035"/>
      <c r="W857" s="1035"/>
      <c r="X857" s="1037" t="str">
        <f t="shared" si="200"/>
        <v>222</v>
      </c>
      <c r="Y857" s="1035">
        <v>22</v>
      </c>
      <c r="Z857" s="1035">
        <f t="shared" si="201"/>
        <v>2</v>
      </c>
      <c r="AA857" s="1033" t="s">
        <v>2906</v>
      </c>
      <c r="AB857" s="1033" t="s">
        <v>2884</v>
      </c>
      <c r="AC857" s="1021">
        <v>211223</v>
      </c>
      <c r="AD857" s="1021" t="s">
        <v>1337</v>
      </c>
      <c r="AE857" s="1022">
        <f>VLOOKUP(AC857,[5]Hoja1!$A$10:$K$1393,11,0)</f>
        <v>-6824390571</v>
      </c>
      <c r="AF857" s="1509">
        <f>-AF428</f>
        <v>6809545676</v>
      </c>
      <c r="AG857" s="1022">
        <f t="shared" si="202"/>
        <v>-14844895</v>
      </c>
      <c r="AH857" s="1022">
        <f t="shared" si="203"/>
        <v>-14845</v>
      </c>
      <c r="AJ857" s="467">
        <v>4272372428</v>
      </c>
      <c r="AK857" s="448"/>
      <c r="AL857" s="445"/>
    </row>
    <row r="858" spans="1:38" s="467" customFormat="1" ht="12.75" customHeight="1">
      <c r="A858" s="1033"/>
      <c r="B858" s="1033"/>
      <c r="C858" s="1034" t="str">
        <f t="shared" si="193"/>
        <v/>
      </c>
      <c r="D858" s="1035"/>
      <c r="E858" s="1035"/>
      <c r="F858" s="1034" t="str">
        <f t="shared" si="194"/>
        <v/>
      </c>
      <c r="G858" s="1033"/>
      <c r="H858" s="1033"/>
      <c r="I858" s="1034" t="str">
        <f t="shared" si="195"/>
        <v/>
      </c>
      <c r="J858" s="1033"/>
      <c r="K858" s="1033"/>
      <c r="L858" s="1034" t="str">
        <f t="shared" si="196"/>
        <v/>
      </c>
      <c r="M858" s="1035"/>
      <c r="N858" s="1035"/>
      <c r="O858" s="1036" t="str">
        <f t="shared" si="197"/>
        <v/>
      </c>
      <c r="P858" s="1033"/>
      <c r="Q858" s="1033"/>
      <c r="R858" s="1034" t="str">
        <f t="shared" si="198"/>
        <v/>
      </c>
      <c r="S858" s="1035"/>
      <c r="T858" s="1035"/>
      <c r="U858" s="1034" t="str">
        <f t="shared" si="199"/>
        <v/>
      </c>
      <c r="V858" s="1035"/>
      <c r="W858" s="1035"/>
      <c r="X858" s="1037" t="str">
        <f t="shared" si="200"/>
        <v>222</v>
      </c>
      <c r="Y858" s="1035">
        <v>22</v>
      </c>
      <c r="Z858" s="1035">
        <f t="shared" si="201"/>
        <v>2</v>
      </c>
      <c r="AA858" s="1035"/>
      <c r="AB858" s="1035"/>
      <c r="AC858" s="1021">
        <v>211224</v>
      </c>
      <c r="AD858" s="1021" t="s">
        <v>365</v>
      </c>
      <c r="AE858" s="1022">
        <v>0</v>
      </c>
      <c r="AF858" s="1022"/>
      <c r="AG858" s="1022">
        <f t="shared" si="202"/>
        <v>0</v>
      </c>
      <c r="AH858" s="1022">
        <f t="shared" si="203"/>
        <v>0</v>
      </c>
      <c r="AK858" s="448"/>
      <c r="AL858" s="445"/>
    </row>
    <row r="859" spans="1:38" s="467" customFormat="1" ht="12.75" customHeight="1">
      <c r="A859" s="1033">
        <v>5214230</v>
      </c>
      <c r="B859" s="1033" t="s">
        <v>337</v>
      </c>
      <c r="C859" s="1034" t="str">
        <f t="shared" si="193"/>
        <v/>
      </c>
      <c r="D859" s="1035"/>
      <c r="E859" s="1035"/>
      <c r="F859" s="1034" t="str">
        <f t="shared" si="194"/>
        <v/>
      </c>
      <c r="G859" s="1033"/>
      <c r="H859" s="1033"/>
      <c r="I859" s="1034" t="str">
        <f t="shared" si="195"/>
        <v/>
      </c>
      <c r="J859" s="1033"/>
      <c r="K859" s="1033"/>
      <c r="L859" s="1034" t="str">
        <f t="shared" si="196"/>
        <v/>
      </c>
      <c r="M859" s="1035"/>
      <c r="N859" s="1035"/>
      <c r="O859" s="1036" t="str">
        <f t="shared" si="197"/>
        <v/>
      </c>
      <c r="P859" s="1033"/>
      <c r="Q859" s="1033"/>
      <c r="R859" s="1034" t="str">
        <f t="shared" si="198"/>
        <v/>
      </c>
      <c r="S859" s="1035"/>
      <c r="T859" s="1035"/>
      <c r="U859" s="1034" t="str">
        <f t="shared" si="199"/>
        <v/>
      </c>
      <c r="V859" s="1035"/>
      <c r="W859" s="1035"/>
      <c r="X859" s="1037"/>
      <c r="Y859" s="1035"/>
      <c r="Z859" s="1035">
        <f t="shared" si="201"/>
        <v>2</v>
      </c>
      <c r="AA859" s="1035"/>
      <c r="AB859" s="1035"/>
      <c r="AC859" s="1021">
        <v>211225</v>
      </c>
      <c r="AD859" s="1021" t="s">
        <v>366</v>
      </c>
      <c r="AE859" s="1022">
        <f>VLOOKUP(AC859,[5]Hoja1!$A$10:$K$1393,11,0)</f>
        <v>0</v>
      </c>
      <c r="AF859" s="1025">
        <f>-AF899-AF898-AF900</f>
        <v>0</v>
      </c>
      <c r="AG859" s="1022">
        <f t="shared" si="202"/>
        <v>0</v>
      </c>
      <c r="AH859" s="1022">
        <f t="shared" si="203"/>
        <v>0</v>
      </c>
      <c r="AK859" s="448"/>
      <c r="AL859" s="445"/>
    </row>
    <row r="860" spans="1:38" s="467" customFormat="1" ht="12.75" customHeight="1">
      <c r="A860" s="1033">
        <v>5214260</v>
      </c>
      <c r="B860" s="1033" t="s">
        <v>2794</v>
      </c>
      <c r="C860" s="1034" t="str">
        <f t="shared" si="193"/>
        <v/>
      </c>
      <c r="D860" s="1035"/>
      <c r="E860" s="1035"/>
      <c r="F860" s="1034" t="str">
        <f t="shared" si="194"/>
        <v/>
      </c>
      <c r="G860" s="1033"/>
      <c r="H860" s="1033"/>
      <c r="I860" s="1034" t="str">
        <f t="shared" si="195"/>
        <v/>
      </c>
      <c r="J860" s="1033"/>
      <c r="K860" s="1033"/>
      <c r="L860" s="1034" t="str">
        <f t="shared" si="196"/>
        <v/>
      </c>
      <c r="M860" s="1035"/>
      <c r="N860" s="1035"/>
      <c r="O860" s="1036" t="str">
        <f t="shared" si="197"/>
        <v/>
      </c>
      <c r="P860" s="1033"/>
      <c r="Q860" s="1033"/>
      <c r="R860" s="1034" t="str">
        <f t="shared" si="198"/>
        <v/>
      </c>
      <c r="S860" s="1035"/>
      <c r="T860" s="1035"/>
      <c r="U860" s="1034" t="str">
        <f t="shared" si="199"/>
        <v/>
      </c>
      <c r="V860" s="1035"/>
      <c r="W860" s="1035"/>
      <c r="X860" s="1037" t="str">
        <f t="shared" ref="X860:X865" si="204">+Y860&amp;Z860</f>
        <v>222</v>
      </c>
      <c r="Y860" s="1035">
        <v>22</v>
      </c>
      <c r="Z860" s="1035">
        <f t="shared" si="201"/>
        <v>2</v>
      </c>
      <c r="AA860" s="1033" t="s">
        <v>2906</v>
      </c>
      <c r="AB860" s="1033" t="s">
        <v>354</v>
      </c>
      <c r="AC860" s="1021">
        <v>211226</v>
      </c>
      <c r="AD860" s="1021" t="s">
        <v>1587</v>
      </c>
      <c r="AE860" s="1022">
        <f>VLOOKUP(AC860,[5]Hoja1!$A$10:$K$1393,11,0)</f>
        <v>0</v>
      </c>
      <c r="AF860" s="1022"/>
      <c r="AG860" s="1022">
        <f t="shared" si="202"/>
        <v>0</v>
      </c>
      <c r="AH860" s="1022">
        <f t="shared" si="203"/>
        <v>0</v>
      </c>
      <c r="AK860" s="448"/>
      <c r="AL860" s="445"/>
    </row>
    <row r="861" spans="1:38" s="467" customFormat="1" ht="12.75" customHeight="1">
      <c r="A861" s="1033">
        <v>5214220</v>
      </c>
      <c r="B861" s="1033" t="s">
        <v>2792</v>
      </c>
      <c r="C861" s="1034" t="str">
        <f t="shared" si="193"/>
        <v/>
      </c>
      <c r="D861" s="1035"/>
      <c r="E861" s="1035"/>
      <c r="F861" s="1034" t="str">
        <f t="shared" si="194"/>
        <v/>
      </c>
      <c r="G861" s="1033"/>
      <c r="H861" s="1033"/>
      <c r="I861" s="1034" t="str">
        <f t="shared" si="195"/>
        <v/>
      </c>
      <c r="J861" s="1033"/>
      <c r="K861" s="1033"/>
      <c r="L861" s="1034" t="str">
        <f t="shared" si="196"/>
        <v/>
      </c>
      <c r="M861" s="1035"/>
      <c r="N861" s="1035"/>
      <c r="O861" s="1036" t="str">
        <f t="shared" si="197"/>
        <v/>
      </c>
      <c r="P861" s="1033"/>
      <c r="Q861" s="1033"/>
      <c r="R861" s="1034" t="str">
        <f t="shared" si="198"/>
        <v/>
      </c>
      <c r="S861" s="1035"/>
      <c r="T861" s="1035"/>
      <c r="U861" s="1034" t="str">
        <f t="shared" si="199"/>
        <v/>
      </c>
      <c r="V861" s="1035"/>
      <c r="W861" s="1035"/>
      <c r="X861" s="1037" t="str">
        <f t="shared" si="204"/>
        <v>222</v>
      </c>
      <c r="Y861" s="1035">
        <v>22</v>
      </c>
      <c r="Z861" s="1035">
        <f t="shared" si="201"/>
        <v>2</v>
      </c>
      <c r="AA861" s="1035"/>
      <c r="AB861" s="1035"/>
      <c r="AC861" s="1021">
        <v>211227</v>
      </c>
      <c r="AD861" s="1021" t="s">
        <v>2203</v>
      </c>
      <c r="AE861" s="1022">
        <f>VLOOKUP(AC861,[5]Hoja1!$A$10:$K$1393,11,0)</f>
        <v>0</v>
      </c>
      <c r="AF861" s="1191">
        <v>0</v>
      </c>
      <c r="AG861" s="1022">
        <f t="shared" si="202"/>
        <v>0</v>
      </c>
      <c r="AH861" s="1022">
        <f t="shared" si="203"/>
        <v>0</v>
      </c>
      <c r="AK861" s="448"/>
      <c r="AL861" s="445"/>
    </row>
    <row r="862" spans="1:38" s="467" customFormat="1" ht="12.75" customHeight="1">
      <c r="A862" s="1033">
        <v>5214260</v>
      </c>
      <c r="B862" s="1033" t="s">
        <v>2794</v>
      </c>
      <c r="C862" s="1034" t="str">
        <f t="shared" si="193"/>
        <v/>
      </c>
      <c r="D862" s="1033"/>
      <c r="E862" s="1033"/>
      <c r="F862" s="1034" t="str">
        <f t="shared" si="194"/>
        <v/>
      </c>
      <c r="G862" s="1033"/>
      <c r="H862" s="1033"/>
      <c r="I862" s="1034" t="str">
        <f t="shared" si="195"/>
        <v/>
      </c>
      <c r="J862" s="1033"/>
      <c r="K862" s="1033"/>
      <c r="L862" s="1034" t="str">
        <f t="shared" si="196"/>
        <v/>
      </c>
      <c r="M862" s="1035"/>
      <c r="N862" s="1035"/>
      <c r="O862" s="1036" t="str">
        <f t="shared" si="197"/>
        <v/>
      </c>
      <c r="P862" s="1033"/>
      <c r="Q862" s="1033"/>
      <c r="R862" s="1034" t="str">
        <f t="shared" si="198"/>
        <v/>
      </c>
      <c r="S862" s="1035"/>
      <c r="T862" s="1035"/>
      <c r="U862" s="1034" t="str">
        <f t="shared" si="199"/>
        <v/>
      </c>
      <c r="V862" s="1035"/>
      <c r="W862" s="1035"/>
      <c r="X862" s="1037" t="str">
        <f t="shared" si="204"/>
        <v>222</v>
      </c>
      <c r="Y862" s="1035">
        <v>22</v>
      </c>
      <c r="Z862" s="1035">
        <f t="shared" si="201"/>
        <v>2</v>
      </c>
      <c r="AA862" s="1033" t="s">
        <v>2906</v>
      </c>
      <c r="AB862" s="1033" t="s">
        <v>2883</v>
      </c>
      <c r="AC862" s="1021">
        <v>211228</v>
      </c>
      <c r="AD862" s="1021" t="s">
        <v>2204</v>
      </c>
      <c r="AE862" s="1022">
        <f>VLOOKUP(AC862,[5]Hoja1!$A$10:$K$1393,11,0)</f>
        <v>-515310281</v>
      </c>
      <c r="AF862" s="1022"/>
      <c r="AG862" s="1022">
        <f t="shared" si="202"/>
        <v>-515310281</v>
      </c>
      <c r="AH862" s="1022">
        <f t="shared" si="203"/>
        <v>-515310</v>
      </c>
      <c r="AK862" s="448"/>
      <c r="AL862" s="445"/>
    </row>
    <row r="863" spans="1:38" s="467" customFormat="1" ht="12.75" customHeight="1">
      <c r="A863" s="1033">
        <v>5214260</v>
      </c>
      <c r="B863" s="1033" t="s">
        <v>2794</v>
      </c>
      <c r="C863" s="1034" t="str">
        <f t="shared" si="193"/>
        <v/>
      </c>
      <c r="D863" s="1035"/>
      <c r="E863" s="1035"/>
      <c r="F863" s="1034" t="str">
        <f t="shared" si="194"/>
        <v/>
      </c>
      <c r="G863" s="1033"/>
      <c r="H863" s="1033"/>
      <c r="I863" s="1034" t="str">
        <f t="shared" si="195"/>
        <v/>
      </c>
      <c r="J863" s="1033"/>
      <c r="K863" s="1033"/>
      <c r="L863" s="1034" t="str">
        <f t="shared" si="196"/>
        <v/>
      </c>
      <c r="M863" s="1035"/>
      <c r="N863" s="1035"/>
      <c r="O863" s="1036" t="str">
        <f t="shared" si="197"/>
        <v/>
      </c>
      <c r="P863" s="1033"/>
      <c r="Q863" s="1033"/>
      <c r="R863" s="1034" t="str">
        <f t="shared" si="198"/>
        <v/>
      </c>
      <c r="S863" s="1035"/>
      <c r="T863" s="1035"/>
      <c r="U863" s="1034" t="str">
        <f t="shared" si="199"/>
        <v/>
      </c>
      <c r="V863" s="1035"/>
      <c r="W863" s="1035"/>
      <c r="X863" s="1037" t="str">
        <f t="shared" si="204"/>
        <v>2</v>
      </c>
      <c r="Y863" s="1035"/>
      <c r="Z863" s="1035">
        <f t="shared" si="201"/>
        <v>2</v>
      </c>
      <c r="AA863" s="1033" t="s">
        <v>2906</v>
      </c>
      <c r="AB863" s="1033" t="s">
        <v>2885</v>
      </c>
      <c r="AC863" s="1021">
        <v>211229</v>
      </c>
      <c r="AD863" s="1021" t="s">
        <v>200</v>
      </c>
      <c r="AE863" s="1022">
        <f>VLOOKUP(AC863,[5]Hoja1!$A$10:$K$1393,11,0)</f>
        <v>-22256714</v>
      </c>
      <c r="AF863" s="1022"/>
      <c r="AG863" s="1022">
        <f t="shared" si="202"/>
        <v>-22256714</v>
      </c>
      <c r="AH863" s="1022">
        <f t="shared" si="203"/>
        <v>-22257</v>
      </c>
      <c r="AK863" s="448"/>
      <c r="AL863" s="445"/>
    </row>
    <row r="864" spans="1:38" s="467" customFormat="1" ht="12.75" customHeight="1">
      <c r="A864" s="1033">
        <v>5214260</v>
      </c>
      <c r="B864" s="1033" t="s">
        <v>2794</v>
      </c>
      <c r="C864" s="1034" t="str">
        <f t="shared" si="193"/>
        <v/>
      </c>
      <c r="D864" s="1035"/>
      <c r="E864" s="1035"/>
      <c r="F864" s="1034" t="str">
        <f t="shared" si="194"/>
        <v/>
      </c>
      <c r="G864" s="1033"/>
      <c r="H864" s="1033"/>
      <c r="I864" s="1034" t="str">
        <f t="shared" si="195"/>
        <v/>
      </c>
      <c r="J864" s="1033"/>
      <c r="K864" s="1033"/>
      <c r="L864" s="1034" t="str">
        <f t="shared" si="196"/>
        <v/>
      </c>
      <c r="M864" s="1035"/>
      <c r="N864" s="1035"/>
      <c r="O864" s="1036" t="str">
        <f t="shared" si="197"/>
        <v/>
      </c>
      <c r="P864" s="1033"/>
      <c r="Q864" s="1033"/>
      <c r="R864" s="1034" t="str">
        <f t="shared" si="198"/>
        <v/>
      </c>
      <c r="S864" s="1035"/>
      <c r="T864" s="1035"/>
      <c r="U864" s="1034" t="str">
        <f t="shared" si="199"/>
        <v/>
      </c>
      <c r="V864" s="1035"/>
      <c r="W864" s="1035"/>
      <c r="X864" s="1037" t="str">
        <f t="shared" si="204"/>
        <v>222</v>
      </c>
      <c r="Y864" s="1035">
        <v>22</v>
      </c>
      <c r="Z864" s="1035">
        <f t="shared" si="201"/>
        <v>2</v>
      </c>
      <c r="AA864" s="1033" t="s">
        <v>2906</v>
      </c>
      <c r="AB864" s="1033" t="s">
        <v>2885</v>
      </c>
      <c r="AC864" s="1021">
        <v>211230</v>
      </c>
      <c r="AD864" s="1021" t="s">
        <v>201</v>
      </c>
      <c r="AE864" s="1022">
        <f>VLOOKUP(AC864,[5]Hoja1!$A$10:$K$1393,11,0)</f>
        <v>0</v>
      </c>
      <c r="AF864" s="1022"/>
      <c r="AG864" s="1022">
        <f t="shared" si="202"/>
        <v>0</v>
      </c>
      <c r="AH864" s="1022">
        <f t="shared" si="203"/>
        <v>0</v>
      </c>
      <c r="AJ864" s="491"/>
      <c r="AK864" s="448"/>
      <c r="AL864" s="445"/>
    </row>
    <row r="865" spans="1:38" s="467" customFormat="1" ht="12.75" customHeight="1">
      <c r="A865" s="1033">
        <v>5214260</v>
      </c>
      <c r="B865" s="1033" t="s">
        <v>2794</v>
      </c>
      <c r="C865" s="1034" t="str">
        <f t="shared" si="193"/>
        <v/>
      </c>
      <c r="D865" s="1035"/>
      <c r="E865" s="1035"/>
      <c r="F865" s="1034" t="str">
        <f t="shared" si="194"/>
        <v/>
      </c>
      <c r="G865" s="1033"/>
      <c r="H865" s="1033"/>
      <c r="I865" s="1034" t="str">
        <f t="shared" si="195"/>
        <v/>
      </c>
      <c r="J865" s="1033"/>
      <c r="K865" s="1033"/>
      <c r="L865" s="1034" t="str">
        <f t="shared" si="196"/>
        <v/>
      </c>
      <c r="M865" s="1035"/>
      <c r="N865" s="1035"/>
      <c r="O865" s="1036" t="str">
        <f t="shared" si="197"/>
        <v/>
      </c>
      <c r="P865" s="1033"/>
      <c r="Q865" s="1033"/>
      <c r="R865" s="1034" t="str">
        <f t="shared" si="198"/>
        <v/>
      </c>
      <c r="S865" s="1035"/>
      <c r="T865" s="1035"/>
      <c r="U865" s="1034" t="str">
        <f t="shared" si="199"/>
        <v/>
      </c>
      <c r="V865" s="1035"/>
      <c r="W865" s="1035"/>
      <c r="X865" s="1037" t="str">
        <f t="shared" si="204"/>
        <v>222</v>
      </c>
      <c r="Y865" s="1035">
        <v>22</v>
      </c>
      <c r="Z865" s="1035">
        <f t="shared" si="201"/>
        <v>2</v>
      </c>
      <c r="AA865" s="1033" t="s">
        <v>2906</v>
      </c>
      <c r="AB865" s="1033" t="s">
        <v>2885</v>
      </c>
      <c r="AC865" s="1021">
        <v>211231</v>
      </c>
      <c r="AD865" s="1021" t="s">
        <v>2205</v>
      </c>
      <c r="AE865" s="1022">
        <f>VLOOKUP(AC865,[5]Hoja1!$A$10:$K$1393,11,0)</f>
        <v>-5468360</v>
      </c>
      <c r="AF865" s="1022"/>
      <c r="AG865" s="1022">
        <f t="shared" si="202"/>
        <v>-5468360</v>
      </c>
      <c r="AH865" s="1022">
        <f t="shared" si="203"/>
        <v>-5468</v>
      </c>
      <c r="AJ865" s="491"/>
      <c r="AK865" s="448"/>
      <c r="AL865" s="445"/>
    </row>
    <row r="866" spans="1:38" s="467" customFormat="1" ht="12.75" customHeight="1">
      <c r="A866" s="1033"/>
      <c r="B866" s="1033"/>
      <c r="C866" s="1034"/>
      <c r="D866" s="1035"/>
      <c r="E866" s="1035"/>
      <c r="F866" s="1034"/>
      <c r="G866" s="1033"/>
      <c r="H866" s="1033"/>
      <c r="I866" s="1034"/>
      <c r="J866" s="1033"/>
      <c r="K866" s="1033"/>
      <c r="L866" s="1034"/>
      <c r="M866" s="1035"/>
      <c r="N866" s="1035"/>
      <c r="O866" s="1036"/>
      <c r="P866" s="1033"/>
      <c r="Q866" s="1033"/>
      <c r="R866" s="1034"/>
      <c r="S866" s="1035"/>
      <c r="T866" s="1035"/>
      <c r="U866" s="1034"/>
      <c r="V866" s="1035"/>
      <c r="W866" s="1035"/>
      <c r="X866" s="1037"/>
      <c r="Y866" s="1035"/>
      <c r="Z866" s="1035">
        <f t="shared" si="201"/>
        <v>2</v>
      </c>
      <c r="AA866" s="1035"/>
      <c r="AB866" s="1035"/>
      <c r="AC866" s="1021">
        <v>211232</v>
      </c>
      <c r="AD866" s="1021" t="s">
        <v>499</v>
      </c>
      <c r="AE866" s="1022">
        <v>0</v>
      </c>
      <c r="AF866" s="1022"/>
      <c r="AG866" s="1022">
        <f t="shared" si="202"/>
        <v>0</v>
      </c>
      <c r="AH866" s="1022">
        <f t="shared" si="203"/>
        <v>0</v>
      </c>
      <c r="AJ866" s="491"/>
      <c r="AK866" s="448"/>
      <c r="AL866" s="445"/>
    </row>
    <row r="867" spans="1:38" s="467" customFormat="1" ht="12.75" customHeight="1">
      <c r="A867" s="1033">
        <v>5214260</v>
      </c>
      <c r="B867" s="1033" t="s">
        <v>2794</v>
      </c>
      <c r="C867" s="1034"/>
      <c r="D867" s="1035"/>
      <c r="E867" s="1035"/>
      <c r="F867" s="1034"/>
      <c r="G867" s="1033"/>
      <c r="H867" s="1033"/>
      <c r="I867" s="1034"/>
      <c r="J867" s="1033"/>
      <c r="K867" s="1033"/>
      <c r="L867" s="1034"/>
      <c r="M867" s="1035"/>
      <c r="N867" s="1035"/>
      <c r="O867" s="1036"/>
      <c r="P867" s="1033"/>
      <c r="Q867" s="1033"/>
      <c r="R867" s="1034"/>
      <c r="S867" s="1035"/>
      <c r="T867" s="1035"/>
      <c r="U867" s="1034"/>
      <c r="V867" s="1035"/>
      <c r="W867" s="1035"/>
      <c r="X867" s="1037" t="str">
        <f>+Y867&amp;Z867</f>
        <v>222</v>
      </c>
      <c r="Y867" s="1035">
        <v>22</v>
      </c>
      <c r="Z867" s="1035">
        <f t="shared" si="201"/>
        <v>2</v>
      </c>
      <c r="AA867" s="1033" t="s">
        <v>2906</v>
      </c>
      <c r="AB867" s="1033" t="s">
        <v>2884</v>
      </c>
      <c r="AC867" s="1021">
        <v>211233</v>
      </c>
      <c r="AD867" s="1021" t="s">
        <v>2206</v>
      </c>
      <c r="AE867" s="1022">
        <f>VLOOKUP(AC867,[5]Hoja1!$A$10:$K$1393,11,0)</f>
        <v>-895538000</v>
      </c>
      <c r="AF867" s="1022">
        <v>0</v>
      </c>
      <c r="AG867" s="1022">
        <f t="shared" si="202"/>
        <v>-895538000</v>
      </c>
      <c r="AH867" s="1022">
        <f t="shared" si="203"/>
        <v>-895538</v>
      </c>
      <c r="AJ867" s="491"/>
      <c r="AK867" s="448"/>
      <c r="AL867" s="445"/>
    </row>
    <row r="868" spans="1:38" s="467" customFormat="1" ht="12.75" customHeight="1">
      <c r="A868" s="1033"/>
      <c r="B868" s="1033"/>
      <c r="C868" s="1034"/>
      <c r="D868" s="1035"/>
      <c r="E868" s="1035"/>
      <c r="F868" s="1034"/>
      <c r="G868" s="1033"/>
      <c r="H868" s="1033"/>
      <c r="I868" s="1034"/>
      <c r="J868" s="1033"/>
      <c r="K868" s="1033"/>
      <c r="L868" s="1034"/>
      <c r="M868" s="1035"/>
      <c r="N868" s="1035"/>
      <c r="O868" s="1036"/>
      <c r="P868" s="1033"/>
      <c r="Q868" s="1033"/>
      <c r="R868" s="1034"/>
      <c r="S868" s="1035"/>
      <c r="T868" s="1035"/>
      <c r="U868" s="1034"/>
      <c r="V868" s="1035"/>
      <c r="W868" s="1035"/>
      <c r="X868" s="1037"/>
      <c r="Y868" s="1035"/>
      <c r="Z868" s="1035">
        <f t="shared" si="201"/>
        <v>2</v>
      </c>
      <c r="AA868" s="1035"/>
      <c r="AB868" s="1035"/>
      <c r="AC868" s="1021">
        <v>211234</v>
      </c>
      <c r="AD868" s="1021" t="s">
        <v>2207</v>
      </c>
      <c r="AE868" s="1022">
        <v>0</v>
      </c>
      <c r="AF868" s="1022"/>
      <c r="AG868" s="1022">
        <f t="shared" si="202"/>
        <v>0</v>
      </c>
      <c r="AH868" s="1022">
        <f t="shared" si="203"/>
        <v>0</v>
      </c>
      <c r="AJ868" s="491"/>
      <c r="AK868" s="448"/>
      <c r="AL868" s="445"/>
    </row>
    <row r="869" spans="1:38" s="467" customFormat="1" ht="12.75" customHeight="1">
      <c r="A869" s="1033">
        <v>5214260</v>
      </c>
      <c r="B869" s="1033" t="s">
        <v>2794</v>
      </c>
      <c r="C869" s="1034"/>
      <c r="D869" s="1035"/>
      <c r="E869" s="1035"/>
      <c r="F869" s="1034"/>
      <c r="G869" s="1033"/>
      <c r="H869" s="1033"/>
      <c r="I869" s="1034"/>
      <c r="J869" s="1033"/>
      <c r="K869" s="1033"/>
      <c r="L869" s="1034"/>
      <c r="M869" s="1035"/>
      <c r="N869" s="1035"/>
      <c r="O869" s="1036"/>
      <c r="P869" s="1033"/>
      <c r="Q869" s="1033"/>
      <c r="R869" s="1034"/>
      <c r="S869" s="1035"/>
      <c r="T869" s="1035"/>
      <c r="U869" s="1034"/>
      <c r="V869" s="1035"/>
      <c r="W869" s="1035"/>
      <c r="X869" s="1037" t="str">
        <f>+Y869&amp;Z869</f>
        <v>222</v>
      </c>
      <c r="Y869" s="1035">
        <v>22</v>
      </c>
      <c r="Z869" s="1035">
        <f t="shared" si="201"/>
        <v>2</v>
      </c>
      <c r="AA869" s="1033" t="s">
        <v>2906</v>
      </c>
      <c r="AB869" s="1033" t="s">
        <v>2884</v>
      </c>
      <c r="AC869" s="1021">
        <v>211235</v>
      </c>
      <c r="AD869" s="1021" t="s">
        <v>1655</v>
      </c>
      <c r="AE869" s="1022">
        <f>VLOOKUP(AC869,[5]Hoja1!$A$10:$K$1393,11,0)</f>
        <v>-468428722</v>
      </c>
      <c r="AF869" s="1191">
        <f>-AE869</f>
        <v>468428722</v>
      </c>
      <c r="AG869" s="1022">
        <f t="shared" si="202"/>
        <v>0</v>
      </c>
      <c r="AH869" s="1022">
        <f t="shared" si="203"/>
        <v>0</v>
      </c>
      <c r="AJ869" s="491"/>
      <c r="AK869" s="448"/>
      <c r="AL869" s="445"/>
    </row>
    <row r="870" spans="1:38" s="467" customFormat="1" ht="12.75" customHeight="1">
      <c r="A870" s="1033">
        <v>5214260</v>
      </c>
      <c r="B870" s="1033" t="s">
        <v>2794</v>
      </c>
      <c r="C870" s="1034"/>
      <c r="D870" s="1035"/>
      <c r="E870" s="1035"/>
      <c r="F870" s="1034"/>
      <c r="G870" s="1033"/>
      <c r="H870" s="1033"/>
      <c r="I870" s="1034"/>
      <c r="J870" s="1033"/>
      <c r="K870" s="1033"/>
      <c r="L870" s="1034"/>
      <c r="M870" s="1035"/>
      <c r="N870" s="1035"/>
      <c r="O870" s="1036"/>
      <c r="P870" s="1033"/>
      <c r="Q870" s="1033"/>
      <c r="R870" s="1034"/>
      <c r="S870" s="1035"/>
      <c r="T870" s="1035"/>
      <c r="U870" s="1034"/>
      <c r="V870" s="1035"/>
      <c r="W870" s="1035"/>
      <c r="X870" s="1037" t="str">
        <f>+Y870&amp;Z870</f>
        <v>222</v>
      </c>
      <c r="Y870" s="1035">
        <v>22</v>
      </c>
      <c r="Z870" s="1035">
        <f t="shared" si="201"/>
        <v>2</v>
      </c>
      <c r="AA870" s="1033" t="s">
        <v>2906</v>
      </c>
      <c r="AB870" s="1035"/>
      <c r="AC870" s="1021">
        <v>211236</v>
      </c>
      <c r="AD870" s="1021" t="s">
        <v>2208</v>
      </c>
      <c r="AE870" s="1022">
        <f>VLOOKUP(AC870,[5]Hoja1!$A$10:$K$1393,11,0)</f>
        <v>0</v>
      </c>
      <c r="AF870" s="1022"/>
      <c r="AG870" s="1022">
        <f t="shared" si="202"/>
        <v>0</v>
      </c>
      <c r="AH870" s="1022">
        <f t="shared" si="203"/>
        <v>0</v>
      </c>
      <c r="AJ870" s="491"/>
      <c r="AK870" s="448"/>
      <c r="AL870" s="445"/>
    </row>
    <row r="871" spans="1:38" s="467" customFormat="1" ht="12.75" customHeight="1">
      <c r="A871" s="1033">
        <v>5214260</v>
      </c>
      <c r="B871" s="1033" t="s">
        <v>2794</v>
      </c>
      <c r="C871" s="1034"/>
      <c r="D871" s="1035"/>
      <c r="E871" s="1035"/>
      <c r="F871" s="1034"/>
      <c r="G871" s="1033"/>
      <c r="H871" s="1033"/>
      <c r="I871" s="1034"/>
      <c r="J871" s="1033"/>
      <c r="K871" s="1033"/>
      <c r="L871" s="1034"/>
      <c r="M871" s="1035"/>
      <c r="N871" s="1035"/>
      <c r="O871" s="1036"/>
      <c r="P871" s="1033"/>
      <c r="Q871" s="1033"/>
      <c r="R871" s="1034"/>
      <c r="S871" s="1035"/>
      <c r="T871" s="1035"/>
      <c r="U871" s="1034"/>
      <c r="V871" s="1035"/>
      <c r="W871" s="1035"/>
      <c r="X871" s="1037"/>
      <c r="Y871" s="1035"/>
      <c r="Z871" s="1035">
        <f t="shared" si="201"/>
        <v>2</v>
      </c>
      <c r="AA871" s="1033" t="s">
        <v>2906</v>
      </c>
      <c r="AB871" s="1033" t="s">
        <v>2885</v>
      </c>
      <c r="AC871" s="1023">
        <v>211237</v>
      </c>
      <c r="AD871" s="1021" t="s">
        <v>2705</v>
      </c>
      <c r="AE871" s="1022">
        <f>VLOOKUP(AC871,[5]Hoja1!$A$10:$K$1393,11,0)</f>
        <v>-11629940516</v>
      </c>
      <c r="AF871" s="1022">
        <f>-AF429</f>
        <v>0</v>
      </c>
      <c r="AG871" s="1022">
        <f t="shared" si="202"/>
        <v>-11629940516</v>
      </c>
      <c r="AH871" s="1022">
        <f t="shared" si="203"/>
        <v>-11629941</v>
      </c>
      <c r="AJ871" s="491"/>
      <c r="AK871" s="448"/>
      <c r="AL871" s="445"/>
    </row>
    <row r="872" spans="1:38" s="467" customFormat="1" ht="12.75" customHeight="1">
      <c r="A872" s="1033">
        <v>5214260</v>
      </c>
      <c r="B872" s="1033" t="s">
        <v>2794</v>
      </c>
      <c r="C872" s="1034"/>
      <c r="D872" s="1035"/>
      <c r="E872" s="1035"/>
      <c r="F872" s="1034"/>
      <c r="G872" s="1033"/>
      <c r="H872" s="1033"/>
      <c r="I872" s="1034"/>
      <c r="J872" s="1033"/>
      <c r="K872" s="1033"/>
      <c r="L872" s="1034"/>
      <c r="M872" s="1035"/>
      <c r="N872" s="1035"/>
      <c r="O872" s="1036"/>
      <c r="P872" s="1033"/>
      <c r="Q872" s="1033"/>
      <c r="R872" s="1034"/>
      <c r="S872" s="1035"/>
      <c r="T872" s="1035"/>
      <c r="U872" s="1034"/>
      <c r="V872" s="1035"/>
      <c r="W872" s="1035"/>
      <c r="X872" s="1037" t="str">
        <f>+Y872&amp;Z872</f>
        <v>222</v>
      </c>
      <c r="Y872" s="1035">
        <v>22</v>
      </c>
      <c r="Z872" s="1035">
        <f t="shared" si="201"/>
        <v>2</v>
      </c>
      <c r="AA872" s="1033" t="s">
        <v>2906</v>
      </c>
      <c r="AB872" s="1033" t="s">
        <v>2885</v>
      </c>
      <c r="AC872" s="1021">
        <v>211238</v>
      </c>
      <c r="AD872" s="1021" t="s">
        <v>2209</v>
      </c>
      <c r="AE872" s="1022">
        <f>VLOOKUP(AC872,[5]Hoja1!$A$10:$K$1393,11,0)</f>
        <v>-725971</v>
      </c>
      <c r="AF872" s="1022"/>
      <c r="AG872" s="1022">
        <f t="shared" si="202"/>
        <v>-725971</v>
      </c>
      <c r="AH872" s="1022">
        <f t="shared" si="203"/>
        <v>-726</v>
      </c>
      <c r="AJ872" s="491"/>
      <c r="AK872" s="448"/>
      <c r="AL872" s="445"/>
    </row>
    <row r="873" spans="1:38" s="467" customFormat="1" ht="12.75" customHeight="1">
      <c r="A873" s="1033">
        <v>5214260</v>
      </c>
      <c r="B873" s="1033" t="s">
        <v>2794</v>
      </c>
      <c r="C873" s="1034"/>
      <c r="D873" s="1035"/>
      <c r="E873" s="1035"/>
      <c r="F873" s="1034"/>
      <c r="G873" s="1033"/>
      <c r="H873" s="1033"/>
      <c r="I873" s="1034"/>
      <c r="J873" s="1033"/>
      <c r="K873" s="1033"/>
      <c r="L873" s="1034"/>
      <c r="M873" s="1035"/>
      <c r="N873" s="1035"/>
      <c r="O873" s="1036"/>
      <c r="P873" s="1033"/>
      <c r="Q873" s="1033"/>
      <c r="R873" s="1034"/>
      <c r="S873" s="1035"/>
      <c r="T873" s="1035"/>
      <c r="U873" s="1034"/>
      <c r="V873" s="1035"/>
      <c r="W873" s="1035"/>
      <c r="X873" s="1037"/>
      <c r="Y873" s="1035"/>
      <c r="Z873" s="1035">
        <f t="shared" si="201"/>
        <v>2</v>
      </c>
      <c r="AA873" s="1033" t="s">
        <v>2906</v>
      </c>
      <c r="AB873" s="1033" t="s">
        <v>354</v>
      </c>
      <c r="AC873" s="1021">
        <v>211239</v>
      </c>
      <c r="AD873" s="1021" t="s">
        <v>1190</v>
      </c>
      <c r="AE873" s="1022">
        <f>VLOOKUP(AC873,[5]Hoja1!$A$10:$K$1393,11,0)</f>
        <v>-1878808</v>
      </c>
      <c r="AF873" s="1022"/>
      <c r="AG873" s="1022">
        <f t="shared" si="202"/>
        <v>-1878808</v>
      </c>
      <c r="AH873" s="1022">
        <f t="shared" si="203"/>
        <v>-1879</v>
      </c>
      <c r="AJ873" s="491"/>
      <c r="AK873" s="448"/>
      <c r="AL873" s="445"/>
    </row>
    <row r="874" spans="1:38" s="467" customFormat="1" ht="12.75" customHeight="1">
      <c r="A874" s="1033">
        <v>5214260</v>
      </c>
      <c r="B874" s="1033" t="s">
        <v>2794</v>
      </c>
      <c r="C874" s="1034"/>
      <c r="D874" s="1035"/>
      <c r="E874" s="1035"/>
      <c r="F874" s="1034"/>
      <c r="G874" s="1033"/>
      <c r="H874" s="1033"/>
      <c r="I874" s="1034"/>
      <c r="J874" s="1033"/>
      <c r="K874" s="1033"/>
      <c r="L874" s="1034"/>
      <c r="M874" s="1035"/>
      <c r="N874" s="1035"/>
      <c r="O874" s="1036"/>
      <c r="P874" s="1033"/>
      <c r="Q874" s="1033"/>
      <c r="R874" s="1034"/>
      <c r="S874" s="1035"/>
      <c r="T874" s="1035"/>
      <c r="U874" s="1034"/>
      <c r="V874" s="1035"/>
      <c r="W874" s="1035"/>
      <c r="X874" s="1037"/>
      <c r="Y874" s="1035"/>
      <c r="Z874" s="1035">
        <f t="shared" si="201"/>
        <v>2</v>
      </c>
      <c r="AA874" s="1033" t="s">
        <v>2906</v>
      </c>
      <c r="AB874" s="1033" t="s">
        <v>354</v>
      </c>
      <c r="AC874" s="1021">
        <v>211240</v>
      </c>
      <c r="AD874" s="1021" t="s">
        <v>2210</v>
      </c>
      <c r="AE874" s="1022">
        <f>VLOOKUP(AC874,[5]Hoja1!$A$10:$K$1393,11,0)</f>
        <v>-51827715</v>
      </c>
      <c r="AF874" s="1022"/>
      <c r="AG874" s="1022">
        <f t="shared" si="202"/>
        <v>-51827715</v>
      </c>
      <c r="AH874" s="1022">
        <f t="shared" si="203"/>
        <v>-51828</v>
      </c>
      <c r="AJ874" s="491"/>
      <c r="AK874" s="448"/>
      <c r="AL874" s="445"/>
    </row>
    <row r="875" spans="1:38" s="467" customFormat="1" ht="12.75" customHeight="1">
      <c r="A875" s="1033">
        <v>5214260</v>
      </c>
      <c r="B875" s="1033" t="s">
        <v>2794</v>
      </c>
      <c r="C875" s="1034"/>
      <c r="D875" s="1035"/>
      <c r="E875" s="1035"/>
      <c r="F875" s="1034"/>
      <c r="G875" s="1033"/>
      <c r="H875" s="1033"/>
      <c r="I875" s="1034"/>
      <c r="J875" s="1033"/>
      <c r="K875" s="1033"/>
      <c r="L875" s="1034"/>
      <c r="M875" s="1035"/>
      <c r="N875" s="1035"/>
      <c r="O875" s="1036"/>
      <c r="P875" s="1033"/>
      <c r="Q875" s="1033"/>
      <c r="R875" s="1034"/>
      <c r="S875" s="1035"/>
      <c r="T875" s="1035"/>
      <c r="U875" s="1034"/>
      <c r="V875" s="1035"/>
      <c r="W875" s="1035"/>
      <c r="X875" s="1037"/>
      <c r="Y875" s="1035"/>
      <c r="Z875" s="1035">
        <f t="shared" si="201"/>
        <v>2</v>
      </c>
      <c r="AA875" s="1033" t="s">
        <v>2906</v>
      </c>
      <c r="AB875" s="1033" t="s">
        <v>354</v>
      </c>
      <c r="AC875" s="1021">
        <v>211241</v>
      </c>
      <c r="AD875" s="1021" t="s">
        <v>1191</v>
      </c>
      <c r="AE875" s="1022">
        <f>VLOOKUP(AC875,[5]Hoja1!$A$10:$K$1393,11,0)</f>
        <v>0</v>
      </c>
      <c r="AF875" s="1022"/>
      <c r="AG875" s="1022">
        <f t="shared" si="202"/>
        <v>0</v>
      </c>
      <c r="AH875" s="1022">
        <f t="shared" si="203"/>
        <v>0</v>
      </c>
      <c r="AJ875" s="491"/>
      <c r="AK875" s="448"/>
      <c r="AL875" s="445"/>
    </row>
    <row r="876" spans="1:38" s="467" customFormat="1" ht="12.75" customHeight="1">
      <c r="A876" s="1033">
        <v>5214260</v>
      </c>
      <c r="B876" s="1033" t="s">
        <v>2794</v>
      </c>
      <c r="C876" s="1034"/>
      <c r="D876" s="1035"/>
      <c r="E876" s="1035"/>
      <c r="F876" s="1034"/>
      <c r="G876" s="1033"/>
      <c r="H876" s="1033"/>
      <c r="I876" s="1034"/>
      <c r="J876" s="1033"/>
      <c r="K876" s="1033"/>
      <c r="L876" s="1034"/>
      <c r="M876" s="1035"/>
      <c r="N876" s="1035"/>
      <c r="O876" s="1036"/>
      <c r="P876" s="1033"/>
      <c r="Q876" s="1033"/>
      <c r="R876" s="1034"/>
      <c r="S876" s="1035"/>
      <c r="T876" s="1035"/>
      <c r="U876" s="1034"/>
      <c r="V876" s="1035"/>
      <c r="W876" s="1035"/>
      <c r="X876" s="1037"/>
      <c r="Y876" s="1035"/>
      <c r="Z876" s="1035">
        <f t="shared" si="201"/>
        <v>2</v>
      </c>
      <c r="AA876" s="1033" t="s">
        <v>2906</v>
      </c>
      <c r="AB876" s="1033" t="s">
        <v>354</v>
      </c>
      <c r="AC876" s="1021">
        <v>211242</v>
      </c>
      <c r="AD876" s="1021" t="s">
        <v>1192</v>
      </c>
      <c r="AE876" s="1022">
        <f>VLOOKUP(AC876,[5]Hoja1!$A$10:$K$1393,11,0)</f>
        <v>0</v>
      </c>
      <c r="AF876" s="1022"/>
      <c r="AG876" s="1022">
        <f t="shared" si="202"/>
        <v>0</v>
      </c>
      <c r="AH876" s="1022">
        <f t="shared" si="203"/>
        <v>0</v>
      </c>
      <c r="AJ876" s="491"/>
      <c r="AK876" s="448"/>
      <c r="AL876" s="445"/>
    </row>
    <row r="877" spans="1:38" s="467" customFormat="1" ht="12.75" customHeight="1">
      <c r="A877" s="1033">
        <v>5214260</v>
      </c>
      <c r="B877" s="1033" t="s">
        <v>2794</v>
      </c>
      <c r="C877" s="1034"/>
      <c r="D877" s="1035"/>
      <c r="E877" s="1035"/>
      <c r="F877" s="1034"/>
      <c r="G877" s="1033"/>
      <c r="H877" s="1033"/>
      <c r="I877" s="1034"/>
      <c r="J877" s="1033"/>
      <c r="K877" s="1033"/>
      <c r="L877" s="1034"/>
      <c r="M877" s="1035"/>
      <c r="N877" s="1035"/>
      <c r="O877" s="1036"/>
      <c r="P877" s="1033"/>
      <c r="Q877" s="1033"/>
      <c r="R877" s="1034"/>
      <c r="S877" s="1035"/>
      <c r="T877" s="1035"/>
      <c r="U877" s="1034"/>
      <c r="V877" s="1035"/>
      <c r="W877" s="1035"/>
      <c r="X877" s="1037"/>
      <c r="Y877" s="1035"/>
      <c r="Z877" s="1035">
        <f t="shared" si="201"/>
        <v>2</v>
      </c>
      <c r="AA877" s="1033" t="s">
        <v>2906</v>
      </c>
      <c r="AB877" s="1033" t="s">
        <v>354</v>
      </c>
      <c r="AC877" s="1021">
        <v>211243</v>
      </c>
      <c r="AD877" s="1021" t="s">
        <v>1193</v>
      </c>
      <c r="AE877" s="1022">
        <f>VLOOKUP(AC877,[5]Hoja1!$A$10:$K$1393,11,0)</f>
        <v>0</v>
      </c>
      <c r="AF877" s="1022"/>
      <c r="AG877" s="1022">
        <f t="shared" si="202"/>
        <v>0</v>
      </c>
      <c r="AH877" s="1022">
        <f t="shared" si="203"/>
        <v>0</v>
      </c>
      <c r="AJ877" s="491"/>
      <c r="AK877" s="448"/>
      <c r="AL877" s="445"/>
    </row>
    <row r="878" spans="1:38" s="467" customFormat="1" ht="12.75" customHeight="1">
      <c r="A878" s="1033">
        <v>5214230</v>
      </c>
      <c r="B878" s="1033" t="s">
        <v>337</v>
      </c>
      <c r="C878" s="1034"/>
      <c r="D878" s="1035"/>
      <c r="E878" s="1035"/>
      <c r="F878" s="1034"/>
      <c r="G878" s="1033"/>
      <c r="H878" s="1033"/>
      <c r="I878" s="1034"/>
      <c r="J878" s="1033"/>
      <c r="K878" s="1033"/>
      <c r="L878" s="1034"/>
      <c r="M878" s="1035"/>
      <c r="N878" s="1035"/>
      <c r="O878" s="1036"/>
      <c r="P878" s="1033"/>
      <c r="Q878" s="1033"/>
      <c r="R878" s="1034"/>
      <c r="S878" s="1035"/>
      <c r="T878" s="1035"/>
      <c r="U878" s="1034"/>
      <c r="V878" s="1035"/>
      <c r="W878" s="1035"/>
      <c r="X878" s="1037"/>
      <c r="Y878" s="1035"/>
      <c r="Z878" s="1035">
        <f t="shared" si="201"/>
        <v>2</v>
      </c>
      <c r="AA878" s="1035"/>
      <c r="AB878" s="1035"/>
      <c r="AC878" s="1021">
        <v>211244</v>
      </c>
      <c r="AD878" s="1021" t="s">
        <v>765</v>
      </c>
      <c r="AE878" s="1022">
        <f>VLOOKUP(AC878,[5]Hoja1!$A$10:$K$1393,11,0)</f>
        <v>0</v>
      </c>
      <c r="AF878" s="1022"/>
      <c r="AG878" s="1022">
        <f t="shared" si="202"/>
        <v>0</v>
      </c>
      <c r="AH878" s="1022">
        <f t="shared" si="203"/>
        <v>0</v>
      </c>
      <c r="AJ878" s="491"/>
      <c r="AK878" s="448"/>
      <c r="AL878" s="445"/>
    </row>
    <row r="879" spans="1:38" s="467" customFormat="1" ht="12.75" customHeight="1">
      <c r="A879" s="1033">
        <v>5214230</v>
      </c>
      <c r="B879" s="1033" t="s">
        <v>337</v>
      </c>
      <c r="C879" s="1034"/>
      <c r="D879" s="1035"/>
      <c r="E879" s="1035"/>
      <c r="F879" s="1034"/>
      <c r="G879" s="1033"/>
      <c r="H879" s="1033"/>
      <c r="I879" s="1034"/>
      <c r="J879" s="1033"/>
      <c r="K879" s="1033"/>
      <c r="L879" s="1034"/>
      <c r="M879" s="1035"/>
      <c r="N879" s="1035"/>
      <c r="O879" s="1036"/>
      <c r="P879" s="1033"/>
      <c r="Q879" s="1033"/>
      <c r="R879" s="1034"/>
      <c r="S879" s="1035"/>
      <c r="T879" s="1035"/>
      <c r="U879" s="1034"/>
      <c r="V879" s="1035"/>
      <c r="W879" s="1035"/>
      <c r="X879" s="1037"/>
      <c r="Y879" s="1035"/>
      <c r="Z879" s="1035">
        <f t="shared" si="201"/>
        <v>2</v>
      </c>
      <c r="AA879" s="1035"/>
      <c r="AB879" s="1035"/>
      <c r="AC879" s="1021">
        <v>211245</v>
      </c>
      <c r="AD879" s="1021" t="s">
        <v>1194</v>
      </c>
      <c r="AE879" s="1022">
        <f>VLOOKUP(AC879,[5]Hoja1!$A$10:$K$1393,11,0)</f>
        <v>0</v>
      </c>
      <c r="AF879" s="1022"/>
      <c r="AG879" s="1022">
        <f t="shared" si="202"/>
        <v>0</v>
      </c>
      <c r="AH879" s="1022">
        <f t="shared" si="203"/>
        <v>0</v>
      </c>
      <c r="AJ879" s="491"/>
      <c r="AK879" s="448"/>
      <c r="AL879" s="445"/>
    </row>
    <row r="880" spans="1:38" s="467" customFormat="1" ht="12.75" customHeight="1">
      <c r="A880" s="1033"/>
      <c r="B880" s="1033"/>
      <c r="C880" s="1034"/>
      <c r="D880" s="1035"/>
      <c r="E880" s="1035"/>
      <c r="F880" s="1034"/>
      <c r="G880" s="1033"/>
      <c r="H880" s="1033"/>
      <c r="I880" s="1034"/>
      <c r="J880" s="1033"/>
      <c r="K880" s="1033"/>
      <c r="L880" s="1034"/>
      <c r="M880" s="1035"/>
      <c r="N880" s="1035"/>
      <c r="O880" s="1036"/>
      <c r="P880" s="1033"/>
      <c r="Q880" s="1033"/>
      <c r="R880" s="1034"/>
      <c r="S880" s="1035"/>
      <c r="T880" s="1035"/>
      <c r="U880" s="1034"/>
      <c r="V880" s="1035"/>
      <c r="W880" s="1035"/>
      <c r="X880" s="1037"/>
      <c r="Y880" s="1035"/>
      <c r="Z880" s="1035">
        <f t="shared" si="201"/>
        <v>2</v>
      </c>
      <c r="AA880" s="1035"/>
      <c r="AB880" s="1035"/>
      <c r="AC880" s="1021">
        <v>211246</v>
      </c>
      <c r="AD880" s="1021" t="s">
        <v>1195</v>
      </c>
      <c r="AE880" s="1022">
        <v>0</v>
      </c>
      <c r="AF880" s="1022"/>
      <c r="AG880" s="1022">
        <f t="shared" si="202"/>
        <v>0</v>
      </c>
      <c r="AH880" s="1022">
        <f t="shared" si="203"/>
        <v>0</v>
      </c>
      <c r="AJ880" s="491"/>
      <c r="AK880" s="448"/>
      <c r="AL880" s="445"/>
    </row>
    <row r="881" spans="1:38" s="467" customFormat="1" ht="12.75" customHeight="1">
      <c r="A881" s="1033">
        <v>5214260</v>
      </c>
      <c r="B881" s="1033" t="s">
        <v>2794</v>
      </c>
      <c r="C881" s="1034"/>
      <c r="D881" s="1035"/>
      <c r="E881" s="1035"/>
      <c r="F881" s="1034"/>
      <c r="G881" s="1033"/>
      <c r="H881" s="1033"/>
      <c r="I881" s="1034"/>
      <c r="J881" s="1033"/>
      <c r="K881" s="1033"/>
      <c r="L881" s="1034"/>
      <c r="M881" s="1035"/>
      <c r="N881" s="1035"/>
      <c r="O881" s="1036"/>
      <c r="P881" s="1033"/>
      <c r="Q881" s="1033"/>
      <c r="R881" s="1034"/>
      <c r="S881" s="1035"/>
      <c r="T881" s="1035"/>
      <c r="U881" s="1034"/>
      <c r="V881" s="1035"/>
      <c r="W881" s="1035"/>
      <c r="X881" s="1037"/>
      <c r="Y881" s="1035"/>
      <c r="Z881" s="1035">
        <f t="shared" si="201"/>
        <v>2</v>
      </c>
      <c r="AA881" s="1033" t="s">
        <v>2906</v>
      </c>
      <c r="AB881" s="1033" t="s">
        <v>2908</v>
      </c>
      <c r="AC881" s="1021">
        <v>211247</v>
      </c>
      <c r="AD881" s="1021" t="s">
        <v>2211</v>
      </c>
      <c r="AE881" s="1022">
        <f>VLOOKUP(AC881,[5]Hoja1!$A$10:$K$1393,11,0)</f>
        <v>0</v>
      </c>
      <c r="AF881" s="1022"/>
      <c r="AG881" s="1022">
        <f t="shared" si="202"/>
        <v>0</v>
      </c>
      <c r="AH881" s="1022">
        <f t="shared" si="203"/>
        <v>0</v>
      </c>
      <c r="AJ881" s="491"/>
      <c r="AK881" s="448"/>
      <c r="AL881" s="445"/>
    </row>
    <row r="882" spans="1:38" s="467" customFormat="1" ht="12.75" customHeight="1">
      <c r="A882" s="1033">
        <v>5214260</v>
      </c>
      <c r="B882" s="1033" t="s">
        <v>2794</v>
      </c>
      <c r="C882" s="1034"/>
      <c r="D882" s="1035"/>
      <c r="E882" s="1035"/>
      <c r="F882" s="1034"/>
      <c r="G882" s="1033"/>
      <c r="H882" s="1033"/>
      <c r="I882" s="1034"/>
      <c r="J882" s="1033"/>
      <c r="K882" s="1033"/>
      <c r="L882" s="1034"/>
      <c r="M882" s="1035"/>
      <c r="N882" s="1035"/>
      <c r="O882" s="1036"/>
      <c r="P882" s="1033"/>
      <c r="Q882" s="1033"/>
      <c r="R882" s="1034"/>
      <c r="S882" s="1035"/>
      <c r="T882" s="1035"/>
      <c r="U882" s="1034"/>
      <c r="V882" s="1035"/>
      <c r="W882" s="1035"/>
      <c r="X882" s="1037"/>
      <c r="Y882" s="1035"/>
      <c r="Z882" s="1035">
        <f t="shared" si="201"/>
        <v>2</v>
      </c>
      <c r="AA882" s="1033" t="s">
        <v>2906</v>
      </c>
      <c r="AB882" s="1033" t="s">
        <v>354</v>
      </c>
      <c r="AC882" s="1021">
        <v>211248</v>
      </c>
      <c r="AD882" s="1021" t="s">
        <v>2212</v>
      </c>
      <c r="AE882" s="1022">
        <f>VLOOKUP(AC882,[5]Hoja1!$A$10:$K$1393,11,0)</f>
        <v>0</v>
      </c>
      <c r="AF882" s="1022"/>
      <c r="AG882" s="1022">
        <f t="shared" si="202"/>
        <v>0</v>
      </c>
      <c r="AH882" s="1022">
        <f t="shared" si="203"/>
        <v>0</v>
      </c>
      <c r="AJ882" s="491"/>
      <c r="AK882" s="448"/>
      <c r="AL882" s="445"/>
    </row>
    <row r="883" spans="1:38" s="467" customFormat="1" ht="12.75" customHeight="1">
      <c r="A883" s="1033"/>
      <c r="B883" s="1033"/>
      <c r="C883" s="1034"/>
      <c r="D883" s="1035"/>
      <c r="E883" s="1035"/>
      <c r="F883" s="1034"/>
      <c r="G883" s="1033"/>
      <c r="H883" s="1033"/>
      <c r="I883" s="1034"/>
      <c r="J883" s="1033"/>
      <c r="K883" s="1033"/>
      <c r="L883" s="1034"/>
      <c r="M883" s="1035"/>
      <c r="N883" s="1035"/>
      <c r="O883" s="1036"/>
      <c r="P883" s="1033"/>
      <c r="Q883" s="1033"/>
      <c r="R883" s="1034"/>
      <c r="S883" s="1035"/>
      <c r="T883" s="1035"/>
      <c r="U883" s="1034"/>
      <c r="V883" s="1035"/>
      <c r="W883" s="1035"/>
      <c r="X883" s="1037"/>
      <c r="Y883" s="1035"/>
      <c r="Z883" s="1035">
        <f t="shared" si="201"/>
        <v>2</v>
      </c>
      <c r="AA883" s="1035"/>
      <c r="AB883" s="1035"/>
      <c r="AC883" s="1021">
        <v>211249</v>
      </c>
      <c r="AD883" s="1021" t="s">
        <v>190</v>
      </c>
      <c r="AE883" s="1022">
        <v>0</v>
      </c>
      <c r="AF883" s="1022"/>
      <c r="AG883" s="1022">
        <f t="shared" si="202"/>
        <v>0</v>
      </c>
      <c r="AH883" s="1022">
        <f t="shared" si="203"/>
        <v>0</v>
      </c>
      <c r="AJ883" s="491"/>
      <c r="AK883" s="448"/>
      <c r="AL883" s="445"/>
    </row>
    <row r="884" spans="1:38" s="467" customFormat="1" ht="12.75" customHeight="1">
      <c r="A884" s="1033">
        <v>5214260</v>
      </c>
      <c r="B884" s="1033" t="s">
        <v>2794</v>
      </c>
      <c r="C884" s="1034" t="str">
        <f>+D884&amp;E884</f>
        <v/>
      </c>
      <c r="D884" s="1035"/>
      <c r="E884" s="1035"/>
      <c r="F884" s="1034" t="str">
        <f>+G884&amp;H884</f>
        <v/>
      </c>
      <c r="G884" s="1033"/>
      <c r="H884" s="1033"/>
      <c r="I884" s="1034" t="str">
        <f>+J884&amp;K884</f>
        <v/>
      </c>
      <c r="J884" s="1033"/>
      <c r="K884" s="1033"/>
      <c r="L884" s="1034" t="str">
        <f>+M884&amp;N884</f>
        <v/>
      </c>
      <c r="M884" s="1035"/>
      <c r="N884" s="1035"/>
      <c r="O884" s="1036" t="str">
        <f>+P884&amp;Q884</f>
        <v/>
      </c>
      <c r="P884" s="1033"/>
      <c r="Q884" s="1033"/>
      <c r="R884" s="1034" t="str">
        <f>+S884&amp;T884</f>
        <v/>
      </c>
      <c r="S884" s="1035"/>
      <c r="T884" s="1035"/>
      <c r="U884" s="1034" t="str">
        <f>+V884&amp;W884</f>
        <v/>
      </c>
      <c r="V884" s="1035"/>
      <c r="W884" s="1035"/>
      <c r="X884" s="1037" t="str">
        <f>+Y884&amp;Z884</f>
        <v>222</v>
      </c>
      <c r="Y884" s="1035">
        <v>22</v>
      </c>
      <c r="Z884" s="1035">
        <f t="shared" si="201"/>
        <v>2</v>
      </c>
      <c r="AA884" s="1033" t="s">
        <v>2906</v>
      </c>
      <c r="AB884" s="1035"/>
      <c r="AC884" s="1021">
        <v>211250</v>
      </c>
      <c r="AD884" s="1021" t="s">
        <v>1129</v>
      </c>
      <c r="AE884" s="1022">
        <f>VLOOKUP(AC884,[5]Hoja1!$A$10:$K$1393,11,0)</f>
        <v>0</v>
      </c>
      <c r="AF884" s="1022"/>
      <c r="AG884" s="1022">
        <f t="shared" si="202"/>
        <v>0</v>
      </c>
      <c r="AH884" s="1022">
        <f t="shared" si="203"/>
        <v>0</v>
      </c>
      <c r="AK884" s="448"/>
      <c r="AL884" s="445"/>
    </row>
    <row r="885" spans="1:38" s="467" customFormat="1" ht="12.75" customHeight="1">
      <c r="A885" s="1033">
        <v>5214260</v>
      </c>
      <c r="B885" s="1033" t="s">
        <v>2794</v>
      </c>
      <c r="C885" s="1034" t="str">
        <f>+D885&amp;E885</f>
        <v/>
      </c>
      <c r="D885" s="1035"/>
      <c r="E885" s="1035"/>
      <c r="F885" s="1034" t="str">
        <f>+G885&amp;H885</f>
        <v/>
      </c>
      <c r="G885" s="1033"/>
      <c r="H885" s="1033"/>
      <c r="I885" s="1034" t="str">
        <f>+J885&amp;K885</f>
        <v/>
      </c>
      <c r="J885" s="1033"/>
      <c r="K885" s="1033"/>
      <c r="L885" s="1034" t="str">
        <f>+M885&amp;N885</f>
        <v/>
      </c>
      <c r="M885" s="1035"/>
      <c r="N885" s="1035"/>
      <c r="O885" s="1036" t="str">
        <f>+P885&amp;Q885</f>
        <v/>
      </c>
      <c r="P885" s="1033"/>
      <c r="Q885" s="1033"/>
      <c r="R885" s="1034" t="str">
        <f>+S885&amp;T885</f>
        <v/>
      </c>
      <c r="S885" s="1035"/>
      <c r="T885" s="1035"/>
      <c r="U885" s="1034" t="str">
        <f>+V885&amp;W885</f>
        <v/>
      </c>
      <c r="V885" s="1035"/>
      <c r="W885" s="1035"/>
      <c r="X885" s="1037" t="str">
        <f>+Y885&amp;Z885</f>
        <v>222</v>
      </c>
      <c r="Y885" s="1035">
        <v>22</v>
      </c>
      <c r="Z885" s="1035">
        <f t="shared" si="201"/>
        <v>2</v>
      </c>
      <c r="AA885" s="1033" t="s">
        <v>2906</v>
      </c>
      <c r="AB885" s="1035"/>
      <c r="AC885" s="1021">
        <v>211251</v>
      </c>
      <c r="AD885" s="1021" t="s">
        <v>1130</v>
      </c>
      <c r="AE885" s="1022">
        <f>VLOOKUP(AC885,[5]Hoja1!$A$10:$K$1393,11,0)</f>
        <v>0</v>
      </c>
      <c r="AF885" s="1022">
        <f>-AF891</f>
        <v>0</v>
      </c>
      <c r="AG885" s="1022">
        <f t="shared" si="202"/>
        <v>0</v>
      </c>
      <c r="AH885" s="1022">
        <f t="shared" si="203"/>
        <v>0</v>
      </c>
      <c r="AK885" s="448"/>
      <c r="AL885" s="445"/>
    </row>
    <row r="886" spans="1:38" s="467" customFormat="1" ht="12.75" customHeight="1">
      <c r="A886" s="1033">
        <v>5214260</v>
      </c>
      <c r="B886" s="1033" t="s">
        <v>2794</v>
      </c>
      <c r="C886" s="1034" t="str">
        <f>+D886&amp;E886</f>
        <v/>
      </c>
      <c r="D886" s="1035"/>
      <c r="E886" s="1035"/>
      <c r="F886" s="1034" t="str">
        <f>+G886&amp;H886</f>
        <v/>
      </c>
      <c r="G886" s="1033"/>
      <c r="H886" s="1033"/>
      <c r="I886" s="1034" t="str">
        <f>+J886&amp;K886</f>
        <v/>
      </c>
      <c r="J886" s="1033"/>
      <c r="K886" s="1033"/>
      <c r="L886" s="1034" t="str">
        <f>+M886&amp;N886</f>
        <v/>
      </c>
      <c r="M886" s="1035"/>
      <c r="N886" s="1035"/>
      <c r="O886" s="1036" t="str">
        <f>+P886&amp;Q886</f>
        <v/>
      </c>
      <c r="P886" s="1033"/>
      <c r="Q886" s="1033"/>
      <c r="R886" s="1034" t="str">
        <f>+S886&amp;T886</f>
        <v/>
      </c>
      <c r="S886" s="1035"/>
      <c r="T886" s="1035"/>
      <c r="U886" s="1034" t="str">
        <f>+V886&amp;W886</f>
        <v/>
      </c>
      <c r="V886" s="1035"/>
      <c r="W886" s="1035"/>
      <c r="X886" s="1037" t="str">
        <f>+Y886&amp;Z886</f>
        <v>222</v>
      </c>
      <c r="Y886" s="1035">
        <v>22</v>
      </c>
      <c r="Z886" s="1035">
        <f t="shared" si="201"/>
        <v>2</v>
      </c>
      <c r="AA886" s="1033" t="s">
        <v>2906</v>
      </c>
      <c r="AB886" s="1033" t="s">
        <v>354</v>
      </c>
      <c r="AC886" s="1021">
        <v>211252</v>
      </c>
      <c r="AD886" s="1021" t="s">
        <v>2213</v>
      </c>
      <c r="AE886" s="1022">
        <f>VLOOKUP(AC886,[5]Hoja1!$A$10:$K$1393,11,0)</f>
        <v>-302000</v>
      </c>
      <c r="AF886" s="1022"/>
      <c r="AG886" s="1022">
        <f t="shared" si="202"/>
        <v>-302000</v>
      </c>
      <c r="AH886" s="1022">
        <f t="shared" si="203"/>
        <v>-302</v>
      </c>
      <c r="AK886" s="448"/>
      <c r="AL886" s="445"/>
    </row>
    <row r="887" spans="1:38" s="467" customFormat="1" ht="12.75" customHeight="1">
      <c r="A887" s="1033">
        <v>5214260</v>
      </c>
      <c r="B887" s="1033" t="s">
        <v>2794</v>
      </c>
      <c r="C887" s="1034" t="str">
        <f>+D887&amp;E887</f>
        <v/>
      </c>
      <c r="D887" s="1035"/>
      <c r="E887" s="1035"/>
      <c r="F887" s="1034" t="str">
        <f>+G887&amp;H887</f>
        <v/>
      </c>
      <c r="G887" s="1033"/>
      <c r="H887" s="1033"/>
      <c r="I887" s="1034" t="str">
        <f>+J887&amp;K887</f>
        <v/>
      </c>
      <c r="J887" s="1033"/>
      <c r="K887" s="1033"/>
      <c r="L887" s="1034" t="str">
        <f>+M887&amp;N887</f>
        <v/>
      </c>
      <c r="M887" s="1035"/>
      <c r="N887" s="1035"/>
      <c r="O887" s="1036" t="str">
        <f>+P887&amp;Q887</f>
        <v/>
      </c>
      <c r="P887" s="1033"/>
      <c r="Q887" s="1033"/>
      <c r="R887" s="1034" t="str">
        <f>+S887&amp;T887</f>
        <v/>
      </c>
      <c r="S887" s="1035"/>
      <c r="T887" s="1035"/>
      <c r="U887" s="1034" t="str">
        <f>+V887&amp;W887</f>
        <v/>
      </c>
      <c r="V887" s="1035"/>
      <c r="W887" s="1035"/>
      <c r="X887" s="1037" t="str">
        <f>+Y887&amp;Z887</f>
        <v>222</v>
      </c>
      <c r="Y887" s="1035">
        <v>22</v>
      </c>
      <c r="Z887" s="1035">
        <f t="shared" si="201"/>
        <v>2</v>
      </c>
      <c r="AA887" s="1033" t="s">
        <v>2906</v>
      </c>
      <c r="AB887" s="1033" t="s">
        <v>2880</v>
      </c>
      <c r="AC887" s="1021">
        <v>211253</v>
      </c>
      <c r="AD887" s="1021" t="s">
        <v>2214</v>
      </c>
      <c r="AE887" s="1022">
        <f>VLOOKUP(AC887,[5]Hoja1!$A$10:$K$1393,11,0)</f>
        <v>-451343</v>
      </c>
      <c r="AF887" s="1191">
        <f>-AF632</f>
        <v>327157</v>
      </c>
      <c r="AG887" s="1022">
        <f t="shared" si="202"/>
        <v>-124186</v>
      </c>
      <c r="AH887" s="1022">
        <f t="shared" si="203"/>
        <v>-124</v>
      </c>
      <c r="AK887" s="448"/>
      <c r="AL887" s="445"/>
    </row>
    <row r="888" spans="1:38" s="467" customFormat="1" ht="12.75" customHeight="1">
      <c r="A888" s="1033">
        <v>5214260</v>
      </c>
      <c r="B888" s="1033" t="s">
        <v>2794</v>
      </c>
      <c r="C888" s="1034"/>
      <c r="D888" s="1035"/>
      <c r="E888" s="1035"/>
      <c r="F888" s="1034"/>
      <c r="G888" s="1033"/>
      <c r="H888" s="1033"/>
      <c r="I888" s="1034"/>
      <c r="J888" s="1033"/>
      <c r="K888" s="1033"/>
      <c r="L888" s="1034"/>
      <c r="M888" s="1035"/>
      <c r="N888" s="1035"/>
      <c r="O888" s="1036"/>
      <c r="P888" s="1033"/>
      <c r="Q888" s="1033"/>
      <c r="R888" s="1034"/>
      <c r="S888" s="1035"/>
      <c r="T888" s="1035"/>
      <c r="U888" s="1034"/>
      <c r="V888" s="1035"/>
      <c r="W888" s="1035"/>
      <c r="X888" s="1037"/>
      <c r="Y888" s="1035"/>
      <c r="Z888" s="1035">
        <f t="shared" si="201"/>
        <v>2</v>
      </c>
      <c r="AA888" s="1033" t="s">
        <v>2906</v>
      </c>
      <c r="AB888" s="1033"/>
      <c r="AC888" s="1023">
        <v>211254</v>
      </c>
      <c r="AD888" s="1021" t="s">
        <v>2706</v>
      </c>
      <c r="AE888" s="1022">
        <f>VLOOKUP(AC888,[5]Hoja1!$A$10:$K$1393,11,0)</f>
        <v>-4935414213</v>
      </c>
      <c r="AF888" s="1191">
        <f>-AF434</f>
        <v>4935414213</v>
      </c>
      <c r="AG888" s="1022">
        <f t="shared" si="202"/>
        <v>0</v>
      </c>
      <c r="AH888" s="1022">
        <f t="shared" si="203"/>
        <v>0</v>
      </c>
      <c r="AK888" s="448"/>
      <c r="AL888" s="445"/>
    </row>
    <row r="889" spans="1:38" s="467" customFormat="1" ht="12.75" customHeight="1">
      <c r="A889" s="1033"/>
      <c r="B889" s="1033"/>
      <c r="C889" s="1034"/>
      <c r="D889" s="1035"/>
      <c r="E889" s="1035"/>
      <c r="F889" s="1034"/>
      <c r="G889" s="1033"/>
      <c r="H889" s="1033"/>
      <c r="I889" s="1034"/>
      <c r="J889" s="1033"/>
      <c r="K889" s="1033"/>
      <c r="L889" s="1034"/>
      <c r="M889" s="1035"/>
      <c r="N889" s="1035"/>
      <c r="O889" s="1036"/>
      <c r="P889" s="1033"/>
      <c r="Q889" s="1033"/>
      <c r="R889" s="1034"/>
      <c r="S889" s="1035"/>
      <c r="T889" s="1035"/>
      <c r="U889" s="1034"/>
      <c r="V889" s="1035"/>
      <c r="W889" s="1035"/>
      <c r="X889" s="1037"/>
      <c r="Y889" s="1035"/>
      <c r="Z889" s="1035">
        <f t="shared" si="201"/>
        <v>2</v>
      </c>
      <c r="AA889" s="1035"/>
      <c r="AB889" s="1035"/>
      <c r="AC889" s="1021">
        <v>211255</v>
      </c>
      <c r="AD889" s="1021" t="s">
        <v>500</v>
      </c>
      <c r="AE889" s="1022">
        <v>0</v>
      </c>
      <c r="AF889" s="1022"/>
      <c r="AG889" s="1022">
        <f t="shared" si="202"/>
        <v>0</v>
      </c>
      <c r="AH889" s="1022">
        <f t="shared" si="203"/>
        <v>0</v>
      </c>
      <c r="AK889" s="448"/>
      <c r="AL889" s="445"/>
    </row>
    <row r="890" spans="1:38" s="467" customFormat="1" ht="12.75" customHeight="1">
      <c r="A890" s="1033">
        <v>5214260</v>
      </c>
      <c r="B890" s="1033" t="s">
        <v>2794</v>
      </c>
      <c r="C890" s="1034"/>
      <c r="D890" s="1035"/>
      <c r="E890" s="1035"/>
      <c r="F890" s="1034"/>
      <c r="G890" s="1033"/>
      <c r="H890" s="1033"/>
      <c r="I890" s="1034"/>
      <c r="J890" s="1033"/>
      <c r="K890" s="1033"/>
      <c r="L890" s="1034"/>
      <c r="M890" s="1035"/>
      <c r="N890" s="1035"/>
      <c r="O890" s="1036"/>
      <c r="P890" s="1033"/>
      <c r="Q890" s="1033"/>
      <c r="R890" s="1034"/>
      <c r="S890" s="1035"/>
      <c r="T890" s="1035"/>
      <c r="U890" s="1034"/>
      <c r="V890" s="1035"/>
      <c r="W890" s="1035"/>
      <c r="X890" s="1037" t="str">
        <f>+Y890&amp;Z890</f>
        <v>222</v>
      </c>
      <c r="Y890" s="1035">
        <v>22</v>
      </c>
      <c r="Z890" s="1035">
        <f t="shared" si="201"/>
        <v>2</v>
      </c>
      <c r="AA890" s="1033" t="s">
        <v>2906</v>
      </c>
      <c r="AB890" s="1033" t="s">
        <v>2908</v>
      </c>
      <c r="AC890" s="1021">
        <v>211256</v>
      </c>
      <c r="AD890" s="1021" t="s">
        <v>1580</v>
      </c>
      <c r="AE890" s="1022">
        <f>VLOOKUP(AC890,[5]Hoja1!$A$10:$K$1393,11,0)</f>
        <v>-63283939</v>
      </c>
      <c r="AF890" s="1022"/>
      <c r="AG890" s="1022">
        <f t="shared" si="202"/>
        <v>-63283939</v>
      </c>
      <c r="AH890" s="1022">
        <f t="shared" si="203"/>
        <v>-63284</v>
      </c>
      <c r="AK890" s="448"/>
      <c r="AL890" s="445"/>
    </row>
    <row r="891" spans="1:38" s="467" customFormat="1" ht="12.75" customHeight="1">
      <c r="A891" s="1033">
        <v>5214260</v>
      </c>
      <c r="B891" s="1033" t="s">
        <v>2794</v>
      </c>
      <c r="C891" s="1034" t="str">
        <f>+D891&amp;E891</f>
        <v/>
      </c>
      <c r="D891" s="1035"/>
      <c r="E891" s="1035"/>
      <c r="F891" s="1034" t="str">
        <f>+G891&amp;H891</f>
        <v/>
      </c>
      <c r="G891" s="1033"/>
      <c r="H891" s="1033"/>
      <c r="I891" s="1034" t="str">
        <f>+J891&amp;K891</f>
        <v/>
      </c>
      <c r="J891" s="1033"/>
      <c r="K891" s="1033"/>
      <c r="L891" s="1034" t="str">
        <f>+M891&amp;N891</f>
        <v/>
      </c>
      <c r="M891" s="1035"/>
      <c r="N891" s="1035"/>
      <c r="O891" s="1036" t="str">
        <f>+P891&amp;Q891</f>
        <v/>
      </c>
      <c r="P891" s="1033"/>
      <c r="Q891" s="1033"/>
      <c r="R891" s="1034" t="str">
        <f>+S891&amp;T891</f>
        <v/>
      </c>
      <c r="S891" s="1035"/>
      <c r="T891" s="1035"/>
      <c r="U891" s="1034" t="str">
        <f>+V891&amp;W891</f>
        <v/>
      </c>
      <c r="V891" s="1035"/>
      <c r="W891" s="1035"/>
      <c r="X891" s="1037" t="str">
        <f>+Y891&amp;Z891</f>
        <v>222</v>
      </c>
      <c r="Y891" s="1035">
        <v>22</v>
      </c>
      <c r="Z891" s="1035">
        <f t="shared" si="201"/>
        <v>2</v>
      </c>
      <c r="AA891" s="1033" t="s">
        <v>2906</v>
      </c>
      <c r="AB891" s="1033"/>
      <c r="AC891" s="1021">
        <v>211257</v>
      </c>
      <c r="AD891" s="1021" t="s">
        <v>2</v>
      </c>
      <c r="AE891" s="1022">
        <f>VLOOKUP(AC891,[5]Hoja1!$A$10:$K$1393,11,0)</f>
        <v>0</v>
      </c>
      <c r="AF891" s="1022">
        <f>-AE891</f>
        <v>0</v>
      </c>
      <c r="AG891" s="1022">
        <f t="shared" si="202"/>
        <v>0</v>
      </c>
      <c r="AH891" s="1022">
        <f t="shared" si="203"/>
        <v>0</v>
      </c>
      <c r="AK891" s="448"/>
      <c r="AL891" s="445"/>
    </row>
    <row r="892" spans="1:38" s="467" customFormat="1" ht="12.75" customHeight="1">
      <c r="A892" s="1033">
        <v>5214230</v>
      </c>
      <c r="B892" s="1033" t="s">
        <v>337</v>
      </c>
      <c r="C892" s="1034"/>
      <c r="D892" s="1035"/>
      <c r="E892" s="1035"/>
      <c r="F892" s="1034"/>
      <c r="G892" s="1033"/>
      <c r="H892" s="1033"/>
      <c r="I892" s="1034"/>
      <c r="J892" s="1033"/>
      <c r="K892" s="1033"/>
      <c r="L892" s="1034"/>
      <c r="M892" s="1035"/>
      <c r="N892" s="1035"/>
      <c r="O892" s="1036"/>
      <c r="P892" s="1033"/>
      <c r="Q892" s="1033"/>
      <c r="R892" s="1034"/>
      <c r="S892" s="1035"/>
      <c r="T892" s="1035"/>
      <c r="U892" s="1034"/>
      <c r="V892" s="1035"/>
      <c r="W892" s="1035"/>
      <c r="X892" s="1037"/>
      <c r="Y892" s="1035"/>
      <c r="Z892" s="1035">
        <f t="shared" si="201"/>
        <v>2</v>
      </c>
      <c r="AA892" s="1035"/>
      <c r="AB892" s="1035"/>
      <c r="AC892" s="1021">
        <v>211258</v>
      </c>
      <c r="AD892" s="1021" t="s">
        <v>1</v>
      </c>
      <c r="AE892" s="1022">
        <f>VLOOKUP(AC892,[5]Hoja1!$A$10:$K$1393,11,0)</f>
        <v>-5213219</v>
      </c>
      <c r="AF892" s="1022"/>
      <c r="AG892" s="1022">
        <f t="shared" si="202"/>
        <v>-5213219</v>
      </c>
      <c r="AH892" s="1022">
        <f t="shared" si="203"/>
        <v>-5213</v>
      </c>
      <c r="AK892" s="448"/>
      <c r="AL892" s="445"/>
    </row>
    <row r="893" spans="1:38" s="467" customFormat="1" ht="12.75" customHeight="1">
      <c r="A893" s="1033">
        <v>5214230</v>
      </c>
      <c r="B893" s="1033" t="s">
        <v>337</v>
      </c>
      <c r="C893" s="1034"/>
      <c r="D893" s="1035"/>
      <c r="E893" s="1035"/>
      <c r="F893" s="1034"/>
      <c r="G893" s="1033"/>
      <c r="H893" s="1033"/>
      <c r="I893" s="1034"/>
      <c r="J893" s="1033"/>
      <c r="K893" s="1033"/>
      <c r="L893" s="1034"/>
      <c r="M893" s="1035"/>
      <c r="N893" s="1035"/>
      <c r="O893" s="1036"/>
      <c r="P893" s="1033"/>
      <c r="Q893" s="1033"/>
      <c r="R893" s="1034"/>
      <c r="S893" s="1035"/>
      <c r="T893" s="1035"/>
      <c r="U893" s="1034"/>
      <c r="V893" s="1035"/>
      <c r="W893" s="1035"/>
      <c r="X893" s="1037"/>
      <c r="Y893" s="1035"/>
      <c r="Z893" s="1035">
        <f t="shared" si="201"/>
        <v>2</v>
      </c>
      <c r="AA893" s="1035"/>
      <c r="AB893" s="1035"/>
      <c r="AC893" s="1021">
        <v>211259</v>
      </c>
      <c r="AD893" s="1021" t="s">
        <v>3</v>
      </c>
      <c r="AE893" s="1022">
        <f>VLOOKUP(AC893,[5]Hoja1!$A$10:$K$1393,11,0)</f>
        <v>-815538037</v>
      </c>
      <c r="AF893" s="1022"/>
      <c r="AG893" s="1022">
        <f t="shared" si="202"/>
        <v>-815538037</v>
      </c>
      <c r="AH893" s="1022">
        <f t="shared" si="203"/>
        <v>-815538</v>
      </c>
      <c r="AK893" s="448"/>
      <c r="AL893" s="445"/>
    </row>
    <row r="894" spans="1:38" s="467" customFormat="1" ht="12.75" customHeight="1">
      <c r="A894" s="1033">
        <v>5214260</v>
      </c>
      <c r="B894" s="1033" t="s">
        <v>2794</v>
      </c>
      <c r="C894" s="1034" t="str">
        <f>+D894&amp;E894</f>
        <v/>
      </c>
      <c r="D894" s="1035"/>
      <c r="E894" s="1035"/>
      <c r="F894" s="1034" t="str">
        <f>+G894&amp;H894</f>
        <v/>
      </c>
      <c r="G894" s="1033"/>
      <c r="H894" s="1033"/>
      <c r="I894" s="1034" t="str">
        <f>+J894&amp;K894</f>
        <v/>
      </c>
      <c r="J894" s="1033"/>
      <c r="K894" s="1033"/>
      <c r="L894" s="1034" t="str">
        <f>+M894&amp;N894</f>
        <v/>
      </c>
      <c r="M894" s="1035"/>
      <c r="N894" s="1035"/>
      <c r="O894" s="1036" t="str">
        <f>+P894&amp;Q894</f>
        <v/>
      </c>
      <c r="P894" s="1033"/>
      <c r="Q894" s="1033"/>
      <c r="R894" s="1034" t="str">
        <f>+S894&amp;T894</f>
        <v/>
      </c>
      <c r="S894" s="1035"/>
      <c r="T894" s="1035"/>
      <c r="U894" s="1034" t="str">
        <f>+V894&amp;W894</f>
        <v/>
      </c>
      <c r="V894" s="1035"/>
      <c r="W894" s="1035"/>
      <c r="X894" s="1037" t="str">
        <f t="shared" ref="X894:X922" si="205">+Y894&amp;Z894</f>
        <v>222</v>
      </c>
      <c r="Y894" s="1035">
        <v>22</v>
      </c>
      <c r="Z894" s="1035">
        <f t="shared" si="201"/>
        <v>2</v>
      </c>
      <c r="AA894" s="1033" t="s">
        <v>2906</v>
      </c>
      <c r="AB894" s="1033" t="s">
        <v>354</v>
      </c>
      <c r="AC894" s="1021">
        <v>211260</v>
      </c>
      <c r="AD894" s="1021" t="s">
        <v>2215</v>
      </c>
      <c r="AE894" s="1022">
        <f>VLOOKUP(AC894,[5]Hoja1!$A$10:$K$1393,11,0)</f>
        <v>-100656624</v>
      </c>
      <c r="AF894" s="1022"/>
      <c r="AG894" s="1022">
        <f t="shared" si="202"/>
        <v>-100656624</v>
      </c>
      <c r="AH894" s="1022">
        <f t="shared" si="203"/>
        <v>-100657</v>
      </c>
      <c r="AK894" s="448"/>
      <c r="AL894" s="445"/>
    </row>
    <row r="895" spans="1:38" s="467" customFormat="1" ht="12.75" customHeight="1">
      <c r="A895" s="1033">
        <v>5214260</v>
      </c>
      <c r="B895" s="1033" t="s">
        <v>2794</v>
      </c>
      <c r="C895" s="1034" t="str">
        <f>+D895&amp;E895</f>
        <v/>
      </c>
      <c r="D895" s="1035"/>
      <c r="E895" s="1035"/>
      <c r="F895" s="1034" t="str">
        <f>+G895&amp;H895</f>
        <v/>
      </c>
      <c r="G895" s="1033"/>
      <c r="H895" s="1033"/>
      <c r="I895" s="1034" t="str">
        <f>+J895&amp;K895</f>
        <v/>
      </c>
      <c r="J895" s="1033"/>
      <c r="K895" s="1033"/>
      <c r="L895" s="1034" t="str">
        <f>+M895&amp;N895</f>
        <v/>
      </c>
      <c r="M895" s="1035"/>
      <c r="N895" s="1035"/>
      <c r="O895" s="1036" t="str">
        <f>+P895&amp;Q895</f>
        <v/>
      </c>
      <c r="P895" s="1033"/>
      <c r="Q895" s="1033"/>
      <c r="R895" s="1034" t="str">
        <f>+S895&amp;T895</f>
        <v/>
      </c>
      <c r="S895" s="1035"/>
      <c r="T895" s="1035"/>
      <c r="U895" s="1034" t="str">
        <f>+V895&amp;W895</f>
        <v/>
      </c>
      <c r="V895" s="1035"/>
      <c r="W895" s="1035"/>
      <c r="X895" s="1037" t="str">
        <f t="shared" si="205"/>
        <v>222</v>
      </c>
      <c r="Y895" s="1035">
        <v>22</v>
      </c>
      <c r="Z895" s="1035">
        <f t="shared" si="201"/>
        <v>2</v>
      </c>
      <c r="AA895" s="1033" t="s">
        <v>2906</v>
      </c>
      <c r="AB895" s="1033" t="s">
        <v>354</v>
      </c>
      <c r="AC895" s="1021">
        <v>211261</v>
      </c>
      <c r="AD895" s="1021" t="s">
        <v>4</v>
      </c>
      <c r="AE895" s="1022">
        <f>VLOOKUP(AC895,[5]Hoja1!$A$10:$K$1393,11,0)</f>
        <v>-195219983</v>
      </c>
      <c r="AF895" s="1022"/>
      <c r="AG895" s="1022">
        <f t="shared" si="202"/>
        <v>-195219983</v>
      </c>
      <c r="AH895" s="1022">
        <f t="shared" si="203"/>
        <v>-195220</v>
      </c>
      <c r="AK895" s="448"/>
      <c r="AL895" s="445"/>
    </row>
    <row r="896" spans="1:38" s="467" customFormat="1" ht="12.75" customHeight="1">
      <c r="A896" s="1033">
        <v>5214260</v>
      </c>
      <c r="B896" s="1033" t="s">
        <v>2794</v>
      </c>
      <c r="C896" s="1034"/>
      <c r="D896" s="1035"/>
      <c r="E896" s="1035"/>
      <c r="F896" s="1034"/>
      <c r="G896" s="1033"/>
      <c r="H896" s="1033"/>
      <c r="I896" s="1034"/>
      <c r="J896" s="1033"/>
      <c r="K896" s="1033"/>
      <c r="L896" s="1034"/>
      <c r="M896" s="1035"/>
      <c r="N896" s="1035"/>
      <c r="O896" s="1036"/>
      <c r="P896" s="1033"/>
      <c r="Q896" s="1033"/>
      <c r="R896" s="1034"/>
      <c r="S896" s="1035"/>
      <c r="T896" s="1035"/>
      <c r="U896" s="1034"/>
      <c r="V896" s="1035"/>
      <c r="W896" s="1035"/>
      <c r="X896" s="1037" t="str">
        <f t="shared" si="205"/>
        <v xml:space="preserve"> 2</v>
      </c>
      <c r="Y896" s="1035" t="s">
        <v>1805</v>
      </c>
      <c r="Z896" s="1035">
        <f t="shared" si="201"/>
        <v>2</v>
      </c>
      <c r="AA896" s="1033" t="s">
        <v>2906</v>
      </c>
      <c r="AB896" s="1033" t="s">
        <v>354</v>
      </c>
      <c r="AC896" s="1021">
        <v>211262</v>
      </c>
      <c r="AD896" s="1021" t="s">
        <v>5</v>
      </c>
      <c r="AE896" s="1022">
        <f>VLOOKUP(AC896,[5]Hoja1!$A$10:$K$1393,11,0)</f>
        <v>0</v>
      </c>
      <c r="AF896" s="1022"/>
      <c r="AG896" s="1022">
        <f t="shared" si="202"/>
        <v>0</v>
      </c>
      <c r="AH896" s="1022">
        <f t="shared" si="203"/>
        <v>0</v>
      </c>
      <c r="AK896" s="448"/>
      <c r="AL896" s="445"/>
    </row>
    <row r="897" spans="1:38" s="467" customFormat="1" ht="12.75" customHeight="1">
      <c r="A897" s="1033"/>
      <c r="B897" s="1033"/>
      <c r="C897" s="1034" t="str">
        <f t="shared" ref="C897:C902" si="206">+D897&amp;E897</f>
        <v/>
      </c>
      <c r="D897" s="1033"/>
      <c r="E897" s="1033"/>
      <c r="F897" s="1034" t="str">
        <f t="shared" ref="F897:F902" si="207">+G897&amp;H897</f>
        <v/>
      </c>
      <c r="G897" s="1033"/>
      <c r="H897" s="1033"/>
      <c r="I897" s="1034" t="str">
        <f t="shared" ref="I897:I902" si="208">+J897&amp;K897</f>
        <v/>
      </c>
      <c r="J897" s="1035"/>
      <c r="K897" s="1035"/>
      <c r="L897" s="1034" t="str">
        <f t="shared" ref="L897:L902" si="209">+M897&amp;N897</f>
        <v/>
      </c>
      <c r="M897" s="1035"/>
      <c r="N897" s="1035"/>
      <c r="O897" s="1036" t="str">
        <f t="shared" ref="O897:O902" si="210">+P897&amp;Q897</f>
        <v/>
      </c>
      <c r="P897" s="1033"/>
      <c r="Q897" s="1033"/>
      <c r="R897" s="1034" t="str">
        <f t="shared" ref="R897:R902" si="211">+S897&amp;T897</f>
        <v/>
      </c>
      <c r="S897" s="1035"/>
      <c r="T897" s="1035"/>
      <c r="U897" s="1034" t="str">
        <f t="shared" ref="U897:U902" si="212">+V897&amp;W897</f>
        <v/>
      </c>
      <c r="V897" s="1035"/>
      <c r="W897" s="1035"/>
      <c r="X897" s="1037" t="str">
        <f t="shared" si="205"/>
        <v>222</v>
      </c>
      <c r="Y897" s="1035">
        <v>22</v>
      </c>
      <c r="Z897" s="1035">
        <f t="shared" si="201"/>
        <v>2</v>
      </c>
      <c r="AA897" s="1035"/>
      <c r="AB897" s="1035"/>
      <c r="AC897" s="1021">
        <v>211263</v>
      </c>
      <c r="AD897" s="1021" t="s">
        <v>2216</v>
      </c>
      <c r="AE897" s="1022">
        <v>0</v>
      </c>
      <c r="AF897" s="1022"/>
      <c r="AG897" s="1022">
        <f t="shared" si="202"/>
        <v>0</v>
      </c>
      <c r="AH897" s="1022">
        <f t="shared" si="203"/>
        <v>0</v>
      </c>
      <c r="AK897" s="448"/>
      <c r="AL897" s="445"/>
    </row>
    <row r="898" spans="1:38" s="467" customFormat="1" ht="12.75" customHeight="1">
      <c r="A898" s="1033">
        <v>5214230</v>
      </c>
      <c r="B898" s="1033" t="s">
        <v>337</v>
      </c>
      <c r="C898" s="1034" t="str">
        <f t="shared" si="206"/>
        <v/>
      </c>
      <c r="D898" s="1035"/>
      <c r="E898" s="1035"/>
      <c r="F898" s="1034" t="str">
        <f t="shared" si="207"/>
        <v/>
      </c>
      <c r="G898" s="1033"/>
      <c r="H898" s="1033"/>
      <c r="I898" s="1034" t="str">
        <f t="shared" si="208"/>
        <v/>
      </c>
      <c r="J898" s="1033"/>
      <c r="K898" s="1033"/>
      <c r="L898" s="1034" t="str">
        <f t="shared" si="209"/>
        <v/>
      </c>
      <c r="M898" s="1035"/>
      <c r="N898" s="1035"/>
      <c r="O898" s="1036" t="str">
        <f t="shared" si="210"/>
        <v/>
      </c>
      <c r="P898" s="1033"/>
      <c r="Q898" s="1033"/>
      <c r="R898" s="1034" t="str">
        <f t="shared" si="211"/>
        <v/>
      </c>
      <c r="S898" s="1035"/>
      <c r="T898" s="1035"/>
      <c r="U898" s="1034" t="str">
        <f t="shared" si="212"/>
        <v/>
      </c>
      <c r="V898" s="1035"/>
      <c r="W898" s="1035"/>
      <c r="X898" s="1037" t="str">
        <f t="shared" si="205"/>
        <v>222</v>
      </c>
      <c r="Y898" s="1035">
        <v>22</v>
      </c>
      <c r="Z898" s="1035">
        <f t="shared" si="201"/>
        <v>2</v>
      </c>
      <c r="AA898" s="1035"/>
      <c r="AB898" s="1035"/>
      <c r="AC898" s="1021">
        <v>211264</v>
      </c>
      <c r="AD898" s="1021" t="s">
        <v>274</v>
      </c>
      <c r="AE898" s="1022">
        <f>VLOOKUP(AC898,[5]Hoja1!$A$10:$K$1393,11,0)</f>
        <v>0</v>
      </c>
      <c r="AF898" s="1025">
        <f>-AE898</f>
        <v>0</v>
      </c>
      <c r="AG898" s="1022">
        <f t="shared" si="202"/>
        <v>0</v>
      </c>
      <c r="AH898" s="1022">
        <f t="shared" si="203"/>
        <v>0</v>
      </c>
      <c r="AK898" s="448"/>
      <c r="AL898" s="445"/>
    </row>
    <row r="899" spans="1:38" s="467" customFormat="1" ht="12.75" customHeight="1">
      <c r="A899" s="1033">
        <v>5214230</v>
      </c>
      <c r="B899" s="1033" t="s">
        <v>337</v>
      </c>
      <c r="C899" s="1034" t="str">
        <f t="shared" si="206"/>
        <v/>
      </c>
      <c r="D899" s="1035"/>
      <c r="E899" s="1035"/>
      <c r="F899" s="1034" t="str">
        <f t="shared" si="207"/>
        <v/>
      </c>
      <c r="G899" s="1033"/>
      <c r="H899" s="1033"/>
      <c r="I899" s="1034" t="str">
        <f t="shared" si="208"/>
        <v/>
      </c>
      <c r="J899" s="1033"/>
      <c r="K899" s="1033"/>
      <c r="L899" s="1034" t="str">
        <f t="shared" si="209"/>
        <v/>
      </c>
      <c r="M899" s="1035"/>
      <c r="N899" s="1035"/>
      <c r="O899" s="1036" t="str">
        <f t="shared" si="210"/>
        <v/>
      </c>
      <c r="P899" s="1033"/>
      <c r="Q899" s="1033"/>
      <c r="R899" s="1034" t="str">
        <f t="shared" si="211"/>
        <v/>
      </c>
      <c r="S899" s="1035"/>
      <c r="T899" s="1035"/>
      <c r="U899" s="1034" t="str">
        <f t="shared" si="212"/>
        <v/>
      </c>
      <c r="V899" s="1035"/>
      <c r="W899" s="1035"/>
      <c r="X899" s="1037" t="str">
        <f t="shared" si="205"/>
        <v>222</v>
      </c>
      <c r="Y899" s="1035">
        <v>22</v>
      </c>
      <c r="Z899" s="1035">
        <f t="shared" si="201"/>
        <v>2</v>
      </c>
      <c r="AA899" s="1035"/>
      <c r="AB899" s="1035"/>
      <c r="AC899" s="1021">
        <v>211265</v>
      </c>
      <c r="AD899" s="1021" t="s">
        <v>2217</v>
      </c>
      <c r="AE899" s="1022">
        <f>VLOOKUP(AC899,[5]Hoja1!$A$10:$K$1393,11,0)</f>
        <v>-226146739</v>
      </c>
      <c r="AF899" s="1025"/>
      <c r="AG899" s="1022">
        <f t="shared" si="202"/>
        <v>-226146739</v>
      </c>
      <c r="AH899" s="1022">
        <f t="shared" si="203"/>
        <v>-226147</v>
      </c>
      <c r="AK899" s="448"/>
      <c r="AL899" s="445"/>
    </row>
    <row r="900" spans="1:38" s="467" customFormat="1" ht="12.75" customHeight="1">
      <c r="A900" s="1033">
        <v>5214230</v>
      </c>
      <c r="B900" s="1033" t="s">
        <v>337</v>
      </c>
      <c r="C900" s="1034" t="str">
        <f t="shared" si="206"/>
        <v/>
      </c>
      <c r="D900" s="1035"/>
      <c r="E900" s="1035"/>
      <c r="F900" s="1034" t="str">
        <f t="shared" si="207"/>
        <v/>
      </c>
      <c r="G900" s="1033"/>
      <c r="H900" s="1033"/>
      <c r="I900" s="1034" t="str">
        <f t="shared" si="208"/>
        <v/>
      </c>
      <c r="J900" s="1033"/>
      <c r="K900" s="1033"/>
      <c r="L900" s="1034" t="str">
        <f t="shared" si="209"/>
        <v/>
      </c>
      <c r="M900" s="1035"/>
      <c r="N900" s="1035"/>
      <c r="O900" s="1036" t="str">
        <f t="shared" si="210"/>
        <v/>
      </c>
      <c r="P900" s="1033"/>
      <c r="Q900" s="1033"/>
      <c r="R900" s="1034" t="str">
        <f t="shared" si="211"/>
        <v/>
      </c>
      <c r="S900" s="1035"/>
      <c r="T900" s="1035"/>
      <c r="U900" s="1034" t="str">
        <f t="shared" si="212"/>
        <v/>
      </c>
      <c r="V900" s="1035"/>
      <c r="W900" s="1035"/>
      <c r="X900" s="1037" t="str">
        <f t="shared" si="205"/>
        <v>222</v>
      </c>
      <c r="Y900" s="1035">
        <v>22</v>
      </c>
      <c r="Z900" s="1035">
        <f t="shared" si="201"/>
        <v>2</v>
      </c>
      <c r="AA900" s="1035"/>
      <c r="AB900" s="1035"/>
      <c r="AC900" s="1021">
        <v>211266</v>
      </c>
      <c r="AD900" s="1021" t="s">
        <v>2218</v>
      </c>
      <c r="AE900" s="1022">
        <f>VLOOKUP(AC900,[5]Hoja1!$A$10:$K$1393,11,0)</f>
        <v>-198419278</v>
      </c>
      <c r="AF900" s="1025"/>
      <c r="AG900" s="1022">
        <f t="shared" si="202"/>
        <v>-198419278</v>
      </c>
      <c r="AH900" s="1022">
        <f t="shared" si="203"/>
        <v>-198419</v>
      </c>
      <c r="AK900" s="448"/>
      <c r="AL900" s="445"/>
    </row>
    <row r="901" spans="1:38" s="467" customFormat="1" ht="12.75" customHeight="1">
      <c r="A901" s="1033">
        <v>5213210</v>
      </c>
      <c r="B901" s="1033" t="s">
        <v>2782</v>
      </c>
      <c r="C901" s="1034" t="str">
        <f t="shared" si="206"/>
        <v/>
      </c>
      <c r="D901" s="1033"/>
      <c r="E901" s="1033"/>
      <c r="F901" s="1034" t="str">
        <f t="shared" si="207"/>
        <v/>
      </c>
      <c r="G901" s="1033"/>
      <c r="H901" s="1033"/>
      <c r="I901" s="1034" t="str">
        <f t="shared" si="208"/>
        <v/>
      </c>
      <c r="J901" s="1035"/>
      <c r="K901" s="1035"/>
      <c r="L901" s="1034" t="str">
        <f t="shared" si="209"/>
        <v/>
      </c>
      <c r="M901" s="1035"/>
      <c r="N901" s="1035"/>
      <c r="O901" s="1036" t="str">
        <f t="shared" si="210"/>
        <v/>
      </c>
      <c r="P901" s="1033"/>
      <c r="Q901" s="1033"/>
      <c r="R901" s="1034" t="str">
        <f t="shared" si="211"/>
        <v/>
      </c>
      <c r="S901" s="1035"/>
      <c r="T901" s="1035"/>
      <c r="U901" s="1034" t="str">
        <f t="shared" si="212"/>
        <v/>
      </c>
      <c r="V901" s="1035"/>
      <c r="W901" s="1035"/>
      <c r="X901" s="1037" t="str">
        <f t="shared" si="205"/>
        <v>222</v>
      </c>
      <c r="Y901" s="1035">
        <v>22</v>
      </c>
      <c r="Z901" s="1035">
        <f t="shared" si="201"/>
        <v>2</v>
      </c>
      <c r="AA901" s="1035"/>
      <c r="AB901" s="1035"/>
      <c r="AC901" s="1021">
        <v>211267</v>
      </c>
      <c r="AD901" s="1021" t="s">
        <v>1675</v>
      </c>
      <c r="AE901" s="1022">
        <f>VLOOKUP(AC901,[5]Hoja1!$A$10:$K$1393,11,0)</f>
        <v>-1913535638</v>
      </c>
      <c r="AF901" s="1022"/>
      <c r="AG901" s="1022">
        <f t="shared" si="202"/>
        <v>-1913535638</v>
      </c>
      <c r="AH901" s="1022">
        <f t="shared" si="203"/>
        <v>-1913536</v>
      </c>
      <c r="AK901" s="448"/>
      <c r="AL901" s="445"/>
    </row>
    <row r="902" spans="1:38" s="467" customFormat="1" ht="12.75" customHeight="1">
      <c r="A902" s="1033"/>
      <c r="B902" s="1033"/>
      <c r="C902" s="1034" t="str">
        <f t="shared" si="206"/>
        <v/>
      </c>
      <c r="D902" s="1033"/>
      <c r="E902" s="1033"/>
      <c r="F902" s="1034" t="str">
        <f t="shared" si="207"/>
        <v/>
      </c>
      <c r="G902" s="1033"/>
      <c r="H902" s="1033"/>
      <c r="I902" s="1034" t="str">
        <f t="shared" si="208"/>
        <v/>
      </c>
      <c r="J902" s="1035"/>
      <c r="K902" s="1035"/>
      <c r="L902" s="1034" t="str">
        <f t="shared" si="209"/>
        <v/>
      </c>
      <c r="M902" s="1035"/>
      <c r="N902" s="1035"/>
      <c r="O902" s="1036" t="str">
        <f t="shared" si="210"/>
        <v/>
      </c>
      <c r="P902" s="1033"/>
      <c r="Q902" s="1033"/>
      <c r="R902" s="1034" t="str">
        <f t="shared" si="211"/>
        <v/>
      </c>
      <c r="S902" s="1035"/>
      <c r="T902" s="1035"/>
      <c r="U902" s="1034" t="str">
        <f t="shared" si="212"/>
        <v/>
      </c>
      <c r="V902" s="1035"/>
      <c r="W902" s="1035"/>
      <c r="X902" s="1037" t="str">
        <f t="shared" si="205"/>
        <v>222</v>
      </c>
      <c r="Y902" s="1035">
        <v>22</v>
      </c>
      <c r="Z902" s="1035">
        <f t="shared" si="201"/>
        <v>2</v>
      </c>
      <c r="AA902" s="1035"/>
      <c r="AB902" s="1035"/>
      <c r="AC902" s="1021">
        <v>211268</v>
      </c>
      <c r="AD902" s="1021" t="s">
        <v>1676</v>
      </c>
      <c r="AE902" s="1022">
        <v>0</v>
      </c>
      <c r="AF902" s="1022"/>
      <c r="AG902" s="1022">
        <f t="shared" si="202"/>
        <v>0</v>
      </c>
      <c r="AH902" s="1022">
        <f t="shared" si="203"/>
        <v>0</v>
      </c>
      <c r="AK902" s="448"/>
      <c r="AL902" s="445"/>
    </row>
    <row r="903" spans="1:38" s="467" customFormat="1" ht="12.75" customHeight="1">
      <c r="A903" s="1033">
        <v>5214260</v>
      </c>
      <c r="B903" s="1033" t="s">
        <v>2794</v>
      </c>
      <c r="C903" s="1043" t="str">
        <f>+D903&amp;E903</f>
        <v/>
      </c>
      <c r="D903" s="1044"/>
      <c r="E903" s="1044"/>
      <c r="F903" s="1043" t="str">
        <f>+G903&amp;H903</f>
        <v/>
      </c>
      <c r="G903" s="1044"/>
      <c r="H903" s="1044"/>
      <c r="I903" s="1043" t="str">
        <f>+J903&amp;K903</f>
        <v/>
      </c>
      <c r="J903" s="1045"/>
      <c r="K903" s="1045"/>
      <c r="L903" s="1043" t="str">
        <f>+M903&amp;N903</f>
        <v/>
      </c>
      <c r="M903" s="1045"/>
      <c r="N903" s="1045"/>
      <c r="O903" s="1046" t="str">
        <f>+P903&amp;Q903</f>
        <v/>
      </c>
      <c r="P903" s="1044"/>
      <c r="Q903" s="1044"/>
      <c r="R903" s="1043" t="str">
        <f>+S903&amp;T903</f>
        <v/>
      </c>
      <c r="S903" s="1045"/>
      <c r="T903" s="1045"/>
      <c r="U903" s="1043" t="str">
        <f>+V903&amp;W903</f>
        <v/>
      </c>
      <c r="V903" s="1045"/>
      <c r="W903" s="1045"/>
      <c r="X903" s="1047" t="str">
        <f t="shared" si="205"/>
        <v>222</v>
      </c>
      <c r="Y903" s="1045">
        <v>22</v>
      </c>
      <c r="Z903" s="1035">
        <f t="shared" si="201"/>
        <v>2</v>
      </c>
      <c r="AA903" s="1033" t="s">
        <v>2906</v>
      </c>
      <c r="AB903" s="1033" t="s">
        <v>2880</v>
      </c>
      <c r="AC903" s="1029">
        <v>211269</v>
      </c>
      <c r="AD903" s="1029" t="s">
        <v>2219</v>
      </c>
      <c r="AE903" s="1022">
        <f>VLOOKUP(AC903,[5]Hoja1!$A$10:$K$1393,11,0)</f>
        <v>-479083231</v>
      </c>
      <c r="AF903" s="1191">
        <f>-AF904</f>
        <v>-166137535</v>
      </c>
      <c r="AG903" s="1022">
        <f t="shared" si="202"/>
        <v>-645220766</v>
      </c>
      <c r="AH903" s="1022">
        <f t="shared" si="203"/>
        <v>-645221</v>
      </c>
      <c r="AK903" s="448"/>
      <c r="AL903" s="445"/>
    </row>
    <row r="904" spans="1:38" s="467" customFormat="1" ht="12.75" customHeight="1">
      <c r="A904" s="1033">
        <v>5153500</v>
      </c>
      <c r="B904" s="1033" t="s">
        <v>1457</v>
      </c>
      <c r="C904" s="1043" t="str">
        <f>+D904&amp;E904</f>
        <v/>
      </c>
      <c r="D904" s="1044"/>
      <c r="E904" s="1044"/>
      <c r="F904" s="1043" t="str">
        <f>+G904&amp;H904</f>
        <v/>
      </c>
      <c r="G904" s="1044"/>
      <c r="H904" s="1044"/>
      <c r="I904" s="1043" t="str">
        <f>+J904&amp;K904</f>
        <v/>
      </c>
      <c r="J904" s="1045"/>
      <c r="K904" s="1045"/>
      <c r="L904" s="1043" t="str">
        <f>+M904&amp;N904</f>
        <v/>
      </c>
      <c r="M904" s="1044"/>
      <c r="N904" s="1045"/>
      <c r="O904" s="1046" t="str">
        <f>+P904&amp;Q904</f>
        <v/>
      </c>
      <c r="P904" s="1048"/>
      <c r="Q904" s="1048"/>
      <c r="R904" s="1043" t="str">
        <f>+S904&amp;T904</f>
        <v/>
      </c>
      <c r="S904" s="1045"/>
      <c r="T904" s="1045"/>
      <c r="U904" s="1043" t="str">
        <f>+V904&amp;W904</f>
        <v/>
      </c>
      <c r="V904" s="1045"/>
      <c r="W904" s="1045"/>
      <c r="X904" s="1047" t="str">
        <f t="shared" si="205"/>
        <v>222</v>
      </c>
      <c r="Y904" s="1045">
        <v>22</v>
      </c>
      <c r="Z904" s="1035">
        <f t="shared" si="201"/>
        <v>2</v>
      </c>
      <c r="AA904" s="1033" t="s">
        <v>2886</v>
      </c>
      <c r="AB904" s="1033" t="s">
        <v>2876</v>
      </c>
      <c r="AC904" s="1030">
        <v>211269</v>
      </c>
      <c r="AD904" s="1029" t="s">
        <v>2219</v>
      </c>
      <c r="AE904" s="1022">
        <v>0</v>
      </c>
      <c r="AF904" s="1511">
        <v>166137535</v>
      </c>
      <c r="AG904" s="1022">
        <f t="shared" si="202"/>
        <v>166137535</v>
      </c>
      <c r="AH904" s="1022">
        <f t="shared" si="203"/>
        <v>166138</v>
      </c>
      <c r="AJ904" s="445"/>
      <c r="AK904" s="448"/>
      <c r="AL904" s="445"/>
    </row>
    <row r="905" spans="1:38" s="467" customFormat="1" ht="12.75" customHeight="1">
      <c r="A905" s="1033">
        <v>5214260</v>
      </c>
      <c r="B905" s="1033" t="s">
        <v>2794</v>
      </c>
      <c r="C905" s="1034" t="str">
        <f t="shared" ref="C905:C916" si="213">+D905&amp;E905</f>
        <v/>
      </c>
      <c r="D905" s="1033"/>
      <c r="E905" s="1033"/>
      <c r="F905" s="1034" t="str">
        <f t="shared" ref="F905:F916" si="214">+G905&amp;H905</f>
        <v/>
      </c>
      <c r="G905" s="1033"/>
      <c r="H905" s="1033"/>
      <c r="I905" s="1034" t="str">
        <f t="shared" ref="I905:I916" si="215">+J905&amp;K905</f>
        <v/>
      </c>
      <c r="J905" s="1035"/>
      <c r="K905" s="1035"/>
      <c r="L905" s="1034" t="str">
        <f t="shared" ref="L905:L916" si="216">+M905&amp;N905</f>
        <v/>
      </c>
      <c r="M905" s="1035"/>
      <c r="N905" s="1035"/>
      <c r="O905" s="1036" t="str">
        <f t="shared" ref="O905:O916" si="217">+P905&amp;Q905</f>
        <v/>
      </c>
      <c r="P905" s="1033"/>
      <c r="Q905" s="1033"/>
      <c r="R905" s="1034" t="str">
        <f t="shared" ref="R905:R916" si="218">+S905&amp;T905</f>
        <v/>
      </c>
      <c r="S905" s="1035"/>
      <c r="T905" s="1035"/>
      <c r="U905" s="1034" t="str">
        <f t="shared" ref="U905:U916" si="219">+V905&amp;W905</f>
        <v/>
      </c>
      <c r="V905" s="1035"/>
      <c r="W905" s="1035"/>
      <c r="X905" s="1037" t="str">
        <f t="shared" si="205"/>
        <v>222</v>
      </c>
      <c r="Y905" s="1035">
        <v>22</v>
      </c>
      <c r="Z905" s="1035">
        <f t="shared" si="201"/>
        <v>2</v>
      </c>
      <c r="AA905" s="1033" t="s">
        <v>2906</v>
      </c>
      <c r="AB905" s="1033"/>
      <c r="AC905" s="1021">
        <v>211270</v>
      </c>
      <c r="AD905" s="1021" t="s">
        <v>570</v>
      </c>
      <c r="AE905" s="1022">
        <v>0</v>
      </c>
      <c r="AF905" s="1022"/>
      <c r="AG905" s="1022">
        <f t="shared" si="202"/>
        <v>0</v>
      </c>
      <c r="AH905" s="1022">
        <f t="shared" si="203"/>
        <v>0</v>
      </c>
      <c r="AK905" s="448"/>
      <c r="AL905" s="445"/>
    </row>
    <row r="906" spans="1:38" s="467" customFormat="1" ht="12.75" customHeight="1">
      <c r="A906" s="1033">
        <v>5214260</v>
      </c>
      <c r="B906" s="1033" t="s">
        <v>2794</v>
      </c>
      <c r="C906" s="1034" t="str">
        <f t="shared" si="213"/>
        <v/>
      </c>
      <c r="D906" s="1033"/>
      <c r="E906" s="1033"/>
      <c r="F906" s="1034" t="str">
        <f t="shared" si="214"/>
        <v/>
      </c>
      <c r="G906" s="1033"/>
      <c r="H906" s="1033"/>
      <c r="I906" s="1034" t="str">
        <f t="shared" si="215"/>
        <v/>
      </c>
      <c r="J906" s="1035"/>
      <c r="K906" s="1035"/>
      <c r="L906" s="1034" t="str">
        <f t="shared" si="216"/>
        <v/>
      </c>
      <c r="M906" s="1035"/>
      <c r="N906" s="1035"/>
      <c r="O906" s="1036" t="str">
        <f t="shared" si="217"/>
        <v/>
      </c>
      <c r="P906" s="1033"/>
      <c r="Q906" s="1033"/>
      <c r="R906" s="1034" t="str">
        <f t="shared" si="218"/>
        <v/>
      </c>
      <c r="S906" s="1035"/>
      <c r="T906" s="1035"/>
      <c r="U906" s="1034" t="str">
        <f t="shared" si="219"/>
        <v/>
      </c>
      <c r="V906" s="1035"/>
      <c r="W906" s="1035"/>
      <c r="X906" s="1037" t="str">
        <f t="shared" si="205"/>
        <v>222</v>
      </c>
      <c r="Y906" s="1035">
        <v>22</v>
      </c>
      <c r="Z906" s="1035">
        <f t="shared" si="201"/>
        <v>2</v>
      </c>
      <c r="AA906" s="1033" t="s">
        <v>2906</v>
      </c>
      <c r="AB906" s="1033" t="s">
        <v>354</v>
      </c>
      <c r="AC906" s="1021">
        <v>211271</v>
      </c>
      <c r="AD906" s="1021" t="s">
        <v>571</v>
      </c>
      <c r="AE906" s="1022">
        <f>VLOOKUP(AC906,[5]Hoja1!$A$10:$K$1393,11,0)</f>
        <v>-63683442</v>
      </c>
      <c r="AF906" s="1022"/>
      <c r="AG906" s="1022">
        <f t="shared" si="202"/>
        <v>-63683442</v>
      </c>
      <c r="AH906" s="1022">
        <f t="shared" si="203"/>
        <v>-63683</v>
      </c>
      <c r="AK906" s="448"/>
      <c r="AL906" s="445"/>
    </row>
    <row r="907" spans="1:38" s="467" customFormat="1" ht="12.75" customHeight="1">
      <c r="A907" s="1033"/>
      <c r="B907" s="1033"/>
      <c r="C907" s="1034" t="str">
        <f t="shared" si="213"/>
        <v/>
      </c>
      <c r="D907" s="1033"/>
      <c r="E907" s="1033"/>
      <c r="F907" s="1034" t="str">
        <f t="shared" si="214"/>
        <v/>
      </c>
      <c r="G907" s="1033"/>
      <c r="H907" s="1033"/>
      <c r="I907" s="1034" t="str">
        <f t="shared" si="215"/>
        <v/>
      </c>
      <c r="J907" s="1035"/>
      <c r="K907" s="1035"/>
      <c r="L907" s="1034" t="str">
        <f t="shared" si="216"/>
        <v/>
      </c>
      <c r="M907" s="1035"/>
      <c r="N907" s="1035"/>
      <c r="O907" s="1036" t="str">
        <f t="shared" si="217"/>
        <v/>
      </c>
      <c r="P907" s="1033"/>
      <c r="Q907" s="1033"/>
      <c r="R907" s="1034" t="str">
        <f t="shared" si="218"/>
        <v/>
      </c>
      <c r="S907" s="1035"/>
      <c r="T907" s="1035"/>
      <c r="U907" s="1034" t="str">
        <f t="shared" si="219"/>
        <v/>
      </c>
      <c r="V907" s="1035"/>
      <c r="W907" s="1035"/>
      <c r="X907" s="1037" t="str">
        <f t="shared" si="205"/>
        <v>222</v>
      </c>
      <c r="Y907" s="1035">
        <v>22</v>
      </c>
      <c r="Z907" s="1035">
        <f t="shared" si="201"/>
        <v>2</v>
      </c>
      <c r="AA907" s="1035"/>
      <c r="AB907" s="1035"/>
      <c r="AC907" s="1021">
        <v>211272</v>
      </c>
      <c r="AD907" s="1021" t="s">
        <v>2220</v>
      </c>
      <c r="AE907" s="1022">
        <v>0</v>
      </c>
      <c r="AF907" s="1022"/>
      <c r="AG907" s="1022">
        <f t="shared" si="202"/>
        <v>0</v>
      </c>
      <c r="AH907" s="1022">
        <f t="shared" si="203"/>
        <v>0</v>
      </c>
      <c r="AK907" s="448"/>
      <c r="AL907" s="445"/>
    </row>
    <row r="908" spans="1:38" s="467" customFormat="1" ht="12.75" customHeight="1">
      <c r="A908" s="1033">
        <v>5214260</v>
      </c>
      <c r="B908" s="1033" t="s">
        <v>2794</v>
      </c>
      <c r="C908" s="1034" t="str">
        <f t="shared" si="213"/>
        <v/>
      </c>
      <c r="D908" s="1033"/>
      <c r="E908" s="1033"/>
      <c r="F908" s="1034" t="str">
        <f t="shared" si="214"/>
        <v/>
      </c>
      <c r="G908" s="1033"/>
      <c r="H908" s="1033"/>
      <c r="I908" s="1034" t="str">
        <f t="shared" si="215"/>
        <v/>
      </c>
      <c r="J908" s="1035"/>
      <c r="K908" s="1035"/>
      <c r="L908" s="1034" t="str">
        <f t="shared" si="216"/>
        <v/>
      </c>
      <c r="M908" s="1035"/>
      <c r="N908" s="1035"/>
      <c r="O908" s="1036" t="str">
        <f t="shared" si="217"/>
        <v/>
      </c>
      <c r="P908" s="1033"/>
      <c r="Q908" s="1033"/>
      <c r="R908" s="1034" t="str">
        <f t="shared" si="218"/>
        <v/>
      </c>
      <c r="S908" s="1035"/>
      <c r="T908" s="1035"/>
      <c r="U908" s="1034" t="str">
        <f t="shared" si="219"/>
        <v/>
      </c>
      <c r="V908" s="1035"/>
      <c r="W908" s="1035"/>
      <c r="X908" s="1037" t="str">
        <f t="shared" si="205"/>
        <v>222</v>
      </c>
      <c r="Y908" s="1035">
        <v>22</v>
      </c>
      <c r="Z908" s="1035">
        <f t="shared" si="201"/>
        <v>2</v>
      </c>
      <c r="AA908" s="1033" t="s">
        <v>2906</v>
      </c>
      <c r="AB908" s="1033"/>
      <c r="AC908" s="1021">
        <v>211273</v>
      </c>
      <c r="AD908" s="1021" t="s">
        <v>454</v>
      </c>
      <c r="AE908" s="1022">
        <f>VLOOKUP(AC908,[5]Hoja1!$A$10:$K$1393,11,0)</f>
        <v>0</v>
      </c>
      <c r="AF908" s="1022"/>
      <c r="AG908" s="1022">
        <f t="shared" si="202"/>
        <v>0</v>
      </c>
      <c r="AH908" s="1022">
        <f t="shared" si="203"/>
        <v>0</v>
      </c>
      <c r="AK908" s="448"/>
      <c r="AL908" s="445"/>
    </row>
    <row r="909" spans="1:38" s="467" customFormat="1" ht="12.75" customHeight="1">
      <c r="A909" s="1033">
        <v>5214260</v>
      </c>
      <c r="B909" s="1033" t="s">
        <v>2794</v>
      </c>
      <c r="C909" s="1034" t="str">
        <f t="shared" si="213"/>
        <v/>
      </c>
      <c r="D909" s="1033"/>
      <c r="E909" s="1033"/>
      <c r="F909" s="1034" t="str">
        <f t="shared" si="214"/>
        <v/>
      </c>
      <c r="G909" s="1033"/>
      <c r="H909" s="1033"/>
      <c r="I909" s="1034" t="str">
        <f t="shared" si="215"/>
        <v/>
      </c>
      <c r="J909" s="1035"/>
      <c r="K909" s="1035"/>
      <c r="L909" s="1034" t="str">
        <f t="shared" si="216"/>
        <v/>
      </c>
      <c r="M909" s="1035"/>
      <c r="N909" s="1035"/>
      <c r="O909" s="1036" t="str">
        <f t="shared" si="217"/>
        <v/>
      </c>
      <c r="P909" s="1033"/>
      <c r="Q909" s="1033"/>
      <c r="R909" s="1034" t="str">
        <f t="shared" si="218"/>
        <v/>
      </c>
      <c r="S909" s="1035"/>
      <c r="T909" s="1035"/>
      <c r="U909" s="1034" t="str">
        <f t="shared" si="219"/>
        <v/>
      </c>
      <c r="V909" s="1035"/>
      <c r="W909" s="1035"/>
      <c r="X909" s="1037" t="str">
        <f t="shared" si="205"/>
        <v>222</v>
      </c>
      <c r="Y909" s="1035">
        <v>22</v>
      </c>
      <c r="Z909" s="1035">
        <f t="shared" si="201"/>
        <v>2</v>
      </c>
      <c r="AA909" s="1033" t="s">
        <v>2906</v>
      </c>
      <c r="AB909" s="1033"/>
      <c r="AC909" s="1021">
        <v>211274</v>
      </c>
      <c r="AD909" s="1021" t="s">
        <v>1677</v>
      </c>
      <c r="AE909" s="1022">
        <f>VLOOKUP(AC909,[5]Hoja1!$A$10:$K$1393,11,0)</f>
        <v>0</v>
      </c>
      <c r="AF909" s="1022"/>
      <c r="AG909" s="1022">
        <f t="shared" si="202"/>
        <v>0</v>
      </c>
      <c r="AH909" s="1022">
        <f t="shared" si="203"/>
        <v>0</v>
      </c>
      <c r="AK909" s="448"/>
      <c r="AL909" s="445"/>
    </row>
    <row r="910" spans="1:38" s="467" customFormat="1" ht="12.75" customHeight="1">
      <c r="A910" s="1033">
        <v>5214260</v>
      </c>
      <c r="B910" s="1033" t="s">
        <v>2794</v>
      </c>
      <c r="C910" s="1034" t="str">
        <f t="shared" si="213"/>
        <v/>
      </c>
      <c r="D910" s="1033"/>
      <c r="E910" s="1033"/>
      <c r="F910" s="1034" t="str">
        <f t="shared" si="214"/>
        <v/>
      </c>
      <c r="G910" s="1033"/>
      <c r="H910" s="1033"/>
      <c r="I910" s="1034" t="str">
        <f t="shared" si="215"/>
        <v/>
      </c>
      <c r="J910" s="1035"/>
      <c r="K910" s="1035"/>
      <c r="L910" s="1034" t="str">
        <f t="shared" si="216"/>
        <v/>
      </c>
      <c r="M910" s="1035"/>
      <c r="N910" s="1035"/>
      <c r="O910" s="1036" t="str">
        <f t="shared" si="217"/>
        <v/>
      </c>
      <c r="P910" s="1033"/>
      <c r="Q910" s="1033"/>
      <c r="R910" s="1034" t="str">
        <f t="shared" si="218"/>
        <v/>
      </c>
      <c r="S910" s="1035"/>
      <c r="T910" s="1035"/>
      <c r="U910" s="1034" t="str">
        <f t="shared" si="219"/>
        <v/>
      </c>
      <c r="V910" s="1035"/>
      <c r="W910" s="1035"/>
      <c r="X910" s="1037" t="str">
        <f t="shared" si="205"/>
        <v>222</v>
      </c>
      <c r="Y910" s="1035">
        <v>22</v>
      </c>
      <c r="Z910" s="1035">
        <f t="shared" si="201"/>
        <v>2</v>
      </c>
      <c r="AA910" s="1033" t="s">
        <v>2906</v>
      </c>
      <c r="AB910" s="1033" t="s">
        <v>2908</v>
      </c>
      <c r="AC910" s="1021">
        <v>211275</v>
      </c>
      <c r="AD910" s="1021" t="s">
        <v>202</v>
      </c>
      <c r="AE910" s="1022">
        <f>VLOOKUP(AC910,[5]Hoja1!$A$10:$K$1393,11,0)</f>
        <v>-246226877</v>
      </c>
      <c r="AF910" s="1022"/>
      <c r="AG910" s="1022">
        <f t="shared" si="202"/>
        <v>-246226877</v>
      </c>
      <c r="AH910" s="1022">
        <f t="shared" si="203"/>
        <v>-246227</v>
      </c>
      <c r="AK910" s="448"/>
      <c r="AL910" s="445"/>
    </row>
    <row r="911" spans="1:38" s="467" customFormat="1" ht="12.75" customHeight="1">
      <c r="A911" s="1033">
        <v>5214260</v>
      </c>
      <c r="B911" s="1033" t="s">
        <v>2794</v>
      </c>
      <c r="C911" s="1034" t="str">
        <f t="shared" si="213"/>
        <v/>
      </c>
      <c r="D911" s="1035"/>
      <c r="E911" s="1035"/>
      <c r="F911" s="1034" t="str">
        <f t="shared" si="214"/>
        <v/>
      </c>
      <c r="G911" s="1033"/>
      <c r="H911" s="1033"/>
      <c r="I911" s="1034" t="str">
        <f t="shared" si="215"/>
        <v/>
      </c>
      <c r="J911" s="1033"/>
      <c r="K911" s="1033"/>
      <c r="L911" s="1034" t="str">
        <f t="shared" si="216"/>
        <v/>
      </c>
      <c r="M911" s="1035"/>
      <c r="N911" s="1035"/>
      <c r="O911" s="1036" t="str">
        <f t="shared" si="217"/>
        <v/>
      </c>
      <c r="P911" s="1033"/>
      <c r="Q911" s="1033"/>
      <c r="R911" s="1034" t="str">
        <f t="shared" si="218"/>
        <v/>
      </c>
      <c r="S911" s="1035"/>
      <c r="T911" s="1035"/>
      <c r="U911" s="1034" t="str">
        <f t="shared" si="219"/>
        <v/>
      </c>
      <c r="V911" s="1035"/>
      <c r="W911" s="1035"/>
      <c r="X911" s="1037" t="str">
        <f t="shared" si="205"/>
        <v>222</v>
      </c>
      <c r="Y911" s="1035">
        <v>22</v>
      </c>
      <c r="Z911" s="1035">
        <f t="shared" si="201"/>
        <v>2</v>
      </c>
      <c r="AA911" s="1033" t="s">
        <v>2906</v>
      </c>
      <c r="AB911" s="1033" t="s">
        <v>2880</v>
      </c>
      <c r="AC911" s="1021">
        <v>211276</v>
      </c>
      <c r="AD911" s="1021" t="s">
        <v>2221</v>
      </c>
      <c r="AE911" s="1022">
        <f>VLOOKUP(AC911,[5]Hoja1!$A$10:$K$1393,11,0)</f>
        <v>0</v>
      </c>
      <c r="AF911" s="1022"/>
      <c r="AG911" s="1022">
        <f t="shared" si="202"/>
        <v>0</v>
      </c>
      <c r="AH911" s="1022">
        <f t="shared" si="203"/>
        <v>0</v>
      </c>
      <c r="AK911" s="448"/>
      <c r="AL911" s="445"/>
    </row>
    <row r="912" spans="1:38" s="467" customFormat="1" ht="12.75" customHeight="1">
      <c r="A912" s="1033">
        <v>5153400</v>
      </c>
      <c r="B912" s="1033" t="s">
        <v>870</v>
      </c>
      <c r="C912" s="1034" t="str">
        <f t="shared" si="213"/>
        <v/>
      </c>
      <c r="D912" s="1035"/>
      <c r="E912" s="1035"/>
      <c r="F912" s="1034" t="str">
        <f t="shared" si="214"/>
        <v/>
      </c>
      <c r="G912" s="1033"/>
      <c r="H912" s="1033"/>
      <c r="I912" s="1034" t="str">
        <f t="shared" si="215"/>
        <v/>
      </c>
      <c r="J912" s="1033"/>
      <c r="K912" s="1033"/>
      <c r="L912" s="1034" t="str">
        <f t="shared" si="216"/>
        <v/>
      </c>
      <c r="M912" s="1035"/>
      <c r="N912" s="1035"/>
      <c r="O912" s="1036" t="str">
        <f t="shared" si="217"/>
        <v/>
      </c>
      <c r="P912" s="1033"/>
      <c r="Q912" s="1033"/>
      <c r="R912" s="1034" t="str">
        <f t="shared" si="218"/>
        <v/>
      </c>
      <c r="S912" s="1035"/>
      <c r="T912" s="1035"/>
      <c r="U912" s="1034" t="str">
        <f t="shared" si="219"/>
        <v/>
      </c>
      <c r="V912" s="1035"/>
      <c r="W912" s="1035"/>
      <c r="X912" s="1037" t="str">
        <f t="shared" si="205"/>
        <v>222</v>
      </c>
      <c r="Y912" s="1035">
        <v>22</v>
      </c>
      <c r="Z912" s="1035">
        <f t="shared" si="201"/>
        <v>2</v>
      </c>
      <c r="AA912" s="1035"/>
      <c r="AB912" s="1035"/>
      <c r="AC912" s="1021">
        <v>211277</v>
      </c>
      <c r="AD912" s="1021" t="s">
        <v>9</v>
      </c>
      <c r="AE912" s="1022">
        <f>VLOOKUP(AC912,[5]Hoja1!$A$10:$K$1393,11,0)</f>
        <v>344163</v>
      </c>
      <c r="AF912" s="1022"/>
      <c r="AG912" s="1022">
        <f t="shared" si="202"/>
        <v>344163</v>
      </c>
      <c r="AH912" s="1022">
        <f t="shared" si="203"/>
        <v>344</v>
      </c>
      <c r="AK912" s="448"/>
      <c r="AL912" s="445"/>
    </row>
    <row r="913" spans="1:38" s="467" customFormat="1" ht="12.75" customHeight="1">
      <c r="A913" s="1033"/>
      <c r="B913" s="1033"/>
      <c r="C913" s="1034" t="str">
        <f t="shared" si="213"/>
        <v/>
      </c>
      <c r="D913" s="1035"/>
      <c r="E913" s="1035"/>
      <c r="F913" s="1034" t="str">
        <f t="shared" si="214"/>
        <v/>
      </c>
      <c r="G913" s="1033"/>
      <c r="H913" s="1033"/>
      <c r="I913" s="1034" t="str">
        <f t="shared" si="215"/>
        <v/>
      </c>
      <c r="J913" s="1033"/>
      <c r="K913" s="1033"/>
      <c r="L913" s="1034" t="str">
        <f t="shared" si="216"/>
        <v/>
      </c>
      <c r="M913" s="1035"/>
      <c r="N913" s="1035"/>
      <c r="O913" s="1036" t="str">
        <f t="shared" si="217"/>
        <v/>
      </c>
      <c r="P913" s="1033"/>
      <c r="Q913" s="1033"/>
      <c r="R913" s="1034" t="str">
        <f t="shared" si="218"/>
        <v/>
      </c>
      <c r="S913" s="1035"/>
      <c r="T913" s="1035"/>
      <c r="U913" s="1034" t="str">
        <f t="shared" si="219"/>
        <v/>
      </c>
      <c r="V913" s="1035"/>
      <c r="W913" s="1035"/>
      <c r="X913" s="1037" t="str">
        <f t="shared" si="205"/>
        <v>222</v>
      </c>
      <c r="Y913" s="1035">
        <v>22</v>
      </c>
      <c r="Z913" s="1035">
        <f t="shared" si="201"/>
        <v>2</v>
      </c>
      <c r="AA913" s="1035"/>
      <c r="AB913" s="1035"/>
      <c r="AC913" s="1021">
        <v>211278</v>
      </c>
      <c r="AD913" s="1021" t="s">
        <v>10</v>
      </c>
      <c r="AE913" s="1022">
        <v>0</v>
      </c>
      <c r="AF913" s="1022"/>
      <c r="AG913" s="1022">
        <f t="shared" si="202"/>
        <v>0</v>
      </c>
      <c r="AH913" s="1022">
        <f t="shared" si="203"/>
        <v>0</v>
      </c>
      <c r="AK913" s="448"/>
      <c r="AL913" s="445"/>
    </row>
    <row r="914" spans="1:38" s="467" customFormat="1" ht="12.75" customHeight="1">
      <c r="A914" s="1033">
        <v>5214260</v>
      </c>
      <c r="B914" s="1033" t="s">
        <v>2794</v>
      </c>
      <c r="C914" s="1034" t="str">
        <f t="shared" si="213"/>
        <v/>
      </c>
      <c r="D914" s="1035"/>
      <c r="E914" s="1035"/>
      <c r="F914" s="1034" t="str">
        <f t="shared" si="214"/>
        <v/>
      </c>
      <c r="G914" s="1033"/>
      <c r="H914" s="1033"/>
      <c r="I914" s="1034" t="str">
        <f t="shared" si="215"/>
        <v/>
      </c>
      <c r="J914" s="1033"/>
      <c r="K914" s="1033"/>
      <c r="L914" s="1034" t="str">
        <f t="shared" si="216"/>
        <v/>
      </c>
      <c r="M914" s="1035"/>
      <c r="N914" s="1035"/>
      <c r="O914" s="1036" t="str">
        <f t="shared" si="217"/>
        <v/>
      </c>
      <c r="P914" s="1033"/>
      <c r="Q914" s="1033"/>
      <c r="R914" s="1034" t="str">
        <f t="shared" si="218"/>
        <v/>
      </c>
      <c r="S914" s="1035"/>
      <c r="T914" s="1035"/>
      <c r="U914" s="1034" t="str">
        <f t="shared" si="219"/>
        <v/>
      </c>
      <c r="V914" s="1035"/>
      <c r="W914" s="1035"/>
      <c r="X914" s="1037" t="str">
        <f t="shared" si="205"/>
        <v>222</v>
      </c>
      <c r="Y914" s="1035">
        <v>22</v>
      </c>
      <c r="Z914" s="1035">
        <f t="shared" si="201"/>
        <v>2</v>
      </c>
      <c r="AA914" s="1033" t="s">
        <v>2906</v>
      </c>
      <c r="AB914" s="1033" t="s">
        <v>2880</v>
      </c>
      <c r="AC914" s="1021">
        <v>211279</v>
      </c>
      <c r="AD914" s="1021" t="s">
        <v>2222</v>
      </c>
      <c r="AE914" s="1022">
        <f>VLOOKUP(AC914,[5]Hoja1!$A$10:$K$1393,11,0)</f>
        <v>-7788806</v>
      </c>
      <c r="AF914" s="1022"/>
      <c r="AG914" s="1022">
        <f t="shared" si="202"/>
        <v>-7788806</v>
      </c>
      <c r="AH914" s="1022">
        <f t="shared" si="203"/>
        <v>-7789</v>
      </c>
      <c r="AK914" s="448"/>
      <c r="AL914" s="445"/>
    </row>
    <row r="915" spans="1:38" s="467" customFormat="1" ht="12.75" customHeight="1">
      <c r="A915" s="1033"/>
      <c r="B915" s="1033"/>
      <c r="C915" s="1034" t="str">
        <f t="shared" si="213"/>
        <v/>
      </c>
      <c r="D915" s="1035"/>
      <c r="E915" s="1035"/>
      <c r="F915" s="1034" t="str">
        <f t="shared" si="214"/>
        <v/>
      </c>
      <c r="G915" s="1033"/>
      <c r="H915" s="1033"/>
      <c r="I915" s="1034" t="str">
        <f t="shared" si="215"/>
        <v/>
      </c>
      <c r="J915" s="1033"/>
      <c r="K915" s="1033"/>
      <c r="L915" s="1034" t="str">
        <f t="shared" si="216"/>
        <v/>
      </c>
      <c r="M915" s="1035"/>
      <c r="N915" s="1035"/>
      <c r="O915" s="1036" t="str">
        <f t="shared" si="217"/>
        <v/>
      </c>
      <c r="P915" s="1033"/>
      <c r="Q915" s="1033"/>
      <c r="R915" s="1034" t="str">
        <f t="shared" si="218"/>
        <v/>
      </c>
      <c r="S915" s="1035"/>
      <c r="T915" s="1035"/>
      <c r="U915" s="1034" t="str">
        <f t="shared" si="219"/>
        <v/>
      </c>
      <c r="V915" s="1035"/>
      <c r="W915" s="1035"/>
      <c r="X915" s="1037" t="str">
        <f t="shared" si="205"/>
        <v>222</v>
      </c>
      <c r="Y915" s="1035">
        <v>22</v>
      </c>
      <c r="Z915" s="1035">
        <f t="shared" si="201"/>
        <v>2</v>
      </c>
      <c r="AA915" s="1035"/>
      <c r="AB915" s="1035"/>
      <c r="AC915" s="1021">
        <v>211280</v>
      </c>
      <c r="AD915" s="1021" t="s">
        <v>11</v>
      </c>
      <c r="AE915" s="1022">
        <v>0</v>
      </c>
      <c r="AF915" s="1022"/>
      <c r="AG915" s="1022">
        <f t="shared" si="202"/>
        <v>0</v>
      </c>
      <c r="AH915" s="1022">
        <f t="shared" si="203"/>
        <v>0</v>
      </c>
      <c r="AK915" s="448"/>
      <c r="AL915" s="445"/>
    </row>
    <row r="916" spans="1:38" s="467" customFormat="1" ht="12.75" customHeight="1">
      <c r="A916" s="1033">
        <v>5214260</v>
      </c>
      <c r="B916" s="1033" t="s">
        <v>2794</v>
      </c>
      <c r="C916" s="1034" t="str">
        <f t="shared" si="213"/>
        <v/>
      </c>
      <c r="D916" s="1035"/>
      <c r="E916" s="1035"/>
      <c r="F916" s="1034" t="str">
        <f t="shared" si="214"/>
        <v/>
      </c>
      <c r="G916" s="1033"/>
      <c r="H916" s="1033"/>
      <c r="I916" s="1034" t="str">
        <f t="shared" si="215"/>
        <v/>
      </c>
      <c r="J916" s="1033"/>
      <c r="K916" s="1033"/>
      <c r="L916" s="1034" t="str">
        <f t="shared" si="216"/>
        <v/>
      </c>
      <c r="M916" s="1035"/>
      <c r="N916" s="1035"/>
      <c r="O916" s="1036" t="str">
        <f t="shared" si="217"/>
        <v/>
      </c>
      <c r="P916" s="1033"/>
      <c r="Q916" s="1033"/>
      <c r="R916" s="1034" t="str">
        <f t="shared" si="218"/>
        <v/>
      </c>
      <c r="S916" s="1035"/>
      <c r="T916" s="1035"/>
      <c r="U916" s="1034" t="str">
        <f t="shared" si="219"/>
        <v/>
      </c>
      <c r="V916" s="1035"/>
      <c r="W916" s="1035"/>
      <c r="X916" s="1037" t="str">
        <f t="shared" si="205"/>
        <v>222</v>
      </c>
      <c r="Y916" s="1035">
        <v>22</v>
      </c>
      <c r="Z916" s="1035">
        <f t="shared" si="201"/>
        <v>2</v>
      </c>
      <c r="AA916" s="1033" t="s">
        <v>2906</v>
      </c>
      <c r="AB916" s="1035"/>
      <c r="AC916" s="1021">
        <v>211281</v>
      </c>
      <c r="AD916" s="1021" t="s">
        <v>12</v>
      </c>
      <c r="AE916" s="1022">
        <f>VLOOKUP(AC916,[5]Hoja1!$A$10:$K$1393,11,0)</f>
        <v>0</v>
      </c>
      <c r="AF916" s="1022"/>
      <c r="AG916" s="1022">
        <f t="shared" si="202"/>
        <v>0</v>
      </c>
      <c r="AH916" s="1022">
        <f t="shared" si="203"/>
        <v>0</v>
      </c>
      <c r="AK916" s="448"/>
      <c r="AL916" s="445"/>
    </row>
    <row r="917" spans="1:38" s="467" customFormat="1" ht="12.75" customHeight="1">
      <c r="A917" s="1033">
        <v>5214260</v>
      </c>
      <c r="B917" s="1033" t="s">
        <v>2794</v>
      </c>
      <c r="C917" s="1034"/>
      <c r="D917" s="1035"/>
      <c r="E917" s="1035"/>
      <c r="F917" s="1034"/>
      <c r="G917" s="1033"/>
      <c r="H917" s="1033"/>
      <c r="I917" s="1034"/>
      <c r="J917" s="1033"/>
      <c r="K917" s="1033"/>
      <c r="L917" s="1034"/>
      <c r="M917" s="1035"/>
      <c r="N917" s="1035"/>
      <c r="O917" s="1036"/>
      <c r="P917" s="1033"/>
      <c r="Q917" s="1033"/>
      <c r="R917" s="1034"/>
      <c r="S917" s="1035"/>
      <c r="T917" s="1035"/>
      <c r="U917" s="1034"/>
      <c r="V917" s="1035"/>
      <c r="W917" s="1035"/>
      <c r="X917" s="1037" t="str">
        <f t="shared" si="205"/>
        <v>222</v>
      </c>
      <c r="Y917" s="1035">
        <v>22</v>
      </c>
      <c r="Z917" s="1035">
        <f t="shared" si="201"/>
        <v>2</v>
      </c>
      <c r="AA917" s="1033" t="s">
        <v>2906</v>
      </c>
      <c r="AB917" s="1033" t="s">
        <v>354</v>
      </c>
      <c r="AC917" s="1021">
        <v>211282</v>
      </c>
      <c r="AD917" s="1021" t="s">
        <v>435</v>
      </c>
      <c r="AE917" s="1022">
        <f>VLOOKUP(AC917,[5]Hoja1!$A$10:$K$1393,11,0)</f>
        <v>-23627302</v>
      </c>
      <c r="AF917" s="1022"/>
      <c r="AG917" s="1022">
        <f t="shared" si="202"/>
        <v>-23627302</v>
      </c>
      <c r="AH917" s="1022">
        <f t="shared" si="203"/>
        <v>-23627</v>
      </c>
      <c r="AK917" s="448"/>
      <c r="AL917" s="445"/>
    </row>
    <row r="918" spans="1:38" s="467" customFormat="1" ht="12.75" customHeight="1">
      <c r="A918" s="1033">
        <v>5214260</v>
      </c>
      <c r="B918" s="1033" t="s">
        <v>2794</v>
      </c>
      <c r="C918" s="1034"/>
      <c r="D918" s="1035"/>
      <c r="E918" s="1035"/>
      <c r="F918" s="1034"/>
      <c r="G918" s="1033"/>
      <c r="H918" s="1033"/>
      <c r="I918" s="1034"/>
      <c r="J918" s="1033"/>
      <c r="K918" s="1033"/>
      <c r="L918" s="1034"/>
      <c r="M918" s="1035"/>
      <c r="N918" s="1035"/>
      <c r="O918" s="1036"/>
      <c r="P918" s="1033"/>
      <c r="Q918" s="1033"/>
      <c r="R918" s="1034"/>
      <c r="S918" s="1035"/>
      <c r="T918" s="1035"/>
      <c r="U918" s="1034"/>
      <c r="V918" s="1035"/>
      <c r="W918" s="1035"/>
      <c r="X918" s="1037" t="str">
        <f t="shared" si="205"/>
        <v>222</v>
      </c>
      <c r="Y918" s="1035">
        <v>22</v>
      </c>
      <c r="Z918" s="1035">
        <f t="shared" si="201"/>
        <v>2</v>
      </c>
      <c r="AA918" s="1033" t="s">
        <v>2906</v>
      </c>
      <c r="AB918" s="1035"/>
      <c r="AC918" s="1021">
        <v>211283</v>
      </c>
      <c r="AD918" s="1021" t="s">
        <v>1543</v>
      </c>
      <c r="AE918" s="1022">
        <f>VLOOKUP(AC918,[5]Hoja1!$A$10:$K$1393,11,0)</f>
        <v>0</v>
      </c>
      <c r="AF918" s="1022"/>
      <c r="AG918" s="1022">
        <f t="shared" si="202"/>
        <v>0</v>
      </c>
      <c r="AH918" s="1022">
        <f t="shared" si="203"/>
        <v>0</v>
      </c>
      <c r="AK918" s="448"/>
      <c r="AL918" s="445"/>
    </row>
    <row r="919" spans="1:38" s="467" customFormat="1" ht="12.75" customHeight="1">
      <c r="A919" s="1033">
        <v>5214260</v>
      </c>
      <c r="B919" s="1033" t="s">
        <v>2794</v>
      </c>
      <c r="C919" s="1034"/>
      <c r="D919" s="1035"/>
      <c r="E919" s="1035"/>
      <c r="F919" s="1034"/>
      <c r="G919" s="1033"/>
      <c r="H919" s="1033"/>
      <c r="I919" s="1034"/>
      <c r="J919" s="1033"/>
      <c r="K919" s="1033"/>
      <c r="L919" s="1034"/>
      <c r="M919" s="1035"/>
      <c r="N919" s="1035"/>
      <c r="O919" s="1036"/>
      <c r="P919" s="1033"/>
      <c r="Q919" s="1033"/>
      <c r="R919" s="1034"/>
      <c r="S919" s="1035"/>
      <c r="T919" s="1035"/>
      <c r="U919" s="1034"/>
      <c r="V919" s="1035"/>
      <c r="W919" s="1035"/>
      <c r="X919" s="1037" t="str">
        <f t="shared" si="205"/>
        <v>222</v>
      </c>
      <c r="Y919" s="1035">
        <v>22</v>
      </c>
      <c r="Z919" s="1035">
        <f t="shared" ref="Z919:Z983" si="220">VALUE(LEFT(AC919,1))</f>
        <v>2</v>
      </c>
      <c r="AA919" s="1033" t="s">
        <v>2906</v>
      </c>
      <c r="AB919" s="1035"/>
      <c r="AC919" s="1021">
        <v>211284</v>
      </c>
      <c r="AD919" s="1021" t="s">
        <v>2223</v>
      </c>
      <c r="AE919" s="1022">
        <v>0</v>
      </c>
      <c r="AF919" s="1022"/>
      <c r="AG919" s="1022">
        <f t="shared" ref="AG919:AG983" si="221">AE919+AF919</f>
        <v>0</v>
      </c>
      <c r="AH919" s="1022">
        <f t="shared" ref="AH919:AH983" si="222">ROUND((AE919+AF919)/$AH$2,0)</f>
        <v>0</v>
      </c>
      <c r="AK919" s="448"/>
      <c r="AL919" s="445"/>
    </row>
    <row r="920" spans="1:38" s="467" customFormat="1" ht="12.75" customHeight="1">
      <c r="A920" s="1033">
        <v>5214260</v>
      </c>
      <c r="B920" s="1033" t="s">
        <v>2794</v>
      </c>
      <c r="C920" s="1034"/>
      <c r="D920" s="1035"/>
      <c r="E920" s="1035"/>
      <c r="F920" s="1034"/>
      <c r="G920" s="1033"/>
      <c r="H920" s="1033"/>
      <c r="I920" s="1034"/>
      <c r="J920" s="1033"/>
      <c r="K920" s="1033"/>
      <c r="L920" s="1034"/>
      <c r="M920" s="1035"/>
      <c r="N920" s="1035"/>
      <c r="O920" s="1036"/>
      <c r="P920" s="1033"/>
      <c r="Q920" s="1033"/>
      <c r="R920" s="1034"/>
      <c r="S920" s="1035"/>
      <c r="T920" s="1035"/>
      <c r="U920" s="1034"/>
      <c r="V920" s="1035"/>
      <c r="W920" s="1035"/>
      <c r="X920" s="1037" t="str">
        <f t="shared" si="205"/>
        <v>222</v>
      </c>
      <c r="Y920" s="1035">
        <v>22</v>
      </c>
      <c r="Z920" s="1035">
        <f t="shared" si="220"/>
        <v>2</v>
      </c>
      <c r="AA920" s="1033" t="s">
        <v>2906</v>
      </c>
      <c r="AB920" s="1035"/>
      <c r="AC920" s="1021">
        <v>211285</v>
      </c>
      <c r="AD920" s="1021" t="s">
        <v>1593</v>
      </c>
      <c r="AE920" s="1022">
        <f>VLOOKUP(AC920,[5]Hoja1!$A$10:$K$1393,11,0)</f>
        <v>0</v>
      </c>
      <c r="AF920" s="1022"/>
      <c r="AG920" s="1022">
        <f t="shared" si="221"/>
        <v>0</v>
      </c>
      <c r="AH920" s="1022">
        <f t="shared" si="222"/>
        <v>0</v>
      </c>
      <c r="AK920" s="448"/>
      <c r="AL920" s="445"/>
    </row>
    <row r="921" spans="1:38" s="467" customFormat="1" ht="12.75" customHeight="1">
      <c r="A921" s="1033">
        <v>5214260</v>
      </c>
      <c r="B921" s="1033" t="s">
        <v>2794</v>
      </c>
      <c r="C921" s="1034"/>
      <c r="D921" s="1035"/>
      <c r="E921" s="1035"/>
      <c r="F921" s="1034"/>
      <c r="G921" s="1033"/>
      <c r="H921" s="1033"/>
      <c r="I921" s="1034"/>
      <c r="J921" s="1033"/>
      <c r="K921" s="1033"/>
      <c r="L921" s="1034"/>
      <c r="M921" s="1035"/>
      <c r="N921" s="1035"/>
      <c r="O921" s="1036"/>
      <c r="P921" s="1033"/>
      <c r="Q921" s="1033"/>
      <c r="R921" s="1034"/>
      <c r="S921" s="1035"/>
      <c r="T921" s="1035"/>
      <c r="U921" s="1034"/>
      <c r="V921" s="1035"/>
      <c r="W921" s="1035"/>
      <c r="X921" s="1037" t="str">
        <f t="shared" si="205"/>
        <v>222</v>
      </c>
      <c r="Y921" s="1035">
        <v>22</v>
      </c>
      <c r="Z921" s="1035">
        <f t="shared" si="220"/>
        <v>2</v>
      </c>
      <c r="AA921" s="1033" t="s">
        <v>2906</v>
      </c>
      <c r="AB921" s="1033" t="s">
        <v>354</v>
      </c>
      <c r="AC921" s="1021">
        <v>211286</v>
      </c>
      <c r="AD921" s="1021" t="s">
        <v>2224</v>
      </c>
      <c r="AE921" s="1022">
        <f>VLOOKUP(AC921,[5]Hoja1!$A$10:$K$1393,11,0)</f>
        <v>-44903001</v>
      </c>
      <c r="AF921" s="1022"/>
      <c r="AG921" s="1022">
        <f t="shared" si="221"/>
        <v>-44903001</v>
      </c>
      <c r="AH921" s="1022">
        <f t="shared" si="222"/>
        <v>-44903</v>
      </c>
      <c r="AK921" s="448"/>
      <c r="AL921" s="445"/>
    </row>
    <row r="922" spans="1:38" s="467" customFormat="1" ht="12.75" customHeight="1">
      <c r="A922" s="1033">
        <v>5214260</v>
      </c>
      <c r="B922" s="1033" t="s">
        <v>2794</v>
      </c>
      <c r="C922" s="1034"/>
      <c r="D922" s="1035"/>
      <c r="E922" s="1035"/>
      <c r="F922" s="1034"/>
      <c r="G922" s="1033"/>
      <c r="H922" s="1033"/>
      <c r="I922" s="1034"/>
      <c r="J922" s="1033"/>
      <c r="K922" s="1033"/>
      <c r="L922" s="1034"/>
      <c r="M922" s="1035"/>
      <c r="N922" s="1035"/>
      <c r="O922" s="1036"/>
      <c r="P922" s="1033"/>
      <c r="Q922" s="1033"/>
      <c r="R922" s="1034"/>
      <c r="S922" s="1035"/>
      <c r="T922" s="1035"/>
      <c r="U922" s="1034"/>
      <c r="V922" s="1035"/>
      <c r="W922" s="1035"/>
      <c r="X922" s="1037" t="str">
        <f t="shared" si="205"/>
        <v>222</v>
      </c>
      <c r="Y922" s="1035">
        <v>22</v>
      </c>
      <c r="Z922" s="1035">
        <f t="shared" si="220"/>
        <v>2</v>
      </c>
      <c r="AA922" s="1033" t="s">
        <v>2906</v>
      </c>
      <c r="AB922" s="1033"/>
      <c r="AC922" s="1021">
        <v>211287</v>
      </c>
      <c r="AD922" s="1021" t="s">
        <v>2225</v>
      </c>
      <c r="AE922" s="1022">
        <f>VLOOKUP(AC922,[5]Hoja1!$A$10:$K$1393,11,0)</f>
        <v>0</v>
      </c>
      <c r="AF922" s="1022"/>
      <c r="AG922" s="1022">
        <f t="shared" si="221"/>
        <v>0</v>
      </c>
      <c r="AH922" s="1022">
        <f t="shared" si="222"/>
        <v>0</v>
      </c>
      <c r="AK922" s="448"/>
      <c r="AL922" s="445"/>
    </row>
    <row r="923" spans="1:38" s="467" customFormat="1" ht="12.75" customHeight="1">
      <c r="A923" s="1033"/>
      <c r="B923" s="1033"/>
      <c r="C923" s="1034"/>
      <c r="D923" s="1035"/>
      <c r="E923" s="1035"/>
      <c r="F923" s="1034"/>
      <c r="G923" s="1033"/>
      <c r="H923" s="1033"/>
      <c r="I923" s="1034"/>
      <c r="J923" s="1033"/>
      <c r="K923" s="1033"/>
      <c r="L923" s="1034"/>
      <c r="M923" s="1035"/>
      <c r="N923" s="1035"/>
      <c r="O923" s="1036"/>
      <c r="P923" s="1033"/>
      <c r="Q923" s="1033"/>
      <c r="R923" s="1034"/>
      <c r="S923" s="1035"/>
      <c r="T923" s="1035"/>
      <c r="U923" s="1034"/>
      <c r="V923" s="1035"/>
      <c r="W923" s="1035"/>
      <c r="X923" s="1037"/>
      <c r="Y923" s="1035"/>
      <c r="Z923" s="1035">
        <f t="shared" si="220"/>
        <v>2</v>
      </c>
      <c r="AA923" s="1035"/>
      <c r="AB923" s="1035"/>
      <c r="AC923" s="1021">
        <v>211288</v>
      </c>
      <c r="AD923" s="1021" t="s">
        <v>191</v>
      </c>
      <c r="AE923" s="1022">
        <v>0</v>
      </c>
      <c r="AF923" s="1022"/>
      <c r="AG923" s="1022">
        <f t="shared" si="221"/>
        <v>0</v>
      </c>
      <c r="AH923" s="1022">
        <f t="shared" si="222"/>
        <v>0</v>
      </c>
      <c r="AK923" s="448"/>
      <c r="AL923" s="445"/>
    </row>
    <row r="924" spans="1:38" s="467" customFormat="1" ht="12.75" customHeight="1">
      <c r="A924" s="1033"/>
      <c r="B924" s="1033"/>
      <c r="C924" s="1034"/>
      <c r="D924" s="1035"/>
      <c r="E924" s="1035"/>
      <c r="F924" s="1034"/>
      <c r="G924" s="1033"/>
      <c r="H924" s="1033"/>
      <c r="I924" s="1034"/>
      <c r="J924" s="1033"/>
      <c r="K924" s="1033"/>
      <c r="L924" s="1034"/>
      <c r="M924" s="1035"/>
      <c r="N924" s="1035"/>
      <c r="O924" s="1036"/>
      <c r="P924" s="1033"/>
      <c r="Q924" s="1033"/>
      <c r="R924" s="1034"/>
      <c r="S924" s="1035"/>
      <c r="T924" s="1035"/>
      <c r="U924" s="1034"/>
      <c r="V924" s="1035"/>
      <c r="W924" s="1035"/>
      <c r="X924" s="1037"/>
      <c r="Y924" s="1035"/>
      <c r="Z924" s="1035">
        <f t="shared" si="220"/>
        <v>2</v>
      </c>
      <c r="AA924" s="1035"/>
      <c r="AB924" s="1035"/>
      <c r="AC924" s="1021">
        <v>211289</v>
      </c>
      <c r="AD924" s="1021" t="s">
        <v>1713</v>
      </c>
      <c r="AE924" s="1022">
        <v>0</v>
      </c>
      <c r="AF924" s="1022">
        <v>0</v>
      </c>
      <c r="AG924" s="1022">
        <f t="shared" si="221"/>
        <v>0</v>
      </c>
      <c r="AH924" s="1022">
        <f t="shared" si="222"/>
        <v>0</v>
      </c>
      <c r="AK924" s="448"/>
      <c r="AL924" s="445"/>
    </row>
    <row r="925" spans="1:38" s="467" customFormat="1" ht="12.75" customHeight="1">
      <c r="A925" s="1033"/>
      <c r="B925" s="1033"/>
      <c r="C925" s="1034"/>
      <c r="D925" s="1035"/>
      <c r="E925" s="1035"/>
      <c r="F925" s="1034"/>
      <c r="G925" s="1033"/>
      <c r="H925" s="1033"/>
      <c r="I925" s="1034"/>
      <c r="J925" s="1033"/>
      <c r="K925" s="1033"/>
      <c r="L925" s="1034"/>
      <c r="M925" s="1035"/>
      <c r="N925" s="1035"/>
      <c r="O925" s="1036"/>
      <c r="P925" s="1033"/>
      <c r="Q925" s="1033"/>
      <c r="R925" s="1034"/>
      <c r="S925" s="1035"/>
      <c r="T925" s="1035"/>
      <c r="U925" s="1034"/>
      <c r="V925" s="1035"/>
      <c r="W925" s="1035"/>
      <c r="X925" s="1037"/>
      <c r="Y925" s="1035"/>
      <c r="Z925" s="1035">
        <f t="shared" si="220"/>
        <v>2</v>
      </c>
      <c r="AA925" s="1035"/>
      <c r="AB925" s="1035"/>
      <c r="AC925" s="1021">
        <v>211290</v>
      </c>
      <c r="AD925" s="1021" t="s">
        <v>2226</v>
      </c>
      <c r="AE925" s="1022">
        <v>0</v>
      </c>
      <c r="AF925" s="1022"/>
      <c r="AG925" s="1022">
        <f t="shared" si="221"/>
        <v>0</v>
      </c>
      <c r="AH925" s="1022">
        <f t="shared" si="222"/>
        <v>0</v>
      </c>
      <c r="AK925" s="448"/>
      <c r="AL925" s="445"/>
    </row>
    <row r="926" spans="1:38" s="467" customFormat="1" ht="12.75" customHeight="1">
      <c r="A926" s="1033"/>
      <c r="B926" s="1033"/>
      <c r="C926" s="1034"/>
      <c r="D926" s="1035"/>
      <c r="E926" s="1035"/>
      <c r="F926" s="1034"/>
      <c r="G926" s="1033"/>
      <c r="H926" s="1033"/>
      <c r="I926" s="1034"/>
      <c r="J926" s="1033"/>
      <c r="K926" s="1033"/>
      <c r="L926" s="1034"/>
      <c r="M926" s="1035"/>
      <c r="N926" s="1035"/>
      <c r="O926" s="1036"/>
      <c r="P926" s="1033"/>
      <c r="Q926" s="1033"/>
      <c r="R926" s="1034"/>
      <c r="S926" s="1035"/>
      <c r="T926" s="1035"/>
      <c r="U926" s="1034"/>
      <c r="V926" s="1035"/>
      <c r="W926" s="1035"/>
      <c r="X926" s="1037"/>
      <c r="Y926" s="1035"/>
      <c r="Z926" s="1035">
        <f t="shared" si="220"/>
        <v>2</v>
      </c>
      <c r="AA926" s="1035"/>
      <c r="AB926" s="1035"/>
      <c r="AC926" s="1021">
        <v>211291</v>
      </c>
      <c r="AD926" s="1021" t="s">
        <v>1714</v>
      </c>
      <c r="AE926" s="1022">
        <v>0</v>
      </c>
      <c r="AF926" s="1022"/>
      <c r="AG926" s="1022">
        <f t="shared" si="221"/>
        <v>0</v>
      </c>
      <c r="AH926" s="1022">
        <f t="shared" si="222"/>
        <v>0</v>
      </c>
      <c r="AK926" s="448"/>
      <c r="AL926" s="445"/>
    </row>
    <row r="927" spans="1:38" s="467" customFormat="1" ht="12.75" customHeight="1">
      <c r="A927" s="1033"/>
      <c r="B927" s="1033"/>
      <c r="C927" s="1034"/>
      <c r="D927" s="1035"/>
      <c r="E927" s="1035"/>
      <c r="F927" s="1034"/>
      <c r="G927" s="1033"/>
      <c r="H927" s="1033"/>
      <c r="I927" s="1034"/>
      <c r="J927" s="1033"/>
      <c r="K927" s="1033"/>
      <c r="L927" s="1034"/>
      <c r="M927" s="1035"/>
      <c r="N927" s="1035"/>
      <c r="O927" s="1036"/>
      <c r="P927" s="1033"/>
      <c r="Q927" s="1033"/>
      <c r="R927" s="1034"/>
      <c r="S927" s="1035"/>
      <c r="T927" s="1035"/>
      <c r="U927" s="1034"/>
      <c r="V927" s="1035"/>
      <c r="W927" s="1035"/>
      <c r="X927" s="1037"/>
      <c r="Y927" s="1035"/>
      <c r="Z927" s="1035">
        <f t="shared" si="220"/>
        <v>2</v>
      </c>
      <c r="AA927" s="1035"/>
      <c r="AB927" s="1035"/>
      <c r="AC927" s="1021">
        <v>211292</v>
      </c>
      <c r="AD927" s="1021" t="s">
        <v>1715</v>
      </c>
      <c r="AE927" s="1022">
        <v>0</v>
      </c>
      <c r="AF927" s="1022"/>
      <c r="AG927" s="1022">
        <f t="shared" si="221"/>
        <v>0</v>
      </c>
      <c r="AH927" s="1022">
        <f t="shared" si="222"/>
        <v>0</v>
      </c>
      <c r="AK927" s="448"/>
      <c r="AL927" s="445"/>
    </row>
    <row r="928" spans="1:38" s="467" customFormat="1" ht="12.75" customHeight="1">
      <c r="A928" s="1033"/>
      <c r="B928" s="1033"/>
      <c r="C928" s="1034" t="str">
        <f>+D928&amp;E928</f>
        <v/>
      </c>
      <c r="D928" s="1035"/>
      <c r="E928" s="1035"/>
      <c r="F928" s="1034" t="str">
        <f>+G928&amp;H928</f>
        <v/>
      </c>
      <c r="G928" s="1033"/>
      <c r="H928" s="1033"/>
      <c r="I928" s="1034" t="str">
        <f>+J928&amp;K928</f>
        <v/>
      </c>
      <c r="J928" s="1033"/>
      <c r="K928" s="1033"/>
      <c r="L928" s="1034" t="str">
        <f>+M928&amp;N928</f>
        <v/>
      </c>
      <c r="M928" s="1035"/>
      <c r="N928" s="1035"/>
      <c r="O928" s="1036" t="str">
        <f>+P928&amp;Q928</f>
        <v/>
      </c>
      <c r="P928" s="1033"/>
      <c r="Q928" s="1033"/>
      <c r="R928" s="1034" t="str">
        <f>+S928&amp;T928</f>
        <v/>
      </c>
      <c r="S928" s="1035"/>
      <c r="T928" s="1035"/>
      <c r="U928" s="1034" t="str">
        <f>+V928&amp;W928</f>
        <v/>
      </c>
      <c r="V928" s="1035"/>
      <c r="W928" s="1035"/>
      <c r="X928" s="1037" t="str">
        <f t="shared" ref="X928:X944" si="223">+Y928&amp;Z928</f>
        <v>222</v>
      </c>
      <c r="Y928" s="1035">
        <v>22</v>
      </c>
      <c r="Z928" s="1035">
        <f t="shared" si="220"/>
        <v>2</v>
      </c>
      <c r="AA928" s="1035"/>
      <c r="AB928" s="1035"/>
      <c r="AC928" s="1021">
        <v>211293</v>
      </c>
      <c r="AD928" s="1021" t="s">
        <v>1716</v>
      </c>
      <c r="AE928" s="1022">
        <v>0</v>
      </c>
      <c r="AF928" s="1022"/>
      <c r="AG928" s="1022">
        <f t="shared" si="221"/>
        <v>0</v>
      </c>
      <c r="AH928" s="1022">
        <f t="shared" si="222"/>
        <v>0</v>
      </c>
      <c r="AK928" s="448"/>
      <c r="AL928" s="445"/>
    </row>
    <row r="929" spans="1:38" s="467" customFormat="1" ht="12.75" customHeight="1">
      <c r="A929" s="1033"/>
      <c r="B929" s="1033"/>
      <c r="C929" s="1034"/>
      <c r="D929" s="1035"/>
      <c r="E929" s="1035"/>
      <c r="F929" s="1034"/>
      <c r="G929" s="1033"/>
      <c r="H929" s="1033"/>
      <c r="I929" s="1034"/>
      <c r="J929" s="1033"/>
      <c r="K929" s="1033"/>
      <c r="L929" s="1034"/>
      <c r="M929" s="1035"/>
      <c r="N929" s="1035"/>
      <c r="O929" s="1036"/>
      <c r="P929" s="1033"/>
      <c r="Q929" s="1033"/>
      <c r="R929" s="1034"/>
      <c r="S929" s="1035"/>
      <c r="T929" s="1035"/>
      <c r="U929" s="1034"/>
      <c r="V929" s="1035"/>
      <c r="W929" s="1035"/>
      <c r="X929" s="1037" t="str">
        <f t="shared" si="223"/>
        <v>222</v>
      </c>
      <c r="Y929" s="1035">
        <v>22</v>
      </c>
      <c r="Z929" s="1035">
        <f t="shared" si="220"/>
        <v>2</v>
      </c>
      <c r="AA929" s="1035"/>
      <c r="AB929" s="1035"/>
      <c r="AC929" s="1021">
        <v>211294</v>
      </c>
      <c r="AD929" s="1021" t="s">
        <v>1717</v>
      </c>
      <c r="AE929" s="1022">
        <v>0</v>
      </c>
      <c r="AF929" s="1022"/>
      <c r="AG929" s="1022">
        <f t="shared" si="221"/>
        <v>0</v>
      </c>
      <c r="AH929" s="1022">
        <f t="shared" si="222"/>
        <v>0</v>
      </c>
      <c r="AK929" s="448"/>
      <c r="AL929" s="445"/>
    </row>
    <row r="930" spans="1:38" s="467" customFormat="1" ht="12.75" customHeight="1">
      <c r="A930" s="1033"/>
      <c r="B930" s="1033"/>
      <c r="C930" s="1034"/>
      <c r="D930" s="1035"/>
      <c r="E930" s="1035"/>
      <c r="F930" s="1034"/>
      <c r="G930" s="1033"/>
      <c r="H930" s="1033"/>
      <c r="I930" s="1034"/>
      <c r="J930" s="1033"/>
      <c r="K930" s="1033"/>
      <c r="L930" s="1034"/>
      <c r="M930" s="1035"/>
      <c r="N930" s="1035"/>
      <c r="O930" s="1036"/>
      <c r="P930" s="1033"/>
      <c r="Q930" s="1033"/>
      <c r="R930" s="1034"/>
      <c r="S930" s="1035"/>
      <c r="T930" s="1035"/>
      <c r="U930" s="1034"/>
      <c r="V930" s="1035"/>
      <c r="W930" s="1035"/>
      <c r="X930" s="1037" t="str">
        <f t="shared" si="223"/>
        <v>222</v>
      </c>
      <c r="Y930" s="1035">
        <v>22</v>
      </c>
      <c r="Z930" s="1035">
        <f t="shared" si="220"/>
        <v>2</v>
      </c>
      <c r="AA930" s="1035"/>
      <c r="AB930" s="1035"/>
      <c r="AC930" s="1021">
        <v>211295</v>
      </c>
      <c r="AD930" s="1021" t="s">
        <v>40</v>
      </c>
      <c r="AE930" s="1022">
        <v>0</v>
      </c>
      <c r="AF930" s="1022"/>
      <c r="AG930" s="1022">
        <f t="shared" si="221"/>
        <v>0</v>
      </c>
      <c r="AH930" s="1022">
        <f t="shared" si="222"/>
        <v>0</v>
      </c>
      <c r="AK930" s="448"/>
      <c r="AL930" s="445"/>
    </row>
    <row r="931" spans="1:38" s="467" customFormat="1" ht="12.75" customHeight="1">
      <c r="A931" s="1033"/>
      <c r="B931" s="1033"/>
      <c r="C931" s="1034"/>
      <c r="D931" s="1035"/>
      <c r="E931" s="1035"/>
      <c r="F931" s="1034"/>
      <c r="G931" s="1033"/>
      <c r="H931" s="1033"/>
      <c r="I931" s="1034"/>
      <c r="J931" s="1033"/>
      <c r="K931" s="1033"/>
      <c r="L931" s="1034"/>
      <c r="M931" s="1035"/>
      <c r="N931" s="1035"/>
      <c r="O931" s="1036"/>
      <c r="P931" s="1033"/>
      <c r="Q931" s="1033"/>
      <c r="R931" s="1034"/>
      <c r="S931" s="1035"/>
      <c r="T931" s="1035"/>
      <c r="U931" s="1034"/>
      <c r="V931" s="1035"/>
      <c r="W931" s="1035"/>
      <c r="X931" s="1037" t="str">
        <f t="shared" si="223"/>
        <v>222</v>
      </c>
      <c r="Y931" s="1035">
        <v>22</v>
      </c>
      <c r="Z931" s="1035">
        <f t="shared" si="220"/>
        <v>2</v>
      </c>
      <c r="AA931" s="1035"/>
      <c r="AB931" s="1035"/>
      <c r="AC931" s="1021">
        <v>211296</v>
      </c>
      <c r="AD931" s="1021" t="s">
        <v>41</v>
      </c>
      <c r="AE931" s="1022">
        <v>0</v>
      </c>
      <c r="AF931" s="1022"/>
      <c r="AG931" s="1022">
        <f t="shared" si="221"/>
        <v>0</v>
      </c>
      <c r="AH931" s="1022">
        <f t="shared" si="222"/>
        <v>0</v>
      </c>
      <c r="AK931" s="448"/>
      <c r="AL931" s="445"/>
    </row>
    <row r="932" spans="1:38" s="467" customFormat="1" ht="12.75" customHeight="1">
      <c r="A932" s="1033"/>
      <c r="B932" s="1033"/>
      <c r="C932" s="1034"/>
      <c r="D932" s="1035"/>
      <c r="E932" s="1035"/>
      <c r="F932" s="1034"/>
      <c r="G932" s="1033"/>
      <c r="H932" s="1033"/>
      <c r="I932" s="1034"/>
      <c r="J932" s="1033"/>
      <c r="K932" s="1033"/>
      <c r="L932" s="1034"/>
      <c r="M932" s="1035"/>
      <c r="N932" s="1035"/>
      <c r="O932" s="1036"/>
      <c r="P932" s="1033"/>
      <c r="Q932" s="1033"/>
      <c r="R932" s="1034"/>
      <c r="S932" s="1035"/>
      <c r="T932" s="1035"/>
      <c r="U932" s="1034"/>
      <c r="V932" s="1035"/>
      <c r="W932" s="1035"/>
      <c r="X932" s="1037" t="str">
        <f t="shared" si="223"/>
        <v>222</v>
      </c>
      <c r="Y932" s="1035">
        <v>22</v>
      </c>
      <c r="Z932" s="1035">
        <f t="shared" si="220"/>
        <v>2</v>
      </c>
      <c r="AA932" s="1035"/>
      <c r="AB932" s="1035"/>
      <c r="AC932" s="1021">
        <v>211297</v>
      </c>
      <c r="AD932" s="1021" t="s">
        <v>2227</v>
      </c>
      <c r="AE932" s="1022">
        <v>0</v>
      </c>
      <c r="AF932" s="1022"/>
      <c r="AG932" s="1022">
        <f t="shared" si="221"/>
        <v>0</v>
      </c>
      <c r="AH932" s="1022">
        <f t="shared" si="222"/>
        <v>0</v>
      </c>
      <c r="AK932" s="448"/>
      <c r="AL932" s="445"/>
    </row>
    <row r="933" spans="1:38" s="467" customFormat="1" ht="12.75" customHeight="1">
      <c r="A933" s="1033"/>
      <c r="B933" s="1033"/>
      <c r="C933" s="1034"/>
      <c r="D933" s="1035"/>
      <c r="E933" s="1035"/>
      <c r="F933" s="1034"/>
      <c r="G933" s="1033"/>
      <c r="H933" s="1033"/>
      <c r="I933" s="1034"/>
      <c r="J933" s="1033"/>
      <c r="K933" s="1033"/>
      <c r="L933" s="1034"/>
      <c r="M933" s="1035"/>
      <c r="N933" s="1035"/>
      <c r="O933" s="1036"/>
      <c r="P933" s="1033"/>
      <c r="Q933" s="1033"/>
      <c r="R933" s="1034"/>
      <c r="S933" s="1035"/>
      <c r="T933" s="1035"/>
      <c r="U933" s="1034"/>
      <c r="V933" s="1035"/>
      <c r="W933" s="1035"/>
      <c r="X933" s="1037" t="str">
        <f t="shared" si="223"/>
        <v>222</v>
      </c>
      <c r="Y933" s="1035">
        <v>22</v>
      </c>
      <c r="Z933" s="1035">
        <f t="shared" si="220"/>
        <v>2</v>
      </c>
      <c r="AA933" s="1035"/>
      <c r="AB933" s="1035"/>
      <c r="AC933" s="1021">
        <v>211298</v>
      </c>
      <c r="AD933" s="1021" t="s">
        <v>42</v>
      </c>
      <c r="AE933" s="1022">
        <v>0</v>
      </c>
      <c r="AF933" s="1022"/>
      <c r="AG933" s="1022">
        <f t="shared" si="221"/>
        <v>0</v>
      </c>
      <c r="AH933" s="1022">
        <f t="shared" si="222"/>
        <v>0</v>
      </c>
      <c r="AK933" s="448"/>
      <c r="AL933" s="445"/>
    </row>
    <row r="934" spans="1:38" s="467" customFormat="1" ht="12.75" customHeight="1">
      <c r="A934" s="1033">
        <v>5214230</v>
      </c>
      <c r="B934" s="1033" t="s">
        <v>337</v>
      </c>
      <c r="C934" s="1034"/>
      <c r="D934" s="1035"/>
      <c r="E934" s="1035"/>
      <c r="F934" s="1034"/>
      <c r="G934" s="1033"/>
      <c r="H934" s="1033"/>
      <c r="I934" s="1034"/>
      <c r="J934" s="1033"/>
      <c r="K934" s="1033"/>
      <c r="L934" s="1034"/>
      <c r="M934" s="1035"/>
      <c r="N934" s="1035"/>
      <c r="O934" s="1036"/>
      <c r="P934" s="1033"/>
      <c r="Q934" s="1033"/>
      <c r="R934" s="1034"/>
      <c r="S934" s="1035"/>
      <c r="T934" s="1035"/>
      <c r="U934" s="1034"/>
      <c r="V934" s="1035"/>
      <c r="W934" s="1035"/>
      <c r="X934" s="1037" t="str">
        <f t="shared" si="223"/>
        <v>222</v>
      </c>
      <c r="Y934" s="1035">
        <v>22</v>
      </c>
      <c r="Z934" s="1035">
        <f t="shared" si="220"/>
        <v>2</v>
      </c>
      <c r="AA934" s="1035"/>
      <c r="AB934" s="1035"/>
      <c r="AC934" s="1021">
        <v>211299</v>
      </c>
      <c r="AD934" s="1021" t="s">
        <v>1651</v>
      </c>
      <c r="AE934" s="1022">
        <f>VLOOKUP(AC934,[5]Hoja1!$A$10:$K$1393,11,0)</f>
        <v>-24311803</v>
      </c>
      <c r="AF934" s="1022"/>
      <c r="AG934" s="1022">
        <f t="shared" si="221"/>
        <v>-24311803</v>
      </c>
      <c r="AH934" s="1022">
        <f t="shared" si="222"/>
        <v>-24312</v>
      </c>
      <c r="AK934" s="448"/>
      <c r="AL934" s="445"/>
    </row>
    <row r="935" spans="1:38" s="467" customFormat="1" ht="12.75" customHeight="1">
      <c r="A935" s="1033">
        <v>5214230</v>
      </c>
      <c r="B935" s="1033" t="s">
        <v>337</v>
      </c>
      <c r="C935" s="1034"/>
      <c r="D935" s="1035"/>
      <c r="E935" s="1035"/>
      <c r="F935" s="1034"/>
      <c r="G935" s="1033"/>
      <c r="H935" s="1033"/>
      <c r="I935" s="1034"/>
      <c r="J935" s="1033"/>
      <c r="K935" s="1033"/>
      <c r="L935" s="1034"/>
      <c r="M935" s="1035"/>
      <c r="N935" s="1035"/>
      <c r="O935" s="1036"/>
      <c r="P935" s="1033"/>
      <c r="Q935" s="1033"/>
      <c r="R935" s="1034"/>
      <c r="S935" s="1035"/>
      <c r="T935" s="1035"/>
      <c r="U935" s="1034"/>
      <c r="V935" s="1035"/>
      <c r="W935" s="1035"/>
      <c r="X935" s="1037" t="str">
        <f t="shared" si="223"/>
        <v>222</v>
      </c>
      <c r="Y935" s="1035">
        <v>22</v>
      </c>
      <c r="Z935" s="1035">
        <f t="shared" si="220"/>
        <v>2</v>
      </c>
      <c r="AA935" s="1035"/>
      <c r="AB935" s="1035"/>
      <c r="AC935" s="1021">
        <v>211300</v>
      </c>
      <c r="AD935" s="1021" t="s">
        <v>43</v>
      </c>
      <c r="AE935" s="1022">
        <f>VLOOKUP(AC935,[5]Hoja1!$A$10:$K$1393,11,0)</f>
        <v>0</v>
      </c>
      <c r="AF935" s="1022"/>
      <c r="AG935" s="1022">
        <f t="shared" si="221"/>
        <v>0</v>
      </c>
      <c r="AH935" s="1022">
        <f t="shared" si="222"/>
        <v>0</v>
      </c>
      <c r="AK935" s="448"/>
      <c r="AL935" s="445"/>
    </row>
    <row r="936" spans="1:38" s="467" customFormat="1" ht="12.75" customHeight="1">
      <c r="A936" s="1033"/>
      <c r="B936" s="1033"/>
      <c r="C936" s="1034"/>
      <c r="D936" s="1035"/>
      <c r="E936" s="1035"/>
      <c r="F936" s="1034"/>
      <c r="G936" s="1033"/>
      <c r="H936" s="1033"/>
      <c r="I936" s="1034"/>
      <c r="J936" s="1033"/>
      <c r="K936" s="1033"/>
      <c r="L936" s="1034"/>
      <c r="M936" s="1035"/>
      <c r="N936" s="1035"/>
      <c r="O936" s="1036"/>
      <c r="P936" s="1033"/>
      <c r="Q936" s="1033"/>
      <c r="R936" s="1034"/>
      <c r="S936" s="1035"/>
      <c r="T936" s="1035"/>
      <c r="U936" s="1034"/>
      <c r="V936" s="1035"/>
      <c r="W936" s="1035"/>
      <c r="X936" s="1037" t="str">
        <f t="shared" si="223"/>
        <v>222</v>
      </c>
      <c r="Y936" s="1035">
        <v>22</v>
      </c>
      <c r="Z936" s="1035">
        <f t="shared" si="220"/>
        <v>2</v>
      </c>
      <c r="AA936" s="1035"/>
      <c r="AB936" s="1035"/>
      <c r="AC936" s="1021">
        <v>211301</v>
      </c>
      <c r="AD936" s="1021" t="s">
        <v>1860</v>
      </c>
      <c r="AE936" s="1022">
        <f>VLOOKUP(AC936,[5]Hoja1!$A$10:$K$1393,11,0)</f>
        <v>0</v>
      </c>
      <c r="AF936" s="1022"/>
      <c r="AG936" s="1022">
        <f t="shared" si="221"/>
        <v>0</v>
      </c>
      <c r="AH936" s="1022">
        <f t="shared" si="222"/>
        <v>0</v>
      </c>
      <c r="AK936" s="448"/>
      <c r="AL936" s="445"/>
    </row>
    <row r="937" spans="1:38" s="467" customFormat="1" ht="12.75" customHeight="1">
      <c r="A937" s="1033"/>
      <c r="B937" s="1033"/>
      <c r="C937" s="1034"/>
      <c r="D937" s="1035"/>
      <c r="E937" s="1035"/>
      <c r="F937" s="1034"/>
      <c r="G937" s="1033"/>
      <c r="H937" s="1033"/>
      <c r="I937" s="1034"/>
      <c r="J937" s="1033"/>
      <c r="K937" s="1033"/>
      <c r="L937" s="1034"/>
      <c r="M937" s="1035"/>
      <c r="N937" s="1035"/>
      <c r="O937" s="1036"/>
      <c r="P937" s="1033"/>
      <c r="Q937" s="1033"/>
      <c r="R937" s="1034"/>
      <c r="S937" s="1035"/>
      <c r="T937" s="1035"/>
      <c r="U937" s="1034"/>
      <c r="V937" s="1035"/>
      <c r="W937" s="1035"/>
      <c r="X937" s="1037" t="str">
        <f t="shared" si="223"/>
        <v>222</v>
      </c>
      <c r="Y937" s="1035">
        <v>22</v>
      </c>
      <c r="Z937" s="1035">
        <f t="shared" si="220"/>
        <v>2</v>
      </c>
      <c r="AA937" s="1035"/>
      <c r="AB937" s="1035"/>
      <c r="AC937" s="1021">
        <v>211302</v>
      </c>
      <c r="AD937" s="1021" t="s">
        <v>2228</v>
      </c>
      <c r="AE937" s="1022">
        <v>0</v>
      </c>
      <c r="AF937" s="1022"/>
      <c r="AG937" s="1022">
        <f t="shared" si="221"/>
        <v>0</v>
      </c>
      <c r="AH937" s="1022">
        <f t="shared" si="222"/>
        <v>0</v>
      </c>
      <c r="AK937" s="448"/>
      <c r="AL937" s="445"/>
    </row>
    <row r="938" spans="1:38" s="467" customFormat="1" ht="12.75" customHeight="1">
      <c r="A938" s="1033"/>
      <c r="B938" s="1033"/>
      <c r="C938" s="1034"/>
      <c r="D938" s="1035"/>
      <c r="E938" s="1035"/>
      <c r="F938" s="1034"/>
      <c r="G938" s="1033"/>
      <c r="H938" s="1033"/>
      <c r="I938" s="1034"/>
      <c r="J938" s="1033"/>
      <c r="K938" s="1033"/>
      <c r="L938" s="1034"/>
      <c r="M938" s="1035"/>
      <c r="N938" s="1035"/>
      <c r="O938" s="1036"/>
      <c r="P938" s="1033"/>
      <c r="Q938" s="1033"/>
      <c r="R938" s="1034"/>
      <c r="S938" s="1035"/>
      <c r="T938" s="1035"/>
      <c r="U938" s="1034"/>
      <c r="V938" s="1035"/>
      <c r="W938" s="1035"/>
      <c r="X938" s="1037" t="str">
        <f t="shared" si="223"/>
        <v>222</v>
      </c>
      <c r="Y938" s="1035">
        <v>22</v>
      </c>
      <c r="Z938" s="1035">
        <f t="shared" si="220"/>
        <v>2</v>
      </c>
      <c r="AA938" s="1035"/>
      <c r="AB938" s="1035"/>
      <c r="AC938" s="1021">
        <v>211303</v>
      </c>
      <c r="AD938" s="1021" t="s">
        <v>2229</v>
      </c>
      <c r="AE938" s="1022">
        <v>0</v>
      </c>
      <c r="AF938" s="1022"/>
      <c r="AG938" s="1022">
        <f t="shared" si="221"/>
        <v>0</v>
      </c>
      <c r="AH938" s="1022">
        <f t="shared" si="222"/>
        <v>0</v>
      </c>
      <c r="AK938" s="448"/>
      <c r="AL938" s="445"/>
    </row>
    <row r="939" spans="1:38" s="467" customFormat="1" ht="12.75" customHeight="1">
      <c r="A939" s="1033"/>
      <c r="B939" s="1033"/>
      <c r="C939" s="1034"/>
      <c r="D939" s="1035"/>
      <c r="E939" s="1035"/>
      <c r="F939" s="1034"/>
      <c r="G939" s="1033"/>
      <c r="H939" s="1033"/>
      <c r="I939" s="1034"/>
      <c r="J939" s="1033"/>
      <c r="K939" s="1033"/>
      <c r="L939" s="1034"/>
      <c r="M939" s="1035"/>
      <c r="N939" s="1035"/>
      <c r="O939" s="1036"/>
      <c r="P939" s="1033"/>
      <c r="Q939" s="1033"/>
      <c r="R939" s="1034"/>
      <c r="S939" s="1035"/>
      <c r="T939" s="1035"/>
      <c r="U939" s="1034"/>
      <c r="V939" s="1035"/>
      <c r="W939" s="1035"/>
      <c r="X939" s="1037" t="str">
        <f t="shared" si="223"/>
        <v>222</v>
      </c>
      <c r="Y939" s="1035">
        <v>22</v>
      </c>
      <c r="Z939" s="1035">
        <f t="shared" si="220"/>
        <v>2</v>
      </c>
      <c r="AA939" s="1035"/>
      <c r="AB939" s="1035"/>
      <c r="AC939" s="1021">
        <v>211304</v>
      </c>
      <c r="AD939" s="1021" t="s">
        <v>1861</v>
      </c>
      <c r="AE939" s="1022">
        <v>0</v>
      </c>
      <c r="AF939" s="1022"/>
      <c r="AG939" s="1022">
        <f t="shared" si="221"/>
        <v>0</v>
      </c>
      <c r="AH939" s="1022">
        <f t="shared" si="222"/>
        <v>0</v>
      </c>
      <c r="AK939" s="448"/>
      <c r="AL939" s="445"/>
    </row>
    <row r="940" spans="1:38" s="467" customFormat="1" ht="12.75" customHeight="1">
      <c r="A940" s="1033"/>
      <c r="B940" s="1033"/>
      <c r="C940" s="1034"/>
      <c r="D940" s="1035"/>
      <c r="E940" s="1035"/>
      <c r="F940" s="1034"/>
      <c r="G940" s="1033"/>
      <c r="H940" s="1033"/>
      <c r="I940" s="1034"/>
      <c r="J940" s="1033"/>
      <c r="K940" s="1033"/>
      <c r="L940" s="1034"/>
      <c r="M940" s="1035"/>
      <c r="N940" s="1035"/>
      <c r="O940" s="1036"/>
      <c r="P940" s="1033"/>
      <c r="Q940" s="1033"/>
      <c r="R940" s="1034"/>
      <c r="S940" s="1035"/>
      <c r="T940" s="1035"/>
      <c r="U940" s="1034"/>
      <c r="V940" s="1035"/>
      <c r="W940" s="1035"/>
      <c r="X940" s="1037" t="str">
        <f t="shared" si="223"/>
        <v>222</v>
      </c>
      <c r="Y940" s="1035">
        <v>22</v>
      </c>
      <c r="Z940" s="1035">
        <f t="shared" si="220"/>
        <v>2</v>
      </c>
      <c r="AA940" s="1035"/>
      <c r="AB940" s="1035"/>
      <c r="AC940" s="1021">
        <v>211305</v>
      </c>
      <c r="AD940" s="1021" t="s">
        <v>1249</v>
      </c>
      <c r="AE940" s="1022">
        <v>0</v>
      </c>
      <c r="AF940" s="1022"/>
      <c r="AG940" s="1022">
        <f t="shared" si="221"/>
        <v>0</v>
      </c>
      <c r="AH940" s="1022">
        <f t="shared" si="222"/>
        <v>0</v>
      </c>
      <c r="AK940" s="448"/>
      <c r="AL940" s="445"/>
    </row>
    <row r="941" spans="1:38" s="467" customFormat="1" ht="12.75" customHeight="1">
      <c r="A941" s="1033"/>
      <c r="B941" s="1033"/>
      <c r="C941" s="1034"/>
      <c r="D941" s="1035"/>
      <c r="E941" s="1035"/>
      <c r="F941" s="1034"/>
      <c r="G941" s="1033"/>
      <c r="H941" s="1033"/>
      <c r="I941" s="1034"/>
      <c r="J941" s="1033"/>
      <c r="K941" s="1033"/>
      <c r="L941" s="1034"/>
      <c r="M941" s="1035"/>
      <c r="N941" s="1035"/>
      <c r="O941" s="1036"/>
      <c r="P941" s="1033"/>
      <c r="Q941" s="1033"/>
      <c r="R941" s="1034"/>
      <c r="S941" s="1035"/>
      <c r="T941" s="1035"/>
      <c r="U941" s="1034"/>
      <c r="V941" s="1035"/>
      <c r="W941" s="1035"/>
      <c r="X941" s="1037" t="str">
        <f t="shared" si="223"/>
        <v>222</v>
      </c>
      <c r="Y941" s="1035">
        <v>22</v>
      </c>
      <c r="Z941" s="1035">
        <f t="shared" si="220"/>
        <v>2</v>
      </c>
      <c r="AA941" s="1035"/>
      <c r="AB941" s="1035"/>
      <c r="AC941" s="1021">
        <v>211306</v>
      </c>
      <c r="AD941" s="1021" t="s">
        <v>752</v>
      </c>
      <c r="AE941" s="1022">
        <v>0</v>
      </c>
      <c r="AF941" s="1022"/>
      <c r="AG941" s="1022">
        <f t="shared" si="221"/>
        <v>0</v>
      </c>
      <c r="AH941" s="1022">
        <f t="shared" si="222"/>
        <v>0</v>
      </c>
      <c r="AK941" s="448"/>
      <c r="AL941" s="445"/>
    </row>
    <row r="942" spans="1:38" s="467" customFormat="1" ht="12.75" customHeight="1">
      <c r="A942" s="1033"/>
      <c r="B942" s="1033"/>
      <c r="C942" s="1034"/>
      <c r="D942" s="1035"/>
      <c r="E942" s="1035"/>
      <c r="F942" s="1034"/>
      <c r="G942" s="1033"/>
      <c r="H942" s="1033"/>
      <c r="I942" s="1034"/>
      <c r="J942" s="1033"/>
      <c r="K942" s="1033"/>
      <c r="L942" s="1034"/>
      <c r="M942" s="1035"/>
      <c r="N942" s="1035"/>
      <c r="O942" s="1036"/>
      <c r="P942" s="1033"/>
      <c r="Q942" s="1033"/>
      <c r="R942" s="1034"/>
      <c r="S942" s="1035"/>
      <c r="T942" s="1035"/>
      <c r="U942" s="1034"/>
      <c r="V942" s="1035"/>
      <c r="W942" s="1035"/>
      <c r="X942" s="1037" t="str">
        <f t="shared" si="223"/>
        <v>222</v>
      </c>
      <c r="Y942" s="1035">
        <v>22</v>
      </c>
      <c r="Z942" s="1035">
        <f t="shared" si="220"/>
        <v>2</v>
      </c>
      <c r="AA942" s="1035"/>
      <c r="AB942" s="1035"/>
      <c r="AC942" s="1021">
        <v>211307</v>
      </c>
      <c r="AD942" s="1021" t="s">
        <v>753</v>
      </c>
      <c r="AE942" s="1022">
        <v>0</v>
      </c>
      <c r="AF942" s="1022"/>
      <c r="AG942" s="1022">
        <f t="shared" si="221"/>
        <v>0</v>
      </c>
      <c r="AH942" s="1022">
        <f t="shared" si="222"/>
        <v>0</v>
      </c>
      <c r="AK942" s="448"/>
      <c r="AL942" s="445"/>
    </row>
    <row r="943" spans="1:38" s="467" customFormat="1" ht="12.75" customHeight="1">
      <c r="A943" s="1033"/>
      <c r="B943" s="1033"/>
      <c r="C943" s="1034"/>
      <c r="D943" s="1035"/>
      <c r="E943" s="1035"/>
      <c r="F943" s="1034"/>
      <c r="G943" s="1033"/>
      <c r="H943" s="1033"/>
      <c r="I943" s="1034"/>
      <c r="J943" s="1033"/>
      <c r="K943" s="1033"/>
      <c r="L943" s="1034"/>
      <c r="M943" s="1035"/>
      <c r="N943" s="1035"/>
      <c r="O943" s="1036"/>
      <c r="P943" s="1033"/>
      <c r="Q943" s="1033"/>
      <c r="R943" s="1034"/>
      <c r="S943" s="1035"/>
      <c r="T943" s="1035"/>
      <c r="U943" s="1034"/>
      <c r="V943" s="1035"/>
      <c r="W943" s="1035"/>
      <c r="X943" s="1037" t="str">
        <f t="shared" si="223"/>
        <v>222</v>
      </c>
      <c r="Y943" s="1035">
        <v>22</v>
      </c>
      <c r="Z943" s="1035">
        <f t="shared" si="220"/>
        <v>2</v>
      </c>
      <c r="AA943" s="1035"/>
      <c r="AB943" s="1035"/>
      <c r="AC943" s="1021">
        <v>211308</v>
      </c>
      <c r="AD943" s="1021" t="s">
        <v>1722</v>
      </c>
      <c r="AE943" s="1022">
        <v>0</v>
      </c>
      <c r="AF943" s="1022"/>
      <c r="AG943" s="1022">
        <f t="shared" si="221"/>
        <v>0</v>
      </c>
      <c r="AH943" s="1022">
        <f t="shared" si="222"/>
        <v>0</v>
      </c>
      <c r="AK943" s="448"/>
      <c r="AL943" s="445"/>
    </row>
    <row r="944" spans="1:38" s="467" customFormat="1" ht="12.75" customHeight="1">
      <c r="A944" s="1033"/>
      <c r="B944" s="1033"/>
      <c r="C944" s="1034"/>
      <c r="D944" s="1035"/>
      <c r="E944" s="1035"/>
      <c r="F944" s="1034"/>
      <c r="G944" s="1033"/>
      <c r="H944" s="1033"/>
      <c r="I944" s="1034"/>
      <c r="J944" s="1033"/>
      <c r="K944" s="1033"/>
      <c r="L944" s="1034"/>
      <c r="M944" s="1035"/>
      <c r="N944" s="1035"/>
      <c r="O944" s="1036"/>
      <c r="P944" s="1033"/>
      <c r="Q944" s="1033"/>
      <c r="R944" s="1034"/>
      <c r="S944" s="1035"/>
      <c r="T944" s="1035"/>
      <c r="U944" s="1034"/>
      <c r="V944" s="1035"/>
      <c r="W944" s="1035"/>
      <c r="X944" s="1037" t="str">
        <f t="shared" si="223"/>
        <v>222</v>
      </c>
      <c r="Y944" s="1035">
        <v>22</v>
      </c>
      <c r="Z944" s="1035">
        <f t="shared" si="220"/>
        <v>2</v>
      </c>
      <c r="AA944" s="1035"/>
      <c r="AB944" s="1035"/>
      <c r="AC944" s="1021">
        <v>211309</v>
      </c>
      <c r="AD944" s="1021" t="s">
        <v>1723</v>
      </c>
      <c r="AE944" s="1022">
        <v>0</v>
      </c>
      <c r="AF944" s="1022"/>
      <c r="AG944" s="1022">
        <f t="shared" si="221"/>
        <v>0</v>
      </c>
      <c r="AH944" s="1022">
        <f t="shared" si="222"/>
        <v>0</v>
      </c>
      <c r="AK944" s="448"/>
      <c r="AL944" s="445"/>
    </row>
    <row r="945" spans="1:38" s="467" customFormat="1" ht="12.75" customHeight="1">
      <c r="A945" s="1033"/>
      <c r="B945" s="1033"/>
      <c r="C945" s="1034"/>
      <c r="D945" s="1035"/>
      <c r="E945" s="1035"/>
      <c r="F945" s="1034"/>
      <c r="G945" s="1033"/>
      <c r="H945" s="1033"/>
      <c r="I945" s="1034"/>
      <c r="J945" s="1033"/>
      <c r="K945" s="1033"/>
      <c r="L945" s="1034"/>
      <c r="M945" s="1035"/>
      <c r="N945" s="1035"/>
      <c r="O945" s="1036"/>
      <c r="P945" s="1033"/>
      <c r="Q945" s="1033"/>
      <c r="R945" s="1034"/>
      <c r="S945" s="1035"/>
      <c r="T945" s="1035"/>
      <c r="U945" s="1034"/>
      <c r="V945" s="1035"/>
      <c r="W945" s="1035"/>
      <c r="X945" s="1037"/>
      <c r="Y945" s="1035"/>
      <c r="Z945" s="1035">
        <f t="shared" si="220"/>
        <v>2</v>
      </c>
      <c r="AA945" s="1035"/>
      <c r="AB945" s="1035"/>
      <c r="AC945" s="1021">
        <v>211310</v>
      </c>
      <c r="AD945" s="1021" t="s">
        <v>1724</v>
      </c>
      <c r="AE945" s="1022">
        <v>0</v>
      </c>
      <c r="AF945" s="1022"/>
      <c r="AG945" s="1022">
        <f t="shared" si="221"/>
        <v>0</v>
      </c>
      <c r="AH945" s="1022">
        <f t="shared" si="222"/>
        <v>0</v>
      </c>
      <c r="AK945" s="448"/>
      <c r="AL945" s="445"/>
    </row>
    <row r="946" spans="1:38" s="467" customFormat="1" ht="12.75" customHeight="1">
      <c r="A946" s="1033"/>
      <c r="B946" s="1033"/>
      <c r="C946" s="1034"/>
      <c r="D946" s="1035"/>
      <c r="E946" s="1035"/>
      <c r="F946" s="1034"/>
      <c r="G946" s="1033"/>
      <c r="H946" s="1033"/>
      <c r="I946" s="1034"/>
      <c r="J946" s="1033"/>
      <c r="K946" s="1033"/>
      <c r="L946" s="1034"/>
      <c r="M946" s="1035"/>
      <c r="N946" s="1035"/>
      <c r="O946" s="1036"/>
      <c r="P946" s="1033"/>
      <c r="Q946" s="1033"/>
      <c r="R946" s="1034"/>
      <c r="S946" s="1035"/>
      <c r="T946" s="1035"/>
      <c r="U946" s="1034"/>
      <c r="V946" s="1035"/>
      <c r="W946" s="1035"/>
      <c r="X946" s="1037" t="str">
        <f>+Y946&amp;Z946</f>
        <v>222</v>
      </c>
      <c r="Y946" s="1035">
        <v>22</v>
      </c>
      <c r="Z946" s="1035">
        <f t="shared" si="220"/>
        <v>2</v>
      </c>
      <c r="AA946" s="1035"/>
      <c r="AB946" s="1035"/>
      <c r="AC946" s="1021">
        <v>211311</v>
      </c>
      <c r="AD946" s="1021" t="s">
        <v>2230</v>
      </c>
      <c r="AE946" s="1022">
        <v>0</v>
      </c>
      <c r="AF946" s="1022"/>
      <c r="AG946" s="1022">
        <f t="shared" si="221"/>
        <v>0</v>
      </c>
      <c r="AH946" s="1022">
        <f t="shared" si="222"/>
        <v>0</v>
      </c>
      <c r="AK946" s="448"/>
      <c r="AL946" s="445"/>
    </row>
    <row r="947" spans="1:38" s="467" customFormat="1" ht="12.75" customHeight="1">
      <c r="A947" s="1033">
        <v>5214260</v>
      </c>
      <c r="B947" s="1033" t="s">
        <v>2794</v>
      </c>
      <c r="C947" s="1034" t="str">
        <f>+D947&amp;E947</f>
        <v/>
      </c>
      <c r="D947" s="1035"/>
      <c r="E947" s="1035"/>
      <c r="F947" s="1034" t="str">
        <f>+G947&amp;H947</f>
        <v/>
      </c>
      <c r="G947" s="1033"/>
      <c r="H947" s="1033"/>
      <c r="I947" s="1034" t="str">
        <f>+J947&amp;K947</f>
        <v/>
      </c>
      <c r="J947" s="1033"/>
      <c r="K947" s="1033"/>
      <c r="L947" s="1034" t="str">
        <f>+M947&amp;N947</f>
        <v/>
      </c>
      <c r="M947" s="1035"/>
      <c r="N947" s="1035"/>
      <c r="O947" s="1036" t="str">
        <f>+P947&amp;Q947</f>
        <v/>
      </c>
      <c r="P947" s="1033"/>
      <c r="Q947" s="1033"/>
      <c r="R947" s="1034" t="str">
        <f>+S947&amp;T947</f>
        <v/>
      </c>
      <c r="S947" s="1035"/>
      <c r="T947" s="1035"/>
      <c r="U947" s="1034" t="str">
        <f>+V947&amp;W947</f>
        <v/>
      </c>
      <c r="V947" s="1035"/>
      <c r="W947" s="1035"/>
      <c r="X947" s="1037" t="str">
        <f>+Y947&amp;Z947</f>
        <v>222</v>
      </c>
      <c r="Y947" s="1035">
        <v>22</v>
      </c>
      <c r="Z947" s="1035">
        <f t="shared" si="220"/>
        <v>2</v>
      </c>
      <c r="AA947" s="1033" t="s">
        <v>2906</v>
      </c>
      <c r="AB947" s="1033" t="s">
        <v>2908</v>
      </c>
      <c r="AC947" s="1021">
        <v>211312</v>
      </c>
      <c r="AD947" s="1021" t="s">
        <v>1863</v>
      </c>
      <c r="AE947" s="1022">
        <f>VLOOKUP(AC947,[5]Hoja1!$A$10:$K$1393,11,0)</f>
        <v>-43429855</v>
      </c>
      <c r="AF947" s="1022"/>
      <c r="AG947" s="1022">
        <f t="shared" si="221"/>
        <v>-43429855</v>
      </c>
      <c r="AH947" s="1022">
        <f t="shared" si="222"/>
        <v>-43430</v>
      </c>
      <c r="AK947" s="448"/>
      <c r="AL947" s="445"/>
    </row>
    <row r="948" spans="1:38" s="467" customFormat="1" ht="12.75" customHeight="1">
      <c r="A948" s="1033">
        <v>5214260</v>
      </c>
      <c r="B948" s="1033" t="s">
        <v>2794</v>
      </c>
      <c r="C948" s="1034"/>
      <c r="D948" s="1035"/>
      <c r="E948" s="1035"/>
      <c r="F948" s="1034"/>
      <c r="G948" s="1033"/>
      <c r="H948" s="1033"/>
      <c r="I948" s="1034"/>
      <c r="J948" s="1033"/>
      <c r="K948" s="1033"/>
      <c r="L948" s="1034"/>
      <c r="M948" s="1035"/>
      <c r="N948" s="1035"/>
      <c r="O948" s="1036"/>
      <c r="P948" s="1033"/>
      <c r="Q948" s="1033"/>
      <c r="R948" s="1034"/>
      <c r="S948" s="1035"/>
      <c r="T948" s="1035"/>
      <c r="U948" s="1034"/>
      <c r="V948" s="1035"/>
      <c r="W948" s="1035"/>
      <c r="X948" s="1037" t="str">
        <f>+Y948&amp;Z948</f>
        <v>222</v>
      </c>
      <c r="Y948" s="1035">
        <v>22</v>
      </c>
      <c r="Z948" s="1035">
        <f t="shared" si="220"/>
        <v>2</v>
      </c>
      <c r="AA948" s="1033" t="s">
        <v>2906</v>
      </c>
      <c r="AB948" s="1035"/>
      <c r="AC948" s="1021">
        <v>211313</v>
      </c>
      <c r="AD948" s="1021" t="s">
        <v>2231</v>
      </c>
      <c r="AE948" s="1022">
        <f>VLOOKUP(AC948,[5]Hoja1!$A$10:$K$1393,11,0)</f>
        <v>0</v>
      </c>
      <c r="AF948" s="1022"/>
      <c r="AG948" s="1022">
        <f t="shared" si="221"/>
        <v>0</v>
      </c>
      <c r="AH948" s="1022">
        <f t="shared" si="222"/>
        <v>0</v>
      </c>
      <c r="AK948" s="448"/>
      <c r="AL948" s="445"/>
    </row>
    <row r="949" spans="1:38" s="467" customFormat="1" ht="12.75" customHeight="1">
      <c r="A949" s="1033">
        <v>5214260</v>
      </c>
      <c r="B949" s="1033" t="s">
        <v>2794</v>
      </c>
      <c r="C949" s="1034"/>
      <c r="D949" s="1035"/>
      <c r="E949" s="1035"/>
      <c r="F949" s="1034"/>
      <c r="G949" s="1033"/>
      <c r="H949" s="1033"/>
      <c r="I949" s="1034"/>
      <c r="J949" s="1033"/>
      <c r="K949" s="1033"/>
      <c r="L949" s="1034"/>
      <c r="M949" s="1035"/>
      <c r="N949" s="1035"/>
      <c r="O949" s="1036"/>
      <c r="P949" s="1033"/>
      <c r="Q949" s="1033"/>
      <c r="R949" s="1034"/>
      <c r="S949" s="1035"/>
      <c r="T949" s="1035"/>
      <c r="U949" s="1034"/>
      <c r="V949" s="1035"/>
      <c r="W949" s="1035"/>
      <c r="X949" s="1037" t="str">
        <f>+Y949&amp;Z949</f>
        <v>222</v>
      </c>
      <c r="Y949" s="1035">
        <v>22</v>
      </c>
      <c r="Z949" s="1035">
        <f t="shared" si="220"/>
        <v>2</v>
      </c>
      <c r="AA949" s="1033" t="s">
        <v>2906</v>
      </c>
      <c r="AB949" s="1033" t="s">
        <v>354</v>
      </c>
      <c r="AC949" s="1021">
        <v>211314</v>
      </c>
      <c r="AD949" s="1021" t="s">
        <v>2232</v>
      </c>
      <c r="AE949" s="1022">
        <f>VLOOKUP(AC949,[5]Hoja1!$A$10:$K$1393,11,0)</f>
        <v>0</v>
      </c>
      <c r="AF949" s="1022"/>
      <c r="AG949" s="1022">
        <f t="shared" si="221"/>
        <v>0</v>
      </c>
      <c r="AH949" s="1022">
        <f t="shared" si="222"/>
        <v>0</v>
      </c>
      <c r="AK949" s="448"/>
      <c r="AL949" s="445"/>
    </row>
    <row r="950" spans="1:38" s="467" customFormat="1" ht="12.75" customHeight="1">
      <c r="A950" s="1033">
        <v>5214260</v>
      </c>
      <c r="B950" s="1033" t="s">
        <v>2794</v>
      </c>
      <c r="C950" s="1034"/>
      <c r="D950" s="1035"/>
      <c r="E950" s="1035"/>
      <c r="F950" s="1034"/>
      <c r="G950" s="1033"/>
      <c r="H950" s="1033"/>
      <c r="I950" s="1034"/>
      <c r="J950" s="1033"/>
      <c r="K950" s="1033"/>
      <c r="L950" s="1034"/>
      <c r="M950" s="1035"/>
      <c r="N950" s="1035"/>
      <c r="O950" s="1036"/>
      <c r="P950" s="1033"/>
      <c r="Q950" s="1033"/>
      <c r="R950" s="1034"/>
      <c r="S950" s="1035"/>
      <c r="T950" s="1035"/>
      <c r="U950" s="1034"/>
      <c r="V950" s="1035"/>
      <c r="W950" s="1035"/>
      <c r="X950" s="1037" t="str">
        <f>+Y950&amp;Z950</f>
        <v>222</v>
      </c>
      <c r="Y950" s="1035">
        <v>22</v>
      </c>
      <c r="Z950" s="1035">
        <f t="shared" si="220"/>
        <v>2</v>
      </c>
      <c r="AA950" s="1033" t="s">
        <v>2906</v>
      </c>
      <c r="AB950" s="1033" t="s">
        <v>354</v>
      </c>
      <c r="AC950" s="1021">
        <v>211315</v>
      </c>
      <c r="AD950" s="1021" t="s">
        <v>2233</v>
      </c>
      <c r="AE950" s="1022">
        <f>VLOOKUP(AC950,[5]Hoja1!$A$10:$K$1393,11,0)</f>
        <v>-7480273</v>
      </c>
      <c r="AF950" s="1022"/>
      <c r="AG950" s="1022">
        <f t="shared" si="221"/>
        <v>-7480273</v>
      </c>
      <c r="AH950" s="1022">
        <f t="shared" si="222"/>
        <v>-7480</v>
      </c>
      <c r="AK950" s="448"/>
      <c r="AL950" s="445"/>
    </row>
    <row r="951" spans="1:38" s="467" customFormat="1" ht="12.75" customHeight="1">
      <c r="A951" s="1033">
        <v>5214230</v>
      </c>
      <c r="B951" s="1033" t="s">
        <v>337</v>
      </c>
      <c r="C951" s="1034"/>
      <c r="D951" s="1035"/>
      <c r="E951" s="1035"/>
      <c r="F951" s="1034"/>
      <c r="G951" s="1033"/>
      <c r="H951" s="1033"/>
      <c r="I951" s="1034"/>
      <c r="J951" s="1033"/>
      <c r="K951" s="1033"/>
      <c r="L951" s="1034"/>
      <c r="M951" s="1035"/>
      <c r="N951" s="1035"/>
      <c r="O951" s="1036"/>
      <c r="P951" s="1033"/>
      <c r="Q951" s="1033"/>
      <c r="R951" s="1034"/>
      <c r="S951" s="1035"/>
      <c r="T951" s="1035"/>
      <c r="U951" s="1034"/>
      <c r="V951" s="1035"/>
      <c r="W951" s="1035"/>
      <c r="X951" s="1037"/>
      <c r="Y951" s="1035"/>
      <c r="Z951" s="1035">
        <f t="shared" si="220"/>
        <v>2</v>
      </c>
      <c r="AA951" s="1035"/>
      <c r="AB951" s="1035"/>
      <c r="AC951" s="1021">
        <v>211316</v>
      </c>
      <c r="AD951" s="1021" t="s">
        <v>2234</v>
      </c>
      <c r="AE951" s="1022">
        <f>VLOOKUP(AC951,[5]Hoja1!$A$10:$K$1393,11,0)</f>
        <v>-6181026</v>
      </c>
      <c r="AF951" s="1022"/>
      <c r="AG951" s="1022">
        <f t="shared" si="221"/>
        <v>-6181026</v>
      </c>
      <c r="AH951" s="1022">
        <f t="shared" si="222"/>
        <v>-6181</v>
      </c>
      <c r="AK951" s="448"/>
      <c r="AL951" s="445"/>
    </row>
    <row r="952" spans="1:38" s="467" customFormat="1" ht="12.75" customHeight="1">
      <c r="A952" s="1033">
        <v>5214260</v>
      </c>
      <c r="B952" s="1033" t="s">
        <v>2794</v>
      </c>
      <c r="C952" s="1034"/>
      <c r="D952" s="1035"/>
      <c r="E952" s="1035"/>
      <c r="F952" s="1034"/>
      <c r="G952" s="1033"/>
      <c r="H952" s="1033"/>
      <c r="I952" s="1034"/>
      <c r="J952" s="1033"/>
      <c r="K952" s="1033"/>
      <c r="L952" s="1034"/>
      <c r="M952" s="1035"/>
      <c r="N952" s="1035"/>
      <c r="O952" s="1036"/>
      <c r="P952" s="1033"/>
      <c r="Q952" s="1033"/>
      <c r="R952" s="1034"/>
      <c r="S952" s="1035"/>
      <c r="T952" s="1035"/>
      <c r="U952" s="1034"/>
      <c r="V952" s="1035"/>
      <c r="W952" s="1035"/>
      <c r="X952" s="1037"/>
      <c r="Y952" s="1035"/>
      <c r="Z952" s="1035">
        <f t="shared" si="220"/>
        <v>2</v>
      </c>
      <c r="AA952" s="1033" t="s">
        <v>2906</v>
      </c>
      <c r="AB952" s="1033" t="s">
        <v>2880</v>
      </c>
      <c r="AC952" s="1021">
        <v>211317</v>
      </c>
      <c r="AD952" s="1021" t="s">
        <v>2235</v>
      </c>
      <c r="AE952" s="1022">
        <f>VLOOKUP(AC952,[5]Hoja1!$A$10:$K$1393,11,0)</f>
        <v>-962193012</v>
      </c>
      <c r="AF952" s="1191">
        <v>0</v>
      </c>
      <c r="AG952" s="1022">
        <f t="shared" si="221"/>
        <v>-962193012</v>
      </c>
      <c r="AH952" s="1022">
        <f t="shared" si="222"/>
        <v>-962193</v>
      </c>
      <c r="AK952" s="448"/>
      <c r="AL952" s="445"/>
    </row>
    <row r="953" spans="1:38" s="467" customFormat="1" ht="12.75" customHeight="1">
      <c r="A953" s="1033">
        <v>5214260</v>
      </c>
      <c r="B953" s="1033" t="s">
        <v>2794</v>
      </c>
      <c r="C953" s="1034"/>
      <c r="D953" s="1035"/>
      <c r="E953" s="1035"/>
      <c r="F953" s="1034"/>
      <c r="G953" s="1033"/>
      <c r="H953" s="1033"/>
      <c r="I953" s="1034"/>
      <c r="J953" s="1033"/>
      <c r="K953" s="1033"/>
      <c r="L953" s="1034"/>
      <c r="M953" s="1035"/>
      <c r="N953" s="1035"/>
      <c r="O953" s="1036"/>
      <c r="P953" s="1033"/>
      <c r="Q953" s="1033"/>
      <c r="R953" s="1034"/>
      <c r="S953" s="1035"/>
      <c r="T953" s="1035"/>
      <c r="U953" s="1034"/>
      <c r="V953" s="1035"/>
      <c r="W953" s="1035"/>
      <c r="X953" s="1037"/>
      <c r="Y953" s="1035"/>
      <c r="Z953" s="1035">
        <f t="shared" si="220"/>
        <v>2</v>
      </c>
      <c r="AA953" s="1033" t="s">
        <v>2906</v>
      </c>
      <c r="AB953" s="1033" t="s">
        <v>2880</v>
      </c>
      <c r="AC953" s="1021">
        <v>211318</v>
      </c>
      <c r="AD953" s="1021" t="s">
        <v>2236</v>
      </c>
      <c r="AE953" s="1022">
        <f>VLOOKUP(AC953,[5]Hoja1!$A$10:$K$1393,11,0)</f>
        <v>-660665504</v>
      </c>
      <c r="AF953" s="1191">
        <v>0</v>
      </c>
      <c r="AG953" s="1022">
        <f t="shared" si="221"/>
        <v>-660665504</v>
      </c>
      <c r="AH953" s="1022">
        <f t="shared" si="222"/>
        <v>-660666</v>
      </c>
      <c r="AK953" s="448"/>
      <c r="AL953" s="445"/>
    </row>
    <row r="954" spans="1:38" s="467" customFormat="1" ht="12.75" customHeight="1">
      <c r="A954" s="1033">
        <v>5214260</v>
      </c>
      <c r="B954" s="1033" t="s">
        <v>2794</v>
      </c>
      <c r="C954" s="1034"/>
      <c r="D954" s="1035"/>
      <c r="E954" s="1035"/>
      <c r="F954" s="1034"/>
      <c r="G954" s="1033"/>
      <c r="H954" s="1033"/>
      <c r="I954" s="1034"/>
      <c r="J954" s="1033"/>
      <c r="K954" s="1033"/>
      <c r="L954" s="1034"/>
      <c r="M954" s="1035"/>
      <c r="N954" s="1035"/>
      <c r="O954" s="1036"/>
      <c r="P954" s="1033"/>
      <c r="Q954" s="1033"/>
      <c r="R954" s="1034"/>
      <c r="S954" s="1035"/>
      <c r="T954" s="1035"/>
      <c r="U954" s="1034"/>
      <c r="V954" s="1035"/>
      <c r="W954" s="1035"/>
      <c r="X954" s="1037"/>
      <c r="Y954" s="1035"/>
      <c r="Z954" s="1035">
        <f t="shared" si="220"/>
        <v>2</v>
      </c>
      <c r="AA954" s="1033" t="s">
        <v>2906</v>
      </c>
      <c r="AB954" s="1033" t="s">
        <v>2880</v>
      </c>
      <c r="AC954" s="1021">
        <v>211319</v>
      </c>
      <c r="AD954" s="1021" t="s">
        <v>2237</v>
      </c>
      <c r="AE954" s="1022">
        <f>VLOOKUP(AC954,[5]Hoja1!$A$10:$K$1393,11,0)</f>
        <v>-12214675</v>
      </c>
      <c r="AF954" s="1191">
        <v>0</v>
      </c>
      <c r="AG954" s="1022">
        <f t="shared" si="221"/>
        <v>-12214675</v>
      </c>
      <c r="AH954" s="1022">
        <f t="shared" si="222"/>
        <v>-12215</v>
      </c>
      <c r="AK954" s="448"/>
      <c r="AL954" s="445"/>
    </row>
    <row r="955" spans="1:38" s="467" customFormat="1" ht="12.75" customHeight="1">
      <c r="A955" s="1033">
        <v>5214230</v>
      </c>
      <c r="B955" s="1033" t="s">
        <v>337</v>
      </c>
      <c r="C955" s="1034"/>
      <c r="D955" s="1035"/>
      <c r="E955" s="1035"/>
      <c r="F955" s="1034"/>
      <c r="G955" s="1033"/>
      <c r="H955" s="1033"/>
      <c r="I955" s="1034"/>
      <c r="J955" s="1033"/>
      <c r="K955" s="1033"/>
      <c r="L955" s="1034"/>
      <c r="M955" s="1035"/>
      <c r="N955" s="1035"/>
      <c r="O955" s="1036"/>
      <c r="P955" s="1033"/>
      <c r="Q955" s="1033"/>
      <c r="R955" s="1034"/>
      <c r="S955" s="1035"/>
      <c r="T955" s="1035"/>
      <c r="U955" s="1034"/>
      <c r="V955" s="1035"/>
      <c r="W955" s="1035"/>
      <c r="X955" s="1037"/>
      <c r="Y955" s="1035"/>
      <c r="Z955" s="1035">
        <f t="shared" si="220"/>
        <v>2</v>
      </c>
      <c r="AA955" s="1035"/>
      <c r="AB955" s="1035"/>
      <c r="AC955" s="1021">
        <v>211320</v>
      </c>
      <c r="AD955" s="1021" t="s">
        <v>1516</v>
      </c>
      <c r="AE955" s="1022">
        <f>VLOOKUP(AC955,[5]Hoja1!$A$10:$K$1393,11,0)</f>
        <v>-13971881</v>
      </c>
      <c r="AF955" s="1022"/>
      <c r="AG955" s="1022">
        <f t="shared" si="221"/>
        <v>-13971881</v>
      </c>
      <c r="AH955" s="1022">
        <f t="shared" si="222"/>
        <v>-13972</v>
      </c>
      <c r="AK955" s="448"/>
      <c r="AL955" s="445"/>
    </row>
    <row r="956" spans="1:38" s="467" customFormat="1" ht="12.75" customHeight="1">
      <c r="A956" s="1033">
        <v>5214260</v>
      </c>
      <c r="B956" s="1033" t="s">
        <v>2794</v>
      </c>
      <c r="C956" s="1034"/>
      <c r="D956" s="1035"/>
      <c r="E956" s="1035"/>
      <c r="F956" s="1034"/>
      <c r="G956" s="1033"/>
      <c r="H956" s="1033"/>
      <c r="I956" s="1034"/>
      <c r="J956" s="1033"/>
      <c r="K956" s="1033"/>
      <c r="L956" s="1034"/>
      <c r="M956" s="1035"/>
      <c r="N956" s="1035"/>
      <c r="O956" s="1036"/>
      <c r="P956" s="1033"/>
      <c r="Q956" s="1033"/>
      <c r="R956" s="1034"/>
      <c r="S956" s="1035"/>
      <c r="T956" s="1035"/>
      <c r="U956" s="1034"/>
      <c r="V956" s="1035"/>
      <c r="W956" s="1035"/>
      <c r="X956" s="1037" t="str">
        <f t="shared" ref="X956:X987" si="224">+Y956&amp;Z956</f>
        <v>222</v>
      </c>
      <c r="Y956" s="1035">
        <v>22</v>
      </c>
      <c r="Z956" s="1035">
        <f t="shared" si="220"/>
        <v>2</v>
      </c>
      <c r="AA956" s="1033" t="s">
        <v>2906</v>
      </c>
      <c r="AB956" s="1033" t="s">
        <v>354</v>
      </c>
      <c r="AC956" s="1021">
        <v>211321</v>
      </c>
      <c r="AD956" s="1021" t="s">
        <v>1373</v>
      </c>
      <c r="AE956" s="1022">
        <f>VLOOKUP(AC956,[5]Hoja1!$A$10:$K$1393,11,0)</f>
        <v>-7292195</v>
      </c>
      <c r="AF956" s="1022"/>
      <c r="AG956" s="1022">
        <f t="shared" si="221"/>
        <v>-7292195</v>
      </c>
      <c r="AH956" s="1022">
        <f t="shared" si="222"/>
        <v>-7292</v>
      </c>
      <c r="AK956" s="448"/>
      <c r="AL956" s="445"/>
    </row>
    <row r="957" spans="1:38" s="467" customFormat="1" ht="12.75" customHeight="1">
      <c r="A957" s="1033">
        <v>5214260</v>
      </c>
      <c r="B957" s="1033" t="s">
        <v>2794</v>
      </c>
      <c r="C957" s="1034"/>
      <c r="D957" s="1033"/>
      <c r="E957" s="1033"/>
      <c r="F957" s="1034"/>
      <c r="G957" s="1033"/>
      <c r="H957" s="1033"/>
      <c r="I957" s="1034"/>
      <c r="J957" s="1035"/>
      <c r="K957" s="1035"/>
      <c r="L957" s="1034"/>
      <c r="M957" s="1033"/>
      <c r="N957" s="1035"/>
      <c r="O957" s="1036"/>
      <c r="P957" s="1042"/>
      <c r="Q957" s="1042"/>
      <c r="R957" s="1034"/>
      <c r="S957" s="1035"/>
      <c r="T957" s="1035"/>
      <c r="U957" s="1034"/>
      <c r="V957" s="1035"/>
      <c r="W957" s="1035"/>
      <c r="X957" s="1037" t="str">
        <f t="shared" si="224"/>
        <v>222</v>
      </c>
      <c r="Y957" s="1035">
        <v>22</v>
      </c>
      <c r="Z957" s="1035">
        <f t="shared" si="220"/>
        <v>2</v>
      </c>
      <c r="AA957" s="1033" t="s">
        <v>2906</v>
      </c>
      <c r="AB957" s="1033" t="s">
        <v>2908</v>
      </c>
      <c r="AC957" s="1021">
        <v>211322</v>
      </c>
      <c r="AD957" s="1021" t="s">
        <v>1098</v>
      </c>
      <c r="AE957" s="1022">
        <f>VLOOKUP(AC957,[5]Hoja1!$A$10:$K$1393,11,0)</f>
        <v>-162075338</v>
      </c>
      <c r="AF957" s="1022"/>
      <c r="AG957" s="1022">
        <f t="shared" si="221"/>
        <v>-162075338</v>
      </c>
      <c r="AH957" s="1022">
        <f t="shared" si="222"/>
        <v>-162075</v>
      </c>
      <c r="AK957" s="448"/>
      <c r="AL957" s="445"/>
    </row>
    <row r="958" spans="1:38" s="467" customFormat="1" ht="12.75" customHeight="1">
      <c r="A958" s="1033">
        <v>5214260</v>
      </c>
      <c r="B958" s="1033" t="s">
        <v>2794</v>
      </c>
      <c r="C958" s="1034"/>
      <c r="D958" s="1035"/>
      <c r="E958" s="1035"/>
      <c r="F958" s="1034"/>
      <c r="G958" s="1033"/>
      <c r="H958" s="1033"/>
      <c r="I958" s="1034"/>
      <c r="J958" s="1033"/>
      <c r="K958" s="1033"/>
      <c r="L958" s="1034"/>
      <c r="M958" s="1035"/>
      <c r="N958" s="1035"/>
      <c r="O958" s="1036"/>
      <c r="P958" s="1033"/>
      <c r="Q958" s="1033"/>
      <c r="R958" s="1034"/>
      <c r="S958" s="1035"/>
      <c r="T958" s="1035"/>
      <c r="U958" s="1034"/>
      <c r="V958" s="1035"/>
      <c r="W958" s="1035"/>
      <c r="X958" s="1037" t="str">
        <f t="shared" si="224"/>
        <v>222</v>
      </c>
      <c r="Y958" s="1035">
        <v>22</v>
      </c>
      <c r="Z958" s="1035">
        <f t="shared" si="220"/>
        <v>2</v>
      </c>
      <c r="AA958" s="1033" t="s">
        <v>2906</v>
      </c>
      <c r="AB958" s="1033" t="s">
        <v>354</v>
      </c>
      <c r="AC958" s="1021">
        <v>211323</v>
      </c>
      <c r="AD958" s="1021" t="s">
        <v>2238</v>
      </c>
      <c r="AE958" s="1022">
        <f>VLOOKUP(AC958,[5]Hoja1!$A$10:$K$1393,11,0)</f>
        <v>-626605</v>
      </c>
      <c r="AF958" s="1022"/>
      <c r="AG958" s="1022">
        <f t="shared" si="221"/>
        <v>-626605</v>
      </c>
      <c r="AH958" s="1022">
        <f t="shared" si="222"/>
        <v>-627</v>
      </c>
      <c r="AK958" s="448"/>
      <c r="AL958" s="445"/>
    </row>
    <row r="959" spans="1:38" s="467" customFormat="1" ht="12.75" customHeight="1">
      <c r="A959" s="1033">
        <v>5214260</v>
      </c>
      <c r="B959" s="1033" t="s">
        <v>2794</v>
      </c>
      <c r="C959" s="1034"/>
      <c r="D959" s="1035"/>
      <c r="E959" s="1035"/>
      <c r="F959" s="1034"/>
      <c r="G959" s="1033"/>
      <c r="H959" s="1033"/>
      <c r="I959" s="1034"/>
      <c r="J959" s="1033"/>
      <c r="K959" s="1033"/>
      <c r="L959" s="1034"/>
      <c r="M959" s="1035"/>
      <c r="N959" s="1035"/>
      <c r="O959" s="1036"/>
      <c r="P959" s="1033"/>
      <c r="Q959" s="1033"/>
      <c r="R959" s="1034"/>
      <c r="S959" s="1035"/>
      <c r="T959" s="1035"/>
      <c r="U959" s="1034"/>
      <c r="V959" s="1035"/>
      <c r="W959" s="1035"/>
      <c r="X959" s="1037" t="str">
        <f t="shared" si="224"/>
        <v>222</v>
      </c>
      <c r="Y959" s="1035">
        <v>22</v>
      </c>
      <c r="Z959" s="1035">
        <f t="shared" si="220"/>
        <v>2</v>
      </c>
      <c r="AA959" s="1033" t="s">
        <v>2906</v>
      </c>
      <c r="AB959" s="1033" t="s">
        <v>354</v>
      </c>
      <c r="AC959" s="1021">
        <v>211325</v>
      </c>
      <c r="AD959" s="1021" t="s">
        <v>2239</v>
      </c>
      <c r="AE959" s="1022">
        <f>VLOOKUP(AC959,[5]Hoja1!$A$10:$K$1393,11,0)</f>
        <v>-180868</v>
      </c>
      <c r="AF959" s="1022"/>
      <c r="AG959" s="1022">
        <f t="shared" si="221"/>
        <v>-180868</v>
      </c>
      <c r="AH959" s="1022">
        <f t="shared" si="222"/>
        <v>-181</v>
      </c>
      <c r="AK959" s="448"/>
      <c r="AL959" s="445"/>
    </row>
    <row r="960" spans="1:38" s="467" customFormat="1" ht="12.75" customHeight="1">
      <c r="A960" s="1033">
        <v>5214260</v>
      </c>
      <c r="B960" s="1033" t="s">
        <v>2794</v>
      </c>
      <c r="C960" s="1034" t="str">
        <f>+D960&amp;E960</f>
        <v/>
      </c>
      <c r="D960" s="1033"/>
      <c r="E960" s="1033"/>
      <c r="F960" s="1034" t="str">
        <f>+G960&amp;H960</f>
        <v/>
      </c>
      <c r="G960" s="1033"/>
      <c r="H960" s="1033"/>
      <c r="I960" s="1034" t="str">
        <f>+J960&amp;K960</f>
        <v/>
      </c>
      <c r="J960" s="1035"/>
      <c r="K960" s="1035"/>
      <c r="L960" s="1034" t="str">
        <f>+M960&amp;N960</f>
        <v/>
      </c>
      <c r="M960" s="1035"/>
      <c r="N960" s="1035"/>
      <c r="O960" s="1036" t="str">
        <f>+P960&amp;Q960</f>
        <v/>
      </c>
      <c r="P960" s="1033"/>
      <c r="Q960" s="1033"/>
      <c r="R960" s="1034" t="str">
        <f>+S960&amp;T960</f>
        <v/>
      </c>
      <c r="S960" s="1035"/>
      <c r="T960" s="1035"/>
      <c r="U960" s="1034" t="str">
        <f>+V960&amp;W960</f>
        <v/>
      </c>
      <c r="V960" s="1035"/>
      <c r="W960" s="1035"/>
      <c r="X960" s="1037" t="str">
        <f t="shared" si="224"/>
        <v>222</v>
      </c>
      <c r="Y960" s="1035">
        <v>22</v>
      </c>
      <c r="Z960" s="1035">
        <f t="shared" si="220"/>
        <v>2</v>
      </c>
      <c r="AA960" s="1033" t="s">
        <v>2906</v>
      </c>
      <c r="AB960" s="1033" t="s">
        <v>2908</v>
      </c>
      <c r="AC960" s="1021">
        <v>211326</v>
      </c>
      <c r="AD960" s="1021" t="s">
        <v>2240</v>
      </c>
      <c r="AE960" s="1022">
        <f>VLOOKUP(AC960,[5]Hoja1!$A$10:$K$1393,11,0)</f>
        <v>-767694</v>
      </c>
      <c r="AF960" s="1022"/>
      <c r="AG960" s="1022">
        <f t="shared" si="221"/>
        <v>-767694</v>
      </c>
      <c r="AH960" s="1022">
        <f t="shared" si="222"/>
        <v>-768</v>
      </c>
      <c r="AK960" s="448"/>
      <c r="AL960" s="445"/>
    </row>
    <row r="961" spans="1:38" s="467" customFormat="1" ht="12.75" customHeight="1">
      <c r="A961" s="1033">
        <v>5214230</v>
      </c>
      <c r="B961" s="1033" t="s">
        <v>337</v>
      </c>
      <c r="C961" s="1034"/>
      <c r="D961" s="1033"/>
      <c r="E961" s="1033"/>
      <c r="F961" s="1034"/>
      <c r="G961" s="1033"/>
      <c r="H961" s="1033"/>
      <c r="I961" s="1034"/>
      <c r="J961" s="1035"/>
      <c r="K961" s="1035"/>
      <c r="L961" s="1034"/>
      <c r="M961" s="1035"/>
      <c r="N961" s="1035"/>
      <c r="O961" s="1036"/>
      <c r="P961" s="1033"/>
      <c r="Q961" s="1033"/>
      <c r="R961" s="1034"/>
      <c r="S961" s="1035"/>
      <c r="T961" s="1035"/>
      <c r="U961" s="1034"/>
      <c r="V961" s="1035"/>
      <c r="W961" s="1035"/>
      <c r="X961" s="1037"/>
      <c r="Y961" s="1035"/>
      <c r="Z961" s="1035">
        <f t="shared" si="220"/>
        <v>2</v>
      </c>
      <c r="AA961" s="1033"/>
      <c r="AB961" s="1033"/>
      <c r="AC961" s="1021">
        <v>211327</v>
      </c>
      <c r="AD961" s="1021" t="s">
        <v>3086</v>
      </c>
      <c r="AE961" s="1022">
        <f>VLOOKUP(AC961,[5]Hoja1!$A$10:$K$1393,11,0)</f>
        <v>0</v>
      </c>
      <c r="AF961" s="1022"/>
      <c r="AG961" s="1022">
        <f t="shared" ref="AG961" si="225">AE961+AF961</f>
        <v>0</v>
      </c>
      <c r="AH961" s="1022">
        <f t="shared" ref="AH961" si="226">ROUND((AE961+AF961)/$AH$2,0)</f>
        <v>0</v>
      </c>
      <c r="AK961" s="448"/>
      <c r="AL961" s="445"/>
    </row>
    <row r="962" spans="1:38" s="467" customFormat="1" ht="12.75" customHeight="1">
      <c r="A962" s="1033">
        <v>5214260</v>
      </c>
      <c r="B962" s="1033" t="s">
        <v>2794</v>
      </c>
      <c r="C962" s="1034"/>
      <c r="D962" s="1035"/>
      <c r="E962" s="1035"/>
      <c r="F962" s="1034"/>
      <c r="G962" s="1033"/>
      <c r="H962" s="1033"/>
      <c r="I962" s="1034"/>
      <c r="J962" s="1033"/>
      <c r="K962" s="1033"/>
      <c r="L962" s="1034"/>
      <c r="M962" s="1035"/>
      <c r="N962" s="1035"/>
      <c r="O962" s="1036"/>
      <c r="P962" s="1033"/>
      <c r="Q962" s="1033"/>
      <c r="R962" s="1034"/>
      <c r="S962" s="1035"/>
      <c r="T962" s="1035"/>
      <c r="U962" s="1034"/>
      <c r="V962" s="1035"/>
      <c r="W962" s="1035"/>
      <c r="X962" s="1037" t="str">
        <f t="shared" si="224"/>
        <v>222</v>
      </c>
      <c r="Y962" s="1035">
        <v>22</v>
      </c>
      <c r="Z962" s="1035">
        <f t="shared" si="220"/>
        <v>2</v>
      </c>
      <c r="AA962" s="1033" t="s">
        <v>2906</v>
      </c>
      <c r="AB962" s="1033" t="s">
        <v>354</v>
      </c>
      <c r="AC962" s="1021">
        <v>211350</v>
      </c>
      <c r="AD962" s="1021" t="s">
        <v>1105</v>
      </c>
      <c r="AE962" s="1022">
        <f>VLOOKUP(AC962,[5]Hoja1!$A$10:$K$1393,11,0)</f>
        <v>0</v>
      </c>
      <c r="AF962" s="1022">
        <f>-AF637</f>
        <v>0</v>
      </c>
      <c r="AG962" s="1022">
        <f t="shared" si="221"/>
        <v>0</v>
      </c>
      <c r="AH962" s="1022">
        <f t="shared" si="222"/>
        <v>0</v>
      </c>
      <c r="AK962" s="448"/>
      <c r="AL962" s="445"/>
    </row>
    <row r="963" spans="1:38" s="467" customFormat="1" ht="12.75" customHeight="1">
      <c r="A963" s="1033">
        <v>5214260</v>
      </c>
      <c r="B963" s="1033" t="s">
        <v>2794</v>
      </c>
      <c r="C963" s="1034"/>
      <c r="D963" s="1035"/>
      <c r="E963" s="1035"/>
      <c r="F963" s="1034"/>
      <c r="G963" s="1033"/>
      <c r="H963" s="1033"/>
      <c r="I963" s="1034"/>
      <c r="J963" s="1033"/>
      <c r="K963" s="1033"/>
      <c r="L963" s="1034"/>
      <c r="M963" s="1035"/>
      <c r="N963" s="1035"/>
      <c r="O963" s="1036"/>
      <c r="P963" s="1033"/>
      <c r="Q963" s="1033"/>
      <c r="R963" s="1034"/>
      <c r="S963" s="1035"/>
      <c r="T963" s="1035"/>
      <c r="U963" s="1034"/>
      <c r="V963" s="1035"/>
      <c r="W963" s="1035"/>
      <c r="X963" s="1037" t="str">
        <f t="shared" si="224"/>
        <v>222</v>
      </c>
      <c r="Y963" s="1035">
        <v>22</v>
      </c>
      <c r="Z963" s="1035">
        <f t="shared" si="220"/>
        <v>2</v>
      </c>
      <c r="AA963" s="1033" t="s">
        <v>2906</v>
      </c>
      <c r="AB963" s="1033" t="s">
        <v>2908</v>
      </c>
      <c r="AC963" s="1021">
        <v>211351</v>
      </c>
      <c r="AD963" s="1021" t="s">
        <v>2241</v>
      </c>
      <c r="AE963" s="1022">
        <f>VLOOKUP(AC963,[5]Hoja1!$A$10:$K$1393,11,0)</f>
        <v>-191314972</v>
      </c>
      <c r="AF963" s="1022"/>
      <c r="AG963" s="1022">
        <f t="shared" si="221"/>
        <v>-191314972</v>
      </c>
      <c r="AH963" s="1022">
        <f t="shared" si="222"/>
        <v>-191315</v>
      </c>
      <c r="AK963" s="448"/>
      <c r="AL963" s="445"/>
    </row>
    <row r="964" spans="1:38" s="467" customFormat="1" ht="12.75" customHeight="1">
      <c r="A964" s="1033"/>
      <c r="B964" s="1033"/>
      <c r="C964" s="1034"/>
      <c r="D964" s="1033"/>
      <c r="E964" s="1033"/>
      <c r="F964" s="1034"/>
      <c r="G964" s="1033"/>
      <c r="H964" s="1033"/>
      <c r="I964" s="1034"/>
      <c r="J964" s="1035"/>
      <c r="K964" s="1035"/>
      <c r="L964" s="1034"/>
      <c r="M964" s="1033"/>
      <c r="N964" s="1035"/>
      <c r="O964" s="1036"/>
      <c r="P964" s="1042"/>
      <c r="Q964" s="1042"/>
      <c r="R964" s="1034"/>
      <c r="S964" s="1035"/>
      <c r="T964" s="1035"/>
      <c r="U964" s="1034"/>
      <c r="V964" s="1035"/>
      <c r="W964" s="1035"/>
      <c r="X964" s="1037" t="str">
        <f t="shared" si="224"/>
        <v>222</v>
      </c>
      <c r="Y964" s="1035">
        <v>22</v>
      </c>
      <c r="Z964" s="1035">
        <f t="shared" si="220"/>
        <v>2</v>
      </c>
      <c r="AA964" s="1035"/>
      <c r="AB964" s="1035"/>
      <c r="AC964" s="1021">
        <v>211352</v>
      </c>
      <c r="AD964" s="1021" t="s">
        <v>173</v>
      </c>
      <c r="AE964" s="1022">
        <f>VLOOKUP(AC964,[5]Hoja1!$A$10:$K$1393,11,0)</f>
        <v>0</v>
      </c>
      <c r="AF964" s="1022">
        <f>-AE964</f>
        <v>0</v>
      </c>
      <c r="AG964" s="1022">
        <f t="shared" si="221"/>
        <v>0</v>
      </c>
      <c r="AH964" s="1022">
        <f t="shared" si="222"/>
        <v>0</v>
      </c>
      <c r="AK964" s="448"/>
      <c r="AL964" s="445"/>
    </row>
    <row r="965" spans="1:38" s="467" customFormat="1" ht="12.75" customHeight="1">
      <c r="A965" s="1033">
        <v>5214260</v>
      </c>
      <c r="B965" s="1033" t="s">
        <v>2794</v>
      </c>
      <c r="C965" s="1034"/>
      <c r="D965" s="1035"/>
      <c r="E965" s="1035"/>
      <c r="F965" s="1034"/>
      <c r="G965" s="1033"/>
      <c r="H965" s="1033"/>
      <c r="I965" s="1034"/>
      <c r="J965" s="1033"/>
      <c r="K965" s="1033"/>
      <c r="L965" s="1034"/>
      <c r="M965" s="1035"/>
      <c r="N965" s="1035"/>
      <c r="O965" s="1036"/>
      <c r="P965" s="1033"/>
      <c r="Q965" s="1033"/>
      <c r="R965" s="1034"/>
      <c r="S965" s="1035"/>
      <c r="T965" s="1035"/>
      <c r="U965" s="1034"/>
      <c r="V965" s="1035"/>
      <c r="W965" s="1035"/>
      <c r="X965" s="1037" t="str">
        <f t="shared" si="224"/>
        <v>222</v>
      </c>
      <c r="Y965" s="1035">
        <v>22</v>
      </c>
      <c r="Z965" s="1035">
        <f t="shared" si="220"/>
        <v>2</v>
      </c>
      <c r="AA965" s="1033" t="s">
        <v>2906</v>
      </c>
      <c r="AB965" s="1033" t="s">
        <v>354</v>
      </c>
      <c r="AC965" s="1021">
        <v>211353</v>
      </c>
      <c r="AD965" s="1021" t="s">
        <v>2242</v>
      </c>
      <c r="AE965" s="1022">
        <f>VLOOKUP(AC965,[5]Hoja1!$A$10:$K$1393,11,0)</f>
        <v>-132985208</v>
      </c>
      <c r="AF965" s="1022"/>
      <c r="AG965" s="1022">
        <f t="shared" si="221"/>
        <v>-132985208</v>
      </c>
      <c r="AH965" s="1022">
        <f t="shared" si="222"/>
        <v>-132985</v>
      </c>
      <c r="AK965" s="448"/>
      <c r="AL965" s="445"/>
    </row>
    <row r="966" spans="1:38" s="467" customFormat="1" ht="12.75" customHeight="1">
      <c r="A966" s="1033">
        <v>5214260</v>
      </c>
      <c r="B966" s="1033" t="s">
        <v>2794</v>
      </c>
      <c r="C966" s="1034"/>
      <c r="D966" s="1035"/>
      <c r="E966" s="1035"/>
      <c r="F966" s="1034"/>
      <c r="G966" s="1033"/>
      <c r="H966" s="1033"/>
      <c r="I966" s="1034"/>
      <c r="J966" s="1033"/>
      <c r="K966" s="1033"/>
      <c r="L966" s="1034"/>
      <c r="M966" s="1035"/>
      <c r="N966" s="1035"/>
      <c r="O966" s="1036"/>
      <c r="P966" s="1033"/>
      <c r="Q966" s="1033"/>
      <c r="R966" s="1034"/>
      <c r="S966" s="1035"/>
      <c r="T966" s="1035"/>
      <c r="U966" s="1034"/>
      <c r="V966" s="1035"/>
      <c r="W966" s="1035"/>
      <c r="X966" s="1037" t="str">
        <f t="shared" si="224"/>
        <v>222</v>
      </c>
      <c r="Y966" s="1035">
        <v>22</v>
      </c>
      <c r="Z966" s="1035">
        <f t="shared" si="220"/>
        <v>2</v>
      </c>
      <c r="AA966" s="1033" t="s">
        <v>2906</v>
      </c>
      <c r="AB966" s="1033" t="s">
        <v>354</v>
      </c>
      <c r="AC966" s="1021">
        <v>211354</v>
      </c>
      <c r="AD966" s="1021" t="s">
        <v>2243</v>
      </c>
      <c r="AE966" s="1022">
        <f>VLOOKUP(AC966,[5]Hoja1!$A$10:$K$1393,11,0)</f>
        <v>-6081138</v>
      </c>
      <c r="AF966" s="1022"/>
      <c r="AG966" s="1022">
        <f t="shared" si="221"/>
        <v>-6081138</v>
      </c>
      <c r="AH966" s="1022">
        <f t="shared" si="222"/>
        <v>-6081</v>
      </c>
      <c r="AK966" s="448"/>
      <c r="AL966" s="445"/>
    </row>
    <row r="967" spans="1:38" s="467" customFormat="1" ht="12.75" customHeight="1">
      <c r="A967" s="1033">
        <v>5214260</v>
      </c>
      <c r="B967" s="1033" t="s">
        <v>2794</v>
      </c>
      <c r="C967" s="1034"/>
      <c r="D967" s="1035"/>
      <c r="E967" s="1035"/>
      <c r="F967" s="1034"/>
      <c r="G967" s="1033"/>
      <c r="H967" s="1033"/>
      <c r="I967" s="1034"/>
      <c r="J967" s="1033"/>
      <c r="K967" s="1033"/>
      <c r="L967" s="1034"/>
      <c r="M967" s="1035"/>
      <c r="N967" s="1035"/>
      <c r="O967" s="1036"/>
      <c r="P967" s="1033"/>
      <c r="Q967" s="1033"/>
      <c r="R967" s="1034"/>
      <c r="S967" s="1035"/>
      <c r="T967" s="1035"/>
      <c r="U967" s="1034"/>
      <c r="V967" s="1035"/>
      <c r="W967" s="1035"/>
      <c r="X967" s="1037" t="str">
        <f t="shared" si="224"/>
        <v>222</v>
      </c>
      <c r="Y967" s="1035">
        <v>22</v>
      </c>
      <c r="Z967" s="1035">
        <f t="shared" si="220"/>
        <v>2</v>
      </c>
      <c r="AA967" s="1033" t="s">
        <v>2906</v>
      </c>
      <c r="AB967" s="1035"/>
      <c r="AC967" s="1021">
        <v>211356</v>
      </c>
      <c r="AD967" s="1021" t="s">
        <v>2244</v>
      </c>
      <c r="AE967" s="1022">
        <f>VLOOKUP(AC967,[5]Hoja1!$A$10:$K$1393,11,0)</f>
        <v>0</v>
      </c>
      <c r="AF967" s="1022">
        <f>+AE538</f>
        <v>0</v>
      </c>
      <c r="AG967" s="1022">
        <f t="shared" si="221"/>
        <v>0</v>
      </c>
      <c r="AH967" s="1022">
        <f t="shared" si="222"/>
        <v>0</v>
      </c>
      <c r="AK967" s="448"/>
      <c r="AL967" s="445"/>
    </row>
    <row r="968" spans="1:38" s="467" customFormat="1" ht="12.75" customHeight="1">
      <c r="A968" s="1033">
        <v>5214260</v>
      </c>
      <c r="B968" s="1033" t="s">
        <v>2794</v>
      </c>
      <c r="C968" s="1034"/>
      <c r="D968" s="1035"/>
      <c r="E968" s="1035"/>
      <c r="F968" s="1034"/>
      <c r="G968" s="1033"/>
      <c r="H968" s="1033"/>
      <c r="I968" s="1034"/>
      <c r="J968" s="1033"/>
      <c r="K968" s="1033"/>
      <c r="L968" s="1034"/>
      <c r="M968" s="1035"/>
      <c r="N968" s="1035"/>
      <c r="O968" s="1036"/>
      <c r="P968" s="1033"/>
      <c r="Q968" s="1033"/>
      <c r="R968" s="1049"/>
      <c r="S968" s="1040"/>
      <c r="T968" s="1040"/>
      <c r="U968" s="1049"/>
      <c r="V968" s="1040"/>
      <c r="W968" s="1040"/>
      <c r="X968" s="1039" t="str">
        <f t="shared" si="224"/>
        <v>222</v>
      </c>
      <c r="Y968" s="1040">
        <v>22</v>
      </c>
      <c r="Z968" s="1035">
        <f t="shared" si="220"/>
        <v>2</v>
      </c>
      <c r="AA968" s="1033" t="s">
        <v>2906</v>
      </c>
      <c r="AB968" s="1050" t="s">
        <v>2883</v>
      </c>
      <c r="AC968" s="1021">
        <v>211370</v>
      </c>
      <c r="AD968" s="1021" t="s">
        <v>2556</v>
      </c>
      <c r="AE968" s="1022">
        <f>VLOOKUP(AC968,[5]Hoja1!$A$10:$K$1393,11,0)</f>
        <v>-834478415</v>
      </c>
      <c r="AF968" s="1022"/>
      <c r="AG968" s="1022">
        <f t="shared" si="221"/>
        <v>-834478415</v>
      </c>
      <c r="AH968" s="1022">
        <f t="shared" si="222"/>
        <v>-834478</v>
      </c>
      <c r="AK968" s="448"/>
      <c r="AL968" s="445"/>
    </row>
    <row r="969" spans="1:38" s="467" customFormat="1" ht="12.75" customHeight="1">
      <c r="A969" s="1033">
        <v>5214260</v>
      </c>
      <c r="B969" s="1033" t="s">
        <v>2794</v>
      </c>
      <c r="C969" s="1034" t="str">
        <f>+D969&amp;E969</f>
        <v/>
      </c>
      <c r="D969" s="1035"/>
      <c r="E969" s="1035"/>
      <c r="F969" s="1034" t="str">
        <f>+G969&amp;H969</f>
        <v/>
      </c>
      <c r="G969" s="1033"/>
      <c r="H969" s="1033"/>
      <c r="I969" s="1034" t="str">
        <f>+J969&amp;K969</f>
        <v/>
      </c>
      <c r="J969" s="1033"/>
      <c r="K969" s="1033"/>
      <c r="L969" s="1034" t="str">
        <f>+M969&amp;N969</f>
        <v/>
      </c>
      <c r="M969" s="1035"/>
      <c r="N969" s="1035"/>
      <c r="O969" s="1036" t="str">
        <f>+P969&amp;Q969</f>
        <v/>
      </c>
      <c r="P969" s="1033"/>
      <c r="Q969" s="1033"/>
      <c r="R969" s="1034" t="str">
        <f>+S969&amp;T969</f>
        <v/>
      </c>
      <c r="S969" s="1035"/>
      <c r="T969" s="1035"/>
      <c r="U969" s="1034" t="str">
        <f>+V969&amp;W969</f>
        <v/>
      </c>
      <c r="V969" s="1035"/>
      <c r="W969" s="1035"/>
      <c r="X969" s="1037" t="str">
        <f t="shared" si="224"/>
        <v>222</v>
      </c>
      <c r="Y969" s="1035">
        <v>22</v>
      </c>
      <c r="Z969" s="1035">
        <f t="shared" si="220"/>
        <v>2</v>
      </c>
      <c r="AA969" s="1033" t="s">
        <v>2906</v>
      </c>
      <c r="AB969" s="1033" t="s">
        <v>2880</v>
      </c>
      <c r="AC969" s="1021">
        <v>211402</v>
      </c>
      <c r="AD969" s="1021" t="s">
        <v>2245</v>
      </c>
      <c r="AE969" s="1022">
        <f>VLOOKUP(AC969,[5]Hoja1!$A$10:$K$1393,11,0)</f>
        <v>-731850299</v>
      </c>
      <c r="AF969" s="1022"/>
      <c r="AG969" s="1022">
        <f t="shared" si="221"/>
        <v>-731850299</v>
      </c>
      <c r="AH969" s="1022">
        <f t="shared" si="222"/>
        <v>-731850</v>
      </c>
      <c r="AK969" s="448"/>
      <c r="AL969" s="445"/>
    </row>
    <row r="970" spans="1:38" s="467" customFormat="1" ht="12.75" customHeight="1">
      <c r="A970" s="1033"/>
      <c r="B970" s="1033"/>
      <c r="C970" s="1034" t="str">
        <f t="shared" ref="C970:C1036" si="227">+D970&amp;E970</f>
        <v/>
      </c>
      <c r="D970" s="1035"/>
      <c r="E970" s="1035"/>
      <c r="F970" s="1034" t="str">
        <f t="shared" ref="F970:F1036" si="228">+G970&amp;H970</f>
        <v/>
      </c>
      <c r="G970" s="1033"/>
      <c r="H970" s="1033"/>
      <c r="I970" s="1034" t="str">
        <f t="shared" ref="I970:I1036" si="229">+J970&amp;K970</f>
        <v/>
      </c>
      <c r="J970" s="1033"/>
      <c r="K970" s="1033"/>
      <c r="L970" s="1034" t="str">
        <f t="shared" ref="L970:L1036" si="230">+M970&amp;N970</f>
        <v/>
      </c>
      <c r="M970" s="1035"/>
      <c r="N970" s="1035"/>
      <c r="O970" s="1036" t="str">
        <f t="shared" ref="O970:O1036" si="231">+P970&amp;Q970</f>
        <v/>
      </c>
      <c r="P970" s="1033"/>
      <c r="Q970" s="1033"/>
      <c r="R970" s="1034" t="str">
        <f t="shared" ref="R970:R1036" si="232">+S970&amp;T970</f>
        <v/>
      </c>
      <c r="S970" s="1035"/>
      <c r="T970" s="1035"/>
      <c r="U970" s="1034" t="str">
        <f t="shared" ref="U970:U1036" si="233">+V970&amp;W970</f>
        <v/>
      </c>
      <c r="V970" s="1035"/>
      <c r="W970" s="1035"/>
      <c r="X970" s="1037" t="str">
        <f t="shared" si="224"/>
        <v>2</v>
      </c>
      <c r="Y970" s="1035"/>
      <c r="Z970" s="1035">
        <f t="shared" si="220"/>
        <v>2</v>
      </c>
      <c r="AA970" s="1035"/>
      <c r="AB970" s="1035"/>
      <c r="AC970" s="1021">
        <v>211404</v>
      </c>
      <c r="AD970" s="1021" t="s">
        <v>2246</v>
      </c>
      <c r="AE970" s="1022">
        <v>0</v>
      </c>
      <c r="AF970" s="1022"/>
      <c r="AG970" s="1022">
        <f t="shared" si="221"/>
        <v>0</v>
      </c>
      <c r="AH970" s="1022">
        <f t="shared" si="222"/>
        <v>0</v>
      </c>
      <c r="AJ970" s="445"/>
      <c r="AK970" s="448"/>
      <c r="AL970" s="445"/>
    </row>
    <row r="971" spans="1:38" s="467" customFormat="1" ht="12.75" customHeight="1">
      <c r="A971" s="1033">
        <v>5214260</v>
      </c>
      <c r="B971" s="1033" t="s">
        <v>2794</v>
      </c>
      <c r="C971" s="1034" t="str">
        <f t="shared" si="227"/>
        <v/>
      </c>
      <c r="D971" s="1035"/>
      <c r="E971" s="1035"/>
      <c r="F971" s="1034" t="str">
        <f t="shared" si="228"/>
        <v/>
      </c>
      <c r="G971" s="1033"/>
      <c r="H971" s="1033"/>
      <c r="I971" s="1034" t="str">
        <f t="shared" si="229"/>
        <v/>
      </c>
      <c r="J971" s="1033"/>
      <c r="K971" s="1033"/>
      <c r="L971" s="1034" t="str">
        <f t="shared" si="230"/>
        <v/>
      </c>
      <c r="M971" s="1035"/>
      <c r="N971" s="1035"/>
      <c r="O971" s="1036" t="str">
        <f t="shared" si="231"/>
        <v/>
      </c>
      <c r="P971" s="1033"/>
      <c r="Q971" s="1033"/>
      <c r="R971" s="1034" t="str">
        <f t="shared" si="232"/>
        <v/>
      </c>
      <c r="S971" s="1035"/>
      <c r="T971" s="1035"/>
      <c r="U971" s="1034" t="str">
        <f t="shared" si="233"/>
        <v/>
      </c>
      <c r="V971" s="1035"/>
      <c r="W971" s="1035"/>
      <c r="X971" s="1037" t="str">
        <f t="shared" si="224"/>
        <v>222</v>
      </c>
      <c r="Y971" s="1035">
        <v>22</v>
      </c>
      <c r="Z971" s="1035">
        <f t="shared" si="220"/>
        <v>2</v>
      </c>
      <c r="AA971" s="1033" t="s">
        <v>2906</v>
      </c>
      <c r="AB971" s="1033" t="s">
        <v>2885</v>
      </c>
      <c r="AC971" s="1021">
        <v>211408</v>
      </c>
      <c r="AD971" s="1021" t="s">
        <v>2247</v>
      </c>
      <c r="AE971" s="1022">
        <f>VLOOKUP(AC971,[5]Hoja1!$A$10:$K$1393,11,0)</f>
        <v>-90857399</v>
      </c>
      <c r="AF971" s="1191">
        <f>-AF322-AF416+271812</f>
        <v>90857397</v>
      </c>
      <c r="AG971" s="1022">
        <f t="shared" si="221"/>
        <v>-2</v>
      </c>
      <c r="AH971" s="1022">
        <f t="shared" si="222"/>
        <v>0</v>
      </c>
      <c r="AI971" s="444"/>
      <c r="AJ971" s="444"/>
      <c r="AK971" s="448"/>
      <c r="AL971" s="445"/>
    </row>
    <row r="972" spans="1:38" s="467" customFormat="1" ht="12.75" customHeight="1">
      <c r="A972" s="1033">
        <v>5214260</v>
      </c>
      <c r="B972" s="1033" t="s">
        <v>2794</v>
      </c>
      <c r="C972" s="1034" t="str">
        <f t="shared" si="227"/>
        <v/>
      </c>
      <c r="D972" s="1035"/>
      <c r="E972" s="1035"/>
      <c r="F972" s="1034" t="str">
        <f t="shared" si="228"/>
        <v/>
      </c>
      <c r="G972" s="1033"/>
      <c r="H972" s="1033"/>
      <c r="I972" s="1034" t="str">
        <f t="shared" si="229"/>
        <v/>
      </c>
      <c r="J972" s="1033"/>
      <c r="K972" s="1033"/>
      <c r="L972" s="1034" t="str">
        <f t="shared" si="230"/>
        <v/>
      </c>
      <c r="M972" s="1035"/>
      <c r="N972" s="1035"/>
      <c r="O972" s="1036" t="str">
        <f t="shared" si="231"/>
        <v/>
      </c>
      <c r="P972" s="1033"/>
      <c r="Q972" s="1033"/>
      <c r="R972" s="1034" t="str">
        <f t="shared" si="232"/>
        <v/>
      </c>
      <c r="S972" s="1035"/>
      <c r="T972" s="1035"/>
      <c r="U972" s="1034" t="str">
        <f t="shared" si="233"/>
        <v/>
      </c>
      <c r="V972" s="1035"/>
      <c r="W972" s="1035"/>
      <c r="X972" s="1037" t="str">
        <f t="shared" si="224"/>
        <v>222</v>
      </c>
      <c r="Y972" s="1035">
        <v>22</v>
      </c>
      <c r="Z972" s="1035">
        <f t="shared" si="220"/>
        <v>2</v>
      </c>
      <c r="AA972" s="1033" t="s">
        <v>2906</v>
      </c>
      <c r="AB972" s="1035"/>
      <c r="AC972" s="1021">
        <v>211414</v>
      </c>
      <c r="AD972" s="1021" t="s">
        <v>8</v>
      </c>
      <c r="AE972" s="1022">
        <f>VLOOKUP(AC972,[5]Hoja1!$A$10:$K$1393,11,0)</f>
        <v>0</v>
      </c>
      <c r="AF972" s="1025">
        <f>-AF399</f>
        <v>0</v>
      </c>
      <c r="AG972" s="1022">
        <f t="shared" si="221"/>
        <v>0</v>
      </c>
      <c r="AH972" s="1022">
        <f t="shared" si="222"/>
        <v>0</v>
      </c>
      <c r="AK972" s="448"/>
      <c r="AL972" s="445"/>
    </row>
    <row r="973" spans="1:38" s="467" customFormat="1" ht="12.75" customHeight="1">
      <c r="A973" s="1033">
        <v>5153500</v>
      </c>
      <c r="B973" s="1033" t="s">
        <v>1457</v>
      </c>
      <c r="C973" s="1034" t="str">
        <f t="shared" si="227"/>
        <v/>
      </c>
      <c r="D973" s="1035"/>
      <c r="E973" s="1035"/>
      <c r="F973" s="1034" t="str">
        <f t="shared" si="228"/>
        <v/>
      </c>
      <c r="G973" s="1033"/>
      <c r="H973" s="1033"/>
      <c r="I973" s="1034" t="str">
        <f t="shared" si="229"/>
        <v/>
      </c>
      <c r="J973" s="1033"/>
      <c r="K973" s="1033"/>
      <c r="L973" s="1034" t="str">
        <f t="shared" si="230"/>
        <v/>
      </c>
      <c r="M973" s="1035"/>
      <c r="N973" s="1035"/>
      <c r="O973" s="1036" t="str">
        <f t="shared" si="231"/>
        <v/>
      </c>
      <c r="P973" s="1033"/>
      <c r="Q973" s="1033"/>
      <c r="R973" s="1034" t="str">
        <f t="shared" si="232"/>
        <v/>
      </c>
      <c r="S973" s="1035"/>
      <c r="T973" s="1035"/>
      <c r="U973" s="1034" t="str">
        <f t="shared" si="233"/>
        <v/>
      </c>
      <c r="V973" s="1035"/>
      <c r="W973" s="1035"/>
      <c r="X973" s="1037" t="str">
        <f t="shared" si="224"/>
        <v>2</v>
      </c>
      <c r="Y973" s="1035"/>
      <c r="Z973" s="1035">
        <f t="shared" si="220"/>
        <v>2</v>
      </c>
      <c r="AA973" s="1035"/>
      <c r="AB973" s="1035"/>
      <c r="AC973" s="1021">
        <v>211415</v>
      </c>
      <c r="AD973" s="1021" t="s">
        <v>369</v>
      </c>
      <c r="AE973" s="1022">
        <f>VLOOKUP(AC973,[5]Hoja1!$A$10:$K$1393,11,0)</f>
        <v>-47351578</v>
      </c>
      <c r="AF973" s="1509">
        <f>-AF391-AF392</f>
        <v>47351578</v>
      </c>
      <c r="AG973" s="1022">
        <f t="shared" si="221"/>
        <v>0</v>
      </c>
      <c r="AH973" s="1022">
        <f t="shared" si="222"/>
        <v>0</v>
      </c>
      <c r="AK973" s="448"/>
      <c r="AL973" s="445"/>
    </row>
    <row r="974" spans="1:38" s="467" customFormat="1" ht="12.75" customHeight="1">
      <c r="A974" s="1033">
        <v>5122000</v>
      </c>
      <c r="B974" s="1033" t="s">
        <v>2735</v>
      </c>
      <c r="C974" s="1034" t="str">
        <f t="shared" si="227"/>
        <v/>
      </c>
      <c r="D974" s="1033"/>
      <c r="E974" s="1033"/>
      <c r="F974" s="1034" t="str">
        <f t="shared" si="228"/>
        <v/>
      </c>
      <c r="G974" s="1033"/>
      <c r="H974" s="1033"/>
      <c r="I974" s="1034" t="str">
        <f t="shared" si="229"/>
        <v/>
      </c>
      <c r="J974" s="1035"/>
      <c r="K974" s="1035"/>
      <c r="L974" s="1034" t="str">
        <f t="shared" si="230"/>
        <v/>
      </c>
      <c r="M974" s="1035"/>
      <c r="N974" s="1035"/>
      <c r="O974" s="1036" t="str">
        <f t="shared" si="231"/>
        <v/>
      </c>
      <c r="P974" s="1033"/>
      <c r="Q974" s="1033"/>
      <c r="R974" s="1034" t="str">
        <f t="shared" si="232"/>
        <v/>
      </c>
      <c r="S974" s="1035"/>
      <c r="T974" s="1035"/>
      <c r="U974" s="1034" t="str">
        <f t="shared" si="233"/>
        <v/>
      </c>
      <c r="V974" s="1035"/>
      <c r="W974" s="1035"/>
      <c r="X974" s="1037" t="str">
        <f t="shared" si="224"/>
        <v>222</v>
      </c>
      <c r="Y974" s="1035">
        <v>22</v>
      </c>
      <c r="Z974" s="1035">
        <f t="shared" si="220"/>
        <v>2</v>
      </c>
      <c r="AA974" s="1035"/>
      <c r="AB974" s="1035"/>
      <c r="AC974" s="1021">
        <v>211422</v>
      </c>
      <c r="AD974" s="1021" t="s">
        <v>569</v>
      </c>
      <c r="AE974" s="1022">
        <f>VLOOKUP(AC974,[5]Hoja1!$A$10:$K$1393,11,0)</f>
        <v>-134660562</v>
      </c>
      <c r="AF974" s="1509">
        <f>-AE974</f>
        <v>134660562</v>
      </c>
      <c r="AG974" s="1022">
        <f t="shared" si="221"/>
        <v>0</v>
      </c>
      <c r="AH974" s="1022">
        <f t="shared" si="222"/>
        <v>0</v>
      </c>
      <c r="AK974" s="448"/>
      <c r="AL974" s="445"/>
    </row>
    <row r="975" spans="1:38" s="467" customFormat="1" ht="12.75" customHeight="1">
      <c r="A975" s="1033">
        <v>5214260</v>
      </c>
      <c r="B975" s="1033" t="s">
        <v>2794</v>
      </c>
      <c r="C975" s="1034" t="str">
        <f t="shared" si="227"/>
        <v/>
      </c>
      <c r="D975" s="1033"/>
      <c r="E975" s="1033"/>
      <c r="F975" s="1034" t="str">
        <f t="shared" si="228"/>
        <v/>
      </c>
      <c r="G975" s="1033"/>
      <c r="H975" s="1033"/>
      <c r="I975" s="1034" t="str">
        <f t="shared" si="229"/>
        <v/>
      </c>
      <c r="J975" s="1035"/>
      <c r="K975" s="1035"/>
      <c r="L975" s="1034" t="str">
        <f t="shared" si="230"/>
        <v/>
      </c>
      <c r="M975" s="1035"/>
      <c r="N975" s="1035"/>
      <c r="O975" s="1036" t="str">
        <f t="shared" si="231"/>
        <v/>
      </c>
      <c r="P975" s="1033"/>
      <c r="Q975" s="1033"/>
      <c r="R975" s="1034" t="str">
        <f t="shared" si="232"/>
        <v/>
      </c>
      <c r="S975" s="1035"/>
      <c r="T975" s="1035"/>
      <c r="U975" s="1034" t="str">
        <f t="shared" si="233"/>
        <v/>
      </c>
      <c r="V975" s="1035"/>
      <c r="W975" s="1035"/>
      <c r="X975" s="1037" t="str">
        <f t="shared" si="224"/>
        <v>222</v>
      </c>
      <c r="Y975" s="1035">
        <v>22</v>
      </c>
      <c r="Z975" s="1035">
        <f t="shared" si="220"/>
        <v>2</v>
      </c>
      <c r="AA975" s="1033" t="s">
        <v>2906</v>
      </c>
      <c r="AB975" s="1035"/>
      <c r="AC975" s="1021">
        <v>211428</v>
      </c>
      <c r="AD975" s="1021" t="s">
        <v>454</v>
      </c>
      <c r="AE975" s="1022">
        <v>0</v>
      </c>
      <c r="AF975" s="1022"/>
      <c r="AG975" s="1022">
        <f t="shared" si="221"/>
        <v>0</v>
      </c>
      <c r="AH975" s="1022">
        <f t="shared" si="222"/>
        <v>0</v>
      </c>
      <c r="AK975" s="448"/>
      <c r="AL975" s="445"/>
    </row>
    <row r="976" spans="1:38" s="467" customFormat="1" ht="12.75" customHeight="1">
      <c r="A976" s="1033">
        <v>5214260</v>
      </c>
      <c r="B976" s="1033" t="s">
        <v>2794</v>
      </c>
      <c r="C976" s="1034" t="str">
        <f>+D976&amp;E976</f>
        <v/>
      </c>
      <c r="D976" s="1033"/>
      <c r="E976" s="1033"/>
      <c r="F976" s="1034" t="str">
        <f>+G976&amp;H976</f>
        <v/>
      </c>
      <c r="G976" s="1033"/>
      <c r="H976" s="1033"/>
      <c r="I976" s="1034" t="str">
        <f>+J976&amp;K976</f>
        <v/>
      </c>
      <c r="J976" s="1035"/>
      <c r="K976" s="1035"/>
      <c r="L976" s="1034" t="str">
        <f>+M976&amp;N976</f>
        <v/>
      </c>
      <c r="M976" s="1035"/>
      <c r="N976" s="1035"/>
      <c r="O976" s="1036" t="str">
        <f>+P976&amp;Q976</f>
        <v/>
      </c>
      <c r="P976" s="1033"/>
      <c r="Q976" s="1033"/>
      <c r="R976" s="1034" t="str">
        <f>+S976&amp;T976</f>
        <v/>
      </c>
      <c r="S976" s="1035"/>
      <c r="T976" s="1035"/>
      <c r="U976" s="1034" t="str">
        <f>+V976&amp;W976</f>
        <v/>
      </c>
      <c r="V976" s="1035"/>
      <c r="W976" s="1035"/>
      <c r="X976" s="1037" t="str">
        <f t="shared" si="224"/>
        <v>222</v>
      </c>
      <c r="Y976" s="1035">
        <v>22</v>
      </c>
      <c r="Z976" s="1035">
        <f t="shared" si="220"/>
        <v>2</v>
      </c>
      <c r="AA976" s="1033" t="s">
        <v>2906</v>
      </c>
      <c r="AB976" s="1035"/>
      <c r="AC976" s="1021">
        <v>211432</v>
      </c>
      <c r="AD976" s="1021" t="s">
        <v>1303</v>
      </c>
      <c r="AE976" s="1022">
        <f>VLOOKUP(AC976,[5]Hoja1!$A$10:$K$1393,11,0)</f>
        <v>-3626869</v>
      </c>
      <c r="AF976" s="1191">
        <f>-AE976</f>
        <v>3626869</v>
      </c>
      <c r="AG976" s="1022">
        <f t="shared" si="221"/>
        <v>0</v>
      </c>
      <c r="AH976" s="1022">
        <f t="shared" si="222"/>
        <v>0</v>
      </c>
      <c r="AK976" s="448"/>
      <c r="AL976" s="445"/>
    </row>
    <row r="977" spans="1:38" s="467" customFormat="1" ht="12.75" customHeight="1">
      <c r="A977" s="1033">
        <v>5214260</v>
      </c>
      <c r="B977" s="1033" t="s">
        <v>2794</v>
      </c>
      <c r="C977" s="1034"/>
      <c r="D977" s="1033"/>
      <c r="E977" s="1033"/>
      <c r="F977" s="1034"/>
      <c r="G977" s="1033"/>
      <c r="H977" s="1033"/>
      <c r="I977" s="1034"/>
      <c r="J977" s="1035"/>
      <c r="K977" s="1035"/>
      <c r="L977" s="1034"/>
      <c r="M977" s="1035"/>
      <c r="N977" s="1035"/>
      <c r="O977" s="1036"/>
      <c r="P977" s="1033"/>
      <c r="Q977" s="1033"/>
      <c r="R977" s="1034"/>
      <c r="S977" s="1035"/>
      <c r="T977" s="1035"/>
      <c r="U977" s="1034"/>
      <c r="V977" s="1035"/>
      <c r="W977" s="1035"/>
      <c r="X977" s="1037" t="str">
        <f t="shared" si="224"/>
        <v>222</v>
      </c>
      <c r="Y977" s="1035">
        <v>22</v>
      </c>
      <c r="Z977" s="1035">
        <f t="shared" si="220"/>
        <v>2</v>
      </c>
      <c r="AA977" s="1033" t="s">
        <v>2906</v>
      </c>
      <c r="AB977" s="1033" t="s">
        <v>2885</v>
      </c>
      <c r="AC977" s="1021">
        <v>211433</v>
      </c>
      <c r="AD977" s="1021" t="s">
        <v>198</v>
      </c>
      <c r="AE977" s="1022">
        <f>VLOOKUP(AC977,[5]Hoja1!$A$10:$K$1393,11,0)</f>
        <v>-97763288</v>
      </c>
      <c r="AF977" s="1022"/>
      <c r="AG977" s="1022">
        <f t="shared" si="221"/>
        <v>-97763288</v>
      </c>
      <c r="AH977" s="1022">
        <f t="shared" si="222"/>
        <v>-97763</v>
      </c>
      <c r="AK977" s="448"/>
      <c r="AL977" s="445"/>
    </row>
    <row r="978" spans="1:38" s="467" customFormat="1" ht="12.75" customHeight="1">
      <c r="A978" s="1033">
        <v>5214100</v>
      </c>
      <c r="B978" s="1033" t="s">
        <v>2788</v>
      </c>
      <c r="C978" s="1034"/>
      <c r="D978" s="1033"/>
      <c r="E978" s="1033"/>
      <c r="F978" s="1034"/>
      <c r="G978" s="1033"/>
      <c r="H978" s="1033"/>
      <c r="I978" s="1034"/>
      <c r="J978" s="1035"/>
      <c r="K978" s="1035"/>
      <c r="L978" s="1034"/>
      <c r="M978" s="1035"/>
      <c r="N978" s="1035"/>
      <c r="O978" s="1036"/>
      <c r="P978" s="1033"/>
      <c r="Q978" s="1033"/>
      <c r="R978" s="1034"/>
      <c r="S978" s="1035"/>
      <c r="T978" s="1035"/>
      <c r="U978" s="1034"/>
      <c r="V978" s="1035"/>
      <c r="W978" s="1035"/>
      <c r="X978" s="1037" t="str">
        <f t="shared" si="224"/>
        <v>222</v>
      </c>
      <c r="Y978" s="1035">
        <v>22</v>
      </c>
      <c r="Z978" s="1035">
        <f t="shared" si="220"/>
        <v>2</v>
      </c>
      <c r="AA978" s="1035"/>
      <c r="AB978" s="1035"/>
      <c r="AC978" s="1021">
        <v>211434</v>
      </c>
      <c r="AD978" s="1021" t="s">
        <v>368</v>
      </c>
      <c r="AE978" s="1022">
        <f>VLOOKUP(AC978,[5]Hoja1!$A$10:$K$1393,11,0)</f>
        <v>-1276405187</v>
      </c>
      <c r="AF978" s="1191">
        <f>228350837+14363964+1019157265</f>
        <v>1261872066</v>
      </c>
      <c r="AG978" s="1022">
        <f t="shared" si="221"/>
        <v>-14533121</v>
      </c>
      <c r="AH978" s="1022">
        <f t="shared" si="222"/>
        <v>-14533</v>
      </c>
      <c r="AK978" s="448"/>
      <c r="AL978" s="445"/>
    </row>
    <row r="979" spans="1:38" s="467" customFormat="1" ht="12.75" customHeight="1">
      <c r="A979" s="1033">
        <v>5214260</v>
      </c>
      <c r="B979" s="1033" t="s">
        <v>2794</v>
      </c>
      <c r="C979" s="1034"/>
      <c r="D979" s="1033"/>
      <c r="E979" s="1033"/>
      <c r="F979" s="1034"/>
      <c r="G979" s="1033"/>
      <c r="H979" s="1033"/>
      <c r="I979" s="1034"/>
      <c r="J979" s="1035"/>
      <c r="K979" s="1035"/>
      <c r="L979" s="1034"/>
      <c r="M979" s="1035"/>
      <c r="N979" s="1035"/>
      <c r="O979" s="1036"/>
      <c r="P979" s="1033"/>
      <c r="Q979" s="1033"/>
      <c r="R979" s="1034"/>
      <c r="S979" s="1035"/>
      <c r="T979" s="1035"/>
      <c r="U979" s="1034"/>
      <c r="V979" s="1035"/>
      <c r="W979" s="1035"/>
      <c r="X979" s="1037" t="str">
        <f t="shared" si="224"/>
        <v>222</v>
      </c>
      <c r="Y979" s="1035">
        <v>22</v>
      </c>
      <c r="Z979" s="1035">
        <f t="shared" si="220"/>
        <v>2</v>
      </c>
      <c r="AA979" s="1033" t="s">
        <v>2906</v>
      </c>
      <c r="AB979" s="1033" t="s">
        <v>2885</v>
      </c>
      <c r="AC979" s="1021">
        <v>211435</v>
      </c>
      <c r="AD979" s="1021" t="s">
        <v>2248</v>
      </c>
      <c r="AE979" s="1022">
        <f>VLOOKUP(AC979,[5]Hoja1!$A$10:$K$1393,11,0)</f>
        <v>-54849782</v>
      </c>
      <c r="AF979" s="1191">
        <f>-AF324-AF325</f>
        <v>54849782</v>
      </c>
      <c r="AG979" s="1022">
        <f t="shared" si="221"/>
        <v>0</v>
      </c>
      <c r="AH979" s="1022">
        <f t="shared" si="222"/>
        <v>0</v>
      </c>
      <c r="AK979" s="448"/>
      <c r="AL979" s="445"/>
    </row>
    <row r="980" spans="1:38" s="467" customFormat="1" ht="12.75" customHeight="1">
      <c r="A980" s="1033">
        <v>5214260</v>
      </c>
      <c r="B980" s="1033" t="s">
        <v>2794</v>
      </c>
      <c r="C980" s="1034"/>
      <c r="D980" s="1033"/>
      <c r="E980" s="1033"/>
      <c r="F980" s="1034"/>
      <c r="G980" s="1033"/>
      <c r="H980" s="1033"/>
      <c r="I980" s="1034"/>
      <c r="J980" s="1035"/>
      <c r="K980" s="1035"/>
      <c r="L980" s="1034"/>
      <c r="M980" s="1035"/>
      <c r="N980" s="1035"/>
      <c r="O980" s="1036"/>
      <c r="P980" s="1033"/>
      <c r="Q980" s="1033"/>
      <c r="R980" s="1034"/>
      <c r="S980" s="1035"/>
      <c r="T980" s="1035"/>
      <c r="U980" s="1034"/>
      <c r="V980" s="1035"/>
      <c r="W980" s="1035"/>
      <c r="X980" s="1037" t="str">
        <f t="shared" si="224"/>
        <v xml:space="preserve"> 2</v>
      </c>
      <c r="Y980" s="1035" t="s">
        <v>1805</v>
      </c>
      <c r="Z980" s="1035">
        <f t="shared" si="220"/>
        <v>2</v>
      </c>
      <c r="AA980" s="1033" t="s">
        <v>2906</v>
      </c>
      <c r="AB980" s="1033" t="s">
        <v>2885</v>
      </c>
      <c r="AC980" s="1021">
        <v>211436</v>
      </c>
      <c r="AD980" s="1021" t="s">
        <v>2249</v>
      </c>
      <c r="AE980" s="1022">
        <f>VLOOKUP(AC980,[5]Hoja1!$A$10:$K$1393,11,0)</f>
        <v>-19796741</v>
      </c>
      <c r="AF980" s="1022"/>
      <c r="AG980" s="1022">
        <f t="shared" si="221"/>
        <v>-19796741</v>
      </c>
      <c r="AH980" s="1022">
        <f t="shared" si="222"/>
        <v>-19797</v>
      </c>
      <c r="AK980" s="448"/>
      <c r="AL980" s="445"/>
    </row>
    <row r="981" spans="1:38" s="467" customFormat="1" ht="12.75" customHeight="1">
      <c r="A981" s="1033">
        <v>5214260</v>
      </c>
      <c r="B981" s="1033" t="s">
        <v>2794</v>
      </c>
      <c r="C981" s="1034"/>
      <c r="D981" s="1033"/>
      <c r="E981" s="1033"/>
      <c r="F981" s="1034"/>
      <c r="G981" s="1033"/>
      <c r="H981" s="1033"/>
      <c r="I981" s="1034"/>
      <c r="J981" s="1035"/>
      <c r="K981" s="1035"/>
      <c r="L981" s="1034"/>
      <c r="M981" s="1035"/>
      <c r="N981" s="1035"/>
      <c r="O981" s="1036"/>
      <c r="P981" s="1033"/>
      <c r="Q981" s="1033"/>
      <c r="R981" s="1034"/>
      <c r="S981" s="1035"/>
      <c r="T981" s="1035"/>
      <c r="U981" s="1034"/>
      <c r="V981" s="1035"/>
      <c r="W981" s="1035"/>
      <c r="X981" s="1037" t="str">
        <f t="shared" si="224"/>
        <v xml:space="preserve"> 2</v>
      </c>
      <c r="Y981" s="1035" t="s">
        <v>1805</v>
      </c>
      <c r="Z981" s="1035">
        <f t="shared" si="220"/>
        <v>2</v>
      </c>
      <c r="AA981" s="1033" t="s">
        <v>2906</v>
      </c>
      <c r="AB981" s="1033" t="s">
        <v>2880</v>
      </c>
      <c r="AC981" s="1021">
        <v>211437</v>
      </c>
      <c r="AD981" s="1021" t="s">
        <v>2250</v>
      </c>
      <c r="AE981" s="1022">
        <f>VLOOKUP(AC981,[5]Hoja1!$A$10:$K$1393,11,0)</f>
        <v>-685080317</v>
      </c>
      <c r="AF981" s="1022"/>
      <c r="AG981" s="1022">
        <f t="shared" si="221"/>
        <v>-685080317</v>
      </c>
      <c r="AH981" s="1022">
        <f t="shared" si="222"/>
        <v>-685080</v>
      </c>
      <c r="AK981" s="448"/>
      <c r="AL981" s="445"/>
    </row>
    <row r="982" spans="1:38" s="467" customFormat="1" ht="12.75" customHeight="1">
      <c r="A982" s="1033">
        <v>5214212</v>
      </c>
      <c r="B982" s="1033" t="s">
        <v>2791</v>
      </c>
      <c r="C982" s="1034" t="str">
        <f t="shared" si="227"/>
        <v/>
      </c>
      <c r="D982" s="1033"/>
      <c r="E982" s="1033"/>
      <c r="F982" s="1034" t="str">
        <f t="shared" si="228"/>
        <v/>
      </c>
      <c r="G982" s="1033"/>
      <c r="H982" s="1033"/>
      <c r="I982" s="1034" t="str">
        <f t="shared" si="229"/>
        <v/>
      </c>
      <c r="J982" s="1035"/>
      <c r="K982" s="1035"/>
      <c r="L982" s="1034" t="str">
        <f t="shared" si="230"/>
        <v/>
      </c>
      <c r="M982" s="1035"/>
      <c r="N982" s="1035"/>
      <c r="O982" s="1036" t="str">
        <f t="shared" si="231"/>
        <v/>
      </c>
      <c r="P982" s="1033"/>
      <c r="Q982" s="1033"/>
      <c r="R982" s="1034" t="str">
        <f t="shared" si="232"/>
        <v/>
      </c>
      <c r="S982" s="1035"/>
      <c r="T982" s="1035"/>
      <c r="U982" s="1034" t="str">
        <f t="shared" si="233"/>
        <v/>
      </c>
      <c r="V982" s="1035"/>
      <c r="W982" s="1035"/>
      <c r="X982" s="1037" t="str">
        <f t="shared" si="224"/>
        <v>2</v>
      </c>
      <c r="Y982" s="1035"/>
      <c r="Z982" s="1035">
        <f t="shared" si="220"/>
        <v>2</v>
      </c>
      <c r="AA982" s="1035"/>
      <c r="AB982" s="1035"/>
      <c r="AC982" s="1021">
        <v>211501</v>
      </c>
      <c r="AD982" s="1021" t="s">
        <v>2251</v>
      </c>
      <c r="AE982" s="1022">
        <f>VLOOKUP(AC982,[5]Hoja1!$A$10:$K$1393,11,0)</f>
        <v>-1742087093</v>
      </c>
      <c r="AF982" s="1022"/>
      <c r="AG982" s="1022">
        <f t="shared" si="221"/>
        <v>-1742087093</v>
      </c>
      <c r="AH982" s="1022">
        <f t="shared" si="222"/>
        <v>-1742087</v>
      </c>
      <c r="AK982" s="448"/>
      <c r="AL982" s="445"/>
    </row>
    <row r="983" spans="1:38" s="467" customFormat="1" ht="12.75" customHeight="1">
      <c r="A983" s="1033"/>
      <c r="B983" s="1033"/>
      <c r="C983" s="1034" t="str">
        <f t="shared" si="227"/>
        <v/>
      </c>
      <c r="D983" s="1035"/>
      <c r="E983" s="1035"/>
      <c r="F983" s="1034" t="str">
        <f t="shared" si="228"/>
        <v/>
      </c>
      <c r="G983" s="1033"/>
      <c r="H983" s="1033"/>
      <c r="I983" s="1034" t="str">
        <f t="shared" si="229"/>
        <v/>
      </c>
      <c r="J983" s="1033"/>
      <c r="K983" s="1033"/>
      <c r="L983" s="1034" t="str">
        <f t="shared" si="230"/>
        <v/>
      </c>
      <c r="M983" s="1035"/>
      <c r="N983" s="1035"/>
      <c r="O983" s="1036" t="str">
        <f t="shared" si="231"/>
        <v/>
      </c>
      <c r="P983" s="1035"/>
      <c r="Q983" s="1033"/>
      <c r="R983" s="1034" t="str">
        <f t="shared" si="232"/>
        <v/>
      </c>
      <c r="S983" s="1035"/>
      <c r="T983" s="1035"/>
      <c r="U983" s="1034" t="str">
        <f t="shared" si="233"/>
        <v/>
      </c>
      <c r="V983" s="1035"/>
      <c r="W983" s="1035"/>
      <c r="X983" s="1037" t="str">
        <f t="shared" si="224"/>
        <v>2</v>
      </c>
      <c r="Y983" s="1035"/>
      <c r="Z983" s="1035">
        <f t="shared" si="220"/>
        <v>2</v>
      </c>
      <c r="AA983" s="1035"/>
      <c r="AB983" s="1035"/>
      <c r="AC983" s="1021">
        <v>211502</v>
      </c>
      <c r="AD983" s="1021" t="s">
        <v>2252</v>
      </c>
      <c r="AE983" s="1022">
        <v>0</v>
      </c>
      <c r="AF983" s="1022"/>
      <c r="AG983" s="1022">
        <f t="shared" si="221"/>
        <v>0</v>
      </c>
      <c r="AH983" s="1022">
        <f t="shared" si="222"/>
        <v>0</v>
      </c>
      <c r="AJ983" s="445"/>
      <c r="AK983" s="448"/>
      <c r="AL983" s="445"/>
    </row>
    <row r="984" spans="1:38" s="467" customFormat="1" ht="12.75" customHeight="1">
      <c r="A984" s="1033"/>
      <c r="B984" s="1033"/>
      <c r="C984" s="1034" t="str">
        <f t="shared" si="227"/>
        <v/>
      </c>
      <c r="D984" s="1035"/>
      <c r="E984" s="1035"/>
      <c r="F984" s="1034" t="str">
        <f t="shared" si="228"/>
        <v/>
      </c>
      <c r="G984" s="1033"/>
      <c r="H984" s="1033"/>
      <c r="I984" s="1034" t="str">
        <f t="shared" si="229"/>
        <v/>
      </c>
      <c r="J984" s="1033"/>
      <c r="K984" s="1033"/>
      <c r="L984" s="1034" t="str">
        <f t="shared" si="230"/>
        <v/>
      </c>
      <c r="M984" s="1035"/>
      <c r="N984" s="1035"/>
      <c r="O984" s="1036" t="str">
        <f t="shared" si="231"/>
        <v/>
      </c>
      <c r="P984" s="1035"/>
      <c r="Q984" s="1033"/>
      <c r="R984" s="1034" t="str">
        <f t="shared" si="232"/>
        <v/>
      </c>
      <c r="S984" s="1035"/>
      <c r="T984" s="1035"/>
      <c r="U984" s="1034" t="str">
        <f t="shared" si="233"/>
        <v/>
      </c>
      <c r="V984" s="1035"/>
      <c r="W984" s="1035"/>
      <c r="X984" s="1037" t="str">
        <f t="shared" si="224"/>
        <v>222</v>
      </c>
      <c r="Y984" s="1035">
        <v>22</v>
      </c>
      <c r="Z984" s="1035">
        <f t="shared" ref="Z984:Z1051" si="234">VALUE(LEFT(AC984,1))</f>
        <v>2</v>
      </c>
      <c r="AA984" s="1035"/>
      <c r="AB984" s="1035"/>
      <c r="AC984" s="1021">
        <v>211601</v>
      </c>
      <c r="AD984" s="1021" t="s">
        <v>2253</v>
      </c>
      <c r="AE984" s="1022">
        <v>0</v>
      </c>
      <c r="AF984" s="1022">
        <f>-AE984</f>
        <v>0</v>
      </c>
      <c r="AG984" s="1022">
        <f t="shared" ref="AG984:AG1051" si="235">AE984+AF984</f>
        <v>0</v>
      </c>
      <c r="AH984" s="1022">
        <f t="shared" ref="AH984:AH1051" si="236">ROUND((AE984+AF984)/$AH$2,0)</f>
        <v>0</v>
      </c>
      <c r="AK984" s="448"/>
      <c r="AL984" s="445"/>
    </row>
    <row r="985" spans="1:38" s="467" customFormat="1" ht="12.75" customHeight="1">
      <c r="A985" s="1033"/>
      <c r="B985" s="1033"/>
      <c r="C985" s="1034" t="str">
        <f t="shared" si="227"/>
        <v/>
      </c>
      <c r="D985" s="1035"/>
      <c r="E985" s="1035"/>
      <c r="F985" s="1034" t="str">
        <f t="shared" si="228"/>
        <v/>
      </c>
      <c r="G985" s="1033"/>
      <c r="H985" s="1033"/>
      <c r="I985" s="1034" t="str">
        <f t="shared" si="229"/>
        <v/>
      </c>
      <c r="J985" s="1033"/>
      <c r="K985" s="1033"/>
      <c r="L985" s="1034" t="str">
        <f t="shared" si="230"/>
        <v/>
      </c>
      <c r="M985" s="1035"/>
      <c r="N985" s="1035"/>
      <c r="O985" s="1036" t="str">
        <f t="shared" si="231"/>
        <v/>
      </c>
      <c r="P985" s="1035"/>
      <c r="Q985" s="1033"/>
      <c r="R985" s="1034" t="str">
        <f t="shared" si="232"/>
        <v/>
      </c>
      <c r="S985" s="1035"/>
      <c r="T985" s="1035"/>
      <c r="U985" s="1034" t="str">
        <f t="shared" si="233"/>
        <v/>
      </c>
      <c r="V985" s="1035"/>
      <c r="W985" s="1035"/>
      <c r="X985" s="1037" t="str">
        <f t="shared" si="224"/>
        <v>222</v>
      </c>
      <c r="Y985" s="1035">
        <v>22</v>
      </c>
      <c r="Z985" s="1035">
        <f t="shared" si="234"/>
        <v>2</v>
      </c>
      <c r="AA985" s="1035"/>
      <c r="AB985" s="1035"/>
      <c r="AC985" s="1021">
        <v>211602</v>
      </c>
      <c r="AD985" s="1021" t="s">
        <v>2254</v>
      </c>
      <c r="AE985" s="1022">
        <v>0</v>
      </c>
      <c r="AF985" s="1022"/>
      <c r="AG985" s="1022">
        <f t="shared" si="235"/>
        <v>0</v>
      </c>
      <c r="AH985" s="1022">
        <f t="shared" si="236"/>
        <v>0</v>
      </c>
      <c r="AI985" s="445"/>
      <c r="AK985" s="448"/>
      <c r="AL985" s="445"/>
    </row>
    <row r="986" spans="1:38" s="467" customFormat="1" ht="12.75" customHeight="1">
      <c r="A986" s="1033"/>
      <c r="B986" s="1033"/>
      <c r="C986" s="1034" t="str">
        <f t="shared" si="227"/>
        <v/>
      </c>
      <c r="D986" s="1035"/>
      <c r="E986" s="1035"/>
      <c r="F986" s="1034" t="str">
        <f t="shared" si="228"/>
        <v/>
      </c>
      <c r="G986" s="1033"/>
      <c r="H986" s="1033"/>
      <c r="I986" s="1034" t="str">
        <f t="shared" si="229"/>
        <v/>
      </c>
      <c r="J986" s="1033"/>
      <c r="K986" s="1033"/>
      <c r="L986" s="1034" t="str">
        <f t="shared" si="230"/>
        <v/>
      </c>
      <c r="M986" s="1035"/>
      <c r="N986" s="1035"/>
      <c r="O986" s="1036" t="str">
        <f t="shared" si="231"/>
        <v/>
      </c>
      <c r="P986" s="1035"/>
      <c r="Q986" s="1033"/>
      <c r="R986" s="1034" t="str">
        <f t="shared" si="232"/>
        <v/>
      </c>
      <c r="S986" s="1035"/>
      <c r="T986" s="1035"/>
      <c r="U986" s="1034" t="str">
        <f t="shared" si="233"/>
        <v/>
      </c>
      <c r="V986" s="1035"/>
      <c r="W986" s="1035"/>
      <c r="X986" s="1037" t="str">
        <f t="shared" si="224"/>
        <v>222</v>
      </c>
      <c r="Y986" s="1035">
        <v>22</v>
      </c>
      <c r="Z986" s="1035">
        <f t="shared" si="234"/>
        <v>2</v>
      </c>
      <c r="AA986" s="1035"/>
      <c r="AB986" s="1035"/>
      <c r="AC986" s="1021">
        <v>211603</v>
      </c>
      <c r="AD986" s="1021" t="s">
        <v>2255</v>
      </c>
      <c r="AE986" s="1022">
        <v>0</v>
      </c>
      <c r="AF986" s="1022"/>
      <c r="AG986" s="1022">
        <f t="shared" si="235"/>
        <v>0</v>
      </c>
      <c r="AH986" s="1022">
        <f t="shared" si="236"/>
        <v>0</v>
      </c>
      <c r="AK986" s="448"/>
      <c r="AL986" s="445"/>
    </row>
    <row r="987" spans="1:38" s="467" customFormat="1" ht="12.75" customHeight="1">
      <c r="A987" s="1033">
        <v>5214260</v>
      </c>
      <c r="B987" s="1033" t="s">
        <v>2794</v>
      </c>
      <c r="C987" s="1034" t="str">
        <f t="shared" si="227"/>
        <v/>
      </c>
      <c r="D987" s="1035"/>
      <c r="E987" s="1035"/>
      <c r="F987" s="1034" t="str">
        <f t="shared" si="228"/>
        <v/>
      </c>
      <c r="G987" s="1033"/>
      <c r="H987" s="1033"/>
      <c r="I987" s="1034" t="str">
        <f t="shared" si="229"/>
        <v/>
      </c>
      <c r="J987" s="1033"/>
      <c r="K987" s="1033"/>
      <c r="L987" s="1034" t="str">
        <f t="shared" si="230"/>
        <v/>
      </c>
      <c r="M987" s="1035"/>
      <c r="N987" s="1035"/>
      <c r="O987" s="1036" t="str">
        <f t="shared" si="231"/>
        <v/>
      </c>
      <c r="P987" s="1033"/>
      <c r="Q987" s="1033"/>
      <c r="R987" s="1034" t="str">
        <f t="shared" si="232"/>
        <v/>
      </c>
      <c r="S987" s="1035"/>
      <c r="T987" s="1035"/>
      <c r="U987" s="1034" t="str">
        <f t="shared" si="233"/>
        <v/>
      </c>
      <c r="V987" s="1035"/>
      <c r="W987" s="1035"/>
      <c r="X987" s="1037" t="str">
        <f t="shared" si="224"/>
        <v>2</v>
      </c>
      <c r="Y987" s="1035"/>
      <c r="Z987" s="1035">
        <f t="shared" si="234"/>
        <v>2</v>
      </c>
      <c r="AA987" s="1033" t="s">
        <v>2906</v>
      </c>
      <c r="AB987" s="1033" t="s">
        <v>354</v>
      </c>
      <c r="AC987" s="1021">
        <v>211701</v>
      </c>
      <c r="AD987" s="1021" t="s">
        <v>77</v>
      </c>
      <c r="AE987" s="1022">
        <f>VLOOKUP(AC987,[5]Hoja1!$A$10:$K$1393,11,0)</f>
        <v>0</v>
      </c>
      <c r="AF987" s="1022"/>
      <c r="AG987" s="1022">
        <f t="shared" si="235"/>
        <v>0</v>
      </c>
      <c r="AH987" s="1022">
        <f t="shared" si="236"/>
        <v>0</v>
      </c>
      <c r="AI987" s="445"/>
      <c r="AK987" s="448"/>
      <c r="AL987" s="445"/>
    </row>
    <row r="988" spans="1:38" s="467" customFormat="1" ht="12.75" customHeight="1">
      <c r="A988" s="1033">
        <v>5214260</v>
      </c>
      <c r="B988" s="1033" t="s">
        <v>2794</v>
      </c>
      <c r="C988" s="1034"/>
      <c r="D988" s="1035"/>
      <c r="E988" s="1035"/>
      <c r="F988" s="1034"/>
      <c r="G988" s="1033"/>
      <c r="H988" s="1033"/>
      <c r="I988" s="1034"/>
      <c r="J988" s="1033"/>
      <c r="K988" s="1033"/>
      <c r="L988" s="1034"/>
      <c r="M988" s="1035"/>
      <c r="N988" s="1035"/>
      <c r="O988" s="1036"/>
      <c r="P988" s="1033"/>
      <c r="Q988" s="1033"/>
      <c r="R988" s="1034"/>
      <c r="S988" s="1035"/>
      <c r="T988" s="1035"/>
      <c r="U988" s="1034"/>
      <c r="V988" s="1035"/>
      <c r="W988" s="1035"/>
      <c r="X988" s="1037"/>
      <c r="Y988" s="1035"/>
      <c r="Z988" s="1035">
        <f t="shared" si="234"/>
        <v>2</v>
      </c>
      <c r="AA988" s="1033" t="s">
        <v>2906</v>
      </c>
      <c r="AB988" s="1033" t="s">
        <v>354</v>
      </c>
      <c r="AC988" s="1021">
        <v>211702</v>
      </c>
      <c r="AD988" s="1021" t="s">
        <v>436</v>
      </c>
      <c r="AE988" s="1022">
        <f>VLOOKUP(AC988,[5]Hoja1!$A$10:$K$1393,11,0)</f>
        <v>0</v>
      </c>
      <c r="AF988" s="1022"/>
      <c r="AG988" s="1022">
        <f t="shared" si="235"/>
        <v>0</v>
      </c>
      <c r="AH988" s="1022">
        <f t="shared" si="236"/>
        <v>0</v>
      </c>
      <c r="AI988" s="445"/>
      <c r="AK988" s="448"/>
      <c r="AL988" s="445"/>
    </row>
    <row r="989" spans="1:38" s="467" customFormat="1" ht="12.75" customHeight="1">
      <c r="A989" s="1033"/>
      <c r="B989" s="1033"/>
      <c r="C989" s="1034"/>
      <c r="D989" s="1035"/>
      <c r="E989" s="1035"/>
      <c r="F989" s="1034"/>
      <c r="G989" s="1033"/>
      <c r="H989" s="1033"/>
      <c r="I989" s="1034"/>
      <c r="J989" s="1033"/>
      <c r="K989" s="1033"/>
      <c r="L989" s="1034"/>
      <c r="M989" s="1035"/>
      <c r="N989" s="1035"/>
      <c r="O989" s="1036"/>
      <c r="P989" s="1033"/>
      <c r="Q989" s="1033"/>
      <c r="R989" s="1034"/>
      <c r="S989" s="1035"/>
      <c r="T989" s="1035"/>
      <c r="U989" s="1034"/>
      <c r="V989" s="1035"/>
      <c r="W989" s="1035"/>
      <c r="X989" s="1037"/>
      <c r="Y989" s="1035"/>
      <c r="Z989" s="1035">
        <f t="shared" si="234"/>
        <v>2</v>
      </c>
      <c r="AA989" s="1035"/>
      <c r="AB989" s="1035"/>
      <c r="AC989" s="1021">
        <v>211711</v>
      </c>
      <c r="AD989" s="1021" t="s">
        <v>13</v>
      </c>
      <c r="AE989" s="1022">
        <v>0</v>
      </c>
      <c r="AF989" s="1022"/>
      <c r="AG989" s="1022">
        <f t="shared" si="235"/>
        <v>0</v>
      </c>
      <c r="AH989" s="1022">
        <f t="shared" si="236"/>
        <v>0</v>
      </c>
      <c r="AI989" s="445"/>
      <c r="AK989" s="448"/>
      <c r="AL989" s="445"/>
    </row>
    <row r="990" spans="1:38" s="467" customFormat="1" ht="12.75" customHeight="1">
      <c r="A990" s="1033">
        <v>5214220</v>
      </c>
      <c r="B990" s="1033" t="s">
        <v>2792</v>
      </c>
      <c r="C990" s="1034"/>
      <c r="D990" s="1035"/>
      <c r="E990" s="1035"/>
      <c r="F990" s="1034"/>
      <c r="G990" s="1033"/>
      <c r="H990" s="1033"/>
      <c r="I990" s="1034"/>
      <c r="J990" s="1033"/>
      <c r="K990" s="1033"/>
      <c r="L990" s="1034"/>
      <c r="M990" s="1035"/>
      <c r="N990" s="1035"/>
      <c r="O990" s="1036"/>
      <c r="P990" s="1033"/>
      <c r="Q990" s="1033"/>
      <c r="R990" s="1034"/>
      <c r="S990" s="1035"/>
      <c r="T990" s="1035"/>
      <c r="U990" s="1034"/>
      <c r="V990" s="1035"/>
      <c r="W990" s="1035"/>
      <c r="X990" s="1037" t="str">
        <f>+Y990&amp;Z990</f>
        <v>222</v>
      </c>
      <c r="Y990" s="1035">
        <v>22</v>
      </c>
      <c r="Z990" s="1035">
        <f t="shared" si="234"/>
        <v>2</v>
      </c>
      <c r="AA990" s="1035"/>
      <c r="AB990" s="1035"/>
      <c r="AC990" s="1021">
        <v>211712</v>
      </c>
      <c r="AD990" s="1021" t="s">
        <v>2256</v>
      </c>
      <c r="AE990" s="1022">
        <f>VLOOKUP(AC990,[5]Hoja1!$A$10:$K$1393,11,0)</f>
        <v>-656400353</v>
      </c>
      <c r="AF990" s="1022"/>
      <c r="AG990" s="1022">
        <f t="shared" si="235"/>
        <v>-656400353</v>
      </c>
      <c r="AH990" s="1022">
        <f t="shared" si="236"/>
        <v>-656400</v>
      </c>
      <c r="AI990" s="445"/>
      <c r="AK990" s="448"/>
      <c r="AL990" s="445"/>
    </row>
    <row r="991" spans="1:38" s="467" customFormat="1" ht="12.75" customHeight="1">
      <c r="A991" s="1033"/>
      <c r="B991" s="1033"/>
      <c r="C991" s="1034" t="str">
        <f t="shared" si="227"/>
        <v/>
      </c>
      <c r="D991" s="1035"/>
      <c r="E991" s="1035"/>
      <c r="F991" s="1034" t="str">
        <f t="shared" si="228"/>
        <v/>
      </c>
      <c r="G991" s="1033"/>
      <c r="H991" s="1033"/>
      <c r="I991" s="1034" t="str">
        <f t="shared" si="229"/>
        <v/>
      </c>
      <c r="J991" s="1033"/>
      <c r="K991" s="1033"/>
      <c r="L991" s="1034" t="str">
        <f t="shared" si="230"/>
        <v/>
      </c>
      <c r="M991" s="1035"/>
      <c r="N991" s="1035"/>
      <c r="O991" s="1036" t="str">
        <f t="shared" si="231"/>
        <v/>
      </c>
      <c r="P991" s="1035"/>
      <c r="Q991" s="1033"/>
      <c r="R991" s="1034" t="str">
        <f t="shared" si="232"/>
        <v/>
      </c>
      <c r="S991" s="1035"/>
      <c r="T991" s="1035"/>
      <c r="U991" s="1034" t="str">
        <f t="shared" si="233"/>
        <v/>
      </c>
      <c r="V991" s="1035"/>
      <c r="W991" s="1035"/>
      <c r="X991" s="1037" t="str">
        <f>+Y991&amp;Z991</f>
        <v>2</v>
      </c>
      <c r="Y991" s="1035"/>
      <c r="Z991" s="1035">
        <f t="shared" si="234"/>
        <v>2</v>
      </c>
      <c r="AA991" s="1035"/>
      <c r="AB991" s="1035"/>
      <c r="AC991" s="1021">
        <v>211801</v>
      </c>
      <c r="AD991" s="1021" t="s">
        <v>2257</v>
      </c>
      <c r="AE991" s="1022">
        <f>VLOOKUP(AC991,[5]Hoja1!$A$10:$K$1393,11,0)</f>
        <v>0</v>
      </c>
      <c r="AF991" s="1022"/>
      <c r="AG991" s="1022">
        <f t="shared" si="235"/>
        <v>0</v>
      </c>
      <c r="AH991" s="1022">
        <f t="shared" si="236"/>
        <v>0</v>
      </c>
      <c r="AK991" s="448"/>
      <c r="AL991" s="445"/>
    </row>
    <row r="992" spans="1:38" s="467" customFormat="1" ht="12.75" customHeight="1">
      <c r="A992" s="1033">
        <v>5214260</v>
      </c>
      <c r="B992" s="1033" t="s">
        <v>2794</v>
      </c>
      <c r="C992" s="1034" t="str">
        <f t="shared" si="227"/>
        <v/>
      </c>
      <c r="D992" s="1035"/>
      <c r="E992" s="1035"/>
      <c r="F992" s="1034" t="str">
        <f t="shared" si="228"/>
        <v/>
      </c>
      <c r="G992" s="1033"/>
      <c r="H992" s="1033"/>
      <c r="I992" s="1034" t="str">
        <f t="shared" si="229"/>
        <v/>
      </c>
      <c r="J992" s="1033"/>
      <c r="K992" s="1033"/>
      <c r="L992" s="1034" t="str">
        <f t="shared" si="230"/>
        <v/>
      </c>
      <c r="M992" s="1035"/>
      <c r="N992" s="1035"/>
      <c r="O992" s="1036" t="str">
        <f t="shared" si="231"/>
        <v/>
      </c>
      <c r="P992" s="1035"/>
      <c r="Q992" s="1033"/>
      <c r="R992" s="1034" t="str">
        <f t="shared" si="232"/>
        <v/>
      </c>
      <c r="S992" s="1035"/>
      <c r="T992" s="1035"/>
      <c r="U992" s="1034" t="str">
        <f t="shared" si="233"/>
        <v/>
      </c>
      <c r="V992" s="1035"/>
      <c r="W992" s="1035"/>
      <c r="X992" s="1037" t="str">
        <f>+Y992&amp;Z992</f>
        <v>222</v>
      </c>
      <c r="Y992" s="1035">
        <v>22</v>
      </c>
      <c r="Z992" s="1035">
        <f t="shared" si="234"/>
        <v>2</v>
      </c>
      <c r="AA992" s="1033" t="s">
        <v>2906</v>
      </c>
      <c r="AB992" s="1033" t="s">
        <v>2885</v>
      </c>
      <c r="AC992" s="1021">
        <v>211802</v>
      </c>
      <c r="AD992" s="1021" t="s">
        <v>2258</v>
      </c>
      <c r="AE992" s="1022">
        <f>VLOOKUP(AC992,[5]Hoja1!$A$10:$K$1393,11,0)</f>
        <v>0</v>
      </c>
      <c r="AF992" s="1022">
        <v>0</v>
      </c>
      <c r="AG992" s="1022">
        <f t="shared" si="235"/>
        <v>0</v>
      </c>
      <c r="AH992" s="1022">
        <f t="shared" si="236"/>
        <v>0</v>
      </c>
      <c r="AK992" s="448"/>
      <c r="AL992" s="445"/>
    </row>
    <row r="993" spans="1:38" s="467" customFormat="1" ht="12.75" customHeight="1">
      <c r="A993" s="1033">
        <v>5214260</v>
      </c>
      <c r="B993" s="1033" t="s">
        <v>2794</v>
      </c>
      <c r="C993" s="1034"/>
      <c r="D993" s="1035"/>
      <c r="E993" s="1035"/>
      <c r="F993" s="1034"/>
      <c r="G993" s="1033"/>
      <c r="H993" s="1033"/>
      <c r="I993" s="1034"/>
      <c r="J993" s="1033"/>
      <c r="K993" s="1033"/>
      <c r="L993" s="1034"/>
      <c r="M993" s="1035"/>
      <c r="N993" s="1035"/>
      <c r="O993" s="1036"/>
      <c r="P993" s="1035"/>
      <c r="Q993" s="1033"/>
      <c r="R993" s="1034"/>
      <c r="S993" s="1035"/>
      <c r="T993" s="1035"/>
      <c r="U993" s="1034"/>
      <c r="V993" s="1035"/>
      <c r="W993" s="1035"/>
      <c r="X993" s="1037" t="str">
        <f>+Y993&amp;Z993</f>
        <v>222</v>
      </c>
      <c r="Y993" s="1035">
        <v>22</v>
      </c>
      <c r="Z993" s="1035">
        <f t="shared" si="234"/>
        <v>2</v>
      </c>
      <c r="AA993" s="1033" t="s">
        <v>2906</v>
      </c>
      <c r="AB993" s="1033"/>
      <c r="AC993" s="1021">
        <v>211805</v>
      </c>
      <c r="AD993" s="1021" t="s">
        <v>2259</v>
      </c>
      <c r="AE993" s="1022">
        <f>VLOOKUP(AC993,[5]Hoja1!$A$10:$K$1393,11,0)</f>
        <v>0</v>
      </c>
      <c r="AF993" s="1022"/>
      <c r="AG993" s="1022">
        <f t="shared" si="235"/>
        <v>0</v>
      </c>
      <c r="AH993" s="1022">
        <f t="shared" si="236"/>
        <v>0</v>
      </c>
      <c r="AK993" s="448"/>
      <c r="AL993" s="445"/>
    </row>
    <row r="994" spans="1:38" s="467" customFormat="1" ht="12.75" customHeight="1">
      <c r="A994" s="1033">
        <v>5214260</v>
      </c>
      <c r="B994" s="1033" t="s">
        <v>2794</v>
      </c>
      <c r="C994" s="1049"/>
      <c r="D994" s="1040"/>
      <c r="E994" s="1040"/>
      <c r="F994" s="1049"/>
      <c r="G994" s="1050"/>
      <c r="H994" s="1050"/>
      <c r="I994" s="1049"/>
      <c r="J994" s="1050"/>
      <c r="K994" s="1050"/>
      <c r="L994" s="1049"/>
      <c r="M994" s="1040"/>
      <c r="N994" s="1040"/>
      <c r="O994" s="1051"/>
      <c r="P994" s="1040"/>
      <c r="Q994" s="1033"/>
      <c r="R994" s="1049"/>
      <c r="S994" s="1040"/>
      <c r="T994" s="1040"/>
      <c r="U994" s="1049"/>
      <c r="V994" s="1040"/>
      <c r="W994" s="1040"/>
      <c r="X994" s="1039" t="str">
        <f>+Y994&amp;Z994</f>
        <v>222</v>
      </c>
      <c r="Y994" s="1040">
        <v>22</v>
      </c>
      <c r="Z994" s="1035">
        <f t="shared" si="234"/>
        <v>2</v>
      </c>
      <c r="AA994" s="1033" t="s">
        <v>2906</v>
      </c>
      <c r="AB994" s="1050" t="s">
        <v>2883</v>
      </c>
      <c r="AC994" s="1021">
        <v>211806</v>
      </c>
      <c r="AD994" s="1021" t="s">
        <v>2257</v>
      </c>
      <c r="AE994" s="1022">
        <f>VLOOKUP(AC994,[5]Hoja1!$A$10:$K$1393,11,0)</f>
        <v>-10608142</v>
      </c>
      <c r="AF994" s="1022"/>
      <c r="AG994" s="1022">
        <f t="shared" si="235"/>
        <v>-10608142</v>
      </c>
      <c r="AH994" s="1022">
        <f t="shared" si="236"/>
        <v>-10608</v>
      </c>
      <c r="AK994" s="448"/>
      <c r="AL994" s="445"/>
    </row>
    <row r="995" spans="1:38" s="467" customFormat="1" ht="12.75" customHeight="1">
      <c r="A995" s="1033">
        <v>5214260</v>
      </c>
      <c r="B995" s="1033" t="s">
        <v>2794</v>
      </c>
      <c r="C995" s="1049"/>
      <c r="D995" s="1040"/>
      <c r="E995" s="1040"/>
      <c r="F995" s="1049"/>
      <c r="G995" s="1050"/>
      <c r="H995" s="1050"/>
      <c r="I995" s="1049"/>
      <c r="J995" s="1050"/>
      <c r="K995" s="1050"/>
      <c r="L995" s="1049"/>
      <c r="M995" s="1040"/>
      <c r="N995" s="1040"/>
      <c r="O995" s="1051"/>
      <c r="P995" s="1040"/>
      <c r="Q995" s="1033"/>
      <c r="R995" s="1049"/>
      <c r="S995" s="1040"/>
      <c r="T995" s="1040"/>
      <c r="U995" s="1049"/>
      <c r="V995" s="1040"/>
      <c r="W995" s="1040"/>
      <c r="X995" s="1039"/>
      <c r="Y995" s="1040"/>
      <c r="Z995" s="1035">
        <f t="shared" si="234"/>
        <v>2</v>
      </c>
      <c r="AA995" s="1033" t="s">
        <v>2906</v>
      </c>
      <c r="AB995" s="1033" t="s">
        <v>2885</v>
      </c>
      <c r="AC995" s="1023">
        <v>211807</v>
      </c>
      <c r="AD995" s="1021" t="s">
        <v>2707</v>
      </c>
      <c r="AE995" s="1022">
        <f>VLOOKUP(AC995,[5]Hoja1!$A$10:$K$1393,11,0)</f>
        <v>-1314925518</v>
      </c>
      <c r="AF995" s="1022"/>
      <c r="AG995" s="1022">
        <f t="shared" si="235"/>
        <v>-1314925518</v>
      </c>
      <c r="AH995" s="1022">
        <f t="shared" si="236"/>
        <v>-1314926</v>
      </c>
      <c r="AK995" s="448"/>
      <c r="AL995" s="445"/>
    </row>
    <row r="996" spans="1:38" s="467" customFormat="1" ht="12.75" customHeight="1">
      <c r="A996" s="1033">
        <v>5214260</v>
      </c>
      <c r="B996" s="1033" t="s">
        <v>2794</v>
      </c>
      <c r="C996" s="1034" t="str">
        <f>+D996&amp;E996</f>
        <v/>
      </c>
      <c r="D996" s="1035"/>
      <c r="E996" s="1035"/>
      <c r="F996" s="1034" t="str">
        <f>+G996&amp;H996</f>
        <v/>
      </c>
      <c r="G996" s="1033"/>
      <c r="H996" s="1033"/>
      <c r="I996" s="1034" t="str">
        <f>+J996&amp;K996</f>
        <v/>
      </c>
      <c r="J996" s="1033"/>
      <c r="K996" s="1033"/>
      <c r="L996" s="1034" t="str">
        <f>+M996&amp;N996</f>
        <v/>
      </c>
      <c r="M996" s="1035"/>
      <c r="N996" s="1035"/>
      <c r="O996" s="1036" t="str">
        <f>+P996&amp;Q996</f>
        <v/>
      </c>
      <c r="P996" s="1035"/>
      <c r="Q996" s="1033"/>
      <c r="R996" s="1034" t="str">
        <f>+S996&amp;T996</f>
        <v/>
      </c>
      <c r="S996" s="1035"/>
      <c r="T996" s="1035"/>
      <c r="U996" s="1034" t="str">
        <f>+V996&amp;W996</f>
        <v/>
      </c>
      <c r="V996" s="1035"/>
      <c r="W996" s="1035"/>
      <c r="X996" s="1037" t="str">
        <f>+Y996&amp;Z996</f>
        <v>222</v>
      </c>
      <c r="Y996" s="1035">
        <v>22</v>
      </c>
      <c r="Z996" s="1035">
        <f t="shared" si="234"/>
        <v>2</v>
      </c>
      <c r="AA996" s="1033" t="s">
        <v>2906</v>
      </c>
      <c r="AB996" s="1033" t="s">
        <v>2885</v>
      </c>
      <c r="AC996" s="1021">
        <v>211810</v>
      </c>
      <c r="AD996" s="1021" t="s">
        <v>2260</v>
      </c>
      <c r="AE996" s="1022">
        <f>VLOOKUP(AC996,[5]Hoja1!$A$10:$K$1393,11,0)</f>
        <v>-7642999</v>
      </c>
      <c r="AF996" s="1022"/>
      <c r="AG996" s="1022">
        <f t="shared" si="235"/>
        <v>-7642999</v>
      </c>
      <c r="AH996" s="1022">
        <f t="shared" si="236"/>
        <v>-7643</v>
      </c>
      <c r="AK996" s="448"/>
      <c r="AL996" s="445"/>
    </row>
    <row r="997" spans="1:38" s="467" customFormat="1" ht="12.75" customHeight="1">
      <c r="A997" s="1033">
        <v>5214260</v>
      </c>
      <c r="B997" s="1033" t="s">
        <v>2794</v>
      </c>
      <c r="C997" s="1034"/>
      <c r="D997" s="1035"/>
      <c r="E997" s="1035"/>
      <c r="F997" s="1034"/>
      <c r="G997" s="1033"/>
      <c r="H997" s="1033"/>
      <c r="I997" s="1034"/>
      <c r="J997" s="1033"/>
      <c r="K997" s="1033"/>
      <c r="L997" s="1034"/>
      <c r="M997" s="1035"/>
      <c r="N997" s="1035"/>
      <c r="O997" s="1036"/>
      <c r="P997" s="1035"/>
      <c r="Q997" s="1033"/>
      <c r="R997" s="1034"/>
      <c r="S997" s="1035"/>
      <c r="T997" s="1035"/>
      <c r="U997" s="1034"/>
      <c r="V997" s="1035"/>
      <c r="W997" s="1035"/>
      <c r="X997" s="1037"/>
      <c r="Y997" s="1035"/>
      <c r="Z997" s="1035">
        <f t="shared" si="234"/>
        <v>2</v>
      </c>
      <c r="AA997" s="1033" t="s">
        <v>2906</v>
      </c>
      <c r="AB997" s="1033" t="s">
        <v>2885</v>
      </c>
      <c r="AC997" s="1023">
        <v>211811</v>
      </c>
      <c r="AD997" s="1021" t="s">
        <v>2708</v>
      </c>
      <c r="AE997" s="1022">
        <f>VLOOKUP(AC997,[5]Hoja1!$A$10:$K$1393,11,0)</f>
        <v>-580156544</v>
      </c>
      <c r="AF997" s="1022"/>
      <c r="AG997" s="1022">
        <f t="shared" si="235"/>
        <v>-580156544</v>
      </c>
      <c r="AH997" s="1022">
        <f t="shared" si="236"/>
        <v>-580157</v>
      </c>
      <c r="AK997" s="448"/>
      <c r="AL997" s="445"/>
    </row>
    <row r="998" spans="1:38" s="467" customFormat="1" ht="12.75" customHeight="1">
      <c r="A998" s="1033">
        <v>5214260</v>
      </c>
      <c r="B998" s="1033" t="s">
        <v>2794</v>
      </c>
      <c r="C998" s="1034"/>
      <c r="D998" s="1035"/>
      <c r="E998" s="1035"/>
      <c r="F998" s="1034"/>
      <c r="G998" s="1033"/>
      <c r="H998" s="1033"/>
      <c r="I998" s="1034"/>
      <c r="J998" s="1033"/>
      <c r="K998" s="1033"/>
      <c r="L998" s="1034"/>
      <c r="M998" s="1035"/>
      <c r="N998" s="1035"/>
      <c r="O998" s="1036"/>
      <c r="P998" s="1035"/>
      <c r="Q998" s="1033"/>
      <c r="R998" s="1034"/>
      <c r="S998" s="1035"/>
      <c r="T998" s="1035"/>
      <c r="U998" s="1034"/>
      <c r="V998" s="1035"/>
      <c r="W998" s="1035"/>
      <c r="X998" s="1037"/>
      <c r="Y998" s="1035"/>
      <c r="Z998" s="1035">
        <f t="shared" ref="Z998" si="237">VALUE(LEFT(AC998,1))</f>
        <v>2</v>
      </c>
      <c r="AA998" s="1033" t="s">
        <v>2906</v>
      </c>
      <c r="AB998" s="1033"/>
      <c r="AC998" s="1023">
        <v>211819</v>
      </c>
      <c r="AD998" s="1021" t="s">
        <v>3529</v>
      </c>
      <c r="AE998" s="1022">
        <f>VLOOKUP(AC998,[5]Hoja1!$A$10:$K$1393,11,0)</f>
        <v>-397556</v>
      </c>
      <c r="AF998" s="1022"/>
      <c r="AG998" s="1022">
        <f t="shared" ref="AG998" si="238">AE998+AF998</f>
        <v>-397556</v>
      </c>
      <c r="AH998" s="1022">
        <f t="shared" ref="AH998" si="239">ROUND((AE998+AF998)/$AH$2,0)</f>
        <v>-398</v>
      </c>
      <c r="AK998" s="448"/>
      <c r="AL998" s="445"/>
    </row>
    <row r="999" spans="1:38" s="467" customFormat="1" ht="12.75" customHeight="1">
      <c r="A999" s="1033">
        <v>5214260</v>
      </c>
      <c r="B999" s="1033" t="s">
        <v>2794</v>
      </c>
      <c r="C999" s="1034"/>
      <c r="D999" s="1035"/>
      <c r="E999" s="1035"/>
      <c r="F999" s="1034"/>
      <c r="G999" s="1033"/>
      <c r="H999" s="1033"/>
      <c r="I999" s="1034"/>
      <c r="J999" s="1033"/>
      <c r="K999" s="1033"/>
      <c r="L999" s="1034"/>
      <c r="M999" s="1035"/>
      <c r="N999" s="1035"/>
      <c r="O999" s="1036"/>
      <c r="P999" s="1035"/>
      <c r="Q999" s="1033"/>
      <c r="R999" s="1034"/>
      <c r="S999" s="1035"/>
      <c r="T999" s="1035"/>
      <c r="U999" s="1034"/>
      <c r="V999" s="1035"/>
      <c r="W999" s="1035"/>
      <c r="X999" s="1037"/>
      <c r="Y999" s="1035"/>
      <c r="Z999" s="1035">
        <f t="shared" si="234"/>
        <v>2</v>
      </c>
      <c r="AA999" s="1033" t="s">
        <v>2906</v>
      </c>
      <c r="AB999" s="1033" t="s">
        <v>2885</v>
      </c>
      <c r="AC999" s="1021">
        <v>211898</v>
      </c>
      <c r="AD999" s="1021" t="s">
        <v>3464</v>
      </c>
      <c r="AE999" s="1022">
        <f>VLOOKUP(AC999,[5]Hoja1!$A$10:$K$1393,11,0)</f>
        <v>0</v>
      </c>
      <c r="AF999" s="1022"/>
      <c r="AG999" s="1022">
        <f t="shared" si="235"/>
        <v>0</v>
      </c>
      <c r="AH999" s="1022">
        <f t="shared" si="236"/>
        <v>0</v>
      </c>
      <c r="AK999" s="448"/>
      <c r="AL999" s="445"/>
    </row>
    <row r="1000" spans="1:38" s="467" customFormat="1" ht="12.75" customHeight="1">
      <c r="A1000" s="1033">
        <v>5214260</v>
      </c>
      <c r="B1000" s="1033" t="s">
        <v>2794</v>
      </c>
      <c r="C1000" s="1034"/>
      <c r="D1000" s="1035"/>
      <c r="E1000" s="1035"/>
      <c r="F1000" s="1034"/>
      <c r="G1000" s="1033"/>
      <c r="H1000" s="1033"/>
      <c r="I1000" s="1034"/>
      <c r="J1000" s="1033"/>
      <c r="K1000" s="1033"/>
      <c r="L1000" s="1034"/>
      <c r="M1000" s="1035"/>
      <c r="N1000" s="1035"/>
      <c r="O1000" s="1036"/>
      <c r="P1000" s="1035"/>
      <c r="Q1000" s="1033"/>
      <c r="R1000" s="1034"/>
      <c r="S1000" s="1035"/>
      <c r="T1000" s="1035"/>
      <c r="U1000" s="1034"/>
      <c r="V1000" s="1035"/>
      <c r="W1000" s="1035"/>
      <c r="X1000" s="1037"/>
      <c r="Y1000" s="1035"/>
      <c r="Z1000" s="1035">
        <f t="shared" si="234"/>
        <v>2</v>
      </c>
      <c r="AA1000" s="1033" t="s">
        <v>2906</v>
      </c>
      <c r="AB1000" s="1033" t="s">
        <v>2885</v>
      </c>
      <c r="AC1000" s="1021">
        <v>211899</v>
      </c>
      <c r="AD1000" s="1021" t="s">
        <v>3465</v>
      </c>
      <c r="AE1000" s="1022">
        <f>VLOOKUP(AC1000,[5]Hoja1!$A$10:$K$1393,11,0)</f>
        <v>0</v>
      </c>
      <c r="AF1000" s="1022"/>
      <c r="AG1000" s="1022">
        <f t="shared" si="235"/>
        <v>0</v>
      </c>
      <c r="AH1000" s="1022">
        <f t="shared" si="236"/>
        <v>0</v>
      </c>
      <c r="AK1000" s="448"/>
      <c r="AL1000" s="445"/>
    </row>
    <row r="1001" spans="1:38" s="467" customFormat="1" ht="12.75" customHeight="1">
      <c r="A1001" s="1033">
        <v>5214260</v>
      </c>
      <c r="B1001" s="1033" t="s">
        <v>2794</v>
      </c>
      <c r="C1001" s="1034" t="str">
        <f t="shared" si="227"/>
        <v/>
      </c>
      <c r="D1001" s="1035"/>
      <c r="E1001" s="1035"/>
      <c r="F1001" s="1034" t="str">
        <f t="shared" si="228"/>
        <v/>
      </c>
      <c r="G1001" s="1033"/>
      <c r="H1001" s="1033"/>
      <c r="I1001" s="1034" t="str">
        <f t="shared" si="229"/>
        <v/>
      </c>
      <c r="J1001" s="1033"/>
      <c r="K1001" s="1033"/>
      <c r="L1001" s="1034" t="str">
        <f t="shared" si="230"/>
        <v/>
      </c>
      <c r="M1001" s="1035"/>
      <c r="N1001" s="1035"/>
      <c r="O1001" s="1036" t="str">
        <f t="shared" si="231"/>
        <v/>
      </c>
      <c r="P1001" s="1035"/>
      <c r="Q1001" s="1033"/>
      <c r="R1001" s="1034" t="str">
        <f t="shared" si="232"/>
        <v/>
      </c>
      <c r="S1001" s="1035"/>
      <c r="T1001" s="1035"/>
      <c r="U1001" s="1034" t="str">
        <f t="shared" si="233"/>
        <v/>
      </c>
      <c r="V1001" s="1035"/>
      <c r="W1001" s="1035"/>
      <c r="X1001" s="1037" t="str">
        <f t="shared" ref="X1001:X1032" si="240">+Y1001&amp;Z1001</f>
        <v>222</v>
      </c>
      <c r="Y1001" s="1035">
        <v>22</v>
      </c>
      <c r="Z1001" s="1035">
        <f t="shared" si="234"/>
        <v>2</v>
      </c>
      <c r="AA1001" s="1033" t="s">
        <v>2906</v>
      </c>
      <c r="AB1001" s="1033" t="s">
        <v>2880</v>
      </c>
      <c r="AC1001" s="1021">
        <v>211901</v>
      </c>
      <c r="AD1001" s="1021" t="s">
        <v>455</v>
      </c>
      <c r="AE1001" s="1022">
        <f>VLOOKUP(AC1001,[5]Hoja1!$A$10:$K$1393,11,0)</f>
        <v>-356018979</v>
      </c>
      <c r="AF1001" s="1022"/>
      <c r="AG1001" s="1022">
        <f t="shared" si="235"/>
        <v>-356018979</v>
      </c>
      <c r="AH1001" s="1022">
        <f t="shared" si="236"/>
        <v>-356019</v>
      </c>
      <c r="AK1001" s="448"/>
      <c r="AL1001" s="445"/>
    </row>
    <row r="1002" spans="1:38" s="467" customFormat="1" ht="12.75" customHeight="1">
      <c r="A1002" s="1033">
        <v>5213121</v>
      </c>
      <c r="B1002" s="1033" t="s">
        <v>2774</v>
      </c>
      <c r="C1002" s="1034" t="str">
        <f t="shared" si="227"/>
        <v/>
      </c>
      <c r="D1002" s="1035"/>
      <c r="E1002" s="1035"/>
      <c r="F1002" s="1034" t="str">
        <f t="shared" si="228"/>
        <v/>
      </c>
      <c r="G1002" s="1033"/>
      <c r="H1002" s="1033"/>
      <c r="I1002" s="1034" t="str">
        <f t="shared" si="229"/>
        <v/>
      </c>
      <c r="J1002" s="1033"/>
      <c r="K1002" s="1033"/>
      <c r="L1002" s="1034" t="str">
        <f t="shared" si="230"/>
        <v>6402100421</v>
      </c>
      <c r="M1002" s="1035">
        <v>6402100</v>
      </c>
      <c r="N1002" s="1035">
        <v>421</v>
      </c>
      <c r="O1002" s="1036" t="str">
        <f t="shared" si="231"/>
        <v/>
      </c>
      <c r="P1002" s="1035"/>
      <c r="Q1002" s="1033"/>
      <c r="R1002" s="1034" t="str">
        <f t="shared" si="232"/>
        <v/>
      </c>
      <c r="S1002" s="1035"/>
      <c r="T1002" s="1035"/>
      <c r="U1002" s="1034" t="str">
        <f t="shared" si="233"/>
        <v/>
      </c>
      <c r="V1002" s="1035"/>
      <c r="W1002" s="1035"/>
      <c r="X1002" s="1037" t="str">
        <f t="shared" si="240"/>
        <v>102</v>
      </c>
      <c r="Y1002" s="1035">
        <v>10</v>
      </c>
      <c r="Z1002" s="1035">
        <f t="shared" si="234"/>
        <v>2</v>
      </c>
      <c r="AA1002" s="1035"/>
      <c r="AB1002" s="1035"/>
      <c r="AC1002" s="1021">
        <v>212001</v>
      </c>
      <c r="AD1002" s="1021" t="s">
        <v>2261</v>
      </c>
      <c r="AE1002" s="1022">
        <f>VLOOKUP(AC1002,[5]Hoja1!$A$10:$K$1393,11,0)</f>
        <v>-1178736649030</v>
      </c>
      <c r="AF1002" s="1022"/>
      <c r="AG1002" s="1022">
        <f t="shared" si="235"/>
        <v>-1178736649030</v>
      </c>
      <c r="AH1002" s="1022">
        <f t="shared" si="236"/>
        <v>-1178736649</v>
      </c>
      <c r="AK1002" s="448"/>
      <c r="AL1002" s="445"/>
    </row>
    <row r="1003" spans="1:38" s="467" customFormat="1" ht="12.75" customHeight="1">
      <c r="A1003" s="1033">
        <v>5213121</v>
      </c>
      <c r="B1003" s="1033" t="s">
        <v>2774</v>
      </c>
      <c r="C1003" s="1034" t="str">
        <f t="shared" si="227"/>
        <v/>
      </c>
      <c r="D1003" s="1035"/>
      <c r="E1003" s="1035"/>
      <c r="F1003" s="1034" t="str">
        <f t="shared" si="228"/>
        <v/>
      </c>
      <c r="G1003" s="1033"/>
      <c r="H1003" s="1033"/>
      <c r="I1003" s="1034" t="str">
        <f t="shared" si="229"/>
        <v/>
      </c>
      <c r="J1003" s="1033"/>
      <c r="K1003" s="1033"/>
      <c r="L1003" s="1034" t="str">
        <f t="shared" si="230"/>
        <v>6402100422</v>
      </c>
      <c r="M1003" s="1035">
        <v>6402100</v>
      </c>
      <c r="N1003" s="1035">
        <v>422</v>
      </c>
      <c r="O1003" s="1036" t="str">
        <f t="shared" si="231"/>
        <v/>
      </c>
      <c r="P1003" s="1033"/>
      <c r="Q1003" s="1033"/>
      <c r="R1003" s="1034" t="str">
        <f t="shared" si="232"/>
        <v/>
      </c>
      <c r="S1003" s="1035"/>
      <c r="T1003" s="1035"/>
      <c r="U1003" s="1034" t="str">
        <f t="shared" si="233"/>
        <v/>
      </c>
      <c r="V1003" s="1035"/>
      <c r="W1003" s="1035"/>
      <c r="X1003" s="1037" t="str">
        <f t="shared" si="240"/>
        <v>102</v>
      </c>
      <c r="Y1003" s="1035">
        <v>10</v>
      </c>
      <c r="Z1003" s="1035">
        <f t="shared" si="234"/>
        <v>2</v>
      </c>
      <c r="AA1003" s="1035"/>
      <c r="AB1003" s="1035"/>
      <c r="AC1003" s="1021">
        <v>212002</v>
      </c>
      <c r="AD1003" s="1021" t="s">
        <v>2262</v>
      </c>
      <c r="AE1003" s="1022">
        <f>VLOOKUP(AC1003,[5]Hoja1!$A$10:$K$1393,11,0)</f>
        <v>-265830842163</v>
      </c>
      <c r="AF1003" s="1022"/>
      <c r="AG1003" s="1022">
        <f t="shared" si="235"/>
        <v>-265830842163</v>
      </c>
      <c r="AH1003" s="1022">
        <f t="shared" si="236"/>
        <v>-265830842</v>
      </c>
      <c r="AK1003" s="448"/>
      <c r="AL1003" s="445"/>
    </row>
    <row r="1004" spans="1:38" s="467" customFormat="1" ht="12.75" customHeight="1">
      <c r="A1004" s="1033">
        <v>5213121</v>
      </c>
      <c r="B1004" s="1033" t="s">
        <v>2774</v>
      </c>
      <c r="C1004" s="1034" t="str">
        <f t="shared" si="227"/>
        <v/>
      </c>
      <c r="D1004" s="1035"/>
      <c r="E1004" s="1035"/>
      <c r="F1004" s="1034" t="str">
        <f t="shared" si="228"/>
        <v/>
      </c>
      <c r="G1004" s="1033"/>
      <c r="H1004" s="1033"/>
      <c r="I1004" s="1034" t="str">
        <f t="shared" si="229"/>
        <v/>
      </c>
      <c r="J1004" s="1033"/>
      <c r="K1004" s="1033"/>
      <c r="L1004" s="1034" t="str">
        <f t="shared" si="230"/>
        <v>6402100423</v>
      </c>
      <c r="M1004" s="1035">
        <v>6402100</v>
      </c>
      <c r="N1004" s="1035">
        <v>423</v>
      </c>
      <c r="O1004" s="1036" t="str">
        <f t="shared" si="231"/>
        <v/>
      </c>
      <c r="P1004" s="1033"/>
      <c r="Q1004" s="1033"/>
      <c r="R1004" s="1034" t="str">
        <f t="shared" si="232"/>
        <v/>
      </c>
      <c r="S1004" s="1035"/>
      <c r="T1004" s="1035"/>
      <c r="U1004" s="1034" t="str">
        <f t="shared" si="233"/>
        <v/>
      </c>
      <c r="V1004" s="1035"/>
      <c r="W1004" s="1035"/>
      <c r="X1004" s="1037" t="str">
        <f t="shared" si="240"/>
        <v>102</v>
      </c>
      <c r="Y1004" s="1035">
        <v>10</v>
      </c>
      <c r="Z1004" s="1035">
        <f t="shared" si="234"/>
        <v>2</v>
      </c>
      <c r="AA1004" s="1035"/>
      <c r="AB1004" s="1035"/>
      <c r="AC1004" s="1021">
        <v>212003</v>
      </c>
      <c r="AD1004" s="1021" t="s">
        <v>2263</v>
      </c>
      <c r="AE1004" s="1022">
        <f>VLOOKUP(AC1004,[5]Hoja1!$A$10:$K$1393,11,0)</f>
        <v>-158300891704</v>
      </c>
      <c r="AF1004" s="1022"/>
      <c r="AG1004" s="1022">
        <f t="shared" si="235"/>
        <v>-158300891704</v>
      </c>
      <c r="AH1004" s="1022">
        <f t="shared" si="236"/>
        <v>-158300892</v>
      </c>
      <c r="AK1004" s="448"/>
      <c r="AL1004" s="445"/>
    </row>
    <row r="1005" spans="1:38" s="467" customFormat="1" ht="12.75" customHeight="1">
      <c r="A1005" s="1033">
        <v>5213150</v>
      </c>
      <c r="B1005" s="1033" t="s">
        <v>2776</v>
      </c>
      <c r="C1005" s="1034" t="str">
        <f t="shared" si="227"/>
        <v/>
      </c>
      <c r="D1005" s="1035"/>
      <c r="E1005" s="1035"/>
      <c r="F1005" s="1034" t="str">
        <f t="shared" si="228"/>
        <v/>
      </c>
      <c r="G1005" s="1033"/>
      <c r="H1005" s="1033"/>
      <c r="I1005" s="1034" t="str">
        <f t="shared" si="229"/>
        <v/>
      </c>
      <c r="J1005" s="1033"/>
      <c r="K1005" s="1033"/>
      <c r="L1005" s="1034" t="str">
        <f t="shared" si="230"/>
        <v>6402100105</v>
      </c>
      <c r="M1005" s="1035">
        <v>6402100</v>
      </c>
      <c r="N1005" s="1035">
        <v>105</v>
      </c>
      <c r="O1005" s="1036" t="str">
        <f t="shared" si="231"/>
        <v/>
      </c>
      <c r="P1005" s="1033"/>
      <c r="Q1005" s="1033"/>
      <c r="R1005" s="1034" t="str">
        <f t="shared" si="232"/>
        <v/>
      </c>
      <c r="S1005" s="1035"/>
      <c r="T1005" s="1035"/>
      <c r="U1005" s="1034" t="str">
        <f t="shared" si="233"/>
        <v/>
      </c>
      <c r="V1005" s="1035"/>
      <c r="W1005" s="1035"/>
      <c r="X1005" s="1037" t="str">
        <f t="shared" si="240"/>
        <v>102</v>
      </c>
      <c r="Y1005" s="1035">
        <v>10</v>
      </c>
      <c r="Z1005" s="1035">
        <f t="shared" si="234"/>
        <v>2</v>
      </c>
      <c r="AA1005" s="1035"/>
      <c r="AB1005" s="1035"/>
      <c r="AC1005" s="1021">
        <v>212004</v>
      </c>
      <c r="AD1005" s="1021" t="s">
        <v>2264</v>
      </c>
      <c r="AE1005" s="1022">
        <f>VLOOKUP(AC1005,[5]Hoja1!$A$10:$K$1393,11,0)</f>
        <v>-19284701373</v>
      </c>
      <c r="AF1005" s="1022"/>
      <c r="AG1005" s="1022">
        <f t="shared" si="235"/>
        <v>-19284701373</v>
      </c>
      <c r="AH1005" s="1022">
        <f t="shared" si="236"/>
        <v>-19284701</v>
      </c>
      <c r="AK1005" s="448"/>
      <c r="AL1005" s="445"/>
    </row>
    <row r="1006" spans="1:38" s="467" customFormat="1" ht="12.75" customHeight="1">
      <c r="A1006" s="1033">
        <v>5213121</v>
      </c>
      <c r="B1006" s="1033" t="s">
        <v>2774</v>
      </c>
      <c r="C1006" s="1034" t="str">
        <f t="shared" si="227"/>
        <v/>
      </c>
      <c r="D1006" s="1035"/>
      <c r="E1006" s="1035"/>
      <c r="F1006" s="1034" t="str">
        <f t="shared" si="228"/>
        <v/>
      </c>
      <c r="G1006" s="1033"/>
      <c r="H1006" s="1033"/>
      <c r="I1006" s="1034" t="str">
        <f t="shared" si="229"/>
        <v/>
      </c>
      <c r="J1006" s="1033"/>
      <c r="K1006" s="1033"/>
      <c r="L1006" s="1034" t="str">
        <f t="shared" si="230"/>
        <v>6402100421</v>
      </c>
      <c r="M1006" s="1035">
        <v>6402100</v>
      </c>
      <c r="N1006" s="1035">
        <v>421</v>
      </c>
      <c r="O1006" s="1036" t="str">
        <f t="shared" si="231"/>
        <v/>
      </c>
      <c r="P1006" s="1033"/>
      <c r="Q1006" s="1033"/>
      <c r="R1006" s="1034" t="str">
        <f t="shared" si="232"/>
        <v/>
      </c>
      <c r="S1006" s="1035"/>
      <c r="T1006" s="1035"/>
      <c r="U1006" s="1034" t="str">
        <f t="shared" si="233"/>
        <v/>
      </c>
      <c r="V1006" s="1035"/>
      <c r="W1006" s="1035"/>
      <c r="X1006" s="1037" t="str">
        <f t="shared" si="240"/>
        <v>102</v>
      </c>
      <c r="Y1006" s="1035">
        <v>10</v>
      </c>
      <c r="Z1006" s="1035">
        <f t="shared" si="234"/>
        <v>2</v>
      </c>
      <c r="AA1006" s="1035"/>
      <c r="AB1006" s="1035"/>
      <c r="AC1006" s="1021">
        <v>212005</v>
      </c>
      <c r="AD1006" s="1021" t="s">
        <v>2265</v>
      </c>
      <c r="AE1006" s="1022">
        <f>VLOOKUP(AC1006,[5]Hoja1!$A$10:$K$1393,11,0)</f>
        <v>0</v>
      </c>
      <c r="AF1006" s="1022">
        <f>-AE1006</f>
        <v>0</v>
      </c>
      <c r="AG1006" s="1022">
        <f t="shared" si="235"/>
        <v>0</v>
      </c>
      <c r="AH1006" s="1022">
        <f t="shared" si="236"/>
        <v>0</v>
      </c>
      <c r="AK1006" s="448"/>
      <c r="AL1006" s="445"/>
    </row>
    <row r="1007" spans="1:38" s="467" customFormat="1" ht="12.75" customHeight="1">
      <c r="A1007" s="1033">
        <v>5213121</v>
      </c>
      <c r="B1007" s="1033" t="s">
        <v>2774</v>
      </c>
      <c r="C1007" s="1034" t="str">
        <f t="shared" si="227"/>
        <v/>
      </c>
      <c r="D1007" s="1035"/>
      <c r="E1007" s="1035"/>
      <c r="F1007" s="1034" t="str">
        <f t="shared" si="228"/>
        <v/>
      </c>
      <c r="G1007" s="1033"/>
      <c r="H1007" s="1033"/>
      <c r="I1007" s="1034" t="str">
        <f t="shared" si="229"/>
        <v/>
      </c>
      <c r="J1007" s="1033"/>
      <c r="K1007" s="1033"/>
      <c r="L1007" s="1034" t="str">
        <f t="shared" si="230"/>
        <v>6402100424</v>
      </c>
      <c r="M1007" s="1035">
        <v>6402100</v>
      </c>
      <c r="N1007" s="1035">
        <v>424</v>
      </c>
      <c r="O1007" s="1036" t="str">
        <f t="shared" si="231"/>
        <v/>
      </c>
      <c r="P1007" s="1033"/>
      <c r="Q1007" s="1033"/>
      <c r="R1007" s="1034" t="str">
        <f t="shared" si="232"/>
        <v/>
      </c>
      <c r="S1007" s="1035"/>
      <c r="T1007" s="1035"/>
      <c r="U1007" s="1034" t="str">
        <f t="shared" si="233"/>
        <v/>
      </c>
      <c r="V1007" s="1035"/>
      <c r="W1007" s="1035"/>
      <c r="X1007" s="1037" t="str">
        <f t="shared" si="240"/>
        <v>102</v>
      </c>
      <c r="Y1007" s="1035">
        <v>10</v>
      </c>
      <c r="Z1007" s="1035">
        <f t="shared" si="234"/>
        <v>2</v>
      </c>
      <c r="AA1007" s="1035"/>
      <c r="AB1007" s="1035"/>
      <c r="AC1007" s="1021">
        <v>212006</v>
      </c>
      <c r="AD1007" s="1021" t="s">
        <v>456</v>
      </c>
      <c r="AE1007" s="1022">
        <f>VLOOKUP(AC1007,[5]Hoja1!$A$10:$K$1393,11,0)</f>
        <v>-16984573859</v>
      </c>
      <c r="AF1007" s="1022"/>
      <c r="AG1007" s="1022">
        <f t="shared" si="235"/>
        <v>-16984573859</v>
      </c>
      <c r="AH1007" s="1022">
        <f t="shared" si="236"/>
        <v>-16984574</v>
      </c>
      <c r="AK1007" s="448"/>
      <c r="AL1007" s="445"/>
    </row>
    <row r="1008" spans="1:38" s="467" customFormat="1" ht="12.75" customHeight="1">
      <c r="A1008" s="1033">
        <v>5213121</v>
      </c>
      <c r="B1008" s="1033" t="s">
        <v>2774</v>
      </c>
      <c r="C1008" s="1034" t="str">
        <f t="shared" si="227"/>
        <v/>
      </c>
      <c r="D1008" s="1035"/>
      <c r="E1008" s="1035"/>
      <c r="F1008" s="1034" t="str">
        <f t="shared" si="228"/>
        <v/>
      </c>
      <c r="G1008" s="1033"/>
      <c r="H1008" s="1033"/>
      <c r="I1008" s="1034" t="str">
        <f t="shared" si="229"/>
        <v/>
      </c>
      <c r="J1008" s="1033"/>
      <c r="K1008" s="1033"/>
      <c r="L1008" s="1034" t="str">
        <f t="shared" si="230"/>
        <v/>
      </c>
      <c r="M1008" s="1035"/>
      <c r="N1008" s="1035"/>
      <c r="O1008" s="1036" t="str">
        <f t="shared" si="231"/>
        <v/>
      </c>
      <c r="P1008" s="1033"/>
      <c r="Q1008" s="1033"/>
      <c r="R1008" s="1034" t="str">
        <f t="shared" si="232"/>
        <v/>
      </c>
      <c r="S1008" s="1035"/>
      <c r="T1008" s="1035"/>
      <c r="U1008" s="1034" t="str">
        <f t="shared" si="233"/>
        <v/>
      </c>
      <c r="V1008" s="1035"/>
      <c r="W1008" s="1035"/>
      <c r="X1008" s="1037" t="str">
        <f t="shared" si="240"/>
        <v>102</v>
      </c>
      <c r="Y1008" s="1035">
        <v>10</v>
      </c>
      <c r="Z1008" s="1035">
        <f t="shared" si="234"/>
        <v>2</v>
      </c>
      <c r="AA1008" s="1035"/>
      <c r="AB1008" s="1035"/>
      <c r="AC1008" s="1021">
        <v>212101</v>
      </c>
      <c r="AD1008" s="1021" t="s">
        <v>1224</v>
      </c>
      <c r="AE1008" s="1022">
        <f>VLOOKUP(AC1008,[5]Hoja1!$A$10:$K$1393,11,0)</f>
        <v>0</v>
      </c>
      <c r="AF1008" s="1022"/>
      <c r="AG1008" s="1022">
        <f t="shared" si="235"/>
        <v>0</v>
      </c>
      <c r="AH1008" s="1022">
        <f t="shared" si="236"/>
        <v>0</v>
      </c>
      <c r="AK1008" s="448"/>
      <c r="AL1008" s="445"/>
    </row>
    <row r="1009" spans="1:38" s="467" customFormat="1" ht="12.75" customHeight="1">
      <c r="A1009" s="1033"/>
      <c r="B1009" s="1033"/>
      <c r="C1009" s="1034" t="str">
        <f t="shared" si="227"/>
        <v/>
      </c>
      <c r="D1009" s="1035"/>
      <c r="E1009" s="1035"/>
      <c r="F1009" s="1034" t="str">
        <f t="shared" si="228"/>
        <v/>
      </c>
      <c r="G1009" s="1033"/>
      <c r="H1009" s="1033"/>
      <c r="I1009" s="1034" t="str">
        <f t="shared" si="229"/>
        <v/>
      </c>
      <c r="J1009" s="1033"/>
      <c r="K1009" s="1033"/>
      <c r="L1009" s="1034" t="str">
        <f t="shared" si="230"/>
        <v/>
      </c>
      <c r="M1009" s="1035"/>
      <c r="N1009" s="1035"/>
      <c r="O1009" s="1036" t="str">
        <f t="shared" si="231"/>
        <v/>
      </c>
      <c r="P1009" s="1033"/>
      <c r="Q1009" s="1033"/>
      <c r="R1009" s="1034" t="str">
        <f t="shared" si="232"/>
        <v/>
      </c>
      <c r="S1009" s="1035"/>
      <c r="T1009" s="1035"/>
      <c r="U1009" s="1034" t="str">
        <f t="shared" si="233"/>
        <v/>
      </c>
      <c r="V1009" s="1035"/>
      <c r="W1009" s="1035"/>
      <c r="X1009" s="1037" t="str">
        <f t="shared" si="240"/>
        <v>102</v>
      </c>
      <c r="Y1009" s="1035">
        <v>10</v>
      </c>
      <c r="Z1009" s="1035">
        <f t="shared" si="234"/>
        <v>2</v>
      </c>
      <c r="AA1009" s="1035"/>
      <c r="AB1009" s="1035"/>
      <c r="AC1009" s="1021">
        <v>212102</v>
      </c>
      <c r="AD1009" s="1021" t="s">
        <v>1225</v>
      </c>
      <c r="AE1009" s="1022">
        <v>0</v>
      </c>
      <c r="AF1009" s="1022"/>
      <c r="AG1009" s="1022">
        <f t="shared" si="235"/>
        <v>0</v>
      </c>
      <c r="AH1009" s="1022">
        <f t="shared" si="236"/>
        <v>0</v>
      </c>
      <c r="AK1009" s="448"/>
      <c r="AL1009" s="445"/>
    </row>
    <row r="1010" spans="1:38" s="467" customFormat="1" ht="12.75" customHeight="1">
      <c r="A1010" s="1033">
        <v>5213130</v>
      </c>
      <c r="B1010" s="1033" t="s">
        <v>906</v>
      </c>
      <c r="C1010" s="1034" t="str">
        <f t="shared" si="227"/>
        <v/>
      </c>
      <c r="D1010" s="1035"/>
      <c r="E1010" s="1035"/>
      <c r="F1010" s="1034" t="str">
        <f t="shared" si="228"/>
        <v/>
      </c>
      <c r="G1010" s="1033"/>
      <c r="H1010" s="1033"/>
      <c r="I1010" s="1034" t="str">
        <f t="shared" si="229"/>
        <v/>
      </c>
      <c r="J1010" s="1033"/>
      <c r="K1010" s="1033"/>
      <c r="L1010" s="1034" t="str">
        <f t="shared" si="230"/>
        <v/>
      </c>
      <c r="M1010" s="1035"/>
      <c r="N1010" s="1035"/>
      <c r="O1010" s="1036" t="str">
        <f t="shared" si="231"/>
        <v/>
      </c>
      <c r="P1010" s="1033"/>
      <c r="Q1010" s="1033"/>
      <c r="R1010" s="1034" t="str">
        <f t="shared" si="232"/>
        <v/>
      </c>
      <c r="S1010" s="1035"/>
      <c r="T1010" s="1035"/>
      <c r="U1010" s="1034" t="str">
        <f t="shared" si="233"/>
        <v/>
      </c>
      <c r="V1010" s="1035"/>
      <c r="W1010" s="1035"/>
      <c r="X1010" s="1037" t="str">
        <f t="shared" si="240"/>
        <v>102</v>
      </c>
      <c r="Y1010" s="1035">
        <v>10</v>
      </c>
      <c r="Z1010" s="1035">
        <f t="shared" si="234"/>
        <v>2</v>
      </c>
      <c r="AA1010" s="1035"/>
      <c r="AB1010" s="1035"/>
      <c r="AC1010" s="1021">
        <v>212103</v>
      </c>
      <c r="AD1010" s="1021" t="s">
        <v>2565</v>
      </c>
      <c r="AE1010" s="1022">
        <v>0</v>
      </c>
      <c r="AF1010" s="1191">
        <v>267992953</v>
      </c>
      <c r="AG1010" s="1022">
        <f t="shared" si="235"/>
        <v>267992953</v>
      </c>
      <c r="AH1010" s="1022">
        <f t="shared" si="236"/>
        <v>267993</v>
      </c>
      <c r="AK1010" s="448"/>
      <c r="AL1010" s="445"/>
    </row>
    <row r="1011" spans="1:38" s="467" customFormat="1" ht="12.75" customHeight="1">
      <c r="A1011" s="1033">
        <v>5213150</v>
      </c>
      <c r="B1011" s="1033" t="s">
        <v>2776</v>
      </c>
      <c r="C1011" s="1034" t="str">
        <f t="shared" si="227"/>
        <v/>
      </c>
      <c r="D1011" s="1035"/>
      <c r="E1011" s="1035"/>
      <c r="F1011" s="1034" t="str">
        <f t="shared" si="228"/>
        <v/>
      </c>
      <c r="G1011" s="1033"/>
      <c r="H1011" s="1033"/>
      <c r="I1011" s="1034" t="str">
        <f t="shared" si="229"/>
        <v/>
      </c>
      <c r="J1011" s="1033"/>
      <c r="K1011" s="1033"/>
      <c r="L1011" s="1034" t="str">
        <f t="shared" si="230"/>
        <v/>
      </c>
      <c r="M1011" s="1035"/>
      <c r="N1011" s="1035"/>
      <c r="O1011" s="1036" t="str">
        <f t="shared" si="231"/>
        <v/>
      </c>
      <c r="P1011" s="1033"/>
      <c r="Q1011" s="1033"/>
      <c r="R1011" s="1034" t="str">
        <f t="shared" si="232"/>
        <v/>
      </c>
      <c r="S1011" s="1035"/>
      <c r="T1011" s="1035"/>
      <c r="U1011" s="1034" t="str">
        <f t="shared" si="233"/>
        <v/>
      </c>
      <c r="V1011" s="1035"/>
      <c r="W1011" s="1035"/>
      <c r="X1011" s="1037" t="str">
        <f t="shared" si="240"/>
        <v>102</v>
      </c>
      <c r="Y1011" s="1035">
        <v>10</v>
      </c>
      <c r="Z1011" s="1035">
        <f t="shared" si="234"/>
        <v>2</v>
      </c>
      <c r="AA1011" s="1035"/>
      <c r="AB1011" s="1035"/>
      <c r="AC1011" s="1021">
        <v>212104</v>
      </c>
      <c r="AD1011" s="1021" t="s">
        <v>2266</v>
      </c>
      <c r="AE1011" s="1022">
        <f>VLOOKUP(AC1011,[5]Hoja1!$A$10:$K$1393,11,0)</f>
        <v>-209959319</v>
      </c>
      <c r="AF1011" s="1022"/>
      <c r="AG1011" s="1022">
        <f t="shared" si="235"/>
        <v>-209959319</v>
      </c>
      <c r="AH1011" s="1022">
        <f t="shared" si="236"/>
        <v>-209959</v>
      </c>
      <c r="AJ1011" s="445"/>
      <c r="AK1011" s="448"/>
      <c r="AL1011" s="445"/>
    </row>
    <row r="1012" spans="1:38" s="467" customFormat="1" ht="12.75" customHeight="1">
      <c r="A1012" s="1033">
        <v>5213121</v>
      </c>
      <c r="B1012" s="1033" t="s">
        <v>2774</v>
      </c>
      <c r="C1012" s="1034" t="str">
        <f t="shared" si="227"/>
        <v/>
      </c>
      <c r="D1012" s="1035"/>
      <c r="E1012" s="1035"/>
      <c r="F1012" s="1034" t="str">
        <f t="shared" si="228"/>
        <v/>
      </c>
      <c r="G1012" s="1033"/>
      <c r="H1012" s="1033"/>
      <c r="I1012" s="1034" t="str">
        <f t="shared" si="229"/>
        <v/>
      </c>
      <c r="J1012" s="1033"/>
      <c r="K1012" s="1033"/>
      <c r="L1012" s="1034" t="str">
        <f t="shared" si="230"/>
        <v/>
      </c>
      <c r="M1012" s="1035"/>
      <c r="N1012" s="1035"/>
      <c r="O1012" s="1036" t="str">
        <f t="shared" si="231"/>
        <v/>
      </c>
      <c r="P1012" s="1033"/>
      <c r="Q1012" s="1033"/>
      <c r="R1012" s="1034" t="str">
        <f t="shared" si="232"/>
        <v/>
      </c>
      <c r="S1012" s="1035"/>
      <c r="T1012" s="1035"/>
      <c r="U1012" s="1034" t="str">
        <f t="shared" si="233"/>
        <v/>
      </c>
      <c r="V1012" s="1035"/>
      <c r="W1012" s="1035"/>
      <c r="X1012" s="1037" t="str">
        <f t="shared" si="240"/>
        <v>102</v>
      </c>
      <c r="Y1012" s="1035">
        <v>10</v>
      </c>
      <c r="Z1012" s="1035">
        <f t="shared" si="234"/>
        <v>2</v>
      </c>
      <c r="AA1012" s="1035"/>
      <c r="AB1012" s="1035"/>
      <c r="AC1012" s="1021">
        <v>212105</v>
      </c>
      <c r="AD1012" s="1021" t="s">
        <v>1226</v>
      </c>
      <c r="AE1012" s="1022">
        <f>VLOOKUP(AC1012,[5]Hoja1!$A$10:$K$1393,11,0)</f>
        <v>1388145758</v>
      </c>
      <c r="AF1012" s="1191">
        <f>-267992953+539109959</f>
        <v>271117006</v>
      </c>
      <c r="AG1012" s="1022">
        <f>AE1012+AF1012</f>
        <v>1659262764</v>
      </c>
      <c r="AH1012" s="1022">
        <f>ROUND((AE1012+AF1012)/$AH$2,0)</f>
        <v>1659263</v>
      </c>
      <c r="AK1012" s="448"/>
      <c r="AL1012" s="445"/>
    </row>
    <row r="1013" spans="1:38" s="467" customFormat="1" ht="12.75" customHeight="1">
      <c r="A1013" s="1033"/>
      <c r="B1013" s="1033"/>
      <c r="C1013" s="1034" t="str">
        <f t="shared" si="227"/>
        <v/>
      </c>
      <c r="D1013" s="1035"/>
      <c r="E1013" s="1035"/>
      <c r="F1013" s="1034" t="str">
        <f t="shared" si="228"/>
        <v/>
      </c>
      <c r="G1013" s="1033"/>
      <c r="H1013" s="1033"/>
      <c r="I1013" s="1034" t="str">
        <f t="shared" si="229"/>
        <v/>
      </c>
      <c r="J1013" s="1033"/>
      <c r="K1013" s="1033"/>
      <c r="L1013" s="1034" t="str">
        <f t="shared" si="230"/>
        <v/>
      </c>
      <c r="M1013" s="1035"/>
      <c r="N1013" s="1035"/>
      <c r="O1013" s="1036" t="str">
        <f t="shared" si="231"/>
        <v/>
      </c>
      <c r="P1013" s="1033"/>
      <c r="Q1013" s="1033"/>
      <c r="R1013" s="1034" t="str">
        <f t="shared" si="232"/>
        <v/>
      </c>
      <c r="S1013" s="1035"/>
      <c r="T1013" s="1035"/>
      <c r="U1013" s="1034" t="str">
        <f t="shared" si="233"/>
        <v/>
      </c>
      <c r="V1013" s="1035"/>
      <c r="W1013" s="1035"/>
      <c r="X1013" s="1037" t="str">
        <f t="shared" si="240"/>
        <v>102</v>
      </c>
      <c r="Y1013" s="1035">
        <v>10</v>
      </c>
      <c r="Z1013" s="1035">
        <f t="shared" si="234"/>
        <v>2</v>
      </c>
      <c r="AA1013" s="1035"/>
      <c r="AB1013" s="1035"/>
      <c r="AC1013" s="1021">
        <v>212106</v>
      </c>
      <c r="AD1013" s="1021" t="s">
        <v>457</v>
      </c>
      <c r="AE1013" s="1022">
        <v>0</v>
      </c>
      <c r="AF1013" s="1022"/>
      <c r="AG1013" s="1022">
        <f t="shared" si="235"/>
        <v>0</v>
      </c>
      <c r="AH1013" s="1022">
        <f t="shared" si="236"/>
        <v>0</v>
      </c>
      <c r="AK1013" s="448"/>
      <c r="AL1013" s="445"/>
    </row>
    <row r="1014" spans="1:38" s="467" customFormat="1" ht="12.75" customHeight="1">
      <c r="A1014" s="1033">
        <v>5213130</v>
      </c>
      <c r="B1014" s="1033" t="s">
        <v>906</v>
      </c>
      <c r="C1014" s="1034" t="str">
        <f t="shared" si="227"/>
        <v/>
      </c>
      <c r="D1014" s="1035"/>
      <c r="E1014" s="1035"/>
      <c r="F1014" s="1034" t="str">
        <f t="shared" si="228"/>
        <v/>
      </c>
      <c r="G1014" s="1033"/>
      <c r="H1014" s="1033"/>
      <c r="I1014" s="1034" t="str">
        <f t="shared" si="229"/>
        <v>6512200212</v>
      </c>
      <c r="J1014" s="1033">
        <v>6512200</v>
      </c>
      <c r="K1014" s="1033">
        <v>212</v>
      </c>
      <c r="L1014" s="1034" t="str">
        <f t="shared" si="230"/>
        <v/>
      </c>
      <c r="M1014" s="1035"/>
      <c r="N1014" s="1035"/>
      <c r="O1014" s="1036" t="str">
        <f t="shared" si="231"/>
        <v/>
      </c>
      <c r="P1014" s="1033"/>
      <c r="Q1014" s="1033"/>
      <c r="R1014" s="1034" t="str">
        <f t="shared" si="232"/>
        <v>6203200212</v>
      </c>
      <c r="S1014" s="1035">
        <v>6203200</v>
      </c>
      <c r="T1014" s="1035">
        <v>212</v>
      </c>
      <c r="U1014" s="1034" t="str">
        <f t="shared" si="233"/>
        <v/>
      </c>
      <c r="V1014" s="1035"/>
      <c r="W1014" s="1035"/>
      <c r="X1014" s="1037" t="str">
        <f t="shared" si="240"/>
        <v>102</v>
      </c>
      <c r="Y1014" s="1035">
        <v>10</v>
      </c>
      <c r="Z1014" s="1035">
        <f t="shared" si="234"/>
        <v>2</v>
      </c>
      <c r="AA1014" s="1035"/>
      <c r="AB1014" s="1035"/>
      <c r="AC1014" s="1021">
        <v>212201</v>
      </c>
      <c r="AD1014" s="1021" t="s">
        <v>2267</v>
      </c>
      <c r="AE1014" s="1022">
        <f>VLOOKUP(AC1014,[5]Hoja1!$A$10:$K$1393,11,0)</f>
        <v>0</v>
      </c>
      <c r="AF1014" s="1022"/>
      <c r="AG1014" s="1022">
        <f t="shared" si="235"/>
        <v>0</v>
      </c>
      <c r="AH1014" s="1022">
        <f t="shared" si="236"/>
        <v>0</v>
      </c>
      <c r="AI1014" s="445"/>
      <c r="AK1014" s="448"/>
      <c r="AL1014" s="445"/>
    </row>
    <row r="1015" spans="1:38" s="467" customFormat="1" ht="12.75" customHeight="1">
      <c r="A1015" s="1033">
        <v>5213130</v>
      </c>
      <c r="B1015" s="1033" t="s">
        <v>906</v>
      </c>
      <c r="C1015" s="1034" t="str">
        <f t="shared" si="227"/>
        <v/>
      </c>
      <c r="D1015" s="1035"/>
      <c r="E1015" s="1035"/>
      <c r="F1015" s="1034" t="str">
        <f t="shared" si="228"/>
        <v/>
      </c>
      <c r="G1015" s="1033"/>
      <c r="H1015" s="1033"/>
      <c r="I1015" s="1034" t="str">
        <f t="shared" si="229"/>
        <v>6512200101</v>
      </c>
      <c r="J1015" s="1033">
        <v>6512200</v>
      </c>
      <c r="K1015" s="1033">
        <v>101</v>
      </c>
      <c r="L1015" s="1034" t="str">
        <f t="shared" si="230"/>
        <v/>
      </c>
      <c r="M1015" s="1035"/>
      <c r="N1015" s="1035"/>
      <c r="O1015" s="1036" t="str">
        <f t="shared" si="231"/>
        <v/>
      </c>
      <c r="P1015" s="1033"/>
      <c r="Q1015" s="1033"/>
      <c r="R1015" s="1034" t="str">
        <f t="shared" si="232"/>
        <v>6203200101</v>
      </c>
      <c r="S1015" s="1035">
        <v>6203200</v>
      </c>
      <c r="T1015" s="1035">
        <v>101</v>
      </c>
      <c r="U1015" s="1034" t="str">
        <f t="shared" si="233"/>
        <v/>
      </c>
      <c r="V1015" s="1035"/>
      <c r="W1015" s="1035"/>
      <c r="X1015" s="1037" t="str">
        <f t="shared" si="240"/>
        <v>102</v>
      </c>
      <c r="Y1015" s="1035">
        <v>10</v>
      </c>
      <c r="Z1015" s="1035">
        <f t="shared" si="234"/>
        <v>2</v>
      </c>
      <c r="AA1015" s="1035"/>
      <c r="AB1015" s="1035"/>
      <c r="AC1015" s="1021">
        <v>212202</v>
      </c>
      <c r="AD1015" s="1021" t="s">
        <v>458</v>
      </c>
      <c r="AE1015" s="1022">
        <f>VLOOKUP(AC1015,[5]Hoja1!$A$10:$K$1393,11,0)</f>
        <v>-4062468907</v>
      </c>
      <c r="AF1015" s="1022"/>
      <c r="AG1015" s="1022">
        <f t="shared" si="235"/>
        <v>-4062468907</v>
      </c>
      <c r="AH1015" s="1022">
        <f t="shared" si="236"/>
        <v>-4062469</v>
      </c>
      <c r="AK1015" s="448"/>
      <c r="AL1015" s="445"/>
    </row>
    <row r="1016" spans="1:38" s="467" customFormat="1" ht="12.75" customHeight="1">
      <c r="A1016" s="1033">
        <v>5213130</v>
      </c>
      <c r="B1016" s="1033" t="s">
        <v>906</v>
      </c>
      <c r="C1016" s="1034" t="str">
        <f t="shared" si="227"/>
        <v/>
      </c>
      <c r="D1016" s="1035"/>
      <c r="E1016" s="1035"/>
      <c r="F1016" s="1034" t="str">
        <f t="shared" si="228"/>
        <v/>
      </c>
      <c r="G1016" s="1033"/>
      <c r="H1016" s="1033"/>
      <c r="I1016" s="1034" t="str">
        <f t="shared" si="229"/>
        <v>6512200102</v>
      </c>
      <c r="J1016" s="1033">
        <v>6512200</v>
      </c>
      <c r="K1016" s="1033">
        <v>102</v>
      </c>
      <c r="L1016" s="1034" t="str">
        <f t="shared" si="230"/>
        <v/>
      </c>
      <c r="M1016" s="1035"/>
      <c r="N1016" s="1035"/>
      <c r="O1016" s="1036" t="str">
        <f t="shared" si="231"/>
        <v/>
      </c>
      <c r="P1016" s="1033"/>
      <c r="Q1016" s="1033"/>
      <c r="R1016" s="1034" t="str">
        <f t="shared" si="232"/>
        <v>6203200102</v>
      </c>
      <c r="S1016" s="1035">
        <v>6203200</v>
      </c>
      <c r="T1016" s="1035">
        <v>102</v>
      </c>
      <c r="U1016" s="1034" t="str">
        <f t="shared" si="233"/>
        <v/>
      </c>
      <c r="V1016" s="1035"/>
      <c r="W1016" s="1035"/>
      <c r="X1016" s="1037" t="str">
        <f t="shared" si="240"/>
        <v>102</v>
      </c>
      <c r="Y1016" s="1035">
        <v>10</v>
      </c>
      <c r="Z1016" s="1035">
        <f t="shared" si="234"/>
        <v>2</v>
      </c>
      <c r="AA1016" s="1035"/>
      <c r="AB1016" s="1035"/>
      <c r="AC1016" s="1021">
        <v>212203</v>
      </c>
      <c r="AD1016" s="1021" t="s">
        <v>2268</v>
      </c>
      <c r="AE1016" s="1022">
        <f>VLOOKUP(AC1016,[5]Hoja1!$A$10:$K$1393,11,0)</f>
        <v>-648958480</v>
      </c>
      <c r="AF1016" s="1022"/>
      <c r="AG1016" s="1022">
        <f t="shared" si="235"/>
        <v>-648958480</v>
      </c>
      <c r="AH1016" s="1022">
        <f t="shared" si="236"/>
        <v>-648958</v>
      </c>
      <c r="AK1016" s="448"/>
      <c r="AL1016" s="445"/>
    </row>
    <row r="1017" spans="1:38" s="467" customFormat="1" ht="12.75" customHeight="1">
      <c r="A1017" s="1033">
        <v>5213130</v>
      </c>
      <c r="B1017" s="1033" t="s">
        <v>906</v>
      </c>
      <c r="C1017" s="1034" t="str">
        <f t="shared" si="227"/>
        <v/>
      </c>
      <c r="D1017" s="1035"/>
      <c r="E1017" s="1035"/>
      <c r="F1017" s="1034" t="str">
        <f t="shared" si="228"/>
        <v/>
      </c>
      <c r="G1017" s="1033"/>
      <c r="H1017" s="1033"/>
      <c r="I1017" s="1034" t="str">
        <f t="shared" si="229"/>
        <v>6512200202</v>
      </c>
      <c r="J1017" s="1033">
        <v>6512200</v>
      </c>
      <c r="K1017" s="1033">
        <v>202</v>
      </c>
      <c r="L1017" s="1034" t="str">
        <f t="shared" si="230"/>
        <v/>
      </c>
      <c r="M1017" s="1035"/>
      <c r="N1017" s="1035"/>
      <c r="O1017" s="1036" t="str">
        <f t="shared" si="231"/>
        <v/>
      </c>
      <c r="P1017" s="1033"/>
      <c r="Q1017" s="1033"/>
      <c r="R1017" s="1034" t="str">
        <f t="shared" si="232"/>
        <v>6203200202</v>
      </c>
      <c r="S1017" s="1035">
        <v>6203200</v>
      </c>
      <c r="T1017" s="1035">
        <v>202</v>
      </c>
      <c r="U1017" s="1034" t="str">
        <f t="shared" si="233"/>
        <v/>
      </c>
      <c r="V1017" s="1035"/>
      <c r="W1017" s="1035"/>
      <c r="X1017" s="1037" t="str">
        <f t="shared" si="240"/>
        <v>102</v>
      </c>
      <c r="Y1017" s="1035">
        <v>10</v>
      </c>
      <c r="Z1017" s="1035">
        <f t="shared" si="234"/>
        <v>2</v>
      </c>
      <c r="AA1017" s="1035"/>
      <c r="AB1017" s="1035"/>
      <c r="AC1017" s="1021">
        <v>212204</v>
      </c>
      <c r="AD1017" s="1021" t="s">
        <v>2269</v>
      </c>
      <c r="AE1017" s="1022">
        <f>VLOOKUP(AC1017,[5]Hoja1!$A$10:$K$1393,11,0)</f>
        <v>-1883094945</v>
      </c>
      <c r="AF1017" s="1022"/>
      <c r="AG1017" s="1022">
        <f t="shared" si="235"/>
        <v>-1883094945</v>
      </c>
      <c r="AH1017" s="1022">
        <f t="shared" si="236"/>
        <v>-1883095</v>
      </c>
      <c r="AK1017" s="448"/>
      <c r="AL1017" s="445"/>
    </row>
    <row r="1018" spans="1:38" s="467" customFormat="1" ht="12.75" customHeight="1">
      <c r="A1018" s="1033">
        <v>5213130</v>
      </c>
      <c r="B1018" s="1033" t="s">
        <v>906</v>
      </c>
      <c r="C1018" s="1034" t="str">
        <f t="shared" si="227"/>
        <v/>
      </c>
      <c r="D1018" s="1035"/>
      <c r="E1018" s="1035"/>
      <c r="F1018" s="1034" t="str">
        <f t="shared" si="228"/>
        <v/>
      </c>
      <c r="G1018" s="1033"/>
      <c r="H1018" s="1033"/>
      <c r="I1018" s="1034" t="str">
        <f t="shared" si="229"/>
        <v>6512200112</v>
      </c>
      <c r="J1018" s="1033">
        <v>6512200</v>
      </c>
      <c r="K1018" s="1033">
        <v>112</v>
      </c>
      <c r="L1018" s="1034" t="str">
        <f t="shared" si="230"/>
        <v/>
      </c>
      <c r="M1018" s="1035"/>
      <c r="N1018" s="1035"/>
      <c r="O1018" s="1036" t="str">
        <f t="shared" si="231"/>
        <v/>
      </c>
      <c r="P1018" s="1033"/>
      <c r="Q1018" s="1033"/>
      <c r="R1018" s="1034" t="str">
        <f t="shared" si="232"/>
        <v>6203200112</v>
      </c>
      <c r="S1018" s="1035">
        <v>6203200</v>
      </c>
      <c r="T1018" s="1035">
        <v>112</v>
      </c>
      <c r="U1018" s="1034" t="str">
        <f t="shared" si="233"/>
        <v/>
      </c>
      <c r="V1018" s="1035"/>
      <c r="W1018" s="1035"/>
      <c r="X1018" s="1037" t="str">
        <f t="shared" si="240"/>
        <v>102</v>
      </c>
      <c r="Y1018" s="1035">
        <v>10</v>
      </c>
      <c r="Z1018" s="1035">
        <f t="shared" si="234"/>
        <v>2</v>
      </c>
      <c r="AA1018" s="1035"/>
      <c r="AB1018" s="1035"/>
      <c r="AC1018" s="1021">
        <v>212205</v>
      </c>
      <c r="AD1018" s="1021" t="s">
        <v>2270</v>
      </c>
      <c r="AE1018" s="1022">
        <f>VLOOKUP(AC1018,[5]Hoja1!$A$10:$K$1393,11,0)</f>
        <v>-23440893</v>
      </c>
      <c r="AF1018" s="1022"/>
      <c r="AG1018" s="1022">
        <f t="shared" si="235"/>
        <v>-23440893</v>
      </c>
      <c r="AH1018" s="1022">
        <f t="shared" si="236"/>
        <v>-23441</v>
      </c>
      <c r="AK1018" s="448"/>
      <c r="AL1018" s="445"/>
    </row>
    <row r="1019" spans="1:38" s="467" customFormat="1" ht="12.75" customHeight="1">
      <c r="A1019" s="1033">
        <v>5213130</v>
      </c>
      <c r="B1019" s="1033" t="s">
        <v>906</v>
      </c>
      <c r="C1019" s="1034" t="str">
        <f t="shared" si="227"/>
        <v/>
      </c>
      <c r="D1019" s="1035"/>
      <c r="E1019" s="1035"/>
      <c r="F1019" s="1034" t="str">
        <f t="shared" si="228"/>
        <v/>
      </c>
      <c r="G1019" s="1033"/>
      <c r="H1019" s="1033"/>
      <c r="I1019" s="1034" t="str">
        <f t="shared" si="229"/>
        <v>6512200210</v>
      </c>
      <c r="J1019" s="1033">
        <v>6512200</v>
      </c>
      <c r="K1019" s="1033">
        <v>210</v>
      </c>
      <c r="L1019" s="1034" t="str">
        <f t="shared" si="230"/>
        <v/>
      </c>
      <c r="M1019" s="1035"/>
      <c r="N1019" s="1035"/>
      <c r="O1019" s="1036" t="str">
        <f t="shared" si="231"/>
        <v/>
      </c>
      <c r="P1019" s="1033"/>
      <c r="Q1019" s="1033"/>
      <c r="R1019" s="1034" t="str">
        <f t="shared" si="232"/>
        <v>6203200210</v>
      </c>
      <c r="S1019" s="1035">
        <v>6203200</v>
      </c>
      <c r="T1019" s="1035">
        <v>210</v>
      </c>
      <c r="U1019" s="1034" t="str">
        <f t="shared" si="233"/>
        <v/>
      </c>
      <c r="V1019" s="1035"/>
      <c r="W1019" s="1035"/>
      <c r="X1019" s="1037" t="str">
        <f t="shared" si="240"/>
        <v>102</v>
      </c>
      <c r="Y1019" s="1035">
        <v>10</v>
      </c>
      <c r="Z1019" s="1035">
        <f t="shared" si="234"/>
        <v>2</v>
      </c>
      <c r="AA1019" s="1035"/>
      <c r="AB1019" s="1035"/>
      <c r="AC1019" s="1021">
        <v>212206</v>
      </c>
      <c r="AD1019" s="1021" t="s">
        <v>2271</v>
      </c>
      <c r="AE1019" s="1022">
        <f>VLOOKUP(AC1019,[5]Hoja1!$A$10:$K$1393,11,0)</f>
        <v>-3</v>
      </c>
      <c r="AF1019" s="1022"/>
      <c r="AG1019" s="1022">
        <f t="shared" si="235"/>
        <v>-3</v>
      </c>
      <c r="AH1019" s="1022">
        <f t="shared" si="236"/>
        <v>0</v>
      </c>
      <c r="AK1019" s="448"/>
      <c r="AL1019" s="445"/>
    </row>
    <row r="1020" spans="1:38" s="467" customFormat="1" ht="12.75" customHeight="1">
      <c r="A1020" s="1033"/>
      <c r="B1020" s="1033"/>
      <c r="C1020" s="1034" t="str">
        <f t="shared" si="227"/>
        <v/>
      </c>
      <c r="D1020" s="1035"/>
      <c r="E1020" s="1035"/>
      <c r="F1020" s="1034" t="str">
        <f t="shared" si="228"/>
        <v/>
      </c>
      <c r="G1020" s="1033"/>
      <c r="H1020" s="1033"/>
      <c r="I1020" s="1034" t="str">
        <f t="shared" si="229"/>
        <v>6512200209</v>
      </c>
      <c r="J1020" s="1033">
        <v>6512200</v>
      </c>
      <c r="K1020" s="1033">
        <v>209</v>
      </c>
      <c r="L1020" s="1034" t="str">
        <f t="shared" si="230"/>
        <v/>
      </c>
      <c r="M1020" s="1035"/>
      <c r="N1020" s="1035"/>
      <c r="O1020" s="1036" t="str">
        <f t="shared" si="231"/>
        <v/>
      </c>
      <c r="P1020" s="1033"/>
      <c r="Q1020" s="1033"/>
      <c r="R1020" s="1034" t="str">
        <f t="shared" si="232"/>
        <v>6203200209</v>
      </c>
      <c r="S1020" s="1035">
        <v>6203200</v>
      </c>
      <c r="T1020" s="1035">
        <v>209</v>
      </c>
      <c r="U1020" s="1034" t="str">
        <f t="shared" si="233"/>
        <v/>
      </c>
      <c r="V1020" s="1035"/>
      <c r="W1020" s="1035"/>
      <c r="X1020" s="1037" t="str">
        <f t="shared" si="240"/>
        <v>102</v>
      </c>
      <c r="Y1020" s="1035">
        <v>10</v>
      </c>
      <c r="Z1020" s="1035">
        <f t="shared" si="234"/>
        <v>2</v>
      </c>
      <c r="AA1020" s="1035"/>
      <c r="AB1020" s="1035"/>
      <c r="AC1020" s="1021">
        <v>212207</v>
      </c>
      <c r="AD1020" s="1021" t="s">
        <v>75</v>
      </c>
      <c r="AE1020" s="1022">
        <v>0</v>
      </c>
      <c r="AF1020" s="1022"/>
      <c r="AG1020" s="1022">
        <f t="shared" si="235"/>
        <v>0</v>
      </c>
      <c r="AH1020" s="1022">
        <f t="shared" si="236"/>
        <v>0</v>
      </c>
      <c r="AK1020" s="448"/>
      <c r="AL1020" s="445"/>
    </row>
    <row r="1021" spans="1:38" s="467" customFormat="1" ht="12.75" customHeight="1">
      <c r="A1021" s="1033"/>
      <c r="B1021" s="1033"/>
      <c r="C1021" s="1034" t="str">
        <f t="shared" si="227"/>
        <v/>
      </c>
      <c r="D1021" s="1035"/>
      <c r="E1021" s="1035"/>
      <c r="F1021" s="1034" t="str">
        <f t="shared" si="228"/>
        <v/>
      </c>
      <c r="G1021" s="1033"/>
      <c r="H1021" s="1033"/>
      <c r="I1021" s="1034" t="str">
        <f t="shared" si="229"/>
        <v>6512200109</v>
      </c>
      <c r="J1021" s="1033">
        <v>6512200</v>
      </c>
      <c r="K1021" s="1033">
        <v>109</v>
      </c>
      <c r="L1021" s="1034" t="str">
        <f t="shared" si="230"/>
        <v/>
      </c>
      <c r="M1021" s="1035"/>
      <c r="N1021" s="1035"/>
      <c r="O1021" s="1036" t="str">
        <f t="shared" si="231"/>
        <v/>
      </c>
      <c r="P1021" s="1033"/>
      <c r="Q1021" s="1033"/>
      <c r="R1021" s="1034" t="str">
        <f t="shared" si="232"/>
        <v>6203200109</v>
      </c>
      <c r="S1021" s="1035">
        <v>6203200</v>
      </c>
      <c r="T1021" s="1035">
        <v>109</v>
      </c>
      <c r="U1021" s="1034" t="str">
        <f t="shared" si="233"/>
        <v/>
      </c>
      <c r="V1021" s="1035"/>
      <c r="W1021" s="1035"/>
      <c r="X1021" s="1037" t="str">
        <f t="shared" si="240"/>
        <v>102</v>
      </c>
      <c r="Y1021" s="1035">
        <v>10</v>
      </c>
      <c r="Z1021" s="1035">
        <f t="shared" si="234"/>
        <v>2</v>
      </c>
      <c r="AA1021" s="1035"/>
      <c r="AB1021" s="1035"/>
      <c r="AC1021" s="1021">
        <v>212208</v>
      </c>
      <c r="AD1021" s="1021" t="s">
        <v>1128</v>
      </c>
      <c r="AE1021" s="1022">
        <v>0</v>
      </c>
      <c r="AF1021" s="1022"/>
      <c r="AG1021" s="1022">
        <f t="shared" si="235"/>
        <v>0</v>
      </c>
      <c r="AH1021" s="1022">
        <f t="shared" si="236"/>
        <v>0</v>
      </c>
      <c r="AK1021" s="448"/>
      <c r="AL1021" s="445"/>
    </row>
    <row r="1022" spans="1:38" s="467" customFormat="1" ht="12.75" customHeight="1">
      <c r="A1022" s="1033"/>
      <c r="B1022" s="1033"/>
      <c r="C1022" s="1034" t="str">
        <f t="shared" si="227"/>
        <v/>
      </c>
      <c r="D1022" s="1035"/>
      <c r="E1022" s="1035"/>
      <c r="F1022" s="1034" t="str">
        <f t="shared" si="228"/>
        <v/>
      </c>
      <c r="G1022" s="1033"/>
      <c r="H1022" s="1033"/>
      <c r="I1022" s="1034" t="str">
        <f t="shared" si="229"/>
        <v>6512200101</v>
      </c>
      <c r="J1022" s="1033">
        <v>6512200</v>
      </c>
      <c r="K1022" s="1033">
        <v>101</v>
      </c>
      <c r="L1022" s="1034" t="str">
        <f t="shared" si="230"/>
        <v/>
      </c>
      <c r="M1022" s="1035"/>
      <c r="N1022" s="1035"/>
      <c r="O1022" s="1036" t="str">
        <f t="shared" si="231"/>
        <v/>
      </c>
      <c r="P1022" s="1033"/>
      <c r="Q1022" s="1033"/>
      <c r="R1022" s="1034" t="str">
        <f t="shared" si="232"/>
        <v>6203200101</v>
      </c>
      <c r="S1022" s="1035">
        <v>6203200</v>
      </c>
      <c r="T1022" s="1035">
        <v>101</v>
      </c>
      <c r="U1022" s="1034" t="str">
        <f t="shared" si="233"/>
        <v/>
      </c>
      <c r="V1022" s="1035"/>
      <c r="W1022" s="1035"/>
      <c r="X1022" s="1037" t="str">
        <f t="shared" si="240"/>
        <v>102</v>
      </c>
      <c r="Y1022" s="1035">
        <v>10</v>
      </c>
      <c r="Z1022" s="1035">
        <f t="shared" si="234"/>
        <v>2</v>
      </c>
      <c r="AA1022" s="1035"/>
      <c r="AB1022" s="1035"/>
      <c r="AC1022" s="1021">
        <v>212209</v>
      </c>
      <c r="AD1022" s="1021" t="s">
        <v>2272</v>
      </c>
      <c r="AE1022" s="1022">
        <v>0</v>
      </c>
      <c r="AF1022" s="1022"/>
      <c r="AG1022" s="1022">
        <f t="shared" si="235"/>
        <v>0</v>
      </c>
      <c r="AH1022" s="1022">
        <f t="shared" si="236"/>
        <v>0</v>
      </c>
      <c r="AK1022" s="448"/>
      <c r="AL1022" s="445"/>
    </row>
    <row r="1023" spans="1:38" s="467" customFormat="1" ht="12.75" customHeight="1">
      <c r="A1023" s="1033"/>
      <c r="B1023" s="1033"/>
      <c r="C1023" s="1034" t="str">
        <f t="shared" si="227"/>
        <v/>
      </c>
      <c r="D1023" s="1035"/>
      <c r="E1023" s="1035"/>
      <c r="F1023" s="1034" t="str">
        <f t="shared" si="228"/>
        <v/>
      </c>
      <c r="G1023" s="1033"/>
      <c r="H1023" s="1033"/>
      <c r="I1023" s="1034" t="str">
        <f t="shared" si="229"/>
        <v>6513200103</v>
      </c>
      <c r="J1023" s="1033">
        <v>6513200</v>
      </c>
      <c r="K1023" s="1033">
        <v>103</v>
      </c>
      <c r="L1023" s="1034" t="str">
        <f t="shared" si="230"/>
        <v/>
      </c>
      <c r="M1023" s="1035"/>
      <c r="N1023" s="1035"/>
      <c r="O1023" s="1036" t="str">
        <f t="shared" si="231"/>
        <v/>
      </c>
      <c r="P1023" s="1033"/>
      <c r="Q1023" s="1033"/>
      <c r="R1023" s="1034" t="str">
        <f t="shared" si="232"/>
        <v/>
      </c>
      <c r="S1023" s="1035"/>
      <c r="T1023" s="1035"/>
      <c r="U1023" s="1034" t="str">
        <f t="shared" si="233"/>
        <v/>
      </c>
      <c r="V1023" s="1035"/>
      <c r="W1023" s="1035"/>
      <c r="X1023" s="1037" t="str">
        <f t="shared" si="240"/>
        <v>102</v>
      </c>
      <c r="Y1023" s="1035">
        <v>10</v>
      </c>
      <c r="Z1023" s="1035">
        <f t="shared" si="234"/>
        <v>2</v>
      </c>
      <c r="AA1023" s="1035"/>
      <c r="AB1023" s="1035"/>
      <c r="AC1023" s="1021">
        <v>212210</v>
      </c>
      <c r="AD1023" s="1021" t="s">
        <v>130</v>
      </c>
      <c r="AE1023" s="1022">
        <v>0</v>
      </c>
      <c r="AF1023" s="1022"/>
      <c r="AG1023" s="1022">
        <f t="shared" si="235"/>
        <v>0</v>
      </c>
      <c r="AH1023" s="1022">
        <f t="shared" si="236"/>
        <v>0</v>
      </c>
      <c r="AK1023" s="448"/>
      <c r="AL1023" s="445"/>
    </row>
    <row r="1024" spans="1:38" s="467" customFormat="1" ht="12.75" customHeight="1">
      <c r="A1024" s="1033">
        <v>5213130</v>
      </c>
      <c r="B1024" s="1033" t="s">
        <v>906</v>
      </c>
      <c r="C1024" s="1034" t="str">
        <f t="shared" si="227"/>
        <v/>
      </c>
      <c r="D1024" s="1035"/>
      <c r="E1024" s="1035"/>
      <c r="F1024" s="1034" t="str">
        <f t="shared" si="228"/>
        <v/>
      </c>
      <c r="G1024" s="1033"/>
      <c r="H1024" s="1033"/>
      <c r="I1024" s="1034" t="str">
        <f t="shared" si="229"/>
        <v>6512200104</v>
      </c>
      <c r="J1024" s="1033">
        <v>6512200</v>
      </c>
      <c r="K1024" s="1033">
        <v>104</v>
      </c>
      <c r="L1024" s="1034" t="str">
        <f t="shared" si="230"/>
        <v/>
      </c>
      <c r="M1024" s="1035"/>
      <c r="N1024" s="1035"/>
      <c r="O1024" s="1036" t="str">
        <f t="shared" si="231"/>
        <v/>
      </c>
      <c r="P1024" s="1033"/>
      <c r="Q1024" s="1033"/>
      <c r="R1024" s="1034" t="str">
        <f t="shared" si="232"/>
        <v>6203200104</v>
      </c>
      <c r="S1024" s="1035">
        <v>6203200</v>
      </c>
      <c r="T1024" s="1035">
        <v>104</v>
      </c>
      <c r="U1024" s="1034" t="str">
        <f t="shared" si="233"/>
        <v/>
      </c>
      <c r="V1024" s="1035"/>
      <c r="W1024" s="1035"/>
      <c r="X1024" s="1037" t="str">
        <f t="shared" si="240"/>
        <v>102</v>
      </c>
      <c r="Y1024" s="1035">
        <v>10</v>
      </c>
      <c r="Z1024" s="1035">
        <f t="shared" si="234"/>
        <v>2</v>
      </c>
      <c r="AA1024" s="1035"/>
      <c r="AB1024" s="1035"/>
      <c r="AC1024" s="1021">
        <v>212211</v>
      </c>
      <c r="AD1024" s="1021" t="s">
        <v>131</v>
      </c>
      <c r="AE1024" s="1022">
        <f>VLOOKUP(AC1024,[5]Hoja1!$A$10:$K$1393,11,0)</f>
        <v>-8191278301</v>
      </c>
      <c r="AF1024" s="1022"/>
      <c r="AG1024" s="1022">
        <f t="shared" si="235"/>
        <v>-8191278301</v>
      </c>
      <c r="AH1024" s="1022">
        <f t="shared" si="236"/>
        <v>-8191278</v>
      </c>
      <c r="AK1024" s="448"/>
      <c r="AL1024" s="445"/>
    </row>
    <row r="1025" spans="1:38" s="467" customFormat="1" ht="12.75" customHeight="1">
      <c r="A1025" s="1033"/>
      <c r="B1025" s="1033"/>
      <c r="C1025" s="1034" t="str">
        <f t="shared" si="227"/>
        <v/>
      </c>
      <c r="D1025" s="1035"/>
      <c r="E1025" s="1035"/>
      <c r="F1025" s="1034" t="str">
        <f t="shared" si="228"/>
        <v/>
      </c>
      <c r="G1025" s="1033"/>
      <c r="H1025" s="1033"/>
      <c r="I1025" s="1034" t="str">
        <f t="shared" si="229"/>
        <v>6512200108</v>
      </c>
      <c r="J1025" s="1033">
        <v>6512200</v>
      </c>
      <c r="K1025" s="1033">
        <v>108</v>
      </c>
      <c r="L1025" s="1034" t="str">
        <f t="shared" si="230"/>
        <v/>
      </c>
      <c r="M1025" s="1035"/>
      <c r="N1025" s="1035"/>
      <c r="O1025" s="1036" t="str">
        <f t="shared" si="231"/>
        <v/>
      </c>
      <c r="P1025" s="1033"/>
      <c r="Q1025" s="1033"/>
      <c r="R1025" s="1034" t="str">
        <f t="shared" si="232"/>
        <v>6203200108</v>
      </c>
      <c r="S1025" s="1035">
        <v>6203200</v>
      </c>
      <c r="T1025" s="1035">
        <v>108</v>
      </c>
      <c r="U1025" s="1034" t="str">
        <f t="shared" si="233"/>
        <v/>
      </c>
      <c r="V1025" s="1035"/>
      <c r="W1025" s="1035"/>
      <c r="X1025" s="1037" t="str">
        <f t="shared" si="240"/>
        <v>102</v>
      </c>
      <c r="Y1025" s="1035">
        <v>10</v>
      </c>
      <c r="Z1025" s="1035">
        <f t="shared" si="234"/>
        <v>2</v>
      </c>
      <c r="AA1025" s="1035"/>
      <c r="AB1025" s="1035"/>
      <c r="AC1025" s="1021">
        <v>212212</v>
      </c>
      <c r="AD1025" s="1021" t="s">
        <v>2273</v>
      </c>
      <c r="AE1025" s="1022">
        <v>0</v>
      </c>
      <c r="AF1025" s="1022"/>
      <c r="AG1025" s="1022">
        <f t="shared" si="235"/>
        <v>0</v>
      </c>
      <c r="AH1025" s="1022">
        <f t="shared" si="236"/>
        <v>0</v>
      </c>
      <c r="AK1025" s="448"/>
      <c r="AL1025" s="445"/>
    </row>
    <row r="1026" spans="1:38" s="467" customFormat="1" ht="12.75" customHeight="1">
      <c r="A1026" s="1033"/>
      <c r="B1026" s="1033"/>
      <c r="C1026" s="1034" t="str">
        <f t="shared" si="227"/>
        <v/>
      </c>
      <c r="D1026" s="1035"/>
      <c r="E1026" s="1035"/>
      <c r="F1026" s="1034" t="str">
        <f t="shared" si="228"/>
        <v/>
      </c>
      <c r="G1026" s="1033"/>
      <c r="H1026" s="1033"/>
      <c r="I1026" s="1034" t="str">
        <f t="shared" si="229"/>
        <v>6512200208</v>
      </c>
      <c r="J1026" s="1033">
        <v>6512200</v>
      </c>
      <c r="K1026" s="1033">
        <v>208</v>
      </c>
      <c r="L1026" s="1034" t="str">
        <f t="shared" si="230"/>
        <v/>
      </c>
      <c r="M1026" s="1035"/>
      <c r="N1026" s="1035"/>
      <c r="O1026" s="1036" t="str">
        <f t="shared" si="231"/>
        <v/>
      </c>
      <c r="P1026" s="1033"/>
      <c r="Q1026" s="1033"/>
      <c r="R1026" s="1034" t="str">
        <f t="shared" si="232"/>
        <v>6203200208</v>
      </c>
      <c r="S1026" s="1035">
        <v>6203200</v>
      </c>
      <c r="T1026" s="1035">
        <v>208</v>
      </c>
      <c r="U1026" s="1034" t="str">
        <f t="shared" si="233"/>
        <v/>
      </c>
      <c r="V1026" s="1035"/>
      <c r="W1026" s="1035"/>
      <c r="X1026" s="1037" t="str">
        <f t="shared" si="240"/>
        <v>102</v>
      </c>
      <c r="Y1026" s="1035">
        <v>10</v>
      </c>
      <c r="Z1026" s="1035">
        <f t="shared" si="234"/>
        <v>2</v>
      </c>
      <c r="AA1026" s="1035"/>
      <c r="AB1026" s="1035"/>
      <c r="AC1026" s="1021">
        <v>212213</v>
      </c>
      <c r="AD1026" s="1021" t="s">
        <v>2274</v>
      </c>
      <c r="AE1026" s="1022">
        <v>0</v>
      </c>
      <c r="AF1026" s="1022"/>
      <c r="AG1026" s="1022">
        <f t="shared" si="235"/>
        <v>0</v>
      </c>
      <c r="AH1026" s="1022">
        <f t="shared" si="236"/>
        <v>0</v>
      </c>
      <c r="AK1026" s="448"/>
      <c r="AL1026" s="445"/>
    </row>
    <row r="1027" spans="1:38" s="467" customFormat="1" ht="12.75" customHeight="1">
      <c r="A1027" s="1033"/>
      <c r="B1027" s="1033"/>
      <c r="C1027" s="1034" t="str">
        <f t="shared" si="227"/>
        <v/>
      </c>
      <c r="D1027" s="1035"/>
      <c r="E1027" s="1035"/>
      <c r="F1027" s="1034" t="str">
        <f t="shared" si="228"/>
        <v/>
      </c>
      <c r="G1027" s="1033"/>
      <c r="H1027" s="1033"/>
      <c r="I1027" s="1034" t="str">
        <f t="shared" si="229"/>
        <v>6513200114</v>
      </c>
      <c r="J1027" s="1033">
        <v>6513200</v>
      </c>
      <c r="K1027" s="1033">
        <v>114</v>
      </c>
      <c r="L1027" s="1034" t="str">
        <f t="shared" si="230"/>
        <v/>
      </c>
      <c r="M1027" s="1035"/>
      <c r="N1027" s="1035"/>
      <c r="O1027" s="1036" t="str">
        <f t="shared" si="231"/>
        <v/>
      </c>
      <c r="P1027" s="1033"/>
      <c r="Q1027" s="1033"/>
      <c r="R1027" s="1034" t="str">
        <f t="shared" si="232"/>
        <v/>
      </c>
      <c r="S1027" s="1035"/>
      <c r="T1027" s="1035"/>
      <c r="U1027" s="1034" t="str">
        <f t="shared" si="233"/>
        <v/>
      </c>
      <c r="V1027" s="1035"/>
      <c r="W1027" s="1035"/>
      <c r="X1027" s="1037" t="str">
        <f t="shared" si="240"/>
        <v>102</v>
      </c>
      <c r="Y1027" s="1035">
        <v>10</v>
      </c>
      <c r="Z1027" s="1035">
        <f t="shared" si="234"/>
        <v>2</v>
      </c>
      <c r="AA1027" s="1035"/>
      <c r="AB1027" s="1035"/>
      <c r="AC1027" s="1021">
        <v>212214</v>
      </c>
      <c r="AD1027" s="1021" t="s">
        <v>886</v>
      </c>
      <c r="AE1027" s="1022">
        <v>0</v>
      </c>
      <c r="AF1027" s="1022"/>
      <c r="AG1027" s="1022">
        <f t="shared" si="235"/>
        <v>0</v>
      </c>
      <c r="AH1027" s="1022">
        <f t="shared" si="236"/>
        <v>0</v>
      </c>
      <c r="AK1027" s="448"/>
      <c r="AL1027" s="445"/>
    </row>
    <row r="1028" spans="1:38" s="467" customFormat="1" ht="12.75" customHeight="1">
      <c r="A1028" s="1033">
        <v>5213130</v>
      </c>
      <c r="B1028" s="1033" t="s">
        <v>906</v>
      </c>
      <c r="C1028" s="1034" t="str">
        <f t="shared" si="227"/>
        <v/>
      </c>
      <c r="D1028" s="1035"/>
      <c r="E1028" s="1035"/>
      <c r="F1028" s="1034" t="str">
        <f t="shared" si="228"/>
        <v/>
      </c>
      <c r="G1028" s="1033"/>
      <c r="H1028" s="1033"/>
      <c r="I1028" s="1034" t="str">
        <f t="shared" si="229"/>
        <v>6512200206</v>
      </c>
      <c r="J1028" s="1033">
        <v>6512200</v>
      </c>
      <c r="K1028" s="1033">
        <v>206</v>
      </c>
      <c r="L1028" s="1034" t="str">
        <f t="shared" si="230"/>
        <v/>
      </c>
      <c r="M1028" s="1035"/>
      <c r="N1028" s="1035"/>
      <c r="O1028" s="1036" t="str">
        <f t="shared" si="231"/>
        <v/>
      </c>
      <c r="P1028" s="1033"/>
      <c r="Q1028" s="1033"/>
      <c r="R1028" s="1034" t="str">
        <f t="shared" si="232"/>
        <v>6203200206</v>
      </c>
      <c r="S1028" s="1035">
        <v>6203200</v>
      </c>
      <c r="T1028" s="1035">
        <v>206</v>
      </c>
      <c r="U1028" s="1034" t="str">
        <f t="shared" si="233"/>
        <v/>
      </c>
      <c r="V1028" s="1035"/>
      <c r="W1028" s="1035"/>
      <c r="X1028" s="1037" t="str">
        <f t="shared" si="240"/>
        <v>102</v>
      </c>
      <c r="Y1028" s="1035">
        <v>10</v>
      </c>
      <c r="Z1028" s="1035">
        <f t="shared" si="234"/>
        <v>2</v>
      </c>
      <c r="AA1028" s="1035"/>
      <c r="AB1028" s="1035"/>
      <c r="AC1028" s="1021">
        <v>212215</v>
      </c>
      <c r="AD1028" s="1021" t="s">
        <v>887</v>
      </c>
      <c r="AE1028" s="1022">
        <f>VLOOKUP(AC1028,[5]Hoja1!$A$10:$K$1393,11,0)</f>
        <v>-4304353556</v>
      </c>
      <c r="AF1028" s="1022"/>
      <c r="AG1028" s="1022">
        <f t="shared" si="235"/>
        <v>-4304353556</v>
      </c>
      <c r="AH1028" s="1022">
        <f t="shared" si="236"/>
        <v>-4304354</v>
      </c>
      <c r="AK1028" s="448"/>
      <c r="AL1028" s="445"/>
    </row>
    <row r="1029" spans="1:38" s="467" customFormat="1" ht="12.75" customHeight="1">
      <c r="A1029" s="1033"/>
      <c r="B1029" s="1033"/>
      <c r="C1029" s="1034" t="str">
        <f t="shared" si="227"/>
        <v/>
      </c>
      <c r="D1029" s="1035"/>
      <c r="E1029" s="1035"/>
      <c r="F1029" s="1034" t="str">
        <f t="shared" si="228"/>
        <v/>
      </c>
      <c r="G1029" s="1033"/>
      <c r="H1029" s="1033"/>
      <c r="I1029" s="1034" t="str">
        <f t="shared" si="229"/>
        <v>6512200207</v>
      </c>
      <c r="J1029" s="1033">
        <v>6512200</v>
      </c>
      <c r="K1029" s="1033">
        <v>207</v>
      </c>
      <c r="L1029" s="1034" t="str">
        <f t="shared" si="230"/>
        <v/>
      </c>
      <c r="M1029" s="1035"/>
      <c r="N1029" s="1035"/>
      <c r="O1029" s="1036" t="str">
        <f t="shared" si="231"/>
        <v/>
      </c>
      <c r="P1029" s="1033"/>
      <c r="Q1029" s="1033"/>
      <c r="R1029" s="1034" t="str">
        <f t="shared" si="232"/>
        <v>6203200207</v>
      </c>
      <c r="S1029" s="1035">
        <v>6203200</v>
      </c>
      <c r="T1029" s="1035">
        <v>207</v>
      </c>
      <c r="U1029" s="1034" t="str">
        <f t="shared" si="233"/>
        <v/>
      </c>
      <c r="V1029" s="1035"/>
      <c r="W1029" s="1035"/>
      <c r="X1029" s="1037" t="str">
        <f t="shared" si="240"/>
        <v>102</v>
      </c>
      <c r="Y1029" s="1035">
        <v>10</v>
      </c>
      <c r="Z1029" s="1035">
        <f t="shared" si="234"/>
        <v>2</v>
      </c>
      <c r="AA1029" s="1035"/>
      <c r="AB1029" s="1035"/>
      <c r="AC1029" s="1021">
        <v>212216</v>
      </c>
      <c r="AD1029" s="1021" t="s">
        <v>2275</v>
      </c>
      <c r="AE1029" s="1022">
        <v>0</v>
      </c>
      <c r="AF1029" s="1022"/>
      <c r="AG1029" s="1022">
        <f t="shared" si="235"/>
        <v>0</v>
      </c>
      <c r="AH1029" s="1022">
        <f t="shared" si="236"/>
        <v>0</v>
      </c>
      <c r="AK1029" s="448"/>
      <c r="AL1029" s="445"/>
    </row>
    <row r="1030" spans="1:38" s="467" customFormat="1" ht="12.75" customHeight="1">
      <c r="A1030" s="1033">
        <v>5213130</v>
      </c>
      <c r="B1030" s="1033" t="s">
        <v>906</v>
      </c>
      <c r="C1030" s="1034" t="str">
        <f t="shared" si="227"/>
        <v/>
      </c>
      <c r="D1030" s="1035"/>
      <c r="E1030" s="1035"/>
      <c r="F1030" s="1034" t="str">
        <f t="shared" si="228"/>
        <v/>
      </c>
      <c r="G1030" s="1033"/>
      <c r="H1030" s="1033"/>
      <c r="I1030" s="1034" t="str">
        <f t="shared" si="229"/>
        <v>6512200212</v>
      </c>
      <c r="J1030" s="1033">
        <v>6512200</v>
      </c>
      <c r="K1030" s="1033">
        <v>212</v>
      </c>
      <c r="L1030" s="1034" t="str">
        <f t="shared" si="230"/>
        <v/>
      </c>
      <c r="M1030" s="1035"/>
      <c r="N1030" s="1035"/>
      <c r="O1030" s="1036" t="str">
        <f t="shared" si="231"/>
        <v/>
      </c>
      <c r="P1030" s="1033"/>
      <c r="Q1030" s="1033"/>
      <c r="R1030" s="1034" t="str">
        <f t="shared" si="232"/>
        <v>6203200212</v>
      </c>
      <c r="S1030" s="1035">
        <v>6203200</v>
      </c>
      <c r="T1030" s="1035">
        <v>212</v>
      </c>
      <c r="U1030" s="1034" t="str">
        <f t="shared" si="233"/>
        <v/>
      </c>
      <c r="V1030" s="1035"/>
      <c r="W1030" s="1035"/>
      <c r="X1030" s="1037" t="str">
        <f t="shared" si="240"/>
        <v>102</v>
      </c>
      <c r="Y1030" s="1035">
        <v>10</v>
      </c>
      <c r="Z1030" s="1035">
        <f t="shared" si="234"/>
        <v>2</v>
      </c>
      <c r="AA1030" s="1035"/>
      <c r="AB1030" s="1035"/>
      <c r="AC1030" s="1021">
        <v>212217</v>
      </c>
      <c r="AD1030" s="1021" t="s">
        <v>1029</v>
      </c>
      <c r="AE1030" s="1022">
        <f>VLOOKUP(AC1030,[5]Hoja1!$A$10:$K$1393,11,0)</f>
        <v>-3115134712</v>
      </c>
      <c r="AF1030" s="1022"/>
      <c r="AG1030" s="1022">
        <f t="shared" si="235"/>
        <v>-3115134712</v>
      </c>
      <c r="AH1030" s="1022">
        <f t="shared" si="236"/>
        <v>-3115135</v>
      </c>
      <c r="AK1030" s="448"/>
      <c r="AL1030" s="445"/>
    </row>
    <row r="1031" spans="1:38" s="467" customFormat="1" ht="12.75" customHeight="1">
      <c r="A1031" s="1033">
        <v>5214212</v>
      </c>
      <c r="B1031" s="1033" t="s">
        <v>2791</v>
      </c>
      <c r="C1031" s="1034" t="str">
        <f t="shared" si="227"/>
        <v/>
      </c>
      <c r="D1031" s="1035"/>
      <c r="E1031" s="1035"/>
      <c r="F1031" s="1034" t="str">
        <f t="shared" si="228"/>
        <v/>
      </c>
      <c r="G1031" s="1033"/>
      <c r="H1031" s="1033"/>
      <c r="I1031" s="1034" t="str">
        <f t="shared" si="229"/>
        <v/>
      </c>
      <c r="J1031" s="1033"/>
      <c r="K1031" s="1033"/>
      <c r="L1031" s="1034" t="str">
        <f t="shared" si="230"/>
        <v/>
      </c>
      <c r="M1031" s="1035"/>
      <c r="N1031" s="1035"/>
      <c r="O1031" s="1036" t="str">
        <f t="shared" si="231"/>
        <v/>
      </c>
      <c r="P1031" s="1033"/>
      <c r="Q1031" s="1033"/>
      <c r="R1031" s="1034" t="str">
        <f t="shared" si="232"/>
        <v/>
      </c>
      <c r="S1031" s="1035"/>
      <c r="T1031" s="1035"/>
      <c r="U1031" s="1034" t="str">
        <f t="shared" si="233"/>
        <v/>
      </c>
      <c r="V1031" s="1035"/>
      <c r="W1031" s="1035"/>
      <c r="X1031" s="1037" t="str">
        <f t="shared" si="240"/>
        <v>2</v>
      </c>
      <c r="Y1031" s="1035"/>
      <c r="Z1031" s="1035">
        <f t="shared" si="234"/>
        <v>2</v>
      </c>
      <c r="AA1031" s="1035"/>
      <c r="AB1031" s="1035"/>
      <c r="AC1031" s="1021">
        <v>212301</v>
      </c>
      <c r="AD1031" s="1021" t="s">
        <v>2276</v>
      </c>
      <c r="AE1031" s="1022">
        <f>VLOOKUP(AC1031,[5]Hoja1!$A$10:$K$1393,11,0)</f>
        <v>-1266186476</v>
      </c>
      <c r="AF1031" s="1022">
        <v>0</v>
      </c>
      <c r="AG1031" s="1022">
        <f t="shared" si="235"/>
        <v>-1266186476</v>
      </c>
      <c r="AH1031" s="1022">
        <f t="shared" si="236"/>
        <v>-1266186</v>
      </c>
      <c r="AK1031" s="448"/>
      <c r="AL1031" s="445"/>
    </row>
    <row r="1032" spans="1:38" s="467" customFormat="1" ht="12.75" customHeight="1">
      <c r="A1032" s="1033"/>
      <c r="B1032" s="1033"/>
      <c r="C1032" s="1034" t="str">
        <f t="shared" si="227"/>
        <v/>
      </c>
      <c r="D1032" s="1035"/>
      <c r="E1032" s="1035"/>
      <c r="F1032" s="1034" t="str">
        <f t="shared" si="228"/>
        <v/>
      </c>
      <c r="G1032" s="1033"/>
      <c r="H1032" s="1033"/>
      <c r="I1032" s="1034" t="str">
        <f t="shared" si="229"/>
        <v/>
      </c>
      <c r="J1032" s="1033"/>
      <c r="K1032" s="1033"/>
      <c r="L1032" s="1034" t="str">
        <f t="shared" si="230"/>
        <v/>
      </c>
      <c r="M1032" s="1035"/>
      <c r="N1032" s="1035"/>
      <c r="O1032" s="1036" t="str">
        <f t="shared" si="231"/>
        <v/>
      </c>
      <c r="P1032" s="1033"/>
      <c r="Q1032" s="1033"/>
      <c r="R1032" s="1034" t="str">
        <f t="shared" si="232"/>
        <v/>
      </c>
      <c r="S1032" s="1035"/>
      <c r="T1032" s="1035"/>
      <c r="U1032" s="1034" t="str">
        <f t="shared" si="233"/>
        <v/>
      </c>
      <c r="V1032" s="1035"/>
      <c r="W1032" s="1035"/>
      <c r="X1032" s="1037" t="str">
        <f t="shared" si="240"/>
        <v>2</v>
      </c>
      <c r="Y1032" s="1035"/>
      <c r="Z1032" s="1035">
        <f t="shared" si="234"/>
        <v>2</v>
      </c>
      <c r="AA1032" s="1035"/>
      <c r="AB1032" s="1035"/>
      <c r="AC1032" s="1021">
        <v>212302</v>
      </c>
      <c r="AD1032" s="1021" t="s">
        <v>2277</v>
      </c>
      <c r="AE1032" s="1022">
        <v>0</v>
      </c>
      <c r="AF1032" s="1022"/>
      <c r="AG1032" s="1022">
        <f t="shared" si="235"/>
        <v>0</v>
      </c>
      <c r="AH1032" s="1022">
        <f t="shared" si="236"/>
        <v>0</v>
      </c>
      <c r="AK1032" s="448"/>
      <c r="AL1032" s="445"/>
    </row>
    <row r="1033" spans="1:38" s="467" customFormat="1" ht="12.75" customHeight="1">
      <c r="A1033" s="1033">
        <v>5214260</v>
      </c>
      <c r="B1033" s="1033" t="s">
        <v>2794</v>
      </c>
      <c r="C1033" s="1034"/>
      <c r="D1033" s="1035"/>
      <c r="E1033" s="1035"/>
      <c r="F1033" s="1034"/>
      <c r="G1033" s="1033"/>
      <c r="H1033" s="1033"/>
      <c r="I1033" s="1034"/>
      <c r="J1033" s="1033"/>
      <c r="K1033" s="1033"/>
      <c r="L1033" s="1034"/>
      <c r="M1033" s="1035"/>
      <c r="N1033" s="1035"/>
      <c r="O1033" s="1036"/>
      <c r="P1033" s="1033"/>
      <c r="Q1033" s="1033"/>
      <c r="R1033" s="1034"/>
      <c r="S1033" s="1035"/>
      <c r="T1033" s="1035"/>
      <c r="U1033" s="1034"/>
      <c r="V1033" s="1035"/>
      <c r="W1033" s="1035"/>
      <c r="X1033" s="1037"/>
      <c r="Y1033" s="1035"/>
      <c r="Z1033" s="1035">
        <f t="shared" si="234"/>
        <v>2</v>
      </c>
      <c r="AA1033" s="1033" t="s">
        <v>2906</v>
      </c>
      <c r="AB1033" s="1033"/>
      <c r="AC1033" s="1021">
        <v>215011</v>
      </c>
      <c r="AD1033" s="1021" t="s">
        <v>1901</v>
      </c>
      <c r="AE1033" s="1022">
        <f>VLOOKUP(AC1033,[5]Hoja1!$A$10:$K$1393,11,0)</f>
        <v>-135581180</v>
      </c>
      <c r="AF1033" s="1191">
        <f>-AE1033</f>
        <v>135581180</v>
      </c>
      <c r="AG1033" s="1022">
        <f t="shared" si="235"/>
        <v>0</v>
      </c>
      <c r="AH1033" s="1022">
        <f t="shared" si="236"/>
        <v>0</v>
      </c>
      <c r="AK1033" s="448"/>
      <c r="AL1033" s="445"/>
    </row>
    <row r="1034" spans="1:38" s="467" customFormat="1" ht="12.75" customHeight="1">
      <c r="A1034" s="1033">
        <v>5214260</v>
      </c>
      <c r="B1034" s="1033" t="s">
        <v>2794</v>
      </c>
      <c r="C1034" s="1034"/>
      <c r="D1034" s="1035"/>
      <c r="E1034" s="1035"/>
      <c r="F1034" s="1034"/>
      <c r="G1034" s="1033"/>
      <c r="H1034" s="1033"/>
      <c r="I1034" s="1034"/>
      <c r="J1034" s="1033"/>
      <c r="K1034" s="1033"/>
      <c r="L1034" s="1034"/>
      <c r="M1034" s="1035"/>
      <c r="N1034" s="1035"/>
      <c r="O1034" s="1036"/>
      <c r="P1034" s="1033"/>
      <c r="Q1034" s="1033"/>
      <c r="R1034" s="1034"/>
      <c r="S1034" s="1035"/>
      <c r="T1034" s="1035"/>
      <c r="U1034" s="1034"/>
      <c r="V1034" s="1035"/>
      <c r="W1034" s="1035"/>
      <c r="X1034" s="1037"/>
      <c r="Y1034" s="1035"/>
      <c r="Z1034" s="1035">
        <f t="shared" si="234"/>
        <v>2</v>
      </c>
      <c r="AA1034" s="1033" t="s">
        <v>2906</v>
      </c>
      <c r="AB1034" s="1033"/>
      <c r="AC1034" s="1021">
        <v>215012</v>
      </c>
      <c r="AD1034" s="1021" t="s">
        <v>1902</v>
      </c>
      <c r="AE1034" s="1022">
        <f>VLOOKUP(AC1034,[5]Hoja1!$A$10:$K$1393,11,0)</f>
        <v>-9655496167</v>
      </c>
      <c r="AF1034" s="1191">
        <f>-AE1034</f>
        <v>9655496167</v>
      </c>
      <c r="AG1034" s="1022">
        <f t="shared" si="235"/>
        <v>0</v>
      </c>
      <c r="AH1034" s="1022">
        <f t="shared" si="236"/>
        <v>0</v>
      </c>
      <c r="AK1034" s="448"/>
      <c r="AL1034" s="445"/>
    </row>
    <row r="1035" spans="1:38" s="467" customFormat="1" ht="12.75" customHeight="1">
      <c r="A1035" s="1033">
        <v>5214260</v>
      </c>
      <c r="B1035" s="1033" t="s">
        <v>2794</v>
      </c>
      <c r="C1035" s="1034"/>
      <c r="D1035" s="1035"/>
      <c r="E1035" s="1035"/>
      <c r="F1035" s="1034"/>
      <c r="G1035" s="1033"/>
      <c r="H1035" s="1033"/>
      <c r="I1035" s="1034"/>
      <c r="J1035" s="1033"/>
      <c r="K1035" s="1033"/>
      <c r="L1035" s="1034"/>
      <c r="M1035" s="1035"/>
      <c r="N1035" s="1035"/>
      <c r="O1035" s="1036"/>
      <c r="P1035" s="1033"/>
      <c r="Q1035" s="1033"/>
      <c r="R1035" s="1034"/>
      <c r="S1035" s="1035"/>
      <c r="T1035" s="1035"/>
      <c r="U1035" s="1034"/>
      <c r="V1035" s="1035"/>
      <c r="W1035" s="1035"/>
      <c r="X1035" s="1037"/>
      <c r="Y1035" s="1035"/>
      <c r="Z1035" s="1035">
        <f t="shared" si="234"/>
        <v>2</v>
      </c>
      <c r="AA1035" s="1033" t="s">
        <v>2906</v>
      </c>
      <c r="AB1035" s="1033"/>
      <c r="AC1035" s="1021">
        <v>220001</v>
      </c>
      <c r="AD1035" s="1021" t="s">
        <v>720</v>
      </c>
      <c r="AE1035" s="1022">
        <f>VLOOKUP(AC1035,[5]Hoja1!$A$10:$K$1393,11,0)</f>
        <v>0</v>
      </c>
      <c r="AF1035" s="1022"/>
      <c r="AG1035" s="1022">
        <f t="shared" si="235"/>
        <v>0</v>
      </c>
      <c r="AH1035" s="1022">
        <f t="shared" si="236"/>
        <v>0</v>
      </c>
      <c r="AK1035" s="448"/>
      <c r="AL1035" s="445"/>
    </row>
    <row r="1036" spans="1:38" s="467" customFormat="1" ht="12.75" customHeight="1">
      <c r="A1036" s="1033">
        <v>5221000</v>
      </c>
      <c r="B1036" s="1033" t="s">
        <v>1123</v>
      </c>
      <c r="C1036" s="1034" t="str">
        <f t="shared" si="227"/>
        <v/>
      </c>
      <c r="D1036" s="1035"/>
      <c r="E1036" s="1035"/>
      <c r="F1036" s="1034" t="str">
        <f t="shared" si="228"/>
        <v/>
      </c>
      <c r="G1036" s="1033"/>
      <c r="H1036" s="1033"/>
      <c r="I1036" s="1034" t="str">
        <f t="shared" si="229"/>
        <v/>
      </c>
      <c r="J1036" s="1033"/>
      <c r="K1036" s="1033"/>
      <c r="L1036" s="1034" t="str">
        <f t="shared" si="230"/>
        <v/>
      </c>
      <c r="M1036" s="1035"/>
      <c r="N1036" s="1035"/>
      <c r="O1036" s="1036" t="str">
        <f t="shared" si="231"/>
        <v/>
      </c>
      <c r="P1036" s="1033"/>
      <c r="Q1036" s="1033"/>
      <c r="R1036" s="1034" t="str">
        <f t="shared" si="232"/>
        <v/>
      </c>
      <c r="S1036" s="1035"/>
      <c r="T1036" s="1035"/>
      <c r="U1036" s="1034" t="str">
        <f t="shared" si="233"/>
        <v/>
      </c>
      <c r="V1036" s="1035"/>
      <c r="W1036" s="1035"/>
      <c r="X1036" s="1037" t="str">
        <f t="shared" ref="X1036:X1042" si="241">+Y1036&amp;Z1036</f>
        <v>123</v>
      </c>
      <c r="Y1036" s="1035">
        <v>12</v>
      </c>
      <c r="Z1036" s="1035">
        <f t="shared" si="234"/>
        <v>3</v>
      </c>
      <c r="AA1036" s="1035"/>
      <c r="AB1036" s="1035"/>
      <c r="AC1036" s="1021">
        <v>310001</v>
      </c>
      <c r="AD1036" s="1021" t="s">
        <v>158</v>
      </c>
      <c r="AE1036" s="1022">
        <f>VLOOKUP(AC1036,[5]Hoja1!$A$10:$K$1393,11,0)</f>
        <v>-153150666685</v>
      </c>
      <c r="AF1036" s="1191">
        <v>-218239700</v>
      </c>
      <c r="AG1036" s="1022">
        <f t="shared" si="235"/>
        <v>-153368906385</v>
      </c>
      <c r="AH1036" s="1189">
        <f t="shared" si="236"/>
        <v>-153368906</v>
      </c>
      <c r="AK1036" s="448"/>
      <c r="AL1036" s="445"/>
    </row>
    <row r="1037" spans="1:38" s="467" customFormat="1" ht="12.75" customHeight="1">
      <c r="A1037" s="1033">
        <v>5222000</v>
      </c>
      <c r="B1037" s="1033" t="s">
        <v>2796</v>
      </c>
      <c r="C1037" s="1034" t="str">
        <f t="shared" ref="C1037:C1054" si="242">+D1037&amp;E1037</f>
        <v/>
      </c>
      <c r="D1037" s="1035"/>
      <c r="E1037" s="1035"/>
      <c r="F1037" s="1034" t="str">
        <f t="shared" ref="F1037:F1054" si="243">+G1037&amp;H1037</f>
        <v/>
      </c>
      <c r="G1037" s="1033"/>
      <c r="H1037" s="1033"/>
      <c r="I1037" s="1034" t="str">
        <f t="shared" ref="I1037:I1054" si="244">+J1037&amp;K1037</f>
        <v/>
      </c>
      <c r="J1037" s="1033"/>
      <c r="K1037" s="1033"/>
      <c r="L1037" s="1034" t="str">
        <f t="shared" ref="L1037:L1054" si="245">+M1037&amp;N1037</f>
        <v/>
      </c>
      <c r="M1037" s="1035"/>
      <c r="N1037" s="1035"/>
      <c r="O1037" s="1036" t="str">
        <f t="shared" ref="O1037:O1054" si="246">+P1037&amp;Q1037</f>
        <v/>
      </c>
      <c r="P1037" s="1033"/>
      <c r="Q1037" s="1033"/>
      <c r="R1037" s="1034" t="str">
        <f t="shared" ref="R1037:R1054" si="247">+S1037&amp;T1037</f>
        <v/>
      </c>
      <c r="S1037" s="1035"/>
      <c r="T1037" s="1035"/>
      <c r="U1037" s="1034" t="str">
        <f t="shared" ref="U1037:U1054" si="248">+V1037&amp;W1037</f>
        <v/>
      </c>
      <c r="V1037" s="1035"/>
      <c r="W1037" s="1035"/>
      <c r="X1037" s="1037" t="str">
        <f t="shared" si="241"/>
        <v>123</v>
      </c>
      <c r="Y1037" s="1035">
        <v>12</v>
      </c>
      <c r="Z1037" s="1035">
        <f t="shared" si="234"/>
        <v>3</v>
      </c>
      <c r="AA1037" s="1035"/>
      <c r="AB1037" s="1035"/>
      <c r="AC1037" s="1021">
        <v>310002</v>
      </c>
      <c r="AD1037" s="1021" t="s">
        <v>2278</v>
      </c>
      <c r="AE1037" s="1022">
        <f>VLOOKUP(AC1037,[5]Hoja1!$A$10:$K$1393,11,0)</f>
        <v>-3193809937</v>
      </c>
      <c r="AF1037" s="1022"/>
      <c r="AG1037" s="1022">
        <f t="shared" si="235"/>
        <v>-3193809937</v>
      </c>
      <c r="AH1037" s="1189">
        <f t="shared" si="236"/>
        <v>-3193810</v>
      </c>
      <c r="AK1037" s="448"/>
      <c r="AL1037" s="445"/>
    </row>
    <row r="1038" spans="1:38" s="467" customFormat="1" ht="12.75" customHeight="1">
      <c r="A1038" s="1033">
        <v>5221000</v>
      </c>
      <c r="B1038" s="1033" t="s">
        <v>1123</v>
      </c>
      <c r="C1038" s="1034" t="str">
        <f t="shared" si="242"/>
        <v/>
      </c>
      <c r="D1038" s="1035"/>
      <c r="E1038" s="1035"/>
      <c r="F1038" s="1034" t="str">
        <f t="shared" si="243"/>
        <v/>
      </c>
      <c r="G1038" s="1033"/>
      <c r="H1038" s="1033"/>
      <c r="I1038" s="1034" t="str">
        <f t="shared" si="244"/>
        <v/>
      </c>
      <c r="J1038" s="1033"/>
      <c r="K1038" s="1033"/>
      <c r="L1038" s="1034" t="str">
        <f t="shared" si="245"/>
        <v/>
      </c>
      <c r="M1038" s="1035"/>
      <c r="N1038" s="1035"/>
      <c r="O1038" s="1036" t="str">
        <f t="shared" si="246"/>
        <v/>
      </c>
      <c r="P1038" s="1033"/>
      <c r="Q1038" s="1033"/>
      <c r="R1038" s="1034" t="str">
        <f t="shared" si="247"/>
        <v/>
      </c>
      <c r="S1038" s="1035"/>
      <c r="T1038" s="1035"/>
      <c r="U1038" s="1034" t="str">
        <f t="shared" si="248"/>
        <v/>
      </c>
      <c r="V1038" s="1035"/>
      <c r="W1038" s="1035"/>
      <c r="X1038" s="1037" t="str">
        <f t="shared" si="241"/>
        <v>123</v>
      </c>
      <c r="Y1038" s="1035">
        <v>12</v>
      </c>
      <c r="Z1038" s="1035">
        <f t="shared" si="234"/>
        <v>3</v>
      </c>
      <c r="AA1038" s="1035"/>
      <c r="AB1038" s="1035"/>
      <c r="AC1038" s="1021">
        <v>310101</v>
      </c>
      <c r="AD1038" s="1021" t="s">
        <v>159</v>
      </c>
      <c r="AE1038" s="1022">
        <f>VLOOKUP(AC1038,[5]Hoja1!$A$10:$K$1393,11,0)</f>
        <v>-6199627045</v>
      </c>
      <c r="AF1038" s="1191">
        <v>218239700</v>
      </c>
      <c r="AG1038" s="1022">
        <f t="shared" si="235"/>
        <v>-5981387345</v>
      </c>
      <c r="AH1038" s="1189">
        <f t="shared" si="236"/>
        <v>-5981387</v>
      </c>
      <c r="AK1038" s="448"/>
      <c r="AL1038" s="445"/>
    </row>
    <row r="1039" spans="1:38" s="467" customFormat="1" ht="12.75" customHeight="1">
      <c r="A1039" s="1033">
        <v>5222000</v>
      </c>
      <c r="B1039" s="1033" t="s">
        <v>2796</v>
      </c>
      <c r="C1039" s="1034" t="str">
        <f t="shared" si="242"/>
        <v/>
      </c>
      <c r="D1039" s="1035"/>
      <c r="E1039" s="1035"/>
      <c r="F1039" s="1034" t="str">
        <f t="shared" si="243"/>
        <v/>
      </c>
      <c r="G1039" s="1033"/>
      <c r="H1039" s="1033"/>
      <c r="I1039" s="1034" t="str">
        <f t="shared" si="244"/>
        <v/>
      </c>
      <c r="J1039" s="1033"/>
      <c r="K1039" s="1033"/>
      <c r="L1039" s="1034" t="str">
        <f t="shared" si="245"/>
        <v/>
      </c>
      <c r="M1039" s="1035"/>
      <c r="N1039" s="1035"/>
      <c r="O1039" s="1036" t="str">
        <f t="shared" si="246"/>
        <v/>
      </c>
      <c r="P1039" s="1033"/>
      <c r="Q1039" s="1033"/>
      <c r="R1039" s="1034" t="str">
        <f t="shared" si="247"/>
        <v/>
      </c>
      <c r="S1039" s="1035"/>
      <c r="T1039" s="1035"/>
      <c r="U1039" s="1034" t="str">
        <f t="shared" si="248"/>
        <v/>
      </c>
      <c r="V1039" s="1035"/>
      <c r="W1039" s="1035"/>
      <c r="X1039" s="1037" t="str">
        <f t="shared" si="241"/>
        <v>123</v>
      </c>
      <c r="Y1039" s="1035">
        <v>12</v>
      </c>
      <c r="Z1039" s="1035">
        <f t="shared" si="234"/>
        <v>3</v>
      </c>
      <c r="AA1039" s="1035"/>
      <c r="AB1039" s="1035"/>
      <c r="AC1039" s="1021">
        <v>310102</v>
      </c>
      <c r="AD1039" s="1021" t="s">
        <v>2279</v>
      </c>
      <c r="AE1039" s="1022">
        <f>VLOOKUP(AC1039,[5]Hoja1!$A$10:$K$1393,11,0)</f>
        <v>-129287265</v>
      </c>
      <c r="AF1039" s="1022"/>
      <c r="AG1039" s="1022">
        <f t="shared" si="235"/>
        <v>-129287265</v>
      </c>
      <c r="AH1039" s="1189">
        <f t="shared" si="236"/>
        <v>-129287</v>
      </c>
      <c r="AK1039" s="448"/>
      <c r="AL1039" s="445"/>
    </row>
    <row r="1040" spans="1:38" s="467" customFormat="1" ht="12.75" customHeight="1">
      <c r="A1040" s="1033">
        <v>5223100</v>
      </c>
      <c r="B1040" s="1033" t="s">
        <v>2798</v>
      </c>
      <c r="C1040" s="1034" t="str">
        <f t="shared" si="242"/>
        <v/>
      </c>
      <c r="D1040" s="1035"/>
      <c r="E1040" s="1035"/>
      <c r="F1040" s="1034" t="str">
        <f t="shared" si="243"/>
        <v/>
      </c>
      <c r="G1040" s="1033"/>
      <c r="H1040" s="1033"/>
      <c r="I1040" s="1034" t="str">
        <f t="shared" si="244"/>
        <v/>
      </c>
      <c r="J1040" s="1033"/>
      <c r="K1040" s="1033"/>
      <c r="L1040" s="1034" t="str">
        <f t="shared" si="245"/>
        <v/>
      </c>
      <c r="M1040" s="1035"/>
      <c r="N1040" s="1035"/>
      <c r="O1040" s="1036" t="str">
        <f t="shared" si="246"/>
        <v/>
      </c>
      <c r="P1040" s="1033"/>
      <c r="Q1040" s="1033"/>
      <c r="R1040" s="1034" t="str">
        <f t="shared" si="247"/>
        <v/>
      </c>
      <c r="S1040" s="1035"/>
      <c r="T1040" s="1035"/>
      <c r="U1040" s="1034" t="str">
        <f t="shared" si="248"/>
        <v/>
      </c>
      <c r="V1040" s="1035"/>
      <c r="W1040" s="1035"/>
      <c r="X1040" s="1037" t="str">
        <f t="shared" si="241"/>
        <v>123</v>
      </c>
      <c r="Y1040" s="1035">
        <v>12</v>
      </c>
      <c r="Z1040" s="1035">
        <f t="shared" si="234"/>
        <v>3</v>
      </c>
      <c r="AA1040" s="1035"/>
      <c r="AB1040" s="1035"/>
      <c r="AC1040" s="1021">
        <v>310103</v>
      </c>
      <c r="AD1040" s="1021" t="s">
        <v>160</v>
      </c>
      <c r="AE1040" s="1022">
        <f>VLOOKUP(AC1040,[5]Hoja1!$A$10:$K$1393,11,0)</f>
        <v>-4848086388</v>
      </c>
      <c r="AF1040" s="1022"/>
      <c r="AG1040" s="1022">
        <f t="shared" si="235"/>
        <v>-4848086388</v>
      </c>
      <c r="AH1040" s="1022">
        <f t="shared" si="236"/>
        <v>-4848086</v>
      </c>
      <c r="AK1040" s="448"/>
      <c r="AL1040" s="445"/>
    </row>
    <row r="1041" spans="1:38" s="467" customFormat="1" ht="12.75" customHeight="1">
      <c r="A1041" s="1033">
        <v>5223100</v>
      </c>
      <c r="B1041" s="1033" t="s">
        <v>2798</v>
      </c>
      <c r="C1041" s="1034" t="str">
        <f t="shared" si="242"/>
        <v/>
      </c>
      <c r="D1041" s="1035"/>
      <c r="E1041" s="1035"/>
      <c r="F1041" s="1034" t="str">
        <f t="shared" si="243"/>
        <v/>
      </c>
      <c r="G1041" s="1033"/>
      <c r="H1041" s="1033"/>
      <c r="I1041" s="1034" t="str">
        <f t="shared" si="244"/>
        <v/>
      </c>
      <c r="J1041" s="1033"/>
      <c r="K1041" s="1033"/>
      <c r="L1041" s="1034" t="str">
        <f t="shared" si="245"/>
        <v/>
      </c>
      <c r="M1041" s="1035"/>
      <c r="N1041" s="1035"/>
      <c r="O1041" s="1036" t="str">
        <f t="shared" si="246"/>
        <v/>
      </c>
      <c r="P1041" s="1033"/>
      <c r="Q1041" s="1033"/>
      <c r="R1041" s="1034" t="str">
        <f t="shared" si="247"/>
        <v/>
      </c>
      <c r="S1041" s="1035"/>
      <c r="T1041" s="1035"/>
      <c r="U1041" s="1034" t="str">
        <f t="shared" si="248"/>
        <v/>
      </c>
      <c r="V1041" s="1035"/>
      <c r="W1041" s="1035"/>
      <c r="X1041" s="1037" t="str">
        <f t="shared" si="241"/>
        <v>3</v>
      </c>
      <c r="Y1041" s="1035"/>
      <c r="Z1041" s="1035">
        <f t="shared" si="234"/>
        <v>3</v>
      </c>
      <c r="AA1041" s="1035"/>
      <c r="AB1041" s="1035"/>
      <c r="AC1041" s="1021">
        <v>310104</v>
      </c>
      <c r="AD1041" s="1021" t="s">
        <v>2280</v>
      </c>
      <c r="AE1041" s="1022">
        <f>VLOOKUP(AC1041,[5]Hoja1!$A$10:$K$1393,11,0)</f>
        <v>20321870989</v>
      </c>
      <c r="AF1041" s="1191">
        <f>-AE1041</f>
        <v>-20321870989</v>
      </c>
      <c r="AG1041" s="1022">
        <f t="shared" si="235"/>
        <v>0</v>
      </c>
      <c r="AH1041" s="1022">
        <f t="shared" si="236"/>
        <v>0</v>
      </c>
      <c r="AK1041" s="448"/>
      <c r="AL1041" s="445"/>
    </row>
    <row r="1042" spans="1:38" s="467" customFormat="1" ht="12.75" customHeight="1">
      <c r="A1042" s="1033"/>
      <c r="B1042" s="1033"/>
      <c r="C1042" s="1034" t="str">
        <f t="shared" si="242"/>
        <v/>
      </c>
      <c r="D1042" s="1035"/>
      <c r="E1042" s="1035"/>
      <c r="F1042" s="1034" t="str">
        <f t="shared" si="243"/>
        <v/>
      </c>
      <c r="G1042" s="1033"/>
      <c r="H1042" s="1033"/>
      <c r="I1042" s="1034" t="str">
        <f t="shared" si="244"/>
        <v/>
      </c>
      <c r="J1042" s="1033"/>
      <c r="K1042" s="1033"/>
      <c r="L1042" s="1034" t="str">
        <f t="shared" si="245"/>
        <v/>
      </c>
      <c r="M1042" s="1035"/>
      <c r="N1042" s="1035"/>
      <c r="O1042" s="1036" t="str">
        <f t="shared" si="246"/>
        <v/>
      </c>
      <c r="P1042" s="1033"/>
      <c r="Q1042" s="1033"/>
      <c r="R1042" s="1034" t="str">
        <f t="shared" si="247"/>
        <v/>
      </c>
      <c r="S1042" s="1035"/>
      <c r="T1042" s="1035"/>
      <c r="U1042" s="1034" t="str">
        <f t="shared" si="248"/>
        <v/>
      </c>
      <c r="V1042" s="1035"/>
      <c r="W1042" s="1035"/>
      <c r="X1042" s="1037" t="str">
        <f t="shared" si="241"/>
        <v>3</v>
      </c>
      <c r="Y1042" s="1035"/>
      <c r="Z1042" s="1035">
        <f t="shared" si="234"/>
        <v>3</v>
      </c>
      <c r="AA1042" s="1035"/>
      <c r="AB1042" s="1035"/>
      <c r="AC1042" s="1021">
        <v>310105</v>
      </c>
      <c r="AD1042" s="1021" t="s">
        <v>1222</v>
      </c>
      <c r="AE1042" s="1022">
        <v>0</v>
      </c>
      <c r="AF1042" s="1022"/>
      <c r="AG1042" s="1022">
        <f t="shared" si="235"/>
        <v>0</v>
      </c>
      <c r="AH1042" s="1022">
        <f t="shared" si="236"/>
        <v>0</v>
      </c>
      <c r="AK1042" s="448"/>
      <c r="AL1042" s="445"/>
    </row>
    <row r="1043" spans="1:38" s="467" customFormat="1" ht="12.75" customHeight="1">
      <c r="A1043" s="1033">
        <v>5223100</v>
      </c>
      <c r="B1043" s="1033" t="s">
        <v>2798</v>
      </c>
      <c r="C1043" s="1034"/>
      <c r="D1043" s="1035"/>
      <c r="E1043" s="1035"/>
      <c r="F1043" s="1034"/>
      <c r="G1043" s="1033"/>
      <c r="H1043" s="1033"/>
      <c r="I1043" s="1034"/>
      <c r="J1043" s="1033"/>
      <c r="K1043" s="1033"/>
      <c r="L1043" s="1034"/>
      <c r="M1043" s="1035"/>
      <c r="N1043" s="1035"/>
      <c r="O1043" s="1036"/>
      <c r="P1043" s="1033"/>
      <c r="Q1043" s="1033"/>
      <c r="R1043" s="1034"/>
      <c r="S1043" s="1035"/>
      <c r="T1043" s="1035"/>
      <c r="U1043" s="1034"/>
      <c r="V1043" s="1035"/>
      <c r="W1043" s="1035"/>
      <c r="X1043" s="1037"/>
      <c r="Y1043" s="1035"/>
      <c r="Z1043" s="1035">
        <f t="shared" si="234"/>
        <v>3</v>
      </c>
      <c r="AA1043" s="1035"/>
      <c r="AB1043" s="1035"/>
      <c r="AC1043" s="1021">
        <v>310106</v>
      </c>
      <c r="AD1043" s="1021" t="s">
        <v>2281</v>
      </c>
      <c r="AE1043" s="1022">
        <f>VLOOKUP(AC1043,[5]Hoja1!$A$10:$K$1393,11,0)</f>
        <v>15133361865</v>
      </c>
      <c r="AF1043" s="1191">
        <f>-AE1043</f>
        <v>-15133361865</v>
      </c>
      <c r="AG1043" s="1022">
        <f t="shared" si="235"/>
        <v>0</v>
      </c>
      <c r="AH1043" s="1022">
        <f t="shared" si="236"/>
        <v>0</v>
      </c>
      <c r="AK1043" s="448"/>
      <c r="AL1043" s="445"/>
    </row>
    <row r="1044" spans="1:38" s="467" customFormat="1" ht="12.75" customHeight="1">
      <c r="A1044" s="1033">
        <v>5223100</v>
      </c>
      <c r="B1044" s="1033" t="s">
        <v>2798</v>
      </c>
      <c r="C1044" s="1034"/>
      <c r="D1044" s="1035"/>
      <c r="E1044" s="1035"/>
      <c r="F1044" s="1034"/>
      <c r="G1044" s="1033"/>
      <c r="H1044" s="1033"/>
      <c r="I1044" s="1034"/>
      <c r="J1044" s="1033"/>
      <c r="K1044" s="1033"/>
      <c r="L1044" s="1034"/>
      <c r="M1044" s="1035"/>
      <c r="N1044" s="1035"/>
      <c r="O1044" s="1036"/>
      <c r="P1044" s="1033"/>
      <c r="Q1044" s="1033"/>
      <c r="R1044" s="1034"/>
      <c r="S1044" s="1035"/>
      <c r="T1044" s="1035"/>
      <c r="U1044" s="1034"/>
      <c r="V1044" s="1035"/>
      <c r="W1044" s="1035"/>
      <c r="X1044" s="1037"/>
      <c r="Y1044" s="1035"/>
      <c r="Z1044" s="1035">
        <f t="shared" si="234"/>
        <v>3</v>
      </c>
      <c r="AA1044" s="1035"/>
      <c r="AB1044" s="1035"/>
      <c r="AC1044" s="1021">
        <v>310107</v>
      </c>
      <c r="AD1044" s="1021" t="s">
        <v>1409</v>
      </c>
      <c r="AE1044" s="1022">
        <f>VLOOKUP(AC1044,[5]Hoja1!$A$10:$K$1393,11,0)</f>
        <v>8436682668</v>
      </c>
      <c r="AF1044" s="1191">
        <f>-AE1044</f>
        <v>-8436682668</v>
      </c>
      <c r="AG1044" s="1022">
        <f t="shared" si="235"/>
        <v>0</v>
      </c>
      <c r="AH1044" s="1022">
        <f t="shared" si="236"/>
        <v>0</v>
      </c>
      <c r="AK1044" s="448"/>
      <c r="AL1044" s="445"/>
    </row>
    <row r="1045" spans="1:38" s="467" customFormat="1" ht="12.75" customHeight="1">
      <c r="A1045" s="1033">
        <v>5223100</v>
      </c>
      <c r="B1045" s="1033" t="s">
        <v>2798</v>
      </c>
      <c r="C1045" s="1034"/>
      <c r="D1045" s="1035"/>
      <c r="E1045" s="1035"/>
      <c r="F1045" s="1034"/>
      <c r="G1045" s="1033"/>
      <c r="H1045" s="1033"/>
      <c r="I1045" s="1034"/>
      <c r="J1045" s="1033"/>
      <c r="K1045" s="1033"/>
      <c r="L1045" s="1034"/>
      <c r="M1045" s="1035"/>
      <c r="N1045" s="1035"/>
      <c r="O1045" s="1036"/>
      <c r="P1045" s="1033"/>
      <c r="Q1045" s="1033"/>
      <c r="R1045" s="1034"/>
      <c r="S1045" s="1035"/>
      <c r="T1045" s="1035"/>
      <c r="U1045" s="1034"/>
      <c r="V1045" s="1035"/>
      <c r="W1045" s="1035"/>
      <c r="X1045" s="1037"/>
      <c r="Y1045" s="1035"/>
      <c r="Z1045" s="1035">
        <f t="shared" si="234"/>
        <v>3</v>
      </c>
      <c r="AA1045" s="1035"/>
      <c r="AB1045" s="1035"/>
      <c r="AC1045" s="1021">
        <v>310108</v>
      </c>
      <c r="AD1045" s="1021" t="s">
        <v>2576</v>
      </c>
      <c r="AE1045" s="1022">
        <f>VLOOKUP(AC1045,[5]Hoja1!$A$10:$K$1393,11,0)</f>
        <v>11336644059</v>
      </c>
      <c r="AF1045" s="1191">
        <f>-AE1045</f>
        <v>-11336644059</v>
      </c>
      <c r="AG1045" s="1022">
        <f t="shared" si="235"/>
        <v>0</v>
      </c>
      <c r="AH1045" s="1022">
        <f t="shared" si="236"/>
        <v>0</v>
      </c>
      <c r="AK1045" s="448"/>
      <c r="AL1045" s="445"/>
    </row>
    <row r="1046" spans="1:38" s="467" customFormat="1" ht="12.75" customHeight="1">
      <c r="A1046" s="1033">
        <v>5223100</v>
      </c>
      <c r="B1046" s="1033" t="s">
        <v>2798</v>
      </c>
      <c r="C1046" s="1034"/>
      <c r="D1046" s="1035"/>
      <c r="E1046" s="1035"/>
      <c r="F1046" s="1034"/>
      <c r="G1046" s="1033"/>
      <c r="H1046" s="1033"/>
      <c r="I1046" s="1034"/>
      <c r="J1046" s="1033"/>
      <c r="K1046" s="1033"/>
      <c r="L1046" s="1034"/>
      <c r="M1046" s="1035"/>
      <c r="N1046" s="1035"/>
      <c r="O1046" s="1036"/>
      <c r="P1046" s="1033"/>
      <c r="Q1046" s="1033"/>
      <c r="R1046" s="1034"/>
      <c r="S1046" s="1035"/>
      <c r="T1046" s="1035"/>
      <c r="U1046" s="1034"/>
      <c r="V1046" s="1035"/>
      <c r="W1046" s="1035"/>
      <c r="X1046" s="1037"/>
      <c r="Y1046" s="1035"/>
      <c r="Z1046" s="1035">
        <f t="shared" si="234"/>
        <v>3</v>
      </c>
      <c r="AA1046" s="1035"/>
      <c r="AB1046" s="1035"/>
      <c r="AC1046" s="1021">
        <v>310109</v>
      </c>
      <c r="AD1046" s="1021" t="s">
        <v>3087</v>
      </c>
      <c r="AE1046" s="1022">
        <f>VLOOKUP(AC1046,[5]Hoja1!$A$10:$K$1393,11,0)</f>
        <v>25754006430</v>
      </c>
      <c r="AF1046" s="1191">
        <f>-AE1046</f>
        <v>-25754006430</v>
      </c>
      <c r="AG1046" s="1022">
        <f t="shared" ref="AG1046" si="249">AE1046+AF1046</f>
        <v>0</v>
      </c>
      <c r="AH1046" s="1022">
        <f t="shared" ref="AH1046" si="250">ROUND((AE1046+AF1046)/$AH$2,0)</f>
        <v>0</v>
      </c>
      <c r="AK1046" s="448"/>
      <c r="AL1046" s="445"/>
    </row>
    <row r="1047" spans="1:38" s="467" customFormat="1" ht="12.75" customHeight="1">
      <c r="A1047" s="1033">
        <v>5223100</v>
      </c>
      <c r="B1047" s="1033" t="s">
        <v>2798</v>
      </c>
      <c r="C1047" s="1034" t="str">
        <f t="shared" si="242"/>
        <v/>
      </c>
      <c r="D1047" s="1035"/>
      <c r="E1047" s="1035"/>
      <c r="F1047" s="1034" t="str">
        <f t="shared" si="243"/>
        <v/>
      </c>
      <c r="G1047" s="1033"/>
      <c r="H1047" s="1033"/>
      <c r="I1047" s="1034" t="str">
        <f t="shared" si="244"/>
        <v/>
      </c>
      <c r="J1047" s="1033"/>
      <c r="K1047" s="1033"/>
      <c r="L1047" s="1034" t="str">
        <f t="shared" si="245"/>
        <v/>
      </c>
      <c r="M1047" s="1035"/>
      <c r="N1047" s="1035"/>
      <c r="O1047" s="1036" t="str">
        <f t="shared" si="246"/>
        <v/>
      </c>
      <c r="P1047" s="1033"/>
      <c r="Q1047" s="1033"/>
      <c r="R1047" s="1034" t="str">
        <f t="shared" si="247"/>
        <v/>
      </c>
      <c r="S1047" s="1035"/>
      <c r="T1047" s="1035"/>
      <c r="U1047" s="1034" t="str">
        <f t="shared" si="248"/>
        <v/>
      </c>
      <c r="V1047" s="1035"/>
      <c r="W1047" s="1035"/>
      <c r="X1047" s="1037" t="str">
        <f t="shared" ref="X1047:X1052" si="251">+Y1047&amp;Z1047</f>
        <v>123</v>
      </c>
      <c r="Y1047" s="1035">
        <v>12</v>
      </c>
      <c r="Z1047" s="1035">
        <f t="shared" si="234"/>
        <v>3</v>
      </c>
      <c r="AA1047" s="1035"/>
      <c r="AB1047" s="1035"/>
      <c r="AC1047" s="1021">
        <v>310201</v>
      </c>
      <c r="AD1047" s="1021" t="s">
        <v>2282</v>
      </c>
      <c r="AE1047" s="1022">
        <f>VLOOKUP(AC1047,[5]Hoja1!$A$10:$K$1393,11,0)</f>
        <v>-107978356099</v>
      </c>
      <c r="AF1047" s="1191">
        <f>-AF1041-AF1043-AF1044-AF1045-AF1046</f>
        <v>80982566011</v>
      </c>
      <c r="AG1047" s="1022">
        <f t="shared" si="235"/>
        <v>-26995790088</v>
      </c>
      <c r="AH1047" s="1022">
        <f t="shared" si="236"/>
        <v>-26995790</v>
      </c>
      <c r="AK1047" s="448"/>
      <c r="AL1047" s="445"/>
    </row>
    <row r="1048" spans="1:38" s="467" customFormat="1" ht="12.75" customHeight="1">
      <c r="A1048" s="1033"/>
      <c r="B1048" s="1033"/>
      <c r="C1048" s="1034" t="str">
        <f t="shared" si="242"/>
        <v/>
      </c>
      <c r="D1048" s="1035"/>
      <c r="E1048" s="1035"/>
      <c r="F1048" s="1034" t="str">
        <f t="shared" si="243"/>
        <v/>
      </c>
      <c r="G1048" s="1033"/>
      <c r="H1048" s="1033"/>
      <c r="I1048" s="1034" t="str">
        <f t="shared" si="244"/>
        <v/>
      </c>
      <c r="J1048" s="1033"/>
      <c r="K1048" s="1033"/>
      <c r="L1048" s="1034" t="str">
        <f t="shared" si="245"/>
        <v/>
      </c>
      <c r="M1048" s="1035"/>
      <c r="N1048" s="1035"/>
      <c r="O1048" s="1036" t="str">
        <f t="shared" si="246"/>
        <v/>
      </c>
      <c r="P1048" s="1033"/>
      <c r="Q1048" s="1033"/>
      <c r="R1048" s="1034" t="str">
        <f t="shared" si="247"/>
        <v/>
      </c>
      <c r="S1048" s="1035"/>
      <c r="T1048" s="1035"/>
      <c r="U1048" s="1034" t="str">
        <f t="shared" si="248"/>
        <v/>
      </c>
      <c r="V1048" s="1035"/>
      <c r="W1048" s="1035"/>
      <c r="X1048" s="1037" t="str">
        <f t="shared" si="251"/>
        <v>123</v>
      </c>
      <c r="Y1048" s="1035">
        <v>12</v>
      </c>
      <c r="Z1048" s="1035">
        <f t="shared" si="234"/>
        <v>3</v>
      </c>
      <c r="AA1048" s="1035"/>
      <c r="AB1048" s="1035"/>
      <c r="AC1048" s="1021">
        <v>310202</v>
      </c>
      <c r="AD1048" s="1021" t="s">
        <v>2283</v>
      </c>
      <c r="AE1048" s="1022">
        <v>0</v>
      </c>
      <c r="AF1048" s="1022"/>
      <c r="AG1048" s="1022">
        <f t="shared" si="235"/>
        <v>0</v>
      </c>
      <c r="AH1048" s="1022">
        <f t="shared" si="236"/>
        <v>0</v>
      </c>
      <c r="AK1048" s="448"/>
      <c r="AL1048" s="445"/>
    </row>
    <row r="1049" spans="1:38" s="467" customFormat="1" ht="12.75" customHeight="1">
      <c r="A1049" s="1033"/>
      <c r="B1049" s="1033"/>
      <c r="C1049" s="1034" t="str">
        <f t="shared" si="242"/>
        <v/>
      </c>
      <c r="D1049" s="1035"/>
      <c r="E1049" s="1035"/>
      <c r="F1049" s="1034" t="str">
        <f t="shared" si="243"/>
        <v/>
      </c>
      <c r="G1049" s="1033"/>
      <c r="H1049" s="1033"/>
      <c r="I1049" s="1034" t="str">
        <f t="shared" si="244"/>
        <v/>
      </c>
      <c r="J1049" s="1033"/>
      <c r="K1049" s="1033"/>
      <c r="L1049" s="1034" t="str">
        <f t="shared" si="245"/>
        <v/>
      </c>
      <c r="M1049" s="1035"/>
      <c r="N1049" s="1035"/>
      <c r="O1049" s="1036" t="str">
        <f t="shared" si="246"/>
        <v/>
      </c>
      <c r="P1049" s="1033"/>
      <c r="Q1049" s="1033"/>
      <c r="R1049" s="1034" t="str">
        <f t="shared" si="247"/>
        <v/>
      </c>
      <c r="S1049" s="1035"/>
      <c r="T1049" s="1035"/>
      <c r="U1049" s="1034" t="str">
        <f t="shared" si="248"/>
        <v/>
      </c>
      <c r="V1049" s="1035"/>
      <c r="W1049" s="1035"/>
      <c r="X1049" s="1037" t="str">
        <f t="shared" si="251"/>
        <v>3</v>
      </c>
      <c r="Y1049" s="1035"/>
      <c r="Z1049" s="1035">
        <f t="shared" si="234"/>
        <v>3</v>
      </c>
      <c r="AA1049" s="1035"/>
      <c r="AB1049" s="1035"/>
      <c r="AC1049" s="1021">
        <v>310301</v>
      </c>
      <c r="AD1049" s="1021" t="s">
        <v>103</v>
      </c>
      <c r="AE1049" s="1022">
        <v>0</v>
      </c>
      <c r="AF1049" s="1022"/>
      <c r="AG1049" s="1022">
        <f t="shared" si="235"/>
        <v>0</v>
      </c>
      <c r="AH1049" s="1022">
        <f t="shared" si="236"/>
        <v>0</v>
      </c>
      <c r="AK1049" s="448"/>
      <c r="AL1049" s="445"/>
    </row>
    <row r="1050" spans="1:38" s="467" customFormat="1" ht="12.75" customHeight="1">
      <c r="A1050" s="1033">
        <v>5222000</v>
      </c>
      <c r="B1050" s="1033" t="s">
        <v>2796</v>
      </c>
      <c r="C1050" s="1034" t="str">
        <f t="shared" si="242"/>
        <v/>
      </c>
      <c r="D1050" s="1035"/>
      <c r="E1050" s="1035"/>
      <c r="F1050" s="1034" t="str">
        <f t="shared" si="243"/>
        <v/>
      </c>
      <c r="G1050" s="1033"/>
      <c r="H1050" s="1033"/>
      <c r="I1050" s="1034" t="str">
        <f t="shared" si="244"/>
        <v/>
      </c>
      <c r="J1050" s="1033"/>
      <c r="K1050" s="1033"/>
      <c r="L1050" s="1034" t="str">
        <f t="shared" si="245"/>
        <v/>
      </c>
      <c r="M1050" s="1035"/>
      <c r="N1050" s="1035"/>
      <c r="O1050" s="1036" t="str">
        <f t="shared" si="246"/>
        <v/>
      </c>
      <c r="P1050" s="1033"/>
      <c r="Q1050" s="1033"/>
      <c r="R1050" s="1034" t="str">
        <f t="shared" si="247"/>
        <v/>
      </c>
      <c r="S1050" s="1035"/>
      <c r="T1050" s="1035"/>
      <c r="U1050" s="1034" t="str">
        <f t="shared" si="248"/>
        <v/>
      </c>
      <c r="V1050" s="1035"/>
      <c r="W1050" s="1035"/>
      <c r="X1050" s="1037" t="str">
        <f t="shared" si="251"/>
        <v>123</v>
      </c>
      <c r="Y1050" s="1035">
        <v>12</v>
      </c>
      <c r="Z1050" s="1035">
        <f t="shared" si="234"/>
        <v>3</v>
      </c>
      <c r="AA1050" s="1035"/>
      <c r="AB1050" s="1035"/>
      <c r="AC1050" s="1021">
        <v>310401</v>
      </c>
      <c r="AD1050" s="1021" t="s">
        <v>161</v>
      </c>
      <c r="AE1050" s="1022">
        <f>VLOOKUP(AC1050,[5]Hoja1!$A$10:$K$1393,11,0)</f>
        <v>-1178186439</v>
      </c>
      <c r="AF1050" s="1022"/>
      <c r="AG1050" s="1022">
        <f t="shared" si="235"/>
        <v>-1178186439</v>
      </c>
      <c r="AH1050" s="1189">
        <f t="shared" si="236"/>
        <v>-1178186</v>
      </c>
      <c r="AI1050" s="445">
        <f>+AE1050+AE1051+AE1052</f>
        <v>-859636714</v>
      </c>
      <c r="AK1050" s="448"/>
      <c r="AL1050" s="445"/>
    </row>
    <row r="1051" spans="1:38" s="467" customFormat="1" ht="12.75" customHeight="1">
      <c r="A1051" s="1033">
        <v>5222000</v>
      </c>
      <c r="B1051" s="1033" t="s">
        <v>2796</v>
      </c>
      <c r="C1051" s="1034" t="str">
        <f t="shared" si="242"/>
        <v/>
      </c>
      <c r="D1051" s="1035"/>
      <c r="E1051" s="1035"/>
      <c r="F1051" s="1034" t="str">
        <f t="shared" si="243"/>
        <v/>
      </c>
      <c r="G1051" s="1033"/>
      <c r="H1051" s="1033"/>
      <c r="I1051" s="1034" t="str">
        <f t="shared" si="244"/>
        <v/>
      </c>
      <c r="J1051" s="1033"/>
      <c r="K1051" s="1033"/>
      <c r="L1051" s="1034" t="str">
        <f t="shared" si="245"/>
        <v/>
      </c>
      <c r="M1051" s="1035"/>
      <c r="N1051" s="1035"/>
      <c r="O1051" s="1036" t="str">
        <f t="shared" si="246"/>
        <v/>
      </c>
      <c r="P1051" s="1033"/>
      <c r="Q1051" s="1033"/>
      <c r="R1051" s="1034" t="str">
        <f t="shared" si="247"/>
        <v/>
      </c>
      <c r="S1051" s="1035"/>
      <c r="T1051" s="1035"/>
      <c r="U1051" s="1034" t="str">
        <f t="shared" si="248"/>
        <v/>
      </c>
      <c r="V1051" s="1035"/>
      <c r="W1051" s="1035"/>
      <c r="X1051" s="1037" t="str">
        <f t="shared" si="251"/>
        <v>123</v>
      </c>
      <c r="Y1051" s="1035">
        <v>12</v>
      </c>
      <c r="Z1051" s="1035">
        <f t="shared" si="234"/>
        <v>3</v>
      </c>
      <c r="AA1051" s="1035"/>
      <c r="AB1051" s="1035"/>
      <c r="AC1051" s="1021">
        <v>310402</v>
      </c>
      <c r="AD1051" s="1021" t="s">
        <v>171</v>
      </c>
      <c r="AE1051" s="1022">
        <f>VLOOKUP(AC1051,[5]Hoja1!$A$10:$K$1393,11,0)</f>
        <v>318549725</v>
      </c>
      <c r="AF1051" s="1022"/>
      <c r="AG1051" s="1022">
        <f t="shared" si="235"/>
        <v>318549725</v>
      </c>
      <c r="AH1051" s="1189">
        <f t="shared" si="236"/>
        <v>318550</v>
      </c>
      <c r="AK1051" s="448"/>
      <c r="AL1051" s="445"/>
    </row>
    <row r="1052" spans="1:38" s="467" customFormat="1" ht="12.75" customHeight="1">
      <c r="A1052" s="1033">
        <v>5222000</v>
      </c>
      <c r="B1052" s="1033" t="s">
        <v>2796</v>
      </c>
      <c r="C1052" s="1034" t="str">
        <f t="shared" si="242"/>
        <v/>
      </c>
      <c r="D1052" s="1035"/>
      <c r="E1052" s="1035"/>
      <c r="F1052" s="1034" t="str">
        <f t="shared" si="243"/>
        <v/>
      </c>
      <c r="G1052" s="1033"/>
      <c r="H1052" s="1033"/>
      <c r="I1052" s="1034" t="str">
        <f t="shared" si="244"/>
        <v/>
      </c>
      <c r="J1052" s="1033"/>
      <c r="K1052" s="1033"/>
      <c r="L1052" s="1034" t="str">
        <f t="shared" si="245"/>
        <v/>
      </c>
      <c r="M1052" s="1035"/>
      <c r="N1052" s="1035"/>
      <c r="O1052" s="1036" t="str">
        <f t="shared" si="246"/>
        <v/>
      </c>
      <c r="P1052" s="1033"/>
      <c r="Q1052" s="1033"/>
      <c r="R1052" s="1034" t="str">
        <f t="shared" si="247"/>
        <v/>
      </c>
      <c r="S1052" s="1035"/>
      <c r="T1052" s="1035"/>
      <c r="U1052" s="1034" t="str">
        <f t="shared" si="248"/>
        <v/>
      </c>
      <c r="V1052" s="1035"/>
      <c r="W1052" s="1035"/>
      <c r="X1052" s="1037" t="str">
        <f t="shared" si="251"/>
        <v>123</v>
      </c>
      <c r="Y1052" s="1035">
        <v>12</v>
      </c>
      <c r="Z1052" s="1035">
        <f t="shared" ref="Z1052:Z1116" si="252">VALUE(LEFT(AC1052,1))</f>
        <v>3</v>
      </c>
      <c r="AA1052" s="1035"/>
      <c r="AB1052" s="1035"/>
      <c r="AC1052" s="1021">
        <v>310403</v>
      </c>
      <c r="AD1052" s="1021" t="s">
        <v>483</v>
      </c>
      <c r="AE1052" s="1022">
        <f>VLOOKUP(AC1052,[5]Hoja1!$A$10:$K$1393,11,0)</f>
        <v>0</v>
      </c>
      <c r="AF1052" s="1022"/>
      <c r="AG1052" s="1022">
        <f t="shared" ref="AG1052:AG1116" si="253">AE1052+AF1052</f>
        <v>0</v>
      </c>
      <c r="AH1052" s="1022">
        <f t="shared" ref="AH1052:AH1116" si="254">ROUND((AE1052+AF1052)/$AH$2,0)</f>
        <v>0</v>
      </c>
      <c r="AK1052" s="448"/>
      <c r="AL1052" s="445"/>
    </row>
    <row r="1053" spans="1:38" s="467" customFormat="1" ht="12.75" customHeight="1">
      <c r="A1053" s="1033"/>
      <c r="B1053" s="1033"/>
      <c r="C1053" s="1034"/>
      <c r="D1053" s="1035"/>
      <c r="E1053" s="1035"/>
      <c r="F1053" s="1034"/>
      <c r="G1053" s="1033"/>
      <c r="H1053" s="1033"/>
      <c r="I1053" s="1034"/>
      <c r="J1053" s="1033"/>
      <c r="K1053" s="1033"/>
      <c r="L1053" s="1034"/>
      <c r="M1053" s="1035"/>
      <c r="N1053" s="1035"/>
      <c r="O1053" s="1036"/>
      <c r="P1053" s="1033"/>
      <c r="Q1053" s="1033"/>
      <c r="R1053" s="1034"/>
      <c r="S1053" s="1035"/>
      <c r="T1053" s="1035"/>
      <c r="U1053" s="1034"/>
      <c r="V1053" s="1035"/>
      <c r="W1053" s="1035"/>
      <c r="X1053" s="1037"/>
      <c r="Y1053" s="1035"/>
      <c r="Z1053" s="1035">
        <f t="shared" si="252"/>
        <v>3</v>
      </c>
      <c r="AA1053" s="1035"/>
      <c r="AB1053" s="1035"/>
      <c r="AC1053" s="1021">
        <v>310404</v>
      </c>
      <c r="AD1053" s="1021" t="s">
        <v>14</v>
      </c>
      <c r="AE1053" s="1022">
        <v>0</v>
      </c>
      <c r="AF1053" s="1022"/>
      <c r="AG1053" s="1022">
        <f t="shared" si="253"/>
        <v>0</v>
      </c>
      <c r="AH1053" s="1022">
        <f t="shared" si="254"/>
        <v>0</v>
      </c>
      <c r="AK1053" s="448"/>
      <c r="AL1053" s="445"/>
    </row>
    <row r="1054" spans="1:38" s="467" customFormat="1" ht="12.75" customHeight="1">
      <c r="A1054" s="1033">
        <v>5222000</v>
      </c>
      <c r="B1054" s="1033" t="s">
        <v>2796</v>
      </c>
      <c r="C1054" s="1034" t="str">
        <f t="shared" si="242"/>
        <v/>
      </c>
      <c r="D1054" s="1035"/>
      <c r="E1054" s="1035"/>
      <c r="F1054" s="1034" t="str">
        <f t="shared" si="243"/>
        <v/>
      </c>
      <c r="G1054" s="1033"/>
      <c r="H1054" s="1033"/>
      <c r="I1054" s="1034" t="str">
        <f t="shared" si="244"/>
        <v/>
      </c>
      <c r="J1054" s="1033"/>
      <c r="K1054" s="1033"/>
      <c r="L1054" s="1034" t="str">
        <f t="shared" si="245"/>
        <v/>
      </c>
      <c r="M1054" s="1035"/>
      <c r="N1054" s="1035"/>
      <c r="O1054" s="1036" t="str">
        <f t="shared" si="246"/>
        <v/>
      </c>
      <c r="P1054" s="1033"/>
      <c r="Q1054" s="1033"/>
      <c r="R1054" s="1034" t="str">
        <f t="shared" si="247"/>
        <v/>
      </c>
      <c r="S1054" s="1035"/>
      <c r="T1054" s="1035"/>
      <c r="U1054" s="1034" t="str">
        <f t="shared" si="248"/>
        <v/>
      </c>
      <c r="V1054" s="1035"/>
      <c r="W1054" s="1035"/>
      <c r="X1054" s="1037" t="str">
        <f>+Y1054&amp;Z1054</f>
        <v>13</v>
      </c>
      <c r="Y1054" s="1035">
        <v>1</v>
      </c>
      <c r="Z1054" s="1035">
        <f t="shared" si="252"/>
        <v>3</v>
      </c>
      <c r="AA1054" s="1035"/>
      <c r="AB1054" s="1035"/>
      <c r="AC1054" s="1021">
        <v>310501</v>
      </c>
      <c r="AD1054" s="1021" t="s">
        <v>2284</v>
      </c>
      <c r="AE1054" s="1022">
        <f>VLOOKUP(AC1054,[5]Hoja1!$A$10:$K$1393,11,0)</f>
        <v>-2178021682</v>
      </c>
      <c r="AF1054" s="1022">
        <v>0</v>
      </c>
      <c r="AG1054" s="1022">
        <f t="shared" si="253"/>
        <v>-2178021682</v>
      </c>
      <c r="AH1054" s="1189">
        <f t="shared" si="254"/>
        <v>-2178022</v>
      </c>
      <c r="AK1054" s="448"/>
      <c r="AL1054" s="445"/>
    </row>
    <row r="1055" spans="1:38" s="467" customFormat="1" ht="12.75" customHeight="1">
      <c r="A1055" s="1033">
        <v>5223100</v>
      </c>
      <c r="B1055" s="1033" t="s">
        <v>2798</v>
      </c>
      <c r="C1055" s="1034"/>
      <c r="D1055" s="1035"/>
      <c r="E1055" s="1035"/>
      <c r="F1055" s="1034"/>
      <c r="G1055" s="1033"/>
      <c r="H1055" s="1033"/>
      <c r="I1055" s="1034"/>
      <c r="J1055" s="1033"/>
      <c r="K1055" s="1033"/>
      <c r="L1055" s="1034"/>
      <c r="M1055" s="1035"/>
      <c r="N1055" s="1035"/>
      <c r="O1055" s="1036"/>
      <c r="P1055" s="1033"/>
      <c r="Q1055" s="1033"/>
      <c r="R1055" s="1034"/>
      <c r="S1055" s="1035"/>
      <c r="T1055" s="1035"/>
      <c r="U1055" s="1034"/>
      <c r="V1055" s="1035"/>
      <c r="W1055" s="1035"/>
      <c r="X1055" s="1037"/>
      <c r="Y1055" s="1035"/>
      <c r="Z1055" s="1035">
        <f t="shared" si="252"/>
        <v>3</v>
      </c>
      <c r="AA1055" s="1035"/>
      <c r="AB1055" s="1035"/>
      <c r="AC1055" s="1023">
        <v>310602</v>
      </c>
      <c r="AD1055" s="1021" t="s">
        <v>2709</v>
      </c>
      <c r="AE1055" s="1022">
        <f>VLOOKUP(AC1055,[5]Hoja1!$A$10:$K$1393,11,0)</f>
        <v>-6876212146</v>
      </c>
      <c r="AF1055" s="1022">
        <v>0</v>
      </c>
      <c r="AG1055" s="1022">
        <f t="shared" si="253"/>
        <v>-6876212146</v>
      </c>
      <c r="AH1055" s="1189">
        <f t="shared" si="254"/>
        <v>-6876212</v>
      </c>
      <c r="AK1055" s="448"/>
      <c r="AL1055" s="445"/>
    </row>
    <row r="1056" spans="1:38" s="467" customFormat="1" ht="12.75" customHeight="1">
      <c r="A1056" s="1033">
        <v>5223100</v>
      </c>
      <c r="B1056" s="1033" t="s">
        <v>2798</v>
      </c>
      <c r="C1056" s="1034"/>
      <c r="D1056" s="1035"/>
      <c r="E1056" s="1035"/>
      <c r="F1056" s="1034"/>
      <c r="G1056" s="1033"/>
      <c r="H1056" s="1033"/>
      <c r="I1056" s="1034"/>
      <c r="J1056" s="1033"/>
      <c r="K1056" s="1033"/>
      <c r="L1056" s="1034"/>
      <c r="M1056" s="1035"/>
      <c r="N1056" s="1035"/>
      <c r="O1056" s="1036"/>
      <c r="P1056" s="1033"/>
      <c r="Q1056" s="1033"/>
      <c r="R1056" s="1034"/>
      <c r="S1056" s="1035"/>
      <c r="T1056" s="1035"/>
      <c r="U1056" s="1034"/>
      <c r="V1056" s="1035"/>
      <c r="W1056" s="1035"/>
      <c r="X1056" s="1037"/>
      <c r="Y1056" s="1035"/>
      <c r="Z1056" s="1035">
        <f t="shared" si="252"/>
        <v>3</v>
      </c>
      <c r="AA1056" s="1035"/>
      <c r="AB1056" s="1035"/>
      <c r="AC1056" s="1023">
        <v>310603</v>
      </c>
      <c r="AD1056" s="1021" t="s">
        <v>2710</v>
      </c>
      <c r="AE1056" s="1022">
        <f>VLOOKUP(AC1056,[5]Hoja1!$A$10:$K$1393,11,0)</f>
        <v>1266186476</v>
      </c>
      <c r="AF1056" s="1022">
        <v>0</v>
      </c>
      <c r="AG1056" s="1022">
        <f t="shared" si="253"/>
        <v>1266186476</v>
      </c>
      <c r="AH1056" s="1189">
        <f t="shared" si="254"/>
        <v>1266186</v>
      </c>
      <c r="AK1056" s="448"/>
      <c r="AL1056" s="445"/>
    </row>
    <row r="1057" spans="1:38" s="467" customFormat="1" ht="12.75" customHeight="1">
      <c r="A1057" s="1033">
        <v>5311110</v>
      </c>
      <c r="B1057" s="1033" t="s">
        <v>2806</v>
      </c>
      <c r="C1057" s="1034" t="str">
        <f t="shared" ref="C1057:C1067" si="255">+D1057&amp;E1057</f>
        <v>671210000</v>
      </c>
      <c r="D1057" s="1035">
        <v>671210000</v>
      </c>
      <c r="E1057" s="1035"/>
      <c r="F1057" s="1034" t="str">
        <f t="shared" ref="F1057:F1067" si="256">+G1057&amp;H1057</f>
        <v/>
      </c>
      <c r="G1057" s="1033"/>
      <c r="H1057" s="1033"/>
      <c r="I1057" s="1034" t="str">
        <f t="shared" ref="I1057:I1067" si="257">+J1057&amp;K1057</f>
        <v/>
      </c>
      <c r="J1057" s="1033"/>
      <c r="K1057" s="1033"/>
      <c r="L1057" s="1034" t="str">
        <f t="shared" ref="L1057:L1067" si="258">+M1057&amp;N1057</f>
        <v/>
      </c>
      <c r="M1057" s="1035"/>
      <c r="N1057" s="1035"/>
      <c r="O1057" s="1036" t="str">
        <f t="shared" ref="O1057:O1067" si="259">+P1057&amp;Q1057</f>
        <v/>
      </c>
      <c r="P1057" s="1033"/>
      <c r="Q1057" s="1033"/>
      <c r="R1057" s="1034" t="str">
        <f t="shared" ref="R1057:R1067" si="260">+S1057&amp;T1057</f>
        <v>6201110</v>
      </c>
      <c r="S1057" s="1035">
        <v>6201110</v>
      </c>
      <c r="T1057" s="1035"/>
      <c r="U1057" s="1034" t="str">
        <f t="shared" ref="U1057:U1067" si="261">+V1057&amp;W1057</f>
        <v>631101110</v>
      </c>
      <c r="V1057" s="1035">
        <v>631101110</v>
      </c>
      <c r="W1057" s="1035"/>
      <c r="X1057" s="1037" t="str">
        <f t="shared" ref="X1057:X1090" si="262">+Y1057&amp;Z1057</f>
        <v>4</v>
      </c>
      <c r="Y1057" s="1035"/>
      <c r="Z1057" s="1035">
        <f t="shared" si="252"/>
        <v>4</v>
      </c>
      <c r="AA1057" s="1035"/>
      <c r="AB1057" s="1035"/>
      <c r="AC1057" s="1021">
        <v>410101</v>
      </c>
      <c r="AD1057" s="1021" t="s">
        <v>2285</v>
      </c>
      <c r="AE1057" s="1022">
        <f>VLOOKUP(AC1057,[5]Hoja1!$A$10:$K$1393,11,0)</f>
        <v>-8835723104</v>
      </c>
      <c r="AF1057" s="1022">
        <v>0</v>
      </c>
      <c r="AG1057" s="1022">
        <f t="shared" si="253"/>
        <v>-8835723104</v>
      </c>
      <c r="AH1057" s="1022">
        <f t="shared" si="254"/>
        <v>-8835723</v>
      </c>
      <c r="AK1057" s="448"/>
      <c r="AL1057" s="445"/>
    </row>
    <row r="1058" spans="1:38" s="467" customFormat="1" ht="12.75" customHeight="1">
      <c r="A1058" s="1033">
        <v>5311110</v>
      </c>
      <c r="B1058" s="1033" t="s">
        <v>2806</v>
      </c>
      <c r="C1058" s="1034"/>
      <c r="D1058" s="1035"/>
      <c r="E1058" s="1035"/>
      <c r="F1058" s="1034"/>
      <c r="G1058" s="1033"/>
      <c r="H1058" s="1033"/>
      <c r="I1058" s="1034"/>
      <c r="J1058" s="1033"/>
      <c r="K1058" s="1033"/>
      <c r="L1058" s="1034"/>
      <c r="M1058" s="1035"/>
      <c r="N1058" s="1035"/>
      <c r="O1058" s="1036"/>
      <c r="P1058" s="1033"/>
      <c r="Q1058" s="1033"/>
      <c r="R1058" s="1034"/>
      <c r="S1058" s="1035"/>
      <c r="T1058" s="1035"/>
      <c r="U1058" s="1034"/>
      <c r="V1058" s="1035"/>
      <c r="W1058" s="1035"/>
      <c r="X1058" s="1037"/>
      <c r="Y1058" s="1035"/>
      <c r="Z1058" s="1035">
        <f t="shared" si="252"/>
        <v>4</v>
      </c>
      <c r="AA1058" s="1035"/>
      <c r="AB1058" s="1035"/>
      <c r="AC1058" s="1021">
        <v>410102</v>
      </c>
      <c r="AD1058" s="1021" t="s">
        <v>3530</v>
      </c>
      <c r="AE1058" s="1022">
        <f>VLOOKUP(AC1058,[5]Hoja1!$A$10:$K$1393,11,0)</f>
        <v>-1323974205</v>
      </c>
      <c r="AF1058" s="1022"/>
      <c r="AG1058" s="1022">
        <f t="shared" ref="AG1058" si="263">AE1058+AF1058</f>
        <v>-1323974205</v>
      </c>
      <c r="AH1058" s="1022">
        <f t="shared" ref="AH1058" si="264">ROUND((AE1058+AF1058)/$AH$2,0)</f>
        <v>-1323974</v>
      </c>
      <c r="AK1058" s="448"/>
      <c r="AL1058" s="445"/>
    </row>
    <row r="1059" spans="1:38" s="467" customFormat="1" ht="12.75" customHeight="1">
      <c r="A1059" s="1033">
        <v>5311110</v>
      </c>
      <c r="B1059" s="1033" t="s">
        <v>2806</v>
      </c>
      <c r="C1059" s="1034" t="str">
        <f t="shared" si="255"/>
        <v>671210000</v>
      </c>
      <c r="D1059" s="1035">
        <v>671210000</v>
      </c>
      <c r="E1059" s="1035"/>
      <c r="F1059" s="1034" t="str">
        <f t="shared" si="256"/>
        <v/>
      </c>
      <c r="G1059" s="1033"/>
      <c r="H1059" s="1033"/>
      <c r="I1059" s="1034" t="str">
        <f t="shared" si="257"/>
        <v/>
      </c>
      <c r="J1059" s="1033"/>
      <c r="K1059" s="1033"/>
      <c r="L1059" s="1034" t="str">
        <f t="shared" si="258"/>
        <v/>
      </c>
      <c r="M1059" s="1035"/>
      <c r="N1059" s="1035"/>
      <c r="O1059" s="1036" t="str">
        <f t="shared" si="259"/>
        <v/>
      </c>
      <c r="P1059" s="1033"/>
      <c r="Q1059" s="1033"/>
      <c r="R1059" s="1034" t="str">
        <f t="shared" si="260"/>
        <v>6201110</v>
      </c>
      <c r="S1059" s="1035">
        <v>6201110</v>
      </c>
      <c r="T1059" s="1035"/>
      <c r="U1059" s="1034" t="str">
        <f t="shared" si="261"/>
        <v>631101110</v>
      </c>
      <c r="V1059" s="1035">
        <v>631101110</v>
      </c>
      <c r="W1059" s="1035"/>
      <c r="X1059" s="1037" t="str">
        <f t="shared" si="262"/>
        <v>4</v>
      </c>
      <c r="Y1059" s="1035"/>
      <c r="Z1059" s="1035">
        <f t="shared" si="252"/>
        <v>4</v>
      </c>
      <c r="AA1059" s="1035"/>
      <c r="AB1059" s="1035"/>
      <c r="AC1059" s="1021">
        <v>410110</v>
      </c>
      <c r="AD1059" s="1021" t="s">
        <v>1099</v>
      </c>
      <c r="AE1059" s="1022">
        <f>VLOOKUP(AC1059,[5]Hoja1!$A$10:$K$1393,11,0)</f>
        <v>-80599470835</v>
      </c>
      <c r="AF1059" s="1022"/>
      <c r="AG1059" s="1022">
        <f t="shared" si="253"/>
        <v>-80599470835</v>
      </c>
      <c r="AH1059" s="1022">
        <f t="shared" si="254"/>
        <v>-80599471</v>
      </c>
      <c r="AK1059" s="448"/>
      <c r="AL1059" s="445"/>
    </row>
    <row r="1060" spans="1:38" s="467" customFormat="1" ht="12.75" customHeight="1">
      <c r="A1060" s="1033">
        <v>5311110</v>
      </c>
      <c r="B1060" s="1033" t="s">
        <v>2806</v>
      </c>
      <c r="C1060" s="1034" t="str">
        <f t="shared" si="255"/>
        <v>671210000</v>
      </c>
      <c r="D1060" s="1035">
        <v>671210000</v>
      </c>
      <c r="E1060" s="1035"/>
      <c r="F1060" s="1034" t="str">
        <f t="shared" si="256"/>
        <v/>
      </c>
      <c r="G1060" s="1033"/>
      <c r="H1060" s="1033"/>
      <c r="I1060" s="1034" t="str">
        <f t="shared" si="257"/>
        <v/>
      </c>
      <c r="J1060" s="1033"/>
      <c r="K1060" s="1033"/>
      <c r="L1060" s="1034" t="str">
        <f t="shared" si="258"/>
        <v/>
      </c>
      <c r="M1060" s="1035"/>
      <c r="N1060" s="1035"/>
      <c r="O1060" s="1036" t="str">
        <f t="shared" si="259"/>
        <v/>
      </c>
      <c r="P1060" s="1033"/>
      <c r="Q1060" s="1033"/>
      <c r="R1060" s="1034" t="str">
        <f t="shared" si="260"/>
        <v>6201110</v>
      </c>
      <c r="S1060" s="1035">
        <v>6201110</v>
      </c>
      <c r="T1060" s="1035"/>
      <c r="U1060" s="1034" t="str">
        <f t="shared" si="261"/>
        <v>631101110</v>
      </c>
      <c r="V1060" s="1035">
        <v>631101110</v>
      </c>
      <c r="W1060" s="1035"/>
      <c r="X1060" s="1037" t="str">
        <f t="shared" si="262"/>
        <v>4</v>
      </c>
      <c r="Y1060" s="1035"/>
      <c r="Z1060" s="1035">
        <f t="shared" si="252"/>
        <v>4</v>
      </c>
      <c r="AA1060" s="1035"/>
      <c r="AB1060" s="1035"/>
      <c r="AC1060" s="1021">
        <v>410120</v>
      </c>
      <c r="AD1060" s="1021" t="s">
        <v>2286</v>
      </c>
      <c r="AE1060" s="1022">
        <f>VLOOKUP(AC1060,[5]Hoja1!$A$10:$K$1393,11,0)</f>
        <v>-35409142101</v>
      </c>
      <c r="AF1060" s="1022"/>
      <c r="AG1060" s="1022">
        <f t="shared" si="253"/>
        <v>-35409142101</v>
      </c>
      <c r="AH1060" s="1022">
        <f t="shared" si="254"/>
        <v>-35409142</v>
      </c>
      <c r="AK1060" s="448"/>
      <c r="AL1060" s="445"/>
    </row>
    <row r="1061" spans="1:38" s="467" customFormat="1" ht="12.75" customHeight="1">
      <c r="A1061" s="1033">
        <v>5311130</v>
      </c>
      <c r="B1061" s="1033" t="s">
        <v>2808</v>
      </c>
      <c r="C1061" s="1034" t="str">
        <f t="shared" si="255"/>
        <v>671130000</v>
      </c>
      <c r="D1061" s="1033">
        <v>671130000</v>
      </c>
      <c r="E1061" s="1033"/>
      <c r="F1061" s="1034" t="str">
        <f t="shared" si="256"/>
        <v/>
      </c>
      <c r="G1061" s="1033"/>
      <c r="H1061" s="1033"/>
      <c r="I1061" s="1034" t="str">
        <f t="shared" si="257"/>
        <v/>
      </c>
      <c r="J1061" s="1033"/>
      <c r="K1061" s="1033"/>
      <c r="L1061" s="1034" t="str">
        <f t="shared" si="258"/>
        <v/>
      </c>
      <c r="M1061" s="1035"/>
      <c r="N1061" s="1035"/>
      <c r="O1061" s="1036" t="str">
        <f t="shared" si="259"/>
        <v/>
      </c>
      <c r="P1061" s="1035"/>
      <c r="Q1061" s="1033"/>
      <c r="R1061" s="1034" t="str">
        <f t="shared" si="260"/>
        <v>6201300</v>
      </c>
      <c r="S1061" s="1035">
        <v>6201300</v>
      </c>
      <c r="T1061" s="1035"/>
      <c r="U1061" s="1034" t="str">
        <f t="shared" si="261"/>
        <v>631101130</v>
      </c>
      <c r="V1061" s="1035">
        <v>631101130</v>
      </c>
      <c r="W1061" s="1035"/>
      <c r="X1061" s="1037" t="str">
        <f t="shared" si="262"/>
        <v>4</v>
      </c>
      <c r="Y1061" s="1035"/>
      <c r="Z1061" s="1035">
        <f t="shared" si="252"/>
        <v>4</v>
      </c>
      <c r="AA1061" s="1035"/>
      <c r="AB1061" s="1035"/>
      <c r="AC1061" s="1021">
        <v>410130</v>
      </c>
      <c r="AD1061" s="1021" t="s">
        <v>2287</v>
      </c>
      <c r="AE1061" s="1022">
        <f>VLOOKUP(AC1061,[5]Hoja1!$A$10:$K$1393,11,0)</f>
        <v>215489787</v>
      </c>
      <c r="AF1061" s="1022"/>
      <c r="AG1061" s="1022">
        <f t="shared" si="253"/>
        <v>215489787</v>
      </c>
      <c r="AH1061" s="1022">
        <f t="shared" si="254"/>
        <v>215490</v>
      </c>
      <c r="AK1061" s="448"/>
      <c r="AL1061" s="445"/>
    </row>
    <row r="1062" spans="1:38" s="467" customFormat="1" ht="12.75" customHeight="1">
      <c r="A1062" s="1033"/>
      <c r="B1062" s="1033"/>
      <c r="C1062" s="1034" t="str">
        <f t="shared" si="255"/>
        <v>671130000</v>
      </c>
      <c r="D1062" s="1033">
        <v>671130000</v>
      </c>
      <c r="E1062" s="1033"/>
      <c r="F1062" s="1034" t="str">
        <f t="shared" si="256"/>
        <v/>
      </c>
      <c r="G1062" s="1033"/>
      <c r="H1062" s="1033"/>
      <c r="I1062" s="1034" t="str">
        <f t="shared" si="257"/>
        <v/>
      </c>
      <c r="J1062" s="1033"/>
      <c r="K1062" s="1033"/>
      <c r="L1062" s="1034" t="str">
        <f t="shared" si="258"/>
        <v/>
      </c>
      <c r="M1062" s="1035"/>
      <c r="N1062" s="1035"/>
      <c r="O1062" s="1036" t="str">
        <f t="shared" si="259"/>
        <v/>
      </c>
      <c r="P1062" s="1035"/>
      <c r="Q1062" s="1033"/>
      <c r="R1062" s="1034" t="str">
        <f t="shared" si="260"/>
        <v>6201300</v>
      </c>
      <c r="S1062" s="1035">
        <v>6201300</v>
      </c>
      <c r="T1062" s="1035"/>
      <c r="U1062" s="1034" t="str">
        <f t="shared" si="261"/>
        <v>631101130</v>
      </c>
      <c r="V1062" s="1035">
        <v>631101130</v>
      </c>
      <c r="W1062" s="1035"/>
      <c r="X1062" s="1037" t="str">
        <f t="shared" si="262"/>
        <v>4</v>
      </c>
      <c r="Y1062" s="1035"/>
      <c r="Z1062" s="1035">
        <f t="shared" si="252"/>
        <v>4</v>
      </c>
      <c r="AA1062" s="1035"/>
      <c r="AB1062" s="1035"/>
      <c r="AC1062" s="1021">
        <v>410140</v>
      </c>
      <c r="AD1062" s="1021" t="s">
        <v>1101</v>
      </c>
      <c r="AE1062" s="1022">
        <v>0</v>
      </c>
      <c r="AF1062" s="1022"/>
      <c r="AG1062" s="1022">
        <f t="shared" si="253"/>
        <v>0</v>
      </c>
      <c r="AH1062" s="1022">
        <f t="shared" si="254"/>
        <v>0</v>
      </c>
      <c r="AK1062" s="448"/>
      <c r="AL1062" s="445"/>
    </row>
    <row r="1063" spans="1:38" s="467" customFormat="1" ht="12.75" customHeight="1">
      <c r="A1063" s="1033">
        <v>5311130</v>
      </c>
      <c r="B1063" s="1033" t="s">
        <v>2808</v>
      </c>
      <c r="C1063" s="1034" t="str">
        <f t="shared" si="255"/>
        <v>671130000</v>
      </c>
      <c r="D1063" s="1033">
        <v>671130000</v>
      </c>
      <c r="E1063" s="1033"/>
      <c r="F1063" s="1034" t="str">
        <f t="shared" si="256"/>
        <v/>
      </c>
      <c r="G1063" s="1033"/>
      <c r="H1063" s="1033"/>
      <c r="I1063" s="1034" t="str">
        <f t="shared" si="257"/>
        <v/>
      </c>
      <c r="J1063" s="1033"/>
      <c r="K1063" s="1033"/>
      <c r="L1063" s="1034" t="str">
        <f t="shared" si="258"/>
        <v/>
      </c>
      <c r="M1063" s="1035"/>
      <c r="N1063" s="1035"/>
      <c r="O1063" s="1036" t="str">
        <f t="shared" si="259"/>
        <v/>
      </c>
      <c r="P1063" s="1035"/>
      <c r="Q1063" s="1033"/>
      <c r="R1063" s="1034" t="str">
        <f t="shared" si="260"/>
        <v>6201300</v>
      </c>
      <c r="S1063" s="1035">
        <v>6201300</v>
      </c>
      <c r="T1063" s="1035"/>
      <c r="U1063" s="1034" t="str">
        <f t="shared" si="261"/>
        <v>631101130</v>
      </c>
      <c r="V1063" s="1035">
        <v>631101130</v>
      </c>
      <c r="W1063" s="1035"/>
      <c r="X1063" s="1037" t="str">
        <f t="shared" si="262"/>
        <v>4</v>
      </c>
      <c r="Y1063" s="1035"/>
      <c r="Z1063" s="1035">
        <f t="shared" si="252"/>
        <v>4</v>
      </c>
      <c r="AA1063" s="1035"/>
      <c r="AB1063" s="1035"/>
      <c r="AC1063" s="1021">
        <v>410150</v>
      </c>
      <c r="AD1063" s="1021" t="s">
        <v>2288</v>
      </c>
      <c r="AE1063" s="1022">
        <f>VLOOKUP(AC1063,[5]Hoja1!$A$10:$K$1393,11,0)</f>
        <v>1530577649</v>
      </c>
      <c r="AF1063" s="1022"/>
      <c r="AG1063" s="1022">
        <f t="shared" si="253"/>
        <v>1530577649</v>
      </c>
      <c r="AH1063" s="1022">
        <f t="shared" si="254"/>
        <v>1530578</v>
      </c>
      <c r="AK1063" s="448"/>
      <c r="AL1063" s="445"/>
    </row>
    <row r="1064" spans="1:38" s="467" customFormat="1" ht="12.75" customHeight="1">
      <c r="A1064" s="1033">
        <v>5311800</v>
      </c>
      <c r="B1064" s="1033" t="s">
        <v>2829</v>
      </c>
      <c r="C1064" s="1034"/>
      <c r="D1064" s="1033"/>
      <c r="E1064" s="1033"/>
      <c r="F1064" s="1034"/>
      <c r="G1064" s="1033"/>
      <c r="H1064" s="1033"/>
      <c r="I1064" s="1034"/>
      <c r="J1064" s="1033"/>
      <c r="K1064" s="1033"/>
      <c r="L1064" s="1034"/>
      <c r="M1064" s="1035"/>
      <c r="N1064" s="1035"/>
      <c r="O1064" s="1036"/>
      <c r="P1064" s="1035"/>
      <c r="Q1064" s="1033"/>
      <c r="R1064" s="1034"/>
      <c r="S1064" s="1035"/>
      <c r="T1064" s="1035"/>
      <c r="U1064" s="1034"/>
      <c r="V1064" s="1035"/>
      <c r="W1064" s="1035"/>
      <c r="X1064" s="1037"/>
      <c r="Y1064" s="1035"/>
      <c r="Z1064" s="1035">
        <f t="shared" si="252"/>
        <v>4</v>
      </c>
      <c r="AA1064" s="1035"/>
      <c r="AB1064" s="1035"/>
      <c r="AC1064" s="1021">
        <v>410155</v>
      </c>
      <c r="AD1064" s="1021" t="s">
        <v>2939</v>
      </c>
      <c r="AE1064" s="1022">
        <f>VLOOKUP(AC1064,[5]Hoja1!$A$10:$K$1393,11,0)</f>
        <v>205648380</v>
      </c>
      <c r="AF1064" s="1022"/>
      <c r="AG1064" s="1022">
        <f t="shared" si="253"/>
        <v>205648380</v>
      </c>
      <c r="AH1064" s="1022">
        <f t="shared" si="254"/>
        <v>205648</v>
      </c>
      <c r="AK1064" s="448"/>
      <c r="AL1064" s="445"/>
    </row>
    <row r="1065" spans="1:38" s="467" customFormat="1" ht="12.75" customHeight="1">
      <c r="A1065" s="1033"/>
      <c r="B1065" s="1033"/>
      <c r="C1065" s="1034" t="str">
        <f t="shared" si="255"/>
        <v>671130000</v>
      </c>
      <c r="D1065" s="1035">
        <v>671130000</v>
      </c>
      <c r="E1065" s="1035"/>
      <c r="F1065" s="1034" t="str">
        <f t="shared" si="256"/>
        <v/>
      </c>
      <c r="G1065" s="1033"/>
      <c r="H1065" s="1033"/>
      <c r="I1065" s="1034" t="str">
        <f t="shared" si="257"/>
        <v/>
      </c>
      <c r="J1065" s="1035"/>
      <c r="K1065" s="1035"/>
      <c r="L1065" s="1034" t="str">
        <f t="shared" si="258"/>
        <v/>
      </c>
      <c r="M1065" s="1035"/>
      <c r="N1065" s="1035"/>
      <c r="O1065" s="1036" t="str">
        <f t="shared" si="259"/>
        <v/>
      </c>
      <c r="P1065" s="1033"/>
      <c r="Q1065" s="1033"/>
      <c r="R1065" s="1034" t="str">
        <f t="shared" si="260"/>
        <v>6201300</v>
      </c>
      <c r="S1065" s="1035">
        <v>6201300</v>
      </c>
      <c r="T1065" s="1035"/>
      <c r="U1065" s="1034" t="str">
        <f t="shared" si="261"/>
        <v>631101130</v>
      </c>
      <c r="V1065" s="1035">
        <v>631101130</v>
      </c>
      <c r="W1065" s="1035"/>
      <c r="X1065" s="1037" t="str">
        <f t="shared" si="262"/>
        <v>4</v>
      </c>
      <c r="Y1065" s="1035"/>
      <c r="Z1065" s="1035">
        <f t="shared" si="252"/>
        <v>4</v>
      </c>
      <c r="AA1065" s="1035"/>
      <c r="AB1065" s="1035"/>
      <c r="AC1065" s="1021">
        <v>410160</v>
      </c>
      <c r="AD1065" s="1021" t="s">
        <v>2289</v>
      </c>
      <c r="AE1065" s="1022">
        <v>0</v>
      </c>
      <c r="AF1065" s="1022"/>
      <c r="AG1065" s="1022">
        <f t="shared" si="253"/>
        <v>0</v>
      </c>
      <c r="AH1065" s="1022">
        <f t="shared" si="254"/>
        <v>0</v>
      </c>
      <c r="AK1065" s="448"/>
      <c r="AL1065" s="445"/>
    </row>
    <row r="1066" spans="1:38" s="467" customFormat="1" ht="12.75" customHeight="1">
      <c r="A1066" s="1033"/>
      <c r="B1066" s="1033"/>
      <c r="C1066" s="1034" t="str">
        <f t="shared" si="255"/>
        <v>671130000</v>
      </c>
      <c r="D1066" s="1035">
        <v>671130000</v>
      </c>
      <c r="E1066" s="1035"/>
      <c r="F1066" s="1034" t="str">
        <f t="shared" si="256"/>
        <v/>
      </c>
      <c r="G1066" s="1033"/>
      <c r="H1066" s="1033"/>
      <c r="I1066" s="1034" t="str">
        <f t="shared" si="257"/>
        <v/>
      </c>
      <c r="J1066" s="1035"/>
      <c r="K1066" s="1035"/>
      <c r="L1066" s="1034" t="str">
        <f t="shared" si="258"/>
        <v/>
      </c>
      <c r="M1066" s="1035"/>
      <c r="N1066" s="1035"/>
      <c r="O1066" s="1036" t="str">
        <f t="shared" si="259"/>
        <v/>
      </c>
      <c r="P1066" s="1033"/>
      <c r="Q1066" s="1033"/>
      <c r="R1066" s="1034" t="str">
        <f t="shared" si="260"/>
        <v>6201300</v>
      </c>
      <c r="S1066" s="1035">
        <v>6201300</v>
      </c>
      <c r="T1066" s="1035"/>
      <c r="U1066" s="1034" t="str">
        <f t="shared" si="261"/>
        <v>631101130</v>
      </c>
      <c r="V1066" s="1035">
        <v>631101130</v>
      </c>
      <c r="W1066" s="1035"/>
      <c r="X1066" s="1037" t="str">
        <f t="shared" si="262"/>
        <v>4</v>
      </c>
      <c r="Y1066" s="1035"/>
      <c r="Z1066" s="1035">
        <f t="shared" si="252"/>
        <v>4</v>
      </c>
      <c r="AA1066" s="1035"/>
      <c r="AB1066" s="1035"/>
      <c r="AC1066" s="1021">
        <v>410161</v>
      </c>
      <c r="AD1066" s="1021" t="s">
        <v>1256</v>
      </c>
      <c r="AE1066" s="1022">
        <v>0</v>
      </c>
      <c r="AF1066" s="1022"/>
      <c r="AG1066" s="1022">
        <f t="shared" si="253"/>
        <v>0</v>
      </c>
      <c r="AH1066" s="1022">
        <f t="shared" si="254"/>
        <v>0</v>
      </c>
      <c r="AK1066" s="448"/>
      <c r="AL1066" s="445"/>
    </row>
    <row r="1067" spans="1:38" s="467" customFormat="1" ht="12.75" customHeight="1">
      <c r="A1067" s="1033"/>
      <c r="B1067" s="1033"/>
      <c r="C1067" s="1034" t="str">
        <f t="shared" si="255"/>
        <v>671130000</v>
      </c>
      <c r="D1067" s="1035">
        <v>671130000</v>
      </c>
      <c r="E1067" s="1035"/>
      <c r="F1067" s="1034" t="str">
        <f t="shared" si="256"/>
        <v/>
      </c>
      <c r="G1067" s="1033"/>
      <c r="H1067" s="1033"/>
      <c r="I1067" s="1034" t="str">
        <f t="shared" si="257"/>
        <v/>
      </c>
      <c r="J1067" s="1035"/>
      <c r="K1067" s="1035"/>
      <c r="L1067" s="1034" t="str">
        <f t="shared" si="258"/>
        <v/>
      </c>
      <c r="M1067" s="1035"/>
      <c r="N1067" s="1035"/>
      <c r="O1067" s="1036" t="str">
        <f t="shared" si="259"/>
        <v/>
      </c>
      <c r="P1067" s="1033"/>
      <c r="Q1067" s="1033"/>
      <c r="R1067" s="1034" t="str">
        <f t="shared" si="260"/>
        <v>6201300</v>
      </c>
      <c r="S1067" s="1035">
        <v>6201300</v>
      </c>
      <c r="T1067" s="1035"/>
      <c r="U1067" s="1034" t="str">
        <f t="shared" si="261"/>
        <v>631101130</v>
      </c>
      <c r="V1067" s="1035">
        <v>631101130</v>
      </c>
      <c r="W1067" s="1035"/>
      <c r="X1067" s="1037" t="str">
        <f t="shared" si="262"/>
        <v>4</v>
      </c>
      <c r="Y1067" s="1035"/>
      <c r="Z1067" s="1035">
        <f t="shared" si="252"/>
        <v>4</v>
      </c>
      <c r="AA1067" s="1035"/>
      <c r="AB1067" s="1035"/>
      <c r="AC1067" s="1021">
        <v>410162</v>
      </c>
      <c r="AD1067" s="1021" t="s">
        <v>1257</v>
      </c>
      <c r="AE1067" s="1022">
        <v>0</v>
      </c>
      <c r="AF1067" s="1022"/>
      <c r="AG1067" s="1022">
        <f t="shared" si="253"/>
        <v>0</v>
      </c>
      <c r="AH1067" s="1022">
        <f t="shared" si="254"/>
        <v>0</v>
      </c>
      <c r="AK1067" s="448"/>
      <c r="AL1067" s="445"/>
    </row>
    <row r="1068" spans="1:38" s="467" customFormat="1" ht="12.75" customHeight="1">
      <c r="A1068" s="1033">
        <v>5311110</v>
      </c>
      <c r="B1068" s="1033" t="s">
        <v>2806</v>
      </c>
      <c r="C1068" s="1034" t="str">
        <f>+D1068&amp;E1068</f>
        <v>671311111</v>
      </c>
      <c r="D1068" s="1035">
        <v>671311111</v>
      </c>
      <c r="E1068" s="1035"/>
      <c r="F1068" s="1034" t="str">
        <f>+G1068&amp;H1068</f>
        <v/>
      </c>
      <c r="G1068" s="1033"/>
      <c r="H1068" s="1033"/>
      <c r="I1068" s="1034" t="str">
        <f>+J1068&amp;K1068</f>
        <v/>
      </c>
      <c r="J1068" s="1033"/>
      <c r="K1068" s="1033"/>
      <c r="L1068" s="1034" t="str">
        <f>+M1068&amp;N1068</f>
        <v/>
      </c>
      <c r="M1068" s="1035"/>
      <c r="N1068" s="1035"/>
      <c r="O1068" s="1036" t="str">
        <f>+P1068&amp;Q1068</f>
        <v/>
      </c>
      <c r="P1068" s="1035"/>
      <c r="Q1068" s="1033"/>
      <c r="R1068" s="1034" t="str">
        <f>+S1068&amp;T1068</f>
        <v>6201110</v>
      </c>
      <c r="S1068" s="1035">
        <v>6201110</v>
      </c>
      <c r="T1068" s="1035"/>
      <c r="U1068" s="1034" t="str">
        <f>+V1068&amp;W1068</f>
        <v>631101110</v>
      </c>
      <c r="V1068" s="1035">
        <v>631101110</v>
      </c>
      <c r="W1068" s="1035"/>
      <c r="X1068" s="1037" t="str">
        <f t="shared" si="262"/>
        <v>4</v>
      </c>
      <c r="Y1068" s="1035"/>
      <c r="Z1068" s="1035">
        <f t="shared" si="252"/>
        <v>4</v>
      </c>
      <c r="AA1068" s="1035"/>
      <c r="AB1068" s="1035"/>
      <c r="AC1068" s="1021">
        <v>410170</v>
      </c>
      <c r="AD1068" s="1021" t="s">
        <v>1258</v>
      </c>
      <c r="AE1068" s="1022">
        <f>VLOOKUP(AC1068,[5]Hoja1!$A$10:$K$1393,11,0)</f>
        <v>1252435345</v>
      </c>
      <c r="AF1068" s="1022"/>
      <c r="AG1068" s="1022">
        <f t="shared" si="253"/>
        <v>1252435345</v>
      </c>
      <c r="AH1068" s="1022">
        <f t="shared" si="254"/>
        <v>1252435</v>
      </c>
      <c r="AK1068" s="448"/>
      <c r="AL1068" s="445"/>
    </row>
    <row r="1069" spans="1:38" s="467" customFormat="1" ht="12.75" customHeight="1">
      <c r="A1069" s="1033">
        <v>5313320</v>
      </c>
      <c r="B1069" s="1033" t="s">
        <v>2834</v>
      </c>
      <c r="C1069" s="1034" t="str">
        <f t="shared" ref="C1069:C1126" si="265">+D1069&amp;E1069</f>
        <v/>
      </c>
      <c r="D1069" s="1035"/>
      <c r="E1069" s="1035"/>
      <c r="F1069" s="1034" t="str">
        <f t="shared" ref="F1069:F1126" si="266">+G1069&amp;H1069</f>
        <v/>
      </c>
      <c r="G1069" s="1033"/>
      <c r="H1069" s="1033"/>
      <c r="I1069" s="1034" t="str">
        <f t="shared" ref="I1069:I1126" si="267">+J1069&amp;K1069</f>
        <v/>
      </c>
      <c r="J1069" s="1033"/>
      <c r="K1069" s="1033"/>
      <c r="L1069" s="1034" t="str">
        <f t="shared" ref="L1069:L1126" si="268">+M1069&amp;N1069</f>
        <v/>
      </c>
      <c r="M1069" s="1035"/>
      <c r="N1069" s="1035"/>
      <c r="O1069" s="1036" t="str">
        <f t="shared" ref="O1069:O1126" si="269">+P1069&amp;Q1069</f>
        <v/>
      </c>
      <c r="P1069" s="1033"/>
      <c r="Q1069" s="1033"/>
      <c r="R1069" s="1034" t="str">
        <f t="shared" ref="R1069:R1126" si="270">+S1069&amp;T1069</f>
        <v/>
      </c>
      <c r="S1069" s="1035"/>
      <c r="T1069" s="1035"/>
      <c r="U1069" s="1034" t="str">
        <f t="shared" ref="U1069:U1126" si="271">+V1069&amp;W1069</f>
        <v/>
      </c>
      <c r="V1069" s="1035"/>
      <c r="W1069" s="1035"/>
      <c r="X1069" s="1037" t="str">
        <f t="shared" si="262"/>
        <v>4</v>
      </c>
      <c r="Y1069" s="1035"/>
      <c r="Z1069" s="1035">
        <f t="shared" si="252"/>
        <v>4</v>
      </c>
      <c r="AA1069" s="1035"/>
      <c r="AB1069" s="1035"/>
      <c r="AC1069" s="1021">
        <v>410201</v>
      </c>
      <c r="AD1069" s="1021" t="s">
        <v>1317</v>
      </c>
      <c r="AE1069" s="1022">
        <f>VLOOKUP(AC1069,[5]Hoja1!$A$10:$K$1393,11,0)</f>
        <v>0</v>
      </c>
      <c r="AF1069" s="1022"/>
      <c r="AG1069" s="1022">
        <f t="shared" si="253"/>
        <v>0</v>
      </c>
      <c r="AH1069" s="1022">
        <f t="shared" si="254"/>
        <v>0</v>
      </c>
      <c r="AK1069" s="448"/>
      <c r="AL1069" s="445"/>
    </row>
    <row r="1070" spans="1:38" s="467" customFormat="1" ht="12.75" customHeight="1">
      <c r="A1070" s="1033"/>
      <c r="B1070" s="1033"/>
      <c r="C1070" s="1034" t="str">
        <f t="shared" si="265"/>
        <v/>
      </c>
      <c r="D1070" s="1035"/>
      <c r="E1070" s="1035"/>
      <c r="F1070" s="1034" t="str">
        <f t="shared" si="266"/>
        <v/>
      </c>
      <c r="G1070" s="1033"/>
      <c r="H1070" s="1033"/>
      <c r="I1070" s="1034" t="str">
        <f t="shared" si="267"/>
        <v/>
      </c>
      <c r="J1070" s="1033"/>
      <c r="K1070" s="1033"/>
      <c r="L1070" s="1034" t="str">
        <f t="shared" si="268"/>
        <v/>
      </c>
      <c r="M1070" s="1035"/>
      <c r="N1070" s="1035"/>
      <c r="O1070" s="1036" t="str">
        <f t="shared" si="269"/>
        <v/>
      </c>
      <c r="P1070" s="1033"/>
      <c r="Q1070" s="1033"/>
      <c r="R1070" s="1034" t="str">
        <f t="shared" si="270"/>
        <v/>
      </c>
      <c r="S1070" s="1035"/>
      <c r="T1070" s="1035"/>
      <c r="U1070" s="1034" t="str">
        <f t="shared" si="271"/>
        <v/>
      </c>
      <c r="V1070" s="1035"/>
      <c r="W1070" s="1035"/>
      <c r="X1070" s="1037" t="str">
        <f t="shared" si="262"/>
        <v>4</v>
      </c>
      <c r="Y1070" s="1035"/>
      <c r="Z1070" s="1035">
        <f t="shared" si="252"/>
        <v>4</v>
      </c>
      <c r="AA1070" s="1035"/>
      <c r="AB1070" s="1035"/>
      <c r="AC1070" s="1021">
        <v>410202</v>
      </c>
      <c r="AD1070" s="1021" t="s">
        <v>1318</v>
      </c>
      <c r="AE1070" s="1022">
        <v>0</v>
      </c>
      <c r="AF1070" s="1022"/>
      <c r="AG1070" s="1022">
        <f t="shared" si="253"/>
        <v>0</v>
      </c>
      <c r="AH1070" s="1022">
        <f t="shared" si="254"/>
        <v>0</v>
      </c>
      <c r="AK1070" s="448"/>
      <c r="AL1070" s="445"/>
    </row>
    <row r="1071" spans="1:38" s="467" customFormat="1" ht="12.75" customHeight="1">
      <c r="A1071" s="1033">
        <v>5313320</v>
      </c>
      <c r="B1071" s="1033" t="s">
        <v>2834</v>
      </c>
      <c r="C1071" s="1034" t="str">
        <f t="shared" si="265"/>
        <v/>
      </c>
      <c r="D1071" s="1035"/>
      <c r="E1071" s="1035"/>
      <c r="F1071" s="1034" t="str">
        <f t="shared" si="266"/>
        <v/>
      </c>
      <c r="G1071" s="1033"/>
      <c r="H1071" s="1033"/>
      <c r="I1071" s="1034" t="str">
        <f t="shared" si="267"/>
        <v/>
      </c>
      <c r="J1071" s="1033"/>
      <c r="K1071" s="1033"/>
      <c r="L1071" s="1034" t="str">
        <f t="shared" si="268"/>
        <v/>
      </c>
      <c r="M1071" s="1035"/>
      <c r="N1071" s="1035"/>
      <c r="O1071" s="1036" t="str">
        <f t="shared" si="269"/>
        <v/>
      </c>
      <c r="P1071" s="1033"/>
      <c r="Q1071" s="1033"/>
      <c r="R1071" s="1034" t="str">
        <f t="shared" si="270"/>
        <v/>
      </c>
      <c r="S1071" s="1035"/>
      <c r="T1071" s="1035"/>
      <c r="U1071" s="1034" t="str">
        <f t="shared" si="271"/>
        <v/>
      </c>
      <c r="V1071" s="1035"/>
      <c r="W1071" s="1035"/>
      <c r="X1071" s="1037" t="str">
        <f t="shared" si="262"/>
        <v>4</v>
      </c>
      <c r="Y1071" s="1035"/>
      <c r="Z1071" s="1035">
        <f t="shared" si="252"/>
        <v>4</v>
      </c>
      <c r="AA1071" s="1035"/>
      <c r="AB1071" s="1035"/>
      <c r="AC1071" s="1021">
        <v>410203</v>
      </c>
      <c r="AD1071" s="1021" t="s">
        <v>1444</v>
      </c>
      <c r="AE1071" s="1022">
        <f>VLOOKUP(AC1071,[5]Hoja1!$A$10:$K$1393,11,0)</f>
        <v>-355400847</v>
      </c>
      <c r="AF1071" s="1022"/>
      <c r="AG1071" s="1022">
        <f t="shared" si="253"/>
        <v>-355400847</v>
      </c>
      <c r="AH1071" s="1022">
        <f t="shared" si="254"/>
        <v>-355401</v>
      </c>
      <c r="AK1071" s="448"/>
      <c r="AL1071" s="445"/>
    </row>
    <row r="1072" spans="1:38" s="467" customFormat="1" ht="12.75" customHeight="1">
      <c r="A1072" s="1033">
        <v>5313320</v>
      </c>
      <c r="B1072" s="1033" t="s">
        <v>2834</v>
      </c>
      <c r="C1072" s="1034" t="str">
        <f t="shared" si="265"/>
        <v/>
      </c>
      <c r="D1072" s="1035"/>
      <c r="E1072" s="1035"/>
      <c r="F1072" s="1034" t="str">
        <f t="shared" si="266"/>
        <v/>
      </c>
      <c r="G1072" s="1033"/>
      <c r="H1072" s="1033"/>
      <c r="I1072" s="1034" t="str">
        <f t="shared" si="267"/>
        <v/>
      </c>
      <c r="J1072" s="1033"/>
      <c r="K1072" s="1033"/>
      <c r="L1072" s="1034" t="str">
        <f t="shared" si="268"/>
        <v/>
      </c>
      <c r="M1072" s="1035"/>
      <c r="N1072" s="1035"/>
      <c r="O1072" s="1036" t="str">
        <f t="shared" si="269"/>
        <v/>
      </c>
      <c r="P1072" s="1033"/>
      <c r="Q1072" s="1033"/>
      <c r="R1072" s="1034" t="str">
        <f t="shared" si="270"/>
        <v/>
      </c>
      <c r="S1072" s="1035"/>
      <c r="T1072" s="1035"/>
      <c r="U1072" s="1034" t="str">
        <f t="shared" si="271"/>
        <v/>
      </c>
      <c r="V1072" s="1035"/>
      <c r="W1072" s="1035"/>
      <c r="X1072" s="1037" t="str">
        <f t="shared" si="262"/>
        <v>4</v>
      </c>
      <c r="Y1072" s="1035"/>
      <c r="Z1072" s="1035">
        <f t="shared" si="252"/>
        <v>4</v>
      </c>
      <c r="AA1072" s="1035"/>
      <c r="AB1072" s="1035"/>
      <c r="AC1072" s="1021">
        <v>410204</v>
      </c>
      <c r="AD1072" s="1021" t="s">
        <v>804</v>
      </c>
      <c r="AE1072" s="1022">
        <f>VLOOKUP(AC1072,[5]Hoja1!$A$10:$K$1393,11,0)</f>
        <v>-1087412585</v>
      </c>
      <c r="AF1072" s="1022"/>
      <c r="AG1072" s="1022">
        <f t="shared" si="253"/>
        <v>-1087412585</v>
      </c>
      <c r="AH1072" s="1022">
        <f t="shared" si="254"/>
        <v>-1087413</v>
      </c>
      <c r="AK1072" s="448"/>
      <c r="AL1072" s="445"/>
    </row>
    <row r="1073" spans="1:38" s="467" customFormat="1" ht="12.75" customHeight="1">
      <c r="A1073" s="1033">
        <v>5313320</v>
      </c>
      <c r="B1073" s="1033" t="s">
        <v>2834</v>
      </c>
      <c r="C1073" s="1034" t="str">
        <f t="shared" si="265"/>
        <v/>
      </c>
      <c r="D1073" s="1035"/>
      <c r="E1073" s="1035"/>
      <c r="F1073" s="1034" t="str">
        <f t="shared" si="266"/>
        <v/>
      </c>
      <c r="G1073" s="1033"/>
      <c r="H1073" s="1033"/>
      <c r="I1073" s="1034" t="str">
        <f t="shared" si="267"/>
        <v/>
      </c>
      <c r="J1073" s="1033"/>
      <c r="K1073" s="1033"/>
      <c r="L1073" s="1034" t="str">
        <f t="shared" si="268"/>
        <v/>
      </c>
      <c r="M1073" s="1035"/>
      <c r="N1073" s="1035"/>
      <c r="O1073" s="1036" t="str">
        <f t="shared" si="269"/>
        <v/>
      </c>
      <c r="P1073" s="1033"/>
      <c r="Q1073" s="1033"/>
      <c r="R1073" s="1034" t="str">
        <f t="shared" si="270"/>
        <v/>
      </c>
      <c r="S1073" s="1035"/>
      <c r="T1073" s="1035"/>
      <c r="U1073" s="1034" t="str">
        <f t="shared" si="271"/>
        <v/>
      </c>
      <c r="V1073" s="1035"/>
      <c r="W1073" s="1035"/>
      <c r="X1073" s="1037" t="str">
        <f t="shared" si="262"/>
        <v>4</v>
      </c>
      <c r="Y1073" s="1035"/>
      <c r="Z1073" s="1035">
        <f t="shared" si="252"/>
        <v>4</v>
      </c>
      <c r="AA1073" s="1035"/>
      <c r="AB1073" s="1035"/>
      <c r="AC1073" s="1021">
        <v>410205</v>
      </c>
      <c r="AD1073" s="1021" t="s">
        <v>2290</v>
      </c>
      <c r="AE1073" s="1022">
        <f>VLOOKUP(AC1073,[5]Hoja1!$A$10:$K$1393,11,0)</f>
        <v>-13311430</v>
      </c>
      <c r="AF1073" s="1022"/>
      <c r="AG1073" s="1022">
        <f t="shared" si="253"/>
        <v>-13311430</v>
      </c>
      <c r="AH1073" s="1022">
        <f t="shared" si="254"/>
        <v>-13311</v>
      </c>
      <c r="AK1073" s="448"/>
      <c r="AL1073" s="445"/>
    </row>
    <row r="1074" spans="1:38" s="467" customFormat="1" ht="12.75" customHeight="1">
      <c r="A1074" s="1033">
        <v>5313320</v>
      </c>
      <c r="B1074" s="1033" t="s">
        <v>2834</v>
      </c>
      <c r="C1074" s="1034" t="str">
        <f t="shared" si="265"/>
        <v/>
      </c>
      <c r="D1074" s="1035"/>
      <c r="E1074" s="1035"/>
      <c r="F1074" s="1034" t="str">
        <f t="shared" si="266"/>
        <v/>
      </c>
      <c r="G1074" s="1033"/>
      <c r="H1074" s="1033"/>
      <c r="I1074" s="1034" t="str">
        <f t="shared" si="267"/>
        <v/>
      </c>
      <c r="J1074" s="1033"/>
      <c r="K1074" s="1033"/>
      <c r="L1074" s="1034" t="str">
        <f t="shared" si="268"/>
        <v/>
      </c>
      <c r="M1074" s="1035"/>
      <c r="N1074" s="1035"/>
      <c r="O1074" s="1036" t="str">
        <f t="shared" si="269"/>
        <v/>
      </c>
      <c r="P1074" s="1033"/>
      <c r="Q1074" s="1033"/>
      <c r="R1074" s="1034" t="str">
        <f t="shared" si="270"/>
        <v/>
      </c>
      <c r="S1074" s="1035"/>
      <c r="T1074" s="1035"/>
      <c r="U1074" s="1034" t="str">
        <f t="shared" si="271"/>
        <v/>
      </c>
      <c r="V1074" s="1035"/>
      <c r="W1074" s="1035"/>
      <c r="X1074" s="1037" t="str">
        <f t="shared" si="262"/>
        <v>4</v>
      </c>
      <c r="Y1074" s="1035"/>
      <c r="Z1074" s="1035">
        <f t="shared" si="252"/>
        <v>4</v>
      </c>
      <c r="AA1074" s="1035"/>
      <c r="AB1074" s="1035"/>
      <c r="AC1074" s="1021">
        <v>410206</v>
      </c>
      <c r="AD1074" s="1021" t="s">
        <v>805</v>
      </c>
      <c r="AE1074" s="1022">
        <f>VLOOKUP(AC1074,[5]Hoja1!$A$10:$K$1393,11,0)</f>
        <v>-1970327831</v>
      </c>
      <c r="AF1074" s="1022"/>
      <c r="AG1074" s="1022">
        <f t="shared" si="253"/>
        <v>-1970327831</v>
      </c>
      <c r="AH1074" s="1022">
        <f t="shared" si="254"/>
        <v>-1970328</v>
      </c>
      <c r="AK1074" s="448"/>
      <c r="AL1074" s="445"/>
    </row>
    <row r="1075" spans="1:38" s="467" customFormat="1" ht="12.75" customHeight="1">
      <c r="A1075" s="1033">
        <v>5313320</v>
      </c>
      <c r="B1075" s="1033" t="s">
        <v>2834</v>
      </c>
      <c r="C1075" s="1034" t="str">
        <f t="shared" si="265"/>
        <v/>
      </c>
      <c r="D1075" s="1035"/>
      <c r="E1075" s="1035"/>
      <c r="F1075" s="1034" t="str">
        <f t="shared" si="266"/>
        <v/>
      </c>
      <c r="G1075" s="1033"/>
      <c r="H1075" s="1033"/>
      <c r="I1075" s="1034" t="str">
        <f t="shared" si="267"/>
        <v/>
      </c>
      <c r="J1075" s="1033"/>
      <c r="K1075" s="1033"/>
      <c r="L1075" s="1034" t="str">
        <f t="shared" si="268"/>
        <v/>
      </c>
      <c r="M1075" s="1035"/>
      <c r="N1075" s="1035"/>
      <c r="O1075" s="1036" t="str">
        <f t="shared" si="269"/>
        <v/>
      </c>
      <c r="P1075" s="1033"/>
      <c r="Q1075" s="1033"/>
      <c r="R1075" s="1034" t="str">
        <f t="shared" si="270"/>
        <v/>
      </c>
      <c r="S1075" s="1035"/>
      <c r="T1075" s="1035"/>
      <c r="U1075" s="1034" t="str">
        <f t="shared" si="271"/>
        <v/>
      </c>
      <c r="V1075" s="1035"/>
      <c r="W1075" s="1035"/>
      <c r="X1075" s="1037" t="str">
        <f t="shared" si="262"/>
        <v>4</v>
      </c>
      <c r="Y1075" s="1035"/>
      <c r="Z1075" s="1035">
        <f t="shared" si="252"/>
        <v>4</v>
      </c>
      <c r="AA1075" s="1035"/>
      <c r="AB1075" s="1035"/>
      <c r="AC1075" s="1021">
        <v>410207</v>
      </c>
      <c r="AD1075" s="1021" t="s">
        <v>806</v>
      </c>
      <c r="AE1075" s="1022">
        <f>VLOOKUP(AC1075,[5]Hoja1!$A$10:$K$1393,11,0)</f>
        <v>-2336944023</v>
      </c>
      <c r="AF1075" s="1022"/>
      <c r="AG1075" s="1022">
        <f t="shared" si="253"/>
        <v>-2336944023</v>
      </c>
      <c r="AH1075" s="1022">
        <f t="shared" si="254"/>
        <v>-2336944</v>
      </c>
      <c r="AK1075" s="448"/>
      <c r="AL1075" s="445"/>
    </row>
    <row r="1076" spans="1:38" s="467" customFormat="1" ht="12.75" customHeight="1">
      <c r="A1076" s="1033">
        <v>5313320</v>
      </c>
      <c r="B1076" s="1033" t="s">
        <v>2834</v>
      </c>
      <c r="C1076" s="1034" t="str">
        <f t="shared" si="265"/>
        <v/>
      </c>
      <c r="D1076" s="1035"/>
      <c r="E1076" s="1035"/>
      <c r="F1076" s="1034" t="str">
        <f t="shared" si="266"/>
        <v/>
      </c>
      <c r="G1076" s="1033"/>
      <c r="H1076" s="1033"/>
      <c r="I1076" s="1034" t="str">
        <f t="shared" si="267"/>
        <v/>
      </c>
      <c r="J1076" s="1033"/>
      <c r="K1076" s="1033"/>
      <c r="L1076" s="1034" t="str">
        <f t="shared" si="268"/>
        <v/>
      </c>
      <c r="M1076" s="1035"/>
      <c r="N1076" s="1035"/>
      <c r="O1076" s="1036" t="str">
        <f t="shared" si="269"/>
        <v/>
      </c>
      <c r="P1076" s="1033"/>
      <c r="Q1076" s="1033"/>
      <c r="R1076" s="1034" t="str">
        <f t="shared" si="270"/>
        <v/>
      </c>
      <c r="S1076" s="1035"/>
      <c r="T1076" s="1035"/>
      <c r="U1076" s="1034" t="str">
        <f t="shared" si="271"/>
        <v/>
      </c>
      <c r="V1076" s="1035"/>
      <c r="W1076" s="1035"/>
      <c r="X1076" s="1037" t="str">
        <f t="shared" si="262"/>
        <v>4</v>
      </c>
      <c r="Y1076" s="1035"/>
      <c r="Z1076" s="1035">
        <f t="shared" si="252"/>
        <v>4</v>
      </c>
      <c r="AA1076" s="1035"/>
      <c r="AB1076" s="1035"/>
      <c r="AC1076" s="1021">
        <v>410208</v>
      </c>
      <c r="AD1076" s="1021" t="s">
        <v>807</v>
      </c>
      <c r="AE1076" s="1022">
        <f>VLOOKUP(AC1076,[5]Hoja1!$A$10:$K$1393,11,0)</f>
        <v>-16340886100</v>
      </c>
      <c r="AF1076" s="1022"/>
      <c r="AG1076" s="1022">
        <f t="shared" si="253"/>
        <v>-16340886100</v>
      </c>
      <c r="AH1076" s="1022">
        <f t="shared" si="254"/>
        <v>-16340886</v>
      </c>
      <c r="AK1076" s="448"/>
      <c r="AL1076" s="445"/>
    </row>
    <row r="1077" spans="1:38" s="467" customFormat="1" ht="12.75" customHeight="1">
      <c r="A1077" s="1033">
        <v>5313320</v>
      </c>
      <c r="B1077" s="1033" t="s">
        <v>2834</v>
      </c>
      <c r="C1077" s="1034" t="str">
        <f t="shared" si="265"/>
        <v/>
      </c>
      <c r="D1077" s="1035"/>
      <c r="E1077" s="1035"/>
      <c r="F1077" s="1034" t="str">
        <f t="shared" si="266"/>
        <v/>
      </c>
      <c r="G1077" s="1033"/>
      <c r="H1077" s="1033"/>
      <c r="I1077" s="1034" t="str">
        <f t="shared" si="267"/>
        <v/>
      </c>
      <c r="J1077" s="1033"/>
      <c r="K1077" s="1033"/>
      <c r="L1077" s="1034" t="str">
        <f t="shared" si="268"/>
        <v/>
      </c>
      <c r="M1077" s="1035"/>
      <c r="N1077" s="1035"/>
      <c r="O1077" s="1036" t="str">
        <f t="shared" si="269"/>
        <v/>
      </c>
      <c r="P1077" s="1033"/>
      <c r="Q1077" s="1033"/>
      <c r="R1077" s="1034" t="str">
        <f t="shared" si="270"/>
        <v/>
      </c>
      <c r="S1077" s="1035"/>
      <c r="T1077" s="1035"/>
      <c r="U1077" s="1034" t="str">
        <f t="shared" si="271"/>
        <v/>
      </c>
      <c r="V1077" s="1035"/>
      <c r="W1077" s="1035"/>
      <c r="X1077" s="1037" t="str">
        <f t="shared" si="262"/>
        <v>4</v>
      </c>
      <c r="Y1077" s="1035"/>
      <c r="Z1077" s="1035">
        <f t="shared" si="252"/>
        <v>4</v>
      </c>
      <c r="AA1077" s="1035"/>
      <c r="AB1077" s="1035"/>
      <c r="AC1077" s="1021">
        <v>410209</v>
      </c>
      <c r="AD1077" s="1021" t="s">
        <v>808</v>
      </c>
      <c r="AE1077" s="1022">
        <f>VLOOKUP(AC1077,[5]Hoja1!$A$10:$K$1393,11,0)</f>
        <v>-90345303</v>
      </c>
      <c r="AF1077" s="1022"/>
      <c r="AG1077" s="1022">
        <f t="shared" si="253"/>
        <v>-90345303</v>
      </c>
      <c r="AH1077" s="1022">
        <f t="shared" si="254"/>
        <v>-90345</v>
      </c>
      <c r="AK1077" s="448"/>
      <c r="AL1077" s="445"/>
    </row>
    <row r="1078" spans="1:38" s="467" customFormat="1" ht="12.75" customHeight="1">
      <c r="A1078" s="1033">
        <v>5313320</v>
      </c>
      <c r="B1078" s="1033" t="s">
        <v>2834</v>
      </c>
      <c r="C1078" s="1034" t="str">
        <f t="shared" si="265"/>
        <v/>
      </c>
      <c r="D1078" s="1035"/>
      <c r="E1078" s="1035"/>
      <c r="F1078" s="1034" t="str">
        <f t="shared" si="266"/>
        <v/>
      </c>
      <c r="G1078" s="1033"/>
      <c r="H1078" s="1033"/>
      <c r="I1078" s="1034" t="str">
        <f t="shared" si="267"/>
        <v/>
      </c>
      <c r="J1078" s="1033"/>
      <c r="K1078" s="1033"/>
      <c r="L1078" s="1034" t="str">
        <f t="shared" si="268"/>
        <v/>
      </c>
      <c r="M1078" s="1035"/>
      <c r="N1078" s="1035"/>
      <c r="O1078" s="1036" t="str">
        <f t="shared" si="269"/>
        <v/>
      </c>
      <c r="P1078" s="1033"/>
      <c r="Q1078" s="1033"/>
      <c r="R1078" s="1034" t="str">
        <f t="shared" si="270"/>
        <v/>
      </c>
      <c r="S1078" s="1035"/>
      <c r="T1078" s="1035"/>
      <c r="U1078" s="1034" t="str">
        <f t="shared" si="271"/>
        <v/>
      </c>
      <c r="V1078" s="1035"/>
      <c r="W1078" s="1035"/>
      <c r="X1078" s="1037" t="str">
        <f t="shared" si="262"/>
        <v>4</v>
      </c>
      <c r="Y1078" s="1035"/>
      <c r="Z1078" s="1035">
        <f t="shared" si="252"/>
        <v>4</v>
      </c>
      <c r="AA1078" s="1035"/>
      <c r="AB1078" s="1035"/>
      <c r="AC1078" s="1021">
        <v>410210</v>
      </c>
      <c r="AD1078" s="1021" t="s">
        <v>809</v>
      </c>
      <c r="AE1078" s="1022">
        <f>VLOOKUP(AC1078,[5]Hoja1!$A$10:$K$1393,11,0)</f>
        <v>-8156925995</v>
      </c>
      <c r="AF1078" s="1022"/>
      <c r="AG1078" s="1022">
        <f t="shared" si="253"/>
        <v>-8156925995</v>
      </c>
      <c r="AH1078" s="1022">
        <f t="shared" si="254"/>
        <v>-8156926</v>
      </c>
      <c r="AK1078" s="448"/>
      <c r="AL1078" s="445"/>
    </row>
    <row r="1079" spans="1:38" s="467" customFormat="1" ht="12.75" customHeight="1">
      <c r="A1079" s="1033">
        <v>5313320</v>
      </c>
      <c r="B1079" s="1033" t="s">
        <v>2834</v>
      </c>
      <c r="C1079" s="1034" t="str">
        <f t="shared" si="265"/>
        <v/>
      </c>
      <c r="D1079" s="1035"/>
      <c r="E1079" s="1035"/>
      <c r="F1079" s="1034" t="str">
        <f t="shared" si="266"/>
        <v/>
      </c>
      <c r="G1079" s="1033"/>
      <c r="H1079" s="1033"/>
      <c r="I1079" s="1034" t="str">
        <f t="shared" si="267"/>
        <v/>
      </c>
      <c r="J1079" s="1033"/>
      <c r="K1079" s="1033"/>
      <c r="L1079" s="1034" t="str">
        <f t="shared" si="268"/>
        <v/>
      </c>
      <c r="M1079" s="1035"/>
      <c r="N1079" s="1035"/>
      <c r="O1079" s="1036" t="str">
        <f t="shared" si="269"/>
        <v/>
      </c>
      <c r="P1079" s="1033"/>
      <c r="Q1079" s="1033"/>
      <c r="R1079" s="1034" t="str">
        <f t="shared" si="270"/>
        <v/>
      </c>
      <c r="S1079" s="1035"/>
      <c r="T1079" s="1035"/>
      <c r="U1079" s="1034" t="str">
        <f t="shared" si="271"/>
        <v/>
      </c>
      <c r="V1079" s="1035"/>
      <c r="W1079" s="1035"/>
      <c r="X1079" s="1037" t="str">
        <f t="shared" si="262"/>
        <v>4</v>
      </c>
      <c r="Y1079" s="1035"/>
      <c r="Z1079" s="1035">
        <f t="shared" si="252"/>
        <v>4</v>
      </c>
      <c r="AA1079" s="1035"/>
      <c r="AB1079" s="1035"/>
      <c r="AC1079" s="1021">
        <v>410211</v>
      </c>
      <c r="AD1079" s="1021" t="s">
        <v>810</v>
      </c>
      <c r="AE1079" s="1022">
        <f>VLOOKUP(AC1079,[5]Hoja1!$A$10:$K$1393,11,0)</f>
        <v>-4089177</v>
      </c>
      <c r="AF1079" s="1022"/>
      <c r="AG1079" s="1022">
        <f t="shared" si="253"/>
        <v>-4089177</v>
      </c>
      <c r="AH1079" s="1022">
        <f t="shared" si="254"/>
        <v>-4089</v>
      </c>
      <c r="AK1079" s="448"/>
      <c r="AL1079" s="445"/>
    </row>
    <row r="1080" spans="1:38" s="467" customFormat="1" ht="12.75" customHeight="1">
      <c r="A1080" s="1033">
        <v>5313320</v>
      </c>
      <c r="B1080" s="1033" t="s">
        <v>2834</v>
      </c>
      <c r="C1080" s="1034" t="str">
        <f t="shared" si="265"/>
        <v/>
      </c>
      <c r="D1080" s="1035"/>
      <c r="E1080" s="1035"/>
      <c r="F1080" s="1034" t="str">
        <f t="shared" si="266"/>
        <v/>
      </c>
      <c r="G1080" s="1033"/>
      <c r="H1080" s="1033"/>
      <c r="I1080" s="1034" t="str">
        <f t="shared" si="267"/>
        <v/>
      </c>
      <c r="J1080" s="1033"/>
      <c r="K1080" s="1033"/>
      <c r="L1080" s="1034" t="str">
        <f t="shared" si="268"/>
        <v/>
      </c>
      <c r="M1080" s="1035"/>
      <c r="N1080" s="1035"/>
      <c r="O1080" s="1036" t="str">
        <f t="shared" si="269"/>
        <v/>
      </c>
      <c r="P1080" s="1033"/>
      <c r="Q1080" s="1033"/>
      <c r="R1080" s="1034" t="str">
        <f t="shared" si="270"/>
        <v/>
      </c>
      <c r="S1080" s="1035"/>
      <c r="T1080" s="1035"/>
      <c r="U1080" s="1034" t="str">
        <f t="shared" si="271"/>
        <v/>
      </c>
      <c r="V1080" s="1035"/>
      <c r="W1080" s="1035"/>
      <c r="X1080" s="1037" t="str">
        <f t="shared" si="262"/>
        <v>4</v>
      </c>
      <c r="Y1080" s="1035"/>
      <c r="Z1080" s="1035">
        <f t="shared" si="252"/>
        <v>4</v>
      </c>
      <c r="AA1080" s="1035"/>
      <c r="AB1080" s="1035"/>
      <c r="AC1080" s="1021">
        <v>410212</v>
      </c>
      <c r="AD1080" s="1021" t="s">
        <v>811</v>
      </c>
      <c r="AE1080" s="1022">
        <f>VLOOKUP(AC1080,[5]Hoja1!$A$10:$K$1393,11,0)</f>
        <v>-1528923407</v>
      </c>
      <c r="AF1080" s="1022"/>
      <c r="AG1080" s="1022">
        <f t="shared" si="253"/>
        <v>-1528923407</v>
      </c>
      <c r="AH1080" s="1022">
        <f t="shared" si="254"/>
        <v>-1528923</v>
      </c>
      <c r="AK1080" s="448"/>
      <c r="AL1080" s="445"/>
    </row>
    <row r="1081" spans="1:38" s="467" customFormat="1" ht="12.75" customHeight="1">
      <c r="A1081" s="1033">
        <v>5313310</v>
      </c>
      <c r="B1081" s="1033" t="s">
        <v>2833</v>
      </c>
      <c r="C1081" s="1034" t="str">
        <f t="shared" si="265"/>
        <v/>
      </c>
      <c r="D1081" s="1035"/>
      <c r="E1081" s="1035"/>
      <c r="F1081" s="1034" t="str">
        <f t="shared" si="266"/>
        <v/>
      </c>
      <c r="G1081" s="1033"/>
      <c r="H1081" s="1033"/>
      <c r="I1081" s="1034" t="str">
        <f t="shared" si="267"/>
        <v/>
      </c>
      <c r="J1081" s="1033"/>
      <c r="K1081" s="1033"/>
      <c r="L1081" s="1034" t="str">
        <f t="shared" si="268"/>
        <v/>
      </c>
      <c r="M1081" s="1035"/>
      <c r="N1081" s="1035"/>
      <c r="O1081" s="1036" t="str">
        <f t="shared" si="269"/>
        <v/>
      </c>
      <c r="P1081" s="1033"/>
      <c r="Q1081" s="1033"/>
      <c r="R1081" s="1034" t="str">
        <f t="shared" si="270"/>
        <v/>
      </c>
      <c r="S1081" s="1035"/>
      <c r="T1081" s="1035"/>
      <c r="U1081" s="1034" t="str">
        <f t="shared" si="271"/>
        <v/>
      </c>
      <c r="V1081" s="1035"/>
      <c r="W1081" s="1035"/>
      <c r="X1081" s="1037" t="str">
        <f t="shared" si="262"/>
        <v>4</v>
      </c>
      <c r="Y1081" s="1035"/>
      <c r="Z1081" s="1035">
        <f t="shared" si="252"/>
        <v>4</v>
      </c>
      <c r="AA1081" s="1035"/>
      <c r="AB1081" s="1035"/>
      <c r="AC1081" s="1021">
        <v>410213</v>
      </c>
      <c r="AD1081" s="1021" t="s">
        <v>255</v>
      </c>
      <c r="AE1081" s="1022">
        <f>VLOOKUP(AC1081,[5]Hoja1!$A$10:$K$1393,11,0)</f>
        <v>-4074176875</v>
      </c>
      <c r="AF1081" s="1022"/>
      <c r="AG1081" s="1022">
        <f t="shared" si="253"/>
        <v>-4074176875</v>
      </c>
      <c r="AH1081" s="1022">
        <f t="shared" si="254"/>
        <v>-4074177</v>
      </c>
      <c r="AK1081" s="448"/>
      <c r="AL1081" s="445"/>
    </row>
    <row r="1082" spans="1:38" s="467" customFormat="1" ht="12.75" customHeight="1">
      <c r="A1082" s="1033">
        <v>5313320</v>
      </c>
      <c r="B1082" s="1033" t="s">
        <v>2834</v>
      </c>
      <c r="C1082" s="1034" t="str">
        <f t="shared" si="265"/>
        <v/>
      </c>
      <c r="D1082" s="1035"/>
      <c r="E1082" s="1035"/>
      <c r="F1082" s="1034" t="str">
        <f t="shared" si="266"/>
        <v/>
      </c>
      <c r="G1082" s="1033"/>
      <c r="H1082" s="1033"/>
      <c r="I1082" s="1034" t="str">
        <f t="shared" si="267"/>
        <v/>
      </c>
      <c r="J1082" s="1033"/>
      <c r="K1082" s="1033"/>
      <c r="L1082" s="1034" t="str">
        <f t="shared" si="268"/>
        <v/>
      </c>
      <c r="M1082" s="1035"/>
      <c r="N1082" s="1035"/>
      <c r="O1082" s="1036" t="str">
        <f t="shared" si="269"/>
        <v/>
      </c>
      <c r="P1082" s="1033"/>
      <c r="Q1082" s="1033"/>
      <c r="R1082" s="1034" t="str">
        <f t="shared" si="270"/>
        <v/>
      </c>
      <c r="S1082" s="1035"/>
      <c r="T1082" s="1035"/>
      <c r="U1082" s="1034" t="str">
        <f t="shared" si="271"/>
        <v/>
      </c>
      <c r="V1082" s="1035"/>
      <c r="W1082" s="1035"/>
      <c r="X1082" s="1037" t="str">
        <f t="shared" si="262"/>
        <v>4</v>
      </c>
      <c r="Y1082" s="1035"/>
      <c r="Z1082" s="1035">
        <f t="shared" si="252"/>
        <v>4</v>
      </c>
      <c r="AA1082" s="1035"/>
      <c r="AB1082" s="1035"/>
      <c r="AC1082" s="1021">
        <v>410214</v>
      </c>
      <c r="AD1082" s="1021" t="s">
        <v>2291</v>
      </c>
      <c r="AE1082" s="1022">
        <f>VLOOKUP(AC1082,[5]Hoja1!$A$10:$K$1393,11,0)</f>
        <v>-108984</v>
      </c>
      <c r="AF1082" s="1022"/>
      <c r="AG1082" s="1022">
        <f t="shared" si="253"/>
        <v>-108984</v>
      </c>
      <c r="AH1082" s="1022">
        <f t="shared" si="254"/>
        <v>-109</v>
      </c>
      <c r="AK1082" s="448"/>
      <c r="AL1082" s="445"/>
    </row>
    <row r="1083" spans="1:38" s="467" customFormat="1" ht="12.75" customHeight="1">
      <c r="A1083" s="1033">
        <v>5313320</v>
      </c>
      <c r="B1083" s="1033" t="s">
        <v>2834</v>
      </c>
      <c r="C1083" s="1034" t="str">
        <f t="shared" si="265"/>
        <v/>
      </c>
      <c r="D1083" s="1035"/>
      <c r="E1083" s="1035"/>
      <c r="F1083" s="1034" t="str">
        <f t="shared" si="266"/>
        <v/>
      </c>
      <c r="G1083" s="1033"/>
      <c r="H1083" s="1033"/>
      <c r="I1083" s="1034" t="str">
        <f t="shared" si="267"/>
        <v/>
      </c>
      <c r="J1083" s="1033"/>
      <c r="K1083" s="1033"/>
      <c r="L1083" s="1034" t="str">
        <f t="shared" si="268"/>
        <v/>
      </c>
      <c r="M1083" s="1035"/>
      <c r="N1083" s="1035"/>
      <c r="O1083" s="1036" t="str">
        <f t="shared" si="269"/>
        <v/>
      </c>
      <c r="P1083" s="1033"/>
      <c r="Q1083" s="1033"/>
      <c r="R1083" s="1034" t="str">
        <f t="shared" si="270"/>
        <v/>
      </c>
      <c r="S1083" s="1035"/>
      <c r="T1083" s="1035"/>
      <c r="U1083" s="1034" t="str">
        <f t="shared" si="271"/>
        <v/>
      </c>
      <c r="V1083" s="1035"/>
      <c r="W1083" s="1035"/>
      <c r="X1083" s="1037" t="str">
        <f t="shared" si="262"/>
        <v>4</v>
      </c>
      <c r="Y1083" s="1035"/>
      <c r="Z1083" s="1035">
        <f t="shared" si="252"/>
        <v>4</v>
      </c>
      <c r="AA1083" s="1035"/>
      <c r="AB1083" s="1035"/>
      <c r="AC1083" s="1021">
        <v>410215</v>
      </c>
      <c r="AD1083" s="1021" t="s">
        <v>257</v>
      </c>
      <c r="AE1083" s="1022">
        <f>VLOOKUP(AC1083,[5]Hoja1!$A$10:$K$1393,11,0)</f>
        <v>-9672343</v>
      </c>
      <c r="AF1083" s="1022"/>
      <c r="AG1083" s="1022">
        <f t="shared" si="253"/>
        <v>-9672343</v>
      </c>
      <c r="AH1083" s="1022">
        <f t="shared" si="254"/>
        <v>-9672</v>
      </c>
      <c r="AK1083" s="448"/>
      <c r="AL1083" s="445"/>
    </row>
    <row r="1084" spans="1:38" s="467" customFormat="1" ht="12.75" customHeight="1">
      <c r="A1084" s="1033">
        <v>5313120</v>
      </c>
      <c r="B1084" s="1033" t="s">
        <v>2834</v>
      </c>
      <c r="C1084" s="1034" t="str">
        <f t="shared" si="265"/>
        <v/>
      </c>
      <c r="D1084" s="1035"/>
      <c r="E1084" s="1035"/>
      <c r="F1084" s="1034" t="str">
        <f t="shared" si="266"/>
        <v/>
      </c>
      <c r="G1084" s="1033"/>
      <c r="H1084" s="1033"/>
      <c r="I1084" s="1034" t="str">
        <f t="shared" si="267"/>
        <v/>
      </c>
      <c r="J1084" s="1033"/>
      <c r="K1084" s="1033"/>
      <c r="L1084" s="1034" t="str">
        <f t="shared" si="268"/>
        <v/>
      </c>
      <c r="M1084" s="1035"/>
      <c r="N1084" s="1035"/>
      <c r="O1084" s="1036" t="str">
        <f t="shared" si="269"/>
        <v/>
      </c>
      <c r="P1084" s="1033"/>
      <c r="Q1084" s="1033"/>
      <c r="R1084" s="1034" t="str">
        <f t="shared" si="270"/>
        <v/>
      </c>
      <c r="S1084" s="1035"/>
      <c r="T1084" s="1035"/>
      <c r="U1084" s="1034" t="str">
        <f t="shared" si="271"/>
        <v/>
      </c>
      <c r="V1084" s="1035"/>
      <c r="W1084" s="1035"/>
      <c r="X1084" s="1037" t="str">
        <f t="shared" si="262"/>
        <v>4</v>
      </c>
      <c r="Y1084" s="1035"/>
      <c r="Z1084" s="1035">
        <f t="shared" si="252"/>
        <v>4</v>
      </c>
      <c r="AA1084" s="1035"/>
      <c r="AB1084" s="1035"/>
      <c r="AC1084" s="1021">
        <v>410216</v>
      </c>
      <c r="AD1084" s="1021" t="s">
        <v>2292</v>
      </c>
      <c r="AE1084" s="1022">
        <f>VLOOKUP(AC1084,[5]Hoja1!$A$10:$K$1393,11,0)</f>
        <v>-35122449</v>
      </c>
      <c r="AF1084" s="1022"/>
      <c r="AG1084" s="1022">
        <f t="shared" si="253"/>
        <v>-35122449</v>
      </c>
      <c r="AH1084" s="1022">
        <f t="shared" si="254"/>
        <v>-35122</v>
      </c>
      <c r="AK1084" s="448"/>
      <c r="AL1084" s="445"/>
    </row>
    <row r="1085" spans="1:38" s="467" customFormat="1" ht="12.75" customHeight="1">
      <c r="A1085" s="1033">
        <v>5313120</v>
      </c>
      <c r="B1085" s="1033" t="s">
        <v>2834</v>
      </c>
      <c r="C1085" s="1034" t="str">
        <f t="shared" si="265"/>
        <v/>
      </c>
      <c r="D1085" s="1035"/>
      <c r="E1085" s="1035"/>
      <c r="F1085" s="1034" t="str">
        <f t="shared" si="266"/>
        <v/>
      </c>
      <c r="G1085" s="1033"/>
      <c r="H1085" s="1033"/>
      <c r="I1085" s="1034" t="str">
        <f t="shared" si="267"/>
        <v/>
      </c>
      <c r="J1085" s="1033"/>
      <c r="K1085" s="1033"/>
      <c r="L1085" s="1034" t="str">
        <f t="shared" si="268"/>
        <v/>
      </c>
      <c r="M1085" s="1035"/>
      <c r="N1085" s="1035"/>
      <c r="O1085" s="1036" t="str">
        <f t="shared" si="269"/>
        <v/>
      </c>
      <c r="P1085" s="1033"/>
      <c r="Q1085" s="1033"/>
      <c r="R1085" s="1034" t="str">
        <f t="shared" si="270"/>
        <v/>
      </c>
      <c r="S1085" s="1035"/>
      <c r="T1085" s="1035"/>
      <c r="U1085" s="1034" t="str">
        <f t="shared" si="271"/>
        <v/>
      </c>
      <c r="V1085" s="1035"/>
      <c r="W1085" s="1035"/>
      <c r="X1085" s="1037" t="str">
        <f t="shared" si="262"/>
        <v>4</v>
      </c>
      <c r="Y1085" s="1035"/>
      <c r="Z1085" s="1035">
        <f t="shared" si="252"/>
        <v>4</v>
      </c>
      <c r="AA1085" s="1035"/>
      <c r="AB1085" s="1035"/>
      <c r="AC1085" s="1021">
        <v>410217</v>
      </c>
      <c r="AD1085" s="1021" t="s">
        <v>258</v>
      </c>
      <c r="AE1085" s="1022">
        <f>VLOOKUP(AC1085,[5]Hoja1!$A$10:$K$1393,11,0)</f>
        <v>-18411173</v>
      </c>
      <c r="AF1085" s="1022"/>
      <c r="AG1085" s="1022">
        <f t="shared" si="253"/>
        <v>-18411173</v>
      </c>
      <c r="AH1085" s="1022">
        <f t="shared" si="254"/>
        <v>-18411</v>
      </c>
      <c r="AK1085" s="448"/>
      <c r="AL1085" s="445"/>
    </row>
    <row r="1086" spans="1:38" s="467" customFormat="1" ht="12.75" customHeight="1">
      <c r="A1086" s="1033">
        <v>5313120</v>
      </c>
      <c r="B1086" s="1033" t="s">
        <v>2834</v>
      </c>
      <c r="C1086" s="1034" t="str">
        <f t="shared" si="265"/>
        <v/>
      </c>
      <c r="D1086" s="1035"/>
      <c r="E1086" s="1035"/>
      <c r="F1086" s="1034" t="str">
        <f t="shared" si="266"/>
        <v/>
      </c>
      <c r="G1086" s="1033"/>
      <c r="H1086" s="1033"/>
      <c r="I1086" s="1034" t="str">
        <f t="shared" si="267"/>
        <v/>
      </c>
      <c r="J1086" s="1033"/>
      <c r="K1086" s="1033"/>
      <c r="L1086" s="1034" t="str">
        <f t="shared" si="268"/>
        <v/>
      </c>
      <c r="M1086" s="1035"/>
      <c r="N1086" s="1035"/>
      <c r="O1086" s="1036" t="str">
        <f t="shared" si="269"/>
        <v/>
      </c>
      <c r="P1086" s="1033"/>
      <c r="Q1086" s="1033"/>
      <c r="R1086" s="1034" t="str">
        <f t="shared" si="270"/>
        <v/>
      </c>
      <c r="S1086" s="1035"/>
      <c r="T1086" s="1035"/>
      <c r="U1086" s="1034" t="str">
        <f t="shared" si="271"/>
        <v/>
      </c>
      <c r="V1086" s="1035"/>
      <c r="W1086" s="1035"/>
      <c r="X1086" s="1037" t="str">
        <f t="shared" si="262"/>
        <v>4</v>
      </c>
      <c r="Y1086" s="1035"/>
      <c r="Z1086" s="1035">
        <f t="shared" si="252"/>
        <v>4</v>
      </c>
      <c r="AA1086" s="1035"/>
      <c r="AB1086" s="1035"/>
      <c r="AC1086" s="1021">
        <v>410218</v>
      </c>
      <c r="AD1086" s="1021" t="s">
        <v>2293</v>
      </c>
      <c r="AE1086" s="1022">
        <f>VLOOKUP(AC1086,[5]Hoja1!$A$10:$K$1393,11,0)</f>
        <v>-218768</v>
      </c>
      <c r="AF1086" s="1022"/>
      <c r="AG1086" s="1022">
        <f t="shared" si="253"/>
        <v>-218768</v>
      </c>
      <c r="AH1086" s="1022">
        <f t="shared" si="254"/>
        <v>-219</v>
      </c>
      <c r="AK1086" s="448"/>
      <c r="AL1086" s="445"/>
    </row>
    <row r="1087" spans="1:38" s="467" customFormat="1" ht="12.75" customHeight="1">
      <c r="A1087" s="1033">
        <v>5313120</v>
      </c>
      <c r="B1087" s="1033" t="s">
        <v>2834</v>
      </c>
      <c r="C1087" s="1034" t="str">
        <f t="shared" si="265"/>
        <v/>
      </c>
      <c r="D1087" s="1035"/>
      <c r="E1087" s="1035"/>
      <c r="F1087" s="1034" t="str">
        <f t="shared" si="266"/>
        <v/>
      </c>
      <c r="G1087" s="1033"/>
      <c r="H1087" s="1033"/>
      <c r="I1087" s="1034" t="str">
        <f t="shared" si="267"/>
        <v/>
      </c>
      <c r="J1087" s="1033"/>
      <c r="K1087" s="1033"/>
      <c r="L1087" s="1034" t="str">
        <f t="shared" si="268"/>
        <v/>
      </c>
      <c r="M1087" s="1035"/>
      <c r="N1087" s="1035"/>
      <c r="O1087" s="1036" t="str">
        <f t="shared" si="269"/>
        <v/>
      </c>
      <c r="P1087" s="1033"/>
      <c r="Q1087" s="1033"/>
      <c r="R1087" s="1034" t="str">
        <f t="shared" si="270"/>
        <v/>
      </c>
      <c r="S1087" s="1035"/>
      <c r="T1087" s="1035"/>
      <c r="U1087" s="1034" t="str">
        <f t="shared" si="271"/>
        <v/>
      </c>
      <c r="V1087" s="1035"/>
      <c r="W1087" s="1035"/>
      <c r="X1087" s="1037" t="str">
        <f t="shared" si="262"/>
        <v>4</v>
      </c>
      <c r="Y1087" s="1035"/>
      <c r="Z1087" s="1035">
        <f t="shared" si="252"/>
        <v>4</v>
      </c>
      <c r="AA1087" s="1035"/>
      <c r="AB1087" s="1035"/>
      <c r="AC1087" s="1021">
        <v>410219</v>
      </c>
      <c r="AD1087" s="1021" t="s">
        <v>259</v>
      </c>
      <c r="AE1087" s="1022">
        <f>VLOOKUP(AC1087,[5]Hoja1!$A$10:$K$1393,11,0)</f>
        <v>-35936472</v>
      </c>
      <c r="AF1087" s="1022"/>
      <c r="AG1087" s="1022">
        <f t="shared" si="253"/>
        <v>-35936472</v>
      </c>
      <c r="AH1087" s="1022">
        <f t="shared" si="254"/>
        <v>-35936</v>
      </c>
      <c r="AK1087" s="448"/>
      <c r="AL1087" s="445"/>
    </row>
    <row r="1088" spans="1:38" s="467" customFormat="1" ht="12.75" customHeight="1">
      <c r="A1088" s="1033">
        <v>5313120</v>
      </c>
      <c r="B1088" s="1033" t="s">
        <v>2834</v>
      </c>
      <c r="C1088" s="1034" t="str">
        <f t="shared" si="265"/>
        <v/>
      </c>
      <c r="D1088" s="1035"/>
      <c r="E1088" s="1035"/>
      <c r="F1088" s="1034" t="str">
        <f t="shared" si="266"/>
        <v/>
      </c>
      <c r="G1088" s="1033"/>
      <c r="H1088" s="1033"/>
      <c r="I1088" s="1034" t="str">
        <f t="shared" si="267"/>
        <v/>
      </c>
      <c r="J1088" s="1033"/>
      <c r="K1088" s="1033"/>
      <c r="L1088" s="1034" t="str">
        <f t="shared" si="268"/>
        <v/>
      </c>
      <c r="M1088" s="1035"/>
      <c r="N1088" s="1035"/>
      <c r="O1088" s="1036" t="str">
        <f t="shared" si="269"/>
        <v/>
      </c>
      <c r="P1088" s="1033"/>
      <c r="Q1088" s="1033"/>
      <c r="R1088" s="1034" t="str">
        <f t="shared" si="270"/>
        <v/>
      </c>
      <c r="S1088" s="1035"/>
      <c r="T1088" s="1035"/>
      <c r="U1088" s="1034" t="str">
        <f t="shared" si="271"/>
        <v/>
      </c>
      <c r="V1088" s="1035"/>
      <c r="W1088" s="1035"/>
      <c r="X1088" s="1037" t="str">
        <f t="shared" si="262"/>
        <v>4</v>
      </c>
      <c r="Y1088" s="1035"/>
      <c r="Z1088" s="1035">
        <f t="shared" si="252"/>
        <v>4</v>
      </c>
      <c r="AA1088" s="1035"/>
      <c r="AB1088" s="1035"/>
      <c r="AC1088" s="1021">
        <v>410220</v>
      </c>
      <c r="AD1088" s="1021" t="s">
        <v>260</v>
      </c>
      <c r="AE1088" s="1022">
        <f>VLOOKUP(AC1088,[5]Hoja1!$A$10:$K$1393,11,0)</f>
        <v>-23209088</v>
      </c>
      <c r="AF1088" s="1022"/>
      <c r="AG1088" s="1022">
        <f t="shared" si="253"/>
        <v>-23209088</v>
      </c>
      <c r="AH1088" s="1022">
        <f t="shared" si="254"/>
        <v>-23209</v>
      </c>
      <c r="AK1088" s="448"/>
      <c r="AL1088" s="445"/>
    </row>
    <row r="1089" spans="1:38" s="467" customFormat="1" ht="12.75" customHeight="1">
      <c r="A1089" s="1033">
        <v>5313120</v>
      </c>
      <c r="B1089" s="1033" t="s">
        <v>2834</v>
      </c>
      <c r="C1089" s="1034" t="str">
        <f t="shared" si="265"/>
        <v/>
      </c>
      <c r="D1089" s="1035"/>
      <c r="E1089" s="1035"/>
      <c r="F1089" s="1034" t="str">
        <f t="shared" si="266"/>
        <v/>
      </c>
      <c r="G1089" s="1033"/>
      <c r="H1089" s="1033"/>
      <c r="I1089" s="1034" t="str">
        <f t="shared" si="267"/>
        <v/>
      </c>
      <c r="J1089" s="1033"/>
      <c r="K1089" s="1033"/>
      <c r="L1089" s="1034" t="str">
        <f t="shared" si="268"/>
        <v/>
      </c>
      <c r="M1089" s="1035"/>
      <c r="N1089" s="1035"/>
      <c r="O1089" s="1036" t="str">
        <f t="shared" si="269"/>
        <v/>
      </c>
      <c r="P1089" s="1033"/>
      <c r="Q1089" s="1033"/>
      <c r="R1089" s="1034" t="str">
        <f t="shared" si="270"/>
        <v/>
      </c>
      <c r="S1089" s="1035"/>
      <c r="T1089" s="1035"/>
      <c r="U1089" s="1034" t="str">
        <f t="shared" si="271"/>
        <v/>
      </c>
      <c r="V1089" s="1035"/>
      <c r="W1089" s="1035"/>
      <c r="X1089" s="1037" t="str">
        <f t="shared" si="262"/>
        <v>4</v>
      </c>
      <c r="Y1089" s="1035"/>
      <c r="Z1089" s="1035">
        <f t="shared" si="252"/>
        <v>4</v>
      </c>
      <c r="AA1089" s="1035"/>
      <c r="AB1089" s="1035"/>
      <c r="AC1089" s="1021">
        <v>410221</v>
      </c>
      <c r="AD1089" s="1021" t="s">
        <v>781</v>
      </c>
      <c r="AE1089" s="1022">
        <f>VLOOKUP(AC1089,[5]Hoja1!$A$10:$K$1393,11,0)</f>
        <v>-1384750690</v>
      </c>
      <c r="AF1089" s="1022"/>
      <c r="AG1089" s="1022">
        <f t="shared" si="253"/>
        <v>-1384750690</v>
      </c>
      <c r="AH1089" s="1022">
        <f t="shared" si="254"/>
        <v>-1384751</v>
      </c>
      <c r="AK1089" s="448"/>
      <c r="AL1089" s="445"/>
    </row>
    <row r="1090" spans="1:38" s="467" customFormat="1" ht="12.75" customHeight="1">
      <c r="A1090" s="1033">
        <v>5313120</v>
      </c>
      <c r="B1090" s="1033" t="s">
        <v>2834</v>
      </c>
      <c r="C1090" s="1034" t="str">
        <f t="shared" si="265"/>
        <v/>
      </c>
      <c r="D1090" s="1035"/>
      <c r="E1090" s="1035"/>
      <c r="F1090" s="1034" t="str">
        <f t="shared" si="266"/>
        <v/>
      </c>
      <c r="G1090" s="1033"/>
      <c r="H1090" s="1033"/>
      <c r="I1090" s="1034" t="str">
        <f t="shared" si="267"/>
        <v/>
      </c>
      <c r="J1090" s="1033"/>
      <c r="K1090" s="1033"/>
      <c r="L1090" s="1034" t="str">
        <f t="shared" si="268"/>
        <v/>
      </c>
      <c r="M1090" s="1035"/>
      <c r="N1090" s="1035"/>
      <c r="O1090" s="1036" t="str">
        <f t="shared" si="269"/>
        <v/>
      </c>
      <c r="P1090" s="1033"/>
      <c r="Q1090" s="1033"/>
      <c r="R1090" s="1034" t="str">
        <f t="shared" si="270"/>
        <v/>
      </c>
      <c r="S1090" s="1035"/>
      <c r="T1090" s="1035"/>
      <c r="U1090" s="1034" t="str">
        <f t="shared" si="271"/>
        <v/>
      </c>
      <c r="V1090" s="1035"/>
      <c r="W1090" s="1035"/>
      <c r="X1090" s="1037" t="str">
        <f t="shared" si="262"/>
        <v>4</v>
      </c>
      <c r="Y1090" s="1035"/>
      <c r="Z1090" s="1035">
        <f t="shared" si="252"/>
        <v>4</v>
      </c>
      <c r="AA1090" s="1035"/>
      <c r="AB1090" s="1035"/>
      <c r="AC1090" s="1021">
        <v>410222</v>
      </c>
      <c r="AD1090" s="1021" t="s">
        <v>782</v>
      </c>
      <c r="AE1090" s="1022">
        <f>VLOOKUP(AC1090,[5]Hoja1!$A$10:$K$1393,11,0)</f>
        <v>-15663529</v>
      </c>
      <c r="AF1090" s="1022"/>
      <c r="AG1090" s="1022">
        <f t="shared" si="253"/>
        <v>-15663529</v>
      </c>
      <c r="AH1090" s="1022">
        <f t="shared" si="254"/>
        <v>-15664</v>
      </c>
      <c r="AK1090" s="448"/>
      <c r="AL1090" s="445"/>
    </row>
    <row r="1091" spans="1:38" s="467" customFormat="1" ht="12.75" customHeight="1">
      <c r="A1091" s="1033">
        <v>5313120</v>
      </c>
      <c r="B1091" s="1033" t="s">
        <v>2834</v>
      </c>
      <c r="C1091" s="1034" t="str">
        <f t="shared" si="265"/>
        <v/>
      </c>
      <c r="D1091" s="1035"/>
      <c r="E1091" s="1035"/>
      <c r="F1091" s="1034" t="str">
        <f t="shared" si="266"/>
        <v/>
      </c>
      <c r="G1091" s="1033"/>
      <c r="H1091" s="1033"/>
      <c r="I1091" s="1034" t="str">
        <f t="shared" si="267"/>
        <v/>
      </c>
      <c r="J1091" s="1033"/>
      <c r="K1091" s="1033"/>
      <c r="L1091" s="1034" t="str">
        <f t="shared" si="268"/>
        <v/>
      </c>
      <c r="M1091" s="1035"/>
      <c r="N1091" s="1035"/>
      <c r="O1091" s="1036" t="str">
        <f t="shared" si="269"/>
        <v/>
      </c>
      <c r="P1091" s="1033"/>
      <c r="Q1091" s="1033"/>
      <c r="R1091" s="1034" t="str">
        <f t="shared" si="270"/>
        <v/>
      </c>
      <c r="S1091" s="1035"/>
      <c r="T1091" s="1035"/>
      <c r="U1091" s="1034" t="str">
        <f t="shared" si="271"/>
        <v/>
      </c>
      <c r="V1091" s="1035"/>
      <c r="W1091" s="1035"/>
      <c r="X1091" s="1037" t="str">
        <f t="shared" ref="X1091:X1122" si="272">+Y1091&amp;Z1091</f>
        <v>4</v>
      </c>
      <c r="Y1091" s="1035"/>
      <c r="Z1091" s="1035">
        <f t="shared" si="252"/>
        <v>4</v>
      </c>
      <c r="AA1091" s="1035"/>
      <c r="AB1091" s="1035"/>
      <c r="AC1091" s="1021">
        <v>410223</v>
      </c>
      <c r="AD1091" s="1021" t="s">
        <v>783</v>
      </c>
      <c r="AE1091" s="1022">
        <f>VLOOKUP(AC1091,[5]Hoja1!$A$10:$K$1393,11,0)</f>
        <v>-899101128</v>
      </c>
      <c r="AF1091" s="1022"/>
      <c r="AG1091" s="1022">
        <f t="shared" si="253"/>
        <v>-899101128</v>
      </c>
      <c r="AH1091" s="1022">
        <f t="shared" si="254"/>
        <v>-899101</v>
      </c>
      <c r="AK1091" s="448"/>
      <c r="AL1091" s="445"/>
    </row>
    <row r="1092" spans="1:38" s="467" customFormat="1" ht="12.75" customHeight="1">
      <c r="A1092" s="1033">
        <v>5313120</v>
      </c>
      <c r="B1092" s="1033" t="s">
        <v>2834</v>
      </c>
      <c r="C1092" s="1034" t="str">
        <f t="shared" si="265"/>
        <v/>
      </c>
      <c r="D1092" s="1035"/>
      <c r="E1092" s="1035"/>
      <c r="F1092" s="1034" t="str">
        <f t="shared" si="266"/>
        <v/>
      </c>
      <c r="G1092" s="1033"/>
      <c r="H1092" s="1033"/>
      <c r="I1092" s="1034" t="str">
        <f t="shared" si="267"/>
        <v/>
      </c>
      <c r="J1092" s="1033"/>
      <c r="K1092" s="1033"/>
      <c r="L1092" s="1034" t="str">
        <f t="shared" si="268"/>
        <v/>
      </c>
      <c r="M1092" s="1035"/>
      <c r="N1092" s="1035"/>
      <c r="O1092" s="1036" t="str">
        <f t="shared" si="269"/>
        <v/>
      </c>
      <c r="P1092" s="1033"/>
      <c r="Q1092" s="1033"/>
      <c r="R1092" s="1034" t="str">
        <f t="shared" si="270"/>
        <v/>
      </c>
      <c r="S1092" s="1035"/>
      <c r="T1092" s="1035"/>
      <c r="U1092" s="1034" t="str">
        <f t="shared" si="271"/>
        <v/>
      </c>
      <c r="V1092" s="1035"/>
      <c r="W1092" s="1035"/>
      <c r="X1092" s="1037" t="str">
        <f t="shared" si="272"/>
        <v>4</v>
      </c>
      <c r="Y1092" s="1035"/>
      <c r="Z1092" s="1035">
        <f t="shared" si="252"/>
        <v>4</v>
      </c>
      <c r="AA1092" s="1035"/>
      <c r="AB1092" s="1035"/>
      <c r="AC1092" s="1021">
        <v>410224</v>
      </c>
      <c r="AD1092" s="1021" t="s">
        <v>2294</v>
      </c>
      <c r="AE1092" s="1022">
        <f>VLOOKUP(AC1092,[5]Hoja1!$A$10:$K$1393,11,0)</f>
        <v>-39456</v>
      </c>
      <c r="AF1092" s="1022"/>
      <c r="AG1092" s="1022">
        <f t="shared" si="253"/>
        <v>-39456</v>
      </c>
      <c r="AH1092" s="1022">
        <f t="shared" si="254"/>
        <v>-39</v>
      </c>
      <c r="AK1092" s="448"/>
      <c r="AL1092" s="445"/>
    </row>
    <row r="1093" spans="1:38" s="467" customFormat="1" ht="12.75" customHeight="1">
      <c r="A1093" s="1033">
        <v>5313120</v>
      </c>
      <c r="B1093" s="1033" t="s">
        <v>2834</v>
      </c>
      <c r="C1093" s="1034" t="str">
        <f t="shared" si="265"/>
        <v/>
      </c>
      <c r="D1093" s="1035"/>
      <c r="E1093" s="1035"/>
      <c r="F1093" s="1034" t="str">
        <f t="shared" si="266"/>
        <v/>
      </c>
      <c r="G1093" s="1033"/>
      <c r="H1093" s="1033"/>
      <c r="I1093" s="1034" t="str">
        <f t="shared" si="267"/>
        <v/>
      </c>
      <c r="J1093" s="1033"/>
      <c r="K1093" s="1033"/>
      <c r="L1093" s="1034" t="str">
        <f t="shared" si="268"/>
        <v/>
      </c>
      <c r="M1093" s="1035"/>
      <c r="N1093" s="1035"/>
      <c r="O1093" s="1036" t="str">
        <f t="shared" si="269"/>
        <v/>
      </c>
      <c r="P1093" s="1033"/>
      <c r="Q1093" s="1033"/>
      <c r="R1093" s="1034" t="str">
        <f t="shared" si="270"/>
        <v/>
      </c>
      <c r="S1093" s="1035"/>
      <c r="T1093" s="1035"/>
      <c r="U1093" s="1034" t="str">
        <f t="shared" si="271"/>
        <v/>
      </c>
      <c r="V1093" s="1035"/>
      <c r="W1093" s="1035"/>
      <c r="X1093" s="1037" t="str">
        <f t="shared" si="272"/>
        <v>4</v>
      </c>
      <c r="Y1093" s="1035"/>
      <c r="Z1093" s="1035">
        <f t="shared" si="252"/>
        <v>4</v>
      </c>
      <c r="AA1093" s="1035"/>
      <c r="AB1093" s="1035"/>
      <c r="AC1093" s="1021">
        <v>410225</v>
      </c>
      <c r="AD1093" s="1021" t="s">
        <v>784</v>
      </c>
      <c r="AE1093" s="1022">
        <f>VLOOKUP(AC1093,[5]Hoja1!$A$10:$K$1393,11,0)</f>
        <v>-26567756</v>
      </c>
      <c r="AF1093" s="1022"/>
      <c r="AG1093" s="1022">
        <f t="shared" si="253"/>
        <v>-26567756</v>
      </c>
      <c r="AH1093" s="1022">
        <f t="shared" si="254"/>
        <v>-26568</v>
      </c>
      <c r="AK1093" s="448"/>
      <c r="AL1093" s="445"/>
    </row>
    <row r="1094" spans="1:38" s="467" customFormat="1" ht="12.75" customHeight="1">
      <c r="A1094" s="1033">
        <v>5313110</v>
      </c>
      <c r="B1094" s="1033" t="s">
        <v>2833</v>
      </c>
      <c r="C1094" s="1034" t="str">
        <f t="shared" si="265"/>
        <v/>
      </c>
      <c r="D1094" s="1035"/>
      <c r="E1094" s="1035"/>
      <c r="F1094" s="1034" t="str">
        <f t="shared" si="266"/>
        <v/>
      </c>
      <c r="G1094" s="1033"/>
      <c r="H1094" s="1033"/>
      <c r="I1094" s="1034" t="str">
        <f t="shared" si="267"/>
        <v/>
      </c>
      <c r="J1094" s="1033"/>
      <c r="K1094" s="1033"/>
      <c r="L1094" s="1034" t="str">
        <f t="shared" si="268"/>
        <v/>
      </c>
      <c r="M1094" s="1035"/>
      <c r="N1094" s="1035"/>
      <c r="O1094" s="1036" t="str">
        <f t="shared" si="269"/>
        <v/>
      </c>
      <c r="P1094" s="1033"/>
      <c r="Q1094" s="1033"/>
      <c r="R1094" s="1034" t="str">
        <f t="shared" si="270"/>
        <v/>
      </c>
      <c r="S1094" s="1035"/>
      <c r="T1094" s="1035"/>
      <c r="U1094" s="1034" t="str">
        <f t="shared" si="271"/>
        <v/>
      </c>
      <c r="V1094" s="1035"/>
      <c r="W1094" s="1035"/>
      <c r="X1094" s="1037" t="str">
        <f t="shared" si="272"/>
        <v>4</v>
      </c>
      <c r="Y1094" s="1035"/>
      <c r="Z1094" s="1035">
        <f t="shared" si="252"/>
        <v>4</v>
      </c>
      <c r="AA1094" s="1035"/>
      <c r="AB1094" s="1035"/>
      <c r="AC1094" s="1021">
        <v>410226</v>
      </c>
      <c r="AD1094" s="1021" t="s">
        <v>242</v>
      </c>
      <c r="AE1094" s="1022">
        <f>VLOOKUP(AC1094,[5]Hoja1!$A$10:$K$1393,11,0)</f>
        <v>0</v>
      </c>
      <c r="AF1094" s="1022"/>
      <c r="AG1094" s="1022">
        <f t="shared" si="253"/>
        <v>0</v>
      </c>
      <c r="AH1094" s="1022">
        <f t="shared" si="254"/>
        <v>0</v>
      </c>
      <c r="AK1094" s="448"/>
      <c r="AL1094" s="445"/>
    </row>
    <row r="1095" spans="1:38" s="467" customFormat="1" ht="12.75" customHeight="1">
      <c r="A1095" s="1033">
        <v>5313120</v>
      </c>
      <c r="B1095" s="1033" t="s">
        <v>2834</v>
      </c>
      <c r="C1095" s="1034" t="str">
        <f t="shared" si="265"/>
        <v/>
      </c>
      <c r="D1095" s="1035"/>
      <c r="E1095" s="1035"/>
      <c r="F1095" s="1034" t="str">
        <f t="shared" si="266"/>
        <v/>
      </c>
      <c r="G1095" s="1033"/>
      <c r="H1095" s="1033"/>
      <c r="I1095" s="1034" t="str">
        <f t="shared" si="267"/>
        <v/>
      </c>
      <c r="J1095" s="1033"/>
      <c r="K1095" s="1033"/>
      <c r="L1095" s="1034" t="str">
        <f t="shared" si="268"/>
        <v/>
      </c>
      <c r="M1095" s="1035"/>
      <c r="N1095" s="1035"/>
      <c r="O1095" s="1036" t="str">
        <f t="shared" si="269"/>
        <v/>
      </c>
      <c r="P1095" s="1033"/>
      <c r="Q1095" s="1033"/>
      <c r="R1095" s="1034" t="str">
        <f t="shared" si="270"/>
        <v/>
      </c>
      <c r="S1095" s="1035"/>
      <c r="T1095" s="1035"/>
      <c r="U1095" s="1034" t="str">
        <f t="shared" si="271"/>
        <v/>
      </c>
      <c r="V1095" s="1035"/>
      <c r="W1095" s="1035"/>
      <c r="X1095" s="1037" t="str">
        <f t="shared" si="272"/>
        <v>4</v>
      </c>
      <c r="Y1095" s="1035"/>
      <c r="Z1095" s="1035">
        <f t="shared" si="252"/>
        <v>4</v>
      </c>
      <c r="AA1095" s="1035"/>
      <c r="AB1095" s="1035"/>
      <c r="AC1095" s="1021">
        <v>410227</v>
      </c>
      <c r="AD1095" s="1021" t="s">
        <v>2295</v>
      </c>
      <c r="AE1095" s="1022">
        <f>VLOOKUP(AC1095,[5]Hoja1!$A$10:$K$1393,11,0)</f>
        <v>-59378283</v>
      </c>
      <c r="AF1095" s="1022"/>
      <c r="AG1095" s="1022">
        <f t="shared" si="253"/>
        <v>-59378283</v>
      </c>
      <c r="AH1095" s="1022">
        <f t="shared" si="254"/>
        <v>-59378</v>
      </c>
      <c r="AK1095" s="448"/>
      <c r="AL1095" s="445"/>
    </row>
    <row r="1096" spans="1:38" s="467" customFormat="1" ht="12.75" customHeight="1">
      <c r="A1096" s="1033">
        <v>5313120</v>
      </c>
      <c r="B1096" s="1033" t="s">
        <v>2834</v>
      </c>
      <c r="C1096" s="1034" t="str">
        <f t="shared" si="265"/>
        <v/>
      </c>
      <c r="D1096" s="1035"/>
      <c r="E1096" s="1035"/>
      <c r="F1096" s="1034" t="str">
        <f t="shared" si="266"/>
        <v/>
      </c>
      <c r="G1096" s="1033"/>
      <c r="H1096" s="1033"/>
      <c r="I1096" s="1034" t="str">
        <f t="shared" si="267"/>
        <v/>
      </c>
      <c r="J1096" s="1033"/>
      <c r="K1096" s="1033"/>
      <c r="L1096" s="1034" t="str">
        <f t="shared" si="268"/>
        <v/>
      </c>
      <c r="M1096" s="1035"/>
      <c r="N1096" s="1035"/>
      <c r="O1096" s="1036" t="str">
        <f t="shared" si="269"/>
        <v/>
      </c>
      <c r="P1096" s="1033"/>
      <c r="Q1096" s="1033"/>
      <c r="R1096" s="1034" t="str">
        <f t="shared" si="270"/>
        <v/>
      </c>
      <c r="S1096" s="1035"/>
      <c r="T1096" s="1035"/>
      <c r="U1096" s="1034" t="str">
        <f t="shared" si="271"/>
        <v/>
      </c>
      <c r="V1096" s="1035"/>
      <c r="W1096" s="1035"/>
      <c r="X1096" s="1037" t="str">
        <f t="shared" si="272"/>
        <v>4</v>
      </c>
      <c r="Y1096" s="1035"/>
      <c r="Z1096" s="1035">
        <f t="shared" si="252"/>
        <v>4</v>
      </c>
      <c r="AA1096" s="1035"/>
      <c r="AB1096" s="1035"/>
      <c r="AC1096" s="1021">
        <v>410228</v>
      </c>
      <c r="AD1096" s="1021" t="s">
        <v>466</v>
      </c>
      <c r="AE1096" s="1022">
        <f>VLOOKUP(AC1096,[5]Hoja1!$A$10:$K$1393,11,0)</f>
        <v>-1286</v>
      </c>
      <c r="AF1096" s="1022"/>
      <c r="AG1096" s="1022">
        <f t="shared" si="253"/>
        <v>-1286</v>
      </c>
      <c r="AH1096" s="1022">
        <f t="shared" si="254"/>
        <v>-1</v>
      </c>
      <c r="AK1096" s="448"/>
      <c r="AL1096" s="445"/>
    </row>
    <row r="1097" spans="1:38" s="467" customFormat="1" ht="12.75" customHeight="1">
      <c r="A1097" s="1033">
        <v>5316200</v>
      </c>
      <c r="B1097" s="1033" t="s">
        <v>2843</v>
      </c>
      <c r="C1097" s="1034" t="str">
        <f t="shared" si="265"/>
        <v/>
      </c>
      <c r="D1097" s="1035"/>
      <c r="E1097" s="1035"/>
      <c r="F1097" s="1034" t="str">
        <f t="shared" si="266"/>
        <v/>
      </c>
      <c r="G1097" s="1033"/>
      <c r="H1097" s="1033"/>
      <c r="I1097" s="1034" t="str">
        <f t="shared" si="267"/>
        <v/>
      </c>
      <c r="J1097" s="1033"/>
      <c r="K1097" s="1033"/>
      <c r="L1097" s="1034" t="str">
        <f t="shared" si="268"/>
        <v/>
      </c>
      <c r="M1097" s="1035"/>
      <c r="N1097" s="1035"/>
      <c r="O1097" s="1036" t="str">
        <f t="shared" si="269"/>
        <v/>
      </c>
      <c r="P1097" s="1033"/>
      <c r="Q1097" s="1033"/>
      <c r="R1097" s="1034" t="str">
        <f t="shared" si="270"/>
        <v/>
      </c>
      <c r="S1097" s="1035"/>
      <c r="T1097" s="1035"/>
      <c r="U1097" s="1034" t="str">
        <f t="shared" si="271"/>
        <v/>
      </c>
      <c r="V1097" s="1035"/>
      <c r="W1097" s="1035"/>
      <c r="X1097" s="1037" t="str">
        <f t="shared" si="272"/>
        <v>4</v>
      </c>
      <c r="Y1097" s="1035"/>
      <c r="Z1097" s="1035">
        <f t="shared" si="252"/>
        <v>4</v>
      </c>
      <c r="AA1097" s="1035"/>
      <c r="AB1097" s="1035"/>
      <c r="AC1097" s="1424">
        <v>410229</v>
      </c>
      <c r="AD1097" s="1021" t="s">
        <v>2296</v>
      </c>
      <c r="AE1097" s="1022">
        <f>VLOOKUP(AC1097,[5]Hoja1!$A$10:$K$1393,11,0)</f>
        <v>-26349129</v>
      </c>
      <c r="AF1097" s="1022"/>
      <c r="AG1097" s="1022">
        <f t="shared" si="253"/>
        <v>-26349129</v>
      </c>
      <c r="AH1097" s="1022">
        <f t="shared" si="254"/>
        <v>-26349</v>
      </c>
      <c r="AK1097" s="448"/>
      <c r="AL1097" s="445"/>
    </row>
    <row r="1098" spans="1:38" s="467" customFormat="1" ht="12.75" customHeight="1">
      <c r="A1098" s="1033">
        <v>5316200</v>
      </c>
      <c r="B1098" s="1033" t="s">
        <v>2843</v>
      </c>
      <c r="C1098" s="1034" t="str">
        <f t="shared" si="265"/>
        <v/>
      </c>
      <c r="D1098" s="1035"/>
      <c r="E1098" s="1035"/>
      <c r="F1098" s="1034" t="str">
        <f t="shared" si="266"/>
        <v/>
      </c>
      <c r="G1098" s="1033"/>
      <c r="H1098" s="1033"/>
      <c r="I1098" s="1034" t="str">
        <f t="shared" si="267"/>
        <v/>
      </c>
      <c r="J1098" s="1033"/>
      <c r="K1098" s="1033"/>
      <c r="L1098" s="1034" t="str">
        <f t="shared" si="268"/>
        <v/>
      </c>
      <c r="M1098" s="1035"/>
      <c r="N1098" s="1035"/>
      <c r="O1098" s="1036" t="str">
        <f t="shared" si="269"/>
        <v/>
      </c>
      <c r="P1098" s="1033"/>
      <c r="Q1098" s="1033"/>
      <c r="R1098" s="1034" t="str">
        <f t="shared" si="270"/>
        <v/>
      </c>
      <c r="S1098" s="1035"/>
      <c r="T1098" s="1035"/>
      <c r="U1098" s="1034" t="str">
        <f t="shared" si="271"/>
        <v/>
      </c>
      <c r="V1098" s="1035"/>
      <c r="W1098" s="1035"/>
      <c r="X1098" s="1037" t="str">
        <f t="shared" si="272"/>
        <v>4</v>
      </c>
      <c r="Y1098" s="1035"/>
      <c r="Z1098" s="1035">
        <f t="shared" si="252"/>
        <v>4</v>
      </c>
      <c r="AA1098" s="1035"/>
      <c r="AB1098" s="1035"/>
      <c r="AC1098" s="1424">
        <v>410230</v>
      </c>
      <c r="AD1098" s="1021" t="s">
        <v>243</v>
      </c>
      <c r="AE1098" s="1022">
        <f>VLOOKUP(AC1098,[5]Hoja1!$A$10:$K$1393,11,0)</f>
        <v>-9105491</v>
      </c>
      <c r="AF1098" s="1022"/>
      <c r="AG1098" s="1022">
        <f t="shared" si="253"/>
        <v>-9105491</v>
      </c>
      <c r="AH1098" s="1022">
        <f t="shared" si="254"/>
        <v>-9105</v>
      </c>
      <c r="AK1098" s="448"/>
      <c r="AL1098" s="445"/>
    </row>
    <row r="1099" spans="1:38" s="467" customFormat="1" ht="12.75" customHeight="1">
      <c r="A1099" s="1033">
        <v>5316200</v>
      </c>
      <c r="B1099" s="1033" t="s">
        <v>2843</v>
      </c>
      <c r="C1099" s="1034" t="str">
        <f t="shared" si="265"/>
        <v/>
      </c>
      <c r="D1099" s="1035"/>
      <c r="E1099" s="1035"/>
      <c r="F1099" s="1034" t="str">
        <f t="shared" si="266"/>
        <v/>
      </c>
      <c r="G1099" s="1033"/>
      <c r="H1099" s="1033"/>
      <c r="I1099" s="1034" t="str">
        <f t="shared" si="267"/>
        <v/>
      </c>
      <c r="J1099" s="1033"/>
      <c r="K1099" s="1033"/>
      <c r="L1099" s="1034" t="str">
        <f t="shared" si="268"/>
        <v/>
      </c>
      <c r="M1099" s="1035"/>
      <c r="N1099" s="1035"/>
      <c r="O1099" s="1036" t="str">
        <f t="shared" si="269"/>
        <v/>
      </c>
      <c r="P1099" s="1033"/>
      <c r="Q1099" s="1033"/>
      <c r="R1099" s="1034" t="str">
        <f t="shared" si="270"/>
        <v/>
      </c>
      <c r="S1099" s="1035"/>
      <c r="T1099" s="1035"/>
      <c r="U1099" s="1034" t="str">
        <f t="shared" si="271"/>
        <v/>
      </c>
      <c r="V1099" s="1035"/>
      <c r="W1099" s="1035"/>
      <c r="X1099" s="1037" t="str">
        <f t="shared" si="272"/>
        <v>4</v>
      </c>
      <c r="Y1099" s="1035"/>
      <c r="Z1099" s="1035">
        <f t="shared" si="252"/>
        <v>4</v>
      </c>
      <c r="AA1099" s="1035"/>
      <c r="AB1099" s="1035"/>
      <c r="AC1099" s="1424">
        <v>410231</v>
      </c>
      <c r="AD1099" s="1021" t="s">
        <v>244</v>
      </c>
      <c r="AE1099" s="1022">
        <f>VLOOKUP(AC1099,[5]Hoja1!$A$10:$K$1393,11,0)</f>
        <v>-120868</v>
      </c>
      <c r="AF1099" s="1022"/>
      <c r="AG1099" s="1022">
        <f t="shared" si="253"/>
        <v>-120868</v>
      </c>
      <c r="AH1099" s="1022">
        <f t="shared" si="254"/>
        <v>-121</v>
      </c>
      <c r="AK1099" s="448"/>
      <c r="AL1099" s="445"/>
    </row>
    <row r="1100" spans="1:38" s="467" customFormat="1" ht="12.75" customHeight="1">
      <c r="A1100" s="1033">
        <v>5316200</v>
      </c>
      <c r="B1100" s="1033" t="s">
        <v>2843</v>
      </c>
      <c r="C1100" s="1034" t="str">
        <f t="shared" si="265"/>
        <v/>
      </c>
      <c r="D1100" s="1035"/>
      <c r="E1100" s="1035"/>
      <c r="F1100" s="1034" t="str">
        <f t="shared" si="266"/>
        <v/>
      </c>
      <c r="G1100" s="1033"/>
      <c r="H1100" s="1033"/>
      <c r="I1100" s="1034" t="str">
        <f t="shared" si="267"/>
        <v/>
      </c>
      <c r="J1100" s="1033"/>
      <c r="K1100" s="1033"/>
      <c r="L1100" s="1034" t="str">
        <f t="shared" si="268"/>
        <v/>
      </c>
      <c r="M1100" s="1035"/>
      <c r="N1100" s="1035"/>
      <c r="O1100" s="1036" t="str">
        <f t="shared" si="269"/>
        <v/>
      </c>
      <c r="P1100" s="1033"/>
      <c r="Q1100" s="1033"/>
      <c r="R1100" s="1034" t="str">
        <f t="shared" si="270"/>
        <v/>
      </c>
      <c r="S1100" s="1035"/>
      <c r="T1100" s="1035"/>
      <c r="U1100" s="1034" t="str">
        <f t="shared" si="271"/>
        <v/>
      </c>
      <c r="V1100" s="1035"/>
      <c r="W1100" s="1035"/>
      <c r="X1100" s="1037" t="str">
        <f t="shared" si="272"/>
        <v>4</v>
      </c>
      <c r="Y1100" s="1035"/>
      <c r="Z1100" s="1035">
        <f t="shared" si="252"/>
        <v>4</v>
      </c>
      <c r="AA1100" s="1035"/>
      <c r="AB1100" s="1035"/>
      <c r="AC1100" s="1424">
        <v>410232</v>
      </c>
      <c r="AD1100" s="1021" t="s">
        <v>245</v>
      </c>
      <c r="AE1100" s="1022">
        <f>VLOOKUP(AC1100,[5]Hoja1!$A$10:$K$1393,11,0)</f>
        <v>-20714464</v>
      </c>
      <c r="AF1100" s="1022"/>
      <c r="AG1100" s="1022">
        <f t="shared" si="253"/>
        <v>-20714464</v>
      </c>
      <c r="AH1100" s="1022">
        <f t="shared" si="254"/>
        <v>-20714</v>
      </c>
      <c r="AK1100" s="448"/>
      <c r="AL1100" s="445"/>
    </row>
    <row r="1101" spans="1:38" s="467" customFormat="1" ht="12.75" customHeight="1">
      <c r="A1101" s="1033">
        <v>5316200</v>
      </c>
      <c r="B1101" s="1033" t="s">
        <v>2843</v>
      </c>
      <c r="C1101" s="1034" t="str">
        <f t="shared" si="265"/>
        <v/>
      </c>
      <c r="D1101" s="1035"/>
      <c r="E1101" s="1035"/>
      <c r="F1101" s="1034" t="str">
        <f t="shared" si="266"/>
        <v/>
      </c>
      <c r="G1101" s="1033"/>
      <c r="H1101" s="1033"/>
      <c r="I1101" s="1034" t="str">
        <f t="shared" si="267"/>
        <v/>
      </c>
      <c r="J1101" s="1033"/>
      <c r="K1101" s="1033"/>
      <c r="L1101" s="1034" t="str">
        <f t="shared" si="268"/>
        <v/>
      </c>
      <c r="M1101" s="1035"/>
      <c r="N1101" s="1035"/>
      <c r="O1101" s="1036" t="str">
        <f t="shared" si="269"/>
        <v/>
      </c>
      <c r="P1101" s="1033"/>
      <c r="Q1101" s="1033"/>
      <c r="R1101" s="1034" t="str">
        <f t="shared" si="270"/>
        <v/>
      </c>
      <c r="S1101" s="1035"/>
      <c r="T1101" s="1035"/>
      <c r="U1101" s="1034" t="str">
        <f t="shared" si="271"/>
        <v/>
      </c>
      <c r="V1101" s="1035"/>
      <c r="W1101" s="1035"/>
      <c r="X1101" s="1037" t="str">
        <f t="shared" si="272"/>
        <v>4</v>
      </c>
      <c r="Y1101" s="1035"/>
      <c r="Z1101" s="1035">
        <f t="shared" si="252"/>
        <v>4</v>
      </c>
      <c r="AA1101" s="1035"/>
      <c r="AB1101" s="1035"/>
      <c r="AC1101" s="1424">
        <v>410233</v>
      </c>
      <c r="AD1101" s="1021" t="s">
        <v>1464</v>
      </c>
      <c r="AE1101" s="1022">
        <f>VLOOKUP(AC1101,[5]Hoja1!$A$10:$K$1393,11,0)</f>
        <v>-20911950</v>
      </c>
      <c r="AF1101" s="1022"/>
      <c r="AG1101" s="1022">
        <f t="shared" si="253"/>
        <v>-20911950</v>
      </c>
      <c r="AH1101" s="1022">
        <f t="shared" si="254"/>
        <v>-20912</v>
      </c>
      <c r="AI1101" s="445"/>
      <c r="AK1101" s="448"/>
      <c r="AL1101" s="445"/>
    </row>
    <row r="1102" spans="1:38" s="467" customFormat="1" ht="12.75" customHeight="1">
      <c r="A1102" s="1033">
        <v>5316200</v>
      </c>
      <c r="B1102" s="1033" t="s">
        <v>2843</v>
      </c>
      <c r="C1102" s="1034" t="str">
        <f t="shared" si="265"/>
        <v/>
      </c>
      <c r="D1102" s="1035"/>
      <c r="E1102" s="1035"/>
      <c r="F1102" s="1034" t="str">
        <f t="shared" si="266"/>
        <v/>
      </c>
      <c r="G1102" s="1033"/>
      <c r="H1102" s="1033"/>
      <c r="I1102" s="1034" t="str">
        <f t="shared" si="267"/>
        <v/>
      </c>
      <c r="J1102" s="1033"/>
      <c r="K1102" s="1033"/>
      <c r="L1102" s="1034" t="str">
        <f t="shared" si="268"/>
        <v/>
      </c>
      <c r="M1102" s="1035"/>
      <c r="N1102" s="1035"/>
      <c r="O1102" s="1036" t="str">
        <f t="shared" si="269"/>
        <v/>
      </c>
      <c r="P1102" s="1033"/>
      <c r="Q1102" s="1033"/>
      <c r="R1102" s="1034" t="str">
        <f t="shared" si="270"/>
        <v/>
      </c>
      <c r="S1102" s="1035"/>
      <c r="T1102" s="1035"/>
      <c r="U1102" s="1034" t="str">
        <f t="shared" si="271"/>
        <v/>
      </c>
      <c r="V1102" s="1035"/>
      <c r="W1102" s="1035"/>
      <c r="X1102" s="1037" t="str">
        <f t="shared" si="272"/>
        <v>4</v>
      </c>
      <c r="Y1102" s="1035"/>
      <c r="Z1102" s="1035">
        <f t="shared" si="252"/>
        <v>4</v>
      </c>
      <c r="AA1102" s="1035"/>
      <c r="AB1102" s="1035"/>
      <c r="AC1102" s="1424">
        <v>410234</v>
      </c>
      <c r="AD1102" s="1021" t="s">
        <v>1465</v>
      </c>
      <c r="AE1102" s="1022">
        <f>VLOOKUP(AC1102,[5]Hoja1!$A$10:$K$1393,11,0)</f>
        <v>-420867262</v>
      </c>
      <c r="AF1102" s="1022"/>
      <c r="AG1102" s="1022">
        <f t="shared" si="253"/>
        <v>-420867262</v>
      </c>
      <c r="AH1102" s="1022">
        <f t="shared" si="254"/>
        <v>-420867</v>
      </c>
      <c r="AK1102" s="448"/>
      <c r="AL1102" s="445"/>
    </row>
    <row r="1103" spans="1:38" s="467" customFormat="1" ht="12.75" customHeight="1">
      <c r="A1103" s="1033">
        <v>5316200</v>
      </c>
      <c r="B1103" s="1033" t="s">
        <v>2843</v>
      </c>
      <c r="C1103" s="1034" t="str">
        <f t="shared" si="265"/>
        <v/>
      </c>
      <c r="D1103" s="1035"/>
      <c r="E1103" s="1035"/>
      <c r="F1103" s="1034" t="str">
        <f t="shared" si="266"/>
        <v/>
      </c>
      <c r="G1103" s="1033"/>
      <c r="H1103" s="1033"/>
      <c r="I1103" s="1034" t="str">
        <f t="shared" si="267"/>
        <v/>
      </c>
      <c r="J1103" s="1033"/>
      <c r="K1103" s="1033"/>
      <c r="L1103" s="1034" t="str">
        <f t="shared" si="268"/>
        <v/>
      </c>
      <c r="M1103" s="1035"/>
      <c r="N1103" s="1035"/>
      <c r="O1103" s="1036" t="str">
        <f t="shared" si="269"/>
        <v/>
      </c>
      <c r="P1103" s="1033"/>
      <c r="Q1103" s="1033"/>
      <c r="R1103" s="1034" t="str">
        <f t="shared" si="270"/>
        <v/>
      </c>
      <c r="S1103" s="1035"/>
      <c r="T1103" s="1035"/>
      <c r="U1103" s="1034" t="str">
        <f t="shared" si="271"/>
        <v/>
      </c>
      <c r="V1103" s="1035"/>
      <c r="W1103" s="1035"/>
      <c r="X1103" s="1037" t="str">
        <f t="shared" si="272"/>
        <v>4</v>
      </c>
      <c r="Y1103" s="1035"/>
      <c r="Z1103" s="1035">
        <f t="shared" si="252"/>
        <v>4</v>
      </c>
      <c r="AA1103" s="1035"/>
      <c r="AB1103" s="1035"/>
      <c r="AC1103" s="1424">
        <v>410235</v>
      </c>
      <c r="AD1103" s="1021" t="s">
        <v>1466</v>
      </c>
      <c r="AE1103" s="1022">
        <f>VLOOKUP(AC1103,[5]Hoja1!$A$10:$K$1393,11,0)</f>
        <v>-4080216</v>
      </c>
      <c r="AF1103" s="1022"/>
      <c r="AG1103" s="1022">
        <f t="shared" si="253"/>
        <v>-4080216</v>
      </c>
      <c r="AH1103" s="1022">
        <f t="shared" si="254"/>
        <v>-4080</v>
      </c>
      <c r="AI1103" s="445"/>
      <c r="AK1103" s="448"/>
      <c r="AL1103" s="445"/>
    </row>
    <row r="1104" spans="1:38" s="467" customFormat="1" ht="12.75" customHeight="1">
      <c r="A1104" s="1033">
        <v>5316200</v>
      </c>
      <c r="B1104" s="1033" t="s">
        <v>2843</v>
      </c>
      <c r="C1104" s="1034" t="str">
        <f t="shared" si="265"/>
        <v/>
      </c>
      <c r="D1104" s="1035"/>
      <c r="E1104" s="1035"/>
      <c r="F1104" s="1034" t="str">
        <f t="shared" si="266"/>
        <v/>
      </c>
      <c r="G1104" s="1033"/>
      <c r="H1104" s="1033"/>
      <c r="I1104" s="1034" t="str">
        <f t="shared" si="267"/>
        <v/>
      </c>
      <c r="J1104" s="1033"/>
      <c r="K1104" s="1033"/>
      <c r="L1104" s="1034" t="str">
        <f t="shared" si="268"/>
        <v/>
      </c>
      <c r="M1104" s="1035"/>
      <c r="N1104" s="1035"/>
      <c r="O1104" s="1036" t="str">
        <f t="shared" si="269"/>
        <v/>
      </c>
      <c r="P1104" s="1033"/>
      <c r="Q1104" s="1033"/>
      <c r="R1104" s="1034" t="str">
        <f t="shared" si="270"/>
        <v/>
      </c>
      <c r="S1104" s="1035"/>
      <c r="T1104" s="1035"/>
      <c r="U1104" s="1034" t="str">
        <f t="shared" si="271"/>
        <v/>
      </c>
      <c r="V1104" s="1035"/>
      <c r="W1104" s="1035"/>
      <c r="X1104" s="1037" t="str">
        <f t="shared" si="272"/>
        <v>4</v>
      </c>
      <c r="Y1104" s="1035"/>
      <c r="Z1104" s="1035">
        <f t="shared" si="252"/>
        <v>4</v>
      </c>
      <c r="AA1104" s="1035"/>
      <c r="AB1104" s="1035"/>
      <c r="AC1104" s="1424">
        <v>410236</v>
      </c>
      <c r="AD1104" s="1021" t="s">
        <v>1467</v>
      </c>
      <c r="AE1104" s="1022">
        <f>VLOOKUP(AC1104,[5]Hoja1!$A$10:$K$1393,11,0)</f>
        <v>-396676976</v>
      </c>
      <c r="AF1104" s="1022"/>
      <c r="AG1104" s="1022">
        <f t="shared" si="253"/>
        <v>-396676976</v>
      </c>
      <c r="AH1104" s="1022">
        <f t="shared" si="254"/>
        <v>-396677</v>
      </c>
      <c r="AK1104" s="448"/>
      <c r="AL1104" s="445"/>
    </row>
    <row r="1105" spans="1:38" s="467" customFormat="1" ht="12.75" customHeight="1">
      <c r="A1105" s="1033">
        <v>5316200</v>
      </c>
      <c r="B1105" s="1033" t="s">
        <v>2843</v>
      </c>
      <c r="C1105" s="1034" t="str">
        <f t="shared" si="265"/>
        <v/>
      </c>
      <c r="D1105" s="1035"/>
      <c r="E1105" s="1035"/>
      <c r="F1105" s="1034" t="str">
        <f t="shared" si="266"/>
        <v/>
      </c>
      <c r="G1105" s="1033"/>
      <c r="H1105" s="1033"/>
      <c r="I1105" s="1034" t="str">
        <f t="shared" si="267"/>
        <v/>
      </c>
      <c r="J1105" s="1033"/>
      <c r="K1105" s="1033"/>
      <c r="L1105" s="1034" t="str">
        <f t="shared" si="268"/>
        <v/>
      </c>
      <c r="M1105" s="1035"/>
      <c r="N1105" s="1035"/>
      <c r="O1105" s="1036" t="str">
        <f t="shared" si="269"/>
        <v/>
      </c>
      <c r="P1105" s="1033"/>
      <c r="Q1105" s="1033"/>
      <c r="R1105" s="1034" t="str">
        <f t="shared" si="270"/>
        <v/>
      </c>
      <c r="S1105" s="1035"/>
      <c r="T1105" s="1035"/>
      <c r="U1105" s="1034" t="str">
        <f t="shared" si="271"/>
        <v/>
      </c>
      <c r="V1105" s="1035"/>
      <c r="W1105" s="1035"/>
      <c r="X1105" s="1037" t="str">
        <f t="shared" si="272"/>
        <v>4</v>
      </c>
      <c r="Y1105" s="1035"/>
      <c r="Z1105" s="1035">
        <f t="shared" si="252"/>
        <v>4</v>
      </c>
      <c r="AA1105" s="1035"/>
      <c r="AB1105" s="1035"/>
      <c r="AC1105" s="1424">
        <v>410237</v>
      </c>
      <c r="AD1105" s="1021" t="s">
        <v>1468</v>
      </c>
      <c r="AE1105" s="1022">
        <f>VLOOKUP(AC1105,[5]Hoja1!$A$10:$K$1393,11,0)</f>
        <v>-33075</v>
      </c>
      <c r="AF1105" s="1022"/>
      <c r="AG1105" s="1022">
        <f t="shared" si="253"/>
        <v>-33075</v>
      </c>
      <c r="AH1105" s="1022">
        <f t="shared" si="254"/>
        <v>-33</v>
      </c>
      <c r="AK1105" s="448"/>
      <c r="AL1105" s="445"/>
    </row>
    <row r="1106" spans="1:38" s="467" customFormat="1" ht="12.75" customHeight="1">
      <c r="A1106" s="1033">
        <v>5316200</v>
      </c>
      <c r="B1106" s="1033" t="s">
        <v>2843</v>
      </c>
      <c r="C1106" s="1034" t="str">
        <f t="shared" si="265"/>
        <v/>
      </c>
      <c r="D1106" s="1035"/>
      <c r="E1106" s="1035"/>
      <c r="F1106" s="1034" t="str">
        <f t="shared" si="266"/>
        <v/>
      </c>
      <c r="G1106" s="1033"/>
      <c r="H1106" s="1033"/>
      <c r="I1106" s="1034" t="str">
        <f t="shared" si="267"/>
        <v/>
      </c>
      <c r="J1106" s="1033"/>
      <c r="K1106" s="1033"/>
      <c r="L1106" s="1034" t="str">
        <f t="shared" si="268"/>
        <v/>
      </c>
      <c r="M1106" s="1035"/>
      <c r="N1106" s="1035"/>
      <c r="O1106" s="1036" t="str">
        <f t="shared" si="269"/>
        <v/>
      </c>
      <c r="P1106" s="1033"/>
      <c r="Q1106" s="1033"/>
      <c r="R1106" s="1034" t="str">
        <f t="shared" si="270"/>
        <v/>
      </c>
      <c r="S1106" s="1035"/>
      <c r="T1106" s="1035"/>
      <c r="U1106" s="1034" t="str">
        <f t="shared" si="271"/>
        <v/>
      </c>
      <c r="V1106" s="1035"/>
      <c r="W1106" s="1035"/>
      <c r="X1106" s="1037" t="str">
        <f t="shared" si="272"/>
        <v>4</v>
      </c>
      <c r="Y1106" s="1035"/>
      <c r="Z1106" s="1035">
        <f t="shared" si="252"/>
        <v>4</v>
      </c>
      <c r="AA1106" s="1035"/>
      <c r="AB1106" s="1035"/>
      <c r="AC1106" s="1424">
        <v>410238</v>
      </c>
      <c r="AD1106" s="1021" t="s">
        <v>2297</v>
      </c>
      <c r="AE1106" s="1022">
        <f>VLOOKUP(AC1106,[5]Hoja1!$A$10:$K$1393,11,0)</f>
        <v>-77256637</v>
      </c>
      <c r="AF1106" s="1022"/>
      <c r="AG1106" s="1022">
        <f t="shared" si="253"/>
        <v>-77256637</v>
      </c>
      <c r="AH1106" s="1022">
        <f t="shared" si="254"/>
        <v>-77257</v>
      </c>
      <c r="AK1106" s="448"/>
      <c r="AL1106" s="445"/>
    </row>
    <row r="1107" spans="1:38" s="467" customFormat="1" ht="12.75" customHeight="1">
      <c r="A1107" s="1033">
        <v>5316200</v>
      </c>
      <c r="B1107" s="1033" t="s">
        <v>2843</v>
      </c>
      <c r="C1107" s="1034" t="str">
        <f t="shared" si="265"/>
        <v/>
      </c>
      <c r="D1107" s="1035"/>
      <c r="E1107" s="1035"/>
      <c r="F1107" s="1034" t="str">
        <f t="shared" si="266"/>
        <v/>
      </c>
      <c r="G1107" s="1033"/>
      <c r="H1107" s="1033"/>
      <c r="I1107" s="1034" t="str">
        <f t="shared" si="267"/>
        <v/>
      </c>
      <c r="J1107" s="1033"/>
      <c r="K1107" s="1033"/>
      <c r="L1107" s="1034" t="str">
        <f t="shared" si="268"/>
        <v/>
      </c>
      <c r="M1107" s="1035"/>
      <c r="N1107" s="1035"/>
      <c r="O1107" s="1036" t="str">
        <f t="shared" si="269"/>
        <v/>
      </c>
      <c r="P1107" s="1033"/>
      <c r="Q1107" s="1033"/>
      <c r="R1107" s="1034" t="str">
        <f t="shared" si="270"/>
        <v/>
      </c>
      <c r="S1107" s="1035"/>
      <c r="T1107" s="1035"/>
      <c r="U1107" s="1034" t="str">
        <f t="shared" si="271"/>
        <v/>
      </c>
      <c r="V1107" s="1035"/>
      <c r="W1107" s="1035"/>
      <c r="X1107" s="1037" t="str">
        <f t="shared" si="272"/>
        <v>4</v>
      </c>
      <c r="Y1107" s="1035"/>
      <c r="Z1107" s="1035">
        <f t="shared" si="252"/>
        <v>4</v>
      </c>
      <c r="AA1107" s="1035"/>
      <c r="AB1107" s="1035"/>
      <c r="AC1107" s="1424">
        <v>410239</v>
      </c>
      <c r="AD1107" s="1021" t="s">
        <v>1469</v>
      </c>
      <c r="AE1107" s="1022">
        <v>0</v>
      </c>
      <c r="AF1107" s="1022"/>
      <c r="AG1107" s="1022">
        <f t="shared" si="253"/>
        <v>0</v>
      </c>
      <c r="AH1107" s="1022">
        <f t="shared" si="254"/>
        <v>0</v>
      </c>
      <c r="AK1107" s="448"/>
      <c r="AL1107" s="445"/>
    </row>
    <row r="1108" spans="1:38" s="467" customFormat="1" ht="12.75" customHeight="1">
      <c r="A1108" s="1033">
        <v>5316200</v>
      </c>
      <c r="B1108" s="1033" t="s">
        <v>2843</v>
      </c>
      <c r="C1108" s="1034" t="str">
        <f t="shared" si="265"/>
        <v/>
      </c>
      <c r="D1108" s="1035"/>
      <c r="E1108" s="1035"/>
      <c r="F1108" s="1034" t="str">
        <f t="shared" si="266"/>
        <v/>
      </c>
      <c r="G1108" s="1033"/>
      <c r="H1108" s="1033"/>
      <c r="I1108" s="1034" t="str">
        <f t="shared" si="267"/>
        <v/>
      </c>
      <c r="J1108" s="1033"/>
      <c r="K1108" s="1033"/>
      <c r="L1108" s="1034" t="str">
        <f t="shared" si="268"/>
        <v/>
      </c>
      <c r="M1108" s="1035"/>
      <c r="N1108" s="1035"/>
      <c r="O1108" s="1036" t="str">
        <f t="shared" si="269"/>
        <v/>
      </c>
      <c r="P1108" s="1033"/>
      <c r="Q1108" s="1033"/>
      <c r="R1108" s="1034" t="str">
        <f t="shared" si="270"/>
        <v/>
      </c>
      <c r="S1108" s="1035"/>
      <c r="T1108" s="1035"/>
      <c r="U1108" s="1034" t="str">
        <f t="shared" si="271"/>
        <v/>
      </c>
      <c r="V1108" s="1035"/>
      <c r="W1108" s="1035"/>
      <c r="X1108" s="1037" t="str">
        <f t="shared" si="272"/>
        <v>4</v>
      </c>
      <c r="Y1108" s="1035"/>
      <c r="Z1108" s="1035">
        <f t="shared" si="252"/>
        <v>4</v>
      </c>
      <c r="AA1108" s="1035"/>
      <c r="AB1108" s="1035"/>
      <c r="AC1108" s="1424">
        <v>410240</v>
      </c>
      <c r="AD1108" s="1021" t="s">
        <v>1470</v>
      </c>
      <c r="AE1108" s="1022">
        <f>VLOOKUP(AC1108,[5]Hoja1!$A$10:$K$1393,11,0)</f>
        <v>-34480867</v>
      </c>
      <c r="AF1108" s="1022"/>
      <c r="AG1108" s="1022">
        <f t="shared" si="253"/>
        <v>-34480867</v>
      </c>
      <c r="AH1108" s="1022">
        <f t="shared" si="254"/>
        <v>-34481</v>
      </c>
      <c r="AK1108" s="448"/>
      <c r="AL1108" s="445"/>
    </row>
    <row r="1109" spans="1:38" s="467" customFormat="1" ht="12.75" customHeight="1">
      <c r="A1109" s="1033">
        <v>5316200</v>
      </c>
      <c r="B1109" s="1033" t="s">
        <v>2843</v>
      </c>
      <c r="C1109" s="1034" t="str">
        <f t="shared" si="265"/>
        <v/>
      </c>
      <c r="D1109" s="1035"/>
      <c r="E1109" s="1035"/>
      <c r="F1109" s="1034" t="str">
        <f t="shared" si="266"/>
        <v/>
      </c>
      <c r="G1109" s="1033"/>
      <c r="H1109" s="1033"/>
      <c r="I1109" s="1034" t="str">
        <f t="shared" si="267"/>
        <v/>
      </c>
      <c r="J1109" s="1033"/>
      <c r="K1109" s="1033"/>
      <c r="L1109" s="1034" t="str">
        <f t="shared" si="268"/>
        <v/>
      </c>
      <c r="M1109" s="1035"/>
      <c r="N1109" s="1035"/>
      <c r="O1109" s="1036" t="str">
        <f t="shared" si="269"/>
        <v/>
      </c>
      <c r="P1109" s="1033"/>
      <c r="Q1109" s="1033"/>
      <c r="R1109" s="1034" t="str">
        <f t="shared" si="270"/>
        <v/>
      </c>
      <c r="S1109" s="1035"/>
      <c r="T1109" s="1035"/>
      <c r="U1109" s="1034" t="str">
        <f t="shared" si="271"/>
        <v/>
      </c>
      <c r="V1109" s="1035"/>
      <c r="W1109" s="1035"/>
      <c r="X1109" s="1037" t="str">
        <f t="shared" si="272"/>
        <v>4</v>
      </c>
      <c r="Y1109" s="1035"/>
      <c r="Z1109" s="1035">
        <f t="shared" si="252"/>
        <v>4</v>
      </c>
      <c r="AA1109" s="1035"/>
      <c r="AB1109" s="1035"/>
      <c r="AC1109" s="1424">
        <v>410241</v>
      </c>
      <c r="AD1109" s="1021" t="s">
        <v>2298</v>
      </c>
      <c r="AE1109" s="1022">
        <v>0</v>
      </c>
      <c r="AF1109" s="1022"/>
      <c r="AG1109" s="1022">
        <f t="shared" si="253"/>
        <v>0</v>
      </c>
      <c r="AH1109" s="1022">
        <f t="shared" si="254"/>
        <v>0</v>
      </c>
      <c r="AJ1109" s="445"/>
      <c r="AK1109" s="448"/>
      <c r="AL1109" s="445"/>
    </row>
    <row r="1110" spans="1:38" s="467" customFormat="1" ht="12.75" customHeight="1">
      <c r="A1110" s="1033">
        <v>5316200</v>
      </c>
      <c r="B1110" s="1033" t="s">
        <v>2843</v>
      </c>
      <c r="C1110" s="1034" t="str">
        <f t="shared" si="265"/>
        <v/>
      </c>
      <c r="D1110" s="1035"/>
      <c r="E1110" s="1035"/>
      <c r="F1110" s="1034" t="str">
        <f t="shared" si="266"/>
        <v/>
      </c>
      <c r="G1110" s="1033"/>
      <c r="H1110" s="1033"/>
      <c r="I1110" s="1034" t="str">
        <f t="shared" si="267"/>
        <v/>
      </c>
      <c r="J1110" s="1033"/>
      <c r="K1110" s="1033"/>
      <c r="L1110" s="1034" t="str">
        <f t="shared" si="268"/>
        <v/>
      </c>
      <c r="M1110" s="1035"/>
      <c r="N1110" s="1035"/>
      <c r="O1110" s="1036" t="str">
        <f t="shared" si="269"/>
        <v/>
      </c>
      <c r="P1110" s="1033"/>
      <c r="Q1110" s="1033"/>
      <c r="R1110" s="1034" t="str">
        <f t="shared" si="270"/>
        <v/>
      </c>
      <c r="S1110" s="1035"/>
      <c r="T1110" s="1035"/>
      <c r="U1110" s="1034" t="str">
        <f t="shared" si="271"/>
        <v/>
      </c>
      <c r="V1110" s="1035"/>
      <c r="W1110" s="1035"/>
      <c r="X1110" s="1037" t="str">
        <f t="shared" si="272"/>
        <v>4</v>
      </c>
      <c r="Y1110" s="1035"/>
      <c r="Z1110" s="1035">
        <f t="shared" si="252"/>
        <v>4</v>
      </c>
      <c r="AA1110" s="1035"/>
      <c r="AB1110" s="1035"/>
      <c r="AC1110" s="1424">
        <v>410242</v>
      </c>
      <c r="AD1110" s="1021" t="s">
        <v>977</v>
      </c>
      <c r="AE1110" s="1022">
        <f>VLOOKUP(AC1110,[5]Hoja1!$A$10:$K$1393,11,0)</f>
        <v>-1510</v>
      </c>
      <c r="AF1110" s="1022"/>
      <c r="AG1110" s="1022">
        <f t="shared" si="253"/>
        <v>-1510</v>
      </c>
      <c r="AH1110" s="1022">
        <f t="shared" si="254"/>
        <v>-2</v>
      </c>
      <c r="AJ1110" s="445"/>
      <c r="AK1110" s="448"/>
      <c r="AL1110" s="445"/>
    </row>
    <row r="1111" spans="1:38" s="467" customFormat="1" ht="12.75" customHeight="1">
      <c r="A1111" s="1033">
        <v>5313120</v>
      </c>
      <c r="B1111" s="1033" t="s">
        <v>2834</v>
      </c>
      <c r="C1111" s="1034" t="str">
        <f t="shared" si="265"/>
        <v/>
      </c>
      <c r="D1111" s="1035"/>
      <c r="E1111" s="1035"/>
      <c r="F1111" s="1034" t="str">
        <f t="shared" si="266"/>
        <v/>
      </c>
      <c r="G1111" s="1033"/>
      <c r="H1111" s="1033"/>
      <c r="I1111" s="1034" t="str">
        <f t="shared" si="267"/>
        <v/>
      </c>
      <c r="J1111" s="1033"/>
      <c r="K1111" s="1033"/>
      <c r="L1111" s="1034" t="str">
        <f t="shared" si="268"/>
        <v/>
      </c>
      <c r="M1111" s="1035"/>
      <c r="N1111" s="1035"/>
      <c r="O1111" s="1036" t="str">
        <f t="shared" si="269"/>
        <v/>
      </c>
      <c r="P1111" s="1033"/>
      <c r="Q1111" s="1033"/>
      <c r="R1111" s="1034" t="str">
        <f t="shared" si="270"/>
        <v/>
      </c>
      <c r="S1111" s="1035"/>
      <c r="T1111" s="1035"/>
      <c r="U1111" s="1034" t="str">
        <f t="shared" si="271"/>
        <v/>
      </c>
      <c r="V1111" s="1035"/>
      <c r="W1111" s="1035"/>
      <c r="X1111" s="1037" t="str">
        <f t="shared" si="272"/>
        <v>4</v>
      </c>
      <c r="Y1111" s="1035"/>
      <c r="Z1111" s="1035">
        <f t="shared" si="252"/>
        <v>4</v>
      </c>
      <c r="AA1111" s="1035"/>
      <c r="AB1111" s="1035"/>
      <c r="AC1111" s="1021">
        <v>410243</v>
      </c>
      <c r="AD1111" s="1021" t="s">
        <v>2299</v>
      </c>
      <c r="AE1111" s="1022">
        <f>VLOOKUP(AC1111,[5]Hoja1!$A$10:$K$1393,11,0)</f>
        <v>-339591058</v>
      </c>
      <c r="AF1111" s="1022"/>
      <c r="AG1111" s="1022">
        <f t="shared" si="253"/>
        <v>-339591058</v>
      </c>
      <c r="AH1111" s="1022">
        <f t="shared" si="254"/>
        <v>-339591</v>
      </c>
      <c r="AJ1111" s="445"/>
      <c r="AK1111" s="448"/>
      <c r="AL1111" s="445"/>
    </row>
    <row r="1112" spans="1:38" s="467" customFormat="1" ht="12.75" customHeight="1">
      <c r="A1112" s="1033">
        <v>5313120</v>
      </c>
      <c r="B1112" s="1033" t="s">
        <v>2834</v>
      </c>
      <c r="C1112" s="1034" t="str">
        <f t="shared" si="265"/>
        <v/>
      </c>
      <c r="D1112" s="1035"/>
      <c r="E1112" s="1035"/>
      <c r="F1112" s="1034" t="str">
        <f t="shared" si="266"/>
        <v/>
      </c>
      <c r="G1112" s="1033"/>
      <c r="H1112" s="1033"/>
      <c r="I1112" s="1034" t="str">
        <f t="shared" si="267"/>
        <v/>
      </c>
      <c r="J1112" s="1033"/>
      <c r="K1112" s="1033"/>
      <c r="L1112" s="1034" t="str">
        <f t="shared" si="268"/>
        <v/>
      </c>
      <c r="M1112" s="1035"/>
      <c r="N1112" s="1035"/>
      <c r="O1112" s="1036" t="str">
        <f t="shared" si="269"/>
        <v/>
      </c>
      <c r="P1112" s="1033"/>
      <c r="Q1112" s="1033"/>
      <c r="R1112" s="1034" t="str">
        <f t="shared" si="270"/>
        <v/>
      </c>
      <c r="S1112" s="1035"/>
      <c r="T1112" s="1035"/>
      <c r="U1112" s="1034" t="str">
        <f t="shared" si="271"/>
        <v/>
      </c>
      <c r="V1112" s="1035"/>
      <c r="W1112" s="1035"/>
      <c r="X1112" s="1037" t="str">
        <f t="shared" si="272"/>
        <v>4</v>
      </c>
      <c r="Y1112" s="1035"/>
      <c r="Z1112" s="1035">
        <f t="shared" si="252"/>
        <v>4</v>
      </c>
      <c r="AA1112" s="1035"/>
      <c r="AB1112" s="1035"/>
      <c r="AC1112" s="1021">
        <v>410244</v>
      </c>
      <c r="AD1112" s="1021" t="s">
        <v>467</v>
      </c>
      <c r="AE1112" s="1022">
        <f>VLOOKUP(AC1112,[5]Hoja1!$A$10:$K$1393,11,0)</f>
        <v>0</v>
      </c>
      <c r="AF1112" s="1022"/>
      <c r="AG1112" s="1022">
        <f t="shared" si="253"/>
        <v>0</v>
      </c>
      <c r="AH1112" s="1022">
        <f t="shared" si="254"/>
        <v>0</v>
      </c>
      <c r="AJ1112" s="445"/>
      <c r="AK1112" s="448"/>
      <c r="AL1112" s="445"/>
    </row>
    <row r="1113" spans="1:38" s="467" customFormat="1" ht="12.75" customHeight="1">
      <c r="A1113" s="1033">
        <v>5313120</v>
      </c>
      <c r="B1113" s="1033" t="s">
        <v>2834</v>
      </c>
      <c r="C1113" s="1034" t="str">
        <f t="shared" si="265"/>
        <v/>
      </c>
      <c r="D1113" s="1035"/>
      <c r="E1113" s="1035"/>
      <c r="F1113" s="1034" t="str">
        <f t="shared" si="266"/>
        <v/>
      </c>
      <c r="G1113" s="1033"/>
      <c r="H1113" s="1033"/>
      <c r="I1113" s="1034" t="str">
        <f t="shared" si="267"/>
        <v/>
      </c>
      <c r="J1113" s="1033"/>
      <c r="K1113" s="1033"/>
      <c r="L1113" s="1034" t="str">
        <f t="shared" si="268"/>
        <v/>
      </c>
      <c r="M1113" s="1035"/>
      <c r="N1113" s="1035"/>
      <c r="O1113" s="1036" t="str">
        <f t="shared" si="269"/>
        <v/>
      </c>
      <c r="P1113" s="1033"/>
      <c r="Q1113" s="1033"/>
      <c r="R1113" s="1034" t="str">
        <f t="shared" si="270"/>
        <v/>
      </c>
      <c r="S1113" s="1035"/>
      <c r="T1113" s="1035"/>
      <c r="U1113" s="1034" t="str">
        <f t="shared" si="271"/>
        <v/>
      </c>
      <c r="V1113" s="1035"/>
      <c r="W1113" s="1035"/>
      <c r="X1113" s="1037" t="str">
        <f t="shared" si="272"/>
        <v>4</v>
      </c>
      <c r="Y1113" s="1035"/>
      <c r="Z1113" s="1035">
        <f t="shared" si="252"/>
        <v>4</v>
      </c>
      <c r="AA1113" s="1035"/>
      <c r="AB1113" s="1035"/>
      <c r="AC1113" s="1021">
        <v>410245</v>
      </c>
      <c r="AD1113" s="1021" t="s">
        <v>468</v>
      </c>
      <c r="AE1113" s="1022">
        <f>VLOOKUP(AC1113,[5]Hoja1!$A$10:$K$1393,11,0)</f>
        <v>-1617973043</v>
      </c>
      <c r="AF1113" s="1022"/>
      <c r="AG1113" s="1022">
        <f t="shared" si="253"/>
        <v>-1617973043</v>
      </c>
      <c r="AH1113" s="1022">
        <f t="shared" si="254"/>
        <v>-1617973</v>
      </c>
      <c r="AJ1113" s="445"/>
      <c r="AK1113" s="448"/>
      <c r="AL1113" s="445"/>
    </row>
    <row r="1114" spans="1:38" s="467" customFormat="1" ht="12.75" customHeight="1">
      <c r="A1114" s="1033">
        <v>5313120</v>
      </c>
      <c r="B1114" s="1033" t="s">
        <v>2834</v>
      </c>
      <c r="C1114" s="1034" t="str">
        <f t="shared" si="265"/>
        <v/>
      </c>
      <c r="D1114" s="1035"/>
      <c r="E1114" s="1035"/>
      <c r="F1114" s="1034" t="str">
        <f t="shared" si="266"/>
        <v/>
      </c>
      <c r="G1114" s="1033"/>
      <c r="H1114" s="1033"/>
      <c r="I1114" s="1034" t="str">
        <f t="shared" si="267"/>
        <v/>
      </c>
      <c r="J1114" s="1033"/>
      <c r="K1114" s="1033"/>
      <c r="L1114" s="1034" t="str">
        <f t="shared" si="268"/>
        <v/>
      </c>
      <c r="M1114" s="1035"/>
      <c r="N1114" s="1035"/>
      <c r="O1114" s="1036" t="str">
        <f t="shared" si="269"/>
        <v/>
      </c>
      <c r="P1114" s="1033"/>
      <c r="Q1114" s="1033"/>
      <c r="R1114" s="1034" t="str">
        <f t="shared" si="270"/>
        <v/>
      </c>
      <c r="S1114" s="1035"/>
      <c r="T1114" s="1035"/>
      <c r="U1114" s="1034" t="str">
        <f t="shared" si="271"/>
        <v/>
      </c>
      <c r="V1114" s="1035"/>
      <c r="W1114" s="1035"/>
      <c r="X1114" s="1037" t="str">
        <f t="shared" si="272"/>
        <v>4</v>
      </c>
      <c r="Y1114" s="1035"/>
      <c r="Z1114" s="1035">
        <f t="shared" si="252"/>
        <v>4</v>
      </c>
      <c r="AA1114" s="1035"/>
      <c r="AB1114" s="1035"/>
      <c r="AC1114" s="1021">
        <v>410246</v>
      </c>
      <c r="AD1114" s="1021" t="s">
        <v>2300</v>
      </c>
      <c r="AE1114" s="1022">
        <f>VLOOKUP(AC1114,[5]Hoja1!$A$10:$K$1393,11,0)</f>
        <v>-10431433</v>
      </c>
      <c r="AF1114" s="1022"/>
      <c r="AG1114" s="1022">
        <f t="shared" si="253"/>
        <v>-10431433</v>
      </c>
      <c r="AH1114" s="1022">
        <f t="shared" si="254"/>
        <v>-10431</v>
      </c>
      <c r="AJ1114" s="445"/>
      <c r="AK1114" s="448"/>
      <c r="AL1114" s="445"/>
    </row>
    <row r="1115" spans="1:38" s="467" customFormat="1" ht="12.75" customHeight="1">
      <c r="A1115" s="1033">
        <v>5313320</v>
      </c>
      <c r="B1115" s="1033" t="s">
        <v>2834</v>
      </c>
      <c r="C1115" s="1034" t="str">
        <f t="shared" si="265"/>
        <v/>
      </c>
      <c r="D1115" s="1035"/>
      <c r="E1115" s="1035"/>
      <c r="F1115" s="1034" t="str">
        <f t="shared" si="266"/>
        <v/>
      </c>
      <c r="G1115" s="1033"/>
      <c r="H1115" s="1033"/>
      <c r="I1115" s="1034" t="str">
        <f t="shared" si="267"/>
        <v/>
      </c>
      <c r="J1115" s="1033"/>
      <c r="K1115" s="1033"/>
      <c r="L1115" s="1034" t="str">
        <f t="shared" si="268"/>
        <v/>
      </c>
      <c r="M1115" s="1035"/>
      <c r="N1115" s="1035"/>
      <c r="O1115" s="1036" t="str">
        <f t="shared" si="269"/>
        <v/>
      </c>
      <c r="P1115" s="1033"/>
      <c r="Q1115" s="1033"/>
      <c r="R1115" s="1034" t="str">
        <f t="shared" si="270"/>
        <v/>
      </c>
      <c r="S1115" s="1035"/>
      <c r="T1115" s="1035"/>
      <c r="U1115" s="1034" t="str">
        <f t="shared" si="271"/>
        <v/>
      </c>
      <c r="V1115" s="1035"/>
      <c r="W1115" s="1035"/>
      <c r="X1115" s="1037" t="str">
        <f t="shared" si="272"/>
        <v>4</v>
      </c>
      <c r="Y1115" s="1035"/>
      <c r="Z1115" s="1035">
        <f t="shared" si="252"/>
        <v>4</v>
      </c>
      <c r="AA1115" s="1035"/>
      <c r="AB1115" s="1035"/>
      <c r="AC1115" s="1021">
        <v>410247</v>
      </c>
      <c r="AD1115" s="1021" t="s">
        <v>2301</v>
      </c>
      <c r="AE1115" s="1022">
        <f>VLOOKUP(AC1115,[5]Hoja1!$A$10:$K$1393,11,0)</f>
        <v>0</v>
      </c>
      <c r="AF1115" s="1022"/>
      <c r="AG1115" s="1022">
        <f t="shared" si="253"/>
        <v>0</v>
      </c>
      <c r="AH1115" s="1022">
        <f t="shared" si="254"/>
        <v>0</v>
      </c>
      <c r="AJ1115" s="445"/>
      <c r="AK1115" s="448"/>
      <c r="AL1115" s="445"/>
    </row>
    <row r="1116" spans="1:38" s="467" customFormat="1" ht="12.75" customHeight="1">
      <c r="A1116" s="1033">
        <v>5313320</v>
      </c>
      <c r="B1116" s="1033" t="s">
        <v>2834</v>
      </c>
      <c r="C1116" s="1034" t="str">
        <f t="shared" si="265"/>
        <v/>
      </c>
      <c r="D1116" s="1035"/>
      <c r="E1116" s="1035"/>
      <c r="F1116" s="1034" t="str">
        <f t="shared" si="266"/>
        <v/>
      </c>
      <c r="G1116" s="1033"/>
      <c r="H1116" s="1033"/>
      <c r="I1116" s="1034" t="str">
        <f t="shared" si="267"/>
        <v/>
      </c>
      <c r="J1116" s="1033"/>
      <c r="K1116" s="1033"/>
      <c r="L1116" s="1034" t="str">
        <f t="shared" si="268"/>
        <v/>
      </c>
      <c r="M1116" s="1035"/>
      <c r="N1116" s="1035"/>
      <c r="O1116" s="1036" t="str">
        <f t="shared" si="269"/>
        <v/>
      </c>
      <c r="P1116" s="1033"/>
      <c r="Q1116" s="1033"/>
      <c r="R1116" s="1034" t="str">
        <f t="shared" si="270"/>
        <v/>
      </c>
      <c r="S1116" s="1035"/>
      <c r="T1116" s="1035"/>
      <c r="U1116" s="1034" t="str">
        <f t="shared" si="271"/>
        <v/>
      </c>
      <c r="V1116" s="1035"/>
      <c r="W1116" s="1035"/>
      <c r="X1116" s="1037" t="str">
        <f t="shared" si="272"/>
        <v>4</v>
      </c>
      <c r="Y1116" s="1035"/>
      <c r="Z1116" s="1035">
        <f t="shared" si="252"/>
        <v>4</v>
      </c>
      <c r="AA1116" s="1035"/>
      <c r="AB1116" s="1035"/>
      <c r="AC1116" s="1021">
        <v>410248</v>
      </c>
      <c r="AD1116" s="1021" t="s">
        <v>469</v>
      </c>
      <c r="AE1116" s="1022">
        <f>VLOOKUP(AC1116,[5]Hoja1!$A$10:$K$1393,11,0)</f>
        <v>40203007</v>
      </c>
      <c r="AF1116" s="1022"/>
      <c r="AG1116" s="1022">
        <f t="shared" si="253"/>
        <v>40203007</v>
      </c>
      <c r="AH1116" s="1022">
        <f t="shared" si="254"/>
        <v>40203</v>
      </c>
      <c r="AK1116" s="448"/>
      <c r="AL1116" s="445"/>
    </row>
    <row r="1117" spans="1:38" s="467" customFormat="1" ht="12.75" customHeight="1">
      <c r="A1117" s="1033">
        <v>5313320</v>
      </c>
      <c r="B1117" s="1033" t="s">
        <v>2834</v>
      </c>
      <c r="C1117" s="1034" t="str">
        <f t="shared" si="265"/>
        <v/>
      </c>
      <c r="D1117" s="1035"/>
      <c r="E1117" s="1035"/>
      <c r="F1117" s="1034" t="str">
        <f t="shared" si="266"/>
        <v/>
      </c>
      <c r="G1117" s="1033"/>
      <c r="H1117" s="1033"/>
      <c r="I1117" s="1034" t="str">
        <f t="shared" si="267"/>
        <v/>
      </c>
      <c r="J1117" s="1033"/>
      <c r="K1117" s="1033"/>
      <c r="L1117" s="1034" t="str">
        <f t="shared" si="268"/>
        <v/>
      </c>
      <c r="M1117" s="1035"/>
      <c r="N1117" s="1035"/>
      <c r="O1117" s="1036" t="str">
        <f t="shared" si="269"/>
        <v/>
      </c>
      <c r="P1117" s="1033"/>
      <c r="Q1117" s="1033"/>
      <c r="R1117" s="1034" t="str">
        <f t="shared" si="270"/>
        <v/>
      </c>
      <c r="S1117" s="1035"/>
      <c r="T1117" s="1035"/>
      <c r="U1117" s="1034" t="str">
        <f t="shared" si="271"/>
        <v/>
      </c>
      <c r="V1117" s="1035"/>
      <c r="W1117" s="1035"/>
      <c r="X1117" s="1037" t="str">
        <f t="shared" si="272"/>
        <v>4</v>
      </c>
      <c r="Y1117" s="1035"/>
      <c r="Z1117" s="1035">
        <f t="shared" ref="Z1117:Z1180" si="273">VALUE(LEFT(AC1117,1))</f>
        <v>4</v>
      </c>
      <c r="AA1117" s="1035"/>
      <c r="AB1117" s="1035"/>
      <c r="AC1117" s="1021">
        <v>410249</v>
      </c>
      <c r="AD1117" s="1021" t="s">
        <v>470</v>
      </c>
      <c r="AE1117" s="1022">
        <f>VLOOKUP(AC1117,[5]Hoja1!$A$10:$K$1393,11,0)</f>
        <v>-411850700</v>
      </c>
      <c r="AF1117" s="1022"/>
      <c r="AG1117" s="1022">
        <f t="shared" ref="AG1117:AG1180" si="274">AE1117+AF1117</f>
        <v>-411850700</v>
      </c>
      <c r="AH1117" s="1022">
        <f t="shared" ref="AH1117:AH1180" si="275">ROUND((AE1117+AF1117)/$AH$2,0)</f>
        <v>-411851</v>
      </c>
      <c r="AK1117" s="448"/>
      <c r="AL1117" s="445"/>
    </row>
    <row r="1118" spans="1:38" s="467" customFormat="1" ht="12.75" customHeight="1">
      <c r="A1118" s="1033">
        <v>5313320</v>
      </c>
      <c r="B1118" s="1033" t="s">
        <v>2834</v>
      </c>
      <c r="C1118" s="1034" t="str">
        <f t="shared" si="265"/>
        <v/>
      </c>
      <c r="D1118" s="1035"/>
      <c r="E1118" s="1035"/>
      <c r="F1118" s="1034" t="str">
        <f t="shared" si="266"/>
        <v/>
      </c>
      <c r="G1118" s="1033"/>
      <c r="H1118" s="1033"/>
      <c r="I1118" s="1034" t="str">
        <f t="shared" si="267"/>
        <v/>
      </c>
      <c r="J1118" s="1033"/>
      <c r="K1118" s="1033"/>
      <c r="L1118" s="1034" t="str">
        <f t="shared" si="268"/>
        <v/>
      </c>
      <c r="M1118" s="1035"/>
      <c r="N1118" s="1035"/>
      <c r="O1118" s="1036" t="str">
        <f t="shared" si="269"/>
        <v/>
      </c>
      <c r="P1118" s="1033"/>
      <c r="Q1118" s="1033"/>
      <c r="R1118" s="1034" t="str">
        <f t="shared" si="270"/>
        <v/>
      </c>
      <c r="S1118" s="1035"/>
      <c r="T1118" s="1035"/>
      <c r="U1118" s="1034" t="str">
        <f t="shared" si="271"/>
        <v/>
      </c>
      <c r="V1118" s="1035"/>
      <c r="W1118" s="1035"/>
      <c r="X1118" s="1037" t="str">
        <f t="shared" si="272"/>
        <v>4</v>
      </c>
      <c r="Y1118" s="1035"/>
      <c r="Z1118" s="1035">
        <f t="shared" si="273"/>
        <v>4</v>
      </c>
      <c r="AA1118" s="1035"/>
      <c r="AB1118" s="1035"/>
      <c r="AC1118" s="1021">
        <v>410250</v>
      </c>
      <c r="AD1118" s="1021" t="s">
        <v>2302</v>
      </c>
      <c r="AE1118" s="1022">
        <f>VLOOKUP(AC1118,[5]Hoja1!$A$10:$K$1393,11,0)</f>
        <v>-130538034</v>
      </c>
      <c r="AF1118" s="1022"/>
      <c r="AG1118" s="1022">
        <f t="shared" si="274"/>
        <v>-130538034</v>
      </c>
      <c r="AH1118" s="1022">
        <f t="shared" si="275"/>
        <v>-130538</v>
      </c>
      <c r="AK1118" s="448"/>
      <c r="AL1118" s="445"/>
    </row>
    <row r="1119" spans="1:38" s="467" customFormat="1" ht="12.75" customHeight="1">
      <c r="A1119" s="1033">
        <v>5316200</v>
      </c>
      <c r="B1119" s="1033" t="s">
        <v>2843</v>
      </c>
      <c r="C1119" s="1034" t="str">
        <f t="shared" si="265"/>
        <v/>
      </c>
      <c r="D1119" s="1035"/>
      <c r="E1119" s="1035"/>
      <c r="F1119" s="1034" t="str">
        <f t="shared" si="266"/>
        <v/>
      </c>
      <c r="G1119" s="1033"/>
      <c r="H1119" s="1033"/>
      <c r="I1119" s="1034" t="str">
        <f t="shared" si="267"/>
        <v/>
      </c>
      <c r="J1119" s="1033"/>
      <c r="K1119" s="1033"/>
      <c r="L1119" s="1034" t="str">
        <f t="shared" si="268"/>
        <v/>
      </c>
      <c r="M1119" s="1035"/>
      <c r="N1119" s="1035"/>
      <c r="O1119" s="1036" t="str">
        <f t="shared" si="269"/>
        <v/>
      </c>
      <c r="P1119" s="1033"/>
      <c r="Q1119" s="1033"/>
      <c r="R1119" s="1034" t="str">
        <f t="shared" si="270"/>
        <v/>
      </c>
      <c r="S1119" s="1035"/>
      <c r="T1119" s="1035"/>
      <c r="U1119" s="1034" t="str">
        <f t="shared" si="271"/>
        <v/>
      </c>
      <c r="V1119" s="1035"/>
      <c r="W1119" s="1035"/>
      <c r="X1119" s="1037" t="str">
        <f t="shared" si="272"/>
        <v>4</v>
      </c>
      <c r="Y1119" s="1035"/>
      <c r="Z1119" s="1035">
        <f t="shared" si="273"/>
        <v>4</v>
      </c>
      <c r="AA1119" s="1035"/>
      <c r="AB1119" s="1035"/>
      <c r="AC1119" s="1424">
        <v>410251</v>
      </c>
      <c r="AD1119" s="1021" t="s">
        <v>3499</v>
      </c>
      <c r="AE1119" s="1022">
        <f>VLOOKUP(AC1119,[5]Hoja1!$A$10:$K$1393,11,0)</f>
        <v>7871470</v>
      </c>
      <c r="AF1119" s="1022"/>
      <c r="AG1119" s="1022">
        <f t="shared" si="274"/>
        <v>7871470</v>
      </c>
      <c r="AH1119" s="1022">
        <f t="shared" si="275"/>
        <v>7871</v>
      </c>
      <c r="AK1119" s="448"/>
      <c r="AL1119" s="445"/>
    </row>
    <row r="1120" spans="1:38" s="467" customFormat="1" ht="12.75" customHeight="1">
      <c r="A1120" s="1033"/>
      <c r="B1120" s="1033"/>
      <c r="C1120" s="1034" t="str">
        <f t="shared" si="265"/>
        <v/>
      </c>
      <c r="D1120" s="1035"/>
      <c r="E1120" s="1035"/>
      <c r="F1120" s="1034" t="str">
        <f t="shared" si="266"/>
        <v/>
      </c>
      <c r="G1120" s="1033"/>
      <c r="H1120" s="1033"/>
      <c r="I1120" s="1034" t="str">
        <f t="shared" si="267"/>
        <v/>
      </c>
      <c r="J1120" s="1033"/>
      <c r="K1120" s="1033"/>
      <c r="L1120" s="1034" t="str">
        <f t="shared" si="268"/>
        <v/>
      </c>
      <c r="M1120" s="1035"/>
      <c r="N1120" s="1035"/>
      <c r="O1120" s="1036" t="str">
        <f t="shared" si="269"/>
        <v/>
      </c>
      <c r="P1120" s="1033"/>
      <c r="Q1120" s="1033"/>
      <c r="R1120" s="1034" t="str">
        <f t="shared" si="270"/>
        <v/>
      </c>
      <c r="S1120" s="1035"/>
      <c r="T1120" s="1035"/>
      <c r="U1120" s="1034" t="str">
        <f t="shared" si="271"/>
        <v/>
      </c>
      <c r="V1120" s="1035"/>
      <c r="W1120" s="1035"/>
      <c r="X1120" s="1037" t="str">
        <f t="shared" si="272"/>
        <v>4</v>
      </c>
      <c r="Y1120" s="1035"/>
      <c r="Z1120" s="1035">
        <f t="shared" si="273"/>
        <v>4</v>
      </c>
      <c r="AA1120" s="1035"/>
      <c r="AB1120" s="1035"/>
      <c r="AC1120" s="1021">
        <v>410252</v>
      </c>
      <c r="AD1120" s="1021" t="s">
        <v>819</v>
      </c>
      <c r="AE1120" s="1022">
        <v>0</v>
      </c>
      <c r="AF1120" s="1022"/>
      <c r="AG1120" s="1022">
        <f t="shared" si="274"/>
        <v>0</v>
      </c>
      <c r="AH1120" s="1022">
        <f t="shared" si="275"/>
        <v>0</v>
      </c>
      <c r="AK1120" s="448"/>
      <c r="AL1120" s="445"/>
    </row>
    <row r="1121" spans="1:38" s="467" customFormat="1" ht="12.75" customHeight="1">
      <c r="A1121" s="1033">
        <v>5313320</v>
      </c>
      <c r="B1121" s="1033" t="s">
        <v>2834</v>
      </c>
      <c r="C1121" s="1034" t="str">
        <f t="shared" si="265"/>
        <v/>
      </c>
      <c r="D1121" s="1035"/>
      <c r="E1121" s="1035"/>
      <c r="F1121" s="1034" t="str">
        <f t="shared" si="266"/>
        <v/>
      </c>
      <c r="G1121" s="1033"/>
      <c r="H1121" s="1033"/>
      <c r="I1121" s="1034" t="str">
        <f t="shared" si="267"/>
        <v/>
      </c>
      <c r="J1121" s="1033"/>
      <c r="K1121" s="1033"/>
      <c r="L1121" s="1034" t="str">
        <f t="shared" si="268"/>
        <v/>
      </c>
      <c r="M1121" s="1035"/>
      <c r="N1121" s="1035"/>
      <c r="O1121" s="1036" t="str">
        <f t="shared" si="269"/>
        <v/>
      </c>
      <c r="P1121" s="1033"/>
      <c r="Q1121" s="1033"/>
      <c r="R1121" s="1034" t="str">
        <f t="shared" si="270"/>
        <v/>
      </c>
      <c r="S1121" s="1035"/>
      <c r="T1121" s="1035"/>
      <c r="U1121" s="1034" t="str">
        <f t="shared" si="271"/>
        <v/>
      </c>
      <c r="V1121" s="1035"/>
      <c r="W1121" s="1035"/>
      <c r="X1121" s="1037" t="str">
        <f t="shared" si="272"/>
        <v>4</v>
      </c>
      <c r="Y1121" s="1035"/>
      <c r="Z1121" s="1035">
        <f t="shared" si="273"/>
        <v>4</v>
      </c>
      <c r="AA1121" s="1035"/>
      <c r="AB1121" s="1035"/>
      <c r="AC1121" s="1021">
        <v>410253</v>
      </c>
      <c r="AD1121" s="1021" t="s">
        <v>2304</v>
      </c>
      <c r="AE1121" s="1022">
        <f>VLOOKUP(AC1121,[5]Hoja1!$A$10:$K$1393,11,0)</f>
        <v>0</v>
      </c>
      <c r="AF1121" s="1022"/>
      <c r="AG1121" s="1022">
        <f t="shared" si="274"/>
        <v>0</v>
      </c>
      <c r="AH1121" s="1022">
        <f t="shared" si="275"/>
        <v>0</v>
      </c>
      <c r="AK1121" s="448"/>
      <c r="AL1121" s="445"/>
    </row>
    <row r="1122" spans="1:38" s="467" customFormat="1" ht="12.75" customHeight="1">
      <c r="A1122" s="1033">
        <v>5313320</v>
      </c>
      <c r="B1122" s="1033" t="s">
        <v>2834</v>
      </c>
      <c r="C1122" s="1034" t="str">
        <f t="shared" si="265"/>
        <v/>
      </c>
      <c r="D1122" s="1035"/>
      <c r="E1122" s="1035"/>
      <c r="F1122" s="1034" t="str">
        <f t="shared" si="266"/>
        <v/>
      </c>
      <c r="G1122" s="1033"/>
      <c r="H1122" s="1033"/>
      <c r="I1122" s="1034" t="str">
        <f t="shared" si="267"/>
        <v/>
      </c>
      <c r="J1122" s="1033"/>
      <c r="K1122" s="1033"/>
      <c r="L1122" s="1034" t="str">
        <f t="shared" si="268"/>
        <v/>
      </c>
      <c r="M1122" s="1035"/>
      <c r="N1122" s="1035"/>
      <c r="O1122" s="1036" t="str">
        <f t="shared" si="269"/>
        <v/>
      </c>
      <c r="P1122" s="1033"/>
      <c r="Q1122" s="1033"/>
      <c r="R1122" s="1034" t="str">
        <f t="shared" si="270"/>
        <v/>
      </c>
      <c r="S1122" s="1035"/>
      <c r="T1122" s="1035"/>
      <c r="U1122" s="1034" t="str">
        <f t="shared" si="271"/>
        <v/>
      </c>
      <c r="V1122" s="1035"/>
      <c r="W1122" s="1035"/>
      <c r="X1122" s="1037" t="str">
        <f t="shared" si="272"/>
        <v>4</v>
      </c>
      <c r="Y1122" s="1035"/>
      <c r="Z1122" s="1035">
        <f t="shared" si="273"/>
        <v>4</v>
      </c>
      <c r="AA1122" s="1035"/>
      <c r="AB1122" s="1035"/>
      <c r="AC1122" s="1021">
        <v>410254</v>
      </c>
      <c r="AD1122" s="1021" t="s">
        <v>2305</v>
      </c>
      <c r="AE1122" s="1022">
        <f>VLOOKUP(AC1122,[5]Hoja1!$A$10:$K$1393,11,0)</f>
        <v>608393667</v>
      </c>
      <c r="AF1122" s="1022"/>
      <c r="AG1122" s="1022">
        <f t="shared" si="274"/>
        <v>608393667</v>
      </c>
      <c r="AH1122" s="1022">
        <f t="shared" si="275"/>
        <v>608394</v>
      </c>
      <c r="AK1122" s="448"/>
      <c r="AL1122" s="445"/>
    </row>
    <row r="1123" spans="1:38" s="467" customFormat="1" ht="12.75" customHeight="1">
      <c r="A1123" s="1033">
        <v>5313320</v>
      </c>
      <c r="B1123" s="1033" t="s">
        <v>2834</v>
      </c>
      <c r="C1123" s="1034" t="str">
        <f t="shared" si="265"/>
        <v/>
      </c>
      <c r="D1123" s="1035"/>
      <c r="E1123" s="1035"/>
      <c r="F1123" s="1034" t="str">
        <f t="shared" si="266"/>
        <v/>
      </c>
      <c r="G1123" s="1033"/>
      <c r="H1123" s="1033"/>
      <c r="I1123" s="1034" t="str">
        <f t="shared" si="267"/>
        <v/>
      </c>
      <c r="J1123" s="1033"/>
      <c r="K1123" s="1033"/>
      <c r="L1123" s="1034" t="str">
        <f t="shared" si="268"/>
        <v/>
      </c>
      <c r="M1123" s="1035"/>
      <c r="N1123" s="1035"/>
      <c r="O1123" s="1036" t="str">
        <f t="shared" si="269"/>
        <v/>
      </c>
      <c r="P1123" s="1033"/>
      <c r="Q1123" s="1033"/>
      <c r="R1123" s="1034" t="str">
        <f t="shared" si="270"/>
        <v/>
      </c>
      <c r="S1123" s="1035"/>
      <c r="T1123" s="1035"/>
      <c r="U1123" s="1034" t="str">
        <f t="shared" si="271"/>
        <v/>
      </c>
      <c r="V1123" s="1035"/>
      <c r="W1123" s="1035"/>
      <c r="X1123" s="1037" t="str">
        <f t="shared" ref="X1123:X1126" si="276">+Y1123&amp;Z1123</f>
        <v>4</v>
      </c>
      <c r="Y1123" s="1035"/>
      <c r="Z1123" s="1035">
        <f t="shared" si="273"/>
        <v>4</v>
      </c>
      <c r="AA1123" s="1035"/>
      <c r="AB1123" s="1035"/>
      <c r="AC1123" s="1021">
        <v>410255</v>
      </c>
      <c r="AD1123" s="1021" t="s">
        <v>2306</v>
      </c>
      <c r="AE1123" s="1022">
        <f>VLOOKUP(AC1123,[5]Hoja1!$A$10:$K$1393,11,0)</f>
        <v>0</v>
      </c>
      <c r="AF1123" s="1022"/>
      <c r="AG1123" s="1022">
        <f t="shared" si="274"/>
        <v>0</v>
      </c>
      <c r="AH1123" s="1022">
        <f t="shared" si="275"/>
        <v>0</v>
      </c>
      <c r="AK1123" s="448"/>
      <c r="AL1123" s="445"/>
    </row>
    <row r="1124" spans="1:38" s="467" customFormat="1" ht="12.75" customHeight="1">
      <c r="A1124" s="1033">
        <v>5313120</v>
      </c>
      <c r="B1124" s="1033" t="s">
        <v>2834</v>
      </c>
      <c r="C1124" s="1034" t="str">
        <f t="shared" si="265"/>
        <v/>
      </c>
      <c r="D1124" s="1035"/>
      <c r="E1124" s="1035"/>
      <c r="F1124" s="1034" t="str">
        <f t="shared" si="266"/>
        <v/>
      </c>
      <c r="G1124" s="1033"/>
      <c r="H1124" s="1033"/>
      <c r="I1124" s="1034" t="str">
        <f t="shared" si="267"/>
        <v/>
      </c>
      <c r="J1124" s="1033"/>
      <c r="K1124" s="1033"/>
      <c r="L1124" s="1034" t="str">
        <f t="shared" si="268"/>
        <v/>
      </c>
      <c r="M1124" s="1035"/>
      <c r="N1124" s="1035"/>
      <c r="O1124" s="1036" t="str">
        <f t="shared" si="269"/>
        <v/>
      </c>
      <c r="P1124" s="1033"/>
      <c r="Q1124" s="1033"/>
      <c r="R1124" s="1034" t="str">
        <f t="shared" si="270"/>
        <v/>
      </c>
      <c r="S1124" s="1035"/>
      <c r="T1124" s="1035"/>
      <c r="U1124" s="1034" t="str">
        <f t="shared" si="271"/>
        <v/>
      </c>
      <c r="V1124" s="1035"/>
      <c r="W1124" s="1035"/>
      <c r="X1124" s="1037" t="str">
        <f t="shared" si="276"/>
        <v>4</v>
      </c>
      <c r="Y1124" s="1035"/>
      <c r="Z1124" s="1035">
        <f t="shared" si="273"/>
        <v>4</v>
      </c>
      <c r="AA1124" s="1035"/>
      <c r="AB1124" s="1035"/>
      <c r="AC1124" s="1021">
        <v>410256</v>
      </c>
      <c r="AD1124" s="1021" t="s">
        <v>203</v>
      </c>
      <c r="AE1124" s="1022">
        <f>VLOOKUP(AC1124,[5]Hoja1!$A$10:$K$1393,11,0)</f>
        <v>0</v>
      </c>
      <c r="AF1124" s="1022"/>
      <c r="AG1124" s="1022">
        <f t="shared" si="274"/>
        <v>0</v>
      </c>
      <c r="AH1124" s="1022">
        <f t="shared" si="275"/>
        <v>0</v>
      </c>
      <c r="AK1124" s="448"/>
      <c r="AL1124" s="445"/>
    </row>
    <row r="1125" spans="1:38" s="467" customFormat="1" ht="12.75" customHeight="1">
      <c r="A1125" s="1033"/>
      <c r="B1125" s="1033"/>
      <c r="C1125" s="1034" t="str">
        <f t="shared" si="265"/>
        <v/>
      </c>
      <c r="D1125" s="1035"/>
      <c r="E1125" s="1035"/>
      <c r="F1125" s="1034" t="str">
        <f t="shared" si="266"/>
        <v/>
      </c>
      <c r="G1125" s="1033"/>
      <c r="H1125" s="1033"/>
      <c r="I1125" s="1034" t="str">
        <f t="shared" si="267"/>
        <v/>
      </c>
      <c r="J1125" s="1033"/>
      <c r="K1125" s="1033"/>
      <c r="L1125" s="1034" t="str">
        <f t="shared" si="268"/>
        <v/>
      </c>
      <c r="M1125" s="1035"/>
      <c r="N1125" s="1035"/>
      <c r="O1125" s="1036" t="str">
        <f t="shared" si="269"/>
        <v/>
      </c>
      <c r="P1125" s="1033"/>
      <c r="Q1125" s="1033"/>
      <c r="R1125" s="1034" t="str">
        <f t="shared" si="270"/>
        <v/>
      </c>
      <c r="S1125" s="1035"/>
      <c r="T1125" s="1035"/>
      <c r="U1125" s="1034" t="str">
        <f t="shared" si="271"/>
        <v/>
      </c>
      <c r="V1125" s="1035"/>
      <c r="W1125" s="1035"/>
      <c r="X1125" s="1037" t="str">
        <f t="shared" si="276"/>
        <v>4</v>
      </c>
      <c r="Y1125" s="1035"/>
      <c r="Z1125" s="1035">
        <f t="shared" si="273"/>
        <v>4</v>
      </c>
      <c r="AA1125" s="1035"/>
      <c r="AB1125" s="1035"/>
      <c r="AC1125" s="1021">
        <v>410257</v>
      </c>
      <c r="AD1125" s="1021" t="s">
        <v>204</v>
      </c>
      <c r="AE1125" s="1022">
        <v>0</v>
      </c>
      <c r="AF1125" s="1022"/>
      <c r="AG1125" s="1022">
        <f t="shared" si="274"/>
        <v>0</v>
      </c>
      <c r="AH1125" s="1022">
        <f t="shared" si="275"/>
        <v>0</v>
      </c>
      <c r="AK1125" s="448"/>
      <c r="AL1125" s="445"/>
    </row>
    <row r="1126" spans="1:38" s="467" customFormat="1" ht="12.75" customHeight="1">
      <c r="A1126" s="1033">
        <v>5316200</v>
      </c>
      <c r="B1126" s="1033" t="s">
        <v>2843</v>
      </c>
      <c r="C1126" s="1034" t="str">
        <f t="shared" si="265"/>
        <v/>
      </c>
      <c r="D1126" s="1035"/>
      <c r="E1126" s="1035"/>
      <c r="F1126" s="1034" t="str">
        <f t="shared" si="266"/>
        <v/>
      </c>
      <c r="G1126" s="1033"/>
      <c r="H1126" s="1033"/>
      <c r="I1126" s="1034" t="str">
        <f t="shared" si="267"/>
        <v/>
      </c>
      <c r="J1126" s="1033"/>
      <c r="K1126" s="1033"/>
      <c r="L1126" s="1034" t="str">
        <f t="shared" si="268"/>
        <v/>
      </c>
      <c r="M1126" s="1035"/>
      <c r="N1126" s="1035"/>
      <c r="O1126" s="1036" t="str">
        <f t="shared" si="269"/>
        <v/>
      </c>
      <c r="P1126" s="1033"/>
      <c r="Q1126" s="1033"/>
      <c r="R1126" s="1034" t="str">
        <f t="shared" si="270"/>
        <v/>
      </c>
      <c r="S1126" s="1035"/>
      <c r="T1126" s="1035"/>
      <c r="U1126" s="1034" t="str">
        <f t="shared" si="271"/>
        <v/>
      </c>
      <c r="V1126" s="1035"/>
      <c r="W1126" s="1035"/>
      <c r="X1126" s="1037" t="str">
        <f t="shared" si="276"/>
        <v>4</v>
      </c>
      <c r="Y1126" s="1035"/>
      <c r="Z1126" s="1035">
        <f t="shared" si="273"/>
        <v>4</v>
      </c>
      <c r="AA1126" s="1035"/>
      <c r="AB1126" s="1035"/>
      <c r="AC1126" s="1424">
        <v>410258</v>
      </c>
      <c r="AD1126" s="1021" t="s">
        <v>205</v>
      </c>
      <c r="AE1126" s="1022">
        <f>VLOOKUP(AC1126,[5]Hoja1!$A$10:$K$1393,11,0)</f>
        <v>0</v>
      </c>
      <c r="AF1126" s="1022"/>
      <c r="AG1126" s="1022">
        <f t="shared" si="274"/>
        <v>0</v>
      </c>
      <c r="AH1126" s="1022">
        <f t="shared" si="275"/>
        <v>0</v>
      </c>
      <c r="AK1126" s="448"/>
      <c r="AL1126" s="445"/>
    </row>
    <row r="1127" spans="1:38" s="467" customFormat="1" ht="12.75" customHeight="1">
      <c r="A1127" s="1033">
        <v>5313120</v>
      </c>
      <c r="B1127" s="1033" t="s">
        <v>2834</v>
      </c>
      <c r="C1127" s="1034"/>
      <c r="D1127" s="1035"/>
      <c r="E1127" s="1035"/>
      <c r="F1127" s="1034"/>
      <c r="G1127" s="1033"/>
      <c r="H1127" s="1033"/>
      <c r="I1127" s="1034"/>
      <c r="J1127" s="1033"/>
      <c r="K1127" s="1033"/>
      <c r="L1127" s="1034"/>
      <c r="M1127" s="1035"/>
      <c r="N1127" s="1035"/>
      <c r="O1127" s="1036"/>
      <c r="P1127" s="1033"/>
      <c r="Q1127" s="1033"/>
      <c r="R1127" s="1034"/>
      <c r="S1127" s="1035"/>
      <c r="T1127" s="1035"/>
      <c r="U1127" s="1034"/>
      <c r="V1127" s="1035"/>
      <c r="W1127" s="1035"/>
      <c r="X1127" s="1037"/>
      <c r="Y1127" s="1035"/>
      <c r="Z1127" s="1035">
        <f t="shared" si="273"/>
        <v>4</v>
      </c>
      <c r="AA1127" s="1035"/>
      <c r="AB1127" s="1035"/>
      <c r="AC1127" s="1021">
        <v>410259</v>
      </c>
      <c r="AD1127" s="1021" t="s">
        <v>1316</v>
      </c>
      <c r="AE1127" s="1022">
        <f>VLOOKUP(AC1127,[5]Hoja1!$A$10:$K$1393,11,0)</f>
        <v>-150103334</v>
      </c>
      <c r="AF1127" s="1022"/>
      <c r="AG1127" s="1022">
        <f t="shared" si="274"/>
        <v>-150103334</v>
      </c>
      <c r="AH1127" s="1022">
        <f t="shared" si="275"/>
        <v>-150103</v>
      </c>
      <c r="AK1127" s="448"/>
      <c r="AL1127" s="445"/>
    </row>
    <row r="1128" spans="1:38" s="467" customFormat="1" ht="12.75" customHeight="1">
      <c r="A1128" s="1033">
        <v>5313120</v>
      </c>
      <c r="B1128" s="1033" t="s">
        <v>2834</v>
      </c>
      <c r="C1128" s="1034"/>
      <c r="D1128" s="1035"/>
      <c r="E1128" s="1035"/>
      <c r="F1128" s="1034"/>
      <c r="G1128" s="1033"/>
      <c r="H1128" s="1033"/>
      <c r="I1128" s="1034"/>
      <c r="J1128" s="1033"/>
      <c r="K1128" s="1033"/>
      <c r="L1128" s="1034"/>
      <c r="M1128" s="1035"/>
      <c r="N1128" s="1035"/>
      <c r="O1128" s="1036"/>
      <c r="P1128" s="1033"/>
      <c r="Q1128" s="1033"/>
      <c r="R1128" s="1034"/>
      <c r="S1128" s="1035"/>
      <c r="T1128" s="1035"/>
      <c r="U1128" s="1034"/>
      <c r="V1128" s="1035"/>
      <c r="W1128" s="1035"/>
      <c r="X1128" s="1037"/>
      <c r="Y1128" s="1035"/>
      <c r="Z1128" s="1035">
        <f t="shared" si="273"/>
        <v>4</v>
      </c>
      <c r="AA1128" s="1035"/>
      <c r="AB1128" s="1035"/>
      <c r="AC1128" s="1021">
        <v>410260</v>
      </c>
      <c r="AD1128" s="1021" t="s">
        <v>2307</v>
      </c>
      <c r="AE1128" s="1022">
        <f>VLOOKUP(AC1128,[5]Hoja1!$A$10:$K$1393,11,0)</f>
        <v>0</v>
      </c>
      <c r="AF1128" s="1022"/>
      <c r="AG1128" s="1022">
        <f t="shared" si="274"/>
        <v>0</v>
      </c>
      <c r="AH1128" s="1022">
        <f t="shared" si="275"/>
        <v>0</v>
      </c>
      <c r="AK1128" s="448"/>
      <c r="AL1128" s="445"/>
    </row>
    <row r="1129" spans="1:38" s="467" customFormat="1" ht="12.75" customHeight="1">
      <c r="A1129" s="1033">
        <v>5313320</v>
      </c>
      <c r="B1129" s="1033" t="s">
        <v>2834</v>
      </c>
      <c r="C1129" s="1034"/>
      <c r="D1129" s="1035"/>
      <c r="E1129" s="1035"/>
      <c r="F1129" s="1034"/>
      <c r="G1129" s="1033"/>
      <c r="H1129" s="1033"/>
      <c r="I1129" s="1034"/>
      <c r="J1129" s="1033"/>
      <c r="K1129" s="1033"/>
      <c r="L1129" s="1034"/>
      <c r="M1129" s="1035"/>
      <c r="N1129" s="1035"/>
      <c r="O1129" s="1036"/>
      <c r="P1129" s="1033"/>
      <c r="Q1129" s="1033"/>
      <c r="R1129" s="1034"/>
      <c r="S1129" s="1035"/>
      <c r="T1129" s="1035"/>
      <c r="U1129" s="1034"/>
      <c r="V1129" s="1035"/>
      <c r="W1129" s="1035"/>
      <c r="X1129" s="1037"/>
      <c r="Y1129" s="1035"/>
      <c r="Z1129" s="1035">
        <f t="shared" si="273"/>
        <v>4</v>
      </c>
      <c r="AA1129" s="1035"/>
      <c r="AB1129" s="1035"/>
      <c r="AC1129" s="1021">
        <v>410261</v>
      </c>
      <c r="AD1129" s="1021" t="s">
        <v>1259</v>
      </c>
      <c r="AE1129" s="1022">
        <f>VLOOKUP(AC1129,[5]Hoja1!$A$10:$K$1393,11,0)</f>
        <v>0</v>
      </c>
      <c r="AF1129" s="1022"/>
      <c r="AG1129" s="1022">
        <f t="shared" si="274"/>
        <v>0</v>
      </c>
      <c r="AH1129" s="1022">
        <f t="shared" si="275"/>
        <v>0</v>
      </c>
      <c r="AK1129" s="448"/>
      <c r="AL1129" s="445"/>
    </row>
    <row r="1130" spans="1:38" s="467" customFormat="1" ht="12.75" customHeight="1">
      <c r="A1130" s="1033">
        <v>5313320</v>
      </c>
      <c r="B1130" s="1033" t="s">
        <v>2834</v>
      </c>
      <c r="C1130" s="1034"/>
      <c r="D1130" s="1035"/>
      <c r="E1130" s="1035"/>
      <c r="F1130" s="1034"/>
      <c r="G1130" s="1033"/>
      <c r="H1130" s="1033"/>
      <c r="I1130" s="1034"/>
      <c r="J1130" s="1033"/>
      <c r="K1130" s="1033"/>
      <c r="L1130" s="1034"/>
      <c r="M1130" s="1035"/>
      <c r="N1130" s="1035"/>
      <c r="O1130" s="1036"/>
      <c r="P1130" s="1033"/>
      <c r="Q1130" s="1033"/>
      <c r="R1130" s="1034"/>
      <c r="S1130" s="1035"/>
      <c r="T1130" s="1035"/>
      <c r="U1130" s="1034"/>
      <c r="V1130" s="1035"/>
      <c r="W1130" s="1035"/>
      <c r="X1130" s="1037"/>
      <c r="Y1130" s="1035"/>
      <c r="Z1130" s="1035">
        <f t="shared" si="273"/>
        <v>4</v>
      </c>
      <c r="AA1130" s="1035"/>
      <c r="AB1130" s="1035"/>
      <c r="AC1130" s="1021">
        <v>410262</v>
      </c>
      <c r="AD1130" s="1021" t="s">
        <v>1260</v>
      </c>
      <c r="AE1130" s="1022">
        <f>VLOOKUP(AC1130,[5]Hoja1!$A$10:$K$1393,11,0)</f>
        <v>0</v>
      </c>
      <c r="AF1130" s="1022"/>
      <c r="AG1130" s="1022">
        <f t="shared" si="274"/>
        <v>0</v>
      </c>
      <c r="AH1130" s="1022">
        <f t="shared" si="275"/>
        <v>0</v>
      </c>
      <c r="AK1130" s="448"/>
      <c r="AL1130" s="445"/>
    </row>
    <row r="1131" spans="1:38" s="467" customFormat="1" ht="12.75" customHeight="1">
      <c r="A1131" s="1033"/>
      <c r="B1131" s="1033"/>
      <c r="C1131" s="1034"/>
      <c r="D1131" s="1035"/>
      <c r="E1131" s="1035"/>
      <c r="F1131" s="1034"/>
      <c r="G1131" s="1033"/>
      <c r="H1131" s="1033"/>
      <c r="I1131" s="1034"/>
      <c r="J1131" s="1033"/>
      <c r="K1131" s="1033"/>
      <c r="L1131" s="1034"/>
      <c r="M1131" s="1035"/>
      <c r="N1131" s="1035"/>
      <c r="O1131" s="1036"/>
      <c r="P1131" s="1033"/>
      <c r="Q1131" s="1033"/>
      <c r="R1131" s="1034"/>
      <c r="S1131" s="1035"/>
      <c r="T1131" s="1035"/>
      <c r="U1131" s="1034"/>
      <c r="V1131" s="1035"/>
      <c r="W1131" s="1035"/>
      <c r="X1131" s="1037"/>
      <c r="Y1131" s="1035"/>
      <c r="Z1131" s="1035">
        <f t="shared" si="273"/>
        <v>4</v>
      </c>
      <c r="AA1131" s="1035"/>
      <c r="AB1131" s="1035"/>
      <c r="AC1131" s="1021">
        <v>410263</v>
      </c>
      <c r="AD1131" s="1021" t="s">
        <v>1261</v>
      </c>
      <c r="AE1131" s="1022">
        <v>0</v>
      </c>
      <c r="AF1131" s="1022"/>
      <c r="AG1131" s="1022">
        <f t="shared" si="274"/>
        <v>0</v>
      </c>
      <c r="AH1131" s="1022">
        <f t="shared" si="275"/>
        <v>0</v>
      </c>
      <c r="AK1131" s="448"/>
      <c r="AL1131" s="445"/>
    </row>
    <row r="1132" spans="1:38" s="467" customFormat="1" ht="12.75" customHeight="1">
      <c r="A1132" s="1033">
        <v>5313320</v>
      </c>
      <c r="B1132" s="1033" t="s">
        <v>2834</v>
      </c>
      <c r="C1132" s="1034"/>
      <c r="D1132" s="1035"/>
      <c r="E1132" s="1035"/>
      <c r="F1132" s="1034"/>
      <c r="G1132" s="1033"/>
      <c r="H1132" s="1033"/>
      <c r="I1132" s="1034"/>
      <c r="J1132" s="1033"/>
      <c r="K1132" s="1033"/>
      <c r="L1132" s="1034"/>
      <c r="M1132" s="1035"/>
      <c r="N1132" s="1035"/>
      <c r="O1132" s="1036"/>
      <c r="P1132" s="1033"/>
      <c r="Q1132" s="1033"/>
      <c r="R1132" s="1034"/>
      <c r="S1132" s="1035"/>
      <c r="T1132" s="1035"/>
      <c r="U1132" s="1034"/>
      <c r="V1132" s="1035"/>
      <c r="W1132" s="1035"/>
      <c r="X1132" s="1037"/>
      <c r="Y1132" s="1035"/>
      <c r="Z1132" s="1035">
        <f t="shared" si="273"/>
        <v>4</v>
      </c>
      <c r="AA1132" s="1035"/>
      <c r="AB1132" s="1035"/>
      <c r="AC1132" s="1021">
        <v>410264</v>
      </c>
      <c r="AD1132" s="1021" t="s">
        <v>2308</v>
      </c>
      <c r="AE1132" s="1022">
        <f>VLOOKUP(AC1132,[5]Hoja1!$A$10:$K$1393,11,0)</f>
        <v>0</v>
      </c>
      <c r="AF1132" s="1022"/>
      <c r="AG1132" s="1022">
        <f t="shared" si="274"/>
        <v>0</v>
      </c>
      <c r="AH1132" s="1022">
        <f t="shared" si="275"/>
        <v>0</v>
      </c>
      <c r="AK1132" s="448"/>
      <c r="AL1132" s="445"/>
    </row>
    <row r="1133" spans="1:38" s="467" customFormat="1" ht="12.75" customHeight="1">
      <c r="A1133" s="1033">
        <v>5313320</v>
      </c>
      <c r="B1133" s="1033" t="s">
        <v>2834</v>
      </c>
      <c r="C1133" s="1034"/>
      <c r="D1133" s="1035"/>
      <c r="E1133" s="1035"/>
      <c r="F1133" s="1034"/>
      <c r="G1133" s="1033"/>
      <c r="H1133" s="1033"/>
      <c r="I1133" s="1034"/>
      <c r="J1133" s="1033"/>
      <c r="K1133" s="1033"/>
      <c r="L1133" s="1034"/>
      <c r="M1133" s="1035"/>
      <c r="N1133" s="1035"/>
      <c r="O1133" s="1036"/>
      <c r="P1133" s="1033"/>
      <c r="Q1133" s="1033"/>
      <c r="R1133" s="1034"/>
      <c r="S1133" s="1035"/>
      <c r="T1133" s="1035"/>
      <c r="U1133" s="1034"/>
      <c r="V1133" s="1035"/>
      <c r="W1133" s="1035"/>
      <c r="X1133" s="1037"/>
      <c r="Y1133" s="1035"/>
      <c r="Z1133" s="1035">
        <f t="shared" si="273"/>
        <v>4</v>
      </c>
      <c r="AA1133" s="1035"/>
      <c r="AB1133" s="1035"/>
      <c r="AC1133" s="1021">
        <v>410265</v>
      </c>
      <c r="AD1133" s="1021" t="s">
        <v>1262</v>
      </c>
      <c r="AE1133" s="1022">
        <f>VLOOKUP(AC1133,[5]Hoja1!$A$10:$K$1393,11,0)</f>
        <v>0</v>
      </c>
      <c r="AF1133" s="1022"/>
      <c r="AG1133" s="1022">
        <f t="shared" si="274"/>
        <v>0</v>
      </c>
      <c r="AH1133" s="1022">
        <f t="shared" si="275"/>
        <v>0</v>
      </c>
      <c r="AK1133" s="448"/>
      <c r="AL1133" s="445"/>
    </row>
    <row r="1134" spans="1:38" s="467" customFormat="1" ht="12.75" customHeight="1">
      <c r="A1134" s="1033">
        <v>5313120</v>
      </c>
      <c r="B1134" s="1033" t="s">
        <v>2834</v>
      </c>
      <c r="C1134" s="1034"/>
      <c r="D1134" s="1035"/>
      <c r="E1134" s="1035"/>
      <c r="F1134" s="1034"/>
      <c r="G1134" s="1033"/>
      <c r="H1134" s="1033"/>
      <c r="I1134" s="1034"/>
      <c r="J1134" s="1033"/>
      <c r="K1134" s="1033"/>
      <c r="L1134" s="1034"/>
      <c r="M1134" s="1035"/>
      <c r="N1134" s="1035"/>
      <c r="O1134" s="1036"/>
      <c r="P1134" s="1033"/>
      <c r="Q1134" s="1033"/>
      <c r="R1134" s="1034"/>
      <c r="S1134" s="1035"/>
      <c r="T1134" s="1035"/>
      <c r="U1134" s="1034"/>
      <c r="V1134" s="1035"/>
      <c r="W1134" s="1035"/>
      <c r="X1134" s="1037"/>
      <c r="Y1134" s="1035"/>
      <c r="Z1134" s="1035">
        <f t="shared" si="273"/>
        <v>4</v>
      </c>
      <c r="AA1134" s="1035"/>
      <c r="AB1134" s="1035"/>
      <c r="AC1134" s="1021">
        <v>410267</v>
      </c>
      <c r="AD1134" s="1021" t="s">
        <v>2309</v>
      </c>
      <c r="AE1134" s="1022">
        <f>VLOOKUP(AC1134,[5]Hoja1!$A$10:$K$1393,11,0)</f>
        <v>-546726890</v>
      </c>
      <c r="AF1134" s="1022"/>
      <c r="AG1134" s="1022">
        <f t="shared" si="274"/>
        <v>-546726890</v>
      </c>
      <c r="AH1134" s="1022">
        <f t="shared" si="275"/>
        <v>-546727</v>
      </c>
      <c r="AK1134" s="448"/>
      <c r="AL1134" s="445"/>
    </row>
    <row r="1135" spans="1:38" s="467" customFormat="1" ht="12.75" customHeight="1">
      <c r="A1135" s="1033">
        <v>5313320</v>
      </c>
      <c r="B1135" s="1033" t="s">
        <v>2834</v>
      </c>
      <c r="C1135" s="1034"/>
      <c r="D1135" s="1035"/>
      <c r="E1135" s="1035"/>
      <c r="F1135" s="1034"/>
      <c r="G1135" s="1033"/>
      <c r="H1135" s="1033"/>
      <c r="I1135" s="1034"/>
      <c r="J1135" s="1033"/>
      <c r="K1135" s="1033"/>
      <c r="L1135" s="1034"/>
      <c r="M1135" s="1035"/>
      <c r="N1135" s="1035"/>
      <c r="O1135" s="1036"/>
      <c r="P1135" s="1033"/>
      <c r="Q1135" s="1033"/>
      <c r="R1135" s="1034"/>
      <c r="S1135" s="1035"/>
      <c r="T1135" s="1035"/>
      <c r="U1135" s="1034"/>
      <c r="V1135" s="1035"/>
      <c r="W1135" s="1035"/>
      <c r="X1135" s="1037"/>
      <c r="Y1135" s="1035"/>
      <c r="Z1135" s="1035">
        <f t="shared" si="273"/>
        <v>4</v>
      </c>
      <c r="AA1135" s="1035"/>
      <c r="AB1135" s="1035"/>
      <c r="AC1135" s="1021">
        <v>410268</v>
      </c>
      <c r="AD1135" s="1021" t="s">
        <v>1841</v>
      </c>
      <c r="AE1135" s="1022">
        <f>VLOOKUP(AC1135,[5]Hoja1!$A$10:$K$1393,11,0)</f>
        <v>-24994367</v>
      </c>
      <c r="AF1135" s="1022"/>
      <c r="AG1135" s="1022">
        <f t="shared" si="274"/>
        <v>-24994367</v>
      </c>
      <c r="AH1135" s="1022">
        <f t="shared" si="275"/>
        <v>-24994</v>
      </c>
      <c r="AK1135" s="448"/>
      <c r="AL1135" s="445"/>
    </row>
    <row r="1136" spans="1:38" s="467" customFormat="1" ht="12.75" customHeight="1">
      <c r="A1136" s="1033">
        <v>5316200</v>
      </c>
      <c r="B1136" s="1033" t="s">
        <v>2843</v>
      </c>
      <c r="C1136" s="1034"/>
      <c r="D1136" s="1035"/>
      <c r="E1136" s="1035"/>
      <c r="F1136" s="1034"/>
      <c r="G1136" s="1033"/>
      <c r="H1136" s="1033"/>
      <c r="I1136" s="1034"/>
      <c r="J1136" s="1033"/>
      <c r="K1136" s="1033"/>
      <c r="L1136" s="1034"/>
      <c r="M1136" s="1035"/>
      <c r="N1136" s="1035"/>
      <c r="O1136" s="1036"/>
      <c r="P1136" s="1033"/>
      <c r="Q1136" s="1033"/>
      <c r="R1136" s="1034"/>
      <c r="S1136" s="1035"/>
      <c r="T1136" s="1035"/>
      <c r="U1136" s="1034"/>
      <c r="V1136" s="1035"/>
      <c r="W1136" s="1035"/>
      <c r="X1136" s="1037"/>
      <c r="Y1136" s="1035"/>
      <c r="Z1136" s="1035">
        <f t="shared" si="273"/>
        <v>4</v>
      </c>
      <c r="AA1136" s="1035"/>
      <c r="AB1136" s="1035"/>
      <c r="AC1136" s="1424">
        <v>410269</v>
      </c>
      <c r="AD1136" s="1021" t="s">
        <v>2310</v>
      </c>
      <c r="AE1136" s="1022">
        <f>VLOOKUP(AC1136,[5]Hoja1!$A$10:$K$1393,11,0)</f>
        <v>-5045451</v>
      </c>
      <c r="AF1136" s="1022"/>
      <c r="AG1136" s="1022">
        <f t="shared" si="274"/>
        <v>-5045451</v>
      </c>
      <c r="AH1136" s="1022">
        <f t="shared" si="275"/>
        <v>-5045</v>
      </c>
      <c r="AK1136" s="448"/>
      <c r="AL1136" s="445"/>
    </row>
    <row r="1137" spans="1:38" s="467" customFormat="1" ht="12.75" customHeight="1">
      <c r="A1137" s="1033">
        <v>5313320</v>
      </c>
      <c r="B1137" s="1033" t="s">
        <v>2834</v>
      </c>
      <c r="C1137" s="1034"/>
      <c r="D1137" s="1035"/>
      <c r="E1137" s="1035"/>
      <c r="F1137" s="1034"/>
      <c r="G1137" s="1033"/>
      <c r="H1137" s="1033"/>
      <c r="I1137" s="1034"/>
      <c r="J1137" s="1033"/>
      <c r="K1137" s="1033"/>
      <c r="L1137" s="1034"/>
      <c r="M1137" s="1035"/>
      <c r="N1137" s="1035"/>
      <c r="O1137" s="1036"/>
      <c r="P1137" s="1033"/>
      <c r="Q1137" s="1033"/>
      <c r="R1137" s="1034"/>
      <c r="S1137" s="1035"/>
      <c r="T1137" s="1035"/>
      <c r="U1137" s="1034"/>
      <c r="V1137" s="1035"/>
      <c r="W1137" s="1035"/>
      <c r="X1137" s="1037"/>
      <c r="Y1137" s="1035"/>
      <c r="Z1137" s="1035">
        <f t="shared" si="273"/>
        <v>4</v>
      </c>
      <c r="AA1137" s="1035"/>
      <c r="AB1137" s="1035"/>
      <c r="AC1137" s="1021">
        <v>410271</v>
      </c>
      <c r="AD1137" s="1021" t="s">
        <v>1338</v>
      </c>
      <c r="AE1137" s="1022">
        <f>VLOOKUP(AC1137,[5]Hoja1!$A$10:$K$1393,11,0)</f>
        <v>-48407321</v>
      </c>
      <c r="AF1137" s="1022"/>
      <c r="AG1137" s="1022">
        <f t="shared" si="274"/>
        <v>-48407321</v>
      </c>
      <c r="AH1137" s="1022">
        <f t="shared" si="275"/>
        <v>-48407</v>
      </c>
      <c r="AK1137" s="448"/>
      <c r="AL1137" s="445"/>
    </row>
    <row r="1138" spans="1:38" s="467" customFormat="1" ht="12.75" customHeight="1">
      <c r="A1138" s="1033">
        <v>5313320</v>
      </c>
      <c r="B1138" s="1033" t="s">
        <v>2834</v>
      </c>
      <c r="C1138" s="1034"/>
      <c r="D1138" s="1035"/>
      <c r="E1138" s="1035"/>
      <c r="F1138" s="1034"/>
      <c r="G1138" s="1033"/>
      <c r="H1138" s="1033"/>
      <c r="I1138" s="1034"/>
      <c r="J1138" s="1033"/>
      <c r="K1138" s="1033"/>
      <c r="L1138" s="1034"/>
      <c r="M1138" s="1035"/>
      <c r="N1138" s="1035"/>
      <c r="O1138" s="1036"/>
      <c r="P1138" s="1033"/>
      <c r="Q1138" s="1033"/>
      <c r="R1138" s="1034"/>
      <c r="S1138" s="1035"/>
      <c r="T1138" s="1035"/>
      <c r="U1138" s="1034"/>
      <c r="V1138" s="1035"/>
      <c r="W1138" s="1035"/>
      <c r="X1138" s="1037"/>
      <c r="Y1138" s="1035"/>
      <c r="Z1138" s="1035">
        <f t="shared" si="273"/>
        <v>4</v>
      </c>
      <c r="AA1138" s="1035"/>
      <c r="AB1138" s="1035"/>
      <c r="AC1138" s="1021">
        <v>410270</v>
      </c>
      <c r="AD1138" s="1021" t="s">
        <v>2641</v>
      </c>
      <c r="AE1138" s="1022">
        <f>VLOOKUP(AC1138,[5]Hoja1!$A$10:$K$1393,11,0)</f>
        <v>0</v>
      </c>
      <c r="AF1138" s="1022"/>
      <c r="AG1138" s="1022">
        <f t="shared" si="274"/>
        <v>0</v>
      </c>
      <c r="AH1138" s="1022">
        <f t="shared" si="275"/>
        <v>0</v>
      </c>
      <c r="AK1138" s="448"/>
      <c r="AL1138" s="445"/>
    </row>
    <row r="1139" spans="1:38" s="467" customFormat="1" ht="12.75" customHeight="1">
      <c r="A1139" s="1033">
        <v>5313120</v>
      </c>
      <c r="B1139" s="1033" t="s">
        <v>2834</v>
      </c>
      <c r="C1139" s="1034"/>
      <c r="D1139" s="1035"/>
      <c r="E1139" s="1035"/>
      <c r="F1139" s="1034"/>
      <c r="G1139" s="1033"/>
      <c r="H1139" s="1033"/>
      <c r="I1139" s="1034"/>
      <c r="J1139" s="1033"/>
      <c r="K1139" s="1033"/>
      <c r="L1139" s="1034"/>
      <c r="M1139" s="1035"/>
      <c r="N1139" s="1035"/>
      <c r="O1139" s="1036"/>
      <c r="P1139" s="1033"/>
      <c r="Q1139" s="1033"/>
      <c r="R1139" s="1034"/>
      <c r="S1139" s="1035"/>
      <c r="T1139" s="1035"/>
      <c r="U1139" s="1034"/>
      <c r="V1139" s="1035"/>
      <c r="W1139" s="1035"/>
      <c r="X1139" s="1037"/>
      <c r="Y1139" s="1035"/>
      <c r="Z1139" s="1035">
        <f t="shared" si="273"/>
        <v>4</v>
      </c>
      <c r="AA1139" s="1035"/>
      <c r="AB1139" s="1035"/>
      <c r="AC1139" s="1021">
        <v>410272</v>
      </c>
      <c r="AD1139" s="1021" t="s">
        <v>2311</v>
      </c>
      <c r="AE1139" s="1022">
        <f>VLOOKUP(AC1139,[5]Hoja1!$A$10:$K$1393,11,0)</f>
        <v>-14916660</v>
      </c>
      <c r="AF1139" s="1022"/>
      <c r="AG1139" s="1022">
        <f t="shared" si="274"/>
        <v>-14916660</v>
      </c>
      <c r="AH1139" s="1022">
        <f t="shared" si="275"/>
        <v>-14917</v>
      </c>
      <c r="AK1139" s="448"/>
      <c r="AL1139" s="445"/>
    </row>
    <row r="1140" spans="1:38" s="467" customFormat="1" ht="12.75" customHeight="1">
      <c r="A1140" s="1033">
        <v>5316200</v>
      </c>
      <c r="B1140" s="1033" t="s">
        <v>2843</v>
      </c>
      <c r="C1140" s="1034"/>
      <c r="D1140" s="1035"/>
      <c r="E1140" s="1035"/>
      <c r="F1140" s="1034"/>
      <c r="G1140" s="1033"/>
      <c r="H1140" s="1033"/>
      <c r="I1140" s="1034"/>
      <c r="J1140" s="1033"/>
      <c r="K1140" s="1033"/>
      <c r="L1140" s="1034"/>
      <c r="M1140" s="1035"/>
      <c r="N1140" s="1035"/>
      <c r="O1140" s="1036"/>
      <c r="P1140" s="1033"/>
      <c r="Q1140" s="1033"/>
      <c r="R1140" s="1034"/>
      <c r="S1140" s="1035"/>
      <c r="T1140" s="1035"/>
      <c r="U1140" s="1034"/>
      <c r="V1140" s="1035"/>
      <c r="W1140" s="1035"/>
      <c r="X1140" s="1037"/>
      <c r="Y1140" s="1035"/>
      <c r="Z1140" s="1035">
        <f t="shared" si="273"/>
        <v>4</v>
      </c>
      <c r="AA1140" s="1035"/>
      <c r="AB1140" s="1035"/>
      <c r="AC1140" s="1424">
        <v>410273</v>
      </c>
      <c r="AD1140" s="1021" t="s">
        <v>1339</v>
      </c>
      <c r="AE1140" s="1022">
        <f>VLOOKUP(AC1140,[5]Hoja1!$A$10:$K$1393,11,0)</f>
        <v>-20834024</v>
      </c>
      <c r="AF1140" s="1022"/>
      <c r="AG1140" s="1022">
        <f t="shared" si="274"/>
        <v>-20834024</v>
      </c>
      <c r="AH1140" s="1022">
        <f t="shared" si="275"/>
        <v>-20834</v>
      </c>
      <c r="AK1140" s="448"/>
      <c r="AL1140" s="445"/>
    </row>
    <row r="1141" spans="1:38" s="467" customFormat="1" ht="12.75" customHeight="1">
      <c r="A1141" s="1033">
        <v>5313320</v>
      </c>
      <c r="B1141" s="1033" t="s">
        <v>2834</v>
      </c>
      <c r="C1141" s="1034"/>
      <c r="D1141" s="1035"/>
      <c r="E1141" s="1035"/>
      <c r="F1141" s="1034"/>
      <c r="G1141" s="1033"/>
      <c r="H1141" s="1033"/>
      <c r="I1141" s="1034"/>
      <c r="J1141" s="1033"/>
      <c r="K1141" s="1033"/>
      <c r="L1141" s="1034"/>
      <c r="M1141" s="1035"/>
      <c r="N1141" s="1035"/>
      <c r="O1141" s="1036"/>
      <c r="P1141" s="1033"/>
      <c r="Q1141" s="1033"/>
      <c r="R1141" s="1034"/>
      <c r="S1141" s="1035"/>
      <c r="T1141" s="1035"/>
      <c r="U1141" s="1034"/>
      <c r="V1141" s="1035"/>
      <c r="W1141" s="1035"/>
      <c r="X1141" s="1037"/>
      <c r="Y1141" s="1035"/>
      <c r="Z1141" s="1035">
        <f t="shared" si="273"/>
        <v>4</v>
      </c>
      <c r="AA1141" s="1035"/>
      <c r="AB1141" s="1035"/>
      <c r="AC1141" s="1021">
        <v>410274</v>
      </c>
      <c r="AD1141" s="1021" t="s">
        <v>2312</v>
      </c>
      <c r="AE1141" s="1022">
        <f>VLOOKUP(AC1141,[5]Hoja1!$A$10:$K$1393,11,0)</f>
        <v>-48560674</v>
      </c>
      <c r="AF1141" s="1022"/>
      <c r="AG1141" s="1022">
        <f t="shared" si="274"/>
        <v>-48560674</v>
      </c>
      <c r="AH1141" s="1022">
        <f t="shared" si="275"/>
        <v>-48561</v>
      </c>
      <c r="AK1141" s="448"/>
      <c r="AL1141" s="445"/>
    </row>
    <row r="1142" spans="1:38" s="467" customFormat="1" ht="12.75" customHeight="1">
      <c r="A1142" s="1033">
        <v>5313120</v>
      </c>
      <c r="B1142" s="1033" t="s">
        <v>2834</v>
      </c>
      <c r="C1142" s="1034"/>
      <c r="D1142" s="1035"/>
      <c r="E1142" s="1035"/>
      <c r="F1142" s="1034"/>
      <c r="G1142" s="1033"/>
      <c r="H1142" s="1033"/>
      <c r="I1142" s="1034"/>
      <c r="J1142" s="1033"/>
      <c r="K1142" s="1033"/>
      <c r="L1142" s="1034"/>
      <c r="M1142" s="1035"/>
      <c r="N1142" s="1035"/>
      <c r="O1142" s="1036"/>
      <c r="P1142" s="1033"/>
      <c r="Q1142" s="1033"/>
      <c r="R1142" s="1034"/>
      <c r="S1142" s="1035"/>
      <c r="T1142" s="1035"/>
      <c r="U1142" s="1034"/>
      <c r="V1142" s="1035"/>
      <c r="W1142" s="1035"/>
      <c r="X1142" s="1037"/>
      <c r="Y1142" s="1035"/>
      <c r="Z1142" s="1035">
        <f t="shared" si="273"/>
        <v>4</v>
      </c>
      <c r="AA1142" s="1035"/>
      <c r="AB1142" s="1035"/>
      <c r="AC1142" s="1021">
        <v>410275</v>
      </c>
      <c r="AD1142" s="1021" t="s">
        <v>2313</v>
      </c>
      <c r="AE1142" s="1022">
        <f>VLOOKUP(AC1142,[5]Hoja1!$A$10:$K$1393,11,0)</f>
        <v>-32637000</v>
      </c>
      <c r="AF1142" s="1022"/>
      <c r="AG1142" s="1022">
        <f t="shared" si="274"/>
        <v>-32637000</v>
      </c>
      <c r="AH1142" s="1022">
        <f t="shared" si="275"/>
        <v>-32637</v>
      </c>
      <c r="AK1142" s="448"/>
      <c r="AL1142" s="445"/>
    </row>
    <row r="1143" spans="1:38" s="467" customFormat="1" ht="12.75" customHeight="1">
      <c r="A1143" s="1033">
        <v>5316200</v>
      </c>
      <c r="B1143" s="1033" t="s">
        <v>2843</v>
      </c>
      <c r="C1143" s="1034"/>
      <c r="D1143" s="1035"/>
      <c r="E1143" s="1035"/>
      <c r="F1143" s="1034"/>
      <c r="G1143" s="1033"/>
      <c r="H1143" s="1033"/>
      <c r="I1143" s="1034"/>
      <c r="J1143" s="1033"/>
      <c r="K1143" s="1033"/>
      <c r="L1143" s="1034"/>
      <c r="M1143" s="1035"/>
      <c r="N1143" s="1035"/>
      <c r="O1143" s="1036"/>
      <c r="P1143" s="1033"/>
      <c r="Q1143" s="1033"/>
      <c r="R1143" s="1034"/>
      <c r="S1143" s="1035"/>
      <c r="T1143" s="1035"/>
      <c r="U1143" s="1034"/>
      <c r="V1143" s="1035"/>
      <c r="W1143" s="1035"/>
      <c r="X1143" s="1037"/>
      <c r="Y1143" s="1035"/>
      <c r="Z1143" s="1035">
        <f t="shared" si="273"/>
        <v>4</v>
      </c>
      <c r="AA1143" s="1035"/>
      <c r="AB1143" s="1035"/>
      <c r="AC1143" s="1424">
        <v>410276</v>
      </c>
      <c r="AD1143" s="1021" t="s">
        <v>1340</v>
      </c>
      <c r="AE1143" s="1022">
        <f>VLOOKUP(AC1143,[5]Hoja1!$A$10:$K$1393,11,0)</f>
        <v>-40024870</v>
      </c>
      <c r="AF1143" s="1022"/>
      <c r="AG1143" s="1022">
        <f t="shared" si="274"/>
        <v>-40024870</v>
      </c>
      <c r="AH1143" s="1022">
        <f t="shared" si="275"/>
        <v>-40025</v>
      </c>
      <c r="AK1143" s="448"/>
      <c r="AL1143" s="445"/>
    </row>
    <row r="1144" spans="1:38" s="467" customFormat="1" ht="12.75" customHeight="1">
      <c r="A1144" s="1033">
        <v>5313320</v>
      </c>
      <c r="B1144" s="1033" t="s">
        <v>2834</v>
      </c>
      <c r="C1144" s="1034"/>
      <c r="D1144" s="1035"/>
      <c r="E1144" s="1035"/>
      <c r="F1144" s="1034"/>
      <c r="G1144" s="1033"/>
      <c r="H1144" s="1033"/>
      <c r="I1144" s="1034"/>
      <c r="J1144" s="1033"/>
      <c r="K1144" s="1033"/>
      <c r="L1144" s="1034"/>
      <c r="M1144" s="1035"/>
      <c r="N1144" s="1035"/>
      <c r="O1144" s="1036"/>
      <c r="P1144" s="1033"/>
      <c r="Q1144" s="1033"/>
      <c r="R1144" s="1034"/>
      <c r="S1144" s="1035"/>
      <c r="T1144" s="1035"/>
      <c r="U1144" s="1034"/>
      <c r="V1144" s="1035"/>
      <c r="W1144" s="1035"/>
      <c r="X1144" s="1037"/>
      <c r="Y1144" s="1035"/>
      <c r="Z1144" s="1035">
        <f t="shared" si="273"/>
        <v>4</v>
      </c>
      <c r="AA1144" s="1035"/>
      <c r="AB1144" s="1035"/>
      <c r="AC1144" s="1021">
        <v>410277</v>
      </c>
      <c r="AD1144" s="1021" t="s">
        <v>1341</v>
      </c>
      <c r="AE1144" s="1022">
        <f>VLOOKUP(AC1144,[5]Hoja1!$A$10:$K$1393,11,0)</f>
        <v>-4034350722</v>
      </c>
      <c r="AF1144" s="1022"/>
      <c r="AG1144" s="1022">
        <f t="shared" si="274"/>
        <v>-4034350722</v>
      </c>
      <c r="AH1144" s="1022">
        <f t="shared" si="275"/>
        <v>-4034351</v>
      </c>
      <c r="AK1144" s="448"/>
      <c r="AL1144" s="445"/>
    </row>
    <row r="1145" spans="1:38" s="467" customFormat="1" ht="12.75" customHeight="1">
      <c r="A1145" s="1033">
        <v>5313120</v>
      </c>
      <c r="B1145" s="1033" t="s">
        <v>2834</v>
      </c>
      <c r="C1145" s="1034"/>
      <c r="D1145" s="1035"/>
      <c r="E1145" s="1035"/>
      <c r="F1145" s="1034"/>
      <c r="G1145" s="1033"/>
      <c r="H1145" s="1033"/>
      <c r="I1145" s="1034"/>
      <c r="J1145" s="1033"/>
      <c r="K1145" s="1033"/>
      <c r="L1145" s="1034"/>
      <c r="M1145" s="1035"/>
      <c r="N1145" s="1035"/>
      <c r="O1145" s="1036"/>
      <c r="P1145" s="1033"/>
      <c r="Q1145" s="1033"/>
      <c r="R1145" s="1034"/>
      <c r="S1145" s="1035"/>
      <c r="T1145" s="1035"/>
      <c r="U1145" s="1034"/>
      <c r="V1145" s="1035"/>
      <c r="W1145" s="1035"/>
      <c r="X1145" s="1037"/>
      <c r="Y1145" s="1035"/>
      <c r="Z1145" s="1035">
        <f t="shared" si="273"/>
        <v>4</v>
      </c>
      <c r="AA1145" s="1035"/>
      <c r="AB1145" s="1035"/>
      <c r="AC1145" s="1021">
        <v>410278</v>
      </c>
      <c r="AD1145" s="1021" t="s">
        <v>2314</v>
      </c>
      <c r="AE1145" s="1022">
        <f>VLOOKUP(AC1145,[5]Hoja1!$A$10:$K$1393,11,0)</f>
        <v>-418334714</v>
      </c>
      <c r="AF1145" s="1022"/>
      <c r="AG1145" s="1022">
        <f t="shared" si="274"/>
        <v>-418334714</v>
      </c>
      <c r="AH1145" s="1022">
        <f t="shared" si="275"/>
        <v>-418335</v>
      </c>
      <c r="AK1145" s="448"/>
      <c r="AL1145" s="445"/>
    </row>
    <row r="1146" spans="1:38" s="467" customFormat="1" ht="12.75" customHeight="1">
      <c r="A1146" s="1033">
        <v>5316200</v>
      </c>
      <c r="B1146" s="1033" t="s">
        <v>2843</v>
      </c>
      <c r="C1146" s="1034"/>
      <c r="D1146" s="1035"/>
      <c r="E1146" s="1035"/>
      <c r="F1146" s="1034"/>
      <c r="G1146" s="1033"/>
      <c r="H1146" s="1033"/>
      <c r="I1146" s="1034"/>
      <c r="J1146" s="1033"/>
      <c r="K1146" s="1033"/>
      <c r="L1146" s="1034"/>
      <c r="M1146" s="1035"/>
      <c r="N1146" s="1035"/>
      <c r="O1146" s="1036"/>
      <c r="P1146" s="1033"/>
      <c r="Q1146" s="1033"/>
      <c r="R1146" s="1034"/>
      <c r="S1146" s="1035"/>
      <c r="T1146" s="1035"/>
      <c r="U1146" s="1034"/>
      <c r="V1146" s="1035"/>
      <c r="W1146" s="1035"/>
      <c r="X1146" s="1037"/>
      <c r="Y1146" s="1035"/>
      <c r="Z1146" s="1035">
        <f t="shared" si="273"/>
        <v>4</v>
      </c>
      <c r="AA1146" s="1035"/>
      <c r="AB1146" s="1035"/>
      <c r="AC1146" s="1424">
        <v>410279</v>
      </c>
      <c r="AD1146" s="1021" t="s">
        <v>1594</v>
      </c>
      <c r="AE1146" s="1022">
        <f>VLOOKUP(AC1146,[5]Hoja1!$A$10:$K$1393,11,0)</f>
        <v>-172672097</v>
      </c>
      <c r="AF1146" s="1022"/>
      <c r="AG1146" s="1022">
        <f t="shared" si="274"/>
        <v>-172672097</v>
      </c>
      <c r="AH1146" s="1022">
        <f t="shared" si="275"/>
        <v>-172672</v>
      </c>
      <c r="AK1146" s="448"/>
      <c r="AL1146" s="445"/>
    </row>
    <row r="1147" spans="1:38" s="467" customFormat="1" ht="12.75" customHeight="1">
      <c r="A1147" s="1033">
        <v>5313320</v>
      </c>
      <c r="B1147" s="1033" t="s">
        <v>2834</v>
      </c>
      <c r="C1147" s="1034"/>
      <c r="D1147" s="1035"/>
      <c r="E1147" s="1035"/>
      <c r="F1147" s="1034"/>
      <c r="G1147" s="1033"/>
      <c r="H1147" s="1033"/>
      <c r="I1147" s="1034"/>
      <c r="J1147" s="1033"/>
      <c r="K1147" s="1033"/>
      <c r="L1147" s="1034"/>
      <c r="M1147" s="1035"/>
      <c r="N1147" s="1035"/>
      <c r="O1147" s="1036"/>
      <c r="P1147" s="1033"/>
      <c r="Q1147" s="1033"/>
      <c r="R1147" s="1034"/>
      <c r="S1147" s="1035"/>
      <c r="T1147" s="1035"/>
      <c r="U1147" s="1034"/>
      <c r="V1147" s="1035"/>
      <c r="W1147" s="1035"/>
      <c r="X1147" s="1037"/>
      <c r="Y1147" s="1035"/>
      <c r="Z1147" s="1035">
        <f t="shared" si="273"/>
        <v>4</v>
      </c>
      <c r="AA1147" s="1035"/>
      <c r="AB1147" s="1035"/>
      <c r="AC1147" s="1021">
        <v>410280</v>
      </c>
      <c r="AD1147" s="1021" t="s">
        <v>1342</v>
      </c>
      <c r="AE1147" s="1022">
        <f>VLOOKUP(AC1147,[5]Hoja1!$A$10:$K$1393,11,0)</f>
        <v>-344249592</v>
      </c>
      <c r="AF1147" s="1022"/>
      <c r="AG1147" s="1022">
        <f t="shared" si="274"/>
        <v>-344249592</v>
      </c>
      <c r="AH1147" s="1022">
        <f t="shared" si="275"/>
        <v>-344250</v>
      </c>
      <c r="AK1147" s="448"/>
      <c r="AL1147" s="445"/>
    </row>
    <row r="1148" spans="1:38" s="467" customFormat="1" ht="12.75" customHeight="1">
      <c r="A1148" s="1033">
        <v>5313120</v>
      </c>
      <c r="B1148" s="1033" t="s">
        <v>2834</v>
      </c>
      <c r="C1148" s="1034"/>
      <c r="D1148" s="1035"/>
      <c r="E1148" s="1035"/>
      <c r="F1148" s="1034"/>
      <c r="G1148" s="1033"/>
      <c r="H1148" s="1033"/>
      <c r="I1148" s="1034"/>
      <c r="J1148" s="1033"/>
      <c r="K1148" s="1033"/>
      <c r="L1148" s="1034"/>
      <c r="M1148" s="1035"/>
      <c r="N1148" s="1035"/>
      <c r="O1148" s="1036"/>
      <c r="P1148" s="1033"/>
      <c r="Q1148" s="1033"/>
      <c r="R1148" s="1034"/>
      <c r="S1148" s="1035"/>
      <c r="T1148" s="1035"/>
      <c r="U1148" s="1034"/>
      <c r="V1148" s="1035"/>
      <c r="W1148" s="1035"/>
      <c r="X1148" s="1037"/>
      <c r="Y1148" s="1035"/>
      <c r="Z1148" s="1035">
        <f t="shared" si="273"/>
        <v>4</v>
      </c>
      <c r="AA1148" s="1035"/>
      <c r="AB1148" s="1035"/>
      <c r="AC1148" s="1021">
        <v>410281</v>
      </c>
      <c r="AD1148" s="1021" t="s">
        <v>2315</v>
      </c>
      <c r="AE1148" s="1022">
        <f>VLOOKUP(AC1148,[5]Hoja1!$A$10:$K$1393,11,0)</f>
        <v>0</v>
      </c>
      <c r="AF1148" s="1022"/>
      <c r="AG1148" s="1022">
        <f t="shared" si="274"/>
        <v>0</v>
      </c>
      <c r="AH1148" s="1022">
        <f t="shared" si="275"/>
        <v>0</v>
      </c>
      <c r="AK1148" s="448"/>
      <c r="AL1148" s="445"/>
    </row>
    <row r="1149" spans="1:38" s="467" customFormat="1" ht="12.75" customHeight="1">
      <c r="A1149" s="1033">
        <v>5316200</v>
      </c>
      <c r="B1149" s="1033" t="s">
        <v>2843</v>
      </c>
      <c r="C1149" s="1034"/>
      <c r="D1149" s="1035"/>
      <c r="E1149" s="1035"/>
      <c r="F1149" s="1034"/>
      <c r="G1149" s="1033"/>
      <c r="H1149" s="1033"/>
      <c r="I1149" s="1034"/>
      <c r="J1149" s="1033"/>
      <c r="K1149" s="1033"/>
      <c r="L1149" s="1034"/>
      <c r="M1149" s="1035"/>
      <c r="N1149" s="1035"/>
      <c r="O1149" s="1036"/>
      <c r="P1149" s="1033"/>
      <c r="Q1149" s="1033"/>
      <c r="R1149" s="1034"/>
      <c r="S1149" s="1035"/>
      <c r="T1149" s="1035"/>
      <c r="U1149" s="1034"/>
      <c r="V1149" s="1035"/>
      <c r="W1149" s="1035"/>
      <c r="X1149" s="1037"/>
      <c r="Y1149" s="1035"/>
      <c r="Z1149" s="1035">
        <f t="shared" si="273"/>
        <v>4</v>
      </c>
      <c r="AA1149" s="1035"/>
      <c r="AB1149" s="1035"/>
      <c r="AC1149" s="1424">
        <v>410282</v>
      </c>
      <c r="AD1149" s="1021" t="s">
        <v>2316</v>
      </c>
      <c r="AE1149" s="1022">
        <f>VLOOKUP(AC1149,[5]Hoja1!$A$10:$K$1393,11,0)</f>
        <v>0</v>
      </c>
      <c r="AF1149" s="1022"/>
      <c r="AG1149" s="1022">
        <f t="shared" si="274"/>
        <v>0</v>
      </c>
      <c r="AH1149" s="1022">
        <f t="shared" si="275"/>
        <v>0</v>
      </c>
      <c r="AK1149" s="448"/>
      <c r="AL1149" s="445"/>
    </row>
    <row r="1150" spans="1:38" s="467" customFormat="1" ht="12.75" customHeight="1">
      <c r="A1150" s="1033">
        <v>5313320</v>
      </c>
      <c r="B1150" s="1033" t="s">
        <v>2834</v>
      </c>
      <c r="C1150" s="1034"/>
      <c r="D1150" s="1035"/>
      <c r="E1150" s="1035"/>
      <c r="F1150" s="1034"/>
      <c r="G1150" s="1033"/>
      <c r="H1150" s="1033"/>
      <c r="I1150" s="1034"/>
      <c r="J1150" s="1033"/>
      <c r="K1150" s="1033"/>
      <c r="L1150" s="1034"/>
      <c r="M1150" s="1035"/>
      <c r="N1150" s="1035"/>
      <c r="O1150" s="1036"/>
      <c r="P1150" s="1033"/>
      <c r="Q1150" s="1033"/>
      <c r="R1150" s="1034"/>
      <c r="S1150" s="1035"/>
      <c r="T1150" s="1035"/>
      <c r="U1150" s="1034"/>
      <c r="V1150" s="1035"/>
      <c r="W1150" s="1035"/>
      <c r="X1150" s="1037"/>
      <c r="Y1150" s="1035"/>
      <c r="Z1150" s="1035">
        <f t="shared" si="273"/>
        <v>4</v>
      </c>
      <c r="AA1150" s="1035"/>
      <c r="AB1150" s="1035"/>
      <c r="AC1150" s="1021">
        <v>410283</v>
      </c>
      <c r="AD1150" s="1021" t="s">
        <v>383</v>
      </c>
      <c r="AE1150" s="1022">
        <f>VLOOKUP(AC1150,[5]Hoja1!$A$10:$K$1393,11,0)</f>
        <v>-1641625235</v>
      </c>
      <c r="AF1150" s="1022"/>
      <c r="AG1150" s="1022">
        <f t="shared" si="274"/>
        <v>-1641625235</v>
      </c>
      <c r="AH1150" s="1022">
        <f t="shared" si="275"/>
        <v>-1641625</v>
      </c>
      <c r="AK1150" s="448"/>
      <c r="AL1150" s="445"/>
    </row>
    <row r="1151" spans="1:38" s="467" customFormat="1" ht="12.75" customHeight="1">
      <c r="A1151" s="1033">
        <v>5313120</v>
      </c>
      <c r="B1151" s="1033" t="s">
        <v>2834</v>
      </c>
      <c r="C1151" s="1034"/>
      <c r="D1151" s="1035"/>
      <c r="E1151" s="1035"/>
      <c r="F1151" s="1034"/>
      <c r="G1151" s="1033"/>
      <c r="H1151" s="1033"/>
      <c r="I1151" s="1034"/>
      <c r="J1151" s="1033"/>
      <c r="K1151" s="1033"/>
      <c r="L1151" s="1034"/>
      <c r="M1151" s="1035"/>
      <c r="N1151" s="1035"/>
      <c r="O1151" s="1036"/>
      <c r="P1151" s="1033"/>
      <c r="Q1151" s="1033"/>
      <c r="R1151" s="1034"/>
      <c r="S1151" s="1035"/>
      <c r="T1151" s="1035"/>
      <c r="U1151" s="1034"/>
      <c r="V1151" s="1035"/>
      <c r="W1151" s="1035"/>
      <c r="X1151" s="1037"/>
      <c r="Y1151" s="1035"/>
      <c r="Z1151" s="1035">
        <f t="shared" si="273"/>
        <v>4</v>
      </c>
      <c r="AA1151" s="1035"/>
      <c r="AB1151" s="1035"/>
      <c r="AC1151" s="1021">
        <v>410284</v>
      </c>
      <c r="AD1151" s="1021" t="s">
        <v>2317</v>
      </c>
      <c r="AE1151" s="1022">
        <f>VLOOKUP(AC1151,[5]Hoja1!$A$10:$K$1393,11,0)</f>
        <v>-422633605</v>
      </c>
      <c r="AF1151" s="1022"/>
      <c r="AG1151" s="1022">
        <f t="shared" si="274"/>
        <v>-422633605</v>
      </c>
      <c r="AH1151" s="1022">
        <f t="shared" si="275"/>
        <v>-422634</v>
      </c>
      <c r="AK1151" s="448"/>
      <c r="AL1151" s="445"/>
    </row>
    <row r="1152" spans="1:38" s="467" customFormat="1" ht="12.75" customHeight="1">
      <c r="A1152" s="1033">
        <v>5316200</v>
      </c>
      <c r="B1152" s="1033" t="s">
        <v>2843</v>
      </c>
      <c r="C1152" s="1034"/>
      <c r="D1152" s="1035"/>
      <c r="E1152" s="1035"/>
      <c r="F1152" s="1034"/>
      <c r="G1152" s="1033"/>
      <c r="H1152" s="1033"/>
      <c r="I1152" s="1034"/>
      <c r="J1152" s="1033"/>
      <c r="K1152" s="1033"/>
      <c r="L1152" s="1034"/>
      <c r="M1152" s="1035"/>
      <c r="N1152" s="1035"/>
      <c r="O1152" s="1036"/>
      <c r="P1152" s="1033"/>
      <c r="Q1152" s="1033"/>
      <c r="R1152" s="1034"/>
      <c r="S1152" s="1035"/>
      <c r="T1152" s="1035"/>
      <c r="U1152" s="1034"/>
      <c r="V1152" s="1035"/>
      <c r="W1152" s="1035"/>
      <c r="X1152" s="1037"/>
      <c r="Y1152" s="1035"/>
      <c r="Z1152" s="1035">
        <f t="shared" si="273"/>
        <v>4</v>
      </c>
      <c r="AA1152" s="1035"/>
      <c r="AB1152" s="1035"/>
      <c r="AC1152" s="1424">
        <v>410285</v>
      </c>
      <c r="AD1152" s="1021" t="s">
        <v>384</v>
      </c>
      <c r="AE1152" s="1022">
        <f>VLOOKUP(AC1152,[5]Hoja1!$A$10:$K$1393,11,0)</f>
        <v>-167256453</v>
      </c>
      <c r="AF1152" s="1022"/>
      <c r="AG1152" s="1022">
        <f t="shared" si="274"/>
        <v>-167256453</v>
      </c>
      <c r="AH1152" s="1022">
        <f t="shared" si="275"/>
        <v>-167256</v>
      </c>
      <c r="AK1152" s="448"/>
      <c r="AL1152" s="445"/>
    </row>
    <row r="1153" spans="1:38" s="467" customFormat="1" ht="12.75" customHeight="1">
      <c r="A1153" s="1033">
        <v>5313320</v>
      </c>
      <c r="B1153" s="1033" t="s">
        <v>2834</v>
      </c>
      <c r="C1153" s="1034"/>
      <c r="D1153" s="1035"/>
      <c r="E1153" s="1035"/>
      <c r="F1153" s="1034"/>
      <c r="G1153" s="1033"/>
      <c r="H1153" s="1033"/>
      <c r="I1153" s="1034"/>
      <c r="J1153" s="1033"/>
      <c r="K1153" s="1033"/>
      <c r="L1153" s="1034"/>
      <c r="M1153" s="1035"/>
      <c r="N1153" s="1035"/>
      <c r="O1153" s="1036"/>
      <c r="P1153" s="1033"/>
      <c r="Q1153" s="1033"/>
      <c r="R1153" s="1034"/>
      <c r="S1153" s="1035"/>
      <c r="T1153" s="1035"/>
      <c r="U1153" s="1034"/>
      <c r="V1153" s="1035"/>
      <c r="W1153" s="1035"/>
      <c r="X1153" s="1037"/>
      <c r="Y1153" s="1035"/>
      <c r="Z1153" s="1035">
        <f t="shared" si="273"/>
        <v>4</v>
      </c>
      <c r="AA1153" s="1035"/>
      <c r="AB1153" s="1035"/>
      <c r="AC1153" s="1021">
        <v>410286</v>
      </c>
      <c r="AD1153" s="1021" t="s">
        <v>385</v>
      </c>
      <c r="AE1153" s="1022">
        <f>VLOOKUP(AC1153,[5]Hoja1!$A$10:$K$1393,11,0)</f>
        <v>-1026768428</v>
      </c>
      <c r="AF1153" s="1022"/>
      <c r="AG1153" s="1022">
        <f t="shared" si="274"/>
        <v>-1026768428</v>
      </c>
      <c r="AH1153" s="1022">
        <f t="shared" si="275"/>
        <v>-1026768</v>
      </c>
      <c r="AK1153" s="448"/>
      <c r="AL1153" s="445"/>
    </row>
    <row r="1154" spans="1:38" s="467" customFormat="1" ht="12.75" customHeight="1">
      <c r="A1154" s="1033">
        <v>5313120</v>
      </c>
      <c r="B1154" s="1033" t="s">
        <v>2834</v>
      </c>
      <c r="C1154" s="1034"/>
      <c r="D1154" s="1035"/>
      <c r="E1154" s="1035"/>
      <c r="F1154" s="1034"/>
      <c r="G1154" s="1033"/>
      <c r="H1154" s="1033"/>
      <c r="I1154" s="1034"/>
      <c r="J1154" s="1033"/>
      <c r="K1154" s="1033"/>
      <c r="L1154" s="1034"/>
      <c r="M1154" s="1035"/>
      <c r="N1154" s="1035"/>
      <c r="O1154" s="1036"/>
      <c r="P1154" s="1033"/>
      <c r="Q1154" s="1033"/>
      <c r="R1154" s="1034"/>
      <c r="S1154" s="1035"/>
      <c r="T1154" s="1035"/>
      <c r="U1154" s="1034"/>
      <c r="V1154" s="1035"/>
      <c r="W1154" s="1035"/>
      <c r="X1154" s="1037"/>
      <c r="Y1154" s="1035"/>
      <c r="Z1154" s="1035">
        <f t="shared" si="273"/>
        <v>4</v>
      </c>
      <c r="AA1154" s="1035"/>
      <c r="AB1154" s="1035"/>
      <c r="AC1154" s="1021">
        <v>410287</v>
      </c>
      <c r="AD1154" s="1021" t="s">
        <v>2318</v>
      </c>
      <c r="AE1154" s="1022">
        <f>VLOOKUP(AC1154,[5]Hoja1!$A$10:$K$1393,11,0)</f>
        <v>-65299697</v>
      </c>
      <c r="AF1154" s="1022"/>
      <c r="AG1154" s="1022">
        <f t="shared" si="274"/>
        <v>-65299697</v>
      </c>
      <c r="AH1154" s="1022">
        <f t="shared" si="275"/>
        <v>-65300</v>
      </c>
      <c r="AK1154" s="448"/>
      <c r="AL1154" s="445"/>
    </row>
    <row r="1155" spans="1:38" s="467" customFormat="1" ht="12.75" customHeight="1">
      <c r="A1155" s="1033">
        <v>5316200</v>
      </c>
      <c r="B1155" s="1033" t="s">
        <v>2843</v>
      </c>
      <c r="C1155" s="1034"/>
      <c r="D1155" s="1035"/>
      <c r="E1155" s="1035"/>
      <c r="F1155" s="1034"/>
      <c r="G1155" s="1033"/>
      <c r="H1155" s="1033"/>
      <c r="I1155" s="1034"/>
      <c r="J1155" s="1033"/>
      <c r="K1155" s="1033"/>
      <c r="L1155" s="1034"/>
      <c r="M1155" s="1035"/>
      <c r="N1155" s="1035"/>
      <c r="O1155" s="1036"/>
      <c r="P1155" s="1033"/>
      <c r="Q1155" s="1033"/>
      <c r="R1155" s="1034"/>
      <c r="S1155" s="1035"/>
      <c r="T1155" s="1035"/>
      <c r="U1155" s="1034"/>
      <c r="V1155" s="1035"/>
      <c r="W1155" s="1035"/>
      <c r="X1155" s="1037"/>
      <c r="Y1155" s="1035"/>
      <c r="Z1155" s="1035">
        <f t="shared" si="273"/>
        <v>4</v>
      </c>
      <c r="AA1155" s="1035"/>
      <c r="AB1155" s="1035"/>
      <c r="AC1155" s="1424">
        <v>410288</v>
      </c>
      <c r="AD1155" s="1021" t="s">
        <v>386</v>
      </c>
      <c r="AE1155" s="1022">
        <f>VLOOKUP(AC1155,[5]Hoja1!$A$10:$K$1393,11,0)</f>
        <v>-23574419</v>
      </c>
      <c r="AF1155" s="1022"/>
      <c r="AG1155" s="1022">
        <f t="shared" si="274"/>
        <v>-23574419</v>
      </c>
      <c r="AH1155" s="1022">
        <f t="shared" si="275"/>
        <v>-23574</v>
      </c>
      <c r="AK1155" s="448"/>
      <c r="AL1155" s="445"/>
    </row>
    <row r="1156" spans="1:38" s="467" customFormat="1" ht="12.75" customHeight="1">
      <c r="A1156" s="1033">
        <v>5313320</v>
      </c>
      <c r="B1156" s="1033" t="s">
        <v>2834</v>
      </c>
      <c r="C1156" s="1034"/>
      <c r="D1156" s="1035"/>
      <c r="E1156" s="1035"/>
      <c r="F1156" s="1034"/>
      <c r="G1156" s="1033"/>
      <c r="H1156" s="1033"/>
      <c r="I1156" s="1034"/>
      <c r="J1156" s="1033"/>
      <c r="K1156" s="1033"/>
      <c r="L1156" s="1034"/>
      <c r="M1156" s="1035"/>
      <c r="N1156" s="1035"/>
      <c r="O1156" s="1036"/>
      <c r="P1156" s="1033"/>
      <c r="Q1156" s="1033"/>
      <c r="R1156" s="1034"/>
      <c r="S1156" s="1035"/>
      <c r="T1156" s="1035"/>
      <c r="U1156" s="1034"/>
      <c r="V1156" s="1035"/>
      <c r="W1156" s="1035"/>
      <c r="X1156" s="1037"/>
      <c r="Y1156" s="1035"/>
      <c r="Z1156" s="1035">
        <f t="shared" si="273"/>
        <v>4</v>
      </c>
      <c r="AA1156" s="1035"/>
      <c r="AB1156" s="1035"/>
      <c r="AC1156" s="1021">
        <v>410289</v>
      </c>
      <c r="AD1156" s="1021" t="s">
        <v>2319</v>
      </c>
      <c r="AE1156" s="1022">
        <f>VLOOKUP(AC1156,[5]Hoja1!$A$10:$K$1393,11,0)</f>
        <v>-18217408</v>
      </c>
      <c r="AF1156" s="1022"/>
      <c r="AG1156" s="1022">
        <f t="shared" si="274"/>
        <v>-18217408</v>
      </c>
      <c r="AH1156" s="1022">
        <f t="shared" si="275"/>
        <v>-18217</v>
      </c>
      <c r="AK1156" s="448"/>
      <c r="AL1156" s="445"/>
    </row>
    <row r="1157" spans="1:38" s="467" customFormat="1" ht="12.75" customHeight="1">
      <c r="A1157" s="1033">
        <v>5313120</v>
      </c>
      <c r="B1157" s="1033" t="s">
        <v>2834</v>
      </c>
      <c r="C1157" s="1034"/>
      <c r="D1157" s="1035"/>
      <c r="E1157" s="1035"/>
      <c r="F1157" s="1034"/>
      <c r="G1157" s="1033"/>
      <c r="H1157" s="1033"/>
      <c r="I1157" s="1034"/>
      <c r="J1157" s="1033"/>
      <c r="K1157" s="1033"/>
      <c r="L1157" s="1034"/>
      <c r="M1157" s="1035"/>
      <c r="N1157" s="1035"/>
      <c r="O1157" s="1036"/>
      <c r="P1157" s="1033"/>
      <c r="Q1157" s="1033"/>
      <c r="R1157" s="1034"/>
      <c r="S1157" s="1035"/>
      <c r="T1157" s="1035"/>
      <c r="U1157" s="1034"/>
      <c r="V1157" s="1035"/>
      <c r="W1157" s="1035"/>
      <c r="X1157" s="1037"/>
      <c r="Y1157" s="1035"/>
      <c r="Z1157" s="1035">
        <f t="shared" si="273"/>
        <v>4</v>
      </c>
      <c r="AA1157" s="1035"/>
      <c r="AB1157" s="1035"/>
      <c r="AC1157" s="1021">
        <v>410290</v>
      </c>
      <c r="AD1157" s="1021" t="s">
        <v>2320</v>
      </c>
      <c r="AE1157" s="1022">
        <f>VLOOKUP(AC1157,[5]Hoja1!$A$10:$K$1393,11,0)</f>
        <v>-22332287</v>
      </c>
      <c r="AF1157" s="1022"/>
      <c r="AG1157" s="1022">
        <f t="shared" si="274"/>
        <v>-22332287</v>
      </c>
      <c r="AH1157" s="1022">
        <f t="shared" si="275"/>
        <v>-22332</v>
      </c>
      <c r="AK1157" s="448"/>
      <c r="AL1157" s="445"/>
    </row>
    <row r="1158" spans="1:38" s="467" customFormat="1" ht="12.75" customHeight="1">
      <c r="A1158" s="1033">
        <v>5316200</v>
      </c>
      <c r="B1158" s="1033" t="s">
        <v>2843</v>
      </c>
      <c r="C1158" s="1034"/>
      <c r="D1158" s="1035"/>
      <c r="E1158" s="1035"/>
      <c r="F1158" s="1034"/>
      <c r="G1158" s="1033"/>
      <c r="H1158" s="1033"/>
      <c r="I1158" s="1034"/>
      <c r="J1158" s="1033"/>
      <c r="K1158" s="1033"/>
      <c r="L1158" s="1034"/>
      <c r="M1158" s="1035"/>
      <c r="N1158" s="1035"/>
      <c r="O1158" s="1036"/>
      <c r="P1158" s="1033"/>
      <c r="Q1158" s="1033"/>
      <c r="R1158" s="1034"/>
      <c r="S1158" s="1035"/>
      <c r="T1158" s="1035"/>
      <c r="U1158" s="1034"/>
      <c r="V1158" s="1035"/>
      <c r="W1158" s="1035"/>
      <c r="X1158" s="1037"/>
      <c r="Y1158" s="1035"/>
      <c r="Z1158" s="1035">
        <f t="shared" si="273"/>
        <v>4</v>
      </c>
      <c r="AA1158" s="1035"/>
      <c r="AB1158" s="1035"/>
      <c r="AC1158" s="1424">
        <v>410291</v>
      </c>
      <c r="AD1158" s="1021" t="s">
        <v>196</v>
      </c>
      <c r="AE1158" s="1022">
        <f>VLOOKUP(AC1158,[5]Hoja1!$A$10:$K$1393,11,0)</f>
        <v>-23739597</v>
      </c>
      <c r="AF1158" s="1022"/>
      <c r="AG1158" s="1022">
        <f t="shared" si="274"/>
        <v>-23739597</v>
      </c>
      <c r="AH1158" s="1022">
        <f t="shared" si="275"/>
        <v>-23740</v>
      </c>
      <c r="AK1158" s="448"/>
      <c r="AL1158" s="445"/>
    </row>
    <row r="1159" spans="1:38" s="467" customFormat="1" ht="12.75" customHeight="1">
      <c r="A1159" s="1033">
        <v>5313120</v>
      </c>
      <c r="B1159" s="1033" t="s">
        <v>2834</v>
      </c>
      <c r="C1159" s="1034"/>
      <c r="D1159" s="1035"/>
      <c r="E1159" s="1035"/>
      <c r="F1159" s="1034"/>
      <c r="G1159" s="1033"/>
      <c r="H1159" s="1033"/>
      <c r="I1159" s="1034"/>
      <c r="J1159" s="1033"/>
      <c r="K1159" s="1033"/>
      <c r="L1159" s="1034"/>
      <c r="M1159" s="1035"/>
      <c r="N1159" s="1035"/>
      <c r="O1159" s="1036"/>
      <c r="P1159" s="1033"/>
      <c r="Q1159" s="1033"/>
      <c r="R1159" s="1034"/>
      <c r="S1159" s="1035"/>
      <c r="T1159" s="1035"/>
      <c r="U1159" s="1034"/>
      <c r="V1159" s="1035"/>
      <c r="W1159" s="1035"/>
      <c r="X1159" s="1037"/>
      <c r="Y1159" s="1035"/>
      <c r="Z1159" s="1035">
        <f t="shared" si="273"/>
        <v>4</v>
      </c>
      <c r="AA1159" s="1035"/>
      <c r="AB1159" s="1035"/>
      <c r="AC1159" s="1021">
        <v>410292</v>
      </c>
      <c r="AD1159" s="1021" t="s">
        <v>2321</v>
      </c>
      <c r="AE1159" s="1022">
        <f>VLOOKUP(AC1159,[5]Hoja1!$A$10:$K$1393,11,0)</f>
        <v>0</v>
      </c>
      <c r="AF1159" s="1022"/>
      <c r="AG1159" s="1022">
        <f t="shared" si="274"/>
        <v>0</v>
      </c>
      <c r="AH1159" s="1022">
        <f t="shared" si="275"/>
        <v>0</v>
      </c>
      <c r="AK1159" s="448"/>
      <c r="AL1159" s="445"/>
    </row>
    <row r="1160" spans="1:38" s="467" customFormat="1" ht="12.75" customHeight="1">
      <c r="A1160" s="1033">
        <v>5316200</v>
      </c>
      <c r="B1160" s="1033" t="s">
        <v>2843</v>
      </c>
      <c r="C1160" s="1034"/>
      <c r="D1160" s="1035"/>
      <c r="E1160" s="1035"/>
      <c r="F1160" s="1034"/>
      <c r="G1160" s="1033"/>
      <c r="H1160" s="1033"/>
      <c r="I1160" s="1034"/>
      <c r="J1160" s="1033"/>
      <c r="K1160" s="1033"/>
      <c r="L1160" s="1034"/>
      <c r="M1160" s="1035"/>
      <c r="N1160" s="1035"/>
      <c r="O1160" s="1036"/>
      <c r="P1160" s="1033"/>
      <c r="Q1160" s="1033"/>
      <c r="R1160" s="1034"/>
      <c r="S1160" s="1035"/>
      <c r="T1160" s="1035"/>
      <c r="U1160" s="1034"/>
      <c r="V1160" s="1035"/>
      <c r="W1160" s="1035"/>
      <c r="X1160" s="1037"/>
      <c r="Y1160" s="1035"/>
      <c r="Z1160" s="1035">
        <f t="shared" si="273"/>
        <v>4</v>
      </c>
      <c r="AA1160" s="1035"/>
      <c r="AB1160" s="1035"/>
      <c r="AC1160" s="1424">
        <v>410293</v>
      </c>
      <c r="AD1160" s="1021" t="s">
        <v>197</v>
      </c>
      <c r="AE1160" s="1022">
        <f>VLOOKUP(AC1160,[5]Hoja1!$A$10:$K$1393,11,0)</f>
        <v>0</v>
      </c>
      <c r="AF1160" s="1022"/>
      <c r="AG1160" s="1022">
        <f t="shared" si="274"/>
        <v>0</v>
      </c>
      <c r="AH1160" s="1022">
        <f t="shared" si="275"/>
        <v>0</v>
      </c>
      <c r="AK1160" s="448"/>
      <c r="AL1160" s="445"/>
    </row>
    <row r="1161" spans="1:38" s="467" customFormat="1" ht="12.75" customHeight="1">
      <c r="A1161" s="1033">
        <v>5313320</v>
      </c>
      <c r="B1161" s="1033" t="s">
        <v>2834</v>
      </c>
      <c r="C1161" s="1034"/>
      <c r="D1161" s="1035"/>
      <c r="E1161" s="1035"/>
      <c r="F1161" s="1034"/>
      <c r="G1161" s="1033"/>
      <c r="H1161" s="1033"/>
      <c r="I1161" s="1034"/>
      <c r="J1161" s="1033"/>
      <c r="K1161" s="1033"/>
      <c r="L1161" s="1034"/>
      <c r="M1161" s="1035"/>
      <c r="N1161" s="1035"/>
      <c r="O1161" s="1036"/>
      <c r="P1161" s="1033"/>
      <c r="Q1161" s="1033"/>
      <c r="R1161" s="1034"/>
      <c r="S1161" s="1035"/>
      <c r="T1161" s="1035"/>
      <c r="U1161" s="1034"/>
      <c r="V1161" s="1035"/>
      <c r="W1161" s="1035"/>
      <c r="X1161" s="1037"/>
      <c r="Y1161" s="1035"/>
      <c r="Z1161" s="1035">
        <f t="shared" si="273"/>
        <v>4</v>
      </c>
      <c r="AA1161" s="1035"/>
      <c r="AB1161" s="1035"/>
      <c r="AC1161" s="1021">
        <v>410294</v>
      </c>
      <c r="AD1161" s="1021" t="s">
        <v>2322</v>
      </c>
      <c r="AE1161" s="1022">
        <f>VLOOKUP(AC1161,[5]Hoja1!$A$10:$K$1393,11,0)</f>
        <v>-101447403</v>
      </c>
      <c r="AF1161" s="1022"/>
      <c r="AG1161" s="1022">
        <f t="shared" si="274"/>
        <v>-101447403</v>
      </c>
      <c r="AH1161" s="1022">
        <f t="shared" si="275"/>
        <v>-101447</v>
      </c>
      <c r="AK1161" s="448"/>
      <c r="AL1161" s="445"/>
    </row>
    <row r="1162" spans="1:38" s="467" customFormat="1" ht="12.75" customHeight="1">
      <c r="A1162" s="1033">
        <v>5313120</v>
      </c>
      <c r="B1162" s="1033" t="s">
        <v>2834</v>
      </c>
      <c r="C1162" s="1034"/>
      <c r="D1162" s="1035"/>
      <c r="E1162" s="1035"/>
      <c r="F1162" s="1034"/>
      <c r="G1162" s="1033"/>
      <c r="H1162" s="1033"/>
      <c r="I1162" s="1034"/>
      <c r="J1162" s="1033"/>
      <c r="K1162" s="1033"/>
      <c r="L1162" s="1034"/>
      <c r="M1162" s="1035"/>
      <c r="N1162" s="1035"/>
      <c r="O1162" s="1036"/>
      <c r="P1162" s="1033"/>
      <c r="Q1162" s="1033"/>
      <c r="R1162" s="1034"/>
      <c r="S1162" s="1035"/>
      <c r="T1162" s="1035"/>
      <c r="U1162" s="1034"/>
      <c r="V1162" s="1035"/>
      <c r="W1162" s="1035"/>
      <c r="X1162" s="1037"/>
      <c r="Y1162" s="1035"/>
      <c r="Z1162" s="1035">
        <f t="shared" si="273"/>
        <v>4</v>
      </c>
      <c r="AA1162" s="1035"/>
      <c r="AB1162" s="1035"/>
      <c r="AC1162" s="1021">
        <v>410295</v>
      </c>
      <c r="AD1162" s="1021" t="s">
        <v>2323</v>
      </c>
      <c r="AE1162" s="1022">
        <f>VLOOKUP(AC1162,[5]Hoja1!$A$10:$K$1393,11,0)</f>
        <v>-5146302</v>
      </c>
      <c r="AF1162" s="1022"/>
      <c r="AG1162" s="1022">
        <f t="shared" si="274"/>
        <v>-5146302</v>
      </c>
      <c r="AH1162" s="1022">
        <f t="shared" si="275"/>
        <v>-5146</v>
      </c>
      <c r="AK1162" s="448"/>
      <c r="AL1162" s="445"/>
    </row>
    <row r="1163" spans="1:38" s="467" customFormat="1" ht="12.75" customHeight="1">
      <c r="A1163" s="1033">
        <v>5316200</v>
      </c>
      <c r="B1163" s="1033" t="s">
        <v>2843</v>
      </c>
      <c r="C1163" s="1034"/>
      <c r="D1163" s="1035"/>
      <c r="E1163" s="1035"/>
      <c r="F1163" s="1034"/>
      <c r="G1163" s="1033"/>
      <c r="H1163" s="1033"/>
      <c r="I1163" s="1034"/>
      <c r="J1163" s="1033"/>
      <c r="K1163" s="1033"/>
      <c r="L1163" s="1034"/>
      <c r="M1163" s="1035"/>
      <c r="N1163" s="1035"/>
      <c r="O1163" s="1036"/>
      <c r="P1163" s="1033"/>
      <c r="Q1163" s="1033"/>
      <c r="R1163" s="1034"/>
      <c r="S1163" s="1035"/>
      <c r="T1163" s="1035"/>
      <c r="U1163" s="1034"/>
      <c r="V1163" s="1035"/>
      <c r="W1163" s="1035"/>
      <c r="X1163" s="1037"/>
      <c r="Y1163" s="1035"/>
      <c r="Z1163" s="1035">
        <f t="shared" si="273"/>
        <v>4</v>
      </c>
      <c r="AA1163" s="1035"/>
      <c r="AB1163" s="1035"/>
      <c r="AC1163" s="1424">
        <v>410296</v>
      </c>
      <c r="AD1163" s="1021" t="s">
        <v>226</v>
      </c>
      <c r="AE1163" s="1022">
        <f>VLOOKUP(AC1163,[5]Hoja1!$A$10:$K$1393,11,0)</f>
        <v>-1656935</v>
      </c>
      <c r="AF1163" s="1022"/>
      <c r="AG1163" s="1022">
        <f t="shared" si="274"/>
        <v>-1656935</v>
      </c>
      <c r="AH1163" s="1022">
        <f t="shared" si="275"/>
        <v>-1657</v>
      </c>
      <c r="AK1163" s="448"/>
      <c r="AL1163" s="445"/>
    </row>
    <row r="1164" spans="1:38" s="467" customFormat="1" ht="12.75" customHeight="1">
      <c r="A1164" s="1033">
        <v>5313320</v>
      </c>
      <c r="B1164" s="1033" t="s">
        <v>2834</v>
      </c>
      <c r="C1164" s="1034"/>
      <c r="D1164" s="1035"/>
      <c r="E1164" s="1035"/>
      <c r="F1164" s="1034"/>
      <c r="G1164" s="1033"/>
      <c r="H1164" s="1033"/>
      <c r="I1164" s="1034"/>
      <c r="J1164" s="1033"/>
      <c r="K1164" s="1033"/>
      <c r="L1164" s="1034"/>
      <c r="M1164" s="1035"/>
      <c r="N1164" s="1035"/>
      <c r="O1164" s="1036"/>
      <c r="P1164" s="1033"/>
      <c r="Q1164" s="1033"/>
      <c r="R1164" s="1034"/>
      <c r="S1164" s="1035"/>
      <c r="T1164" s="1035"/>
      <c r="U1164" s="1034"/>
      <c r="V1164" s="1035"/>
      <c r="W1164" s="1035"/>
      <c r="X1164" s="1037"/>
      <c r="Y1164" s="1035"/>
      <c r="Z1164" s="1035">
        <f t="shared" si="273"/>
        <v>4</v>
      </c>
      <c r="AA1164" s="1035"/>
      <c r="AB1164" s="1035"/>
      <c r="AC1164" s="1021">
        <v>410297</v>
      </c>
      <c r="AD1164" s="1021" t="s">
        <v>2324</v>
      </c>
      <c r="AE1164" s="1022">
        <f>VLOOKUP(AC1164,[5]Hoja1!$A$10:$K$1393,11,0)</f>
        <v>0</v>
      </c>
      <c r="AF1164" s="1022"/>
      <c r="AG1164" s="1022">
        <f t="shared" si="274"/>
        <v>0</v>
      </c>
      <c r="AH1164" s="1022">
        <f t="shared" si="275"/>
        <v>0</v>
      </c>
      <c r="AK1164" s="448"/>
      <c r="AL1164" s="445"/>
    </row>
    <row r="1165" spans="1:38" s="467" customFormat="1" ht="12.75" customHeight="1">
      <c r="A1165" s="1033">
        <v>5313120</v>
      </c>
      <c r="B1165" s="1033" t="s">
        <v>2834</v>
      </c>
      <c r="C1165" s="1034"/>
      <c r="D1165" s="1035"/>
      <c r="E1165" s="1035"/>
      <c r="F1165" s="1034"/>
      <c r="G1165" s="1033"/>
      <c r="H1165" s="1033"/>
      <c r="I1165" s="1034"/>
      <c r="J1165" s="1033"/>
      <c r="K1165" s="1033"/>
      <c r="L1165" s="1034"/>
      <c r="M1165" s="1035"/>
      <c r="N1165" s="1035"/>
      <c r="O1165" s="1036"/>
      <c r="P1165" s="1033"/>
      <c r="Q1165" s="1033"/>
      <c r="R1165" s="1034"/>
      <c r="S1165" s="1035"/>
      <c r="T1165" s="1035"/>
      <c r="U1165" s="1034"/>
      <c r="V1165" s="1035"/>
      <c r="W1165" s="1035"/>
      <c r="X1165" s="1037"/>
      <c r="Y1165" s="1035"/>
      <c r="Z1165" s="1035">
        <f t="shared" si="273"/>
        <v>4</v>
      </c>
      <c r="AA1165" s="1035"/>
      <c r="AB1165" s="1035"/>
      <c r="AC1165" s="1021">
        <v>410298</v>
      </c>
      <c r="AD1165" s="1021" t="s">
        <v>2325</v>
      </c>
      <c r="AE1165" s="1022">
        <f>VLOOKUP(AC1165,[5]Hoja1!$A$10:$K$1393,11,0)</f>
        <v>0</v>
      </c>
      <c r="AF1165" s="1022"/>
      <c r="AG1165" s="1022">
        <f t="shared" si="274"/>
        <v>0</v>
      </c>
      <c r="AH1165" s="1022">
        <f t="shared" si="275"/>
        <v>0</v>
      </c>
      <c r="AK1165" s="448"/>
      <c r="AL1165" s="445"/>
    </row>
    <row r="1166" spans="1:38" s="467" customFormat="1" ht="12.75" customHeight="1">
      <c r="A1166" s="1033">
        <v>5316200</v>
      </c>
      <c r="B1166" s="1033" t="s">
        <v>2843</v>
      </c>
      <c r="C1166" s="1034"/>
      <c r="D1166" s="1035"/>
      <c r="E1166" s="1035"/>
      <c r="F1166" s="1034"/>
      <c r="G1166" s="1033"/>
      <c r="H1166" s="1033"/>
      <c r="I1166" s="1034"/>
      <c r="J1166" s="1033"/>
      <c r="K1166" s="1033"/>
      <c r="L1166" s="1034"/>
      <c r="M1166" s="1035"/>
      <c r="N1166" s="1035"/>
      <c r="O1166" s="1036"/>
      <c r="P1166" s="1033"/>
      <c r="Q1166" s="1033"/>
      <c r="R1166" s="1034"/>
      <c r="S1166" s="1035"/>
      <c r="T1166" s="1035"/>
      <c r="U1166" s="1034"/>
      <c r="V1166" s="1035"/>
      <c r="W1166" s="1035"/>
      <c r="X1166" s="1037"/>
      <c r="Y1166" s="1035"/>
      <c r="Z1166" s="1035">
        <f t="shared" si="273"/>
        <v>4</v>
      </c>
      <c r="AA1166" s="1035"/>
      <c r="AB1166" s="1035"/>
      <c r="AC1166" s="1424">
        <v>410299</v>
      </c>
      <c r="AD1166" s="1021" t="s">
        <v>988</v>
      </c>
      <c r="AE1166" s="1022">
        <f>VLOOKUP(AC1166,[5]Hoja1!$A$10:$K$1393,11,0)</f>
        <v>0</v>
      </c>
      <c r="AF1166" s="1022"/>
      <c r="AG1166" s="1022">
        <f t="shared" si="274"/>
        <v>0</v>
      </c>
      <c r="AH1166" s="1022">
        <f t="shared" si="275"/>
        <v>0</v>
      </c>
      <c r="AK1166" s="448"/>
      <c r="AL1166" s="445"/>
    </row>
    <row r="1167" spans="1:38" s="467" customFormat="1" ht="12.75" customHeight="1">
      <c r="A1167" s="1033"/>
      <c r="B1167" s="1033"/>
      <c r="C1167" s="1034" t="str">
        <f t="shared" ref="C1167:C1219" si="277">+D1167&amp;E1167</f>
        <v/>
      </c>
      <c r="D1167" s="1035"/>
      <c r="E1167" s="1035"/>
      <c r="F1167" s="1034" t="str">
        <f t="shared" ref="F1167:F1219" si="278">+G1167&amp;H1167</f>
        <v/>
      </c>
      <c r="G1167" s="1033"/>
      <c r="H1167" s="1033"/>
      <c r="I1167" s="1034" t="str">
        <f t="shared" ref="I1167:I1219" si="279">+J1167&amp;K1167</f>
        <v/>
      </c>
      <c r="J1167" s="1033"/>
      <c r="K1167" s="1033"/>
      <c r="L1167" s="1034" t="str">
        <f t="shared" ref="L1167:L1219" si="280">+M1167&amp;N1167</f>
        <v/>
      </c>
      <c r="M1167" s="1035"/>
      <c r="N1167" s="1035"/>
      <c r="O1167" s="1036" t="str">
        <f t="shared" ref="O1167:O1219" si="281">+P1167&amp;Q1167</f>
        <v/>
      </c>
      <c r="P1167" s="1033"/>
      <c r="Q1167" s="1033"/>
      <c r="R1167" s="1034" t="str">
        <f t="shared" ref="R1167:R1219" si="282">+S1167&amp;T1167</f>
        <v/>
      </c>
      <c r="S1167" s="1035"/>
      <c r="T1167" s="1035"/>
      <c r="U1167" s="1034" t="str">
        <f t="shared" ref="U1167:U1219" si="283">+V1167&amp;W1167</f>
        <v/>
      </c>
      <c r="V1167" s="1035"/>
      <c r="W1167" s="1035"/>
      <c r="X1167" s="1037" t="str">
        <f>+Y1167&amp;Z1167</f>
        <v>4</v>
      </c>
      <c r="Y1167" s="1035"/>
      <c r="Z1167" s="1035">
        <f t="shared" si="273"/>
        <v>4</v>
      </c>
      <c r="AA1167" s="1035"/>
      <c r="AB1167" s="1035"/>
      <c r="AC1167" s="1021">
        <v>410301</v>
      </c>
      <c r="AD1167" s="1021" t="s">
        <v>1118</v>
      </c>
      <c r="AE1167" s="1022">
        <v>0</v>
      </c>
      <c r="AF1167" s="1022"/>
      <c r="AG1167" s="1022">
        <f t="shared" si="274"/>
        <v>0</v>
      </c>
      <c r="AH1167" s="1022">
        <f t="shared" si="275"/>
        <v>0</v>
      </c>
      <c r="AJ1167" s="498"/>
      <c r="AK1167" s="448"/>
      <c r="AL1167" s="445"/>
    </row>
    <row r="1168" spans="1:38" s="467" customFormat="1" ht="12.75" customHeight="1">
      <c r="A1168" s="1033">
        <v>5313320</v>
      </c>
      <c r="B1168" s="1033" t="s">
        <v>2834</v>
      </c>
      <c r="C1168" s="1034"/>
      <c r="D1168" s="1035"/>
      <c r="E1168" s="1035"/>
      <c r="F1168" s="1034"/>
      <c r="G1168" s="1033"/>
      <c r="H1168" s="1033"/>
      <c r="I1168" s="1034"/>
      <c r="J1168" s="1033"/>
      <c r="K1168" s="1033"/>
      <c r="L1168" s="1034"/>
      <c r="M1168" s="1035"/>
      <c r="N1168" s="1035"/>
      <c r="O1168" s="1036"/>
      <c r="P1168" s="1033"/>
      <c r="Q1168" s="1033"/>
      <c r="R1168" s="1034"/>
      <c r="S1168" s="1035"/>
      <c r="T1168" s="1035"/>
      <c r="U1168" s="1034"/>
      <c r="V1168" s="1035"/>
      <c r="W1168" s="1035"/>
      <c r="X1168" s="1037"/>
      <c r="Y1168" s="1035"/>
      <c r="Z1168" s="1035">
        <f t="shared" si="273"/>
        <v>4</v>
      </c>
      <c r="AA1168" s="1035"/>
      <c r="AB1168" s="1035"/>
      <c r="AC1168" s="1021">
        <v>410302</v>
      </c>
      <c r="AD1168" s="1021" t="s">
        <v>2326</v>
      </c>
      <c r="AE1168" s="1022">
        <f>VLOOKUP(AC1168,[5]Hoja1!$A$10:$K$1393,11,0)</f>
        <v>0</v>
      </c>
      <c r="AF1168" s="1022"/>
      <c r="AG1168" s="1022">
        <f t="shared" si="274"/>
        <v>0</v>
      </c>
      <c r="AH1168" s="1022">
        <f t="shared" si="275"/>
        <v>0</v>
      </c>
      <c r="AJ1168" s="498"/>
      <c r="AK1168" s="448"/>
      <c r="AL1168" s="445"/>
    </row>
    <row r="1169" spans="1:38" s="467" customFormat="1" ht="12.75" customHeight="1">
      <c r="A1169" s="1033">
        <v>5313320</v>
      </c>
      <c r="B1169" s="1033" t="s">
        <v>2834</v>
      </c>
      <c r="C1169" s="1034"/>
      <c r="D1169" s="1035"/>
      <c r="E1169" s="1035"/>
      <c r="F1169" s="1034"/>
      <c r="G1169" s="1033"/>
      <c r="H1169" s="1033"/>
      <c r="I1169" s="1034"/>
      <c r="J1169" s="1033"/>
      <c r="K1169" s="1033"/>
      <c r="L1169" s="1034"/>
      <c r="M1169" s="1035"/>
      <c r="N1169" s="1035"/>
      <c r="O1169" s="1036"/>
      <c r="P1169" s="1033"/>
      <c r="Q1169" s="1033"/>
      <c r="R1169" s="1034"/>
      <c r="S1169" s="1035"/>
      <c r="T1169" s="1035"/>
      <c r="U1169" s="1034"/>
      <c r="V1169" s="1035"/>
      <c r="W1169" s="1035"/>
      <c r="X1169" s="1037"/>
      <c r="Y1169" s="1035"/>
      <c r="Z1169" s="1035">
        <f t="shared" si="273"/>
        <v>4</v>
      </c>
      <c r="AA1169" s="1035"/>
      <c r="AB1169" s="1035"/>
      <c r="AC1169" s="1021">
        <v>410320</v>
      </c>
      <c r="AD1169" s="1021" t="s">
        <v>1282</v>
      </c>
      <c r="AE1169" s="1022">
        <f>VLOOKUP(AC1169,[5]Hoja1!$A$10:$K$1393,11,0)</f>
        <v>-584889</v>
      </c>
      <c r="AF1169" s="1022"/>
      <c r="AG1169" s="1022">
        <f t="shared" si="274"/>
        <v>-584889</v>
      </c>
      <c r="AH1169" s="1022">
        <f t="shared" si="275"/>
        <v>-585</v>
      </c>
      <c r="AJ1169" s="498"/>
      <c r="AK1169" s="448"/>
      <c r="AL1169" s="445"/>
    </row>
    <row r="1170" spans="1:38" s="467" customFormat="1" ht="12.75" customHeight="1">
      <c r="A1170" s="1033">
        <v>5313120</v>
      </c>
      <c r="B1170" s="1033" t="s">
        <v>2834</v>
      </c>
      <c r="C1170" s="1034"/>
      <c r="D1170" s="1035"/>
      <c r="E1170" s="1035"/>
      <c r="F1170" s="1034"/>
      <c r="G1170" s="1033"/>
      <c r="H1170" s="1033"/>
      <c r="I1170" s="1034"/>
      <c r="J1170" s="1033"/>
      <c r="K1170" s="1033"/>
      <c r="L1170" s="1034"/>
      <c r="M1170" s="1035"/>
      <c r="N1170" s="1035"/>
      <c r="O1170" s="1036"/>
      <c r="P1170" s="1033"/>
      <c r="Q1170" s="1033"/>
      <c r="R1170" s="1034"/>
      <c r="S1170" s="1035"/>
      <c r="T1170" s="1035"/>
      <c r="U1170" s="1034"/>
      <c r="V1170" s="1035"/>
      <c r="W1170" s="1035"/>
      <c r="X1170" s="1037"/>
      <c r="Y1170" s="1035"/>
      <c r="Z1170" s="1035">
        <f t="shared" si="273"/>
        <v>4</v>
      </c>
      <c r="AA1170" s="1035"/>
      <c r="AB1170" s="1035"/>
      <c r="AC1170" s="1021">
        <v>410321</v>
      </c>
      <c r="AD1170" s="1021" t="s">
        <v>1283</v>
      </c>
      <c r="AE1170" s="1022">
        <f>VLOOKUP(AC1170,[5]Hoja1!$A$10:$K$1393,11,0)</f>
        <v>-10781707</v>
      </c>
      <c r="AF1170" s="1022"/>
      <c r="AG1170" s="1022">
        <f t="shared" si="274"/>
        <v>-10781707</v>
      </c>
      <c r="AH1170" s="1022">
        <f t="shared" si="275"/>
        <v>-10782</v>
      </c>
      <c r="AJ1170" s="498"/>
      <c r="AK1170" s="448"/>
      <c r="AL1170" s="445"/>
    </row>
    <row r="1171" spans="1:38" s="467" customFormat="1" ht="12.75" customHeight="1">
      <c r="A1171" s="1033">
        <v>5316200</v>
      </c>
      <c r="B1171" s="1033" t="s">
        <v>2843</v>
      </c>
      <c r="C1171" s="1034"/>
      <c r="D1171" s="1035"/>
      <c r="E1171" s="1035"/>
      <c r="F1171" s="1034"/>
      <c r="G1171" s="1033"/>
      <c r="H1171" s="1033"/>
      <c r="I1171" s="1034"/>
      <c r="J1171" s="1033"/>
      <c r="K1171" s="1033"/>
      <c r="L1171" s="1034"/>
      <c r="M1171" s="1035"/>
      <c r="N1171" s="1035"/>
      <c r="O1171" s="1036"/>
      <c r="P1171" s="1033"/>
      <c r="Q1171" s="1033"/>
      <c r="R1171" s="1034"/>
      <c r="S1171" s="1035"/>
      <c r="T1171" s="1035"/>
      <c r="U1171" s="1034"/>
      <c r="V1171" s="1035"/>
      <c r="W1171" s="1035"/>
      <c r="X1171" s="1037"/>
      <c r="Y1171" s="1035"/>
      <c r="Z1171" s="1035">
        <f t="shared" si="273"/>
        <v>4</v>
      </c>
      <c r="AA1171" s="1035"/>
      <c r="AB1171" s="1035"/>
      <c r="AC1171" s="1424">
        <v>410322</v>
      </c>
      <c r="AD1171" s="1021" t="s">
        <v>1284</v>
      </c>
      <c r="AE1171" s="1022">
        <f>VLOOKUP(AC1171,[5]Hoja1!$A$10:$K$1393,11,0)</f>
        <v>-7247570</v>
      </c>
      <c r="AF1171" s="1022"/>
      <c r="AG1171" s="1022">
        <f t="shared" si="274"/>
        <v>-7247570</v>
      </c>
      <c r="AH1171" s="1022">
        <f t="shared" si="275"/>
        <v>-7248</v>
      </c>
      <c r="AJ1171" s="498"/>
      <c r="AK1171" s="448"/>
      <c r="AL1171" s="445"/>
    </row>
    <row r="1172" spans="1:38" s="467" customFormat="1" ht="12.75" customHeight="1">
      <c r="A1172" s="1033">
        <v>5313320</v>
      </c>
      <c r="B1172" s="1033" t="s">
        <v>2834</v>
      </c>
      <c r="C1172" s="1034"/>
      <c r="D1172" s="1035"/>
      <c r="E1172" s="1035"/>
      <c r="F1172" s="1034"/>
      <c r="G1172" s="1033"/>
      <c r="H1172" s="1033"/>
      <c r="I1172" s="1034"/>
      <c r="J1172" s="1033"/>
      <c r="K1172" s="1033"/>
      <c r="L1172" s="1034"/>
      <c r="M1172" s="1035"/>
      <c r="N1172" s="1035"/>
      <c r="O1172" s="1036"/>
      <c r="P1172" s="1033"/>
      <c r="Q1172" s="1033"/>
      <c r="R1172" s="1034"/>
      <c r="S1172" s="1035"/>
      <c r="T1172" s="1035"/>
      <c r="U1172" s="1034"/>
      <c r="V1172" s="1035"/>
      <c r="W1172" s="1035"/>
      <c r="X1172" s="1037"/>
      <c r="Y1172" s="1035"/>
      <c r="Z1172" s="1035">
        <f t="shared" si="273"/>
        <v>4</v>
      </c>
      <c r="AA1172" s="1035"/>
      <c r="AB1172" s="1035"/>
      <c r="AC1172" s="1021">
        <v>410323</v>
      </c>
      <c r="AD1172" s="1021" t="s">
        <v>1368</v>
      </c>
      <c r="AE1172" s="1022">
        <f>VLOOKUP(AC1172,[5]Hoja1!$A$10:$K$1393,11,0)</f>
        <v>-166624962</v>
      </c>
      <c r="AF1172" s="1022"/>
      <c r="AG1172" s="1022">
        <f t="shared" si="274"/>
        <v>-166624962</v>
      </c>
      <c r="AH1172" s="1022">
        <f t="shared" si="275"/>
        <v>-166625</v>
      </c>
      <c r="AJ1172" s="498"/>
      <c r="AK1172" s="448"/>
      <c r="AL1172" s="445"/>
    </row>
    <row r="1173" spans="1:38" s="467" customFormat="1" ht="12.75" customHeight="1">
      <c r="A1173" s="1033">
        <v>5313120</v>
      </c>
      <c r="B1173" s="1033" t="s">
        <v>2834</v>
      </c>
      <c r="C1173" s="1034"/>
      <c r="D1173" s="1035"/>
      <c r="E1173" s="1035"/>
      <c r="F1173" s="1034"/>
      <c r="G1173" s="1033"/>
      <c r="H1173" s="1033"/>
      <c r="I1173" s="1034"/>
      <c r="J1173" s="1033"/>
      <c r="K1173" s="1033"/>
      <c r="L1173" s="1034"/>
      <c r="M1173" s="1035"/>
      <c r="N1173" s="1035"/>
      <c r="O1173" s="1036"/>
      <c r="P1173" s="1033"/>
      <c r="Q1173" s="1033"/>
      <c r="R1173" s="1034"/>
      <c r="S1173" s="1035"/>
      <c r="T1173" s="1035"/>
      <c r="U1173" s="1034"/>
      <c r="V1173" s="1035"/>
      <c r="W1173" s="1035"/>
      <c r="X1173" s="1037"/>
      <c r="Y1173" s="1035"/>
      <c r="Z1173" s="1035">
        <f t="shared" si="273"/>
        <v>4</v>
      </c>
      <c r="AA1173" s="1035"/>
      <c r="AB1173" s="1035"/>
      <c r="AC1173" s="1021">
        <v>410324</v>
      </c>
      <c r="AD1173" s="1021" t="s">
        <v>929</v>
      </c>
      <c r="AE1173" s="1022">
        <f>VLOOKUP(AC1173,[5]Hoja1!$A$10:$K$1393,11,0)</f>
        <v>-20949767</v>
      </c>
      <c r="AF1173" s="1022"/>
      <c r="AG1173" s="1022">
        <f t="shared" si="274"/>
        <v>-20949767</v>
      </c>
      <c r="AH1173" s="1022">
        <f t="shared" si="275"/>
        <v>-20950</v>
      </c>
      <c r="AJ1173" s="498"/>
      <c r="AK1173" s="448"/>
      <c r="AL1173" s="445"/>
    </row>
    <row r="1174" spans="1:38" s="467" customFormat="1" ht="12.75" customHeight="1">
      <c r="A1174" s="1033">
        <v>5316200</v>
      </c>
      <c r="B1174" s="1033" t="s">
        <v>2843</v>
      </c>
      <c r="C1174" s="1034"/>
      <c r="D1174" s="1035"/>
      <c r="E1174" s="1035"/>
      <c r="F1174" s="1034"/>
      <c r="G1174" s="1033"/>
      <c r="H1174" s="1033"/>
      <c r="I1174" s="1034"/>
      <c r="J1174" s="1033"/>
      <c r="K1174" s="1033"/>
      <c r="L1174" s="1034"/>
      <c r="M1174" s="1035"/>
      <c r="N1174" s="1035"/>
      <c r="O1174" s="1036"/>
      <c r="P1174" s="1033"/>
      <c r="Q1174" s="1033"/>
      <c r="R1174" s="1034"/>
      <c r="S1174" s="1035"/>
      <c r="T1174" s="1035"/>
      <c r="U1174" s="1034"/>
      <c r="V1174" s="1035"/>
      <c r="W1174" s="1035"/>
      <c r="X1174" s="1037"/>
      <c r="Y1174" s="1035"/>
      <c r="Z1174" s="1035">
        <f t="shared" si="273"/>
        <v>4</v>
      </c>
      <c r="AA1174" s="1035"/>
      <c r="AB1174" s="1035"/>
      <c r="AC1174" s="1424">
        <v>410325</v>
      </c>
      <c r="AD1174" s="1021" t="s">
        <v>2327</v>
      </c>
      <c r="AE1174" s="1022">
        <f>VLOOKUP(AC1174,[5]Hoja1!$A$10:$K$1393,11,0)</f>
        <v>-12239370</v>
      </c>
      <c r="AF1174" s="1022"/>
      <c r="AG1174" s="1022">
        <f t="shared" si="274"/>
        <v>-12239370</v>
      </c>
      <c r="AH1174" s="1022">
        <f t="shared" si="275"/>
        <v>-12239</v>
      </c>
      <c r="AJ1174" s="498"/>
      <c r="AK1174" s="448"/>
      <c r="AL1174" s="445"/>
    </row>
    <row r="1175" spans="1:38" s="467" customFormat="1" ht="12.75" customHeight="1">
      <c r="A1175" s="1033">
        <v>5313320</v>
      </c>
      <c r="B1175" s="1033" t="s">
        <v>2834</v>
      </c>
      <c r="C1175" s="1034"/>
      <c r="D1175" s="1035"/>
      <c r="E1175" s="1035"/>
      <c r="F1175" s="1034"/>
      <c r="G1175" s="1033"/>
      <c r="H1175" s="1033"/>
      <c r="I1175" s="1034"/>
      <c r="J1175" s="1033"/>
      <c r="K1175" s="1033"/>
      <c r="L1175" s="1034"/>
      <c r="M1175" s="1035"/>
      <c r="N1175" s="1035"/>
      <c r="O1175" s="1036"/>
      <c r="P1175" s="1033"/>
      <c r="Q1175" s="1033"/>
      <c r="R1175" s="1034"/>
      <c r="S1175" s="1035"/>
      <c r="T1175" s="1035"/>
      <c r="U1175" s="1034"/>
      <c r="V1175" s="1035"/>
      <c r="W1175" s="1035"/>
      <c r="X1175" s="1037"/>
      <c r="Y1175" s="1035"/>
      <c r="Z1175" s="1035">
        <f t="shared" si="273"/>
        <v>4</v>
      </c>
      <c r="AA1175" s="1035"/>
      <c r="AB1175" s="1035"/>
      <c r="AC1175" s="1021">
        <v>410326</v>
      </c>
      <c r="AD1175" s="1021" t="s">
        <v>912</v>
      </c>
      <c r="AE1175" s="1022">
        <f>VLOOKUP(AC1175,[5]Hoja1!$A$10:$K$1393,11,0)</f>
        <v>-168185200</v>
      </c>
      <c r="AF1175" s="1022"/>
      <c r="AG1175" s="1022">
        <f t="shared" si="274"/>
        <v>-168185200</v>
      </c>
      <c r="AH1175" s="1022">
        <f t="shared" si="275"/>
        <v>-168185</v>
      </c>
      <c r="AJ1175" s="498"/>
      <c r="AK1175" s="448"/>
      <c r="AL1175" s="445"/>
    </row>
    <row r="1176" spans="1:38" s="467" customFormat="1" ht="12.75" customHeight="1">
      <c r="A1176" s="1033">
        <v>5313120</v>
      </c>
      <c r="B1176" s="1033" t="s">
        <v>2834</v>
      </c>
      <c r="C1176" s="1034"/>
      <c r="D1176" s="1035"/>
      <c r="E1176" s="1035"/>
      <c r="F1176" s="1034"/>
      <c r="G1176" s="1033"/>
      <c r="H1176" s="1033"/>
      <c r="I1176" s="1034"/>
      <c r="J1176" s="1033"/>
      <c r="K1176" s="1033"/>
      <c r="L1176" s="1034"/>
      <c r="M1176" s="1035"/>
      <c r="N1176" s="1035"/>
      <c r="O1176" s="1036"/>
      <c r="P1176" s="1033"/>
      <c r="Q1176" s="1033"/>
      <c r="R1176" s="1034"/>
      <c r="S1176" s="1035"/>
      <c r="T1176" s="1035"/>
      <c r="U1176" s="1034"/>
      <c r="V1176" s="1035"/>
      <c r="W1176" s="1035"/>
      <c r="X1176" s="1037"/>
      <c r="Y1176" s="1035"/>
      <c r="Z1176" s="1035">
        <f t="shared" si="273"/>
        <v>4</v>
      </c>
      <c r="AA1176" s="1035"/>
      <c r="AB1176" s="1035"/>
      <c r="AC1176" s="1021">
        <v>410327</v>
      </c>
      <c r="AD1176" s="1021" t="s">
        <v>913</v>
      </c>
      <c r="AE1176" s="1022">
        <f>VLOOKUP(AC1176,[5]Hoja1!$A$10:$K$1393,11,0)</f>
        <v>-17666530</v>
      </c>
      <c r="AF1176" s="1022"/>
      <c r="AG1176" s="1022">
        <f t="shared" si="274"/>
        <v>-17666530</v>
      </c>
      <c r="AH1176" s="1022">
        <f t="shared" si="275"/>
        <v>-17667</v>
      </c>
      <c r="AJ1176" s="498"/>
      <c r="AK1176" s="448"/>
      <c r="AL1176" s="445"/>
    </row>
    <row r="1177" spans="1:38" s="467" customFormat="1" ht="12.75" customHeight="1">
      <c r="A1177" s="1033">
        <v>5316200</v>
      </c>
      <c r="B1177" s="1033" t="s">
        <v>2843</v>
      </c>
      <c r="C1177" s="1034"/>
      <c r="D1177" s="1035"/>
      <c r="E1177" s="1035"/>
      <c r="F1177" s="1034"/>
      <c r="G1177" s="1033"/>
      <c r="H1177" s="1033"/>
      <c r="I1177" s="1034"/>
      <c r="J1177" s="1033"/>
      <c r="K1177" s="1033"/>
      <c r="L1177" s="1034"/>
      <c r="M1177" s="1035"/>
      <c r="N1177" s="1035"/>
      <c r="O1177" s="1036"/>
      <c r="P1177" s="1033"/>
      <c r="Q1177" s="1033"/>
      <c r="R1177" s="1034"/>
      <c r="S1177" s="1035"/>
      <c r="T1177" s="1035"/>
      <c r="U1177" s="1034"/>
      <c r="V1177" s="1035"/>
      <c r="W1177" s="1035"/>
      <c r="X1177" s="1037"/>
      <c r="Y1177" s="1035"/>
      <c r="Z1177" s="1035">
        <f t="shared" si="273"/>
        <v>4</v>
      </c>
      <c r="AA1177" s="1035"/>
      <c r="AB1177" s="1035"/>
      <c r="AC1177" s="1424">
        <v>410328</v>
      </c>
      <c r="AD1177" s="1021" t="s">
        <v>914</v>
      </c>
      <c r="AE1177" s="1022">
        <f>VLOOKUP(AC1177,[5]Hoja1!$A$10:$K$1393,11,0)</f>
        <v>-12492618</v>
      </c>
      <c r="AF1177" s="1022"/>
      <c r="AG1177" s="1022">
        <f t="shared" si="274"/>
        <v>-12492618</v>
      </c>
      <c r="AH1177" s="1022">
        <f t="shared" si="275"/>
        <v>-12493</v>
      </c>
      <c r="AJ1177" s="498"/>
      <c r="AK1177" s="448"/>
      <c r="AL1177" s="445"/>
    </row>
    <row r="1178" spans="1:38" s="467" customFormat="1" ht="12.75" customHeight="1">
      <c r="A1178" s="1033">
        <v>5313320</v>
      </c>
      <c r="B1178" s="1033" t="s">
        <v>2834</v>
      </c>
      <c r="C1178" s="1034"/>
      <c r="D1178" s="1035"/>
      <c r="E1178" s="1035"/>
      <c r="F1178" s="1034"/>
      <c r="G1178" s="1033"/>
      <c r="H1178" s="1033"/>
      <c r="I1178" s="1034"/>
      <c r="J1178" s="1033"/>
      <c r="K1178" s="1033"/>
      <c r="L1178" s="1034"/>
      <c r="M1178" s="1035"/>
      <c r="N1178" s="1035"/>
      <c r="O1178" s="1036"/>
      <c r="P1178" s="1033"/>
      <c r="Q1178" s="1033"/>
      <c r="R1178" s="1034"/>
      <c r="S1178" s="1035"/>
      <c r="T1178" s="1035"/>
      <c r="U1178" s="1034"/>
      <c r="V1178" s="1035"/>
      <c r="W1178" s="1035"/>
      <c r="X1178" s="1037"/>
      <c r="Y1178" s="1035"/>
      <c r="Z1178" s="1035">
        <f t="shared" si="273"/>
        <v>4</v>
      </c>
      <c r="AA1178" s="1035"/>
      <c r="AB1178" s="1035"/>
      <c r="AC1178" s="1021">
        <v>410329</v>
      </c>
      <c r="AD1178" s="1021" t="s">
        <v>2328</v>
      </c>
      <c r="AE1178" s="1022">
        <f>VLOOKUP(AC1178,[5]Hoja1!$A$10:$K$1393,11,0)</f>
        <v>-9811813</v>
      </c>
      <c r="AF1178" s="1022"/>
      <c r="AG1178" s="1022">
        <f t="shared" si="274"/>
        <v>-9811813</v>
      </c>
      <c r="AH1178" s="1022">
        <f t="shared" si="275"/>
        <v>-9812</v>
      </c>
      <c r="AJ1178" s="498"/>
      <c r="AK1178" s="448"/>
      <c r="AL1178" s="445"/>
    </row>
    <row r="1179" spans="1:38" s="467" customFormat="1" ht="12.75" customHeight="1">
      <c r="A1179" s="1033">
        <v>5313220</v>
      </c>
      <c r="B1179" s="1033" t="s">
        <v>2834</v>
      </c>
      <c r="C1179" s="1034"/>
      <c r="D1179" s="1035"/>
      <c r="E1179" s="1035"/>
      <c r="F1179" s="1034"/>
      <c r="G1179" s="1033"/>
      <c r="H1179" s="1033"/>
      <c r="I1179" s="1034"/>
      <c r="J1179" s="1033"/>
      <c r="K1179" s="1033"/>
      <c r="L1179" s="1034"/>
      <c r="M1179" s="1035"/>
      <c r="N1179" s="1035"/>
      <c r="O1179" s="1036"/>
      <c r="P1179" s="1033"/>
      <c r="Q1179" s="1033"/>
      <c r="R1179" s="1034"/>
      <c r="S1179" s="1035"/>
      <c r="T1179" s="1035"/>
      <c r="U1179" s="1034"/>
      <c r="V1179" s="1035"/>
      <c r="W1179" s="1035"/>
      <c r="X1179" s="1037"/>
      <c r="Y1179" s="1035"/>
      <c r="Z1179" s="1035">
        <f t="shared" si="273"/>
        <v>4</v>
      </c>
      <c r="AA1179" s="1035"/>
      <c r="AB1179" s="1035"/>
      <c r="AC1179" s="1021">
        <v>410331</v>
      </c>
      <c r="AD1179" s="27" t="s">
        <v>2940</v>
      </c>
      <c r="AE1179" s="1022">
        <f>VLOOKUP(AC1179,[5]Hoja1!$A$10:$K$1393,11,0)</f>
        <v>25192752</v>
      </c>
      <c r="AF1179" s="1022"/>
      <c r="AG1179" s="1022">
        <f t="shared" si="274"/>
        <v>25192752</v>
      </c>
      <c r="AH1179" s="1022">
        <f t="shared" si="275"/>
        <v>25193</v>
      </c>
      <c r="AJ1179" s="498"/>
      <c r="AK1179" s="448"/>
      <c r="AL1179" s="445"/>
    </row>
    <row r="1180" spans="1:38" s="467" customFormat="1" ht="12.75" customHeight="1">
      <c r="A1180" s="1033">
        <v>5311130</v>
      </c>
      <c r="B1180" s="1033" t="s">
        <v>2808</v>
      </c>
      <c r="C1180" s="1034" t="str">
        <f t="shared" si="277"/>
        <v>671130000202</v>
      </c>
      <c r="D1180" s="1035">
        <v>671130000</v>
      </c>
      <c r="E1180" s="1035">
        <v>202</v>
      </c>
      <c r="F1180" s="1034" t="str">
        <f t="shared" si="278"/>
        <v/>
      </c>
      <c r="G1180" s="1033"/>
      <c r="H1180" s="1033"/>
      <c r="I1180" s="1034" t="str">
        <f t="shared" si="279"/>
        <v/>
      </c>
      <c r="J1180" s="1033"/>
      <c r="K1180" s="1033"/>
      <c r="L1180" s="1034" t="str">
        <f t="shared" si="280"/>
        <v/>
      </c>
      <c r="M1180" s="1035"/>
      <c r="N1180" s="1035"/>
      <c r="O1180" s="1036" t="str">
        <f t="shared" si="281"/>
        <v/>
      </c>
      <c r="P1180" s="1033"/>
      <c r="Q1180" s="1033"/>
      <c r="R1180" s="1034" t="str">
        <f t="shared" si="282"/>
        <v>6201300202</v>
      </c>
      <c r="S1180" s="1035">
        <v>6201300</v>
      </c>
      <c r="T1180" s="1035">
        <v>202</v>
      </c>
      <c r="U1180" s="1034" t="str">
        <f t="shared" si="283"/>
        <v>631101130202</v>
      </c>
      <c r="V1180" s="1035">
        <v>631101130</v>
      </c>
      <c r="W1180" s="1035">
        <v>202</v>
      </c>
      <c r="X1180" s="1037" t="str">
        <f t="shared" ref="X1180:X1191" si="284">+Y1180&amp;Z1180</f>
        <v>4</v>
      </c>
      <c r="Y1180" s="1035"/>
      <c r="Z1180" s="1035">
        <f t="shared" si="273"/>
        <v>4</v>
      </c>
      <c r="AA1180" s="1035"/>
      <c r="AB1180" s="1035"/>
      <c r="AC1180" s="1021">
        <v>410401</v>
      </c>
      <c r="AD1180" s="1021" t="s">
        <v>2329</v>
      </c>
      <c r="AE1180" s="1022">
        <f>VLOOKUP(AC1180,[5]Hoja1!$A$10:$K$1393,11,0)</f>
        <v>-144191998</v>
      </c>
      <c r="AF1180" s="1022"/>
      <c r="AG1180" s="1022">
        <f t="shared" si="274"/>
        <v>-144191998</v>
      </c>
      <c r="AH1180" s="1022">
        <f t="shared" si="275"/>
        <v>-144192</v>
      </c>
      <c r="AK1180" s="448"/>
      <c r="AL1180" s="445"/>
    </row>
    <row r="1181" spans="1:38" s="467" customFormat="1" ht="12.75" customHeight="1">
      <c r="A1181" s="1033"/>
      <c r="B1181" s="1033"/>
      <c r="C1181" s="1034" t="str">
        <f t="shared" si="277"/>
        <v>671130000212</v>
      </c>
      <c r="D1181" s="1035">
        <v>671130000</v>
      </c>
      <c r="E1181" s="1035">
        <v>212</v>
      </c>
      <c r="F1181" s="1034" t="str">
        <f t="shared" si="278"/>
        <v/>
      </c>
      <c r="G1181" s="1033"/>
      <c r="H1181" s="1033"/>
      <c r="I1181" s="1034" t="str">
        <f t="shared" si="279"/>
        <v/>
      </c>
      <c r="J1181" s="1033"/>
      <c r="K1181" s="1033"/>
      <c r="L1181" s="1034" t="str">
        <f t="shared" si="280"/>
        <v/>
      </c>
      <c r="M1181" s="1035"/>
      <c r="N1181" s="1035"/>
      <c r="O1181" s="1036" t="str">
        <f t="shared" si="281"/>
        <v/>
      </c>
      <c r="P1181" s="1033"/>
      <c r="Q1181" s="1033"/>
      <c r="R1181" s="1034" t="str">
        <f t="shared" si="282"/>
        <v>6201300212</v>
      </c>
      <c r="S1181" s="1035">
        <v>6201300</v>
      </c>
      <c r="T1181" s="1035">
        <v>212</v>
      </c>
      <c r="U1181" s="1034" t="str">
        <f t="shared" si="283"/>
        <v>631101130212</v>
      </c>
      <c r="V1181" s="1035">
        <v>631101130</v>
      </c>
      <c r="W1181" s="1035">
        <v>212</v>
      </c>
      <c r="X1181" s="1037" t="str">
        <f t="shared" si="284"/>
        <v>4</v>
      </c>
      <c r="Y1181" s="1035"/>
      <c r="Z1181" s="1035">
        <f t="shared" ref="Z1181:Z1244" si="285">VALUE(LEFT(AC1181,1))</f>
        <v>4</v>
      </c>
      <c r="AA1181" s="1035"/>
      <c r="AB1181" s="1035"/>
      <c r="AC1181" s="1021">
        <v>410402</v>
      </c>
      <c r="AD1181" s="1021" t="s">
        <v>2330</v>
      </c>
      <c r="AE1181" s="1022">
        <v>0</v>
      </c>
      <c r="AF1181" s="1022"/>
      <c r="AG1181" s="1022">
        <f t="shared" ref="AG1181:AG1244" si="286">AE1181+AF1181</f>
        <v>0</v>
      </c>
      <c r="AH1181" s="1022">
        <f t="shared" ref="AH1181:AH1244" si="287">ROUND((AE1181+AF1181)/$AH$2,0)</f>
        <v>0</v>
      </c>
      <c r="AK1181" s="448"/>
      <c r="AL1181" s="445"/>
    </row>
    <row r="1182" spans="1:38" s="467" customFormat="1" ht="12.75" customHeight="1">
      <c r="A1182" s="1033"/>
      <c r="B1182" s="1033"/>
      <c r="C1182" s="1034" t="str">
        <f t="shared" si="277"/>
        <v>671130000209</v>
      </c>
      <c r="D1182" s="1035">
        <v>671130000</v>
      </c>
      <c r="E1182" s="1035">
        <v>209</v>
      </c>
      <c r="F1182" s="1034" t="str">
        <f t="shared" si="278"/>
        <v/>
      </c>
      <c r="G1182" s="1033"/>
      <c r="H1182" s="1033"/>
      <c r="I1182" s="1034" t="str">
        <f t="shared" si="279"/>
        <v/>
      </c>
      <c r="J1182" s="1035"/>
      <c r="K1182" s="1035"/>
      <c r="L1182" s="1034" t="str">
        <f t="shared" si="280"/>
        <v/>
      </c>
      <c r="M1182" s="1035"/>
      <c r="N1182" s="1035"/>
      <c r="O1182" s="1036" t="str">
        <f t="shared" si="281"/>
        <v/>
      </c>
      <c r="P1182" s="1033"/>
      <c r="Q1182" s="1033"/>
      <c r="R1182" s="1034" t="str">
        <f t="shared" si="282"/>
        <v>6201300209</v>
      </c>
      <c r="S1182" s="1035">
        <v>6201300</v>
      </c>
      <c r="T1182" s="1035">
        <v>209</v>
      </c>
      <c r="U1182" s="1034" t="str">
        <f t="shared" si="283"/>
        <v>631101130209</v>
      </c>
      <c r="V1182" s="1035">
        <v>631101130</v>
      </c>
      <c r="W1182" s="1035">
        <v>209</v>
      </c>
      <c r="X1182" s="1037" t="str">
        <f t="shared" si="284"/>
        <v>4</v>
      </c>
      <c r="Y1182" s="1035"/>
      <c r="Z1182" s="1035">
        <f t="shared" si="285"/>
        <v>4</v>
      </c>
      <c r="AA1182" s="1035"/>
      <c r="AB1182" s="1035"/>
      <c r="AC1182" s="1021">
        <v>410403</v>
      </c>
      <c r="AD1182" s="1021" t="s">
        <v>2331</v>
      </c>
      <c r="AE1182" s="1022">
        <v>0</v>
      </c>
      <c r="AF1182" s="1022"/>
      <c r="AG1182" s="1022">
        <f t="shared" si="286"/>
        <v>0</v>
      </c>
      <c r="AH1182" s="1022">
        <f t="shared" si="287"/>
        <v>0</v>
      </c>
      <c r="AK1182" s="448"/>
      <c r="AL1182" s="445"/>
    </row>
    <row r="1183" spans="1:38" s="467" customFormat="1" ht="12.75" customHeight="1">
      <c r="A1183" s="1033"/>
      <c r="B1183" s="1033"/>
      <c r="C1183" s="1034" t="str">
        <f t="shared" si="277"/>
        <v>671130000109</v>
      </c>
      <c r="D1183" s="1035">
        <v>671130000</v>
      </c>
      <c r="E1183" s="1035">
        <v>109</v>
      </c>
      <c r="F1183" s="1034" t="str">
        <f t="shared" si="278"/>
        <v/>
      </c>
      <c r="G1183" s="1033"/>
      <c r="H1183" s="1033"/>
      <c r="I1183" s="1034" t="str">
        <f t="shared" si="279"/>
        <v/>
      </c>
      <c r="J1183" s="1033"/>
      <c r="K1183" s="1033"/>
      <c r="L1183" s="1034" t="str">
        <f t="shared" si="280"/>
        <v/>
      </c>
      <c r="M1183" s="1035"/>
      <c r="N1183" s="1035"/>
      <c r="O1183" s="1036" t="str">
        <f t="shared" si="281"/>
        <v/>
      </c>
      <c r="P1183" s="1033"/>
      <c r="Q1183" s="1033"/>
      <c r="R1183" s="1034" t="str">
        <f t="shared" si="282"/>
        <v>6201300109</v>
      </c>
      <c r="S1183" s="1035">
        <v>6201300</v>
      </c>
      <c r="T1183" s="1035">
        <v>109</v>
      </c>
      <c r="U1183" s="1034" t="str">
        <f t="shared" si="283"/>
        <v>631101130109</v>
      </c>
      <c r="V1183" s="1035">
        <v>631101130</v>
      </c>
      <c r="W1183" s="1035">
        <v>109</v>
      </c>
      <c r="X1183" s="1037" t="str">
        <f t="shared" si="284"/>
        <v>4</v>
      </c>
      <c r="Y1183" s="1035"/>
      <c r="Z1183" s="1035">
        <f t="shared" si="285"/>
        <v>4</v>
      </c>
      <c r="AA1183" s="1035"/>
      <c r="AB1183" s="1035"/>
      <c r="AC1183" s="1021">
        <v>410404</v>
      </c>
      <c r="AD1183" s="1021" t="s">
        <v>2332</v>
      </c>
      <c r="AE1183" s="1022">
        <v>0</v>
      </c>
      <c r="AF1183" s="1022"/>
      <c r="AG1183" s="1022">
        <f t="shared" si="286"/>
        <v>0</v>
      </c>
      <c r="AH1183" s="1022">
        <f t="shared" si="287"/>
        <v>0</v>
      </c>
      <c r="AK1183" s="448"/>
      <c r="AL1183" s="445"/>
    </row>
    <row r="1184" spans="1:38" s="467" customFormat="1" ht="12.75" customHeight="1">
      <c r="A1184" s="1033"/>
      <c r="B1184" s="1033"/>
      <c r="C1184" s="1034" t="str">
        <f t="shared" si="277"/>
        <v>671130000101</v>
      </c>
      <c r="D1184" s="1035">
        <v>671130000</v>
      </c>
      <c r="E1184" s="1035">
        <v>101</v>
      </c>
      <c r="F1184" s="1034" t="str">
        <f t="shared" si="278"/>
        <v/>
      </c>
      <c r="G1184" s="1033"/>
      <c r="H1184" s="1033"/>
      <c r="I1184" s="1034" t="str">
        <f t="shared" si="279"/>
        <v/>
      </c>
      <c r="J1184" s="1035"/>
      <c r="K1184" s="1035"/>
      <c r="L1184" s="1034" t="str">
        <f t="shared" si="280"/>
        <v/>
      </c>
      <c r="M1184" s="1035"/>
      <c r="N1184" s="1035"/>
      <c r="O1184" s="1036" t="str">
        <f t="shared" si="281"/>
        <v/>
      </c>
      <c r="P1184" s="1033"/>
      <c r="Q1184" s="1033"/>
      <c r="R1184" s="1034" t="str">
        <f t="shared" si="282"/>
        <v>6201300101</v>
      </c>
      <c r="S1184" s="1035">
        <v>6201300</v>
      </c>
      <c r="T1184" s="1035">
        <v>101</v>
      </c>
      <c r="U1184" s="1034" t="str">
        <f t="shared" si="283"/>
        <v>631101130101</v>
      </c>
      <c r="V1184" s="1035">
        <v>631101130</v>
      </c>
      <c r="W1184" s="1035">
        <v>101</v>
      </c>
      <c r="X1184" s="1037" t="str">
        <f t="shared" si="284"/>
        <v>4</v>
      </c>
      <c r="Y1184" s="1035"/>
      <c r="Z1184" s="1035">
        <f t="shared" si="285"/>
        <v>4</v>
      </c>
      <c r="AA1184" s="1035"/>
      <c r="AB1184" s="1035"/>
      <c r="AC1184" s="1021">
        <v>410405</v>
      </c>
      <c r="AD1184" s="1021" t="s">
        <v>2333</v>
      </c>
      <c r="AE1184" s="1022">
        <v>0</v>
      </c>
      <c r="AF1184" s="1022"/>
      <c r="AG1184" s="1022">
        <f t="shared" si="286"/>
        <v>0</v>
      </c>
      <c r="AH1184" s="1022">
        <f t="shared" si="287"/>
        <v>0</v>
      </c>
      <c r="AK1184" s="448"/>
      <c r="AL1184" s="445"/>
    </row>
    <row r="1185" spans="1:38" s="467" customFormat="1" ht="12.75" customHeight="1">
      <c r="A1185" s="1033"/>
      <c r="B1185" s="1033"/>
      <c r="C1185" s="1034" t="str">
        <f t="shared" si="277"/>
        <v>671130000112</v>
      </c>
      <c r="D1185" s="1035">
        <v>671130000</v>
      </c>
      <c r="E1185" s="1035">
        <v>112</v>
      </c>
      <c r="F1185" s="1034" t="str">
        <f t="shared" si="278"/>
        <v/>
      </c>
      <c r="G1185" s="1033"/>
      <c r="H1185" s="1033"/>
      <c r="I1185" s="1034" t="str">
        <f t="shared" si="279"/>
        <v/>
      </c>
      <c r="J1185" s="1033"/>
      <c r="K1185" s="1033"/>
      <c r="L1185" s="1034" t="str">
        <f t="shared" si="280"/>
        <v/>
      </c>
      <c r="M1185" s="1035"/>
      <c r="N1185" s="1035"/>
      <c r="O1185" s="1036" t="str">
        <f t="shared" si="281"/>
        <v/>
      </c>
      <c r="P1185" s="1033"/>
      <c r="Q1185" s="1033"/>
      <c r="R1185" s="1034" t="str">
        <f t="shared" si="282"/>
        <v>6201300112</v>
      </c>
      <c r="S1185" s="1035">
        <v>6201300</v>
      </c>
      <c r="T1185" s="1035">
        <v>112</v>
      </c>
      <c r="U1185" s="1034" t="str">
        <f t="shared" si="283"/>
        <v>631101130112</v>
      </c>
      <c r="V1185" s="1035">
        <v>631101130</v>
      </c>
      <c r="W1185" s="1035">
        <v>112</v>
      </c>
      <c r="X1185" s="1037" t="str">
        <f t="shared" si="284"/>
        <v>4</v>
      </c>
      <c r="Y1185" s="1035"/>
      <c r="Z1185" s="1035">
        <f t="shared" si="285"/>
        <v>4</v>
      </c>
      <c r="AA1185" s="1035"/>
      <c r="AB1185" s="1035"/>
      <c r="AC1185" s="1021">
        <v>410406</v>
      </c>
      <c r="AD1185" s="1021" t="s">
        <v>2334</v>
      </c>
      <c r="AE1185" s="1022">
        <v>0</v>
      </c>
      <c r="AF1185" s="1022"/>
      <c r="AG1185" s="1022">
        <f t="shared" si="286"/>
        <v>0</v>
      </c>
      <c r="AH1185" s="1022">
        <f t="shared" si="287"/>
        <v>0</v>
      </c>
      <c r="AK1185" s="448"/>
      <c r="AL1185" s="445"/>
    </row>
    <row r="1186" spans="1:38" s="467" customFormat="1" ht="12.75" customHeight="1">
      <c r="A1186" s="1033"/>
      <c r="B1186" s="1033"/>
      <c r="C1186" s="1034" t="str">
        <f t="shared" si="277"/>
        <v>671130000102</v>
      </c>
      <c r="D1186" s="1035">
        <v>671130000</v>
      </c>
      <c r="E1186" s="1035">
        <v>102</v>
      </c>
      <c r="F1186" s="1034" t="str">
        <f t="shared" si="278"/>
        <v/>
      </c>
      <c r="G1186" s="1033"/>
      <c r="H1186" s="1033"/>
      <c r="I1186" s="1034" t="str">
        <f t="shared" si="279"/>
        <v/>
      </c>
      <c r="J1186" s="1033"/>
      <c r="K1186" s="1033"/>
      <c r="L1186" s="1034" t="str">
        <f t="shared" si="280"/>
        <v/>
      </c>
      <c r="M1186" s="1035"/>
      <c r="N1186" s="1035"/>
      <c r="O1186" s="1036" t="str">
        <f t="shared" si="281"/>
        <v/>
      </c>
      <c r="P1186" s="1033"/>
      <c r="Q1186" s="1033"/>
      <c r="R1186" s="1034" t="str">
        <f t="shared" si="282"/>
        <v>6201300102</v>
      </c>
      <c r="S1186" s="1035">
        <v>6201300</v>
      </c>
      <c r="T1186" s="1035">
        <v>102</v>
      </c>
      <c r="U1186" s="1034" t="str">
        <f t="shared" si="283"/>
        <v>631101130102</v>
      </c>
      <c r="V1186" s="1035">
        <v>631101130</v>
      </c>
      <c r="W1186" s="1035">
        <v>102</v>
      </c>
      <c r="X1186" s="1037" t="str">
        <f t="shared" si="284"/>
        <v>4</v>
      </c>
      <c r="Y1186" s="1035"/>
      <c r="Z1186" s="1035">
        <f t="shared" si="285"/>
        <v>4</v>
      </c>
      <c r="AA1186" s="1035"/>
      <c r="AB1186" s="1035"/>
      <c r="AC1186" s="1021">
        <v>410407</v>
      </c>
      <c r="AD1186" s="1021" t="s">
        <v>1349</v>
      </c>
      <c r="AE1186" s="1022">
        <v>0</v>
      </c>
      <c r="AF1186" s="1022"/>
      <c r="AG1186" s="1022">
        <f t="shared" si="286"/>
        <v>0</v>
      </c>
      <c r="AH1186" s="1022">
        <f t="shared" si="287"/>
        <v>0</v>
      </c>
      <c r="AK1186" s="448"/>
      <c r="AL1186" s="445"/>
    </row>
    <row r="1187" spans="1:38" s="467" customFormat="1" ht="12.75" customHeight="1">
      <c r="A1187" s="1033"/>
      <c r="B1187" s="1033"/>
      <c r="C1187" s="1034" t="str">
        <f t="shared" si="277"/>
        <v>671130000103</v>
      </c>
      <c r="D1187" s="1035">
        <v>671130000</v>
      </c>
      <c r="E1187" s="1035">
        <v>103</v>
      </c>
      <c r="F1187" s="1034" t="str">
        <f t="shared" si="278"/>
        <v/>
      </c>
      <c r="G1187" s="1033"/>
      <c r="H1187" s="1033"/>
      <c r="I1187" s="1034" t="str">
        <f t="shared" si="279"/>
        <v/>
      </c>
      <c r="J1187" s="1035"/>
      <c r="K1187" s="1035"/>
      <c r="L1187" s="1034" t="str">
        <f t="shared" si="280"/>
        <v/>
      </c>
      <c r="M1187" s="1035"/>
      <c r="N1187" s="1035"/>
      <c r="O1187" s="1036" t="str">
        <f t="shared" si="281"/>
        <v/>
      </c>
      <c r="P1187" s="1033"/>
      <c r="Q1187" s="1033"/>
      <c r="R1187" s="1034" t="str">
        <f t="shared" si="282"/>
        <v>6201300103</v>
      </c>
      <c r="S1187" s="1035">
        <v>6201300</v>
      </c>
      <c r="T1187" s="1035">
        <v>103</v>
      </c>
      <c r="U1187" s="1034" t="str">
        <f t="shared" si="283"/>
        <v>631101130103</v>
      </c>
      <c r="V1187" s="1035">
        <v>631101130</v>
      </c>
      <c r="W1187" s="1035">
        <v>103</v>
      </c>
      <c r="X1187" s="1037" t="str">
        <f t="shared" si="284"/>
        <v>4</v>
      </c>
      <c r="Y1187" s="1035"/>
      <c r="Z1187" s="1035">
        <f t="shared" si="285"/>
        <v>4</v>
      </c>
      <c r="AA1187" s="1035"/>
      <c r="AB1187" s="1035"/>
      <c r="AC1187" s="1021">
        <v>410408</v>
      </c>
      <c r="AD1187" s="1021" t="s">
        <v>873</v>
      </c>
      <c r="AE1187" s="1022">
        <v>0</v>
      </c>
      <c r="AF1187" s="1022"/>
      <c r="AG1187" s="1022">
        <f t="shared" si="286"/>
        <v>0</v>
      </c>
      <c r="AH1187" s="1022">
        <f t="shared" si="287"/>
        <v>0</v>
      </c>
      <c r="AK1187" s="448"/>
      <c r="AL1187" s="445"/>
    </row>
    <row r="1188" spans="1:38" s="467" customFormat="1" ht="12.75" customHeight="1">
      <c r="A1188" s="1033"/>
      <c r="B1188" s="1033"/>
      <c r="C1188" s="1034" t="str">
        <f t="shared" si="277"/>
        <v>671130000104</v>
      </c>
      <c r="D1188" s="1035">
        <v>671130000</v>
      </c>
      <c r="E1188" s="1035">
        <v>104</v>
      </c>
      <c r="F1188" s="1034" t="str">
        <f t="shared" si="278"/>
        <v/>
      </c>
      <c r="G1188" s="1033"/>
      <c r="H1188" s="1033"/>
      <c r="I1188" s="1034" t="str">
        <f t="shared" si="279"/>
        <v/>
      </c>
      <c r="J1188" s="1035"/>
      <c r="K1188" s="1035"/>
      <c r="L1188" s="1034" t="str">
        <f t="shared" si="280"/>
        <v/>
      </c>
      <c r="M1188" s="1035"/>
      <c r="N1188" s="1035"/>
      <c r="O1188" s="1036" t="str">
        <f t="shared" si="281"/>
        <v/>
      </c>
      <c r="P1188" s="1033"/>
      <c r="Q1188" s="1033"/>
      <c r="R1188" s="1034" t="str">
        <f t="shared" si="282"/>
        <v>6201300104</v>
      </c>
      <c r="S1188" s="1035">
        <v>6201300</v>
      </c>
      <c r="T1188" s="1035">
        <v>104</v>
      </c>
      <c r="U1188" s="1034" t="str">
        <f t="shared" si="283"/>
        <v>631101130104</v>
      </c>
      <c r="V1188" s="1035">
        <v>631101130</v>
      </c>
      <c r="W1188" s="1035">
        <v>104</v>
      </c>
      <c r="X1188" s="1037" t="str">
        <f t="shared" si="284"/>
        <v>4</v>
      </c>
      <c r="Y1188" s="1035"/>
      <c r="Z1188" s="1035">
        <f t="shared" si="285"/>
        <v>4</v>
      </c>
      <c r="AA1188" s="1035"/>
      <c r="AB1188" s="1035"/>
      <c r="AC1188" s="1021">
        <v>410409</v>
      </c>
      <c r="AD1188" s="1021" t="s">
        <v>874</v>
      </c>
      <c r="AE1188" s="1022">
        <v>0</v>
      </c>
      <c r="AF1188" s="1022"/>
      <c r="AG1188" s="1022">
        <f t="shared" si="286"/>
        <v>0</v>
      </c>
      <c r="AH1188" s="1022">
        <f t="shared" si="287"/>
        <v>0</v>
      </c>
      <c r="AK1188" s="448"/>
      <c r="AL1188" s="445"/>
    </row>
    <row r="1189" spans="1:38" s="467" customFormat="1" ht="12.75" customHeight="1">
      <c r="A1189" s="1033"/>
      <c r="B1189" s="1033"/>
      <c r="C1189" s="1034" t="str">
        <f t="shared" si="277"/>
        <v>671130000114</v>
      </c>
      <c r="D1189" s="1035">
        <v>671130000</v>
      </c>
      <c r="E1189" s="1035">
        <v>114</v>
      </c>
      <c r="F1189" s="1034" t="str">
        <f t="shared" si="278"/>
        <v/>
      </c>
      <c r="G1189" s="1033"/>
      <c r="H1189" s="1033"/>
      <c r="I1189" s="1034" t="str">
        <f t="shared" si="279"/>
        <v/>
      </c>
      <c r="J1189" s="1033"/>
      <c r="K1189" s="1033"/>
      <c r="L1189" s="1034" t="str">
        <f t="shared" si="280"/>
        <v/>
      </c>
      <c r="M1189" s="1035"/>
      <c r="N1189" s="1035"/>
      <c r="O1189" s="1036" t="str">
        <f t="shared" si="281"/>
        <v/>
      </c>
      <c r="P1189" s="1033"/>
      <c r="Q1189" s="1033"/>
      <c r="R1189" s="1034" t="str">
        <f t="shared" si="282"/>
        <v>6201300114</v>
      </c>
      <c r="S1189" s="1035">
        <v>6201300</v>
      </c>
      <c r="T1189" s="1035">
        <v>114</v>
      </c>
      <c r="U1189" s="1034" t="str">
        <f t="shared" si="283"/>
        <v>631101130114</v>
      </c>
      <c r="V1189" s="1035">
        <v>631101130</v>
      </c>
      <c r="W1189" s="1035">
        <v>114</v>
      </c>
      <c r="X1189" s="1037" t="str">
        <f t="shared" si="284"/>
        <v>4</v>
      </c>
      <c r="Y1189" s="1035"/>
      <c r="Z1189" s="1035">
        <f t="shared" si="285"/>
        <v>4</v>
      </c>
      <c r="AA1189" s="1035"/>
      <c r="AB1189" s="1035"/>
      <c r="AC1189" s="1021">
        <v>410410</v>
      </c>
      <c r="AD1189" s="1021" t="s">
        <v>875</v>
      </c>
      <c r="AE1189" s="1022">
        <v>0</v>
      </c>
      <c r="AF1189" s="1022"/>
      <c r="AG1189" s="1022">
        <f t="shared" si="286"/>
        <v>0</v>
      </c>
      <c r="AH1189" s="1022">
        <f t="shared" si="287"/>
        <v>0</v>
      </c>
      <c r="AK1189" s="448"/>
      <c r="AL1189" s="445"/>
    </row>
    <row r="1190" spans="1:38" s="467" customFormat="1" ht="12.75" customHeight="1">
      <c r="A1190" s="1033"/>
      <c r="B1190" s="1033"/>
      <c r="C1190" s="1034" t="str">
        <f t="shared" si="277"/>
        <v>671130000110</v>
      </c>
      <c r="D1190" s="1035">
        <v>671130000</v>
      </c>
      <c r="E1190" s="1035">
        <v>110</v>
      </c>
      <c r="F1190" s="1034" t="str">
        <f t="shared" si="278"/>
        <v/>
      </c>
      <c r="G1190" s="1033"/>
      <c r="H1190" s="1033"/>
      <c r="I1190" s="1034" t="str">
        <f t="shared" si="279"/>
        <v/>
      </c>
      <c r="J1190" s="1033"/>
      <c r="K1190" s="1033"/>
      <c r="L1190" s="1034" t="str">
        <f t="shared" si="280"/>
        <v/>
      </c>
      <c r="M1190" s="1035"/>
      <c r="N1190" s="1035"/>
      <c r="O1190" s="1036" t="str">
        <f t="shared" si="281"/>
        <v/>
      </c>
      <c r="P1190" s="1033"/>
      <c r="Q1190" s="1033"/>
      <c r="R1190" s="1034" t="str">
        <f t="shared" si="282"/>
        <v>6201300110</v>
      </c>
      <c r="S1190" s="1035">
        <v>6201300</v>
      </c>
      <c r="T1190" s="1035">
        <v>110</v>
      </c>
      <c r="U1190" s="1034" t="str">
        <f t="shared" si="283"/>
        <v>631101130110</v>
      </c>
      <c r="V1190" s="1035">
        <v>631101130</v>
      </c>
      <c r="W1190" s="1035">
        <v>110</v>
      </c>
      <c r="X1190" s="1037" t="str">
        <f t="shared" si="284"/>
        <v>4</v>
      </c>
      <c r="Y1190" s="1035"/>
      <c r="Z1190" s="1035">
        <f t="shared" si="285"/>
        <v>4</v>
      </c>
      <c r="AA1190" s="1035"/>
      <c r="AB1190" s="1035"/>
      <c r="AC1190" s="1021">
        <v>410411</v>
      </c>
      <c r="AD1190" s="1021" t="s">
        <v>876</v>
      </c>
      <c r="AE1190" s="1022">
        <v>0</v>
      </c>
      <c r="AF1190" s="1022"/>
      <c r="AG1190" s="1022">
        <f t="shared" si="286"/>
        <v>0</v>
      </c>
      <c r="AH1190" s="1022">
        <f t="shared" si="287"/>
        <v>0</v>
      </c>
      <c r="AK1190" s="448"/>
      <c r="AL1190" s="445"/>
    </row>
    <row r="1191" spans="1:38" s="467" customFormat="1" ht="12.75" customHeight="1">
      <c r="A1191" s="1033"/>
      <c r="B1191" s="1033"/>
      <c r="C1191" s="1034" t="str">
        <f t="shared" si="277"/>
        <v>671130000210</v>
      </c>
      <c r="D1191" s="1035">
        <v>671130000</v>
      </c>
      <c r="E1191" s="1035">
        <v>210</v>
      </c>
      <c r="F1191" s="1034" t="str">
        <f t="shared" si="278"/>
        <v/>
      </c>
      <c r="G1191" s="1033"/>
      <c r="H1191" s="1033"/>
      <c r="I1191" s="1034" t="str">
        <f t="shared" si="279"/>
        <v/>
      </c>
      <c r="J1191" s="1033"/>
      <c r="K1191" s="1033"/>
      <c r="L1191" s="1034" t="str">
        <f t="shared" si="280"/>
        <v/>
      </c>
      <c r="M1191" s="1035"/>
      <c r="N1191" s="1035"/>
      <c r="O1191" s="1036" t="str">
        <f t="shared" si="281"/>
        <v/>
      </c>
      <c r="P1191" s="1033"/>
      <c r="Q1191" s="1033"/>
      <c r="R1191" s="1034" t="str">
        <f t="shared" si="282"/>
        <v>6201300210</v>
      </c>
      <c r="S1191" s="1035">
        <v>6201300</v>
      </c>
      <c r="T1191" s="1035">
        <v>210</v>
      </c>
      <c r="U1191" s="1034" t="str">
        <f t="shared" si="283"/>
        <v>631101130210</v>
      </c>
      <c r="V1191" s="1035">
        <v>631101130</v>
      </c>
      <c r="W1191" s="1035">
        <v>210</v>
      </c>
      <c r="X1191" s="1037" t="str">
        <f t="shared" si="284"/>
        <v>4</v>
      </c>
      <c r="Y1191" s="1035"/>
      <c r="Z1191" s="1035">
        <f t="shared" si="285"/>
        <v>4</v>
      </c>
      <c r="AA1191" s="1035"/>
      <c r="AB1191" s="1035"/>
      <c r="AC1191" s="1021">
        <v>410412</v>
      </c>
      <c r="AD1191" s="1021" t="s">
        <v>572</v>
      </c>
      <c r="AE1191" s="1022">
        <v>0</v>
      </c>
      <c r="AF1191" s="1022"/>
      <c r="AG1191" s="1022">
        <f t="shared" si="286"/>
        <v>0</v>
      </c>
      <c r="AH1191" s="1022">
        <f t="shared" si="287"/>
        <v>0</v>
      </c>
      <c r="AK1191" s="448"/>
      <c r="AL1191" s="445"/>
    </row>
    <row r="1192" spans="1:38" s="467" customFormat="1" ht="12.75" customHeight="1">
      <c r="A1192" s="1033">
        <v>5313220</v>
      </c>
      <c r="B1192" s="1033" t="s">
        <v>2834</v>
      </c>
      <c r="C1192" s="1034"/>
      <c r="D1192" s="1035"/>
      <c r="E1192" s="1035"/>
      <c r="F1192" s="1034"/>
      <c r="G1192" s="1033"/>
      <c r="H1192" s="1033"/>
      <c r="I1192" s="1034"/>
      <c r="J1192" s="1033"/>
      <c r="K1192" s="1033"/>
      <c r="L1192" s="1034"/>
      <c r="M1192" s="1035"/>
      <c r="N1192" s="1035"/>
      <c r="O1192" s="1036"/>
      <c r="P1192" s="1033"/>
      <c r="Q1192" s="1033"/>
      <c r="R1192" s="1034"/>
      <c r="S1192" s="1035"/>
      <c r="T1192" s="1035"/>
      <c r="U1192" s="1034"/>
      <c r="V1192" s="1035"/>
      <c r="W1192" s="1035"/>
      <c r="X1192" s="1037"/>
      <c r="Y1192" s="1035"/>
      <c r="Z1192" s="1035">
        <f t="shared" si="285"/>
        <v>4</v>
      </c>
      <c r="AA1192" s="1035"/>
      <c r="AB1192" s="1035"/>
      <c r="AC1192" s="1021">
        <v>410480</v>
      </c>
      <c r="AD1192" s="1021" t="s">
        <v>2335</v>
      </c>
      <c r="AE1192" s="1022">
        <f>VLOOKUP(AC1192,[5]Hoja1!$A$10:$K$1393,11,0)</f>
        <v>-27024363</v>
      </c>
      <c r="AF1192" s="1022"/>
      <c r="AG1192" s="1022">
        <f t="shared" si="286"/>
        <v>-27024363</v>
      </c>
      <c r="AH1192" s="1022">
        <f t="shared" si="287"/>
        <v>-27024</v>
      </c>
      <c r="AK1192" s="448"/>
      <c r="AL1192" s="445"/>
    </row>
    <row r="1193" spans="1:38" s="467" customFormat="1" ht="12.75" customHeight="1">
      <c r="A1193" s="1033">
        <v>5313220</v>
      </c>
      <c r="B1193" s="1033" t="s">
        <v>2834</v>
      </c>
      <c r="C1193" s="1034"/>
      <c r="D1193" s="1035"/>
      <c r="E1193" s="1035"/>
      <c r="F1193" s="1034"/>
      <c r="G1193" s="1033"/>
      <c r="H1193" s="1033"/>
      <c r="I1193" s="1034"/>
      <c r="J1193" s="1033"/>
      <c r="K1193" s="1033"/>
      <c r="L1193" s="1034"/>
      <c r="M1193" s="1035"/>
      <c r="N1193" s="1035"/>
      <c r="O1193" s="1036"/>
      <c r="P1193" s="1033"/>
      <c r="Q1193" s="1033"/>
      <c r="R1193" s="1034"/>
      <c r="S1193" s="1035"/>
      <c r="T1193" s="1035"/>
      <c r="U1193" s="1034"/>
      <c r="V1193" s="1035"/>
      <c r="W1193" s="1035"/>
      <c r="X1193" s="1037"/>
      <c r="Y1193" s="1035"/>
      <c r="Z1193" s="1035">
        <f t="shared" si="285"/>
        <v>4</v>
      </c>
      <c r="AA1193" s="1035"/>
      <c r="AB1193" s="1035"/>
      <c r="AC1193" s="1021">
        <v>410481</v>
      </c>
      <c r="AD1193" s="1021" t="s">
        <v>2336</v>
      </c>
      <c r="AE1193" s="1022">
        <f>VLOOKUP(AC1193,[5]Hoja1!$A$10:$K$1393,11,0)</f>
        <v>67438397</v>
      </c>
      <c r="AF1193" s="1022"/>
      <c r="AG1193" s="1022">
        <f t="shared" si="286"/>
        <v>67438397</v>
      </c>
      <c r="AH1193" s="1022">
        <f t="shared" si="287"/>
        <v>67438</v>
      </c>
      <c r="AK1193" s="448"/>
      <c r="AL1193" s="445"/>
    </row>
    <row r="1194" spans="1:38" s="467" customFormat="1" ht="12.75" customHeight="1">
      <c r="A1194" s="1033">
        <v>5313220</v>
      </c>
      <c r="B1194" s="1033" t="s">
        <v>2834</v>
      </c>
      <c r="C1194" s="1034"/>
      <c r="D1194" s="1035"/>
      <c r="E1194" s="1035"/>
      <c r="F1194" s="1034"/>
      <c r="G1194" s="1033"/>
      <c r="H1194" s="1033"/>
      <c r="I1194" s="1034"/>
      <c r="J1194" s="1033"/>
      <c r="K1194" s="1033"/>
      <c r="L1194" s="1034"/>
      <c r="M1194" s="1035"/>
      <c r="N1194" s="1035"/>
      <c r="O1194" s="1036"/>
      <c r="P1194" s="1033"/>
      <c r="Q1194" s="1033"/>
      <c r="R1194" s="1034"/>
      <c r="S1194" s="1035"/>
      <c r="T1194" s="1035"/>
      <c r="U1194" s="1034"/>
      <c r="V1194" s="1035"/>
      <c r="W1194" s="1035"/>
      <c r="X1194" s="1037"/>
      <c r="Y1194" s="1035"/>
      <c r="Z1194" s="1035">
        <f t="shared" si="285"/>
        <v>4</v>
      </c>
      <c r="AA1194" s="1035"/>
      <c r="AB1194" s="1035"/>
      <c r="AC1194" s="1021">
        <v>410482</v>
      </c>
      <c r="AD1194" s="1021" t="s">
        <v>2337</v>
      </c>
      <c r="AE1194" s="1022">
        <f>VLOOKUP(AC1194,[5]Hoja1!$A$10:$K$1393,11,0)</f>
        <v>9765767</v>
      </c>
      <c r="AF1194" s="1022"/>
      <c r="AG1194" s="1022">
        <f t="shared" si="286"/>
        <v>9765767</v>
      </c>
      <c r="AH1194" s="1022">
        <f t="shared" si="287"/>
        <v>9766</v>
      </c>
      <c r="AK1194" s="448"/>
      <c r="AL1194" s="445"/>
    </row>
    <row r="1195" spans="1:38" s="467" customFormat="1" ht="12.75" customHeight="1">
      <c r="A1195" s="1033">
        <v>5313220</v>
      </c>
      <c r="B1195" s="1033" t="s">
        <v>2834</v>
      </c>
      <c r="C1195" s="1034"/>
      <c r="D1195" s="1035"/>
      <c r="E1195" s="1035"/>
      <c r="F1195" s="1034"/>
      <c r="G1195" s="1033"/>
      <c r="H1195" s="1033"/>
      <c r="I1195" s="1034"/>
      <c r="J1195" s="1033"/>
      <c r="K1195" s="1033"/>
      <c r="L1195" s="1034"/>
      <c r="M1195" s="1035"/>
      <c r="N1195" s="1035"/>
      <c r="O1195" s="1036"/>
      <c r="P1195" s="1033"/>
      <c r="Q1195" s="1033"/>
      <c r="R1195" s="1034"/>
      <c r="S1195" s="1035"/>
      <c r="T1195" s="1035"/>
      <c r="U1195" s="1034"/>
      <c r="V1195" s="1035"/>
      <c r="W1195" s="1035"/>
      <c r="X1195" s="1037"/>
      <c r="Y1195" s="1035"/>
      <c r="Z1195" s="1035">
        <f t="shared" si="285"/>
        <v>4</v>
      </c>
      <c r="AA1195" s="1035"/>
      <c r="AB1195" s="1035"/>
      <c r="AC1195" s="1021">
        <v>410483</v>
      </c>
      <c r="AD1195" s="1021" t="s">
        <v>2338</v>
      </c>
      <c r="AE1195" s="1022">
        <f>VLOOKUP(AC1195,[5]Hoja1!$A$10:$K$1393,11,0)</f>
        <v>148560</v>
      </c>
      <c r="AF1195" s="1022"/>
      <c r="AG1195" s="1022">
        <f t="shared" si="286"/>
        <v>148560</v>
      </c>
      <c r="AH1195" s="1022">
        <f t="shared" si="287"/>
        <v>149</v>
      </c>
      <c r="AK1195" s="448"/>
      <c r="AL1195" s="445"/>
    </row>
    <row r="1196" spans="1:38" s="467" customFormat="1" ht="12.75" customHeight="1">
      <c r="A1196" s="1033">
        <v>5313220</v>
      </c>
      <c r="B1196" s="1033" t="s">
        <v>2834</v>
      </c>
      <c r="C1196" s="1034"/>
      <c r="D1196" s="1035"/>
      <c r="E1196" s="1035"/>
      <c r="F1196" s="1034"/>
      <c r="G1196" s="1033"/>
      <c r="H1196" s="1033"/>
      <c r="I1196" s="1034"/>
      <c r="J1196" s="1033"/>
      <c r="K1196" s="1033"/>
      <c r="L1196" s="1034"/>
      <c r="M1196" s="1035"/>
      <c r="N1196" s="1035"/>
      <c r="O1196" s="1036"/>
      <c r="P1196" s="1033"/>
      <c r="Q1196" s="1033"/>
      <c r="R1196" s="1034"/>
      <c r="S1196" s="1035"/>
      <c r="T1196" s="1035"/>
      <c r="U1196" s="1034"/>
      <c r="V1196" s="1035"/>
      <c r="W1196" s="1035"/>
      <c r="X1196" s="1037"/>
      <c r="Y1196" s="1035"/>
      <c r="Z1196" s="1035">
        <f t="shared" si="285"/>
        <v>4</v>
      </c>
      <c r="AA1196" s="1035"/>
      <c r="AB1196" s="1035"/>
      <c r="AC1196" s="1021">
        <v>410484</v>
      </c>
      <c r="AD1196" s="1021" t="s">
        <v>2634</v>
      </c>
      <c r="AE1196" s="1022">
        <f>VLOOKUP(AC1196,[5]Hoja1!$A$10:$K$1393,11,0)</f>
        <v>3532322</v>
      </c>
      <c r="AF1196" s="1022">
        <v>0</v>
      </c>
      <c r="AG1196" s="1022">
        <f t="shared" si="286"/>
        <v>3532322</v>
      </c>
      <c r="AH1196" s="1022">
        <f t="shared" si="287"/>
        <v>3532</v>
      </c>
      <c r="AK1196" s="448"/>
      <c r="AL1196" s="445"/>
    </row>
    <row r="1197" spans="1:38" s="467" customFormat="1" ht="12.75" customHeight="1">
      <c r="A1197" s="1033">
        <v>5313320</v>
      </c>
      <c r="B1197" s="1033" t="s">
        <v>2834</v>
      </c>
      <c r="C1197" s="1034"/>
      <c r="D1197" s="1035"/>
      <c r="E1197" s="1035"/>
      <c r="F1197" s="1034"/>
      <c r="G1197" s="1033"/>
      <c r="H1197" s="1033"/>
      <c r="I1197" s="1034"/>
      <c r="J1197" s="1033"/>
      <c r="K1197" s="1033"/>
      <c r="L1197" s="1034"/>
      <c r="M1197" s="1035"/>
      <c r="N1197" s="1035"/>
      <c r="O1197" s="1036"/>
      <c r="P1197" s="1033"/>
      <c r="Q1197" s="1033"/>
      <c r="R1197" s="1034"/>
      <c r="S1197" s="1035"/>
      <c r="T1197" s="1035"/>
      <c r="U1197" s="1034"/>
      <c r="V1197" s="1035"/>
      <c r="W1197" s="1035"/>
      <c r="X1197" s="1037"/>
      <c r="Y1197" s="1035"/>
      <c r="Z1197" s="1035">
        <f t="shared" si="285"/>
        <v>4</v>
      </c>
      <c r="AA1197" s="1035"/>
      <c r="AB1197" s="1035"/>
      <c r="AC1197" s="1021">
        <v>410490</v>
      </c>
      <c r="AD1197" s="1021" t="s">
        <v>1086</v>
      </c>
      <c r="AE1197" s="1022">
        <f>VLOOKUP(AC1197,[5]Hoja1!$A$10:$K$1393,11,0)</f>
        <v>-375649333</v>
      </c>
      <c r="AF1197" s="1022"/>
      <c r="AG1197" s="1022">
        <f t="shared" si="286"/>
        <v>-375649333</v>
      </c>
      <c r="AH1197" s="1022">
        <f t="shared" si="287"/>
        <v>-375649</v>
      </c>
      <c r="AK1197" s="448"/>
      <c r="AL1197" s="445"/>
    </row>
    <row r="1198" spans="1:38" s="467" customFormat="1" ht="12.75" customHeight="1">
      <c r="A1198" s="1033">
        <v>5313120</v>
      </c>
      <c r="B1198" s="1033" t="s">
        <v>2834</v>
      </c>
      <c r="C1198" s="1034"/>
      <c r="D1198" s="1035"/>
      <c r="E1198" s="1035"/>
      <c r="F1198" s="1034"/>
      <c r="G1198" s="1033"/>
      <c r="H1198" s="1033"/>
      <c r="I1198" s="1034"/>
      <c r="J1198" s="1033"/>
      <c r="K1198" s="1033"/>
      <c r="L1198" s="1034"/>
      <c r="M1198" s="1035"/>
      <c r="N1198" s="1035"/>
      <c r="O1198" s="1036"/>
      <c r="P1198" s="1033"/>
      <c r="Q1198" s="1033"/>
      <c r="R1198" s="1034"/>
      <c r="S1198" s="1035"/>
      <c r="T1198" s="1035"/>
      <c r="U1198" s="1034"/>
      <c r="V1198" s="1035"/>
      <c r="W1198" s="1035"/>
      <c r="X1198" s="1037"/>
      <c r="Y1198" s="1035"/>
      <c r="Z1198" s="1035">
        <f t="shared" si="285"/>
        <v>4</v>
      </c>
      <c r="AA1198" s="1035"/>
      <c r="AB1198" s="1035"/>
      <c r="AC1198" s="1021">
        <v>410491</v>
      </c>
      <c r="AD1198" s="1021" t="s">
        <v>2559</v>
      </c>
      <c r="AE1198" s="1022">
        <f>VLOOKUP(AC1198,[5]Hoja1!$A$10:$K$1393,11,0)</f>
        <v>-698134919</v>
      </c>
      <c r="AF1198" s="1022"/>
      <c r="AG1198" s="1022">
        <f t="shared" si="286"/>
        <v>-698134919</v>
      </c>
      <c r="AH1198" s="1022">
        <f t="shared" si="287"/>
        <v>-698135</v>
      </c>
      <c r="AK1198" s="448"/>
      <c r="AL1198" s="445"/>
    </row>
    <row r="1199" spans="1:38" s="467" customFormat="1" ht="12.75" customHeight="1">
      <c r="A1199" s="1033">
        <v>5313120</v>
      </c>
      <c r="B1199" s="1033" t="s">
        <v>2834</v>
      </c>
      <c r="C1199" s="1034"/>
      <c r="D1199" s="1035"/>
      <c r="E1199" s="1035"/>
      <c r="F1199" s="1034"/>
      <c r="G1199" s="1033"/>
      <c r="H1199" s="1033"/>
      <c r="I1199" s="1034"/>
      <c r="J1199" s="1033"/>
      <c r="K1199" s="1033"/>
      <c r="L1199" s="1034"/>
      <c r="M1199" s="1035"/>
      <c r="N1199" s="1035"/>
      <c r="O1199" s="1036"/>
      <c r="P1199" s="1033"/>
      <c r="Q1199" s="1033"/>
      <c r="R1199" s="1034"/>
      <c r="S1199" s="1035"/>
      <c r="T1199" s="1035"/>
      <c r="U1199" s="1034"/>
      <c r="V1199" s="1035"/>
      <c r="W1199" s="1035"/>
      <c r="X1199" s="1037"/>
      <c r="Y1199" s="1035"/>
      <c r="Z1199" s="1035">
        <f t="shared" si="285"/>
        <v>4</v>
      </c>
      <c r="AA1199" s="1035"/>
      <c r="AB1199" s="1035"/>
      <c r="AC1199" s="1021">
        <v>410492</v>
      </c>
      <c r="AD1199" s="1021" t="s">
        <v>2560</v>
      </c>
      <c r="AE1199" s="1022">
        <f>VLOOKUP(AC1199,[5]Hoja1!$A$10:$K$1393,11,0)</f>
        <v>0</v>
      </c>
      <c r="AF1199" s="1022"/>
      <c r="AG1199" s="1022">
        <f t="shared" si="286"/>
        <v>0</v>
      </c>
      <c r="AH1199" s="1022">
        <f t="shared" si="287"/>
        <v>0</v>
      </c>
      <c r="AK1199" s="448"/>
      <c r="AL1199" s="445"/>
    </row>
    <row r="1200" spans="1:38" s="467" customFormat="1" ht="12.75" customHeight="1">
      <c r="A1200" s="1033">
        <v>5313120</v>
      </c>
      <c r="B1200" s="1033" t="s">
        <v>2834</v>
      </c>
      <c r="C1200" s="1034"/>
      <c r="D1200" s="1035"/>
      <c r="E1200" s="1035"/>
      <c r="F1200" s="1034"/>
      <c r="G1200" s="1033"/>
      <c r="H1200" s="1033"/>
      <c r="I1200" s="1034"/>
      <c r="J1200" s="1033"/>
      <c r="K1200" s="1033"/>
      <c r="L1200" s="1034"/>
      <c r="M1200" s="1035"/>
      <c r="N1200" s="1035"/>
      <c r="O1200" s="1036"/>
      <c r="P1200" s="1033"/>
      <c r="Q1200" s="1033"/>
      <c r="R1200" s="1034"/>
      <c r="S1200" s="1035"/>
      <c r="T1200" s="1035"/>
      <c r="U1200" s="1034"/>
      <c r="V1200" s="1035"/>
      <c r="W1200" s="1035"/>
      <c r="X1200" s="1037"/>
      <c r="Y1200" s="1035"/>
      <c r="Z1200" s="1035">
        <f t="shared" si="285"/>
        <v>4</v>
      </c>
      <c r="AA1200" s="1035"/>
      <c r="AB1200" s="1035"/>
      <c r="AC1200" s="1021">
        <v>410494</v>
      </c>
      <c r="AD1200" s="1021" t="s">
        <v>2637</v>
      </c>
      <c r="AE1200" s="1022">
        <f>VLOOKUP(AC1200,[5]Hoja1!$A$10:$K$1393,11,0)</f>
        <v>-153760000</v>
      </c>
      <c r="AF1200" s="1022"/>
      <c r="AG1200" s="1022">
        <f t="shared" si="286"/>
        <v>-153760000</v>
      </c>
      <c r="AH1200" s="1022">
        <f t="shared" si="287"/>
        <v>-153760</v>
      </c>
      <c r="AK1200" s="448"/>
      <c r="AL1200" s="445"/>
    </row>
    <row r="1201" spans="1:38" s="467" customFormat="1" ht="12.75" customHeight="1">
      <c r="A1201" s="1033">
        <v>5313320</v>
      </c>
      <c r="B1201" s="1033" t="s">
        <v>2834</v>
      </c>
      <c r="C1201" s="1034" t="str">
        <f t="shared" si="277"/>
        <v/>
      </c>
      <c r="D1201" s="1035"/>
      <c r="E1201" s="1035"/>
      <c r="F1201" s="1034" t="str">
        <f t="shared" si="278"/>
        <v/>
      </c>
      <c r="G1201" s="1033"/>
      <c r="H1201" s="1033"/>
      <c r="I1201" s="1034" t="str">
        <f t="shared" si="279"/>
        <v/>
      </c>
      <c r="J1201" s="1033"/>
      <c r="K1201" s="1033"/>
      <c r="L1201" s="1034" t="str">
        <f t="shared" si="280"/>
        <v/>
      </c>
      <c r="M1201" s="1035"/>
      <c r="N1201" s="1035"/>
      <c r="O1201" s="1036" t="str">
        <f t="shared" si="281"/>
        <v/>
      </c>
      <c r="P1201" s="1033"/>
      <c r="Q1201" s="1033"/>
      <c r="R1201" s="1034" t="str">
        <f t="shared" si="282"/>
        <v/>
      </c>
      <c r="S1201" s="1035"/>
      <c r="T1201" s="1035"/>
      <c r="U1201" s="1034" t="str">
        <f t="shared" si="283"/>
        <v/>
      </c>
      <c r="V1201" s="1035"/>
      <c r="W1201" s="1035"/>
      <c r="X1201" s="1037" t="str">
        <f t="shared" ref="X1201:X1219" si="288">+Y1201&amp;Z1201</f>
        <v>4</v>
      </c>
      <c r="Y1201" s="1035"/>
      <c r="Z1201" s="1035">
        <f t="shared" si="285"/>
        <v>4</v>
      </c>
      <c r="AA1201" s="1035"/>
      <c r="AB1201" s="1035"/>
      <c r="AC1201" s="1021">
        <v>410501</v>
      </c>
      <c r="AD1201" s="1021" t="s">
        <v>2339</v>
      </c>
      <c r="AE1201" s="1022">
        <f>VLOOKUP(AC1201,[5]Hoja1!$A$10:$K$1393,11,0)</f>
        <v>0</v>
      </c>
      <c r="AF1201" s="1022"/>
      <c r="AG1201" s="1022">
        <f t="shared" si="286"/>
        <v>0</v>
      </c>
      <c r="AH1201" s="1022">
        <f t="shared" si="287"/>
        <v>0</v>
      </c>
      <c r="AK1201" s="448"/>
      <c r="AL1201" s="445"/>
    </row>
    <row r="1202" spans="1:38" s="467" customFormat="1" ht="12.75" customHeight="1">
      <c r="A1202" s="1033">
        <v>5313120</v>
      </c>
      <c r="B1202" s="1033" t="s">
        <v>2834</v>
      </c>
      <c r="C1202" s="1034" t="str">
        <f t="shared" si="277"/>
        <v/>
      </c>
      <c r="D1202" s="1035"/>
      <c r="E1202" s="1035"/>
      <c r="F1202" s="1034" t="str">
        <f t="shared" si="278"/>
        <v/>
      </c>
      <c r="G1202" s="1033"/>
      <c r="H1202" s="1033"/>
      <c r="I1202" s="1034" t="str">
        <f t="shared" si="279"/>
        <v/>
      </c>
      <c r="J1202" s="1033"/>
      <c r="K1202" s="1033"/>
      <c r="L1202" s="1034" t="str">
        <f t="shared" si="280"/>
        <v/>
      </c>
      <c r="M1202" s="1035"/>
      <c r="N1202" s="1035"/>
      <c r="O1202" s="1036" t="str">
        <f t="shared" si="281"/>
        <v/>
      </c>
      <c r="P1202" s="1033"/>
      <c r="Q1202" s="1033"/>
      <c r="R1202" s="1034" t="str">
        <f t="shared" si="282"/>
        <v/>
      </c>
      <c r="S1202" s="1035"/>
      <c r="T1202" s="1035"/>
      <c r="U1202" s="1034" t="str">
        <f t="shared" si="283"/>
        <v/>
      </c>
      <c r="V1202" s="1035"/>
      <c r="W1202" s="1035"/>
      <c r="X1202" s="1037" t="str">
        <f t="shared" si="288"/>
        <v>4</v>
      </c>
      <c r="Y1202" s="1035"/>
      <c r="Z1202" s="1035">
        <f t="shared" si="285"/>
        <v>4</v>
      </c>
      <c r="AA1202" s="1035"/>
      <c r="AB1202" s="1035"/>
      <c r="AC1202" s="1021">
        <v>410502</v>
      </c>
      <c r="AD1202" s="1021" t="s">
        <v>2340</v>
      </c>
      <c r="AE1202" s="1022">
        <f>VLOOKUP(AC1202,[5]Hoja1!$A$10:$K$1393,11,0)</f>
        <v>-683913237</v>
      </c>
      <c r="AF1202" s="1022"/>
      <c r="AG1202" s="1022">
        <f t="shared" si="286"/>
        <v>-683913237</v>
      </c>
      <c r="AH1202" s="1022">
        <f t="shared" si="287"/>
        <v>-683913</v>
      </c>
      <c r="AK1202" s="448"/>
      <c r="AL1202" s="445"/>
    </row>
    <row r="1203" spans="1:38" s="467" customFormat="1" ht="12.75" customHeight="1">
      <c r="A1203" s="1033">
        <v>5313320</v>
      </c>
      <c r="B1203" s="1033" t="s">
        <v>2834</v>
      </c>
      <c r="C1203" s="1034" t="str">
        <f t="shared" si="277"/>
        <v/>
      </c>
      <c r="D1203" s="1035"/>
      <c r="E1203" s="1035"/>
      <c r="F1203" s="1034" t="str">
        <f t="shared" si="278"/>
        <v/>
      </c>
      <c r="G1203" s="1033"/>
      <c r="H1203" s="1033"/>
      <c r="I1203" s="1034" t="str">
        <f t="shared" si="279"/>
        <v/>
      </c>
      <c r="J1203" s="1033"/>
      <c r="K1203" s="1033"/>
      <c r="L1203" s="1034" t="str">
        <f t="shared" si="280"/>
        <v/>
      </c>
      <c r="M1203" s="1035"/>
      <c r="N1203" s="1035"/>
      <c r="O1203" s="1036" t="str">
        <f t="shared" si="281"/>
        <v/>
      </c>
      <c r="P1203" s="1035"/>
      <c r="Q1203" s="1033"/>
      <c r="R1203" s="1034" t="str">
        <f t="shared" si="282"/>
        <v/>
      </c>
      <c r="S1203" s="1035"/>
      <c r="T1203" s="1035"/>
      <c r="U1203" s="1034" t="str">
        <f t="shared" si="283"/>
        <v/>
      </c>
      <c r="V1203" s="1035"/>
      <c r="W1203" s="1035"/>
      <c r="X1203" s="1037" t="str">
        <f t="shared" si="288"/>
        <v>4</v>
      </c>
      <c r="Y1203" s="1035"/>
      <c r="Z1203" s="1035">
        <f t="shared" si="285"/>
        <v>4</v>
      </c>
      <c r="AA1203" s="1035"/>
      <c r="AB1203" s="1035"/>
      <c r="AC1203" s="1021">
        <v>410503</v>
      </c>
      <c r="AD1203" s="1021" t="s">
        <v>1292</v>
      </c>
      <c r="AE1203" s="1022">
        <f>VLOOKUP(AC1203,[5]Hoja1!$A$10:$K$1393,11,0)</f>
        <v>479288828</v>
      </c>
      <c r="AF1203" s="1022"/>
      <c r="AG1203" s="1022">
        <f t="shared" si="286"/>
        <v>479288828</v>
      </c>
      <c r="AH1203" s="1022">
        <f t="shared" si="287"/>
        <v>479289</v>
      </c>
      <c r="AI1203" s="445"/>
      <c r="AK1203" s="448"/>
      <c r="AL1203" s="445"/>
    </row>
    <row r="1204" spans="1:38" s="467" customFormat="1" ht="12.75" customHeight="1">
      <c r="A1204" s="1033">
        <v>5313500</v>
      </c>
      <c r="B1204" s="1033" t="s">
        <v>2840</v>
      </c>
      <c r="C1204" s="1034" t="str">
        <f t="shared" si="277"/>
        <v/>
      </c>
      <c r="D1204" s="1035"/>
      <c r="E1204" s="1035"/>
      <c r="F1204" s="1034" t="str">
        <f t="shared" si="278"/>
        <v/>
      </c>
      <c r="G1204" s="1033"/>
      <c r="H1204" s="1033"/>
      <c r="I1204" s="1034" t="str">
        <f t="shared" si="279"/>
        <v/>
      </c>
      <c r="J1204" s="1033"/>
      <c r="K1204" s="1033"/>
      <c r="L1204" s="1034" t="str">
        <f t="shared" si="280"/>
        <v/>
      </c>
      <c r="M1204" s="1035"/>
      <c r="N1204" s="1035"/>
      <c r="O1204" s="1036" t="str">
        <f t="shared" si="281"/>
        <v/>
      </c>
      <c r="P1204" s="1035"/>
      <c r="Q1204" s="1033"/>
      <c r="R1204" s="1034" t="str">
        <f t="shared" si="282"/>
        <v/>
      </c>
      <c r="S1204" s="1035"/>
      <c r="T1204" s="1035"/>
      <c r="U1204" s="1034" t="str">
        <f t="shared" si="283"/>
        <v/>
      </c>
      <c r="V1204" s="1035"/>
      <c r="W1204" s="1035"/>
      <c r="X1204" s="1037" t="str">
        <f t="shared" si="288"/>
        <v>4</v>
      </c>
      <c r="Y1204" s="1035"/>
      <c r="Z1204" s="1035">
        <f t="shared" si="285"/>
        <v>4</v>
      </c>
      <c r="AA1204" s="1035"/>
      <c r="AB1204" s="1035"/>
      <c r="AC1204" s="1021">
        <v>410504</v>
      </c>
      <c r="AD1204" s="1021" t="s">
        <v>2341</v>
      </c>
      <c r="AE1204" s="1022">
        <f>VLOOKUP(AC1204,[5]Hoja1!$A$10:$K$1393,11,0)</f>
        <v>2730306360</v>
      </c>
      <c r="AF1204" s="1022"/>
      <c r="AG1204" s="1022">
        <f t="shared" si="286"/>
        <v>2730306360</v>
      </c>
      <c r="AH1204" s="1022">
        <f t="shared" si="287"/>
        <v>2730306</v>
      </c>
      <c r="AI1204" s="445"/>
      <c r="AK1204" s="448"/>
      <c r="AL1204" s="445"/>
    </row>
    <row r="1205" spans="1:38" s="467" customFormat="1" ht="12.75" customHeight="1">
      <c r="A1205" s="1033">
        <v>5313320</v>
      </c>
      <c r="B1205" s="1033" t="s">
        <v>2834</v>
      </c>
      <c r="C1205" s="1034" t="str">
        <f t="shared" si="277"/>
        <v/>
      </c>
      <c r="D1205" s="1035"/>
      <c r="E1205" s="1035"/>
      <c r="F1205" s="1034" t="str">
        <f t="shared" si="278"/>
        <v/>
      </c>
      <c r="G1205" s="1033"/>
      <c r="H1205" s="1033"/>
      <c r="I1205" s="1034" t="str">
        <f t="shared" si="279"/>
        <v/>
      </c>
      <c r="J1205" s="1033"/>
      <c r="K1205" s="1033"/>
      <c r="L1205" s="1034" t="str">
        <f t="shared" si="280"/>
        <v/>
      </c>
      <c r="M1205" s="1035"/>
      <c r="N1205" s="1035"/>
      <c r="O1205" s="1036" t="str">
        <f t="shared" si="281"/>
        <v/>
      </c>
      <c r="P1205" s="1035"/>
      <c r="Q1205" s="1033"/>
      <c r="R1205" s="1034" t="str">
        <f t="shared" si="282"/>
        <v/>
      </c>
      <c r="S1205" s="1035"/>
      <c r="T1205" s="1035"/>
      <c r="U1205" s="1034" t="str">
        <f t="shared" si="283"/>
        <v/>
      </c>
      <c r="V1205" s="1035"/>
      <c r="W1205" s="1035"/>
      <c r="X1205" s="1037" t="str">
        <f t="shared" si="288"/>
        <v>4</v>
      </c>
      <c r="Y1205" s="1035"/>
      <c r="Z1205" s="1035">
        <f t="shared" si="285"/>
        <v>4</v>
      </c>
      <c r="AA1205" s="1035"/>
      <c r="AB1205" s="1035"/>
      <c r="AC1205" s="1021">
        <v>410505</v>
      </c>
      <c r="AD1205" s="1021" t="s">
        <v>2342</v>
      </c>
      <c r="AE1205" s="1022">
        <f>VLOOKUP(AC1205,[5]Hoja1!$A$10:$K$1393,11,0)</f>
        <v>-1455231207</v>
      </c>
      <c r="AF1205" s="1022"/>
      <c r="AG1205" s="1022">
        <f t="shared" si="286"/>
        <v>-1455231207</v>
      </c>
      <c r="AH1205" s="1022">
        <f t="shared" si="287"/>
        <v>-1455231</v>
      </c>
      <c r="AI1205" s="445"/>
      <c r="AK1205" s="448"/>
      <c r="AL1205" s="445"/>
    </row>
    <row r="1206" spans="1:38" s="467" customFormat="1" ht="12.75" customHeight="1">
      <c r="A1206" s="1033">
        <v>5313120</v>
      </c>
      <c r="B1206" s="1033" t="s">
        <v>2834</v>
      </c>
      <c r="C1206" s="1034" t="str">
        <f t="shared" si="277"/>
        <v/>
      </c>
      <c r="D1206" s="1035"/>
      <c r="E1206" s="1035"/>
      <c r="F1206" s="1034" t="str">
        <f t="shared" si="278"/>
        <v/>
      </c>
      <c r="G1206" s="1033"/>
      <c r="H1206" s="1033"/>
      <c r="I1206" s="1034" t="str">
        <f t="shared" si="279"/>
        <v/>
      </c>
      <c r="J1206" s="1033"/>
      <c r="K1206" s="1033"/>
      <c r="L1206" s="1034" t="str">
        <f t="shared" si="280"/>
        <v/>
      </c>
      <c r="M1206" s="1035"/>
      <c r="N1206" s="1035"/>
      <c r="O1206" s="1036" t="str">
        <f t="shared" si="281"/>
        <v/>
      </c>
      <c r="P1206" s="1035"/>
      <c r="Q1206" s="1033"/>
      <c r="R1206" s="1034" t="str">
        <f t="shared" si="282"/>
        <v/>
      </c>
      <c r="S1206" s="1035"/>
      <c r="T1206" s="1035"/>
      <c r="U1206" s="1034" t="str">
        <f t="shared" si="283"/>
        <v/>
      </c>
      <c r="V1206" s="1035"/>
      <c r="W1206" s="1035"/>
      <c r="X1206" s="1037" t="str">
        <f t="shared" si="288"/>
        <v>4</v>
      </c>
      <c r="Y1206" s="1035"/>
      <c r="Z1206" s="1035">
        <f t="shared" si="285"/>
        <v>4</v>
      </c>
      <c r="AA1206" s="1035"/>
      <c r="AB1206" s="1035"/>
      <c r="AC1206" s="1021">
        <v>410506</v>
      </c>
      <c r="AD1206" s="1021" t="s">
        <v>2343</v>
      </c>
      <c r="AE1206" s="1022">
        <f>VLOOKUP(AC1206,[5]Hoja1!$A$10:$K$1393,11,0)</f>
        <v>-2148722736</v>
      </c>
      <c r="AF1206" s="1022"/>
      <c r="AG1206" s="1022">
        <f t="shared" si="286"/>
        <v>-2148722736</v>
      </c>
      <c r="AH1206" s="1022">
        <f t="shared" si="287"/>
        <v>-2148723</v>
      </c>
      <c r="AI1206" s="445"/>
      <c r="AK1206" s="448"/>
      <c r="AL1206" s="445"/>
    </row>
    <row r="1207" spans="1:38" s="467" customFormat="1" ht="12.75" customHeight="1">
      <c r="A1207" s="1033">
        <v>5313220</v>
      </c>
      <c r="B1207" s="1033" t="s">
        <v>2834</v>
      </c>
      <c r="C1207" s="1034" t="str">
        <f t="shared" si="277"/>
        <v/>
      </c>
      <c r="D1207" s="1035"/>
      <c r="E1207" s="1035"/>
      <c r="F1207" s="1034" t="str">
        <f t="shared" si="278"/>
        <v/>
      </c>
      <c r="G1207" s="1033"/>
      <c r="H1207" s="1033"/>
      <c r="I1207" s="1034" t="str">
        <f t="shared" si="279"/>
        <v/>
      </c>
      <c r="J1207" s="1033"/>
      <c r="K1207" s="1033"/>
      <c r="L1207" s="1034" t="str">
        <f t="shared" si="280"/>
        <v/>
      </c>
      <c r="M1207" s="1035"/>
      <c r="N1207" s="1035"/>
      <c r="O1207" s="1036" t="str">
        <f t="shared" si="281"/>
        <v/>
      </c>
      <c r="P1207" s="1035"/>
      <c r="Q1207" s="1033"/>
      <c r="R1207" s="1034" t="str">
        <f t="shared" si="282"/>
        <v/>
      </c>
      <c r="S1207" s="1035"/>
      <c r="T1207" s="1035"/>
      <c r="U1207" s="1034" t="str">
        <f t="shared" si="283"/>
        <v/>
      </c>
      <c r="V1207" s="1035"/>
      <c r="W1207" s="1035"/>
      <c r="X1207" s="1037" t="str">
        <f t="shared" si="288"/>
        <v>4</v>
      </c>
      <c r="Y1207" s="1035"/>
      <c r="Z1207" s="1035">
        <f t="shared" si="285"/>
        <v>4</v>
      </c>
      <c r="AA1207" s="1035"/>
      <c r="AB1207" s="1035"/>
      <c r="AC1207" s="1021">
        <v>410507</v>
      </c>
      <c r="AD1207" s="1021" t="s">
        <v>2344</v>
      </c>
      <c r="AE1207" s="1022">
        <f>VLOOKUP(AC1207,[5]Hoja1!$A$10:$K$1393,11,0)</f>
        <v>-612092550</v>
      </c>
      <c r="AF1207" s="1022"/>
      <c r="AG1207" s="1022">
        <f t="shared" si="286"/>
        <v>-612092550</v>
      </c>
      <c r="AH1207" s="1022">
        <f t="shared" si="287"/>
        <v>-612093</v>
      </c>
      <c r="AI1207" s="445"/>
      <c r="AK1207" s="448"/>
      <c r="AL1207" s="445"/>
    </row>
    <row r="1208" spans="1:38" s="467" customFormat="1" ht="12.75" customHeight="1">
      <c r="A1208" s="1033">
        <v>5313220</v>
      </c>
      <c r="B1208" s="1033" t="s">
        <v>2834</v>
      </c>
      <c r="C1208" s="1034" t="str">
        <f t="shared" si="277"/>
        <v/>
      </c>
      <c r="D1208" s="1035"/>
      <c r="E1208" s="1035"/>
      <c r="F1208" s="1034" t="str">
        <f t="shared" si="278"/>
        <v/>
      </c>
      <c r="G1208" s="1033"/>
      <c r="H1208" s="1033"/>
      <c r="I1208" s="1034" t="str">
        <f t="shared" si="279"/>
        <v/>
      </c>
      <c r="J1208" s="1033"/>
      <c r="K1208" s="1033"/>
      <c r="L1208" s="1034" t="str">
        <f t="shared" si="280"/>
        <v/>
      </c>
      <c r="M1208" s="1035"/>
      <c r="N1208" s="1035"/>
      <c r="O1208" s="1036" t="str">
        <f t="shared" si="281"/>
        <v/>
      </c>
      <c r="P1208" s="1035"/>
      <c r="Q1208" s="1033"/>
      <c r="R1208" s="1034" t="str">
        <f t="shared" si="282"/>
        <v/>
      </c>
      <c r="S1208" s="1035"/>
      <c r="T1208" s="1035"/>
      <c r="U1208" s="1034" t="str">
        <f t="shared" si="283"/>
        <v/>
      </c>
      <c r="V1208" s="1035"/>
      <c r="W1208" s="1035"/>
      <c r="X1208" s="1037" t="str">
        <f t="shared" si="288"/>
        <v>4</v>
      </c>
      <c r="Y1208" s="1035"/>
      <c r="Z1208" s="1035">
        <f t="shared" si="285"/>
        <v>4</v>
      </c>
      <c r="AA1208" s="1035"/>
      <c r="AB1208" s="1035"/>
      <c r="AC1208" s="1021">
        <v>410508</v>
      </c>
      <c r="AD1208" s="1021" t="s">
        <v>1965</v>
      </c>
      <c r="AE1208" s="1022">
        <f>VLOOKUP(AC1208,[5]Hoja1!$A$10:$K$1393,11,0)</f>
        <v>631378020</v>
      </c>
      <c r="AF1208" s="1022"/>
      <c r="AG1208" s="1022">
        <f t="shared" si="286"/>
        <v>631378020</v>
      </c>
      <c r="AH1208" s="1022">
        <f t="shared" si="287"/>
        <v>631378</v>
      </c>
      <c r="AI1208" s="445"/>
      <c r="AK1208" s="448"/>
      <c r="AL1208" s="445"/>
    </row>
    <row r="1209" spans="1:38" s="467" customFormat="1" ht="12.75" customHeight="1">
      <c r="A1209" s="1033">
        <v>5313320</v>
      </c>
      <c r="B1209" s="1033" t="s">
        <v>2834</v>
      </c>
      <c r="C1209" s="1034" t="str">
        <f t="shared" si="277"/>
        <v/>
      </c>
      <c r="D1209" s="1035"/>
      <c r="E1209" s="1035"/>
      <c r="F1209" s="1034" t="str">
        <f t="shared" si="278"/>
        <v/>
      </c>
      <c r="G1209" s="1033"/>
      <c r="H1209" s="1033"/>
      <c r="I1209" s="1034" t="str">
        <f t="shared" si="279"/>
        <v/>
      </c>
      <c r="J1209" s="1033"/>
      <c r="K1209" s="1033"/>
      <c r="L1209" s="1034" t="str">
        <f t="shared" si="280"/>
        <v/>
      </c>
      <c r="M1209" s="1035"/>
      <c r="N1209" s="1035"/>
      <c r="O1209" s="1036" t="str">
        <f t="shared" si="281"/>
        <v/>
      </c>
      <c r="P1209" s="1035"/>
      <c r="Q1209" s="1033"/>
      <c r="R1209" s="1034" t="str">
        <f t="shared" si="282"/>
        <v/>
      </c>
      <c r="S1209" s="1035"/>
      <c r="T1209" s="1035"/>
      <c r="U1209" s="1034" t="str">
        <f t="shared" si="283"/>
        <v/>
      </c>
      <c r="V1209" s="1035"/>
      <c r="W1209" s="1035"/>
      <c r="X1209" s="1037" t="str">
        <f t="shared" si="288"/>
        <v>4</v>
      </c>
      <c r="Y1209" s="1035"/>
      <c r="Z1209" s="1035">
        <f t="shared" si="285"/>
        <v>4</v>
      </c>
      <c r="AA1209" s="1035"/>
      <c r="AB1209" s="1035"/>
      <c r="AC1209" s="1021">
        <v>410509</v>
      </c>
      <c r="AD1209" s="1021" t="s">
        <v>1106</v>
      </c>
      <c r="AE1209" s="1022">
        <f>VLOOKUP(AC1209,[5]Hoja1!$A$10:$K$1393,11,0)</f>
        <v>-3145075350</v>
      </c>
      <c r="AF1209" s="1022"/>
      <c r="AG1209" s="1022">
        <f t="shared" si="286"/>
        <v>-3145075350</v>
      </c>
      <c r="AH1209" s="1022">
        <f t="shared" si="287"/>
        <v>-3145075</v>
      </c>
      <c r="AK1209" s="448"/>
      <c r="AL1209" s="445"/>
    </row>
    <row r="1210" spans="1:38" s="467" customFormat="1" ht="12.75" customHeight="1">
      <c r="A1210" s="1033"/>
      <c r="B1210" s="1033"/>
      <c r="C1210" s="1034" t="str">
        <f t="shared" si="277"/>
        <v/>
      </c>
      <c r="D1210" s="1035"/>
      <c r="E1210" s="1035"/>
      <c r="F1210" s="1034" t="str">
        <f t="shared" si="278"/>
        <v/>
      </c>
      <c r="G1210" s="1033"/>
      <c r="H1210" s="1033"/>
      <c r="I1210" s="1034" t="str">
        <f t="shared" si="279"/>
        <v/>
      </c>
      <c r="J1210" s="1033"/>
      <c r="K1210" s="1033"/>
      <c r="L1210" s="1034" t="str">
        <f t="shared" si="280"/>
        <v/>
      </c>
      <c r="M1210" s="1035"/>
      <c r="N1210" s="1035"/>
      <c r="O1210" s="1036" t="str">
        <f t="shared" si="281"/>
        <v/>
      </c>
      <c r="P1210" s="1035"/>
      <c r="Q1210" s="1033"/>
      <c r="R1210" s="1034" t="str">
        <f t="shared" si="282"/>
        <v/>
      </c>
      <c r="S1210" s="1035"/>
      <c r="T1210" s="1035"/>
      <c r="U1210" s="1034" t="str">
        <f t="shared" si="283"/>
        <v/>
      </c>
      <c r="V1210" s="1035"/>
      <c r="W1210" s="1035"/>
      <c r="X1210" s="1037" t="str">
        <f t="shared" si="288"/>
        <v>4</v>
      </c>
      <c r="Y1210" s="1035"/>
      <c r="Z1210" s="1035">
        <f t="shared" si="285"/>
        <v>4</v>
      </c>
      <c r="AA1210" s="1035"/>
      <c r="AB1210" s="1035"/>
      <c r="AC1210" s="1021">
        <v>410510</v>
      </c>
      <c r="AD1210" s="1021" t="s">
        <v>2345</v>
      </c>
      <c r="AE1210" s="1022">
        <v>0</v>
      </c>
      <c r="AF1210" s="1022"/>
      <c r="AG1210" s="1022">
        <f t="shared" si="286"/>
        <v>0</v>
      </c>
      <c r="AH1210" s="1022">
        <f t="shared" si="287"/>
        <v>0</v>
      </c>
      <c r="AK1210" s="448"/>
      <c r="AL1210" s="445"/>
    </row>
    <row r="1211" spans="1:38" s="467" customFormat="1" ht="12.75" customHeight="1">
      <c r="A1211" s="1033">
        <v>5313120</v>
      </c>
      <c r="B1211" s="1033" t="s">
        <v>2834</v>
      </c>
      <c r="C1211" s="1034" t="str">
        <f t="shared" si="277"/>
        <v/>
      </c>
      <c r="D1211" s="1035"/>
      <c r="E1211" s="1035"/>
      <c r="F1211" s="1034" t="str">
        <f t="shared" si="278"/>
        <v/>
      </c>
      <c r="G1211" s="1033"/>
      <c r="H1211" s="1033"/>
      <c r="I1211" s="1034" t="str">
        <f t="shared" si="279"/>
        <v/>
      </c>
      <c r="J1211" s="1033"/>
      <c r="K1211" s="1033"/>
      <c r="L1211" s="1034" t="str">
        <f t="shared" si="280"/>
        <v/>
      </c>
      <c r="M1211" s="1035"/>
      <c r="N1211" s="1035"/>
      <c r="O1211" s="1036" t="str">
        <f t="shared" si="281"/>
        <v/>
      </c>
      <c r="P1211" s="1035"/>
      <c r="Q1211" s="1033"/>
      <c r="R1211" s="1034" t="str">
        <f t="shared" si="282"/>
        <v/>
      </c>
      <c r="S1211" s="1035"/>
      <c r="T1211" s="1035"/>
      <c r="U1211" s="1034" t="str">
        <f t="shared" si="283"/>
        <v/>
      </c>
      <c r="V1211" s="1035"/>
      <c r="W1211" s="1035"/>
      <c r="X1211" s="1037" t="str">
        <f t="shared" si="288"/>
        <v>4</v>
      </c>
      <c r="Y1211" s="1035"/>
      <c r="Z1211" s="1035">
        <f t="shared" si="285"/>
        <v>4</v>
      </c>
      <c r="AA1211" s="1035"/>
      <c r="AB1211" s="1035"/>
      <c r="AC1211" s="1021">
        <v>410511</v>
      </c>
      <c r="AD1211" s="1021" t="s">
        <v>1119</v>
      </c>
      <c r="AE1211" s="1022">
        <f>VLOOKUP(AC1211,[5]Hoja1!$A$10:$K$1393,11,0)</f>
        <v>-59643847</v>
      </c>
      <c r="AF1211" s="1022"/>
      <c r="AG1211" s="1022">
        <f t="shared" si="286"/>
        <v>-59643847</v>
      </c>
      <c r="AH1211" s="1022">
        <f t="shared" si="287"/>
        <v>-59644</v>
      </c>
      <c r="AK1211" s="448"/>
      <c r="AL1211" s="445"/>
    </row>
    <row r="1212" spans="1:38" s="467" customFormat="1" ht="12.75" customHeight="1">
      <c r="A1212" s="1033">
        <v>5313310</v>
      </c>
      <c r="B1212" s="1033" t="s">
        <v>2833</v>
      </c>
      <c r="C1212" s="1034" t="str">
        <f t="shared" si="277"/>
        <v/>
      </c>
      <c r="D1212" s="1035"/>
      <c r="E1212" s="1035"/>
      <c r="F1212" s="1034" t="str">
        <f t="shared" si="278"/>
        <v/>
      </c>
      <c r="G1212" s="1033"/>
      <c r="H1212" s="1033"/>
      <c r="I1212" s="1034" t="str">
        <f t="shared" si="279"/>
        <v/>
      </c>
      <c r="J1212" s="1033"/>
      <c r="K1212" s="1033"/>
      <c r="L1212" s="1034" t="str">
        <f t="shared" si="280"/>
        <v/>
      </c>
      <c r="M1212" s="1035"/>
      <c r="N1212" s="1035"/>
      <c r="O1212" s="1036" t="str">
        <f t="shared" si="281"/>
        <v/>
      </c>
      <c r="P1212" s="1035"/>
      <c r="Q1212" s="1033"/>
      <c r="R1212" s="1034" t="str">
        <f t="shared" si="282"/>
        <v/>
      </c>
      <c r="S1212" s="1035"/>
      <c r="T1212" s="1035"/>
      <c r="U1212" s="1034" t="str">
        <f t="shared" si="283"/>
        <v/>
      </c>
      <c r="V1212" s="1035"/>
      <c r="W1212" s="1035"/>
      <c r="X1212" s="1037" t="str">
        <f t="shared" si="288"/>
        <v>4</v>
      </c>
      <c r="Y1212" s="1035"/>
      <c r="Z1212" s="1035">
        <f t="shared" si="285"/>
        <v>4</v>
      </c>
      <c r="AA1212" s="1035"/>
      <c r="AB1212" s="1035"/>
      <c r="AC1212" s="1021">
        <v>410512</v>
      </c>
      <c r="AD1212" s="1021" t="s">
        <v>1120</v>
      </c>
      <c r="AE1212" s="1022">
        <f>VLOOKUP(AC1212,[5]Hoja1!$A$10:$K$1393,11,0)</f>
        <v>0</v>
      </c>
      <c r="AF1212" s="1022"/>
      <c r="AG1212" s="1022">
        <f t="shared" si="286"/>
        <v>0</v>
      </c>
      <c r="AH1212" s="1022">
        <f t="shared" si="287"/>
        <v>0</v>
      </c>
      <c r="AK1212" s="448"/>
      <c r="AL1212" s="445"/>
    </row>
    <row r="1213" spans="1:38" s="467" customFormat="1" ht="12.75" customHeight="1">
      <c r="A1213" s="1033">
        <v>5313110</v>
      </c>
      <c r="B1213" s="1033" t="s">
        <v>2833</v>
      </c>
      <c r="C1213" s="1034" t="str">
        <f t="shared" si="277"/>
        <v/>
      </c>
      <c r="D1213" s="1035"/>
      <c r="E1213" s="1035"/>
      <c r="F1213" s="1034" t="str">
        <f t="shared" si="278"/>
        <v/>
      </c>
      <c r="G1213" s="1033"/>
      <c r="H1213" s="1033"/>
      <c r="I1213" s="1034" t="str">
        <f t="shared" si="279"/>
        <v/>
      </c>
      <c r="J1213" s="1033"/>
      <c r="K1213" s="1033"/>
      <c r="L1213" s="1034" t="str">
        <f t="shared" si="280"/>
        <v/>
      </c>
      <c r="M1213" s="1035"/>
      <c r="N1213" s="1035"/>
      <c r="O1213" s="1036" t="str">
        <f t="shared" si="281"/>
        <v/>
      </c>
      <c r="P1213" s="1035"/>
      <c r="Q1213" s="1033"/>
      <c r="R1213" s="1034" t="str">
        <f t="shared" si="282"/>
        <v/>
      </c>
      <c r="S1213" s="1035"/>
      <c r="T1213" s="1035"/>
      <c r="U1213" s="1034" t="str">
        <f t="shared" si="283"/>
        <v/>
      </c>
      <c r="V1213" s="1035"/>
      <c r="W1213" s="1035"/>
      <c r="X1213" s="1037" t="str">
        <f t="shared" si="288"/>
        <v>4</v>
      </c>
      <c r="Y1213" s="1035"/>
      <c r="Z1213" s="1035">
        <f t="shared" si="285"/>
        <v>4</v>
      </c>
      <c r="AA1213" s="1035"/>
      <c r="AB1213" s="1035"/>
      <c r="AC1213" s="1021">
        <v>410513</v>
      </c>
      <c r="AD1213" s="1021" t="s">
        <v>834</v>
      </c>
      <c r="AE1213" s="1022">
        <f>VLOOKUP(AC1213,[5]Hoja1!$A$10:$K$1393,11,0)</f>
        <v>0</v>
      </c>
      <c r="AF1213" s="1022"/>
      <c r="AG1213" s="1022">
        <f t="shared" si="286"/>
        <v>0</v>
      </c>
      <c r="AH1213" s="1022">
        <f t="shared" si="287"/>
        <v>0</v>
      </c>
      <c r="AK1213" s="448"/>
      <c r="AL1213" s="445"/>
    </row>
    <row r="1214" spans="1:38" s="467" customFormat="1" ht="12.75" customHeight="1">
      <c r="A1214" s="1033">
        <v>5313310</v>
      </c>
      <c r="B1214" s="1033" t="s">
        <v>2833</v>
      </c>
      <c r="C1214" s="1034" t="str">
        <f t="shared" si="277"/>
        <v/>
      </c>
      <c r="D1214" s="1035"/>
      <c r="E1214" s="1035"/>
      <c r="F1214" s="1034" t="str">
        <f t="shared" si="278"/>
        <v/>
      </c>
      <c r="G1214" s="1033"/>
      <c r="H1214" s="1033"/>
      <c r="I1214" s="1034" t="str">
        <f t="shared" si="279"/>
        <v/>
      </c>
      <c r="J1214" s="1033"/>
      <c r="K1214" s="1033"/>
      <c r="L1214" s="1034" t="str">
        <f t="shared" si="280"/>
        <v/>
      </c>
      <c r="M1214" s="1035"/>
      <c r="N1214" s="1035"/>
      <c r="O1214" s="1036" t="str">
        <f t="shared" si="281"/>
        <v/>
      </c>
      <c r="P1214" s="1035"/>
      <c r="Q1214" s="1033"/>
      <c r="R1214" s="1034" t="str">
        <f t="shared" si="282"/>
        <v/>
      </c>
      <c r="S1214" s="1035"/>
      <c r="T1214" s="1035"/>
      <c r="U1214" s="1034" t="str">
        <f t="shared" si="283"/>
        <v/>
      </c>
      <c r="V1214" s="1035"/>
      <c r="W1214" s="1035"/>
      <c r="X1214" s="1037" t="str">
        <f t="shared" si="288"/>
        <v>4</v>
      </c>
      <c r="Y1214" s="1035"/>
      <c r="Z1214" s="1035">
        <f t="shared" si="285"/>
        <v>4</v>
      </c>
      <c r="AA1214" s="1035"/>
      <c r="AB1214" s="1035"/>
      <c r="AC1214" s="1021">
        <v>410514</v>
      </c>
      <c r="AD1214" s="1021" t="s">
        <v>1880</v>
      </c>
      <c r="AE1214" s="1022">
        <f>VLOOKUP(AC1214,[5]Hoja1!$A$10:$K$1393,11,0)</f>
        <v>-6991720206</v>
      </c>
      <c r="AF1214" s="1022"/>
      <c r="AG1214" s="1022">
        <f t="shared" si="286"/>
        <v>-6991720206</v>
      </c>
      <c r="AH1214" s="1022">
        <f t="shared" si="287"/>
        <v>-6991720</v>
      </c>
      <c r="AK1214" s="448"/>
      <c r="AL1214" s="445"/>
    </row>
    <row r="1215" spans="1:38" s="467" customFormat="1" ht="12.75" customHeight="1">
      <c r="A1215" s="1033">
        <v>5313110</v>
      </c>
      <c r="B1215" s="1033" t="s">
        <v>2833</v>
      </c>
      <c r="C1215" s="1034" t="str">
        <f t="shared" si="277"/>
        <v/>
      </c>
      <c r="D1215" s="1035"/>
      <c r="E1215" s="1035"/>
      <c r="F1215" s="1034" t="str">
        <f t="shared" si="278"/>
        <v/>
      </c>
      <c r="G1215" s="1033"/>
      <c r="H1215" s="1033"/>
      <c r="I1215" s="1034" t="str">
        <f t="shared" si="279"/>
        <v/>
      </c>
      <c r="J1215" s="1033"/>
      <c r="K1215" s="1033"/>
      <c r="L1215" s="1034" t="str">
        <f t="shared" si="280"/>
        <v/>
      </c>
      <c r="M1215" s="1035"/>
      <c r="N1215" s="1035"/>
      <c r="O1215" s="1036" t="str">
        <f t="shared" si="281"/>
        <v/>
      </c>
      <c r="P1215" s="1035"/>
      <c r="Q1215" s="1033"/>
      <c r="R1215" s="1034" t="str">
        <f t="shared" si="282"/>
        <v/>
      </c>
      <c r="S1215" s="1035"/>
      <c r="T1215" s="1035"/>
      <c r="U1215" s="1034" t="str">
        <f t="shared" si="283"/>
        <v/>
      </c>
      <c r="V1215" s="1035"/>
      <c r="W1215" s="1035"/>
      <c r="X1215" s="1037" t="str">
        <f t="shared" si="288"/>
        <v>4</v>
      </c>
      <c r="Y1215" s="1035"/>
      <c r="Z1215" s="1035">
        <f t="shared" si="285"/>
        <v>4</v>
      </c>
      <c r="AA1215" s="1035"/>
      <c r="AB1215" s="1035"/>
      <c r="AC1215" s="1021">
        <v>410515</v>
      </c>
      <c r="AD1215" s="1021" t="s">
        <v>2346</v>
      </c>
      <c r="AE1215" s="1022">
        <f>VLOOKUP(AC1215,[5]Hoja1!$A$10:$K$1393,11,0)</f>
        <v>-174653040</v>
      </c>
      <c r="AF1215" s="1022"/>
      <c r="AG1215" s="1022">
        <f t="shared" si="286"/>
        <v>-174653040</v>
      </c>
      <c r="AH1215" s="1022">
        <f t="shared" si="287"/>
        <v>-174653</v>
      </c>
      <c r="AK1215" s="448"/>
      <c r="AL1215" s="445"/>
    </row>
    <row r="1216" spans="1:38" s="467" customFormat="1" ht="12.75" customHeight="1">
      <c r="A1216" s="1033">
        <v>5312200</v>
      </c>
      <c r="B1216" s="1033" t="s">
        <v>998</v>
      </c>
      <c r="C1216" s="1034" t="str">
        <f t="shared" si="277"/>
        <v/>
      </c>
      <c r="D1216" s="1033"/>
      <c r="E1216" s="1033"/>
      <c r="F1216" s="1034" t="str">
        <f t="shared" si="278"/>
        <v/>
      </c>
      <c r="G1216" s="1033"/>
      <c r="H1216" s="1033"/>
      <c r="I1216" s="1034" t="str">
        <f t="shared" si="279"/>
        <v/>
      </c>
      <c r="J1216" s="1033"/>
      <c r="K1216" s="1033"/>
      <c r="L1216" s="1034" t="str">
        <f t="shared" si="280"/>
        <v/>
      </c>
      <c r="M1216" s="1035"/>
      <c r="N1216" s="1035"/>
      <c r="O1216" s="1036" t="str">
        <f t="shared" si="281"/>
        <v/>
      </c>
      <c r="P1216" s="1033"/>
      <c r="Q1216" s="1033"/>
      <c r="R1216" s="1034" t="str">
        <f t="shared" si="282"/>
        <v/>
      </c>
      <c r="S1216" s="1035"/>
      <c r="T1216" s="1035"/>
      <c r="U1216" s="1034" t="str">
        <f t="shared" si="283"/>
        <v/>
      </c>
      <c r="V1216" s="1035"/>
      <c r="W1216" s="1035"/>
      <c r="X1216" s="1037" t="str">
        <f t="shared" si="288"/>
        <v>4</v>
      </c>
      <c r="Y1216" s="1035"/>
      <c r="Z1216" s="1035">
        <f t="shared" si="285"/>
        <v>4</v>
      </c>
      <c r="AA1216" s="1035"/>
      <c r="AB1216" s="1035"/>
      <c r="AC1216" s="1021">
        <v>410516</v>
      </c>
      <c r="AD1216" s="1021" t="s">
        <v>1881</v>
      </c>
      <c r="AE1216" s="1022">
        <f>VLOOKUP(AC1216,[5]Hoja1!$A$10:$K$1393,11,0)</f>
        <v>0</v>
      </c>
      <c r="AF1216" s="1022"/>
      <c r="AG1216" s="1022">
        <f t="shared" si="286"/>
        <v>0</v>
      </c>
      <c r="AH1216" s="1022">
        <f t="shared" si="287"/>
        <v>0</v>
      </c>
      <c r="AK1216" s="448"/>
      <c r="AL1216" s="445"/>
    </row>
    <row r="1217" spans="1:38" s="467" customFormat="1" ht="12.75" customHeight="1">
      <c r="A1217" s="1033">
        <v>5313220</v>
      </c>
      <c r="B1217" s="1033" t="s">
        <v>2834</v>
      </c>
      <c r="C1217" s="1034" t="str">
        <f t="shared" si="277"/>
        <v/>
      </c>
      <c r="D1217" s="1035"/>
      <c r="E1217" s="1035"/>
      <c r="F1217" s="1034" t="str">
        <f t="shared" si="278"/>
        <v/>
      </c>
      <c r="G1217" s="1033"/>
      <c r="H1217" s="1033"/>
      <c r="I1217" s="1034" t="str">
        <f t="shared" si="279"/>
        <v/>
      </c>
      <c r="J1217" s="1033"/>
      <c r="K1217" s="1033"/>
      <c r="L1217" s="1034" t="str">
        <f t="shared" si="280"/>
        <v/>
      </c>
      <c r="M1217" s="1035"/>
      <c r="N1217" s="1035"/>
      <c r="O1217" s="1036" t="str">
        <f t="shared" si="281"/>
        <v/>
      </c>
      <c r="P1217" s="1033"/>
      <c r="Q1217" s="1033"/>
      <c r="R1217" s="1034" t="str">
        <f t="shared" si="282"/>
        <v/>
      </c>
      <c r="S1217" s="1035"/>
      <c r="T1217" s="1035"/>
      <c r="U1217" s="1034" t="str">
        <f t="shared" si="283"/>
        <v/>
      </c>
      <c r="V1217" s="1035"/>
      <c r="W1217" s="1035"/>
      <c r="X1217" s="1037" t="str">
        <f t="shared" si="288"/>
        <v>4</v>
      </c>
      <c r="Y1217" s="1035"/>
      <c r="Z1217" s="1035">
        <f t="shared" si="285"/>
        <v>4</v>
      </c>
      <c r="AA1217" s="1035"/>
      <c r="AB1217" s="1035"/>
      <c r="AC1217" s="1021">
        <v>410517</v>
      </c>
      <c r="AD1217" s="1021" t="s">
        <v>1882</v>
      </c>
      <c r="AE1217" s="1022">
        <f>VLOOKUP(AC1217,[5]Hoja1!$A$10:$K$1393,11,0)</f>
        <v>-7025096</v>
      </c>
      <c r="AF1217" s="1022"/>
      <c r="AG1217" s="1022">
        <f t="shared" si="286"/>
        <v>-7025096</v>
      </c>
      <c r="AH1217" s="1022">
        <f t="shared" si="287"/>
        <v>-7025</v>
      </c>
      <c r="AK1217" s="448"/>
      <c r="AL1217" s="445"/>
    </row>
    <row r="1218" spans="1:38" s="467" customFormat="1" ht="12.75" customHeight="1">
      <c r="A1218" s="1033">
        <v>5313110</v>
      </c>
      <c r="B1218" s="1033" t="s">
        <v>2833</v>
      </c>
      <c r="C1218" s="1034" t="str">
        <f t="shared" si="277"/>
        <v/>
      </c>
      <c r="D1218" s="1035"/>
      <c r="E1218" s="1035"/>
      <c r="F1218" s="1034" t="str">
        <f t="shared" si="278"/>
        <v/>
      </c>
      <c r="G1218" s="1033"/>
      <c r="H1218" s="1033"/>
      <c r="I1218" s="1034" t="str">
        <f t="shared" si="279"/>
        <v/>
      </c>
      <c r="J1218" s="1033"/>
      <c r="K1218" s="1033"/>
      <c r="L1218" s="1034" t="str">
        <f t="shared" si="280"/>
        <v/>
      </c>
      <c r="M1218" s="1035"/>
      <c r="N1218" s="1035"/>
      <c r="O1218" s="1036" t="str">
        <f t="shared" si="281"/>
        <v/>
      </c>
      <c r="P1218" s="1033"/>
      <c r="Q1218" s="1033"/>
      <c r="R1218" s="1034" t="str">
        <f t="shared" si="282"/>
        <v/>
      </c>
      <c r="S1218" s="1035"/>
      <c r="T1218" s="1035"/>
      <c r="U1218" s="1034" t="str">
        <f t="shared" si="283"/>
        <v/>
      </c>
      <c r="V1218" s="1035"/>
      <c r="W1218" s="1035"/>
      <c r="X1218" s="1037" t="str">
        <f t="shared" si="288"/>
        <v>4</v>
      </c>
      <c r="Y1218" s="1035"/>
      <c r="Z1218" s="1035">
        <f t="shared" si="285"/>
        <v>4</v>
      </c>
      <c r="AA1218" s="1035"/>
      <c r="AB1218" s="1035"/>
      <c r="AC1218" s="1021">
        <v>410518</v>
      </c>
      <c r="AD1218" s="1021" t="s">
        <v>2347</v>
      </c>
      <c r="AE1218" s="1022">
        <f>VLOOKUP(AC1218,[5]Hoja1!$A$10:$K$1393,11,0)</f>
        <v>0</v>
      </c>
      <c r="AF1218" s="1022"/>
      <c r="AG1218" s="1022">
        <f t="shared" si="286"/>
        <v>0</v>
      </c>
      <c r="AH1218" s="1022">
        <f t="shared" si="287"/>
        <v>0</v>
      </c>
      <c r="AK1218" s="448"/>
      <c r="AL1218" s="445"/>
    </row>
    <row r="1219" spans="1:38" s="467" customFormat="1" ht="12.75" customHeight="1">
      <c r="A1219" s="1033">
        <v>5313310</v>
      </c>
      <c r="B1219" s="1033" t="s">
        <v>2833</v>
      </c>
      <c r="C1219" s="1034" t="str">
        <f t="shared" si="277"/>
        <v/>
      </c>
      <c r="D1219" s="1035"/>
      <c r="E1219" s="1035"/>
      <c r="F1219" s="1034" t="str">
        <f t="shared" si="278"/>
        <v/>
      </c>
      <c r="G1219" s="1033"/>
      <c r="H1219" s="1033"/>
      <c r="I1219" s="1034" t="str">
        <f t="shared" si="279"/>
        <v/>
      </c>
      <c r="J1219" s="1033"/>
      <c r="K1219" s="1033"/>
      <c r="L1219" s="1034" t="str">
        <f t="shared" si="280"/>
        <v/>
      </c>
      <c r="M1219" s="1035"/>
      <c r="N1219" s="1035"/>
      <c r="O1219" s="1036" t="str">
        <f t="shared" si="281"/>
        <v/>
      </c>
      <c r="P1219" s="1033"/>
      <c r="Q1219" s="1033"/>
      <c r="R1219" s="1034" t="str">
        <f t="shared" si="282"/>
        <v/>
      </c>
      <c r="S1219" s="1035"/>
      <c r="T1219" s="1035"/>
      <c r="U1219" s="1034" t="str">
        <f t="shared" si="283"/>
        <v/>
      </c>
      <c r="V1219" s="1035"/>
      <c r="W1219" s="1035"/>
      <c r="X1219" s="1037" t="str">
        <f t="shared" si="288"/>
        <v>4</v>
      </c>
      <c r="Y1219" s="1035"/>
      <c r="Z1219" s="1035">
        <f t="shared" si="285"/>
        <v>4</v>
      </c>
      <c r="AA1219" s="1035"/>
      <c r="AB1219" s="1035"/>
      <c r="AC1219" s="1021">
        <v>410519</v>
      </c>
      <c r="AD1219" s="1021" t="s">
        <v>2348</v>
      </c>
      <c r="AE1219" s="1022">
        <f>VLOOKUP(AC1219,[5]Hoja1!$A$10:$K$1393,11,0)</f>
        <v>0</v>
      </c>
      <c r="AF1219" s="1022"/>
      <c r="AG1219" s="1022">
        <f t="shared" si="286"/>
        <v>0</v>
      </c>
      <c r="AH1219" s="1022">
        <f t="shared" si="287"/>
        <v>0</v>
      </c>
      <c r="AK1219" s="448"/>
      <c r="AL1219" s="445"/>
    </row>
    <row r="1220" spans="1:38" s="467" customFormat="1" ht="12.75" customHeight="1">
      <c r="A1220" s="1033">
        <v>5313310</v>
      </c>
      <c r="B1220" s="1033" t="s">
        <v>2833</v>
      </c>
      <c r="C1220" s="1034"/>
      <c r="D1220" s="1035"/>
      <c r="E1220" s="1035"/>
      <c r="F1220" s="1034"/>
      <c r="G1220" s="1033"/>
      <c r="H1220" s="1033"/>
      <c r="I1220" s="1034"/>
      <c r="J1220" s="1033"/>
      <c r="K1220" s="1033"/>
      <c r="L1220" s="1034"/>
      <c r="M1220" s="1035"/>
      <c r="N1220" s="1035"/>
      <c r="O1220" s="1036"/>
      <c r="P1220" s="1033"/>
      <c r="Q1220" s="1033"/>
      <c r="R1220" s="1034"/>
      <c r="S1220" s="1035"/>
      <c r="T1220" s="1035"/>
      <c r="U1220" s="1034"/>
      <c r="V1220" s="1035"/>
      <c r="W1220" s="1035"/>
      <c r="X1220" s="1037"/>
      <c r="Y1220" s="1035"/>
      <c r="Z1220" s="1035">
        <f t="shared" si="285"/>
        <v>4</v>
      </c>
      <c r="AA1220" s="1035"/>
      <c r="AB1220" s="1035"/>
      <c r="AC1220" s="1021">
        <v>410520</v>
      </c>
      <c r="AD1220" s="1021" t="s">
        <v>2349</v>
      </c>
      <c r="AE1220" s="1022">
        <f>VLOOKUP(AC1220,[5]Hoja1!$A$10:$K$1393,11,0)</f>
        <v>0</v>
      </c>
      <c r="AF1220" s="1022"/>
      <c r="AG1220" s="1022">
        <f t="shared" si="286"/>
        <v>0</v>
      </c>
      <c r="AH1220" s="1022">
        <f t="shared" si="287"/>
        <v>0</v>
      </c>
      <c r="AK1220" s="448"/>
      <c r="AL1220" s="445"/>
    </row>
    <row r="1221" spans="1:38" s="467" customFormat="1" ht="12.75" customHeight="1">
      <c r="A1221" s="1033">
        <v>5313310</v>
      </c>
      <c r="B1221" s="1033" t="s">
        <v>2833</v>
      </c>
      <c r="C1221" s="1034" t="str">
        <f>+D1221&amp;E1221</f>
        <v/>
      </c>
      <c r="D1221" s="1035"/>
      <c r="E1221" s="1035"/>
      <c r="F1221" s="1034" t="str">
        <f>+G1221&amp;H1221</f>
        <v/>
      </c>
      <c r="G1221" s="1033"/>
      <c r="H1221" s="1033"/>
      <c r="I1221" s="1034" t="str">
        <f>+J1221&amp;K1221</f>
        <v/>
      </c>
      <c r="J1221" s="1033"/>
      <c r="K1221" s="1033"/>
      <c r="L1221" s="1034" t="str">
        <f>+M1221&amp;N1221</f>
        <v/>
      </c>
      <c r="M1221" s="1035"/>
      <c r="N1221" s="1035"/>
      <c r="O1221" s="1036" t="str">
        <f>+P1221&amp;Q1221</f>
        <v/>
      </c>
      <c r="P1221" s="1033"/>
      <c r="Q1221" s="1033"/>
      <c r="R1221" s="1034" t="str">
        <f>+S1221&amp;T1221</f>
        <v/>
      </c>
      <c r="S1221" s="1035"/>
      <c r="T1221" s="1035"/>
      <c r="U1221" s="1034" t="str">
        <f>+V1221&amp;W1221</f>
        <v/>
      </c>
      <c r="V1221" s="1035"/>
      <c r="W1221" s="1035"/>
      <c r="X1221" s="1037" t="str">
        <f>+Y1221&amp;Z1221</f>
        <v>4</v>
      </c>
      <c r="Y1221" s="1035"/>
      <c r="Z1221" s="1035">
        <f t="shared" si="285"/>
        <v>4</v>
      </c>
      <c r="AA1221" s="1035"/>
      <c r="AB1221" s="1035"/>
      <c r="AC1221" s="1021">
        <v>410521</v>
      </c>
      <c r="AD1221" s="1021" t="s">
        <v>2350</v>
      </c>
      <c r="AE1221" s="1022">
        <f>VLOOKUP(AC1221,[5]Hoja1!$A$10:$K$1393,11,0)</f>
        <v>-200319491</v>
      </c>
      <c r="AF1221" s="1022"/>
      <c r="AG1221" s="1022">
        <f t="shared" si="286"/>
        <v>-200319491</v>
      </c>
      <c r="AH1221" s="1022">
        <f t="shared" si="287"/>
        <v>-200319</v>
      </c>
      <c r="AK1221" s="448"/>
      <c r="AL1221" s="445"/>
    </row>
    <row r="1222" spans="1:38" s="467" customFormat="1" ht="12.75" customHeight="1">
      <c r="A1222" s="1033">
        <v>5313310</v>
      </c>
      <c r="B1222" s="1033" t="s">
        <v>2833</v>
      </c>
      <c r="C1222" s="1034" t="str">
        <f>+D1222&amp;E1222</f>
        <v/>
      </c>
      <c r="D1222" s="1035"/>
      <c r="E1222" s="1035"/>
      <c r="F1222" s="1034" t="str">
        <f>+G1222&amp;H1222</f>
        <v/>
      </c>
      <c r="G1222" s="1033"/>
      <c r="H1222" s="1033"/>
      <c r="I1222" s="1034" t="str">
        <f>+J1222&amp;K1222</f>
        <v/>
      </c>
      <c r="J1222" s="1033"/>
      <c r="K1222" s="1033"/>
      <c r="L1222" s="1034" t="str">
        <f>+M1222&amp;N1222</f>
        <v/>
      </c>
      <c r="M1222" s="1035"/>
      <c r="N1222" s="1035"/>
      <c r="O1222" s="1036" t="str">
        <f>+P1222&amp;Q1222</f>
        <v/>
      </c>
      <c r="P1222" s="1033"/>
      <c r="Q1222" s="1033"/>
      <c r="R1222" s="1034" t="str">
        <f>+S1222&amp;T1222</f>
        <v/>
      </c>
      <c r="S1222" s="1035"/>
      <c r="T1222" s="1035"/>
      <c r="U1222" s="1034" t="str">
        <f>+V1222&amp;W1222</f>
        <v/>
      </c>
      <c r="V1222" s="1035"/>
      <c r="W1222" s="1035"/>
      <c r="X1222" s="1037" t="str">
        <f>+Y1222&amp;Z1222</f>
        <v>4</v>
      </c>
      <c r="Y1222" s="1035"/>
      <c r="Z1222" s="1035">
        <f t="shared" si="285"/>
        <v>4</v>
      </c>
      <c r="AA1222" s="1035"/>
      <c r="AB1222" s="1035"/>
      <c r="AC1222" s="1021">
        <v>410522</v>
      </c>
      <c r="AD1222" s="1021" t="s">
        <v>2351</v>
      </c>
      <c r="AE1222" s="1022">
        <f>VLOOKUP(AC1222,[5]Hoja1!$A$10:$K$1393,11,0)</f>
        <v>-11063893</v>
      </c>
      <c r="AF1222" s="1022"/>
      <c r="AG1222" s="1022">
        <f t="shared" si="286"/>
        <v>-11063893</v>
      </c>
      <c r="AH1222" s="1022">
        <f t="shared" si="287"/>
        <v>-11064</v>
      </c>
      <c r="AI1222" s="445"/>
      <c r="AK1222" s="448"/>
      <c r="AL1222" s="445"/>
    </row>
    <row r="1223" spans="1:38" s="467" customFormat="1" ht="12.75" customHeight="1">
      <c r="A1223" s="1033">
        <v>5313310</v>
      </c>
      <c r="B1223" s="1033" t="s">
        <v>2833</v>
      </c>
      <c r="C1223" s="1034"/>
      <c r="D1223" s="1035"/>
      <c r="E1223" s="1035"/>
      <c r="F1223" s="1034"/>
      <c r="G1223" s="1033"/>
      <c r="H1223" s="1033"/>
      <c r="I1223" s="1034"/>
      <c r="J1223" s="1033"/>
      <c r="K1223" s="1033"/>
      <c r="L1223" s="1034"/>
      <c r="M1223" s="1035"/>
      <c r="N1223" s="1035"/>
      <c r="O1223" s="1036"/>
      <c r="P1223" s="1033"/>
      <c r="Q1223" s="1033"/>
      <c r="R1223" s="1034"/>
      <c r="S1223" s="1035"/>
      <c r="T1223" s="1035"/>
      <c r="U1223" s="1034"/>
      <c r="V1223" s="1035"/>
      <c r="W1223" s="1035"/>
      <c r="X1223" s="1037"/>
      <c r="Y1223" s="1035"/>
      <c r="Z1223" s="1035">
        <f t="shared" si="285"/>
        <v>4</v>
      </c>
      <c r="AA1223" s="1035"/>
      <c r="AB1223" s="1035"/>
      <c r="AC1223" s="1021">
        <v>410523</v>
      </c>
      <c r="AD1223" s="1021" t="s">
        <v>2352</v>
      </c>
      <c r="AE1223" s="1022">
        <f>VLOOKUP(AC1223,[5]Hoja1!$A$10:$K$1393,11,0)</f>
        <v>0</v>
      </c>
      <c r="AF1223" s="1022"/>
      <c r="AG1223" s="1022">
        <f t="shared" si="286"/>
        <v>0</v>
      </c>
      <c r="AH1223" s="1022">
        <f t="shared" si="287"/>
        <v>0</v>
      </c>
      <c r="AI1223" s="445"/>
      <c r="AK1223" s="448"/>
      <c r="AL1223" s="445"/>
    </row>
    <row r="1224" spans="1:38" s="467" customFormat="1" ht="12.75" customHeight="1">
      <c r="A1224" s="1033">
        <v>5313310</v>
      </c>
      <c r="B1224" s="1033" t="s">
        <v>2833</v>
      </c>
      <c r="C1224" s="1034"/>
      <c r="D1224" s="1035"/>
      <c r="E1224" s="1035"/>
      <c r="F1224" s="1034"/>
      <c r="G1224" s="1033"/>
      <c r="H1224" s="1033"/>
      <c r="I1224" s="1034"/>
      <c r="J1224" s="1033"/>
      <c r="K1224" s="1033"/>
      <c r="L1224" s="1034"/>
      <c r="M1224" s="1035"/>
      <c r="N1224" s="1035"/>
      <c r="O1224" s="1036"/>
      <c r="P1224" s="1033"/>
      <c r="Q1224" s="1033"/>
      <c r="R1224" s="1034"/>
      <c r="S1224" s="1035"/>
      <c r="T1224" s="1035"/>
      <c r="U1224" s="1034"/>
      <c r="V1224" s="1035"/>
      <c r="W1224" s="1035"/>
      <c r="X1224" s="1037"/>
      <c r="Y1224" s="1035"/>
      <c r="Z1224" s="1035">
        <f t="shared" si="285"/>
        <v>4</v>
      </c>
      <c r="AA1224" s="1035"/>
      <c r="AB1224" s="1035"/>
      <c r="AC1224" s="1021">
        <v>410524</v>
      </c>
      <c r="AD1224" s="1021" t="s">
        <v>1263</v>
      </c>
      <c r="AE1224" s="1022">
        <f>VLOOKUP(AC1224,[5]Hoja1!$A$10:$K$1393,11,0)</f>
        <v>-20164536</v>
      </c>
      <c r="AF1224" s="1022"/>
      <c r="AG1224" s="1022">
        <f t="shared" si="286"/>
        <v>-20164536</v>
      </c>
      <c r="AH1224" s="1022">
        <f t="shared" si="287"/>
        <v>-20165</v>
      </c>
      <c r="AI1224" s="445"/>
      <c r="AK1224" s="448"/>
      <c r="AL1224" s="445"/>
    </row>
    <row r="1225" spans="1:38" s="467" customFormat="1" ht="12.75" customHeight="1">
      <c r="A1225" s="1033">
        <v>5313320</v>
      </c>
      <c r="B1225" s="1033" t="s">
        <v>2834</v>
      </c>
      <c r="C1225" s="1034" t="str">
        <f>+D1225&amp;E1225</f>
        <v/>
      </c>
      <c r="D1225" s="1035"/>
      <c r="E1225" s="1035"/>
      <c r="F1225" s="1034" t="str">
        <f>+G1225&amp;H1225</f>
        <v/>
      </c>
      <c r="G1225" s="1033"/>
      <c r="H1225" s="1033"/>
      <c r="I1225" s="1034" t="str">
        <f>+J1225&amp;K1225</f>
        <v/>
      </c>
      <c r="J1225" s="1033"/>
      <c r="K1225" s="1033"/>
      <c r="L1225" s="1034" t="str">
        <f>+M1225&amp;N1225</f>
        <v/>
      </c>
      <c r="M1225" s="1035"/>
      <c r="N1225" s="1035"/>
      <c r="O1225" s="1036" t="str">
        <f>+P1225&amp;Q1225</f>
        <v/>
      </c>
      <c r="P1225" s="1033"/>
      <c r="Q1225" s="1033"/>
      <c r="R1225" s="1034" t="str">
        <f>+S1225&amp;T1225</f>
        <v/>
      </c>
      <c r="S1225" s="1035"/>
      <c r="T1225" s="1035"/>
      <c r="U1225" s="1034" t="str">
        <f>+V1225&amp;W1225</f>
        <v/>
      </c>
      <c r="V1225" s="1035"/>
      <c r="W1225" s="1035"/>
      <c r="X1225" s="1037" t="str">
        <f>+Y1225&amp;Z1225</f>
        <v>4</v>
      </c>
      <c r="Y1225" s="1035"/>
      <c r="Z1225" s="1035">
        <f t="shared" si="285"/>
        <v>4</v>
      </c>
      <c r="AA1225" s="1035"/>
      <c r="AB1225" s="1035"/>
      <c r="AC1225" s="1021">
        <v>410525</v>
      </c>
      <c r="AD1225" s="1021" t="s">
        <v>2353</v>
      </c>
      <c r="AE1225" s="1022">
        <f>VLOOKUP(AC1225,[5]Hoja1!$A$10:$K$1393,11,0)</f>
        <v>0</v>
      </c>
      <c r="AF1225" s="1022"/>
      <c r="AG1225" s="1022">
        <f t="shared" si="286"/>
        <v>0</v>
      </c>
      <c r="AH1225" s="1022">
        <f t="shared" si="287"/>
        <v>0</v>
      </c>
      <c r="AI1225" s="445"/>
      <c r="AK1225" s="448"/>
      <c r="AL1225" s="445"/>
    </row>
    <row r="1226" spans="1:38" s="467" customFormat="1" ht="12.75" customHeight="1">
      <c r="A1226" s="1033">
        <v>5313310</v>
      </c>
      <c r="B1226" s="1033" t="s">
        <v>2833</v>
      </c>
      <c r="C1226" s="1034" t="str">
        <f>+D1226&amp;E1226</f>
        <v/>
      </c>
      <c r="D1226" s="1035"/>
      <c r="E1226" s="1035"/>
      <c r="F1226" s="1034" t="str">
        <f>+G1226&amp;H1226</f>
        <v/>
      </c>
      <c r="G1226" s="1033"/>
      <c r="H1226" s="1033"/>
      <c r="I1226" s="1034" t="str">
        <f>+J1226&amp;K1226</f>
        <v/>
      </c>
      <c r="J1226" s="1033"/>
      <c r="K1226" s="1033"/>
      <c r="L1226" s="1034" t="str">
        <f>+M1226&amp;N1226</f>
        <v/>
      </c>
      <c r="M1226" s="1035"/>
      <c r="N1226" s="1035"/>
      <c r="O1226" s="1036" t="str">
        <f>+P1226&amp;Q1226</f>
        <v/>
      </c>
      <c r="P1226" s="1033"/>
      <c r="Q1226" s="1033"/>
      <c r="R1226" s="1034" t="str">
        <f>+S1226&amp;T1226</f>
        <v/>
      </c>
      <c r="S1226" s="1035"/>
      <c r="T1226" s="1035"/>
      <c r="U1226" s="1034" t="str">
        <f>+V1226&amp;W1226</f>
        <v/>
      </c>
      <c r="V1226" s="1035"/>
      <c r="W1226" s="1035"/>
      <c r="X1226" s="1037" t="str">
        <f>+Y1226&amp;Z1226</f>
        <v>4</v>
      </c>
      <c r="Y1226" s="1035"/>
      <c r="Z1226" s="1035">
        <f t="shared" si="285"/>
        <v>4</v>
      </c>
      <c r="AA1226" s="1035"/>
      <c r="AB1226" s="1035"/>
      <c r="AC1226" s="1021">
        <v>410526</v>
      </c>
      <c r="AD1226" s="1021" t="s">
        <v>2354</v>
      </c>
      <c r="AE1226" s="1022">
        <f>VLOOKUP(AC1226,[5]Hoja1!$A$10:$K$1393,11,0)</f>
        <v>-302428280</v>
      </c>
      <c r="AF1226" s="1022"/>
      <c r="AG1226" s="1022">
        <f t="shared" si="286"/>
        <v>-302428280</v>
      </c>
      <c r="AH1226" s="1022">
        <f t="shared" si="287"/>
        <v>-302428</v>
      </c>
      <c r="AK1226" s="448"/>
      <c r="AL1226" s="445"/>
    </row>
    <row r="1227" spans="1:38" s="467" customFormat="1" ht="12.75" customHeight="1">
      <c r="A1227" s="1033"/>
      <c r="B1227" s="1033"/>
      <c r="C1227" s="1034" t="str">
        <f>+D1227&amp;E1227</f>
        <v/>
      </c>
      <c r="D1227" s="1035"/>
      <c r="E1227" s="1035"/>
      <c r="F1227" s="1034" t="str">
        <f>+G1227&amp;H1227</f>
        <v/>
      </c>
      <c r="G1227" s="1033"/>
      <c r="H1227" s="1033"/>
      <c r="I1227" s="1034" t="str">
        <f>+J1227&amp;K1227</f>
        <v/>
      </c>
      <c r="J1227" s="1033"/>
      <c r="K1227" s="1033"/>
      <c r="L1227" s="1034" t="str">
        <f>+M1227&amp;N1227</f>
        <v/>
      </c>
      <c r="M1227" s="1035"/>
      <c r="N1227" s="1035"/>
      <c r="O1227" s="1036" t="str">
        <f>+P1227&amp;Q1227</f>
        <v/>
      </c>
      <c r="P1227" s="1033"/>
      <c r="Q1227" s="1033"/>
      <c r="R1227" s="1034" t="str">
        <f>+S1227&amp;T1227</f>
        <v/>
      </c>
      <c r="S1227" s="1035"/>
      <c r="T1227" s="1035"/>
      <c r="U1227" s="1034" t="str">
        <f>+V1227&amp;W1227</f>
        <v/>
      </c>
      <c r="V1227" s="1035"/>
      <c r="W1227" s="1035"/>
      <c r="X1227" s="1037" t="str">
        <f>+Y1227&amp;Z1227</f>
        <v>4</v>
      </c>
      <c r="Y1227" s="1035"/>
      <c r="Z1227" s="1035">
        <f t="shared" si="285"/>
        <v>4</v>
      </c>
      <c r="AA1227" s="1035"/>
      <c r="AB1227" s="1035"/>
      <c r="AC1227" s="1021">
        <v>410527</v>
      </c>
      <c r="AD1227" s="1021" t="s">
        <v>2355</v>
      </c>
      <c r="AE1227" s="1022">
        <v>0</v>
      </c>
      <c r="AF1227" s="1022"/>
      <c r="AG1227" s="1022">
        <f t="shared" si="286"/>
        <v>0</v>
      </c>
      <c r="AH1227" s="1022">
        <f t="shared" si="287"/>
        <v>0</v>
      </c>
      <c r="AI1227" s="445"/>
      <c r="AK1227" s="448"/>
      <c r="AL1227" s="445"/>
    </row>
    <row r="1228" spans="1:38" s="467" customFormat="1" ht="12.75" customHeight="1">
      <c r="A1228" s="1033">
        <v>5315200</v>
      </c>
      <c r="B1228" s="1033" t="s">
        <v>2842</v>
      </c>
      <c r="C1228" s="1034"/>
      <c r="D1228" s="1035"/>
      <c r="E1228" s="1035"/>
      <c r="F1228" s="1034"/>
      <c r="G1228" s="1033"/>
      <c r="H1228" s="1033"/>
      <c r="I1228" s="1034"/>
      <c r="J1228" s="1033"/>
      <c r="K1228" s="1033"/>
      <c r="L1228" s="1034"/>
      <c r="M1228" s="1035"/>
      <c r="N1228" s="1035"/>
      <c r="O1228" s="1036"/>
      <c r="P1228" s="1033"/>
      <c r="Q1228" s="1033"/>
      <c r="R1228" s="1034"/>
      <c r="S1228" s="1035"/>
      <c r="T1228" s="1035"/>
      <c r="U1228" s="1034"/>
      <c r="V1228" s="1035"/>
      <c r="W1228" s="1035"/>
      <c r="X1228" s="1037"/>
      <c r="Y1228" s="1035"/>
      <c r="Z1228" s="1035">
        <f t="shared" si="285"/>
        <v>4</v>
      </c>
      <c r="AA1228" s="1033">
        <v>37</v>
      </c>
      <c r="AB1228" s="1033" t="s">
        <v>2842</v>
      </c>
      <c r="AC1228" s="1021">
        <v>410528</v>
      </c>
      <c r="AD1228" s="1021" t="s">
        <v>38</v>
      </c>
      <c r="AE1228" s="1022">
        <v>0</v>
      </c>
      <c r="AF1228" s="1022"/>
      <c r="AG1228" s="1022">
        <f t="shared" si="286"/>
        <v>0</v>
      </c>
      <c r="AH1228" s="1022">
        <f t="shared" si="287"/>
        <v>0</v>
      </c>
      <c r="AI1228" s="445"/>
      <c r="AK1228" s="448"/>
      <c r="AL1228" s="445"/>
    </row>
    <row r="1229" spans="1:38" s="467" customFormat="1" ht="12.75" customHeight="1">
      <c r="A1229" s="1033">
        <v>5313310</v>
      </c>
      <c r="B1229" s="1033" t="s">
        <v>2833</v>
      </c>
      <c r="C1229" s="1034"/>
      <c r="D1229" s="1035"/>
      <c r="E1229" s="1035"/>
      <c r="F1229" s="1034"/>
      <c r="G1229" s="1033"/>
      <c r="H1229" s="1033"/>
      <c r="I1229" s="1034"/>
      <c r="J1229" s="1033"/>
      <c r="K1229" s="1033"/>
      <c r="L1229" s="1034"/>
      <c r="M1229" s="1035"/>
      <c r="N1229" s="1035"/>
      <c r="O1229" s="1036"/>
      <c r="P1229" s="1033"/>
      <c r="Q1229" s="1033"/>
      <c r="R1229" s="1034"/>
      <c r="S1229" s="1035"/>
      <c r="T1229" s="1035"/>
      <c r="U1229" s="1034"/>
      <c r="V1229" s="1035"/>
      <c r="W1229" s="1035"/>
      <c r="X1229" s="1037"/>
      <c r="Y1229" s="1035"/>
      <c r="Z1229" s="1035">
        <f t="shared" si="285"/>
        <v>4</v>
      </c>
      <c r="AA1229" s="1035"/>
      <c r="AB1229" s="1035"/>
      <c r="AC1229" s="1021">
        <v>410529</v>
      </c>
      <c r="AD1229" s="1021" t="s">
        <v>2356</v>
      </c>
      <c r="AE1229" s="1022">
        <f>VLOOKUP(AC1229,[5]Hoja1!$A$10:$K$1393,11,0)</f>
        <v>0</v>
      </c>
      <c r="AF1229" s="1022"/>
      <c r="AG1229" s="1022">
        <f t="shared" si="286"/>
        <v>0</v>
      </c>
      <c r="AH1229" s="1022">
        <f t="shared" si="287"/>
        <v>0</v>
      </c>
      <c r="AI1229" s="445"/>
      <c r="AK1229" s="448"/>
      <c r="AL1229" s="445"/>
    </row>
    <row r="1230" spans="1:38" s="467" customFormat="1" ht="12.75" customHeight="1">
      <c r="A1230" s="1033"/>
      <c r="B1230" s="1033"/>
      <c r="C1230" s="1034"/>
      <c r="D1230" s="1035"/>
      <c r="E1230" s="1035"/>
      <c r="F1230" s="1034"/>
      <c r="G1230" s="1033"/>
      <c r="H1230" s="1033"/>
      <c r="I1230" s="1034"/>
      <c r="J1230" s="1033"/>
      <c r="K1230" s="1033"/>
      <c r="L1230" s="1034"/>
      <c r="M1230" s="1035"/>
      <c r="N1230" s="1035"/>
      <c r="O1230" s="1036"/>
      <c r="P1230" s="1033"/>
      <c r="Q1230" s="1033"/>
      <c r="R1230" s="1034"/>
      <c r="S1230" s="1035"/>
      <c r="T1230" s="1035"/>
      <c r="U1230" s="1034"/>
      <c r="V1230" s="1035"/>
      <c r="W1230" s="1035"/>
      <c r="X1230" s="1037"/>
      <c r="Y1230" s="1035"/>
      <c r="Z1230" s="1035">
        <f t="shared" si="285"/>
        <v>4</v>
      </c>
      <c r="AA1230" s="1035"/>
      <c r="AB1230" s="1035"/>
      <c r="AC1230" s="1021">
        <v>410530</v>
      </c>
      <c r="AD1230" s="1021" t="s">
        <v>2357</v>
      </c>
      <c r="AE1230" s="1022">
        <v>0</v>
      </c>
      <c r="AF1230" s="1022"/>
      <c r="AG1230" s="1022">
        <f t="shared" si="286"/>
        <v>0</v>
      </c>
      <c r="AH1230" s="1022">
        <f t="shared" si="287"/>
        <v>0</v>
      </c>
      <c r="AI1230" s="445"/>
      <c r="AK1230" s="448"/>
      <c r="AL1230" s="445"/>
    </row>
    <row r="1231" spans="1:38" s="467" customFormat="1" ht="12.75" customHeight="1">
      <c r="A1231" s="1033"/>
      <c r="B1231" s="1033"/>
      <c r="C1231" s="1034"/>
      <c r="D1231" s="1035"/>
      <c r="E1231" s="1035"/>
      <c r="F1231" s="1034"/>
      <c r="G1231" s="1033"/>
      <c r="H1231" s="1033"/>
      <c r="I1231" s="1034"/>
      <c r="J1231" s="1033"/>
      <c r="K1231" s="1033"/>
      <c r="L1231" s="1034"/>
      <c r="M1231" s="1035"/>
      <c r="N1231" s="1035"/>
      <c r="O1231" s="1036"/>
      <c r="P1231" s="1033"/>
      <c r="Q1231" s="1033"/>
      <c r="R1231" s="1034"/>
      <c r="S1231" s="1035"/>
      <c r="T1231" s="1035"/>
      <c r="U1231" s="1034"/>
      <c r="V1231" s="1035"/>
      <c r="W1231" s="1035"/>
      <c r="X1231" s="1037"/>
      <c r="Y1231" s="1035"/>
      <c r="Z1231" s="1035">
        <f t="shared" si="285"/>
        <v>4</v>
      </c>
      <c r="AA1231" s="1035"/>
      <c r="AB1231" s="1035"/>
      <c r="AC1231" s="1021">
        <v>410531</v>
      </c>
      <c r="AD1231" s="1021" t="s">
        <v>2358</v>
      </c>
      <c r="AE1231" s="1022">
        <v>0</v>
      </c>
      <c r="AF1231" s="1022"/>
      <c r="AG1231" s="1022">
        <f t="shared" si="286"/>
        <v>0</v>
      </c>
      <c r="AH1231" s="1022">
        <f t="shared" si="287"/>
        <v>0</v>
      </c>
      <c r="AI1231" s="445"/>
      <c r="AK1231" s="448"/>
      <c r="AL1231" s="445"/>
    </row>
    <row r="1232" spans="1:38" s="467" customFormat="1" ht="12.75" customHeight="1">
      <c r="A1232" s="1033">
        <v>5315100</v>
      </c>
      <c r="B1232" s="1033" t="s">
        <v>1172</v>
      </c>
      <c r="C1232" s="1034"/>
      <c r="D1232" s="1035"/>
      <c r="E1232" s="1035"/>
      <c r="F1232" s="1034"/>
      <c r="G1232" s="1033"/>
      <c r="H1232" s="1033"/>
      <c r="I1232" s="1034"/>
      <c r="J1232" s="1033"/>
      <c r="K1232" s="1033"/>
      <c r="L1232" s="1034"/>
      <c r="M1232" s="1035"/>
      <c r="N1232" s="1035"/>
      <c r="O1232" s="1036"/>
      <c r="P1232" s="1033"/>
      <c r="Q1232" s="1033"/>
      <c r="R1232" s="1034"/>
      <c r="S1232" s="1035"/>
      <c r="T1232" s="1035"/>
      <c r="U1232" s="1034"/>
      <c r="V1232" s="1035"/>
      <c r="W1232" s="1035"/>
      <c r="X1232" s="1037"/>
      <c r="Y1232" s="1035"/>
      <c r="Z1232" s="1035">
        <f t="shared" si="285"/>
        <v>4</v>
      </c>
      <c r="AA1232" s="1033">
        <v>36</v>
      </c>
      <c r="AB1232" s="1033" t="s">
        <v>2919</v>
      </c>
      <c r="AC1232" s="1021">
        <v>410532</v>
      </c>
      <c r="AD1232" s="1021" t="s">
        <v>2359</v>
      </c>
      <c r="AE1232" s="1022">
        <f>VLOOKUP(AC1232,[5]Hoja1!$A$10:$K$1393,11,0)</f>
        <v>-131339839</v>
      </c>
      <c r="AF1232" s="1022"/>
      <c r="AG1232" s="1022">
        <f t="shared" si="286"/>
        <v>-131339839</v>
      </c>
      <c r="AH1232" s="1022">
        <f t="shared" si="287"/>
        <v>-131340</v>
      </c>
      <c r="AI1232" s="445"/>
      <c r="AK1232" s="448"/>
      <c r="AL1232" s="445"/>
    </row>
    <row r="1233" spans="1:38" s="467" customFormat="1" ht="12.75" customHeight="1">
      <c r="A1233" s="1033"/>
      <c r="B1233" s="1033"/>
      <c r="C1233" s="1034"/>
      <c r="D1233" s="1035"/>
      <c r="E1233" s="1035"/>
      <c r="F1233" s="1034"/>
      <c r="G1233" s="1033"/>
      <c r="H1233" s="1033"/>
      <c r="I1233" s="1034"/>
      <c r="J1233" s="1033"/>
      <c r="K1233" s="1033"/>
      <c r="L1233" s="1034"/>
      <c r="M1233" s="1035"/>
      <c r="N1233" s="1035"/>
      <c r="O1233" s="1036"/>
      <c r="P1233" s="1033"/>
      <c r="Q1233" s="1033"/>
      <c r="R1233" s="1034"/>
      <c r="S1233" s="1035"/>
      <c r="T1233" s="1035"/>
      <c r="U1233" s="1034"/>
      <c r="V1233" s="1035"/>
      <c r="W1233" s="1035"/>
      <c r="X1233" s="1037"/>
      <c r="Y1233" s="1035"/>
      <c r="Z1233" s="1035">
        <f t="shared" si="285"/>
        <v>4</v>
      </c>
      <c r="AA1233" s="1035"/>
      <c r="AB1233" s="1035"/>
      <c r="AC1233" s="1021">
        <v>410533</v>
      </c>
      <c r="AD1233" s="1021" t="s">
        <v>1137</v>
      </c>
      <c r="AE1233" s="1022">
        <v>0</v>
      </c>
      <c r="AF1233" s="1022"/>
      <c r="AG1233" s="1022">
        <f t="shared" si="286"/>
        <v>0</v>
      </c>
      <c r="AH1233" s="1022">
        <f t="shared" si="287"/>
        <v>0</v>
      </c>
      <c r="AI1233" s="445"/>
      <c r="AK1233" s="448"/>
      <c r="AL1233" s="445"/>
    </row>
    <row r="1234" spans="1:38" s="467" customFormat="1" ht="12.75" customHeight="1">
      <c r="A1234" s="1033"/>
      <c r="B1234" s="1033"/>
      <c r="C1234" s="1034"/>
      <c r="D1234" s="1035"/>
      <c r="E1234" s="1035"/>
      <c r="F1234" s="1034"/>
      <c r="G1234" s="1033"/>
      <c r="H1234" s="1033"/>
      <c r="I1234" s="1034"/>
      <c r="J1234" s="1033"/>
      <c r="K1234" s="1033"/>
      <c r="L1234" s="1034"/>
      <c r="M1234" s="1035"/>
      <c r="N1234" s="1035"/>
      <c r="O1234" s="1036"/>
      <c r="P1234" s="1033"/>
      <c r="Q1234" s="1033"/>
      <c r="R1234" s="1034"/>
      <c r="S1234" s="1035"/>
      <c r="T1234" s="1035"/>
      <c r="U1234" s="1034"/>
      <c r="V1234" s="1035"/>
      <c r="W1234" s="1035"/>
      <c r="X1234" s="1037"/>
      <c r="Y1234" s="1035"/>
      <c r="Z1234" s="1035">
        <f t="shared" si="285"/>
        <v>4</v>
      </c>
      <c r="AA1234" s="1035"/>
      <c r="AB1234" s="1035"/>
      <c r="AC1234" s="1021">
        <v>410534</v>
      </c>
      <c r="AD1234" s="1021" t="s">
        <v>1138</v>
      </c>
      <c r="AE1234" s="1022">
        <v>0</v>
      </c>
      <c r="AF1234" s="1022"/>
      <c r="AG1234" s="1022">
        <f t="shared" si="286"/>
        <v>0</v>
      </c>
      <c r="AH1234" s="1022">
        <f t="shared" si="287"/>
        <v>0</v>
      </c>
      <c r="AI1234" s="445"/>
      <c r="AK1234" s="448"/>
      <c r="AL1234" s="445"/>
    </row>
    <row r="1235" spans="1:38" s="467" customFormat="1" ht="12.75" customHeight="1">
      <c r="A1235" s="1033"/>
      <c r="B1235" s="1033"/>
      <c r="C1235" s="1034"/>
      <c r="D1235" s="1035"/>
      <c r="E1235" s="1035"/>
      <c r="F1235" s="1034"/>
      <c r="G1235" s="1033"/>
      <c r="H1235" s="1033"/>
      <c r="I1235" s="1034"/>
      <c r="J1235" s="1033"/>
      <c r="K1235" s="1033"/>
      <c r="L1235" s="1034"/>
      <c r="M1235" s="1035"/>
      <c r="N1235" s="1035"/>
      <c r="O1235" s="1036"/>
      <c r="P1235" s="1033"/>
      <c r="Q1235" s="1033"/>
      <c r="R1235" s="1034"/>
      <c r="S1235" s="1035"/>
      <c r="T1235" s="1035"/>
      <c r="U1235" s="1034"/>
      <c r="V1235" s="1035"/>
      <c r="W1235" s="1035"/>
      <c r="X1235" s="1037"/>
      <c r="Y1235" s="1035"/>
      <c r="Z1235" s="1035">
        <f t="shared" si="285"/>
        <v>4</v>
      </c>
      <c r="AA1235" s="1035"/>
      <c r="AB1235" s="1035"/>
      <c r="AC1235" s="1021">
        <v>410535</v>
      </c>
      <c r="AD1235" s="1021" t="s">
        <v>1139</v>
      </c>
      <c r="AE1235" s="1022">
        <v>0</v>
      </c>
      <c r="AF1235" s="1022"/>
      <c r="AG1235" s="1022">
        <f t="shared" si="286"/>
        <v>0</v>
      </c>
      <c r="AH1235" s="1022">
        <f t="shared" si="287"/>
        <v>0</v>
      </c>
      <c r="AI1235" s="445"/>
      <c r="AK1235" s="448"/>
      <c r="AL1235" s="445"/>
    </row>
    <row r="1236" spans="1:38" s="467" customFormat="1" ht="12.75" customHeight="1">
      <c r="A1236" s="1033">
        <v>5313500</v>
      </c>
      <c r="B1236" s="1033" t="s">
        <v>2840</v>
      </c>
      <c r="C1236" s="1034" t="str">
        <f>+D1236&amp;E1236</f>
        <v/>
      </c>
      <c r="D1236" s="1035"/>
      <c r="E1236" s="1035"/>
      <c r="F1236" s="1034" t="str">
        <f>+G1236&amp;H1236</f>
        <v/>
      </c>
      <c r="G1236" s="1033"/>
      <c r="H1236" s="1033"/>
      <c r="I1236" s="1034" t="str">
        <f>+J1236&amp;K1236</f>
        <v/>
      </c>
      <c r="J1236" s="1033"/>
      <c r="K1236" s="1033"/>
      <c r="L1236" s="1034" t="str">
        <f>+M1236&amp;N1236</f>
        <v/>
      </c>
      <c r="M1236" s="1035"/>
      <c r="N1236" s="1035"/>
      <c r="O1236" s="1036" t="str">
        <f>+P1236&amp;Q1236</f>
        <v/>
      </c>
      <c r="P1236" s="1033"/>
      <c r="Q1236" s="1033"/>
      <c r="R1236" s="1034" t="str">
        <f>+S1236&amp;T1236</f>
        <v/>
      </c>
      <c r="S1236" s="1035"/>
      <c r="T1236" s="1035"/>
      <c r="U1236" s="1034" t="str">
        <f>+V1236&amp;W1236</f>
        <v/>
      </c>
      <c r="V1236" s="1035"/>
      <c r="W1236" s="1035"/>
      <c r="X1236" s="1037" t="str">
        <f>+Y1236&amp;Z1236</f>
        <v>4</v>
      </c>
      <c r="Y1236" s="1035"/>
      <c r="Z1236" s="1035">
        <f t="shared" si="285"/>
        <v>4</v>
      </c>
      <c r="AA1236" s="1035"/>
      <c r="AB1236" s="1035"/>
      <c r="AC1236" s="1021">
        <v>410536</v>
      </c>
      <c r="AD1236" s="1021" t="s">
        <v>2106</v>
      </c>
      <c r="AE1236" s="1022">
        <f>VLOOKUP(AC1236,[5]Hoja1!$A$10:$K$1393,11,0)</f>
        <v>0</v>
      </c>
      <c r="AF1236" s="1022"/>
      <c r="AG1236" s="1022">
        <f t="shared" si="286"/>
        <v>0</v>
      </c>
      <c r="AH1236" s="1022">
        <f t="shared" si="287"/>
        <v>0</v>
      </c>
      <c r="AI1236" s="445"/>
      <c r="AK1236" s="448"/>
      <c r="AL1236" s="445"/>
    </row>
    <row r="1237" spans="1:38" s="467" customFormat="1" ht="12.75" customHeight="1">
      <c r="A1237" s="1033">
        <v>5313210</v>
      </c>
      <c r="B1237" s="1033" t="s">
        <v>2833</v>
      </c>
      <c r="C1237" s="1034" t="str">
        <f>+D1237&amp;E1237</f>
        <v/>
      </c>
      <c r="D1237" s="1035"/>
      <c r="E1237" s="1035"/>
      <c r="F1237" s="1034" t="str">
        <f>+G1237&amp;H1237</f>
        <v/>
      </c>
      <c r="G1237" s="1033"/>
      <c r="H1237" s="1033"/>
      <c r="I1237" s="1034" t="str">
        <f>+J1237&amp;K1237</f>
        <v/>
      </c>
      <c r="J1237" s="1033"/>
      <c r="K1237" s="1033"/>
      <c r="L1237" s="1034" t="str">
        <f>+M1237&amp;N1237</f>
        <v/>
      </c>
      <c r="M1237" s="1035"/>
      <c r="N1237" s="1035"/>
      <c r="O1237" s="1036" t="str">
        <f>+P1237&amp;Q1237</f>
        <v/>
      </c>
      <c r="P1237" s="1033"/>
      <c r="Q1237" s="1033"/>
      <c r="R1237" s="1034" t="str">
        <f>+S1237&amp;T1237</f>
        <v/>
      </c>
      <c r="S1237" s="1035"/>
      <c r="T1237" s="1035"/>
      <c r="U1237" s="1034" t="str">
        <f>+V1237&amp;W1237</f>
        <v/>
      </c>
      <c r="V1237" s="1035"/>
      <c r="W1237" s="1035"/>
      <c r="X1237" s="1037" t="str">
        <f>+Y1237&amp;Z1237</f>
        <v>4</v>
      </c>
      <c r="Y1237" s="1035"/>
      <c r="Z1237" s="1035">
        <f t="shared" si="285"/>
        <v>4</v>
      </c>
      <c r="AA1237" s="1035"/>
      <c r="AB1237" s="1035"/>
      <c r="AC1237" s="1021">
        <v>410537</v>
      </c>
      <c r="AD1237" s="1021" t="s">
        <v>2360</v>
      </c>
      <c r="AE1237" s="1022">
        <f>VLOOKUP(AC1237,[5]Hoja1!$A$10:$K$1393,11,0)</f>
        <v>-8484208</v>
      </c>
      <c r="AF1237" s="1022"/>
      <c r="AG1237" s="1022">
        <f t="shared" si="286"/>
        <v>-8484208</v>
      </c>
      <c r="AH1237" s="1022">
        <f t="shared" si="287"/>
        <v>-8484</v>
      </c>
      <c r="AK1237" s="448"/>
      <c r="AL1237" s="445"/>
    </row>
    <row r="1238" spans="1:38" s="467" customFormat="1" ht="12.75" customHeight="1">
      <c r="A1238" s="1033">
        <v>5313120</v>
      </c>
      <c r="B1238" s="1033" t="s">
        <v>2834</v>
      </c>
      <c r="C1238" s="1034" t="str">
        <f>+D1238&amp;E1238</f>
        <v/>
      </c>
      <c r="D1238" s="1035"/>
      <c r="E1238" s="1035"/>
      <c r="F1238" s="1034" t="str">
        <f>+G1238&amp;H1238</f>
        <v/>
      </c>
      <c r="G1238" s="1033"/>
      <c r="H1238" s="1033"/>
      <c r="I1238" s="1034" t="str">
        <f>+J1238&amp;K1238</f>
        <v/>
      </c>
      <c r="J1238" s="1033"/>
      <c r="K1238" s="1033"/>
      <c r="L1238" s="1034" t="str">
        <f>+M1238&amp;N1238</f>
        <v/>
      </c>
      <c r="M1238" s="1035"/>
      <c r="N1238" s="1035"/>
      <c r="O1238" s="1036" t="str">
        <f>+P1238&amp;Q1238</f>
        <v/>
      </c>
      <c r="P1238" s="1033"/>
      <c r="Q1238" s="1033"/>
      <c r="R1238" s="1034" t="str">
        <f>+S1238&amp;T1238</f>
        <v/>
      </c>
      <c r="S1238" s="1035"/>
      <c r="T1238" s="1035"/>
      <c r="U1238" s="1034" t="str">
        <f>+V1238&amp;W1238</f>
        <v/>
      </c>
      <c r="V1238" s="1035"/>
      <c r="W1238" s="1035"/>
      <c r="X1238" s="1037" t="str">
        <f>+Y1238&amp;Z1238</f>
        <v>4</v>
      </c>
      <c r="Y1238" s="1035"/>
      <c r="Z1238" s="1035">
        <f t="shared" si="285"/>
        <v>4</v>
      </c>
      <c r="AA1238" s="1035"/>
      <c r="AB1238" s="1035"/>
      <c r="AC1238" s="1021">
        <v>410538</v>
      </c>
      <c r="AD1238" s="1021" t="s">
        <v>2361</v>
      </c>
      <c r="AE1238" s="1022">
        <f>VLOOKUP(AC1238,[5]Hoja1!$A$10:$K$1393,11,0)</f>
        <v>-307144909</v>
      </c>
      <c r="AF1238" s="1022"/>
      <c r="AG1238" s="1022">
        <f t="shared" si="286"/>
        <v>-307144909</v>
      </c>
      <c r="AH1238" s="1022">
        <f t="shared" si="287"/>
        <v>-307145</v>
      </c>
      <c r="AK1238" s="448"/>
      <c r="AL1238" s="445"/>
    </row>
    <row r="1239" spans="1:38" s="467" customFormat="1" ht="12.75" customHeight="1">
      <c r="A1239" s="1033">
        <v>5313110</v>
      </c>
      <c r="B1239" s="1033" t="s">
        <v>2833</v>
      </c>
      <c r="C1239" s="1034" t="str">
        <f>+D1239&amp;E1239</f>
        <v/>
      </c>
      <c r="D1239" s="1035"/>
      <c r="E1239" s="1035"/>
      <c r="F1239" s="1034" t="str">
        <f>+G1239&amp;H1239</f>
        <v/>
      </c>
      <c r="G1239" s="1033"/>
      <c r="H1239" s="1033"/>
      <c r="I1239" s="1034" t="str">
        <f>+J1239&amp;K1239</f>
        <v/>
      </c>
      <c r="J1239" s="1033"/>
      <c r="K1239" s="1033"/>
      <c r="L1239" s="1034" t="str">
        <f>+M1239&amp;N1239</f>
        <v/>
      </c>
      <c r="M1239" s="1035"/>
      <c r="N1239" s="1035"/>
      <c r="O1239" s="1036" t="str">
        <f>+P1239&amp;Q1239</f>
        <v/>
      </c>
      <c r="P1239" s="1033"/>
      <c r="Q1239" s="1033"/>
      <c r="R1239" s="1034" t="str">
        <f>+S1239&amp;T1239</f>
        <v/>
      </c>
      <c r="S1239" s="1035"/>
      <c r="T1239" s="1035"/>
      <c r="U1239" s="1034" t="str">
        <f>+V1239&amp;W1239</f>
        <v/>
      </c>
      <c r="V1239" s="1035"/>
      <c r="W1239" s="1035"/>
      <c r="X1239" s="1037" t="str">
        <f>+Y1239&amp;Z1239</f>
        <v>4</v>
      </c>
      <c r="Y1239" s="1035"/>
      <c r="Z1239" s="1035">
        <f t="shared" si="285"/>
        <v>4</v>
      </c>
      <c r="AA1239" s="1035"/>
      <c r="AB1239" s="1035"/>
      <c r="AC1239" s="1021">
        <v>410539</v>
      </c>
      <c r="AD1239" s="1021" t="s">
        <v>668</v>
      </c>
      <c r="AE1239" s="1022">
        <f>VLOOKUP(AC1239,[5]Hoja1!$A$10:$K$1393,11,0)</f>
        <v>-82111425</v>
      </c>
      <c r="AF1239" s="1022"/>
      <c r="AG1239" s="1022">
        <f t="shared" si="286"/>
        <v>-82111425</v>
      </c>
      <c r="AH1239" s="1022">
        <f t="shared" si="287"/>
        <v>-82111</v>
      </c>
      <c r="AK1239" s="448"/>
      <c r="AL1239" s="445"/>
    </row>
    <row r="1240" spans="1:38" s="467" customFormat="1" ht="12.75" customHeight="1">
      <c r="A1240" s="1033">
        <v>5313220</v>
      </c>
      <c r="B1240" s="1033" t="s">
        <v>2834</v>
      </c>
      <c r="C1240" s="1034" t="str">
        <f>+D1240&amp;E1240</f>
        <v/>
      </c>
      <c r="D1240" s="1035"/>
      <c r="E1240" s="1035"/>
      <c r="F1240" s="1034" t="str">
        <f>+G1240&amp;H1240</f>
        <v/>
      </c>
      <c r="G1240" s="1033"/>
      <c r="H1240" s="1033"/>
      <c r="I1240" s="1034" t="str">
        <f>+J1240&amp;K1240</f>
        <v/>
      </c>
      <c r="J1240" s="1033"/>
      <c r="K1240" s="1033"/>
      <c r="L1240" s="1034" t="str">
        <f>+M1240&amp;N1240</f>
        <v/>
      </c>
      <c r="M1240" s="1035"/>
      <c r="N1240" s="1035"/>
      <c r="O1240" s="1036" t="str">
        <f>+P1240&amp;Q1240</f>
        <v/>
      </c>
      <c r="P1240" s="1033"/>
      <c r="Q1240" s="1033"/>
      <c r="R1240" s="1034" t="str">
        <f>+S1240&amp;T1240</f>
        <v/>
      </c>
      <c r="S1240" s="1035"/>
      <c r="T1240" s="1035"/>
      <c r="U1240" s="1034" t="str">
        <f>+V1240&amp;W1240</f>
        <v/>
      </c>
      <c r="V1240" s="1035"/>
      <c r="W1240" s="1035"/>
      <c r="X1240" s="1037" t="str">
        <f>+Y1240&amp;Z1240</f>
        <v>4</v>
      </c>
      <c r="Y1240" s="1035"/>
      <c r="Z1240" s="1035">
        <f t="shared" si="285"/>
        <v>4</v>
      </c>
      <c r="AA1240" s="1035"/>
      <c r="AB1240" s="1035"/>
      <c r="AC1240" s="1021">
        <v>410540</v>
      </c>
      <c r="AD1240" s="1021" t="s">
        <v>818</v>
      </c>
      <c r="AE1240" s="1022">
        <f>VLOOKUP(AC1240,[5]Hoja1!$A$10:$K$1393,11,0)</f>
        <v>-22328963</v>
      </c>
      <c r="AF1240" s="1022"/>
      <c r="AG1240" s="1022">
        <f t="shared" si="286"/>
        <v>-22328963</v>
      </c>
      <c r="AH1240" s="1022">
        <f t="shared" si="287"/>
        <v>-22329</v>
      </c>
      <c r="AK1240" s="448"/>
      <c r="AL1240" s="445"/>
    </row>
    <row r="1241" spans="1:38" s="467" customFormat="1" ht="12.75" customHeight="1">
      <c r="A1241" s="1033">
        <v>5313120</v>
      </c>
      <c r="B1241" s="1033" t="s">
        <v>2834</v>
      </c>
      <c r="C1241" s="1034"/>
      <c r="D1241" s="1035"/>
      <c r="E1241" s="1035"/>
      <c r="F1241" s="1034"/>
      <c r="G1241" s="1033"/>
      <c r="H1241" s="1033"/>
      <c r="I1241" s="1034"/>
      <c r="J1241" s="1033"/>
      <c r="K1241" s="1033"/>
      <c r="L1241" s="1034"/>
      <c r="M1241" s="1035"/>
      <c r="N1241" s="1035"/>
      <c r="O1241" s="1036"/>
      <c r="P1241" s="1033"/>
      <c r="Q1241" s="1033"/>
      <c r="R1241" s="1034"/>
      <c r="S1241" s="1035"/>
      <c r="T1241" s="1035"/>
      <c r="U1241" s="1034"/>
      <c r="V1241" s="1035"/>
      <c r="W1241" s="1035"/>
      <c r="X1241" s="1037"/>
      <c r="Y1241" s="1035"/>
      <c r="Z1241" s="1035">
        <f t="shared" si="285"/>
        <v>4</v>
      </c>
      <c r="AA1241" s="1035"/>
      <c r="AB1241" s="1035"/>
      <c r="AC1241" s="1021">
        <v>410541</v>
      </c>
      <c r="AD1241" s="1021" t="s">
        <v>2362</v>
      </c>
      <c r="AE1241" s="1022">
        <f>VLOOKUP(AC1241,[5]Hoja1!$A$10:$K$1393,11,0)</f>
        <v>118376374</v>
      </c>
      <c r="AF1241" s="1022"/>
      <c r="AG1241" s="1022">
        <f t="shared" si="286"/>
        <v>118376374</v>
      </c>
      <c r="AH1241" s="1022">
        <f t="shared" si="287"/>
        <v>118376</v>
      </c>
      <c r="AK1241" s="448"/>
      <c r="AL1241" s="445"/>
    </row>
    <row r="1242" spans="1:38" s="467" customFormat="1" ht="12.75" customHeight="1">
      <c r="A1242" s="1033"/>
      <c r="B1242" s="1033"/>
      <c r="C1242" s="1034"/>
      <c r="D1242" s="1035"/>
      <c r="E1242" s="1035"/>
      <c r="F1242" s="1034"/>
      <c r="G1242" s="1033"/>
      <c r="H1242" s="1033"/>
      <c r="I1242" s="1034"/>
      <c r="J1242" s="1033"/>
      <c r="K1242" s="1033"/>
      <c r="L1242" s="1034"/>
      <c r="M1242" s="1035"/>
      <c r="N1242" s="1035"/>
      <c r="O1242" s="1036"/>
      <c r="P1242" s="1033"/>
      <c r="Q1242" s="1033"/>
      <c r="R1242" s="1034"/>
      <c r="S1242" s="1035"/>
      <c r="T1242" s="1035"/>
      <c r="U1242" s="1034"/>
      <c r="V1242" s="1035"/>
      <c r="W1242" s="1035"/>
      <c r="X1242" s="1037"/>
      <c r="Y1242" s="1035"/>
      <c r="Z1242" s="1035">
        <f t="shared" si="285"/>
        <v>4</v>
      </c>
      <c r="AA1242" s="1035"/>
      <c r="AB1242" s="1035"/>
      <c r="AC1242" s="1021">
        <v>410542</v>
      </c>
      <c r="AD1242" s="1021" t="s">
        <v>1838</v>
      </c>
      <c r="AE1242" s="1022">
        <v>0</v>
      </c>
      <c r="AF1242" s="1022"/>
      <c r="AG1242" s="1022">
        <f t="shared" si="286"/>
        <v>0</v>
      </c>
      <c r="AH1242" s="1022">
        <f t="shared" si="287"/>
        <v>0</v>
      </c>
      <c r="AK1242" s="448"/>
      <c r="AL1242" s="445"/>
    </row>
    <row r="1243" spans="1:38" s="467" customFormat="1" ht="12.75" customHeight="1">
      <c r="A1243" s="1033"/>
      <c r="B1243" s="1033"/>
      <c r="C1243" s="1034"/>
      <c r="D1243" s="1035"/>
      <c r="E1243" s="1035"/>
      <c r="F1243" s="1034"/>
      <c r="G1243" s="1033"/>
      <c r="H1243" s="1033"/>
      <c r="I1243" s="1034"/>
      <c r="J1243" s="1033"/>
      <c r="K1243" s="1033"/>
      <c r="L1243" s="1034"/>
      <c r="M1243" s="1035"/>
      <c r="N1243" s="1035"/>
      <c r="O1243" s="1036"/>
      <c r="P1243" s="1033"/>
      <c r="Q1243" s="1033"/>
      <c r="R1243" s="1034"/>
      <c r="S1243" s="1035"/>
      <c r="T1243" s="1035"/>
      <c r="U1243" s="1034"/>
      <c r="V1243" s="1035"/>
      <c r="W1243" s="1035"/>
      <c r="X1243" s="1037"/>
      <c r="Y1243" s="1035"/>
      <c r="Z1243" s="1035">
        <f t="shared" si="285"/>
        <v>4</v>
      </c>
      <c r="AA1243" s="1035"/>
      <c r="AB1243" s="1035"/>
      <c r="AC1243" s="1021">
        <v>410543</v>
      </c>
      <c r="AD1243" s="1021" t="s">
        <v>2363</v>
      </c>
      <c r="AE1243" s="1022">
        <v>0</v>
      </c>
      <c r="AF1243" s="1022"/>
      <c r="AG1243" s="1022">
        <f t="shared" si="286"/>
        <v>0</v>
      </c>
      <c r="AH1243" s="1022">
        <f t="shared" si="287"/>
        <v>0</v>
      </c>
      <c r="AK1243" s="448"/>
      <c r="AL1243" s="445"/>
    </row>
    <row r="1244" spans="1:38" s="467" customFormat="1" ht="12.75" customHeight="1">
      <c r="A1244" s="1033"/>
      <c r="B1244" s="1033"/>
      <c r="C1244" s="1034"/>
      <c r="D1244" s="1035"/>
      <c r="E1244" s="1035"/>
      <c r="F1244" s="1034"/>
      <c r="G1244" s="1033"/>
      <c r="H1244" s="1033"/>
      <c r="I1244" s="1034"/>
      <c r="J1244" s="1033"/>
      <c r="K1244" s="1033"/>
      <c r="L1244" s="1034"/>
      <c r="M1244" s="1035"/>
      <c r="N1244" s="1035"/>
      <c r="O1244" s="1036"/>
      <c r="P1244" s="1033"/>
      <c r="Q1244" s="1033"/>
      <c r="R1244" s="1034"/>
      <c r="S1244" s="1035"/>
      <c r="T1244" s="1035"/>
      <c r="U1244" s="1034"/>
      <c r="V1244" s="1035"/>
      <c r="W1244" s="1035"/>
      <c r="X1244" s="1037"/>
      <c r="Y1244" s="1035"/>
      <c r="Z1244" s="1035">
        <f t="shared" si="285"/>
        <v>4</v>
      </c>
      <c r="AA1244" s="1035"/>
      <c r="AB1244" s="1035"/>
      <c r="AC1244" s="1021">
        <v>410544</v>
      </c>
      <c r="AD1244" s="1021" t="s">
        <v>1839</v>
      </c>
      <c r="AE1244" s="1022">
        <v>0</v>
      </c>
      <c r="AF1244" s="1022"/>
      <c r="AG1244" s="1022">
        <f t="shared" si="286"/>
        <v>0</v>
      </c>
      <c r="AH1244" s="1022">
        <f t="shared" si="287"/>
        <v>0</v>
      </c>
      <c r="AK1244" s="448"/>
      <c r="AL1244" s="445"/>
    </row>
    <row r="1245" spans="1:38" s="467" customFormat="1" ht="12.75" customHeight="1">
      <c r="A1245" s="1033">
        <v>5313500</v>
      </c>
      <c r="B1245" s="1033" t="s">
        <v>2840</v>
      </c>
      <c r="C1245" s="1034"/>
      <c r="D1245" s="1035"/>
      <c r="E1245" s="1035"/>
      <c r="F1245" s="1034"/>
      <c r="G1245" s="1033"/>
      <c r="H1245" s="1033"/>
      <c r="I1245" s="1034"/>
      <c r="J1245" s="1033"/>
      <c r="K1245" s="1033"/>
      <c r="L1245" s="1034"/>
      <c r="M1245" s="1035"/>
      <c r="N1245" s="1035"/>
      <c r="O1245" s="1036"/>
      <c r="P1245" s="1033"/>
      <c r="Q1245" s="1033"/>
      <c r="R1245" s="1034"/>
      <c r="S1245" s="1035"/>
      <c r="T1245" s="1035"/>
      <c r="U1245" s="1034"/>
      <c r="V1245" s="1035"/>
      <c r="W1245" s="1035"/>
      <c r="X1245" s="1037"/>
      <c r="Y1245" s="1035"/>
      <c r="Z1245" s="1035">
        <f t="shared" ref="Z1245:Z1308" si="289">VALUE(LEFT(AC1245,1))</f>
        <v>4</v>
      </c>
      <c r="AA1245" s="1035"/>
      <c r="AB1245" s="1035"/>
      <c r="AC1245" s="1021">
        <v>410545</v>
      </c>
      <c r="AD1245" s="1021" t="s">
        <v>2364</v>
      </c>
      <c r="AE1245" s="1022">
        <f>VLOOKUP(AC1245,[5]Hoja1!$A$10:$K$1393,11,0)</f>
        <v>-2530099972</v>
      </c>
      <c r="AF1245" s="1022"/>
      <c r="AG1245" s="1022">
        <f t="shared" ref="AG1245:AG1308" si="290">AE1245+AF1245</f>
        <v>-2530099972</v>
      </c>
      <c r="AH1245" s="1022">
        <f t="shared" ref="AH1245:AH1308" si="291">ROUND((AE1245+AF1245)/$AH$2,0)</f>
        <v>-2530100</v>
      </c>
      <c r="AK1245" s="448"/>
      <c r="AL1245" s="445"/>
    </row>
    <row r="1246" spans="1:38" s="467" customFormat="1" ht="12.75" customHeight="1">
      <c r="A1246" s="1033">
        <v>5313500</v>
      </c>
      <c r="B1246" s="1033" t="s">
        <v>2840</v>
      </c>
      <c r="C1246" s="1034"/>
      <c r="D1246" s="1035"/>
      <c r="E1246" s="1035"/>
      <c r="F1246" s="1034"/>
      <c r="G1246" s="1033"/>
      <c r="H1246" s="1033"/>
      <c r="I1246" s="1034"/>
      <c r="J1246" s="1033"/>
      <c r="K1246" s="1033"/>
      <c r="L1246" s="1034"/>
      <c r="M1246" s="1035"/>
      <c r="N1246" s="1035"/>
      <c r="O1246" s="1036"/>
      <c r="P1246" s="1033"/>
      <c r="Q1246" s="1033"/>
      <c r="R1246" s="1034"/>
      <c r="S1246" s="1035"/>
      <c r="T1246" s="1035"/>
      <c r="U1246" s="1034"/>
      <c r="V1246" s="1035"/>
      <c r="W1246" s="1035"/>
      <c r="X1246" s="1037"/>
      <c r="Y1246" s="1035"/>
      <c r="Z1246" s="1035">
        <f t="shared" si="289"/>
        <v>4</v>
      </c>
      <c r="AA1246" s="1035"/>
      <c r="AB1246" s="1035"/>
      <c r="AC1246" s="1021">
        <v>410546</v>
      </c>
      <c r="AD1246" s="1021" t="s">
        <v>3473</v>
      </c>
      <c r="AE1246" s="1022">
        <f>VLOOKUP(AC1246,[5]Hoja1!$A$10:$K$1393,11,0)</f>
        <v>-1259553062</v>
      </c>
      <c r="AF1246" s="1022"/>
      <c r="AG1246" s="1022">
        <f t="shared" si="290"/>
        <v>-1259553062</v>
      </c>
      <c r="AH1246" s="1022">
        <f t="shared" si="291"/>
        <v>-1259553</v>
      </c>
      <c r="AK1246" s="448"/>
      <c r="AL1246" s="445"/>
    </row>
    <row r="1247" spans="1:38" s="467" customFormat="1" ht="12.75" customHeight="1">
      <c r="A1247" s="1033">
        <v>5313210</v>
      </c>
      <c r="B1247" s="1033" t="s">
        <v>2833</v>
      </c>
      <c r="C1247" s="1034"/>
      <c r="D1247" s="1035"/>
      <c r="E1247" s="1035"/>
      <c r="F1247" s="1034"/>
      <c r="G1247" s="1033"/>
      <c r="H1247" s="1033"/>
      <c r="I1247" s="1034"/>
      <c r="J1247" s="1033"/>
      <c r="K1247" s="1033"/>
      <c r="L1247" s="1034"/>
      <c r="M1247" s="1035"/>
      <c r="N1247" s="1035"/>
      <c r="O1247" s="1036"/>
      <c r="P1247" s="1033"/>
      <c r="Q1247" s="1033"/>
      <c r="R1247" s="1034"/>
      <c r="S1247" s="1035"/>
      <c r="T1247" s="1035"/>
      <c r="U1247" s="1034"/>
      <c r="V1247" s="1035"/>
      <c r="W1247" s="1035"/>
      <c r="X1247" s="1037"/>
      <c r="Y1247" s="1035"/>
      <c r="Z1247" s="1035">
        <f t="shared" si="289"/>
        <v>4</v>
      </c>
      <c r="AA1247" s="1035"/>
      <c r="AB1247" s="1035"/>
      <c r="AC1247" s="1021">
        <v>410547</v>
      </c>
      <c r="AD1247" s="1021" t="s">
        <v>2365</v>
      </c>
      <c r="AE1247" s="1022">
        <f>VLOOKUP(AC1247,[5]Hoja1!$A$10:$K$1393,11,0)</f>
        <v>0</v>
      </c>
      <c r="AF1247" s="1022"/>
      <c r="AG1247" s="1022">
        <f t="shared" si="290"/>
        <v>0</v>
      </c>
      <c r="AH1247" s="1022">
        <f t="shared" si="291"/>
        <v>0</v>
      </c>
      <c r="AK1247" s="448"/>
      <c r="AL1247" s="445"/>
    </row>
    <row r="1248" spans="1:38" s="467" customFormat="1" ht="12.75" customHeight="1">
      <c r="A1248" s="1033">
        <v>5313220</v>
      </c>
      <c r="B1248" s="1033" t="s">
        <v>2834</v>
      </c>
      <c r="C1248" s="1034"/>
      <c r="D1248" s="1035"/>
      <c r="E1248" s="1035"/>
      <c r="F1248" s="1034"/>
      <c r="G1248" s="1033"/>
      <c r="H1248" s="1033"/>
      <c r="I1248" s="1034"/>
      <c r="J1248" s="1033"/>
      <c r="K1248" s="1033"/>
      <c r="L1248" s="1034"/>
      <c r="M1248" s="1035"/>
      <c r="N1248" s="1035"/>
      <c r="O1248" s="1036"/>
      <c r="P1248" s="1033"/>
      <c r="Q1248" s="1033"/>
      <c r="R1248" s="1034"/>
      <c r="S1248" s="1035"/>
      <c r="T1248" s="1035"/>
      <c r="U1248" s="1034"/>
      <c r="V1248" s="1035"/>
      <c r="W1248" s="1035"/>
      <c r="X1248" s="1037"/>
      <c r="Y1248" s="1035"/>
      <c r="Z1248" s="1035">
        <f t="shared" si="289"/>
        <v>4</v>
      </c>
      <c r="AA1248" s="1035"/>
      <c r="AB1248" s="1035"/>
      <c r="AC1248" s="1021">
        <v>410548</v>
      </c>
      <c r="AD1248" s="1021" t="s">
        <v>2366</v>
      </c>
      <c r="AE1248" s="1022">
        <f>VLOOKUP(AC1248,[5]Hoja1!$A$10:$K$1393,11,0)</f>
        <v>0</v>
      </c>
      <c r="AF1248" s="1022"/>
      <c r="AG1248" s="1022">
        <f t="shared" si="290"/>
        <v>0</v>
      </c>
      <c r="AH1248" s="1022">
        <f t="shared" si="291"/>
        <v>0</v>
      </c>
      <c r="AK1248" s="448"/>
      <c r="AL1248" s="445"/>
    </row>
    <row r="1249" spans="1:38" s="467" customFormat="1" ht="12.75" customHeight="1">
      <c r="A1249" s="1033">
        <v>5313320</v>
      </c>
      <c r="B1249" s="1033" t="s">
        <v>2834</v>
      </c>
      <c r="C1249" s="1034"/>
      <c r="D1249" s="1035"/>
      <c r="E1249" s="1035"/>
      <c r="F1249" s="1034"/>
      <c r="G1249" s="1033"/>
      <c r="H1249" s="1033"/>
      <c r="I1249" s="1034"/>
      <c r="J1249" s="1033"/>
      <c r="K1249" s="1033"/>
      <c r="L1249" s="1034"/>
      <c r="M1249" s="1035"/>
      <c r="N1249" s="1035"/>
      <c r="O1249" s="1036"/>
      <c r="P1249" s="1033"/>
      <c r="Q1249" s="1033"/>
      <c r="R1249" s="1034"/>
      <c r="S1249" s="1035"/>
      <c r="T1249" s="1035"/>
      <c r="U1249" s="1034"/>
      <c r="V1249" s="1035"/>
      <c r="W1249" s="1035"/>
      <c r="X1249" s="1037"/>
      <c r="Y1249" s="1035"/>
      <c r="Z1249" s="1035">
        <f t="shared" si="289"/>
        <v>4</v>
      </c>
      <c r="AA1249" s="1035"/>
      <c r="AB1249" s="1035"/>
      <c r="AC1249" s="1021">
        <v>410549</v>
      </c>
      <c r="AD1249" s="1021" t="s">
        <v>2367</v>
      </c>
      <c r="AE1249" s="1022">
        <f>VLOOKUP(AC1249,[5]Hoja1!$A$10:$K$1393,11,0)</f>
        <v>-254057726</v>
      </c>
      <c r="AF1249" s="1022"/>
      <c r="AG1249" s="1022">
        <f t="shared" si="290"/>
        <v>-254057726</v>
      </c>
      <c r="AH1249" s="1022">
        <f t="shared" si="291"/>
        <v>-254058</v>
      </c>
      <c r="AK1249" s="448"/>
      <c r="AL1249" s="445"/>
    </row>
    <row r="1250" spans="1:38" s="467" customFormat="1" ht="12.75" customHeight="1">
      <c r="A1250" s="1033">
        <v>5313320</v>
      </c>
      <c r="B1250" s="1033" t="s">
        <v>2834</v>
      </c>
      <c r="C1250" s="1034"/>
      <c r="D1250" s="1035"/>
      <c r="E1250" s="1035"/>
      <c r="F1250" s="1034"/>
      <c r="G1250" s="1033"/>
      <c r="H1250" s="1033"/>
      <c r="I1250" s="1034"/>
      <c r="J1250" s="1033"/>
      <c r="K1250" s="1033"/>
      <c r="L1250" s="1034"/>
      <c r="M1250" s="1035"/>
      <c r="N1250" s="1035"/>
      <c r="O1250" s="1036"/>
      <c r="P1250" s="1033"/>
      <c r="Q1250" s="1033"/>
      <c r="R1250" s="1034"/>
      <c r="S1250" s="1035"/>
      <c r="T1250" s="1035"/>
      <c r="U1250" s="1034"/>
      <c r="V1250" s="1035"/>
      <c r="W1250" s="1035"/>
      <c r="X1250" s="1037"/>
      <c r="Y1250" s="1035"/>
      <c r="Z1250" s="1035">
        <f t="shared" si="289"/>
        <v>4</v>
      </c>
      <c r="AA1250" s="1035"/>
      <c r="AB1250" s="1035"/>
      <c r="AC1250" s="1021">
        <v>410550</v>
      </c>
      <c r="AD1250" s="1021" t="s">
        <v>2368</v>
      </c>
      <c r="AE1250" s="1022">
        <f>VLOOKUP(AC1250,[5]Hoja1!$A$10:$K$1393,11,0)</f>
        <v>-14645630</v>
      </c>
      <c r="AF1250" s="1022"/>
      <c r="AG1250" s="1022">
        <f t="shared" si="290"/>
        <v>-14645630</v>
      </c>
      <c r="AH1250" s="1022">
        <f t="shared" si="291"/>
        <v>-14646</v>
      </c>
      <c r="AK1250" s="448"/>
      <c r="AL1250" s="445"/>
    </row>
    <row r="1251" spans="1:38" s="467" customFormat="1" ht="12.75" customHeight="1">
      <c r="A1251" s="1033">
        <v>5313120</v>
      </c>
      <c r="B1251" s="1033" t="s">
        <v>2834</v>
      </c>
      <c r="C1251" s="1034"/>
      <c r="D1251" s="1035"/>
      <c r="E1251" s="1035"/>
      <c r="F1251" s="1034"/>
      <c r="G1251" s="1033"/>
      <c r="H1251" s="1033"/>
      <c r="I1251" s="1034"/>
      <c r="J1251" s="1033"/>
      <c r="K1251" s="1033"/>
      <c r="L1251" s="1034"/>
      <c r="M1251" s="1035"/>
      <c r="N1251" s="1035"/>
      <c r="O1251" s="1036"/>
      <c r="P1251" s="1033"/>
      <c r="Q1251" s="1033"/>
      <c r="R1251" s="1034"/>
      <c r="S1251" s="1035"/>
      <c r="T1251" s="1035"/>
      <c r="U1251" s="1034"/>
      <c r="V1251" s="1035"/>
      <c r="W1251" s="1035"/>
      <c r="X1251" s="1037"/>
      <c r="Y1251" s="1035"/>
      <c r="Z1251" s="1035">
        <f t="shared" si="289"/>
        <v>4</v>
      </c>
      <c r="AA1251" s="1035"/>
      <c r="AB1251" s="1035"/>
      <c r="AC1251" s="1021">
        <v>410551</v>
      </c>
      <c r="AD1251" s="1021" t="s">
        <v>2369</v>
      </c>
      <c r="AE1251" s="1022">
        <f>VLOOKUP(AC1251,[5]Hoja1!$A$10:$K$1393,11,0)</f>
        <v>0</v>
      </c>
      <c r="AF1251" s="1022"/>
      <c r="AG1251" s="1022">
        <f t="shared" si="290"/>
        <v>0</v>
      </c>
      <c r="AH1251" s="1022">
        <f t="shared" si="291"/>
        <v>0</v>
      </c>
      <c r="AK1251" s="448"/>
      <c r="AL1251" s="445"/>
    </row>
    <row r="1252" spans="1:38" s="467" customFormat="1" ht="12.75" customHeight="1">
      <c r="A1252" s="1033">
        <v>5313320</v>
      </c>
      <c r="B1252" s="1033" t="s">
        <v>2834</v>
      </c>
      <c r="C1252" s="1034"/>
      <c r="D1252" s="1035"/>
      <c r="E1252" s="1035"/>
      <c r="F1252" s="1034"/>
      <c r="G1252" s="1033"/>
      <c r="H1252" s="1033"/>
      <c r="I1252" s="1034"/>
      <c r="J1252" s="1033"/>
      <c r="K1252" s="1033"/>
      <c r="L1252" s="1034"/>
      <c r="M1252" s="1035"/>
      <c r="N1252" s="1035"/>
      <c r="O1252" s="1036"/>
      <c r="P1252" s="1033"/>
      <c r="Q1252" s="1033"/>
      <c r="R1252" s="1034"/>
      <c r="S1252" s="1035"/>
      <c r="T1252" s="1035"/>
      <c r="U1252" s="1034"/>
      <c r="V1252" s="1035"/>
      <c r="W1252" s="1035"/>
      <c r="X1252" s="1037"/>
      <c r="Y1252" s="1035"/>
      <c r="Z1252" s="1035">
        <f t="shared" si="289"/>
        <v>4</v>
      </c>
      <c r="AA1252" s="1035"/>
      <c r="AB1252" s="1035"/>
      <c r="AC1252" s="1021">
        <v>410552</v>
      </c>
      <c r="AD1252" s="1021" t="s">
        <v>2370</v>
      </c>
      <c r="AE1252" s="1022">
        <f>VLOOKUP(AC1252,[5]Hoja1!$A$10:$K$1393,11,0)</f>
        <v>0</v>
      </c>
      <c r="AF1252" s="1022"/>
      <c r="AG1252" s="1022">
        <f t="shared" si="290"/>
        <v>0</v>
      </c>
      <c r="AH1252" s="1022">
        <f t="shared" si="291"/>
        <v>0</v>
      </c>
      <c r="AK1252" s="448"/>
      <c r="AL1252" s="445"/>
    </row>
    <row r="1253" spans="1:38" s="467" customFormat="1" ht="12.75" customHeight="1">
      <c r="A1253" s="1033">
        <v>5313210</v>
      </c>
      <c r="B1253" s="1033" t="s">
        <v>2833</v>
      </c>
      <c r="C1253" s="1034"/>
      <c r="D1253" s="1035"/>
      <c r="E1253" s="1035"/>
      <c r="F1253" s="1034"/>
      <c r="G1253" s="1033"/>
      <c r="H1253" s="1033"/>
      <c r="I1253" s="1034"/>
      <c r="J1253" s="1033"/>
      <c r="K1253" s="1033"/>
      <c r="L1253" s="1034"/>
      <c r="M1253" s="1035"/>
      <c r="N1253" s="1035"/>
      <c r="O1253" s="1036"/>
      <c r="P1253" s="1033"/>
      <c r="Q1253" s="1033"/>
      <c r="R1253" s="1034"/>
      <c r="S1253" s="1035"/>
      <c r="T1253" s="1035"/>
      <c r="U1253" s="1034"/>
      <c r="V1253" s="1035"/>
      <c r="W1253" s="1035"/>
      <c r="X1253" s="1037"/>
      <c r="Y1253" s="1035"/>
      <c r="Z1253" s="1035">
        <f t="shared" si="289"/>
        <v>4</v>
      </c>
      <c r="AA1253" s="1035"/>
      <c r="AB1253" s="1035"/>
      <c r="AC1253" s="1021">
        <v>410553</v>
      </c>
      <c r="AD1253" s="1021" t="s">
        <v>2079</v>
      </c>
      <c r="AE1253" s="1022">
        <f>VLOOKUP(AC1253,[5]Hoja1!$A$10:$K$1393,11,0)</f>
        <v>0</v>
      </c>
      <c r="AF1253" s="1022"/>
      <c r="AG1253" s="1022">
        <f t="shared" si="290"/>
        <v>0</v>
      </c>
      <c r="AH1253" s="1022">
        <f t="shared" si="291"/>
        <v>0</v>
      </c>
      <c r="AK1253" s="448"/>
      <c r="AL1253" s="445"/>
    </row>
    <row r="1254" spans="1:38" s="467" customFormat="1" ht="12.75" customHeight="1">
      <c r="A1254" s="1033">
        <v>5313210</v>
      </c>
      <c r="B1254" s="1033" t="s">
        <v>2833</v>
      </c>
      <c r="C1254" s="1034"/>
      <c r="D1254" s="1035"/>
      <c r="E1254" s="1035"/>
      <c r="F1254" s="1034"/>
      <c r="G1254" s="1033"/>
      <c r="H1254" s="1033"/>
      <c r="I1254" s="1034"/>
      <c r="J1254" s="1033"/>
      <c r="K1254" s="1033"/>
      <c r="L1254" s="1034"/>
      <c r="M1254" s="1035"/>
      <c r="N1254" s="1035"/>
      <c r="O1254" s="1036"/>
      <c r="P1254" s="1033"/>
      <c r="Q1254" s="1033"/>
      <c r="R1254" s="1034"/>
      <c r="S1254" s="1035"/>
      <c r="T1254" s="1035"/>
      <c r="U1254" s="1034"/>
      <c r="V1254" s="1035"/>
      <c r="W1254" s="1035"/>
      <c r="X1254" s="1037"/>
      <c r="Y1254" s="1035"/>
      <c r="Z1254" s="1035">
        <f t="shared" si="289"/>
        <v>4</v>
      </c>
      <c r="AA1254" s="1035"/>
      <c r="AB1254" s="1035"/>
      <c r="AC1254" s="1021">
        <v>410554</v>
      </c>
      <c r="AD1254" s="1021" t="s">
        <v>167</v>
      </c>
      <c r="AE1254" s="1022">
        <f>VLOOKUP(AC1254,[5]Hoja1!$A$10:$K$1393,11,0)</f>
        <v>0</v>
      </c>
      <c r="AF1254" s="1022"/>
      <c r="AG1254" s="1022">
        <f t="shared" si="290"/>
        <v>0</v>
      </c>
      <c r="AH1254" s="1022">
        <f t="shared" si="291"/>
        <v>0</v>
      </c>
      <c r="AK1254" s="448"/>
      <c r="AL1254" s="445"/>
    </row>
    <row r="1255" spans="1:38" s="467" customFormat="1" ht="12.75" customHeight="1">
      <c r="A1255" s="1033">
        <v>5313220</v>
      </c>
      <c r="B1255" s="1033" t="s">
        <v>2834</v>
      </c>
      <c r="C1255" s="1034"/>
      <c r="D1255" s="1035"/>
      <c r="E1255" s="1035"/>
      <c r="F1255" s="1034"/>
      <c r="G1255" s="1033"/>
      <c r="H1255" s="1033"/>
      <c r="I1255" s="1034"/>
      <c r="J1255" s="1033"/>
      <c r="K1255" s="1033"/>
      <c r="L1255" s="1034"/>
      <c r="M1255" s="1035"/>
      <c r="N1255" s="1035"/>
      <c r="O1255" s="1036"/>
      <c r="P1255" s="1033"/>
      <c r="Q1255" s="1033"/>
      <c r="R1255" s="1034"/>
      <c r="S1255" s="1035"/>
      <c r="T1255" s="1035"/>
      <c r="U1255" s="1034"/>
      <c r="V1255" s="1035"/>
      <c r="W1255" s="1035"/>
      <c r="X1255" s="1037"/>
      <c r="Y1255" s="1035"/>
      <c r="Z1255" s="1035">
        <f t="shared" si="289"/>
        <v>4</v>
      </c>
      <c r="AA1255" s="1035"/>
      <c r="AB1255" s="1035"/>
      <c r="AC1255" s="1021">
        <v>410555</v>
      </c>
      <c r="AD1255" s="1021" t="s">
        <v>2371</v>
      </c>
      <c r="AE1255" s="1022">
        <f>VLOOKUP(AC1255,[5]Hoja1!$A$10:$K$1393,11,0)</f>
        <v>-559645240</v>
      </c>
      <c r="AF1255" s="1022"/>
      <c r="AG1255" s="1022">
        <f t="shared" si="290"/>
        <v>-559645240</v>
      </c>
      <c r="AH1255" s="1022">
        <f t="shared" si="291"/>
        <v>-559645</v>
      </c>
      <c r="AK1255" s="448"/>
      <c r="AL1255" s="445"/>
    </row>
    <row r="1256" spans="1:38" s="467" customFormat="1" ht="12.75" customHeight="1">
      <c r="A1256" s="1033">
        <v>5313120</v>
      </c>
      <c r="B1256" s="1033" t="s">
        <v>2834</v>
      </c>
      <c r="C1256" s="1034"/>
      <c r="D1256" s="1035"/>
      <c r="E1256" s="1035"/>
      <c r="F1256" s="1034"/>
      <c r="G1256" s="1033"/>
      <c r="H1256" s="1033"/>
      <c r="I1256" s="1034"/>
      <c r="J1256" s="1033"/>
      <c r="K1256" s="1033"/>
      <c r="L1256" s="1034"/>
      <c r="M1256" s="1035"/>
      <c r="N1256" s="1035"/>
      <c r="O1256" s="1036"/>
      <c r="P1256" s="1033"/>
      <c r="Q1256" s="1033"/>
      <c r="R1256" s="1034"/>
      <c r="S1256" s="1035"/>
      <c r="T1256" s="1035"/>
      <c r="U1256" s="1034"/>
      <c r="V1256" s="1035"/>
      <c r="W1256" s="1035"/>
      <c r="X1256" s="1037"/>
      <c r="Y1256" s="1035"/>
      <c r="Z1256" s="1035">
        <f t="shared" si="289"/>
        <v>4</v>
      </c>
      <c r="AA1256" s="1035"/>
      <c r="AB1256" s="1035"/>
      <c r="AC1256" s="1021">
        <v>410556</v>
      </c>
      <c r="AD1256" s="1021" t="s">
        <v>2372</v>
      </c>
      <c r="AE1256" s="1022">
        <f>VLOOKUP(AC1256,[5]Hoja1!$A$10:$K$1393,11,0)</f>
        <v>0</v>
      </c>
      <c r="AF1256" s="1022"/>
      <c r="AG1256" s="1022">
        <f t="shared" si="290"/>
        <v>0</v>
      </c>
      <c r="AH1256" s="1022">
        <f t="shared" si="291"/>
        <v>0</v>
      </c>
      <c r="AK1256" s="448"/>
      <c r="AL1256" s="445"/>
    </row>
    <row r="1257" spans="1:38" s="467" customFormat="1" ht="12.75" customHeight="1">
      <c r="A1257" s="1033">
        <v>5313320</v>
      </c>
      <c r="B1257" s="1033" t="s">
        <v>2834</v>
      </c>
      <c r="C1257" s="1034"/>
      <c r="D1257" s="1035"/>
      <c r="E1257" s="1035"/>
      <c r="F1257" s="1034"/>
      <c r="G1257" s="1033"/>
      <c r="H1257" s="1033"/>
      <c r="I1257" s="1034"/>
      <c r="J1257" s="1033"/>
      <c r="K1257" s="1033"/>
      <c r="L1257" s="1034"/>
      <c r="M1257" s="1035"/>
      <c r="N1257" s="1035"/>
      <c r="O1257" s="1036"/>
      <c r="P1257" s="1033"/>
      <c r="Q1257" s="1033"/>
      <c r="R1257" s="1034"/>
      <c r="S1257" s="1035"/>
      <c r="T1257" s="1035"/>
      <c r="U1257" s="1034"/>
      <c r="V1257" s="1035"/>
      <c r="W1257" s="1035"/>
      <c r="X1257" s="1037"/>
      <c r="Y1257" s="1035"/>
      <c r="Z1257" s="1035">
        <f t="shared" si="289"/>
        <v>4</v>
      </c>
      <c r="AA1257" s="1035"/>
      <c r="AB1257" s="1035"/>
      <c r="AC1257" s="1021">
        <v>410557</v>
      </c>
      <c r="AD1257" s="1021" t="s">
        <v>2373</v>
      </c>
      <c r="AE1257" s="1022">
        <f>VLOOKUP(AC1257,[5]Hoja1!$A$10:$K$1393,11,0)</f>
        <v>-175292355</v>
      </c>
      <c r="AF1257" s="1022"/>
      <c r="AG1257" s="1022">
        <f t="shared" si="290"/>
        <v>-175292355</v>
      </c>
      <c r="AH1257" s="1022">
        <f t="shared" si="291"/>
        <v>-175292</v>
      </c>
      <c r="AK1257" s="448"/>
      <c r="AL1257" s="445"/>
    </row>
    <row r="1258" spans="1:38" s="467" customFormat="1" ht="12.75" customHeight="1">
      <c r="A1258" s="1033"/>
      <c r="B1258" s="1033"/>
      <c r="C1258" s="1034"/>
      <c r="D1258" s="1035"/>
      <c r="E1258" s="1035"/>
      <c r="F1258" s="1034"/>
      <c r="G1258" s="1033"/>
      <c r="H1258" s="1033"/>
      <c r="I1258" s="1034"/>
      <c r="J1258" s="1033"/>
      <c r="K1258" s="1033"/>
      <c r="L1258" s="1034"/>
      <c r="M1258" s="1035"/>
      <c r="N1258" s="1035"/>
      <c r="O1258" s="1036"/>
      <c r="P1258" s="1033"/>
      <c r="Q1258" s="1033"/>
      <c r="R1258" s="1034"/>
      <c r="S1258" s="1035"/>
      <c r="T1258" s="1035"/>
      <c r="U1258" s="1034"/>
      <c r="V1258" s="1035"/>
      <c r="W1258" s="1035"/>
      <c r="X1258" s="1037"/>
      <c r="Y1258" s="1035"/>
      <c r="Z1258" s="1035">
        <f t="shared" si="289"/>
        <v>4</v>
      </c>
      <c r="AA1258" s="1035"/>
      <c r="AB1258" s="1035"/>
      <c r="AC1258" s="1021">
        <v>410558</v>
      </c>
      <c r="AD1258" s="1021" t="s">
        <v>1868</v>
      </c>
      <c r="AE1258" s="1022">
        <v>0</v>
      </c>
      <c r="AF1258" s="1022"/>
      <c r="AG1258" s="1022">
        <f t="shared" si="290"/>
        <v>0</v>
      </c>
      <c r="AH1258" s="1022">
        <f t="shared" si="291"/>
        <v>0</v>
      </c>
      <c r="AK1258" s="448"/>
      <c r="AL1258" s="445"/>
    </row>
    <row r="1259" spans="1:38" s="467" customFormat="1" ht="12.75" customHeight="1">
      <c r="A1259" s="1033">
        <v>5313220</v>
      </c>
      <c r="B1259" s="1033" t="s">
        <v>2834</v>
      </c>
      <c r="C1259" s="1034"/>
      <c r="D1259" s="1035"/>
      <c r="E1259" s="1035"/>
      <c r="F1259" s="1034"/>
      <c r="G1259" s="1033"/>
      <c r="H1259" s="1033"/>
      <c r="I1259" s="1034"/>
      <c r="J1259" s="1033"/>
      <c r="K1259" s="1033"/>
      <c r="L1259" s="1034"/>
      <c r="M1259" s="1035"/>
      <c r="N1259" s="1035"/>
      <c r="O1259" s="1036"/>
      <c r="P1259" s="1033"/>
      <c r="Q1259" s="1033"/>
      <c r="R1259" s="1034"/>
      <c r="S1259" s="1035"/>
      <c r="T1259" s="1035"/>
      <c r="U1259" s="1034"/>
      <c r="V1259" s="1035"/>
      <c r="W1259" s="1035"/>
      <c r="X1259" s="1037"/>
      <c r="Y1259" s="1035"/>
      <c r="Z1259" s="1035">
        <f t="shared" si="289"/>
        <v>4</v>
      </c>
      <c r="AA1259" s="1035"/>
      <c r="AB1259" s="1035"/>
      <c r="AC1259" s="1021">
        <v>410559</v>
      </c>
      <c r="AD1259" s="1021" t="s">
        <v>1867</v>
      </c>
      <c r="AE1259" s="1022">
        <f>VLOOKUP(AC1259,[5]Hoja1!$A$10:$K$1393,11,0)</f>
        <v>-677068681</v>
      </c>
      <c r="AF1259" s="1022"/>
      <c r="AG1259" s="1022">
        <f t="shared" si="290"/>
        <v>-677068681</v>
      </c>
      <c r="AH1259" s="1022">
        <f t="shared" si="291"/>
        <v>-677069</v>
      </c>
      <c r="AK1259" s="448"/>
      <c r="AL1259" s="445"/>
    </row>
    <row r="1260" spans="1:38" s="467" customFormat="1" ht="12.75" customHeight="1">
      <c r="A1260" s="1033">
        <v>5313120</v>
      </c>
      <c r="B1260" s="1033" t="s">
        <v>2834</v>
      </c>
      <c r="C1260" s="1034"/>
      <c r="D1260" s="1035"/>
      <c r="E1260" s="1035"/>
      <c r="F1260" s="1034"/>
      <c r="G1260" s="1033"/>
      <c r="H1260" s="1033"/>
      <c r="I1260" s="1034"/>
      <c r="J1260" s="1033"/>
      <c r="K1260" s="1033"/>
      <c r="L1260" s="1034"/>
      <c r="M1260" s="1035"/>
      <c r="N1260" s="1035"/>
      <c r="O1260" s="1036"/>
      <c r="P1260" s="1033"/>
      <c r="Q1260" s="1033"/>
      <c r="R1260" s="1034"/>
      <c r="S1260" s="1035"/>
      <c r="T1260" s="1035"/>
      <c r="U1260" s="1034"/>
      <c r="V1260" s="1035"/>
      <c r="W1260" s="1035"/>
      <c r="X1260" s="1037"/>
      <c r="Y1260" s="1035"/>
      <c r="Z1260" s="1035">
        <f t="shared" si="289"/>
        <v>4</v>
      </c>
      <c r="AA1260" s="1035"/>
      <c r="AB1260" s="1035"/>
      <c r="AC1260" s="1021">
        <v>410560</v>
      </c>
      <c r="AD1260" s="1021" t="s">
        <v>1869</v>
      </c>
      <c r="AE1260" s="1022">
        <f>VLOOKUP(AC1260,[5]Hoja1!$A$10:$K$1393,11,0)</f>
        <v>-962538957</v>
      </c>
      <c r="AF1260" s="1022"/>
      <c r="AG1260" s="1022">
        <f t="shared" si="290"/>
        <v>-962538957</v>
      </c>
      <c r="AH1260" s="1022">
        <f t="shared" si="291"/>
        <v>-962539</v>
      </c>
      <c r="AK1260" s="448"/>
      <c r="AL1260" s="445"/>
    </row>
    <row r="1261" spans="1:38" s="467" customFormat="1" ht="12.75" customHeight="1">
      <c r="A1261" s="1033">
        <v>5313320</v>
      </c>
      <c r="B1261" s="1033" t="s">
        <v>2834</v>
      </c>
      <c r="C1261" s="1034"/>
      <c r="D1261" s="1035"/>
      <c r="E1261" s="1035"/>
      <c r="F1261" s="1034"/>
      <c r="G1261" s="1033"/>
      <c r="H1261" s="1033"/>
      <c r="I1261" s="1034"/>
      <c r="J1261" s="1033"/>
      <c r="K1261" s="1033"/>
      <c r="L1261" s="1034"/>
      <c r="M1261" s="1035"/>
      <c r="N1261" s="1035"/>
      <c r="O1261" s="1036"/>
      <c r="P1261" s="1033"/>
      <c r="Q1261" s="1033"/>
      <c r="R1261" s="1034"/>
      <c r="S1261" s="1035"/>
      <c r="T1261" s="1035"/>
      <c r="U1261" s="1034"/>
      <c r="V1261" s="1035"/>
      <c r="W1261" s="1035"/>
      <c r="X1261" s="1037"/>
      <c r="Y1261" s="1035"/>
      <c r="Z1261" s="1035">
        <f t="shared" si="289"/>
        <v>4</v>
      </c>
      <c r="AA1261" s="1035"/>
      <c r="AB1261" s="1035"/>
      <c r="AC1261" s="1021">
        <v>410561</v>
      </c>
      <c r="AD1261" s="1021" t="s">
        <v>1870</v>
      </c>
      <c r="AE1261" s="1022">
        <f>VLOOKUP(AC1261,[5]Hoja1!$A$10:$K$1393,11,0)</f>
        <v>-441398117</v>
      </c>
      <c r="AF1261" s="1022"/>
      <c r="AG1261" s="1022">
        <f t="shared" si="290"/>
        <v>-441398117</v>
      </c>
      <c r="AH1261" s="1022">
        <f t="shared" si="291"/>
        <v>-441398</v>
      </c>
      <c r="AK1261" s="448"/>
      <c r="AL1261" s="445"/>
    </row>
    <row r="1262" spans="1:38" s="467" customFormat="1" ht="12.75" customHeight="1">
      <c r="A1262" s="1033">
        <v>5313210</v>
      </c>
      <c r="B1262" s="1033" t="s">
        <v>2833</v>
      </c>
      <c r="C1262" s="1034"/>
      <c r="D1262" s="1035"/>
      <c r="E1262" s="1035"/>
      <c r="F1262" s="1034"/>
      <c r="G1262" s="1033"/>
      <c r="H1262" s="1033"/>
      <c r="I1262" s="1034"/>
      <c r="J1262" s="1033"/>
      <c r="K1262" s="1033"/>
      <c r="L1262" s="1034"/>
      <c r="M1262" s="1035"/>
      <c r="N1262" s="1035"/>
      <c r="O1262" s="1036"/>
      <c r="P1262" s="1033"/>
      <c r="Q1262" s="1033"/>
      <c r="R1262" s="1034"/>
      <c r="S1262" s="1035"/>
      <c r="T1262" s="1035"/>
      <c r="U1262" s="1034"/>
      <c r="V1262" s="1035"/>
      <c r="W1262" s="1035"/>
      <c r="X1262" s="1037"/>
      <c r="Y1262" s="1035"/>
      <c r="Z1262" s="1035">
        <f t="shared" si="289"/>
        <v>4</v>
      </c>
      <c r="AA1262" s="1035"/>
      <c r="AB1262" s="1035"/>
      <c r="AC1262" s="1021">
        <v>410562</v>
      </c>
      <c r="AD1262" s="1021" t="s">
        <v>2374</v>
      </c>
      <c r="AE1262" s="1022">
        <f>VLOOKUP(AC1262,[5]Hoja1!$A$10:$K$1393,11,0)</f>
        <v>0</v>
      </c>
      <c r="AF1262" s="1022"/>
      <c r="AG1262" s="1022">
        <f t="shared" si="290"/>
        <v>0</v>
      </c>
      <c r="AH1262" s="1022">
        <f t="shared" si="291"/>
        <v>0</v>
      </c>
      <c r="AK1262" s="448"/>
      <c r="AL1262" s="445"/>
    </row>
    <row r="1263" spans="1:38" s="467" customFormat="1" ht="12.75" customHeight="1">
      <c r="A1263" s="1033">
        <v>5313220</v>
      </c>
      <c r="B1263" s="1033" t="s">
        <v>2834</v>
      </c>
      <c r="C1263" s="1034"/>
      <c r="D1263" s="1035"/>
      <c r="E1263" s="1035"/>
      <c r="F1263" s="1034"/>
      <c r="G1263" s="1033"/>
      <c r="H1263" s="1033"/>
      <c r="I1263" s="1034"/>
      <c r="J1263" s="1033"/>
      <c r="K1263" s="1033"/>
      <c r="L1263" s="1034"/>
      <c r="M1263" s="1035"/>
      <c r="N1263" s="1035"/>
      <c r="O1263" s="1036"/>
      <c r="P1263" s="1033"/>
      <c r="Q1263" s="1033"/>
      <c r="R1263" s="1034"/>
      <c r="S1263" s="1035"/>
      <c r="T1263" s="1035"/>
      <c r="U1263" s="1034"/>
      <c r="V1263" s="1035"/>
      <c r="W1263" s="1035"/>
      <c r="X1263" s="1037"/>
      <c r="Y1263" s="1035"/>
      <c r="Z1263" s="1035">
        <f t="shared" si="289"/>
        <v>4</v>
      </c>
      <c r="AA1263" s="1035"/>
      <c r="AB1263" s="1035"/>
      <c r="AC1263" s="1021">
        <v>410563</v>
      </c>
      <c r="AD1263" s="1021" t="s">
        <v>1957</v>
      </c>
      <c r="AE1263" s="1022">
        <f>VLOOKUP(AC1263,[5]Hoja1!$A$10:$K$1393,11,0)</f>
        <v>-579991926</v>
      </c>
      <c r="AF1263" s="1022"/>
      <c r="AG1263" s="1022">
        <f t="shared" si="290"/>
        <v>-579991926</v>
      </c>
      <c r="AH1263" s="1022">
        <f t="shared" si="291"/>
        <v>-579992</v>
      </c>
      <c r="AK1263" s="448"/>
      <c r="AL1263" s="445"/>
    </row>
    <row r="1264" spans="1:38" s="467" customFormat="1" ht="12.75" customHeight="1">
      <c r="A1264" s="1033">
        <v>5313120</v>
      </c>
      <c r="B1264" s="1033" t="s">
        <v>2834</v>
      </c>
      <c r="C1264" s="1034"/>
      <c r="D1264" s="1035"/>
      <c r="E1264" s="1035"/>
      <c r="F1264" s="1034"/>
      <c r="G1264" s="1033"/>
      <c r="H1264" s="1033"/>
      <c r="I1264" s="1034"/>
      <c r="J1264" s="1033"/>
      <c r="K1264" s="1033"/>
      <c r="L1264" s="1034"/>
      <c r="M1264" s="1035"/>
      <c r="N1264" s="1035"/>
      <c r="O1264" s="1036"/>
      <c r="P1264" s="1033"/>
      <c r="Q1264" s="1033"/>
      <c r="R1264" s="1034"/>
      <c r="S1264" s="1035"/>
      <c r="T1264" s="1035"/>
      <c r="U1264" s="1034"/>
      <c r="V1264" s="1035"/>
      <c r="W1264" s="1035"/>
      <c r="X1264" s="1037"/>
      <c r="Y1264" s="1035"/>
      <c r="Z1264" s="1035">
        <f t="shared" si="289"/>
        <v>4</v>
      </c>
      <c r="AA1264" s="1035"/>
      <c r="AB1264" s="1035"/>
      <c r="AC1264" s="1021">
        <v>410564</v>
      </c>
      <c r="AD1264" s="1021" t="s">
        <v>227</v>
      </c>
      <c r="AE1264" s="1022">
        <f>VLOOKUP(AC1264,[5]Hoja1!$A$10:$K$1393,11,0)</f>
        <v>566186137</v>
      </c>
      <c r="AF1264" s="1022"/>
      <c r="AG1264" s="1022">
        <f t="shared" si="290"/>
        <v>566186137</v>
      </c>
      <c r="AH1264" s="1022">
        <f t="shared" si="291"/>
        <v>566186</v>
      </c>
      <c r="AK1264" s="448"/>
      <c r="AL1264" s="445"/>
    </row>
    <row r="1265" spans="1:38" s="467" customFormat="1" ht="12.75" customHeight="1">
      <c r="A1265" s="1033">
        <v>5313220</v>
      </c>
      <c r="B1265" s="1033" t="s">
        <v>2834</v>
      </c>
      <c r="C1265" s="1034"/>
      <c r="D1265" s="1035"/>
      <c r="E1265" s="1035"/>
      <c r="F1265" s="1034"/>
      <c r="G1265" s="1033"/>
      <c r="H1265" s="1033"/>
      <c r="I1265" s="1034"/>
      <c r="J1265" s="1033"/>
      <c r="K1265" s="1033"/>
      <c r="L1265" s="1034"/>
      <c r="M1265" s="1035"/>
      <c r="N1265" s="1035"/>
      <c r="O1265" s="1036"/>
      <c r="P1265" s="1033"/>
      <c r="Q1265" s="1033"/>
      <c r="R1265" s="1034"/>
      <c r="S1265" s="1035"/>
      <c r="T1265" s="1035"/>
      <c r="U1265" s="1034"/>
      <c r="V1265" s="1035"/>
      <c r="W1265" s="1035"/>
      <c r="X1265" s="1037"/>
      <c r="Y1265" s="1035"/>
      <c r="Z1265" s="1035">
        <f t="shared" si="289"/>
        <v>4</v>
      </c>
      <c r="AA1265" s="1035"/>
      <c r="AB1265" s="1035"/>
      <c r="AC1265" s="1021">
        <v>410565</v>
      </c>
      <c r="AD1265" s="1021" t="s">
        <v>2375</v>
      </c>
      <c r="AE1265" s="1022">
        <f>VLOOKUP(AC1265,[5]Hoja1!$A$10:$K$1393,11,0)</f>
        <v>-234425016</v>
      </c>
      <c r="AF1265" s="1022"/>
      <c r="AG1265" s="1022">
        <f t="shared" si="290"/>
        <v>-234425016</v>
      </c>
      <c r="AH1265" s="1022">
        <f t="shared" si="291"/>
        <v>-234425</v>
      </c>
      <c r="AK1265" s="448"/>
      <c r="AL1265" s="445"/>
    </row>
    <row r="1266" spans="1:38" s="467" customFormat="1" ht="12.75" customHeight="1">
      <c r="A1266" s="1033">
        <v>5313120</v>
      </c>
      <c r="B1266" s="1033" t="s">
        <v>2834</v>
      </c>
      <c r="C1266" s="1034"/>
      <c r="D1266" s="1035"/>
      <c r="E1266" s="1035"/>
      <c r="F1266" s="1034"/>
      <c r="G1266" s="1033"/>
      <c r="H1266" s="1033"/>
      <c r="I1266" s="1034"/>
      <c r="J1266" s="1033"/>
      <c r="K1266" s="1033"/>
      <c r="L1266" s="1034"/>
      <c r="M1266" s="1035"/>
      <c r="N1266" s="1035"/>
      <c r="O1266" s="1036"/>
      <c r="P1266" s="1033"/>
      <c r="Q1266" s="1033"/>
      <c r="R1266" s="1034"/>
      <c r="S1266" s="1035"/>
      <c r="T1266" s="1035"/>
      <c r="U1266" s="1034"/>
      <c r="V1266" s="1035"/>
      <c r="W1266" s="1035"/>
      <c r="X1266" s="1037"/>
      <c r="Y1266" s="1035"/>
      <c r="Z1266" s="1035">
        <f t="shared" si="289"/>
        <v>4</v>
      </c>
      <c r="AA1266" s="1035"/>
      <c r="AB1266" s="1035"/>
      <c r="AC1266" s="1021">
        <v>410566</v>
      </c>
      <c r="AD1266" s="1021" t="s">
        <v>319</v>
      </c>
      <c r="AE1266" s="1022">
        <f>VLOOKUP(AC1266,[5]Hoja1!$A$10:$K$1393,11,0)</f>
        <v>-14822804</v>
      </c>
      <c r="AF1266" s="1022"/>
      <c r="AG1266" s="1022">
        <f t="shared" si="290"/>
        <v>-14822804</v>
      </c>
      <c r="AH1266" s="1022">
        <f t="shared" si="291"/>
        <v>-14823</v>
      </c>
      <c r="AK1266" s="448"/>
      <c r="AL1266" s="445"/>
    </row>
    <row r="1267" spans="1:38" s="467" customFormat="1" ht="12.75" customHeight="1">
      <c r="A1267" s="1033">
        <v>5313210</v>
      </c>
      <c r="B1267" s="1033" t="s">
        <v>2833</v>
      </c>
      <c r="C1267" s="1034"/>
      <c r="D1267" s="1035"/>
      <c r="E1267" s="1035"/>
      <c r="F1267" s="1034"/>
      <c r="G1267" s="1033"/>
      <c r="H1267" s="1033"/>
      <c r="I1267" s="1034"/>
      <c r="J1267" s="1033"/>
      <c r="K1267" s="1033"/>
      <c r="L1267" s="1034"/>
      <c r="M1267" s="1035"/>
      <c r="N1267" s="1035"/>
      <c r="O1267" s="1036"/>
      <c r="P1267" s="1033"/>
      <c r="Q1267" s="1033"/>
      <c r="R1267" s="1034"/>
      <c r="S1267" s="1035"/>
      <c r="T1267" s="1035"/>
      <c r="U1267" s="1034"/>
      <c r="V1267" s="1035"/>
      <c r="W1267" s="1035"/>
      <c r="X1267" s="1037"/>
      <c r="Y1267" s="1035"/>
      <c r="Z1267" s="1035">
        <f t="shared" si="289"/>
        <v>4</v>
      </c>
      <c r="AA1267" s="1035"/>
      <c r="AB1267" s="1035"/>
      <c r="AC1267" s="1021">
        <v>410567</v>
      </c>
      <c r="AD1267" s="1021" t="s">
        <v>2376</v>
      </c>
      <c r="AE1267" s="1022">
        <f>VLOOKUP(AC1267,[5]Hoja1!$A$10:$K$1393,11,0)</f>
        <v>-14273702</v>
      </c>
      <c r="AF1267" s="1022"/>
      <c r="AG1267" s="1022">
        <f t="shared" si="290"/>
        <v>-14273702</v>
      </c>
      <c r="AH1267" s="1022">
        <f t="shared" si="291"/>
        <v>-14274</v>
      </c>
      <c r="AK1267" s="448"/>
      <c r="AL1267" s="445"/>
    </row>
    <row r="1268" spans="1:38" s="467" customFormat="1" ht="12.75" customHeight="1">
      <c r="A1268" s="1033">
        <v>5313210</v>
      </c>
      <c r="B1268" s="1033" t="s">
        <v>2833</v>
      </c>
      <c r="C1268" s="1034"/>
      <c r="D1268" s="1035"/>
      <c r="E1268" s="1035"/>
      <c r="F1268" s="1034"/>
      <c r="G1268" s="1033"/>
      <c r="H1268" s="1033"/>
      <c r="I1268" s="1034"/>
      <c r="J1268" s="1033"/>
      <c r="K1268" s="1033"/>
      <c r="L1268" s="1034"/>
      <c r="M1268" s="1035"/>
      <c r="N1268" s="1035"/>
      <c r="O1268" s="1036"/>
      <c r="P1268" s="1033"/>
      <c r="Q1268" s="1033"/>
      <c r="R1268" s="1034"/>
      <c r="S1268" s="1035"/>
      <c r="T1268" s="1035"/>
      <c r="U1268" s="1034"/>
      <c r="V1268" s="1035"/>
      <c r="W1268" s="1035"/>
      <c r="X1268" s="1037"/>
      <c r="Y1268" s="1035"/>
      <c r="Z1268" s="1035">
        <f t="shared" si="289"/>
        <v>4</v>
      </c>
      <c r="AA1268" s="1035"/>
      <c r="AB1268" s="1035"/>
      <c r="AC1268" s="1021">
        <v>410568</v>
      </c>
      <c r="AD1268" s="1021" t="s">
        <v>2377</v>
      </c>
      <c r="AE1268" s="1022">
        <f>VLOOKUP(AC1268,[5]Hoja1!$A$10:$K$1393,11,0)</f>
        <v>-22736682</v>
      </c>
      <c r="AF1268" s="1022"/>
      <c r="AG1268" s="1022">
        <f t="shared" si="290"/>
        <v>-22736682</v>
      </c>
      <c r="AH1268" s="1022">
        <f t="shared" si="291"/>
        <v>-22737</v>
      </c>
      <c r="AK1268" s="448"/>
      <c r="AL1268" s="445"/>
    </row>
    <row r="1269" spans="1:38" s="467" customFormat="1" ht="12.75" customHeight="1">
      <c r="A1269" s="1033">
        <v>5313210</v>
      </c>
      <c r="B1269" s="1033" t="s">
        <v>2833</v>
      </c>
      <c r="C1269" s="1034"/>
      <c r="D1269" s="1035"/>
      <c r="E1269" s="1035"/>
      <c r="F1269" s="1034"/>
      <c r="G1269" s="1033"/>
      <c r="H1269" s="1033"/>
      <c r="I1269" s="1034"/>
      <c r="J1269" s="1033"/>
      <c r="K1269" s="1033"/>
      <c r="L1269" s="1034"/>
      <c r="M1269" s="1035"/>
      <c r="N1269" s="1035"/>
      <c r="O1269" s="1036"/>
      <c r="P1269" s="1033"/>
      <c r="Q1269" s="1033"/>
      <c r="R1269" s="1034"/>
      <c r="S1269" s="1035"/>
      <c r="T1269" s="1035"/>
      <c r="U1269" s="1034"/>
      <c r="V1269" s="1035"/>
      <c r="W1269" s="1035"/>
      <c r="X1269" s="1037"/>
      <c r="Y1269" s="1035"/>
      <c r="Z1269" s="1035">
        <f t="shared" si="289"/>
        <v>4</v>
      </c>
      <c r="AA1269" s="1035"/>
      <c r="AB1269" s="1035"/>
      <c r="AC1269" s="1021">
        <v>410569</v>
      </c>
      <c r="AD1269" s="1021" t="s">
        <v>2378</v>
      </c>
      <c r="AE1269" s="1022">
        <f>VLOOKUP(AC1269,[5]Hoja1!$A$10:$K$1393,11,0)</f>
        <v>0</v>
      </c>
      <c r="AF1269" s="1022"/>
      <c r="AG1269" s="1022">
        <f t="shared" si="290"/>
        <v>0</v>
      </c>
      <c r="AH1269" s="1022">
        <f t="shared" si="291"/>
        <v>0</v>
      </c>
      <c r="AK1269" s="448"/>
      <c r="AL1269" s="445"/>
    </row>
    <row r="1270" spans="1:38" s="467" customFormat="1" ht="12.75" customHeight="1">
      <c r="A1270" s="1033">
        <v>5313500</v>
      </c>
      <c r="B1270" s="1033" t="s">
        <v>2840</v>
      </c>
      <c r="C1270" s="1034"/>
      <c r="D1270" s="1035"/>
      <c r="E1270" s="1035"/>
      <c r="F1270" s="1034"/>
      <c r="G1270" s="1033"/>
      <c r="H1270" s="1033"/>
      <c r="I1270" s="1034"/>
      <c r="J1270" s="1033"/>
      <c r="K1270" s="1033"/>
      <c r="L1270" s="1034"/>
      <c r="M1270" s="1035"/>
      <c r="N1270" s="1035"/>
      <c r="O1270" s="1036"/>
      <c r="P1270" s="1033"/>
      <c r="Q1270" s="1033"/>
      <c r="R1270" s="1034"/>
      <c r="S1270" s="1035"/>
      <c r="T1270" s="1035"/>
      <c r="U1270" s="1034"/>
      <c r="V1270" s="1035"/>
      <c r="W1270" s="1035"/>
      <c r="X1270" s="1037"/>
      <c r="Y1270" s="1035"/>
      <c r="Z1270" s="1035">
        <f t="shared" si="289"/>
        <v>4</v>
      </c>
      <c r="AA1270" s="1035"/>
      <c r="AB1270" s="1035"/>
      <c r="AC1270" s="1021">
        <v>410570</v>
      </c>
      <c r="AD1270" s="1021" t="s">
        <v>2379</v>
      </c>
      <c r="AE1270" s="1022">
        <f>VLOOKUP(AC1270,[5]Hoja1!$A$10:$K$1393,11,0)</f>
        <v>1019157265</v>
      </c>
      <c r="AF1270" s="1022"/>
      <c r="AG1270" s="1022">
        <f t="shared" si="290"/>
        <v>1019157265</v>
      </c>
      <c r="AH1270" s="1022">
        <f t="shared" si="291"/>
        <v>1019157</v>
      </c>
      <c r="AK1270" s="448"/>
      <c r="AL1270" s="445"/>
    </row>
    <row r="1271" spans="1:38" s="467" customFormat="1" ht="12.75" customHeight="1">
      <c r="A1271" s="1033">
        <v>5315100</v>
      </c>
      <c r="B1271" s="1033" t="s">
        <v>1172</v>
      </c>
      <c r="C1271" s="1034" t="str">
        <f>+D1271&amp;E1271</f>
        <v/>
      </c>
      <c r="D1271" s="1033"/>
      <c r="E1271" s="1033"/>
      <c r="F1271" s="1034" t="str">
        <f>+G1271&amp;H1271</f>
        <v/>
      </c>
      <c r="G1271" s="1033"/>
      <c r="H1271" s="1033"/>
      <c r="I1271" s="1034" t="str">
        <f>+J1271&amp;K1271</f>
        <v/>
      </c>
      <c r="J1271" s="1033"/>
      <c r="K1271" s="1033"/>
      <c r="L1271" s="1034" t="str">
        <f>+M1271&amp;N1271</f>
        <v/>
      </c>
      <c r="M1271" s="1035"/>
      <c r="N1271" s="1035"/>
      <c r="O1271" s="1036" t="str">
        <f>+P1271&amp;Q1271</f>
        <v/>
      </c>
      <c r="P1271" s="1033"/>
      <c r="Q1271" s="1033"/>
      <c r="R1271" s="1034" t="str">
        <f>+S1271&amp;T1271</f>
        <v/>
      </c>
      <c r="S1271" s="1035"/>
      <c r="T1271" s="1035"/>
      <c r="U1271" s="1034" t="str">
        <f>+V1271&amp;W1271</f>
        <v>631101710</v>
      </c>
      <c r="V1271" s="1035">
        <v>631101710</v>
      </c>
      <c r="W1271" s="1035"/>
      <c r="X1271" s="1037" t="str">
        <f>+Y1271&amp;Z1271</f>
        <v>4</v>
      </c>
      <c r="Y1271" s="1035"/>
      <c r="Z1271" s="1035">
        <f t="shared" si="289"/>
        <v>4</v>
      </c>
      <c r="AA1271" s="1033">
        <v>36</v>
      </c>
      <c r="AB1271" s="1033" t="s">
        <v>2919</v>
      </c>
      <c r="AC1271" s="1021">
        <v>410571</v>
      </c>
      <c r="AD1271" s="1021" t="s">
        <v>2380</v>
      </c>
      <c r="AE1271" s="1022">
        <f>VLOOKUP(AC1271,[5]Hoja1!$A$10:$K$1393,11,0)</f>
        <v>-230909004</v>
      </c>
      <c r="AF1271" s="1022"/>
      <c r="AG1271" s="1022">
        <f t="shared" si="290"/>
        <v>-230909004</v>
      </c>
      <c r="AH1271" s="1022">
        <f t="shared" si="291"/>
        <v>-230909</v>
      </c>
      <c r="AK1271" s="448"/>
      <c r="AL1271" s="445"/>
    </row>
    <row r="1272" spans="1:38" s="467" customFormat="1" ht="12.75" customHeight="1">
      <c r="A1272" s="1033">
        <v>5313210</v>
      </c>
      <c r="B1272" s="1033" t="s">
        <v>2833</v>
      </c>
      <c r="C1272" s="1034"/>
      <c r="D1272" s="1033"/>
      <c r="E1272" s="1033"/>
      <c r="F1272" s="1034"/>
      <c r="G1272" s="1033"/>
      <c r="H1272" s="1033"/>
      <c r="I1272" s="1034"/>
      <c r="J1272" s="1033"/>
      <c r="K1272" s="1033"/>
      <c r="L1272" s="1034"/>
      <c r="M1272" s="1035"/>
      <c r="N1272" s="1035"/>
      <c r="O1272" s="1036"/>
      <c r="P1272" s="1033"/>
      <c r="Q1272" s="1033"/>
      <c r="R1272" s="1034"/>
      <c r="S1272" s="1035"/>
      <c r="T1272" s="1035"/>
      <c r="U1272" s="1034"/>
      <c r="V1272" s="1035"/>
      <c r="W1272" s="1035"/>
      <c r="X1272" s="1037"/>
      <c r="Y1272" s="1035"/>
      <c r="Z1272" s="1035">
        <f t="shared" si="289"/>
        <v>4</v>
      </c>
      <c r="AA1272" s="1035"/>
      <c r="AB1272" s="1035"/>
      <c r="AC1272" s="1021">
        <v>410572</v>
      </c>
      <c r="AD1272" s="1021" t="s">
        <v>2381</v>
      </c>
      <c r="AE1272" s="1022">
        <f>VLOOKUP(AC1272,[5]Hoja1!$A$10:$K$1393,11,0)</f>
        <v>0</v>
      </c>
      <c r="AF1272" s="1022"/>
      <c r="AG1272" s="1022">
        <f t="shared" si="290"/>
        <v>0</v>
      </c>
      <c r="AH1272" s="1022">
        <f t="shared" si="291"/>
        <v>0</v>
      </c>
      <c r="AK1272" s="448"/>
      <c r="AL1272" s="445"/>
    </row>
    <row r="1273" spans="1:38" s="467" customFormat="1" ht="12.75" customHeight="1">
      <c r="A1273" s="1033">
        <v>5313210</v>
      </c>
      <c r="B1273" s="1033" t="s">
        <v>2833</v>
      </c>
      <c r="C1273" s="1034"/>
      <c r="D1273" s="1033"/>
      <c r="E1273" s="1033"/>
      <c r="F1273" s="1034"/>
      <c r="G1273" s="1033"/>
      <c r="H1273" s="1033"/>
      <c r="I1273" s="1034"/>
      <c r="J1273" s="1033"/>
      <c r="K1273" s="1033"/>
      <c r="L1273" s="1034"/>
      <c r="M1273" s="1035"/>
      <c r="N1273" s="1035"/>
      <c r="O1273" s="1036"/>
      <c r="P1273" s="1033"/>
      <c r="Q1273" s="1033"/>
      <c r="R1273" s="1034"/>
      <c r="S1273" s="1035"/>
      <c r="T1273" s="1035"/>
      <c r="U1273" s="1034"/>
      <c r="V1273" s="1035"/>
      <c r="W1273" s="1035"/>
      <c r="X1273" s="1037"/>
      <c r="Y1273" s="1035"/>
      <c r="Z1273" s="1035">
        <f t="shared" si="289"/>
        <v>4</v>
      </c>
      <c r="AA1273" s="1035"/>
      <c r="AB1273" s="1035"/>
      <c r="AC1273" s="1021">
        <v>410573</v>
      </c>
      <c r="AD1273" s="1021" t="s">
        <v>2382</v>
      </c>
      <c r="AE1273" s="1022">
        <f>VLOOKUP(AC1273,[5]Hoja1!$A$10:$K$1393,11,0)</f>
        <v>0</v>
      </c>
      <c r="AF1273" s="1022"/>
      <c r="AG1273" s="1022">
        <f t="shared" si="290"/>
        <v>0</v>
      </c>
      <c r="AH1273" s="1022">
        <f t="shared" si="291"/>
        <v>0</v>
      </c>
      <c r="AK1273" s="448"/>
      <c r="AL1273" s="445"/>
    </row>
    <row r="1274" spans="1:38" s="467" customFormat="1" ht="12.75" customHeight="1">
      <c r="A1274" s="1033">
        <v>5313210</v>
      </c>
      <c r="B1274" s="1033" t="s">
        <v>2833</v>
      </c>
      <c r="C1274" s="1034"/>
      <c r="D1274" s="1033"/>
      <c r="E1274" s="1033"/>
      <c r="F1274" s="1034"/>
      <c r="G1274" s="1033"/>
      <c r="H1274" s="1033"/>
      <c r="I1274" s="1034"/>
      <c r="J1274" s="1033"/>
      <c r="K1274" s="1033"/>
      <c r="L1274" s="1034"/>
      <c r="M1274" s="1035"/>
      <c r="N1274" s="1035"/>
      <c r="O1274" s="1036"/>
      <c r="P1274" s="1033"/>
      <c r="Q1274" s="1033"/>
      <c r="R1274" s="1034"/>
      <c r="S1274" s="1035"/>
      <c r="T1274" s="1035"/>
      <c r="U1274" s="1034"/>
      <c r="V1274" s="1035"/>
      <c r="W1274" s="1035"/>
      <c r="X1274" s="1037"/>
      <c r="Y1274" s="1035"/>
      <c r="Z1274" s="1035">
        <f t="shared" si="289"/>
        <v>4</v>
      </c>
      <c r="AA1274" s="1035"/>
      <c r="AB1274" s="1035"/>
      <c r="AC1274" s="1021">
        <v>410574</v>
      </c>
      <c r="AD1274" s="1021" t="s">
        <v>2383</v>
      </c>
      <c r="AE1274" s="1022">
        <f>VLOOKUP(AC1274,[5]Hoja1!$A$10:$K$1393,11,0)</f>
        <v>-7715400</v>
      </c>
      <c r="AF1274" s="1022"/>
      <c r="AG1274" s="1022">
        <f t="shared" si="290"/>
        <v>-7715400</v>
      </c>
      <c r="AH1274" s="1022">
        <f t="shared" si="291"/>
        <v>-7715</v>
      </c>
      <c r="AK1274" s="448"/>
      <c r="AL1274" s="445"/>
    </row>
    <row r="1275" spans="1:38" s="467" customFormat="1" ht="12.75" customHeight="1">
      <c r="A1275" s="1033">
        <v>5313320</v>
      </c>
      <c r="B1275" s="1033" t="s">
        <v>2834</v>
      </c>
      <c r="C1275" s="1034"/>
      <c r="D1275" s="1033"/>
      <c r="E1275" s="1033"/>
      <c r="F1275" s="1034"/>
      <c r="G1275" s="1033"/>
      <c r="H1275" s="1033"/>
      <c r="I1275" s="1034"/>
      <c r="J1275" s="1033"/>
      <c r="K1275" s="1033"/>
      <c r="L1275" s="1034"/>
      <c r="M1275" s="1035"/>
      <c r="N1275" s="1035"/>
      <c r="O1275" s="1036"/>
      <c r="P1275" s="1033"/>
      <c r="Q1275" s="1033"/>
      <c r="R1275" s="1034"/>
      <c r="S1275" s="1035"/>
      <c r="T1275" s="1035"/>
      <c r="U1275" s="1034"/>
      <c r="V1275" s="1035"/>
      <c r="W1275" s="1035"/>
      <c r="X1275" s="1037"/>
      <c r="Y1275" s="1035"/>
      <c r="Z1275" s="1035">
        <f t="shared" si="289"/>
        <v>4</v>
      </c>
      <c r="AA1275" s="1035"/>
      <c r="AB1275" s="1035"/>
      <c r="AC1275" s="1021">
        <v>410575</v>
      </c>
      <c r="AD1275" s="1021" t="s">
        <v>2384</v>
      </c>
      <c r="AE1275" s="1022">
        <f>VLOOKUP(AC1275,[5]Hoja1!$A$10:$K$1393,11,0)</f>
        <v>-9576083</v>
      </c>
      <c r="AF1275" s="1022"/>
      <c r="AG1275" s="1022">
        <f t="shared" si="290"/>
        <v>-9576083</v>
      </c>
      <c r="AH1275" s="1022">
        <f t="shared" si="291"/>
        <v>-9576</v>
      </c>
      <c r="AK1275" s="448"/>
      <c r="AL1275" s="445"/>
    </row>
    <row r="1276" spans="1:38" s="467" customFormat="1" ht="12.75" customHeight="1">
      <c r="A1276" s="1033">
        <v>5313120</v>
      </c>
      <c r="B1276" s="1033" t="s">
        <v>2834</v>
      </c>
      <c r="C1276" s="1034"/>
      <c r="D1276" s="1033"/>
      <c r="E1276" s="1033"/>
      <c r="F1276" s="1034"/>
      <c r="G1276" s="1033"/>
      <c r="H1276" s="1033"/>
      <c r="I1276" s="1034"/>
      <c r="J1276" s="1033"/>
      <c r="K1276" s="1033"/>
      <c r="L1276" s="1034"/>
      <c r="M1276" s="1035"/>
      <c r="N1276" s="1035"/>
      <c r="O1276" s="1036"/>
      <c r="P1276" s="1033"/>
      <c r="Q1276" s="1033"/>
      <c r="R1276" s="1034"/>
      <c r="S1276" s="1035"/>
      <c r="T1276" s="1035"/>
      <c r="U1276" s="1034"/>
      <c r="V1276" s="1035"/>
      <c r="W1276" s="1035"/>
      <c r="X1276" s="1037"/>
      <c r="Y1276" s="1035"/>
      <c r="Z1276" s="1035">
        <f t="shared" si="289"/>
        <v>4</v>
      </c>
      <c r="AA1276" s="1035"/>
      <c r="AB1276" s="1035"/>
      <c r="AC1276" s="1021">
        <v>410576</v>
      </c>
      <c r="AD1276" s="1021" t="s">
        <v>2385</v>
      </c>
      <c r="AE1276" s="1022">
        <f>VLOOKUP(AC1276,[5]Hoja1!$A$10:$K$1393,11,0)</f>
        <v>-1291056</v>
      </c>
      <c r="AF1276" s="1022"/>
      <c r="AG1276" s="1022">
        <f t="shared" si="290"/>
        <v>-1291056</v>
      </c>
      <c r="AH1276" s="1022">
        <f t="shared" si="291"/>
        <v>-1291</v>
      </c>
      <c r="AK1276" s="448"/>
      <c r="AL1276" s="445"/>
    </row>
    <row r="1277" spans="1:38" s="467" customFormat="1" ht="12.75" customHeight="1">
      <c r="A1277" s="1033">
        <v>5313320</v>
      </c>
      <c r="B1277" s="1033" t="s">
        <v>2834</v>
      </c>
      <c r="C1277" s="1034"/>
      <c r="D1277" s="1033"/>
      <c r="E1277" s="1033"/>
      <c r="F1277" s="1034"/>
      <c r="G1277" s="1033"/>
      <c r="H1277" s="1033"/>
      <c r="I1277" s="1034"/>
      <c r="J1277" s="1033"/>
      <c r="K1277" s="1033"/>
      <c r="L1277" s="1034"/>
      <c r="M1277" s="1035"/>
      <c r="N1277" s="1035"/>
      <c r="O1277" s="1036"/>
      <c r="P1277" s="1033"/>
      <c r="Q1277" s="1033"/>
      <c r="R1277" s="1034"/>
      <c r="S1277" s="1035"/>
      <c r="T1277" s="1035"/>
      <c r="U1277" s="1034"/>
      <c r="V1277" s="1035"/>
      <c r="W1277" s="1035"/>
      <c r="X1277" s="1037"/>
      <c r="Y1277" s="1035"/>
      <c r="Z1277" s="1035">
        <f t="shared" si="289"/>
        <v>4</v>
      </c>
      <c r="AA1277" s="1035"/>
      <c r="AB1277" s="1035"/>
      <c r="AC1277" s="1021">
        <v>410577</v>
      </c>
      <c r="AD1277" s="1021" t="s">
        <v>2386</v>
      </c>
      <c r="AE1277" s="1022">
        <f>VLOOKUP(AC1277,[5]Hoja1!$A$10:$K$1393,11,0)</f>
        <v>0</v>
      </c>
      <c r="AF1277" s="1022"/>
      <c r="AG1277" s="1022">
        <f t="shared" si="290"/>
        <v>0</v>
      </c>
      <c r="AH1277" s="1022">
        <f t="shared" si="291"/>
        <v>0</v>
      </c>
      <c r="AK1277" s="448"/>
      <c r="AL1277" s="445"/>
    </row>
    <row r="1278" spans="1:38" s="467" customFormat="1" ht="12.75" customHeight="1">
      <c r="A1278" s="1033">
        <v>5313220</v>
      </c>
      <c r="B1278" s="1033" t="s">
        <v>2834</v>
      </c>
      <c r="C1278" s="1034"/>
      <c r="D1278" s="1033"/>
      <c r="E1278" s="1033"/>
      <c r="F1278" s="1034"/>
      <c r="G1278" s="1033"/>
      <c r="H1278" s="1033"/>
      <c r="I1278" s="1034"/>
      <c r="J1278" s="1033"/>
      <c r="K1278" s="1033"/>
      <c r="L1278" s="1034"/>
      <c r="M1278" s="1035"/>
      <c r="N1278" s="1035"/>
      <c r="O1278" s="1036"/>
      <c r="P1278" s="1033"/>
      <c r="Q1278" s="1033"/>
      <c r="R1278" s="1034"/>
      <c r="S1278" s="1035"/>
      <c r="T1278" s="1035"/>
      <c r="U1278" s="1034"/>
      <c r="V1278" s="1035"/>
      <c r="W1278" s="1035"/>
      <c r="X1278" s="1037"/>
      <c r="Y1278" s="1035"/>
      <c r="Z1278" s="1035">
        <f t="shared" si="289"/>
        <v>4</v>
      </c>
      <c r="AA1278" s="1035"/>
      <c r="AB1278" s="1035"/>
      <c r="AC1278" s="1021">
        <v>410578</v>
      </c>
      <c r="AD1278" s="1021" t="s">
        <v>2387</v>
      </c>
      <c r="AE1278" s="1022">
        <f>VLOOKUP(AC1278,[5]Hoja1!$A$10:$K$1393,11,0)</f>
        <v>1289130</v>
      </c>
      <c r="AF1278" s="1022"/>
      <c r="AG1278" s="1022">
        <f t="shared" si="290"/>
        <v>1289130</v>
      </c>
      <c r="AH1278" s="1022">
        <f t="shared" si="291"/>
        <v>1289</v>
      </c>
      <c r="AK1278" s="448"/>
      <c r="AL1278" s="445"/>
    </row>
    <row r="1279" spans="1:38" s="467" customFormat="1" ht="12.75" customHeight="1">
      <c r="A1279" s="1033">
        <v>5313220</v>
      </c>
      <c r="B1279" s="1033" t="s">
        <v>2834</v>
      </c>
      <c r="C1279" s="1034"/>
      <c r="D1279" s="1033"/>
      <c r="E1279" s="1033"/>
      <c r="F1279" s="1034"/>
      <c r="G1279" s="1033"/>
      <c r="H1279" s="1033"/>
      <c r="I1279" s="1034"/>
      <c r="J1279" s="1033"/>
      <c r="K1279" s="1033"/>
      <c r="L1279" s="1034"/>
      <c r="M1279" s="1035"/>
      <c r="N1279" s="1035"/>
      <c r="O1279" s="1036"/>
      <c r="P1279" s="1033"/>
      <c r="Q1279" s="1033"/>
      <c r="R1279" s="1034"/>
      <c r="S1279" s="1035"/>
      <c r="T1279" s="1035"/>
      <c r="U1279" s="1034"/>
      <c r="V1279" s="1035"/>
      <c r="W1279" s="1035"/>
      <c r="X1279" s="1037"/>
      <c r="Y1279" s="1035"/>
      <c r="Z1279" s="1035">
        <f t="shared" si="289"/>
        <v>4</v>
      </c>
      <c r="AA1279" s="1035"/>
      <c r="AB1279" s="1035"/>
      <c r="AC1279" s="1021">
        <v>410579</v>
      </c>
      <c r="AD1279" s="1021" t="s">
        <v>2388</v>
      </c>
      <c r="AE1279" s="1022">
        <f>VLOOKUP(AC1279,[5]Hoja1!$A$10:$K$1393,11,0)</f>
        <v>797</v>
      </c>
      <c r="AF1279" s="1022"/>
      <c r="AG1279" s="1022">
        <f t="shared" si="290"/>
        <v>797</v>
      </c>
      <c r="AH1279" s="1022">
        <f t="shared" si="291"/>
        <v>1</v>
      </c>
      <c r="AK1279" s="448"/>
      <c r="AL1279" s="445"/>
    </row>
    <row r="1280" spans="1:38" s="467" customFormat="1" ht="12.75" customHeight="1">
      <c r="A1280" s="1033">
        <v>5313220</v>
      </c>
      <c r="B1280" s="1033" t="s">
        <v>2834</v>
      </c>
      <c r="C1280" s="1034"/>
      <c r="D1280" s="1033"/>
      <c r="E1280" s="1033"/>
      <c r="F1280" s="1034"/>
      <c r="G1280" s="1033"/>
      <c r="H1280" s="1033"/>
      <c r="I1280" s="1034"/>
      <c r="J1280" s="1033"/>
      <c r="K1280" s="1033"/>
      <c r="L1280" s="1034"/>
      <c r="M1280" s="1035"/>
      <c r="N1280" s="1035"/>
      <c r="O1280" s="1036"/>
      <c r="P1280" s="1033"/>
      <c r="Q1280" s="1033"/>
      <c r="R1280" s="1034"/>
      <c r="S1280" s="1035"/>
      <c r="T1280" s="1035"/>
      <c r="U1280" s="1034"/>
      <c r="V1280" s="1035"/>
      <c r="W1280" s="1035"/>
      <c r="X1280" s="1037"/>
      <c r="Y1280" s="1035"/>
      <c r="Z1280" s="1035">
        <f t="shared" si="289"/>
        <v>4</v>
      </c>
      <c r="AA1280" s="1035"/>
      <c r="AB1280" s="1035"/>
      <c r="AC1280" s="1021">
        <v>410580</v>
      </c>
      <c r="AD1280" s="1021" t="s">
        <v>2389</v>
      </c>
      <c r="AE1280" s="1022">
        <f>VLOOKUP(AC1280,[5]Hoja1!$A$10:$K$1393,11,0)</f>
        <v>-33852464</v>
      </c>
      <c r="AF1280" s="1022"/>
      <c r="AG1280" s="1022">
        <f t="shared" si="290"/>
        <v>-33852464</v>
      </c>
      <c r="AH1280" s="1022">
        <f t="shared" si="291"/>
        <v>-33852</v>
      </c>
      <c r="AK1280" s="448"/>
      <c r="AL1280" s="445"/>
    </row>
    <row r="1281" spans="1:38" s="467" customFormat="1" ht="12.75" customHeight="1">
      <c r="A1281" s="1033">
        <v>5313220</v>
      </c>
      <c r="B1281" s="1033" t="s">
        <v>2834</v>
      </c>
      <c r="C1281" s="1034"/>
      <c r="D1281" s="1033"/>
      <c r="E1281" s="1033"/>
      <c r="F1281" s="1034"/>
      <c r="G1281" s="1033"/>
      <c r="H1281" s="1033"/>
      <c r="I1281" s="1034"/>
      <c r="J1281" s="1033"/>
      <c r="K1281" s="1033"/>
      <c r="L1281" s="1034"/>
      <c r="M1281" s="1035"/>
      <c r="N1281" s="1035"/>
      <c r="O1281" s="1036"/>
      <c r="P1281" s="1033"/>
      <c r="Q1281" s="1033"/>
      <c r="R1281" s="1034"/>
      <c r="S1281" s="1035"/>
      <c r="T1281" s="1035"/>
      <c r="U1281" s="1034"/>
      <c r="V1281" s="1035"/>
      <c r="W1281" s="1035"/>
      <c r="X1281" s="1037"/>
      <c r="Y1281" s="1035"/>
      <c r="Z1281" s="1035">
        <f t="shared" si="289"/>
        <v>4</v>
      </c>
      <c r="AA1281" s="1035"/>
      <c r="AB1281" s="1035"/>
      <c r="AC1281" s="1021">
        <v>410581</v>
      </c>
      <c r="AD1281" s="1021" t="s">
        <v>2390</v>
      </c>
      <c r="AE1281" s="1022">
        <f>VLOOKUP(AC1281,[5]Hoja1!$A$10:$K$1393,11,0)</f>
        <v>0</v>
      </c>
      <c r="AF1281" s="1022"/>
      <c r="AG1281" s="1022">
        <f t="shared" si="290"/>
        <v>0</v>
      </c>
      <c r="AH1281" s="1022">
        <f t="shared" si="291"/>
        <v>0</v>
      </c>
      <c r="AK1281" s="448"/>
      <c r="AL1281" s="445"/>
    </row>
    <row r="1282" spans="1:38" s="467" customFormat="1" ht="12.75" customHeight="1">
      <c r="A1282" s="1033">
        <v>5313220</v>
      </c>
      <c r="B1282" s="1033" t="s">
        <v>2834</v>
      </c>
      <c r="C1282" s="1034"/>
      <c r="D1282" s="1033"/>
      <c r="E1282" s="1033"/>
      <c r="F1282" s="1034"/>
      <c r="G1282" s="1033"/>
      <c r="H1282" s="1033"/>
      <c r="I1282" s="1034"/>
      <c r="J1282" s="1033"/>
      <c r="K1282" s="1033"/>
      <c r="L1282" s="1034"/>
      <c r="M1282" s="1035"/>
      <c r="N1282" s="1035"/>
      <c r="O1282" s="1036"/>
      <c r="P1282" s="1033"/>
      <c r="Q1282" s="1033"/>
      <c r="R1282" s="1034"/>
      <c r="S1282" s="1035"/>
      <c r="T1282" s="1035"/>
      <c r="U1282" s="1034"/>
      <c r="V1282" s="1035"/>
      <c r="W1282" s="1035"/>
      <c r="X1282" s="1037"/>
      <c r="Y1282" s="1035"/>
      <c r="Z1282" s="1035">
        <f t="shared" si="289"/>
        <v>4</v>
      </c>
      <c r="AA1282" s="1035"/>
      <c r="AB1282" s="1035"/>
      <c r="AC1282" s="1021">
        <v>410582</v>
      </c>
      <c r="AD1282" s="1021" t="s">
        <v>2391</v>
      </c>
      <c r="AE1282" s="1022">
        <f>VLOOKUP(AC1282,[5]Hoja1!$A$10:$K$1393,11,0)</f>
        <v>-655251</v>
      </c>
      <c r="AF1282" s="1022"/>
      <c r="AG1282" s="1022">
        <f t="shared" si="290"/>
        <v>-655251</v>
      </c>
      <c r="AH1282" s="1022">
        <f t="shared" si="291"/>
        <v>-655</v>
      </c>
      <c r="AK1282" s="448"/>
      <c r="AL1282" s="445"/>
    </row>
    <row r="1283" spans="1:38" s="467" customFormat="1" ht="12.75" customHeight="1">
      <c r="A1283" s="1033">
        <v>5313220</v>
      </c>
      <c r="B1283" s="1033" t="s">
        <v>2834</v>
      </c>
      <c r="C1283" s="1034"/>
      <c r="D1283" s="1033"/>
      <c r="E1283" s="1033"/>
      <c r="F1283" s="1034"/>
      <c r="G1283" s="1033"/>
      <c r="H1283" s="1033"/>
      <c r="I1283" s="1034"/>
      <c r="J1283" s="1033"/>
      <c r="K1283" s="1033"/>
      <c r="L1283" s="1034"/>
      <c r="M1283" s="1035"/>
      <c r="N1283" s="1035"/>
      <c r="O1283" s="1036"/>
      <c r="P1283" s="1033"/>
      <c r="Q1283" s="1033"/>
      <c r="R1283" s="1034"/>
      <c r="S1283" s="1035"/>
      <c r="T1283" s="1035"/>
      <c r="U1283" s="1034"/>
      <c r="V1283" s="1035"/>
      <c r="W1283" s="1035"/>
      <c r="X1283" s="1037"/>
      <c r="Y1283" s="1035"/>
      <c r="Z1283" s="1035">
        <f t="shared" si="289"/>
        <v>4</v>
      </c>
      <c r="AA1283" s="1035"/>
      <c r="AB1283" s="1035"/>
      <c r="AC1283" s="1021">
        <v>410583</v>
      </c>
      <c r="AD1283" s="1021" t="s">
        <v>2392</v>
      </c>
      <c r="AE1283" s="1022">
        <f>VLOOKUP(AC1283,[5]Hoja1!$A$10:$K$1393,11,0)</f>
        <v>0</v>
      </c>
      <c r="AF1283" s="1022"/>
      <c r="AG1283" s="1022">
        <f t="shared" si="290"/>
        <v>0</v>
      </c>
      <c r="AH1283" s="1022">
        <f t="shared" si="291"/>
        <v>0</v>
      </c>
      <c r="AK1283" s="448"/>
      <c r="AL1283" s="445"/>
    </row>
    <row r="1284" spans="1:38" s="467" customFormat="1" ht="12.75" customHeight="1">
      <c r="A1284" s="1033">
        <v>5313220</v>
      </c>
      <c r="B1284" s="1033" t="s">
        <v>2834</v>
      </c>
      <c r="C1284" s="1034"/>
      <c r="D1284" s="1033"/>
      <c r="E1284" s="1033"/>
      <c r="F1284" s="1034"/>
      <c r="G1284" s="1033"/>
      <c r="H1284" s="1033"/>
      <c r="I1284" s="1034"/>
      <c r="J1284" s="1033"/>
      <c r="K1284" s="1033"/>
      <c r="L1284" s="1034"/>
      <c r="M1284" s="1035"/>
      <c r="N1284" s="1035"/>
      <c r="O1284" s="1036"/>
      <c r="P1284" s="1033"/>
      <c r="Q1284" s="1033"/>
      <c r="R1284" s="1034"/>
      <c r="S1284" s="1035"/>
      <c r="T1284" s="1035"/>
      <c r="U1284" s="1034"/>
      <c r="V1284" s="1035"/>
      <c r="W1284" s="1035"/>
      <c r="X1284" s="1037"/>
      <c r="Y1284" s="1035"/>
      <c r="Z1284" s="1035">
        <f t="shared" si="289"/>
        <v>4</v>
      </c>
      <c r="AA1284" s="1035"/>
      <c r="AB1284" s="1035"/>
      <c r="AC1284" s="1021">
        <v>410584</v>
      </c>
      <c r="AD1284" s="1021" t="s">
        <v>2393</v>
      </c>
      <c r="AE1284" s="1022">
        <f>VLOOKUP(AC1284,[5]Hoja1!$A$10:$K$1393,11,0)</f>
        <v>0</v>
      </c>
      <c r="AF1284" s="1022"/>
      <c r="AG1284" s="1022">
        <f t="shared" si="290"/>
        <v>0</v>
      </c>
      <c r="AH1284" s="1022">
        <f t="shared" si="291"/>
        <v>0</v>
      </c>
      <c r="AK1284" s="448"/>
      <c r="AL1284" s="445"/>
    </row>
    <row r="1285" spans="1:38" s="467" customFormat="1" ht="12.75" customHeight="1">
      <c r="A1285" s="1033">
        <v>5313220</v>
      </c>
      <c r="B1285" s="1033" t="s">
        <v>2834</v>
      </c>
      <c r="C1285" s="1034"/>
      <c r="D1285" s="1033"/>
      <c r="E1285" s="1033"/>
      <c r="F1285" s="1034"/>
      <c r="G1285" s="1033"/>
      <c r="H1285" s="1033"/>
      <c r="I1285" s="1034"/>
      <c r="J1285" s="1033"/>
      <c r="K1285" s="1033"/>
      <c r="L1285" s="1034"/>
      <c r="M1285" s="1035"/>
      <c r="N1285" s="1035"/>
      <c r="O1285" s="1036"/>
      <c r="P1285" s="1033"/>
      <c r="Q1285" s="1033"/>
      <c r="R1285" s="1034"/>
      <c r="S1285" s="1035"/>
      <c r="T1285" s="1035"/>
      <c r="U1285" s="1034"/>
      <c r="V1285" s="1035"/>
      <c r="W1285" s="1035"/>
      <c r="X1285" s="1037"/>
      <c r="Y1285" s="1035"/>
      <c r="Z1285" s="1035">
        <f t="shared" si="289"/>
        <v>4</v>
      </c>
      <c r="AA1285" s="1035"/>
      <c r="AB1285" s="1035"/>
      <c r="AC1285" s="1021">
        <v>410585</v>
      </c>
      <c r="AD1285" s="1021" t="s">
        <v>2394</v>
      </c>
      <c r="AE1285" s="1022">
        <f>VLOOKUP(AC1285,[5]Hoja1!$A$10:$K$1393,11,0)</f>
        <v>638027</v>
      </c>
      <c r="AF1285" s="1022"/>
      <c r="AG1285" s="1022">
        <f t="shared" si="290"/>
        <v>638027</v>
      </c>
      <c r="AH1285" s="1022">
        <f t="shared" si="291"/>
        <v>638</v>
      </c>
      <c r="AK1285" s="448"/>
      <c r="AL1285" s="445"/>
    </row>
    <row r="1286" spans="1:38" s="467" customFormat="1" ht="12.75" customHeight="1">
      <c r="A1286" s="1033">
        <v>5313220</v>
      </c>
      <c r="B1286" s="1033" t="s">
        <v>2834</v>
      </c>
      <c r="C1286" s="1034"/>
      <c r="D1286" s="1033"/>
      <c r="E1286" s="1033"/>
      <c r="F1286" s="1034"/>
      <c r="G1286" s="1033"/>
      <c r="H1286" s="1033"/>
      <c r="I1286" s="1034"/>
      <c r="J1286" s="1033"/>
      <c r="K1286" s="1033"/>
      <c r="L1286" s="1034"/>
      <c r="M1286" s="1035"/>
      <c r="N1286" s="1035"/>
      <c r="O1286" s="1036"/>
      <c r="P1286" s="1033"/>
      <c r="Q1286" s="1033"/>
      <c r="R1286" s="1034"/>
      <c r="S1286" s="1035"/>
      <c r="T1286" s="1035"/>
      <c r="U1286" s="1034"/>
      <c r="V1286" s="1035"/>
      <c r="W1286" s="1035"/>
      <c r="X1286" s="1037"/>
      <c r="Y1286" s="1035"/>
      <c r="Z1286" s="1035">
        <f t="shared" si="289"/>
        <v>4</v>
      </c>
      <c r="AA1286" s="1035"/>
      <c r="AB1286" s="1035"/>
      <c r="AC1286" s="1021">
        <v>410586</v>
      </c>
      <c r="AD1286" s="1021" t="s">
        <v>2395</v>
      </c>
      <c r="AE1286" s="1022">
        <f>VLOOKUP(AC1286,[5]Hoja1!$A$10:$K$1393,11,0)</f>
        <v>0</v>
      </c>
      <c r="AF1286" s="1022"/>
      <c r="AG1286" s="1022">
        <f t="shared" si="290"/>
        <v>0</v>
      </c>
      <c r="AH1286" s="1022">
        <f t="shared" si="291"/>
        <v>0</v>
      </c>
      <c r="AK1286" s="448"/>
      <c r="AL1286" s="445"/>
    </row>
    <row r="1287" spans="1:38" s="467" customFormat="1" ht="12.75" customHeight="1">
      <c r="A1287" s="1033">
        <v>5313220</v>
      </c>
      <c r="B1287" s="1033" t="s">
        <v>2834</v>
      </c>
      <c r="C1287" s="1034"/>
      <c r="D1287" s="1033"/>
      <c r="E1287" s="1033"/>
      <c r="F1287" s="1034"/>
      <c r="G1287" s="1033"/>
      <c r="H1287" s="1033"/>
      <c r="I1287" s="1034"/>
      <c r="J1287" s="1033"/>
      <c r="K1287" s="1033"/>
      <c r="L1287" s="1034"/>
      <c r="M1287" s="1035"/>
      <c r="N1287" s="1035"/>
      <c r="O1287" s="1036"/>
      <c r="P1287" s="1033"/>
      <c r="Q1287" s="1033"/>
      <c r="R1287" s="1034"/>
      <c r="S1287" s="1035"/>
      <c r="T1287" s="1035"/>
      <c r="U1287" s="1034"/>
      <c r="V1287" s="1035"/>
      <c r="W1287" s="1035"/>
      <c r="X1287" s="1037"/>
      <c r="Y1287" s="1035"/>
      <c r="Z1287" s="1035">
        <f t="shared" si="289"/>
        <v>4</v>
      </c>
      <c r="AA1287" s="1035"/>
      <c r="AB1287" s="1035"/>
      <c r="AC1287" s="1021">
        <v>410587</v>
      </c>
      <c r="AD1287" s="1021" t="s">
        <v>2396</v>
      </c>
      <c r="AE1287" s="1022">
        <f>VLOOKUP(AC1287,[5]Hoja1!$A$10:$K$1393,11,0)</f>
        <v>0</v>
      </c>
      <c r="AF1287" s="1022"/>
      <c r="AG1287" s="1022">
        <f t="shared" si="290"/>
        <v>0</v>
      </c>
      <c r="AH1287" s="1022">
        <f t="shared" si="291"/>
        <v>0</v>
      </c>
      <c r="AK1287" s="448"/>
      <c r="AL1287" s="445"/>
    </row>
    <row r="1288" spans="1:38" s="467" customFormat="1" ht="12.75" customHeight="1">
      <c r="A1288" s="1033">
        <v>5313340</v>
      </c>
      <c r="B1288" s="1033" t="s">
        <v>2838</v>
      </c>
      <c r="C1288" s="1034"/>
      <c r="D1288" s="1033"/>
      <c r="E1288" s="1033"/>
      <c r="F1288" s="1034"/>
      <c r="G1288" s="1033"/>
      <c r="H1288" s="1033"/>
      <c r="I1288" s="1034"/>
      <c r="J1288" s="1033"/>
      <c r="K1288" s="1033"/>
      <c r="L1288" s="1034"/>
      <c r="M1288" s="1035"/>
      <c r="N1288" s="1035"/>
      <c r="O1288" s="1036"/>
      <c r="P1288" s="1033"/>
      <c r="Q1288" s="1033"/>
      <c r="R1288" s="1034"/>
      <c r="S1288" s="1035"/>
      <c r="T1288" s="1035"/>
      <c r="U1288" s="1034"/>
      <c r="V1288" s="1035"/>
      <c r="W1288" s="1035"/>
      <c r="X1288" s="1037"/>
      <c r="Y1288" s="1035"/>
      <c r="Z1288" s="1035">
        <f t="shared" si="289"/>
        <v>4</v>
      </c>
      <c r="AA1288" s="1035"/>
      <c r="AB1288" s="1035"/>
      <c r="AC1288" s="1021">
        <v>410588</v>
      </c>
      <c r="AD1288" s="1021" t="s">
        <v>1024</v>
      </c>
      <c r="AE1288" s="1022">
        <f>VLOOKUP(AC1288,[5]Hoja1!$A$10:$K$1393,11,0)</f>
        <v>72528114</v>
      </c>
      <c r="AF1288" s="1022"/>
      <c r="AG1288" s="1022">
        <f t="shared" si="290"/>
        <v>72528114</v>
      </c>
      <c r="AH1288" s="1022">
        <f t="shared" si="291"/>
        <v>72528</v>
      </c>
      <c r="AK1288" s="448"/>
      <c r="AL1288" s="445"/>
    </row>
    <row r="1289" spans="1:38" s="467" customFormat="1" ht="12.75" customHeight="1">
      <c r="A1289" s="1033">
        <v>5313310</v>
      </c>
      <c r="B1289" s="1033" t="s">
        <v>2833</v>
      </c>
      <c r="C1289" s="1034"/>
      <c r="D1289" s="1033"/>
      <c r="E1289" s="1033"/>
      <c r="F1289" s="1034"/>
      <c r="G1289" s="1033"/>
      <c r="H1289" s="1033"/>
      <c r="I1289" s="1034"/>
      <c r="J1289" s="1033"/>
      <c r="K1289" s="1033"/>
      <c r="L1289" s="1034"/>
      <c r="M1289" s="1035"/>
      <c r="N1289" s="1035"/>
      <c r="O1289" s="1036"/>
      <c r="P1289" s="1033"/>
      <c r="Q1289" s="1033"/>
      <c r="R1289" s="1034"/>
      <c r="S1289" s="1035"/>
      <c r="T1289" s="1035"/>
      <c r="U1289" s="1034"/>
      <c r="V1289" s="1035"/>
      <c r="W1289" s="1035"/>
      <c r="X1289" s="1037"/>
      <c r="Y1289" s="1035"/>
      <c r="Z1289" s="1035">
        <f t="shared" si="289"/>
        <v>4</v>
      </c>
      <c r="AA1289" s="1035"/>
      <c r="AB1289" s="1035"/>
      <c r="AC1289" s="1021">
        <v>410589</v>
      </c>
      <c r="AD1289" s="1021" t="s">
        <v>2397</v>
      </c>
      <c r="AE1289" s="1022">
        <f>VLOOKUP(AC1289,[5]Hoja1!$A$10:$K$1393,11,0)</f>
        <v>0</v>
      </c>
      <c r="AF1289" s="1022"/>
      <c r="AG1289" s="1022">
        <f t="shared" si="290"/>
        <v>0</v>
      </c>
      <c r="AH1289" s="1022">
        <f t="shared" si="291"/>
        <v>0</v>
      </c>
      <c r="AK1289" s="448"/>
      <c r="AL1289" s="445"/>
    </row>
    <row r="1290" spans="1:38" s="467" customFormat="1" ht="12.75" customHeight="1">
      <c r="A1290" s="1033">
        <v>5313210</v>
      </c>
      <c r="B1290" s="1033" t="s">
        <v>2833</v>
      </c>
      <c r="C1290" s="1034"/>
      <c r="D1290" s="1033"/>
      <c r="E1290" s="1033"/>
      <c r="F1290" s="1034"/>
      <c r="G1290" s="1033"/>
      <c r="H1290" s="1033"/>
      <c r="I1290" s="1034"/>
      <c r="J1290" s="1033"/>
      <c r="K1290" s="1033"/>
      <c r="L1290" s="1034"/>
      <c r="M1290" s="1035"/>
      <c r="N1290" s="1035"/>
      <c r="O1290" s="1036"/>
      <c r="P1290" s="1033"/>
      <c r="Q1290" s="1033"/>
      <c r="R1290" s="1034"/>
      <c r="S1290" s="1035"/>
      <c r="T1290" s="1035"/>
      <c r="U1290" s="1034"/>
      <c r="V1290" s="1035"/>
      <c r="W1290" s="1035"/>
      <c r="X1290" s="1037"/>
      <c r="Y1290" s="1035"/>
      <c r="Z1290" s="1035">
        <f t="shared" si="289"/>
        <v>4</v>
      </c>
      <c r="AA1290" s="1035"/>
      <c r="AB1290" s="1035"/>
      <c r="AC1290" s="1021">
        <v>410590</v>
      </c>
      <c r="AD1290" s="1021" t="s">
        <v>2398</v>
      </c>
      <c r="AE1290" s="1022">
        <f>VLOOKUP(AC1290,[5]Hoja1!$A$10:$K$1393,11,0)</f>
        <v>261078246</v>
      </c>
      <c r="AF1290" s="1022"/>
      <c r="AG1290" s="1022">
        <f t="shared" si="290"/>
        <v>261078246</v>
      </c>
      <c r="AH1290" s="1022">
        <f t="shared" si="291"/>
        <v>261078</v>
      </c>
      <c r="AK1290" s="448"/>
      <c r="AL1290" s="445"/>
    </row>
    <row r="1291" spans="1:38" s="467" customFormat="1" ht="12.75" customHeight="1">
      <c r="A1291" s="1033">
        <v>5313320</v>
      </c>
      <c r="B1291" s="1033" t="s">
        <v>2834</v>
      </c>
      <c r="C1291" s="1034"/>
      <c r="D1291" s="1033"/>
      <c r="E1291" s="1033"/>
      <c r="F1291" s="1034"/>
      <c r="G1291" s="1033"/>
      <c r="H1291" s="1033"/>
      <c r="I1291" s="1034"/>
      <c r="J1291" s="1033"/>
      <c r="K1291" s="1033"/>
      <c r="L1291" s="1034"/>
      <c r="M1291" s="1035"/>
      <c r="N1291" s="1035"/>
      <c r="O1291" s="1036"/>
      <c r="P1291" s="1033"/>
      <c r="Q1291" s="1033"/>
      <c r="R1291" s="1034"/>
      <c r="S1291" s="1035"/>
      <c r="T1291" s="1035"/>
      <c r="U1291" s="1034"/>
      <c r="V1291" s="1035"/>
      <c r="W1291" s="1035"/>
      <c r="X1291" s="1037"/>
      <c r="Y1291" s="1035"/>
      <c r="Z1291" s="1035">
        <f t="shared" si="289"/>
        <v>4</v>
      </c>
      <c r="AA1291" s="1035"/>
      <c r="AB1291" s="1035"/>
      <c r="AC1291" s="1021">
        <v>410591</v>
      </c>
      <c r="AD1291" s="1021" t="s">
        <v>2399</v>
      </c>
      <c r="AE1291" s="1022">
        <f>VLOOKUP(AC1291,[5]Hoja1!$A$10:$K$1393,11,0)</f>
        <v>-18558836</v>
      </c>
      <c r="AF1291" s="1022"/>
      <c r="AG1291" s="1022">
        <f t="shared" si="290"/>
        <v>-18558836</v>
      </c>
      <c r="AH1291" s="1022">
        <f t="shared" si="291"/>
        <v>-18559</v>
      </c>
      <c r="AK1291" s="448"/>
      <c r="AL1291" s="445"/>
    </row>
    <row r="1292" spans="1:38" s="467" customFormat="1" ht="12.75" customHeight="1">
      <c r="A1292" s="1033">
        <v>5313210</v>
      </c>
      <c r="B1292" s="1033" t="s">
        <v>2833</v>
      </c>
      <c r="C1292" s="1034"/>
      <c r="D1292" s="1033"/>
      <c r="E1292" s="1033"/>
      <c r="F1292" s="1034"/>
      <c r="G1292" s="1033"/>
      <c r="H1292" s="1033"/>
      <c r="I1292" s="1034"/>
      <c r="J1292" s="1033"/>
      <c r="K1292" s="1033"/>
      <c r="L1292" s="1034"/>
      <c r="M1292" s="1035"/>
      <c r="N1292" s="1035"/>
      <c r="O1292" s="1036"/>
      <c r="P1292" s="1033"/>
      <c r="Q1292" s="1033"/>
      <c r="R1292" s="1034"/>
      <c r="S1292" s="1035"/>
      <c r="T1292" s="1035"/>
      <c r="U1292" s="1034"/>
      <c r="V1292" s="1035"/>
      <c r="W1292" s="1035"/>
      <c r="X1292" s="1037"/>
      <c r="Y1292" s="1035"/>
      <c r="Z1292" s="1035">
        <f t="shared" si="289"/>
        <v>4</v>
      </c>
      <c r="AA1292" s="1035"/>
      <c r="AB1292" s="1035"/>
      <c r="AC1292" s="1021">
        <v>410592</v>
      </c>
      <c r="AD1292" s="1021" t="s">
        <v>2101</v>
      </c>
      <c r="AE1292" s="1022">
        <f>VLOOKUP(AC1292,[5]Hoja1!$A$10:$K$1393,11,0)</f>
        <v>175371157</v>
      </c>
      <c r="AF1292" s="1022"/>
      <c r="AG1292" s="1022">
        <f t="shared" si="290"/>
        <v>175371157</v>
      </c>
      <c r="AH1292" s="1022">
        <f t="shared" si="291"/>
        <v>175371</v>
      </c>
      <c r="AK1292" s="448"/>
      <c r="AL1292" s="445"/>
    </row>
    <row r="1293" spans="1:38" s="467" customFormat="1" ht="12.75" customHeight="1">
      <c r="A1293" s="1033">
        <v>5313210</v>
      </c>
      <c r="B1293" s="1033" t="s">
        <v>2833</v>
      </c>
      <c r="C1293" s="1034"/>
      <c r="D1293" s="1033"/>
      <c r="E1293" s="1033"/>
      <c r="F1293" s="1034"/>
      <c r="G1293" s="1033"/>
      <c r="H1293" s="1033"/>
      <c r="I1293" s="1034"/>
      <c r="J1293" s="1033"/>
      <c r="K1293" s="1033"/>
      <c r="L1293" s="1034"/>
      <c r="M1293" s="1035"/>
      <c r="N1293" s="1035"/>
      <c r="O1293" s="1036"/>
      <c r="P1293" s="1033"/>
      <c r="Q1293" s="1033"/>
      <c r="R1293" s="1034"/>
      <c r="S1293" s="1035"/>
      <c r="T1293" s="1035"/>
      <c r="U1293" s="1034"/>
      <c r="V1293" s="1035"/>
      <c r="W1293" s="1035"/>
      <c r="X1293" s="1037"/>
      <c r="Y1293" s="1035"/>
      <c r="Z1293" s="1035">
        <f t="shared" si="289"/>
        <v>4</v>
      </c>
      <c r="AA1293" s="1035"/>
      <c r="AB1293" s="1035"/>
      <c r="AC1293" s="1021">
        <v>410593</v>
      </c>
      <c r="AD1293" s="1021" t="s">
        <v>1504</v>
      </c>
      <c r="AE1293" s="1022">
        <f>VLOOKUP(AC1293,[5]Hoja1!$A$10:$K$1393,11,0)</f>
        <v>0</v>
      </c>
      <c r="AF1293" s="1022"/>
      <c r="AG1293" s="1022">
        <f t="shared" si="290"/>
        <v>0</v>
      </c>
      <c r="AH1293" s="1022">
        <f t="shared" si="291"/>
        <v>0</v>
      </c>
      <c r="AK1293" s="448"/>
      <c r="AL1293" s="445"/>
    </row>
    <row r="1294" spans="1:38" s="467" customFormat="1" ht="12.75" customHeight="1">
      <c r="A1294" s="1033">
        <v>5313210</v>
      </c>
      <c r="B1294" s="1033" t="s">
        <v>2833</v>
      </c>
      <c r="C1294" s="1034"/>
      <c r="D1294" s="1033"/>
      <c r="E1294" s="1033"/>
      <c r="F1294" s="1034"/>
      <c r="G1294" s="1033"/>
      <c r="H1294" s="1033"/>
      <c r="I1294" s="1034"/>
      <c r="J1294" s="1033"/>
      <c r="K1294" s="1033"/>
      <c r="L1294" s="1034"/>
      <c r="M1294" s="1035"/>
      <c r="N1294" s="1035"/>
      <c r="O1294" s="1036"/>
      <c r="P1294" s="1033"/>
      <c r="Q1294" s="1033"/>
      <c r="R1294" s="1034"/>
      <c r="S1294" s="1035"/>
      <c r="T1294" s="1035"/>
      <c r="U1294" s="1034"/>
      <c r="V1294" s="1035"/>
      <c r="W1294" s="1035"/>
      <c r="X1294" s="1037"/>
      <c r="Y1294" s="1035"/>
      <c r="Z1294" s="1035">
        <f t="shared" si="289"/>
        <v>4</v>
      </c>
      <c r="AA1294" s="1035"/>
      <c r="AB1294" s="1035"/>
      <c r="AC1294" s="1021">
        <v>410594</v>
      </c>
      <c r="AD1294" s="1021" t="s">
        <v>1505</v>
      </c>
      <c r="AE1294" s="1022">
        <f>VLOOKUP(AC1294,[5]Hoja1!$A$10:$K$1393,11,0)</f>
        <v>-5216025</v>
      </c>
      <c r="AF1294" s="1022"/>
      <c r="AG1294" s="1022">
        <f t="shared" si="290"/>
        <v>-5216025</v>
      </c>
      <c r="AH1294" s="1022">
        <f t="shared" si="291"/>
        <v>-5216</v>
      </c>
      <c r="AK1294" s="448"/>
      <c r="AL1294" s="445"/>
    </row>
    <row r="1295" spans="1:38" s="467" customFormat="1" ht="12.75" customHeight="1">
      <c r="A1295" s="1033">
        <v>5313210</v>
      </c>
      <c r="B1295" s="1033" t="s">
        <v>2833</v>
      </c>
      <c r="C1295" s="1034"/>
      <c r="D1295" s="1033"/>
      <c r="E1295" s="1033"/>
      <c r="F1295" s="1034"/>
      <c r="G1295" s="1033"/>
      <c r="H1295" s="1033"/>
      <c r="I1295" s="1034"/>
      <c r="J1295" s="1033"/>
      <c r="K1295" s="1033"/>
      <c r="L1295" s="1034"/>
      <c r="M1295" s="1035"/>
      <c r="N1295" s="1035"/>
      <c r="O1295" s="1036"/>
      <c r="P1295" s="1033"/>
      <c r="Q1295" s="1033"/>
      <c r="R1295" s="1034"/>
      <c r="S1295" s="1035"/>
      <c r="T1295" s="1035"/>
      <c r="U1295" s="1034"/>
      <c r="V1295" s="1035"/>
      <c r="W1295" s="1035"/>
      <c r="X1295" s="1037"/>
      <c r="Y1295" s="1035"/>
      <c r="Z1295" s="1035">
        <f t="shared" si="289"/>
        <v>4</v>
      </c>
      <c r="AA1295" s="1035"/>
      <c r="AB1295" s="1035"/>
      <c r="AC1295" s="1021">
        <v>410595</v>
      </c>
      <c r="AD1295" s="1021" t="s">
        <v>1513</v>
      </c>
      <c r="AE1295" s="1022">
        <f>VLOOKUP(AC1295,[5]Hoja1!$A$10:$K$1393,11,0)</f>
        <v>15671957</v>
      </c>
      <c r="AF1295" s="1022"/>
      <c r="AG1295" s="1022">
        <f t="shared" si="290"/>
        <v>15671957</v>
      </c>
      <c r="AH1295" s="1022">
        <f t="shared" si="291"/>
        <v>15672</v>
      </c>
      <c r="AK1295" s="448"/>
      <c r="AL1295" s="445"/>
    </row>
    <row r="1296" spans="1:38" s="467" customFormat="1" ht="12.75" customHeight="1">
      <c r="A1296" s="1033">
        <v>5315100</v>
      </c>
      <c r="B1296" s="1033" t="s">
        <v>1172</v>
      </c>
      <c r="C1296" s="1034"/>
      <c r="D1296" s="1033"/>
      <c r="E1296" s="1033"/>
      <c r="F1296" s="1034"/>
      <c r="G1296" s="1033"/>
      <c r="H1296" s="1033"/>
      <c r="I1296" s="1034"/>
      <c r="J1296" s="1033"/>
      <c r="K1296" s="1033"/>
      <c r="L1296" s="1034"/>
      <c r="M1296" s="1035"/>
      <c r="N1296" s="1035"/>
      <c r="O1296" s="1036"/>
      <c r="P1296" s="1033"/>
      <c r="Q1296" s="1033"/>
      <c r="R1296" s="1034"/>
      <c r="S1296" s="1035"/>
      <c r="T1296" s="1035"/>
      <c r="U1296" s="1034"/>
      <c r="V1296" s="1035"/>
      <c r="W1296" s="1035"/>
      <c r="X1296" s="1037"/>
      <c r="Y1296" s="1035"/>
      <c r="Z1296" s="1035">
        <f t="shared" si="289"/>
        <v>4</v>
      </c>
      <c r="AA1296" s="1033">
        <v>36</v>
      </c>
      <c r="AB1296" s="1033" t="s">
        <v>2919</v>
      </c>
      <c r="AC1296" s="1021">
        <v>410596</v>
      </c>
      <c r="AD1296" s="1021" t="s">
        <v>1374</v>
      </c>
      <c r="AE1296" s="1022">
        <f>VLOOKUP(AC1296,[5]Hoja1!$A$10:$K$1393,11,0)</f>
        <v>-308615566</v>
      </c>
      <c r="AF1296" s="1022"/>
      <c r="AG1296" s="1022">
        <f t="shared" si="290"/>
        <v>-308615566</v>
      </c>
      <c r="AH1296" s="1022">
        <f t="shared" si="291"/>
        <v>-308616</v>
      </c>
      <c r="AK1296" s="448"/>
      <c r="AL1296" s="445"/>
    </row>
    <row r="1297" spans="1:38" s="467" customFormat="1" ht="12.75" customHeight="1">
      <c r="A1297" s="1033">
        <v>5315100</v>
      </c>
      <c r="B1297" s="1033" t="s">
        <v>1172</v>
      </c>
      <c r="C1297" s="1034"/>
      <c r="D1297" s="1033"/>
      <c r="E1297" s="1033"/>
      <c r="F1297" s="1034"/>
      <c r="G1297" s="1033"/>
      <c r="H1297" s="1033"/>
      <c r="I1297" s="1034"/>
      <c r="J1297" s="1033"/>
      <c r="K1297" s="1033"/>
      <c r="L1297" s="1034"/>
      <c r="M1297" s="1035"/>
      <c r="N1297" s="1035"/>
      <c r="O1297" s="1036"/>
      <c r="P1297" s="1033"/>
      <c r="Q1297" s="1033"/>
      <c r="R1297" s="1034"/>
      <c r="S1297" s="1035"/>
      <c r="T1297" s="1035"/>
      <c r="U1297" s="1034"/>
      <c r="V1297" s="1035"/>
      <c r="W1297" s="1035"/>
      <c r="X1297" s="1037"/>
      <c r="Y1297" s="1035"/>
      <c r="Z1297" s="1035">
        <f t="shared" si="289"/>
        <v>4</v>
      </c>
      <c r="AA1297" s="1033">
        <v>36</v>
      </c>
      <c r="AB1297" s="1033" t="s">
        <v>2919</v>
      </c>
      <c r="AC1297" s="1021">
        <v>410597</v>
      </c>
      <c r="AD1297" s="1021" t="s">
        <v>1375</v>
      </c>
      <c r="AE1297" s="1022">
        <f>VLOOKUP(AC1297,[5]Hoja1!$A$10:$K$1393,11,0)</f>
        <v>-317856173</v>
      </c>
      <c r="AF1297" s="1022"/>
      <c r="AG1297" s="1022">
        <f t="shared" si="290"/>
        <v>-317856173</v>
      </c>
      <c r="AH1297" s="1022">
        <f t="shared" si="291"/>
        <v>-317856</v>
      </c>
      <c r="AK1297" s="448"/>
      <c r="AL1297" s="445"/>
    </row>
    <row r="1298" spans="1:38" s="467" customFormat="1" ht="12.75" customHeight="1">
      <c r="A1298" s="1033">
        <v>5315100</v>
      </c>
      <c r="B1298" s="1033" t="s">
        <v>1172</v>
      </c>
      <c r="C1298" s="1034"/>
      <c r="D1298" s="1033"/>
      <c r="E1298" s="1033"/>
      <c r="F1298" s="1034"/>
      <c r="G1298" s="1033"/>
      <c r="H1298" s="1033"/>
      <c r="I1298" s="1034"/>
      <c r="J1298" s="1033"/>
      <c r="K1298" s="1033"/>
      <c r="L1298" s="1034"/>
      <c r="M1298" s="1035"/>
      <c r="N1298" s="1035"/>
      <c r="O1298" s="1036"/>
      <c r="P1298" s="1033"/>
      <c r="Q1298" s="1033"/>
      <c r="R1298" s="1034"/>
      <c r="S1298" s="1035"/>
      <c r="T1298" s="1035"/>
      <c r="U1298" s="1034"/>
      <c r="V1298" s="1035"/>
      <c r="W1298" s="1035"/>
      <c r="X1298" s="1037"/>
      <c r="Y1298" s="1035"/>
      <c r="Z1298" s="1035">
        <f t="shared" si="289"/>
        <v>4</v>
      </c>
      <c r="AA1298" s="1033">
        <v>36</v>
      </c>
      <c r="AB1298" s="1033" t="s">
        <v>2919</v>
      </c>
      <c r="AC1298" s="1021">
        <v>410598</v>
      </c>
      <c r="AD1298" s="1021" t="s">
        <v>2400</v>
      </c>
      <c r="AE1298" s="1022">
        <f>VLOOKUP(AC1298,[5]Hoja1!$A$10:$K$1393,11,0)</f>
        <v>-838019</v>
      </c>
      <c r="AF1298" s="1022"/>
      <c r="AG1298" s="1022">
        <f t="shared" si="290"/>
        <v>-838019</v>
      </c>
      <c r="AH1298" s="1022">
        <f t="shared" si="291"/>
        <v>-838</v>
      </c>
      <c r="AK1298" s="448"/>
      <c r="AL1298" s="445"/>
    </row>
    <row r="1299" spans="1:38" s="467" customFormat="1" ht="12.75" customHeight="1">
      <c r="A1299" s="1033">
        <v>5311110</v>
      </c>
      <c r="B1299" s="1033" t="s">
        <v>2806</v>
      </c>
      <c r="C1299" s="1034"/>
      <c r="D1299" s="1033"/>
      <c r="E1299" s="1033"/>
      <c r="F1299" s="1034"/>
      <c r="G1299" s="1033"/>
      <c r="H1299" s="1033"/>
      <c r="I1299" s="1034"/>
      <c r="J1299" s="1033"/>
      <c r="K1299" s="1033"/>
      <c r="L1299" s="1034"/>
      <c r="M1299" s="1035"/>
      <c r="N1299" s="1035"/>
      <c r="O1299" s="1036"/>
      <c r="P1299" s="1033"/>
      <c r="Q1299" s="1033"/>
      <c r="R1299" s="1034"/>
      <c r="S1299" s="1035"/>
      <c r="T1299" s="1035"/>
      <c r="U1299" s="1034"/>
      <c r="V1299" s="1035"/>
      <c r="W1299" s="1035"/>
      <c r="X1299" s="1037"/>
      <c r="Y1299" s="1035"/>
      <c r="Z1299" s="1035">
        <f t="shared" si="289"/>
        <v>4</v>
      </c>
      <c r="AA1299" s="1035"/>
      <c r="AB1299" s="1035"/>
      <c r="AC1299" s="1021">
        <v>410599</v>
      </c>
      <c r="AD1299" s="1021" t="s">
        <v>2401</v>
      </c>
      <c r="AE1299" s="1022">
        <f>VLOOKUP(AC1299,[5]Hoja1!$A$10:$K$1393,11,0)</f>
        <v>-251475883</v>
      </c>
      <c r="AF1299" s="1022"/>
      <c r="AG1299" s="1022">
        <f t="shared" si="290"/>
        <v>-251475883</v>
      </c>
      <c r="AH1299" s="1022">
        <f t="shared" si="291"/>
        <v>-251476</v>
      </c>
      <c r="AK1299" s="448"/>
      <c r="AL1299" s="445"/>
    </row>
    <row r="1300" spans="1:38" s="467" customFormat="1" ht="12.75" customHeight="1">
      <c r="A1300" s="1033">
        <v>5316200</v>
      </c>
      <c r="B1300" s="1033" t="s">
        <v>2843</v>
      </c>
      <c r="C1300" s="1034" t="str">
        <f>+D1300&amp;E1300</f>
        <v/>
      </c>
      <c r="D1300" s="1035"/>
      <c r="E1300" s="1035"/>
      <c r="F1300" s="1034" t="str">
        <f>+G1300&amp;H1300</f>
        <v/>
      </c>
      <c r="G1300" s="1033"/>
      <c r="H1300" s="1033"/>
      <c r="I1300" s="1034" t="str">
        <f>+J1300&amp;K1300</f>
        <v/>
      </c>
      <c r="J1300" s="1033"/>
      <c r="K1300" s="1033"/>
      <c r="L1300" s="1034" t="str">
        <f>+M1300&amp;N1300</f>
        <v/>
      </c>
      <c r="M1300" s="1035"/>
      <c r="N1300" s="1035"/>
      <c r="O1300" s="1036" t="str">
        <f>+P1300&amp;Q1300</f>
        <v/>
      </c>
      <c r="P1300" s="1033"/>
      <c r="Q1300" s="1033"/>
      <c r="R1300" s="1034" t="str">
        <f>+S1300&amp;T1300</f>
        <v/>
      </c>
      <c r="S1300" s="1035"/>
      <c r="T1300" s="1035"/>
      <c r="U1300" s="1034" t="str">
        <f>+V1300&amp;W1300</f>
        <v/>
      </c>
      <c r="V1300" s="1035"/>
      <c r="W1300" s="1035"/>
      <c r="X1300" s="1037" t="str">
        <f t="shared" ref="X1300:X1331" si="292">+Y1300&amp;Z1300</f>
        <v>44</v>
      </c>
      <c r="Y1300" s="1035">
        <v>4</v>
      </c>
      <c r="Z1300" s="1035">
        <f t="shared" si="289"/>
        <v>4</v>
      </c>
      <c r="AA1300" s="1035"/>
      <c r="AB1300" s="1035"/>
      <c r="AC1300" s="1424">
        <v>410601</v>
      </c>
      <c r="AD1300" s="1021" t="s">
        <v>600</v>
      </c>
      <c r="AE1300" s="1022">
        <f>VLOOKUP(AC1300,[5]Hoja1!$A$10:$K$1393,11,0)</f>
        <v>0</v>
      </c>
      <c r="AF1300" s="1022"/>
      <c r="AG1300" s="1022">
        <f t="shared" si="290"/>
        <v>0</v>
      </c>
      <c r="AH1300" s="1022">
        <f t="shared" si="291"/>
        <v>0</v>
      </c>
      <c r="AK1300" s="448"/>
      <c r="AL1300" s="445"/>
    </row>
    <row r="1301" spans="1:38" s="467" customFormat="1" ht="12.75" customHeight="1">
      <c r="A1301" s="1033">
        <v>5316200</v>
      </c>
      <c r="B1301" s="1033" t="s">
        <v>2843</v>
      </c>
      <c r="C1301" s="1034" t="str">
        <f t="shared" ref="C1301:C1376" si="293">+D1301&amp;E1301</f>
        <v/>
      </c>
      <c r="D1301" s="1035"/>
      <c r="E1301" s="1035"/>
      <c r="F1301" s="1034" t="str">
        <f t="shared" ref="F1301:F1376" si="294">+G1301&amp;H1301</f>
        <v/>
      </c>
      <c r="G1301" s="1033"/>
      <c r="H1301" s="1033"/>
      <c r="I1301" s="1034" t="str">
        <f t="shared" ref="I1301:I1375" si="295">+J1301&amp;K1301</f>
        <v/>
      </c>
      <c r="J1301" s="1033"/>
      <c r="K1301" s="1033"/>
      <c r="L1301" s="1034" t="str">
        <f t="shared" ref="L1301:L1375" si="296">+M1301&amp;N1301</f>
        <v/>
      </c>
      <c r="M1301" s="1035"/>
      <c r="N1301" s="1035"/>
      <c r="O1301" s="1036" t="str">
        <f t="shared" ref="O1301:O1375" si="297">+P1301&amp;Q1301</f>
        <v/>
      </c>
      <c r="P1301" s="1033"/>
      <c r="Q1301" s="1033"/>
      <c r="R1301" s="1034" t="str">
        <f t="shared" ref="R1301:R1375" si="298">+S1301&amp;T1301</f>
        <v/>
      </c>
      <c r="S1301" s="1035"/>
      <c r="T1301" s="1035"/>
      <c r="U1301" s="1034" t="str">
        <f t="shared" ref="U1301:U1375" si="299">+V1301&amp;W1301</f>
        <v/>
      </c>
      <c r="V1301" s="1035"/>
      <c r="W1301" s="1035"/>
      <c r="X1301" s="1037" t="str">
        <f t="shared" si="292"/>
        <v>44</v>
      </c>
      <c r="Y1301" s="1035">
        <v>4</v>
      </c>
      <c r="Z1301" s="1035">
        <f t="shared" si="289"/>
        <v>4</v>
      </c>
      <c r="AA1301" s="1035"/>
      <c r="AB1301" s="1035"/>
      <c r="AC1301" s="1424">
        <v>410602</v>
      </c>
      <c r="AD1301" s="1021" t="s">
        <v>601</v>
      </c>
      <c r="AE1301" s="1022">
        <f>VLOOKUP(AC1301,[5]Hoja1!$A$10:$K$1393,11,0)</f>
        <v>256936</v>
      </c>
      <c r="AF1301" s="1022"/>
      <c r="AG1301" s="1022">
        <f t="shared" si="290"/>
        <v>256936</v>
      </c>
      <c r="AH1301" s="1022">
        <f t="shared" si="291"/>
        <v>257</v>
      </c>
      <c r="AK1301" s="448"/>
      <c r="AL1301" s="445"/>
    </row>
    <row r="1302" spans="1:38" s="467" customFormat="1" ht="12.75" customHeight="1">
      <c r="A1302" s="1033">
        <v>5316200</v>
      </c>
      <c r="B1302" s="1033" t="s">
        <v>2843</v>
      </c>
      <c r="C1302" s="1034" t="str">
        <f t="shared" si="293"/>
        <v/>
      </c>
      <c r="D1302" s="1035"/>
      <c r="E1302" s="1035"/>
      <c r="F1302" s="1034" t="str">
        <f t="shared" si="294"/>
        <v/>
      </c>
      <c r="G1302" s="1033"/>
      <c r="H1302" s="1033"/>
      <c r="I1302" s="1034" t="str">
        <f t="shared" si="295"/>
        <v/>
      </c>
      <c r="J1302" s="1033"/>
      <c r="K1302" s="1033"/>
      <c r="L1302" s="1034" t="str">
        <f t="shared" si="296"/>
        <v/>
      </c>
      <c r="M1302" s="1035"/>
      <c r="N1302" s="1035"/>
      <c r="O1302" s="1036" t="str">
        <f t="shared" si="297"/>
        <v/>
      </c>
      <c r="P1302" s="1033"/>
      <c r="Q1302" s="1033"/>
      <c r="R1302" s="1034" t="str">
        <f t="shared" si="298"/>
        <v/>
      </c>
      <c r="S1302" s="1035"/>
      <c r="T1302" s="1035"/>
      <c r="U1302" s="1034" t="str">
        <f t="shared" si="299"/>
        <v/>
      </c>
      <c r="V1302" s="1035"/>
      <c r="W1302" s="1035"/>
      <c r="X1302" s="1037" t="str">
        <f t="shared" si="292"/>
        <v>44</v>
      </c>
      <c r="Y1302" s="1035">
        <v>4</v>
      </c>
      <c r="Z1302" s="1035">
        <f t="shared" si="289"/>
        <v>4</v>
      </c>
      <c r="AA1302" s="1035"/>
      <c r="AB1302" s="1035"/>
      <c r="AC1302" s="1424">
        <v>410603</v>
      </c>
      <c r="AD1302" s="1021" t="s">
        <v>2402</v>
      </c>
      <c r="AE1302" s="1022">
        <f>VLOOKUP(AC1302,[5]Hoja1!$A$10:$K$1393,11,0)</f>
        <v>0</v>
      </c>
      <c r="AF1302" s="1022"/>
      <c r="AG1302" s="1022">
        <f t="shared" si="290"/>
        <v>0</v>
      </c>
      <c r="AH1302" s="1022">
        <f t="shared" si="291"/>
        <v>0</v>
      </c>
      <c r="AK1302" s="448"/>
      <c r="AL1302" s="445"/>
    </row>
    <row r="1303" spans="1:38" s="467" customFormat="1" ht="12.75" customHeight="1">
      <c r="A1303" s="1033">
        <v>5316200</v>
      </c>
      <c r="B1303" s="1033" t="s">
        <v>2843</v>
      </c>
      <c r="C1303" s="1034" t="str">
        <f t="shared" si="293"/>
        <v/>
      </c>
      <c r="D1303" s="1035"/>
      <c r="E1303" s="1035"/>
      <c r="F1303" s="1034" t="str">
        <f t="shared" si="294"/>
        <v/>
      </c>
      <c r="G1303" s="1033"/>
      <c r="H1303" s="1033"/>
      <c r="I1303" s="1034" t="str">
        <f t="shared" si="295"/>
        <v/>
      </c>
      <c r="J1303" s="1033"/>
      <c r="K1303" s="1033"/>
      <c r="L1303" s="1034" t="str">
        <f t="shared" si="296"/>
        <v/>
      </c>
      <c r="M1303" s="1035"/>
      <c r="N1303" s="1035"/>
      <c r="O1303" s="1036" t="str">
        <f t="shared" si="297"/>
        <v/>
      </c>
      <c r="P1303" s="1033"/>
      <c r="Q1303" s="1033"/>
      <c r="R1303" s="1034" t="str">
        <f t="shared" si="298"/>
        <v/>
      </c>
      <c r="S1303" s="1035"/>
      <c r="T1303" s="1035"/>
      <c r="U1303" s="1034" t="str">
        <f t="shared" si="299"/>
        <v/>
      </c>
      <c r="V1303" s="1035"/>
      <c r="W1303" s="1035"/>
      <c r="X1303" s="1037" t="str">
        <f t="shared" si="292"/>
        <v>44</v>
      </c>
      <c r="Y1303" s="1035">
        <v>4</v>
      </c>
      <c r="Z1303" s="1035">
        <f t="shared" si="289"/>
        <v>4</v>
      </c>
      <c r="AA1303" s="1035"/>
      <c r="AB1303" s="1035"/>
      <c r="AC1303" s="1424">
        <v>410604</v>
      </c>
      <c r="AD1303" s="1021" t="s">
        <v>2403</v>
      </c>
      <c r="AE1303" s="1022">
        <f>VLOOKUP(AC1303,[5]Hoja1!$A$10:$K$1393,11,0)</f>
        <v>-565425584</v>
      </c>
      <c r="AF1303" s="1022"/>
      <c r="AG1303" s="1022">
        <f t="shared" si="290"/>
        <v>-565425584</v>
      </c>
      <c r="AH1303" s="1022">
        <f t="shared" si="291"/>
        <v>-565426</v>
      </c>
      <c r="AK1303" s="448"/>
      <c r="AL1303" s="445"/>
    </row>
    <row r="1304" spans="1:38" s="467" customFormat="1" ht="12.75" customHeight="1">
      <c r="A1304" s="1033">
        <v>5316200</v>
      </c>
      <c r="B1304" s="1033" t="s">
        <v>2843</v>
      </c>
      <c r="C1304" s="1034" t="str">
        <f t="shared" si="293"/>
        <v/>
      </c>
      <c r="D1304" s="1035"/>
      <c r="E1304" s="1035"/>
      <c r="F1304" s="1034" t="str">
        <f t="shared" si="294"/>
        <v/>
      </c>
      <c r="G1304" s="1033"/>
      <c r="H1304" s="1033"/>
      <c r="I1304" s="1034" t="str">
        <f t="shared" si="295"/>
        <v/>
      </c>
      <c r="J1304" s="1033"/>
      <c r="K1304" s="1033"/>
      <c r="L1304" s="1034" t="str">
        <f t="shared" si="296"/>
        <v/>
      </c>
      <c r="M1304" s="1035"/>
      <c r="N1304" s="1035"/>
      <c r="O1304" s="1036" t="str">
        <f t="shared" si="297"/>
        <v/>
      </c>
      <c r="P1304" s="1033"/>
      <c r="Q1304" s="1033"/>
      <c r="R1304" s="1034" t="str">
        <f t="shared" si="298"/>
        <v/>
      </c>
      <c r="S1304" s="1035"/>
      <c r="T1304" s="1035"/>
      <c r="U1304" s="1034" t="str">
        <f t="shared" si="299"/>
        <v/>
      </c>
      <c r="V1304" s="1035"/>
      <c r="W1304" s="1035"/>
      <c r="X1304" s="1037" t="str">
        <f t="shared" si="292"/>
        <v>44</v>
      </c>
      <c r="Y1304" s="1035">
        <v>4</v>
      </c>
      <c r="Z1304" s="1035">
        <f t="shared" si="289"/>
        <v>4</v>
      </c>
      <c r="AA1304" s="1035"/>
      <c r="AB1304" s="1035"/>
      <c r="AC1304" s="1424">
        <v>410605</v>
      </c>
      <c r="AD1304" s="1021" t="s">
        <v>602</v>
      </c>
      <c r="AE1304" s="1022">
        <f>VLOOKUP(AC1304,[5]Hoja1!$A$10:$K$1393,11,0)</f>
        <v>-403206149</v>
      </c>
      <c r="AF1304" s="1022"/>
      <c r="AG1304" s="1022">
        <f t="shared" si="290"/>
        <v>-403206149</v>
      </c>
      <c r="AH1304" s="1022">
        <f t="shared" si="291"/>
        <v>-403206</v>
      </c>
      <c r="AK1304" s="448"/>
      <c r="AL1304" s="445"/>
    </row>
    <row r="1305" spans="1:38" s="467" customFormat="1" ht="12.75" customHeight="1">
      <c r="A1305" s="1033">
        <v>5316200</v>
      </c>
      <c r="B1305" s="1033" t="s">
        <v>2843</v>
      </c>
      <c r="C1305" s="1034" t="str">
        <f t="shared" si="293"/>
        <v/>
      </c>
      <c r="D1305" s="1035"/>
      <c r="E1305" s="1035"/>
      <c r="F1305" s="1034" t="str">
        <f t="shared" si="294"/>
        <v/>
      </c>
      <c r="G1305" s="1033"/>
      <c r="H1305" s="1033"/>
      <c r="I1305" s="1034" t="str">
        <f t="shared" si="295"/>
        <v/>
      </c>
      <c r="J1305" s="1033"/>
      <c r="K1305" s="1033"/>
      <c r="L1305" s="1034" t="str">
        <f t="shared" si="296"/>
        <v/>
      </c>
      <c r="M1305" s="1035"/>
      <c r="N1305" s="1035"/>
      <c r="O1305" s="1036" t="str">
        <f t="shared" si="297"/>
        <v/>
      </c>
      <c r="P1305" s="1033"/>
      <c r="Q1305" s="1033"/>
      <c r="R1305" s="1034" t="str">
        <f t="shared" si="298"/>
        <v/>
      </c>
      <c r="S1305" s="1035"/>
      <c r="T1305" s="1035"/>
      <c r="U1305" s="1034" t="str">
        <f t="shared" si="299"/>
        <v/>
      </c>
      <c r="V1305" s="1035"/>
      <c r="W1305" s="1035"/>
      <c r="X1305" s="1037" t="str">
        <f t="shared" si="292"/>
        <v>44</v>
      </c>
      <c r="Y1305" s="1035">
        <v>4</v>
      </c>
      <c r="Z1305" s="1035">
        <f t="shared" si="289"/>
        <v>4</v>
      </c>
      <c r="AA1305" s="1035"/>
      <c r="AB1305" s="1035"/>
      <c r="AC1305" s="1424">
        <v>410606</v>
      </c>
      <c r="AD1305" s="1021" t="s">
        <v>2404</v>
      </c>
      <c r="AE1305" s="1022">
        <f>VLOOKUP(AC1305,[5]Hoja1!$A$10:$K$1393,11,0)</f>
        <v>-7568921</v>
      </c>
      <c r="AF1305" s="1022"/>
      <c r="AG1305" s="1022">
        <f t="shared" si="290"/>
        <v>-7568921</v>
      </c>
      <c r="AH1305" s="1022">
        <f t="shared" si="291"/>
        <v>-7569</v>
      </c>
      <c r="AK1305" s="448"/>
      <c r="AL1305" s="445"/>
    </row>
    <row r="1306" spans="1:38" s="467" customFormat="1" ht="12.75" customHeight="1">
      <c r="A1306" s="1033">
        <v>5316200</v>
      </c>
      <c r="B1306" s="1033" t="s">
        <v>2843</v>
      </c>
      <c r="C1306" s="1034" t="str">
        <f t="shared" si="293"/>
        <v/>
      </c>
      <c r="D1306" s="1035"/>
      <c r="E1306" s="1035"/>
      <c r="F1306" s="1034" t="str">
        <f t="shared" si="294"/>
        <v/>
      </c>
      <c r="G1306" s="1033"/>
      <c r="H1306" s="1033"/>
      <c r="I1306" s="1034" t="str">
        <f t="shared" si="295"/>
        <v/>
      </c>
      <c r="J1306" s="1033"/>
      <c r="K1306" s="1033"/>
      <c r="L1306" s="1034" t="str">
        <f t="shared" si="296"/>
        <v/>
      </c>
      <c r="M1306" s="1035"/>
      <c r="N1306" s="1035"/>
      <c r="O1306" s="1036" t="str">
        <f t="shared" si="297"/>
        <v/>
      </c>
      <c r="P1306" s="1033"/>
      <c r="Q1306" s="1033"/>
      <c r="R1306" s="1034" t="str">
        <f t="shared" si="298"/>
        <v/>
      </c>
      <c r="S1306" s="1035"/>
      <c r="T1306" s="1035"/>
      <c r="U1306" s="1034" t="str">
        <f t="shared" si="299"/>
        <v/>
      </c>
      <c r="V1306" s="1035"/>
      <c r="W1306" s="1035"/>
      <c r="X1306" s="1037" t="str">
        <f t="shared" si="292"/>
        <v>44</v>
      </c>
      <c r="Y1306" s="1035">
        <v>4</v>
      </c>
      <c r="Z1306" s="1035">
        <f t="shared" si="289"/>
        <v>4</v>
      </c>
      <c r="AA1306" s="1035"/>
      <c r="AB1306" s="1035"/>
      <c r="AC1306" s="1424">
        <v>410607</v>
      </c>
      <c r="AD1306" s="1021" t="s">
        <v>603</v>
      </c>
      <c r="AE1306" s="1022">
        <f>VLOOKUP(AC1306,[5]Hoja1!$A$10:$K$1393,11,0)</f>
        <v>-301838859</v>
      </c>
      <c r="AF1306" s="1022"/>
      <c r="AG1306" s="1022">
        <f t="shared" si="290"/>
        <v>-301838859</v>
      </c>
      <c r="AH1306" s="1022">
        <f t="shared" si="291"/>
        <v>-301839</v>
      </c>
      <c r="AK1306" s="448"/>
      <c r="AL1306" s="445"/>
    </row>
    <row r="1307" spans="1:38" s="467" customFormat="1" ht="12.75" customHeight="1">
      <c r="A1307" s="1033">
        <v>5316200</v>
      </c>
      <c r="B1307" s="1033" t="s">
        <v>2843</v>
      </c>
      <c r="C1307" s="1034" t="str">
        <f t="shared" si="293"/>
        <v/>
      </c>
      <c r="D1307" s="1035"/>
      <c r="E1307" s="1035"/>
      <c r="F1307" s="1034" t="str">
        <f t="shared" si="294"/>
        <v/>
      </c>
      <c r="G1307" s="1033"/>
      <c r="H1307" s="1033"/>
      <c r="I1307" s="1034" t="str">
        <f t="shared" si="295"/>
        <v/>
      </c>
      <c r="J1307" s="1033"/>
      <c r="K1307" s="1033"/>
      <c r="L1307" s="1034" t="str">
        <f t="shared" si="296"/>
        <v/>
      </c>
      <c r="M1307" s="1035"/>
      <c r="N1307" s="1035"/>
      <c r="O1307" s="1036" t="str">
        <f t="shared" si="297"/>
        <v/>
      </c>
      <c r="P1307" s="1033"/>
      <c r="Q1307" s="1033"/>
      <c r="R1307" s="1034" t="str">
        <f t="shared" si="298"/>
        <v/>
      </c>
      <c r="S1307" s="1035"/>
      <c r="T1307" s="1035"/>
      <c r="U1307" s="1034" t="str">
        <f t="shared" si="299"/>
        <v/>
      </c>
      <c r="V1307" s="1035"/>
      <c r="W1307" s="1035"/>
      <c r="X1307" s="1037" t="str">
        <f t="shared" si="292"/>
        <v>44</v>
      </c>
      <c r="Y1307" s="1035">
        <v>4</v>
      </c>
      <c r="Z1307" s="1035">
        <f t="shared" si="289"/>
        <v>4</v>
      </c>
      <c r="AA1307" s="1035"/>
      <c r="AB1307" s="1035"/>
      <c r="AC1307" s="1424">
        <v>410608</v>
      </c>
      <c r="AD1307" s="1021" t="s">
        <v>604</v>
      </c>
      <c r="AE1307" s="1022">
        <f>VLOOKUP(AC1307,[5]Hoja1!$A$10:$K$1393,11,0)</f>
        <v>-6921309168</v>
      </c>
      <c r="AF1307" s="1022"/>
      <c r="AG1307" s="1022">
        <f t="shared" si="290"/>
        <v>-6921309168</v>
      </c>
      <c r="AH1307" s="1022">
        <f t="shared" si="291"/>
        <v>-6921309</v>
      </c>
      <c r="AJ1307" s="491"/>
      <c r="AK1307" s="448"/>
      <c r="AL1307" s="445"/>
    </row>
    <row r="1308" spans="1:38" s="467" customFormat="1" ht="12.75" customHeight="1">
      <c r="A1308" s="1033">
        <v>5316200</v>
      </c>
      <c r="B1308" s="1033" t="s">
        <v>2843</v>
      </c>
      <c r="C1308" s="1034" t="str">
        <f t="shared" si="293"/>
        <v/>
      </c>
      <c r="D1308" s="1035"/>
      <c r="E1308" s="1035"/>
      <c r="F1308" s="1034" t="str">
        <f t="shared" si="294"/>
        <v/>
      </c>
      <c r="G1308" s="1033"/>
      <c r="H1308" s="1033"/>
      <c r="I1308" s="1034" t="str">
        <f t="shared" si="295"/>
        <v/>
      </c>
      <c r="J1308" s="1033"/>
      <c r="K1308" s="1033"/>
      <c r="L1308" s="1034" t="str">
        <f t="shared" si="296"/>
        <v/>
      </c>
      <c r="M1308" s="1035"/>
      <c r="N1308" s="1035"/>
      <c r="O1308" s="1036" t="str">
        <f t="shared" si="297"/>
        <v/>
      </c>
      <c r="P1308" s="1033"/>
      <c r="Q1308" s="1033"/>
      <c r="R1308" s="1034" t="str">
        <f t="shared" si="298"/>
        <v/>
      </c>
      <c r="S1308" s="1035"/>
      <c r="T1308" s="1035"/>
      <c r="U1308" s="1034" t="str">
        <f t="shared" si="299"/>
        <v/>
      </c>
      <c r="V1308" s="1035"/>
      <c r="W1308" s="1035"/>
      <c r="X1308" s="1037" t="str">
        <f t="shared" si="292"/>
        <v>44</v>
      </c>
      <c r="Y1308" s="1035">
        <v>4</v>
      </c>
      <c r="Z1308" s="1035">
        <f t="shared" si="289"/>
        <v>4</v>
      </c>
      <c r="AA1308" s="1035"/>
      <c r="AB1308" s="1035"/>
      <c r="AC1308" s="1424">
        <v>410609</v>
      </c>
      <c r="AD1308" s="1021" t="s">
        <v>605</v>
      </c>
      <c r="AE1308" s="1022">
        <f>VLOOKUP(AC1308,[5]Hoja1!$A$10:$K$1393,11,0)</f>
        <v>-29472225</v>
      </c>
      <c r="AF1308" s="1022"/>
      <c r="AG1308" s="1022">
        <f t="shared" si="290"/>
        <v>-29472225</v>
      </c>
      <c r="AH1308" s="1022">
        <f t="shared" si="291"/>
        <v>-29472</v>
      </c>
      <c r="AK1308" s="448"/>
      <c r="AL1308" s="445"/>
    </row>
    <row r="1309" spans="1:38" s="467" customFormat="1" ht="12.75" customHeight="1">
      <c r="A1309" s="1033">
        <v>5316200</v>
      </c>
      <c r="B1309" s="1033" t="s">
        <v>2843</v>
      </c>
      <c r="C1309" s="1034" t="str">
        <f t="shared" si="293"/>
        <v/>
      </c>
      <c r="D1309" s="1035"/>
      <c r="E1309" s="1035"/>
      <c r="F1309" s="1034" t="str">
        <f t="shared" si="294"/>
        <v/>
      </c>
      <c r="G1309" s="1033"/>
      <c r="H1309" s="1033"/>
      <c r="I1309" s="1034" t="str">
        <f t="shared" si="295"/>
        <v/>
      </c>
      <c r="J1309" s="1033"/>
      <c r="K1309" s="1033"/>
      <c r="L1309" s="1034" t="str">
        <f t="shared" si="296"/>
        <v/>
      </c>
      <c r="M1309" s="1035"/>
      <c r="N1309" s="1035"/>
      <c r="O1309" s="1036" t="str">
        <f t="shared" si="297"/>
        <v/>
      </c>
      <c r="P1309" s="1033"/>
      <c r="Q1309" s="1033"/>
      <c r="R1309" s="1034" t="str">
        <f t="shared" si="298"/>
        <v/>
      </c>
      <c r="S1309" s="1035"/>
      <c r="T1309" s="1035"/>
      <c r="U1309" s="1034" t="str">
        <f t="shared" si="299"/>
        <v/>
      </c>
      <c r="V1309" s="1035"/>
      <c r="W1309" s="1035"/>
      <c r="X1309" s="1037" t="str">
        <f t="shared" si="292"/>
        <v>44</v>
      </c>
      <c r="Y1309" s="1035">
        <v>4</v>
      </c>
      <c r="Z1309" s="1035">
        <f t="shared" ref="Z1309:Z1372" si="300">VALUE(LEFT(AC1309,1))</f>
        <v>4</v>
      </c>
      <c r="AA1309" s="1035"/>
      <c r="AB1309" s="1035"/>
      <c r="AC1309" s="1424">
        <v>410610</v>
      </c>
      <c r="AD1309" s="1021" t="s">
        <v>606</v>
      </c>
      <c r="AE1309" s="1022">
        <f>VLOOKUP(AC1309,[5]Hoja1!$A$10:$K$1393,11,0)</f>
        <v>-1083642673</v>
      </c>
      <c r="AF1309" s="1022"/>
      <c r="AG1309" s="1022">
        <f t="shared" ref="AG1309:AG1372" si="301">AE1309+AF1309</f>
        <v>-1083642673</v>
      </c>
      <c r="AH1309" s="1022">
        <f t="shared" ref="AH1309:AH1372" si="302">ROUND((AE1309+AF1309)/$AH$2,0)</f>
        <v>-1083643</v>
      </c>
      <c r="AK1309" s="448"/>
      <c r="AL1309" s="445"/>
    </row>
    <row r="1310" spans="1:38" s="467" customFormat="1" ht="12.75" customHeight="1">
      <c r="A1310" s="1033">
        <v>5316200</v>
      </c>
      <c r="B1310" s="1033" t="s">
        <v>2843</v>
      </c>
      <c r="C1310" s="1034" t="str">
        <f t="shared" si="293"/>
        <v/>
      </c>
      <c r="D1310" s="1035"/>
      <c r="E1310" s="1035"/>
      <c r="F1310" s="1034" t="str">
        <f t="shared" si="294"/>
        <v/>
      </c>
      <c r="G1310" s="1033"/>
      <c r="H1310" s="1033"/>
      <c r="I1310" s="1034" t="str">
        <f t="shared" si="295"/>
        <v/>
      </c>
      <c r="J1310" s="1033"/>
      <c r="K1310" s="1033"/>
      <c r="L1310" s="1034" t="str">
        <f t="shared" si="296"/>
        <v/>
      </c>
      <c r="M1310" s="1035"/>
      <c r="N1310" s="1035"/>
      <c r="O1310" s="1036" t="str">
        <f t="shared" si="297"/>
        <v/>
      </c>
      <c r="P1310" s="1033"/>
      <c r="Q1310" s="1033"/>
      <c r="R1310" s="1034" t="str">
        <f t="shared" si="298"/>
        <v/>
      </c>
      <c r="S1310" s="1035"/>
      <c r="T1310" s="1035"/>
      <c r="U1310" s="1034" t="str">
        <f t="shared" si="299"/>
        <v/>
      </c>
      <c r="V1310" s="1035"/>
      <c r="W1310" s="1035"/>
      <c r="X1310" s="1037" t="str">
        <f t="shared" si="292"/>
        <v>44</v>
      </c>
      <c r="Y1310" s="1035">
        <v>4</v>
      </c>
      <c r="Z1310" s="1035">
        <f t="shared" si="300"/>
        <v>4</v>
      </c>
      <c r="AA1310" s="1035"/>
      <c r="AB1310" s="1035"/>
      <c r="AC1310" s="1424">
        <v>410611</v>
      </c>
      <c r="AD1310" s="1021" t="s">
        <v>1078</v>
      </c>
      <c r="AE1310" s="1022">
        <f>VLOOKUP(AC1310,[5]Hoja1!$A$10:$K$1393,11,0)</f>
        <v>-857966692</v>
      </c>
      <c r="AF1310" s="1022"/>
      <c r="AG1310" s="1022">
        <f t="shared" si="301"/>
        <v>-857966692</v>
      </c>
      <c r="AH1310" s="1022">
        <f t="shared" si="302"/>
        <v>-857967</v>
      </c>
      <c r="AK1310" s="448"/>
      <c r="AL1310" s="445"/>
    </row>
    <row r="1311" spans="1:38" s="467" customFormat="1" ht="12.75" customHeight="1">
      <c r="A1311" s="1033">
        <v>5316200</v>
      </c>
      <c r="B1311" s="1033" t="s">
        <v>2843</v>
      </c>
      <c r="C1311" s="1034" t="str">
        <f t="shared" si="293"/>
        <v/>
      </c>
      <c r="D1311" s="1033"/>
      <c r="E1311" s="1033"/>
      <c r="F1311" s="1034" t="str">
        <f t="shared" si="294"/>
        <v/>
      </c>
      <c r="G1311" s="1033"/>
      <c r="H1311" s="1033"/>
      <c r="I1311" s="1034" t="str">
        <f t="shared" si="295"/>
        <v/>
      </c>
      <c r="J1311" s="1033"/>
      <c r="K1311" s="1033"/>
      <c r="L1311" s="1034" t="str">
        <f t="shared" si="296"/>
        <v/>
      </c>
      <c r="M1311" s="1035"/>
      <c r="N1311" s="1035"/>
      <c r="O1311" s="1036" t="str">
        <f t="shared" si="297"/>
        <v/>
      </c>
      <c r="P1311" s="1035"/>
      <c r="Q1311" s="1033"/>
      <c r="R1311" s="1034" t="str">
        <f t="shared" si="298"/>
        <v/>
      </c>
      <c r="S1311" s="1035"/>
      <c r="T1311" s="1035"/>
      <c r="U1311" s="1034" t="str">
        <f t="shared" si="299"/>
        <v/>
      </c>
      <c r="V1311" s="1035"/>
      <c r="W1311" s="1035"/>
      <c r="X1311" s="1037" t="str">
        <f t="shared" si="292"/>
        <v>44</v>
      </c>
      <c r="Y1311" s="1035">
        <v>4</v>
      </c>
      <c r="Z1311" s="1035">
        <f t="shared" si="300"/>
        <v>4</v>
      </c>
      <c r="AA1311" s="1035"/>
      <c r="AB1311" s="1035"/>
      <c r="AC1311" s="1424">
        <v>410612</v>
      </c>
      <c r="AD1311" s="1021" t="s">
        <v>1079</v>
      </c>
      <c r="AE1311" s="1022">
        <f>VLOOKUP(AC1311,[5]Hoja1!$A$10:$K$1393,11,0)</f>
        <v>-3432043277</v>
      </c>
      <c r="AF1311" s="1022"/>
      <c r="AG1311" s="1022">
        <f t="shared" si="301"/>
        <v>-3432043277</v>
      </c>
      <c r="AH1311" s="1022">
        <f t="shared" si="302"/>
        <v>-3432043</v>
      </c>
      <c r="AK1311" s="448"/>
      <c r="AL1311" s="445"/>
    </row>
    <row r="1312" spans="1:38" s="467" customFormat="1" ht="12.75" customHeight="1">
      <c r="A1312" s="1033">
        <v>5316200</v>
      </c>
      <c r="B1312" s="1033" t="s">
        <v>2843</v>
      </c>
      <c r="C1312" s="1034" t="str">
        <f t="shared" si="293"/>
        <v/>
      </c>
      <c r="D1312" s="1033"/>
      <c r="E1312" s="1033"/>
      <c r="F1312" s="1034" t="str">
        <f t="shared" si="294"/>
        <v/>
      </c>
      <c r="G1312" s="1033"/>
      <c r="H1312" s="1033"/>
      <c r="I1312" s="1034" t="str">
        <f t="shared" si="295"/>
        <v/>
      </c>
      <c r="J1312" s="1033"/>
      <c r="K1312" s="1033"/>
      <c r="L1312" s="1034" t="str">
        <f t="shared" si="296"/>
        <v/>
      </c>
      <c r="M1312" s="1035"/>
      <c r="N1312" s="1035"/>
      <c r="O1312" s="1036" t="str">
        <f t="shared" si="297"/>
        <v/>
      </c>
      <c r="P1312" s="1035"/>
      <c r="Q1312" s="1033"/>
      <c r="R1312" s="1034" t="str">
        <f t="shared" si="298"/>
        <v/>
      </c>
      <c r="S1312" s="1035"/>
      <c r="T1312" s="1035"/>
      <c r="U1312" s="1034" t="str">
        <f t="shared" si="299"/>
        <v/>
      </c>
      <c r="V1312" s="1035"/>
      <c r="W1312" s="1035"/>
      <c r="X1312" s="1037" t="str">
        <f t="shared" si="292"/>
        <v>44</v>
      </c>
      <c r="Y1312" s="1035">
        <v>4</v>
      </c>
      <c r="Z1312" s="1035">
        <f t="shared" si="300"/>
        <v>4</v>
      </c>
      <c r="AA1312" s="1035"/>
      <c r="AB1312" s="1035"/>
      <c r="AC1312" s="1424">
        <v>410613</v>
      </c>
      <c r="AD1312" s="1021" t="s">
        <v>1080</v>
      </c>
      <c r="AE1312" s="1022">
        <v>0</v>
      </c>
      <c r="AF1312" s="1022"/>
      <c r="AG1312" s="1022">
        <f t="shared" si="301"/>
        <v>0</v>
      </c>
      <c r="AH1312" s="1022">
        <f t="shared" si="302"/>
        <v>0</v>
      </c>
      <c r="AK1312" s="448"/>
      <c r="AL1312" s="445"/>
    </row>
    <row r="1313" spans="1:38" s="467" customFormat="1" ht="12.75" customHeight="1">
      <c r="A1313" s="1033">
        <v>5316200</v>
      </c>
      <c r="B1313" s="1033" t="s">
        <v>2843</v>
      </c>
      <c r="C1313" s="1034" t="str">
        <f t="shared" si="293"/>
        <v/>
      </c>
      <c r="D1313" s="1033"/>
      <c r="E1313" s="1033"/>
      <c r="F1313" s="1034" t="str">
        <f t="shared" si="294"/>
        <v/>
      </c>
      <c r="G1313" s="1033"/>
      <c r="H1313" s="1033"/>
      <c r="I1313" s="1034" t="str">
        <f t="shared" si="295"/>
        <v/>
      </c>
      <c r="J1313" s="1033"/>
      <c r="K1313" s="1033"/>
      <c r="L1313" s="1034" t="str">
        <f t="shared" si="296"/>
        <v/>
      </c>
      <c r="M1313" s="1035"/>
      <c r="N1313" s="1035"/>
      <c r="O1313" s="1036" t="str">
        <f t="shared" si="297"/>
        <v/>
      </c>
      <c r="P1313" s="1035"/>
      <c r="Q1313" s="1033"/>
      <c r="R1313" s="1034" t="str">
        <f t="shared" si="298"/>
        <v/>
      </c>
      <c r="S1313" s="1035"/>
      <c r="T1313" s="1035"/>
      <c r="U1313" s="1034" t="str">
        <f t="shared" si="299"/>
        <v/>
      </c>
      <c r="V1313" s="1035"/>
      <c r="W1313" s="1035"/>
      <c r="X1313" s="1037" t="str">
        <f t="shared" si="292"/>
        <v>44</v>
      </c>
      <c r="Y1313" s="1035">
        <v>4</v>
      </c>
      <c r="Z1313" s="1035">
        <f t="shared" si="300"/>
        <v>4</v>
      </c>
      <c r="AA1313" s="1035"/>
      <c r="AB1313" s="1035"/>
      <c r="AC1313" s="1424">
        <v>410614</v>
      </c>
      <c r="AD1313" s="1021" t="s">
        <v>1082</v>
      </c>
      <c r="AE1313" s="1022">
        <f>VLOOKUP(AC1313,[5]Hoja1!$A$10:$K$1393,11,0)</f>
        <v>-4347181</v>
      </c>
      <c r="AF1313" s="1022"/>
      <c r="AG1313" s="1022">
        <f t="shared" si="301"/>
        <v>-4347181</v>
      </c>
      <c r="AH1313" s="1022">
        <f t="shared" si="302"/>
        <v>-4347</v>
      </c>
      <c r="AK1313" s="448"/>
      <c r="AL1313" s="445"/>
    </row>
    <row r="1314" spans="1:38" s="467" customFormat="1" ht="12.75" customHeight="1">
      <c r="A1314" s="1033">
        <v>5316200</v>
      </c>
      <c r="B1314" s="1033" t="s">
        <v>2843</v>
      </c>
      <c r="C1314" s="1034" t="str">
        <f t="shared" si="293"/>
        <v/>
      </c>
      <c r="D1314" s="1033"/>
      <c r="E1314" s="1033"/>
      <c r="F1314" s="1034" t="str">
        <f t="shared" si="294"/>
        <v/>
      </c>
      <c r="G1314" s="1033"/>
      <c r="H1314" s="1033"/>
      <c r="I1314" s="1034" t="str">
        <f t="shared" si="295"/>
        <v/>
      </c>
      <c r="J1314" s="1033"/>
      <c r="K1314" s="1033"/>
      <c r="L1314" s="1034" t="str">
        <f t="shared" si="296"/>
        <v/>
      </c>
      <c r="M1314" s="1035"/>
      <c r="N1314" s="1035"/>
      <c r="O1314" s="1036" t="str">
        <f t="shared" si="297"/>
        <v/>
      </c>
      <c r="P1314" s="1035"/>
      <c r="Q1314" s="1033"/>
      <c r="R1314" s="1034" t="str">
        <f t="shared" si="298"/>
        <v/>
      </c>
      <c r="S1314" s="1035"/>
      <c r="T1314" s="1035"/>
      <c r="U1314" s="1034" t="str">
        <f t="shared" si="299"/>
        <v/>
      </c>
      <c r="V1314" s="1035"/>
      <c r="W1314" s="1035"/>
      <c r="X1314" s="1037" t="str">
        <f t="shared" si="292"/>
        <v>44</v>
      </c>
      <c r="Y1314" s="1035">
        <v>4</v>
      </c>
      <c r="Z1314" s="1035">
        <f t="shared" si="300"/>
        <v>4</v>
      </c>
      <c r="AA1314" s="1035"/>
      <c r="AB1314" s="1035"/>
      <c r="AC1314" s="1424">
        <v>410615</v>
      </c>
      <c r="AD1314" s="1021" t="s">
        <v>1083</v>
      </c>
      <c r="AE1314" s="1022">
        <f>VLOOKUP(AC1314,[5]Hoja1!$A$10:$K$1393,11,0)</f>
        <v>-1591071271</v>
      </c>
      <c r="AF1314" s="1022"/>
      <c r="AG1314" s="1022">
        <f t="shared" si="301"/>
        <v>-1591071271</v>
      </c>
      <c r="AH1314" s="1022">
        <f t="shared" si="302"/>
        <v>-1591071</v>
      </c>
      <c r="AK1314" s="448"/>
      <c r="AL1314" s="445"/>
    </row>
    <row r="1315" spans="1:38" s="467" customFormat="1" ht="12.75" customHeight="1">
      <c r="A1315" s="1033">
        <v>5316200</v>
      </c>
      <c r="B1315" s="1033" t="s">
        <v>2843</v>
      </c>
      <c r="C1315" s="1034" t="str">
        <f t="shared" si="293"/>
        <v/>
      </c>
      <c r="D1315" s="1035"/>
      <c r="E1315" s="1035"/>
      <c r="F1315" s="1034" t="str">
        <f t="shared" si="294"/>
        <v/>
      </c>
      <c r="G1315" s="1033"/>
      <c r="H1315" s="1033"/>
      <c r="I1315" s="1034" t="str">
        <f t="shared" si="295"/>
        <v/>
      </c>
      <c r="J1315" s="1033"/>
      <c r="K1315" s="1033"/>
      <c r="L1315" s="1034" t="str">
        <f t="shared" si="296"/>
        <v/>
      </c>
      <c r="M1315" s="1035"/>
      <c r="N1315" s="1035"/>
      <c r="O1315" s="1036" t="str">
        <f t="shared" si="297"/>
        <v/>
      </c>
      <c r="P1315" s="1033"/>
      <c r="Q1315" s="1033"/>
      <c r="R1315" s="1034" t="str">
        <f t="shared" si="298"/>
        <v/>
      </c>
      <c r="S1315" s="1035"/>
      <c r="T1315" s="1035"/>
      <c r="U1315" s="1034" t="str">
        <f t="shared" si="299"/>
        <v/>
      </c>
      <c r="V1315" s="1035"/>
      <c r="W1315" s="1035"/>
      <c r="X1315" s="1037" t="str">
        <f t="shared" si="292"/>
        <v>44</v>
      </c>
      <c r="Y1315" s="1035">
        <v>4</v>
      </c>
      <c r="Z1315" s="1035">
        <f t="shared" si="300"/>
        <v>4</v>
      </c>
      <c r="AA1315" s="1035"/>
      <c r="AB1315" s="1035"/>
      <c r="AC1315" s="1424">
        <v>410616</v>
      </c>
      <c r="AD1315" s="1021" t="s">
        <v>674</v>
      </c>
      <c r="AE1315" s="1022">
        <v>0</v>
      </c>
      <c r="AF1315" s="1022"/>
      <c r="AG1315" s="1022">
        <f t="shared" si="301"/>
        <v>0</v>
      </c>
      <c r="AH1315" s="1022">
        <f t="shared" si="302"/>
        <v>0</v>
      </c>
      <c r="AK1315" s="448"/>
      <c r="AL1315" s="445"/>
    </row>
    <row r="1316" spans="1:38" s="467" customFormat="1" ht="12.75" customHeight="1">
      <c r="A1316" s="1033">
        <v>5316200</v>
      </c>
      <c r="B1316" s="1033" t="s">
        <v>2843</v>
      </c>
      <c r="C1316" s="1034" t="str">
        <f t="shared" si="293"/>
        <v/>
      </c>
      <c r="D1316" s="1035"/>
      <c r="E1316" s="1035"/>
      <c r="F1316" s="1034" t="str">
        <f t="shared" si="294"/>
        <v/>
      </c>
      <c r="G1316" s="1033"/>
      <c r="H1316" s="1033"/>
      <c r="I1316" s="1034" t="str">
        <f t="shared" si="295"/>
        <v/>
      </c>
      <c r="J1316" s="1033"/>
      <c r="K1316" s="1033"/>
      <c r="L1316" s="1034" t="str">
        <f t="shared" si="296"/>
        <v/>
      </c>
      <c r="M1316" s="1035"/>
      <c r="N1316" s="1035"/>
      <c r="O1316" s="1036" t="str">
        <f t="shared" si="297"/>
        <v/>
      </c>
      <c r="P1316" s="1033"/>
      <c r="Q1316" s="1033"/>
      <c r="R1316" s="1034" t="str">
        <f t="shared" si="298"/>
        <v/>
      </c>
      <c r="S1316" s="1035"/>
      <c r="T1316" s="1035"/>
      <c r="U1316" s="1034" t="str">
        <f t="shared" si="299"/>
        <v/>
      </c>
      <c r="V1316" s="1035"/>
      <c r="W1316" s="1035"/>
      <c r="X1316" s="1037" t="str">
        <f t="shared" si="292"/>
        <v>44</v>
      </c>
      <c r="Y1316" s="1035">
        <v>4</v>
      </c>
      <c r="Z1316" s="1035">
        <f t="shared" si="300"/>
        <v>4</v>
      </c>
      <c r="AA1316" s="1035"/>
      <c r="AB1316" s="1035"/>
      <c r="AC1316" s="1424">
        <v>410617</v>
      </c>
      <c r="AD1316" s="1021" t="s">
        <v>675</v>
      </c>
      <c r="AE1316" s="1022">
        <f>VLOOKUP(AC1316,[5]Hoja1!$A$10:$K$1393,11,0)</f>
        <v>-7013124</v>
      </c>
      <c r="AF1316" s="1022"/>
      <c r="AG1316" s="1022">
        <f t="shared" si="301"/>
        <v>-7013124</v>
      </c>
      <c r="AH1316" s="1022">
        <f t="shared" si="302"/>
        <v>-7013</v>
      </c>
      <c r="AK1316" s="448"/>
      <c r="AL1316" s="445"/>
    </row>
    <row r="1317" spans="1:38" s="467" customFormat="1" ht="12.75" customHeight="1">
      <c r="A1317" s="1033">
        <v>5316200</v>
      </c>
      <c r="B1317" s="1033" t="s">
        <v>2843</v>
      </c>
      <c r="C1317" s="1034" t="str">
        <f t="shared" si="293"/>
        <v/>
      </c>
      <c r="D1317" s="1035"/>
      <c r="E1317" s="1035"/>
      <c r="F1317" s="1034" t="str">
        <f t="shared" si="294"/>
        <v/>
      </c>
      <c r="G1317" s="1033"/>
      <c r="H1317" s="1033"/>
      <c r="I1317" s="1034" t="str">
        <f t="shared" si="295"/>
        <v/>
      </c>
      <c r="J1317" s="1033"/>
      <c r="K1317" s="1033"/>
      <c r="L1317" s="1034" t="str">
        <f t="shared" si="296"/>
        <v/>
      </c>
      <c r="M1317" s="1035"/>
      <c r="N1317" s="1035"/>
      <c r="O1317" s="1036" t="str">
        <f t="shared" si="297"/>
        <v/>
      </c>
      <c r="P1317" s="1033"/>
      <c r="Q1317" s="1033"/>
      <c r="R1317" s="1034" t="str">
        <f t="shared" si="298"/>
        <v/>
      </c>
      <c r="S1317" s="1035"/>
      <c r="T1317" s="1035"/>
      <c r="U1317" s="1034" t="str">
        <f t="shared" si="299"/>
        <v/>
      </c>
      <c r="V1317" s="1035"/>
      <c r="W1317" s="1035"/>
      <c r="X1317" s="1037" t="str">
        <f t="shared" si="292"/>
        <v>44</v>
      </c>
      <c r="Y1317" s="1035">
        <v>4</v>
      </c>
      <c r="Z1317" s="1035">
        <f t="shared" si="300"/>
        <v>4</v>
      </c>
      <c r="AA1317" s="1035"/>
      <c r="AB1317" s="1035"/>
      <c r="AC1317" s="1424">
        <v>410618</v>
      </c>
      <c r="AD1317" s="1021" t="s">
        <v>1445</v>
      </c>
      <c r="AE1317" s="1022">
        <f>VLOOKUP(AC1317,[5]Hoja1!$A$10:$K$1393,11,0)</f>
        <v>0</v>
      </c>
      <c r="AF1317" s="1022"/>
      <c r="AG1317" s="1022">
        <f t="shared" si="301"/>
        <v>0</v>
      </c>
      <c r="AH1317" s="1022">
        <f t="shared" si="302"/>
        <v>0</v>
      </c>
      <c r="AK1317" s="448"/>
      <c r="AL1317" s="445"/>
    </row>
    <row r="1318" spans="1:38" s="467" customFormat="1" ht="12.75" customHeight="1">
      <c r="A1318" s="1033">
        <v>5316200</v>
      </c>
      <c r="B1318" s="1033" t="s">
        <v>2843</v>
      </c>
      <c r="C1318" s="1034" t="str">
        <f t="shared" si="293"/>
        <v/>
      </c>
      <c r="D1318" s="1035"/>
      <c r="E1318" s="1035"/>
      <c r="F1318" s="1034" t="str">
        <f t="shared" si="294"/>
        <v/>
      </c>
      <c r="G1318" s="1033"/>
      <c r="H1318" s="1033"/>
      <c r="I1318" s="1034" t="str">
        <f t="shared" si="295"/>
        <v/>
      </c>
      <c r="J1318" s="1033"/>
      <c r="K1318" s="1033"/>
      <c r="L1318" s="1034" t="str">
        <f t="shared" si="296"/>
        <v/>
      </c>
      <c r="M1318" s="1035"/>
      <c r="N1318" s="1035"/>
      <c r="O1318" s="1036" t="str">
        <f t="shared" si="297"/>
        <v/>
      </c>
      <c r="P1318" s="1033"/>
      <c r="Q1318" s="1033"/>
      <c r="R1318" s="1034" t="str">
        <f t="shared" si="298"/>
        <v/>
      </c>
      <c r="S1318" s="1035"/>
      <c r="T1318" s="1035"/>
      <c r="U1318" s="1034" t="str">
        <f t="shared" si="299"/>
        <v/>
      </c>
      <c r="V1318" s="1035"/>
      <c r="W1318" s="1035"/>
      <c r="X1318" s="1037" t="str">
        <f t="shared" si="292"/>
        <v>44</v>
      </c>
      <c r="Y1318" s="1035">
        <v>4</v>
      </c>
      <c r="Z1318" s="1035">
        <f t="shared" si="300"/>
        <v>4</v>
      </c>
      <c r="AA1318" s="1035"/>
      <c r="AB1318" s="1035"/>
      <c r="AC1318" s="1424">
        <v>410619</v>
      </c>
      <c r="AD1318" s="1021" t="s">
        <v>1056</v>
      </c>
      <c r="AE1318" s="1022">
        <f>VLOOKUP(AC1318,[5]Hoja1!$A$10:$K$1393,11,0)</f>
        <v>0</v>
      </c>
      <c r="AF1318" s="1022"/>
      <c r="AG1318" s="1022">
        <f t="shared" si="301"/>
        <v>0</v>
      </c>
      <c r="AH1318" s="1022">
        <f t="shared" si="302"/>
        <v>0</v>
      </c>
      <c r="AK1318" s="448"/>
      <c r="AL1318" s="445"/>
    </row>
    <row r="1319" spans="1:38" s="467" customFormat="1" ht="12.75" customHeight="1">
      <c r="A1319" s="1033">
        <v>5316200</v>
      </c>
      <c r="B1319" s="1033" t="s">
        <v>2843</v>
      </c>
      <c r="C1319" s="1034" t="str">
        <f t="shared" si="293"/>
        <v/>
      </c>
      <c r="D1319" s="1033"/>
      <c r="E1319" s="1033"/>
      <c r="F1319" s="1034" t="str">
        <f t="shared" si="294"/>
        <v/>
      </c>
      <c r="G1319" s="1033"/>
      <c r="H1319" s="1033"/>
      <c r="I1319" s="1034" t="str">
        <f t="shared" si="295"/>
        <v/>
      </c>
      <c r="J1319" s="1033"/>
      <c r="K1319" s="1033"/>
      <c r="L1319" s="1034" t="str">
        <f t="shared" si="296"/>
        <v/>
      </c>
      <c r="M1319" s="1035"/>
      <c r="N1319" s="1035"/>
      <c r="O1319" s="1036" t="str">
        <f t="shared" si="297"/>
        <v/>
      </c>
      <c r="P1319" s="1035"/>
      <c r="Q1319" s="1033"/>
      <c r="R1319" s="1034" t="str">
        <f t="shared" si="298"/>
        <v/>
      </c>
      <c r="S1319" s="1035"/>
      <c r="T1319" s="1035"/>
      <c r="U1319" s="1034" t="str">
        <f t="shared" si="299"/>
        <v/>
      </c>
      <c r="V1319" s="1035"/>
      <c r="W1319" s="1035"/>
      <c r="X1319" s="1037" t="str">
        <f t="shared" si="292"/>
        <v>44</v>
      </c>
      <c r="Y1319" s="1035">
        <v>4</v>
      </c>
      <c r="Z1319" s="1035">
        <f t="shared" si="300"/>
        <v>4</v>
      </c>
      <c r="AA1319" s="1035"/>
      <c r="AB1319" s="1035"/>
      <c r="AC1319" s="1424">
        <v>410620</v>
      </c>
      <c r="AD1319" s="1021" t="s">
        <v>600</v>
      </c>
      <c r="AE1319" s="1022">
        <f>VLOOKUP(AC1319,[5]Hoja1!$A$10:$K$1393,11,0)</f>
        <v>1900256</v>
      </c>
      <c r="AF1319" s="1022"/>
      <c r="AG1319" s="1022">
        <f t="shared" si="301"/>
        <v>1900256</v>
      </c>
      <c r="AH1319" s="1022">
        <f t="shared" si="302"/>
        <v>1900</v>
      </c>
      <c r="AK1319" s="448"/>
      <c r="AL1319" s="445"/>
    </row>
    <row r="1320" spans="1:38" s="467" customFormat="1" ht="12.75" customHeight="1">
      <c r="A1320" s="1033">
        <v>5316200</v>
      </c>
      <c r="B1320" s="1033" t="s">
        <v>2843</v>
      </c>
      <c r="C1320" s="1034" t="str">
        <f t="shared" si="293"/>
        <v/>
      </c>
      <c r="D1320" s="1035"/>
      <c r="E1320" s="1035"/>
      <c r="F1320" s="1034" t="str">
        <f t="shared" si="294"/>
        <v/>
      </c>
      <c r="G1320" s="1033"/>
      <c r="H1320" s="1033"/>
      <c r="I1320" s="1034" t="str">
        <f t="shared" si="295"/>
        <v/>
      </c>
      <c r="J1320" s="1033"/>
      <c r="K1320" s="1033"/>
      <c r="L1320" s="1034" t="str">
        <f t="shared" si="296"/>
        <v/>
      </c>
      <c r="M1320" s="1035"/>
      <c r="N1320" s="1035"/>
      <c r="O1320" s="1036" t="str">
        <f t="shared" si="297"/>
        <v/>
      </c>
      <c r="P1320" s="1033"/>
      <c r="Q1320" s="1033"/>
      <c r="R1320" s="1034" t="str">
        <f t="shared" si="298"/>
        <v/>
      </c>
      <c r="S1320" s="1035"/>
      <c r="T1320" s="1035"/>
      <c r="U1320" s="1034" t="str">
        <f t="shared" si="299"/>
        <v/>
      </c>
      <c r="V1320" s="1035"/>
      <c r="W1320" s="1035"/>
      <c r="X1320" s="1037" t="str">
        <f t="shared" si="292"/>
        <v>44</v>
      </c>
      <c r="Y1320" s="1035">
        <v>4</v>
      </c>
      <c r="Z1320" s="1035">
        <f t="shared" si="300"/>
        <v>4</v>
      </c>
      <c r="AA1320" s="1035"/>
      <c r="AB1320" s="1035"/>
      <c r="AC1320" s="1424">
        <v>410621</v>
      </c>
      <c r="AD1320" s="1021" t="s">
        <v>676</v>
      </c>
      <c r="AE1320" s="1022">
        <f>VLOOKUP(AC1320,[5]Hoja1!$A$10:$K$1393,11,0)</f>
        <v>0</v>
      </c>
      <c r="AF1320" s="1022"/>
      <c r="AG1320" s="1022">
        <f t="shared" si="301"/>
        <v>0</v>
      </c>
      <c r="AH1320" s="1022">
        <f t="shared" si="302"/>
        <v>0</v>
      </c>
      <c r="AI1320" s="467">
        <v>779852000</v>
      </c>
      <c r="AK1320" s="448"/>
      <c r="AL1320" s="445"/>
    </row>
    <row r="1321" spans="1:38" s="467" customFormat="1" ht="12.75" customHeight="1">
      <c r="A1321" s="1033">
        <v>5316200</v>
      </c>
      <c r="B1321" s="1033" t="s">
        <v>2843</v>
      </c>
      <c r="C1321" s="1034" t="str">
        <f t="shared" si="293"/>
        <v/>
      </c>
      <c r="D1321" s="1035"/>
      <c r="E1321" s="1035"/>
      <c r="F1321" s="1034" t="str">
        <f t="shared" si="294"/>
        <v/>
      </c>
      <c r="G1321" s="1033"/>
      <c r="H1321" s="1033"/>
      <c r="I1321" s="1034" t="str">
        <f t="shared" si="295"/>
        <v/>
      </c>
      <c r="J1321" s="1033"/>
      <c r="K1321" s="1033"/>
      <c r="L1321" s="1034" t="str">
        <f t="shared" si="296"/>
        <v/>
      </c>
      <c r="M1321" s="1035"/>
      <c r="N1321" s="1035"/>
      <c r="O1321" s="1036" t="str">
        <f t="shared" si="297"/>
        <v/>
      </c>
      <c r="P1321" s="1033"/>
      <c r="Q1321" s="1033"/>
      <c r="R1321" s="1034" t="str">
        <f t="shared" si="298"/>
        <v/>
      </c>
      <c r="S1321" s="1035"/>
      <c r="T1321" s="1035"/>
      <c r="U1321" s="1034" t="str">
        <f t="shared" si="299"/>
        <v/>
      </c>
      <c r="V1321" s="1035"/>
      <c r="W1321" s="1035"/>
      <c r="X1321" s="1037" t="str">
        <f t="shared" si="292"/>
        <v>44</v>
      </c>
      <c r="Y1321" s="1035">
        <v>4</v>
      </c>
      <c r="Z1321" s="1035">
        <f t="shared" si="300"/>
        <v>4</v>
      </c>
      <c r="AA1321" s="1035"/>
      <c r="AB1321" s="1035"/>
      <c r="AC1321" s="1424">
        <v>410622</v>
      </c>
      <c r="AD1321" s="1021" t="s">
        <v>677</v>
      </c>
      <c r="AE1321" s="1022">
        <f>VLOOKUP(AC1321,[5]Hoja1!$A$10:$K$1393,11,0)</f>
        <v>41880166</v>
      </c>
      <c r="AF1321" s="1022"/>
      <c r="AG1321" s="1022">
        <f t="shared" si="301"/>
        <v>41880166</v>
      </c>
      <c r="AH1321" s="1022">
        <f t="shared" si="302"/>
        <v>41880</v>
      </c>
      <c r="AK1321" s="448"/>
      <c r="AL1321" s="445"/>
    </row>
    <row r="1322" spans="1:38" s="467" customFormat="1" ht="12.75" customHeight="1">
      <c r="A1322" s="1033">
        <v>5316200</v>
      </c>
      <c r="B1322" s="1033" t="s">
        <v>2843</v>
      </c>
      <c r="C1322" s="1034" t="str">
        <f t="shared" si="293"/>
        <v/>
      </c>
      <c r="D1322" s="1035"/>
      <c r="E1322" s="1035"/>
      <c r="F1322" s="1034" t="str">
        <f t="shared" si="294"/>
        <v/>
      </c>
      <c r="G1322" s="1033"/>
      <c r="H1322" s="1033"/>
      <c r="I1322" s="1034" t="str">
        <f t="shared" si="295"/>
        <v/>
      </c>
      <c r="J1322" s="1033"/>
      <c r="K1322" s="1033"/>
      <c r="L1322" s="1034" t="str">
        <f t="shared" si="296"/>
        <v/>
      </c>
      <c r="M1322" s="1035"/>
      <c r="N1322" s="1035"/>
      <c r="O1322" s="1036" t="str">
        <f t="shared" si="297"/>
        <v/>
      </c>
      <c r="P1322" s="1033"/>
      <c r="Q1322" s="1033"/>
      <c r="R1322" s="1034" t="str">
        <f t="shared" si="298"/>
        <v/>
      </c>
      <c r="S1322" s="1035"/>
      <c r="T1322" s="1035"/>
      <c r="U1322" s="1034" t="str">
        <f t="shared" si="299"/>
        <v/>
      </c>
      <c r="V1322" s="1035"/>
      <c r="W1322" s="1035"/>
      <c r="X1322" s="1037" t="str">
        <f t="shared" si="292"/>
        <v>44</v>
      </c>
      <c r="Y1322" s="1035">
        <v>4</v>
      </c>
      <c r="Z1322" s="1035">
        <f t="shared" si="300"/>
        <v>4</v>
      </c>
      <c r="AA1322" s="1035"/>
      <c r="AB1322" s="1035"/>
      <c r="AC1322" s="1424">
        <v>410623</v>
      </c>
      <c r="AD1322" s="1021" t="s">
        <v>678</v>
      </c>
      <c r="AE1322" s="1022">
        <f>VLOOKUP(AC1322,[5]Hoja1!$A$10:$K$1393,11,0)</f>
        <v>0</v>
      </c>
      <c r="AF1322" s="1022"/>
      <c r="AG1322" s="1022">
        <f t="shared" si="301"/>
        <v>0</v>
      </c>
      <c r="AH1322" s="1022">
        <f t="shared" si="302"/>
        <v>0</v>
      </c>
      <c r="AK1322" s="448"/>
      <c r="AL1322" s="445"/>
    </row>
    <row r="1323" spans="1:38" s="467" customFormat="1" ht="12.75" customHeight="1">
      <c r="A1323" s="1033">
        <v>5316200</v>
      </c>
      <c r="B1323" s="1033" t="s">
        <v>2843</v>
      </c>
      <c r="C1323" s="1034" t="str">
        <f t="shared" si="293"/>
        <v/>
      </c>
      <c r="D1323" s="1035"/>
      <c r="E1323" s="1035"/>
      <c r="F1323" s="1034" t="str">
        <f t="shared" si="294"/>
        <v/>
      </c>
      <c r="G1323" s="1033"/>
      <c r="H1323" s="1033"/>
      <c r="I1323" s="1034" t="str">
        <f t="shared" si="295"/>
        <v/>
      </c>
      <c r="J1323" s="1033"/>
      <c r="K1323" s="1033"/>
      <c r="L1323" s="1034" t="str">
        <f t="shared" si="296"/>
        <v/>
      </c>
      <c r="M1323" s="1035"/>
      <c r="N1323" s="1035"/>
      <c r="O1323" s="1036" t="str">
        <f t="shared" si="297"/>
        <v/>
      </c>
      <c r="P1323" s="1033"/>
      <c r="Q1323" s="1033"/>
      <c r="R1323" s="1034" t="str">
        <f t="shared" si="298"/>
        <v/>
      </c>
      <c r="S1323" s="1035"/>
      <c r="T1323" s="1035"/>
      <c r="U1323" s="1034" t="str">
        <f t="shared" si="299"/>
        <v/>
      </c>
      <c r="V1323" s="1035"/>
      <c r="W1323" s="1035"/>
      <c r="X1323" s="1037" t="str">
        <f t="shared" si="292"/>
        <v>44</v>
      </c>
      <c r="Y1323" s="1035">
        <v>4</v>
      </c>
      <c r="Z1323" s="1035">
        <f t="shared" si="300"/>
        <v>4</v>
      </c>
      <c r="AA1323" s="1035"/>
      <c r="AB1323" s="1035"/>
      <c r="AC1323" s="1424">
        <v>410624</v>
      </c>
      <c r="AD1323" s="1021" t="s">
        <v>1412</v>
      </c>
      <c r="AE1323" s="1022">
        <f>VLOOKUP(AC1323,[5]Hoja1!$A$10:$K$1393,11,0)</f>
        <v>0</v>
      </c>
      <c r="AF1323" s="1022"/>
      <c r="AG1323" s="1022">
        <f t="shared" si="301"/>
        <v>0</v>
      </c>
      <c r="AH1323" s="1022">
        <f t="shared" si="302"/>
        <v>0</v>
      </c>
      <c r="AK1323" s="448"/>
      <c r="AL1323" s="445"/>
    </row>
    <row r="1324" spans="1:38" s="467" customFormat="1" ht="12.75" customHeight="1">
      <c r="A1324" s="1033"/>
      <c r="B1324" s="1033"/>
      <c r="C1324" s="1034" t="str">
        <f t="shared" si="293"/>
        <v/>
      </c>
      <c r="D1324" s="1035"/>
      <c r="E1324" s="1035"/>
      <c r="F1324" s="1034" t="str">
        <f t="shared" si="294"/>
        <v/>
      </c>
      <c r="G1324" s="1033"/>
      <c r="H1324" s="1033"/>
      <c r="I1324" s="1034" t="str">
        <f t="shared" si="295"/>
        <v/>
      </c>
      <c r="J1324" s="1033"/>
      <c r="K1324" s="1033"/>
      <c r="L1324" s="1034" t="str">
        <f t="shared" si="296"/>
        <v/>
      </c>
      <c r="M1324" s="1035"/>
      <c r="N1324" s="1035"/>
      <c r="O1324" s="1036" t="str">
        <f t="shared" si="297"/>
        <v/>
      </c>
      <c r="P1324" s="1033"/>
      <c r="Q1324" s="1033"/>
      <c r="R1324" s="1034" t="str">
        <f t="shared" si="298"/>
        <v/>
      </c>
      <c r="S1324" s="1035"/>
      <c r="T1324" s="1035"/>
      <c r="U1324" s="1034" t="str">
        <f t="shared" si="299"/>
        <v/>
      </c>
      <c r="V1324" s="1035"/>
      <c r="W1324" s="1035"/>
      <c r="X1324" s="1037" t="str">
        <f t="shared" si="292"/>
        <v>44</v>
      </c>
      <c r="Y1324" s="1035">
        <v>4</v>
      </c>
      <c r="Z1324" s="1035">
        <f t="shared" si="300"/>
        <v>4</v>
      </c>
      <c r="AA1324" s="1035"/>
      <c r="AB1324" s="1035"/>
      <c r="AC1324" s="1424">
        <v>410625</v>
      </c>
      <c r="AD1324" s="1021" t="s">
        <v>851</v>
      </c>
      <c r="AE1324" s="1022">
        <v>0</v>
      </c>
      <c r="AF1324" s="1022"/>
      <c r="AG1324" s="1022">
        <f t="shared" si="301"/>
        <v>0</v>
      </c>
      <c r="AH1324" s="1022">
        <f t="shared" si="302"/>
        <v>0</v>
      </c>
      <c r="AK1324" s="448"/>
      <c r="AL1324" s="445"/>
    </row>
    <row r="1325" spans="1:38" s="467" customFormat="1" ht="12.75" customHeight="1">
      <c r="A1325" s="1033">
        <v>5316200</v>
      </c>
      <c r="B1325" s="1033" t="s">
        <v>2843</v>
      </c>
      <c r="C1325" s="1034" t="str">
        <f t="shared" si="293"/>
        <v/>
      </c>
      <c r="D1325" s="1035"/>
      <c r="E1325" s="1035"/>
      <c r="F1325" s="1034" t="str">
        <f t="shared" si="294"/>
        <v/>
      </c>
      <c r="G1325" s="1033"/>
      <c r="H1325" s="1033"/>
      <c r="I1325" s="1034" t="str">
        <f t="shared" si="295"/>
        <v/>
      </c>
      <c r="J1325" s="1033"/>
      <c r="K1325" s="1033"/>
      <c r="L1325" s="1034" t="str">
        <f t="shared" si="296"/>
        <v/>
      </c>
      <c r="M1325" s="1035"/>
      <c r="N1325" s="1035"/>
      <c r="O1325" s="1036" t="str">
        <f t="shared" si="297"/>
        <v/>
      </c>
      <c r="P1325" s="1033"/>
      <c r="Q1325" s="1033"/>
      <c r="R1325" s="1034" t="str">
        <f t="shared" si="298"/>
        <v/>
      </c>
      <c r="S1325" s="1035"/>
      <c r="T1325" s="1035"/>
      <c r="U1325" s="1034" t="str">
        <f t="shared" si="299"/>
        <v/>
      </c>
      <c r="V1325" s="1035"/>
      <c r="W1325" s="1035"/>
      <c r="X1325" s="1037" t="str">
        <f t="shared" si="292"/>
        <v>44</v>
      </c>
      <c r="Y1325" s="1035">
        <v>4</v>
      </c>
      <c r="Z1325" s="1035">
        <f t="shared" si="300"/>
        <v>4</v>
      </c>
      <c r="AA1325" s="1035"/>
      <c r="AB1325" s="1035"/>
      <c r="AC1325" s="1424">
        <v>410626</v>
      </c>
      <c r="AD1325" s="1021" t="s">
        <v>852</v>
      </c>
      <c r="AE1325" s="1022">
        <f>VLOOKUP(AC1325,[5]Hoja1!$A$10:$K$1393,11,0)</f>
        <v>0</v>
      </c>
      <c r="AF1325" s="1022"/>
      <c r="AG1325" s="1022">
        <f t="shared" si="301"/>
        <v>0</v>
      </c>
      <c r="AH1325" s="1022">
        <f t="shared" si="302"/>
        <v>0</v>
      </c>
      <c r="AK1325" s="448"/>
      <c r="AL1325" s="445"/>
    </row>
    <row r="1326" spans="1:38" s="467" customFormat="1" ht="12.75" customHeight="1">
      <c r="A1326" s="1033"/>
      <c r="B1326" s="1033"/>
      <c r="C1326" s="1034" t="str">
        <f t="shared" si="293"/>
        <v/>
      </c>
      <c r="D1326" s="1035"/>
      <c r="E1326" s="1035"/>
      <c r="F1326" s="1034" t="str">
        <f t="shared" si="294"/>
        <v/>
      </c>
      <c r="G1326" s="1033"/>
      <c r="H1326" s="1033"/>
      <c r="I1326" s="1034" t="str">
        <f t="shared" si="295"/>
        <v/>
      </c>
      <c r="J1326" s="1033"/>
      <c r="K1326" s="1033"/>
      <c r="L1326" s="1034" t="str">
        <f t="shared" si="296"/>
        <v/>
      </c>
      <c r="M1326" s="1035"/>
      <c r="N1326" s="1035"/>
      <c r="O1326" s="1036" t="str">
        <f t="shared" si="297"/>
        <v/>
      </c>
      <c r="P1326" s="1033"/>
      <c r="Q1326" s="1033"/>
      <c r="R1326" s="1034" t="str">
        <f t="shared" si="298"/>
        <v/>
      </c>
      <c r="S1326" s="1035"/>
      <c r="T1326" s="1035"/>
      <c r="U1326" s="1034" t="str">
        <f t="shared" si="299"/>
        <v/>
      </c>
      <c r="V1326" s="1035"/>
      <c r="W1326" s="1035"/>
      <c r="X1326" s="1037" t="str">
        <f t="shared" si="292"/>
        <v>44</v>
      </c>
      <c r="Y1326" s="1035">
        <v>4</v>
      </c>
      <c r="Z1326" s="1035">
        <f t="shared" si="300"/>
        <v>4</v>
      </c>
      <c r="AA1326" s="1035"/>
      <c r="AB1326" s="1035"/>
      <c r="AC1326" s="1021">
        <v>410627</v>
      </c>
      <c r="AD1326" s="1021" t="s">
        <v>1413</v>
      </c>
      <c r="AE1326" s="1022">
        <v>0</v>
      </c>
      <c r="AF1326" s="1022"/>
      <c r="AG1326" s="1022">
        <f t="shared" si="301"/>
        <v>0</v>
      </c>
      <c r="AH1326" s="1022">
        <f t="shared" si="302"/>
        <v>0</v>
      </c>
      <c r="AK1326" s="448"/>
      <c r="AL1326" s="445"/>
    </row>
    <row r="1327" spans="1:38" s="467" customFormat="1" ht="12.75" customHeight="1">
      <c r="A1327" s="1033">
        <v>5316200</v>
      </c>
      <c r="B1327" s="1033" t="s">
        <v>2843</v>
      </c>
      <c r="C1327" s="1034" t="str">
        <f t="shared" si="293"/>
        <v/>
      </c>
      <c r="D1327" s="1035"/>
      <c r="E1327" s="1035"/>
      <c r="F1327" s="1034" t="str">
        <f t="shared" si="294"/>
        <v/>
      </c>
      <c r="G1327" s="1033"/>
      <c r="H1327" s="1033"/>
      <c r="I1327" s="1034" t="str">
        <f t="shared" si="295"/>
        <v/>
      </c>
      <c r="J1327" s="1033"/>
      <c r="K1327" s="1033"/>
      <c r="L1327" s="1034" t="str">
        <f t="shared" si="296"/>
        <v/>
      </c>
      <c r="M1327" s="1035"/>
      <c r="N1327" s="1035"/>
      <c r="O1327" s="1036" t="str">
        <f t="shared" si="297"/>
        <v/>
      </c>
      <c r="P1327" s="1033"/>
      <c r="Q1327" s="1033"/>
      <c r="R1327" s="1034" t="str">
        <f t="shared" si="298"/>
        <v/>
      </c>
      <c r="S1327" s="1035"/>
      <c r="T1327" s="1035"/>
      <c r="U1327" s="1034" t="str">
        <f t="shared" si="299"/>
        <v/>
      </c>
      <c r="V1327" s="1035"/>
      <c r="W1327" s="1035"/>
      <c r="X1327" s="1037" t="str">
        <f t="shared" si="292"/>
        <v>44</v>
      </c>
      <c r="Y1327" s="1035">
        <v>4</v>
      </c>
      <c r="Z1327" s="1035">
        <f t="shared" si="300"/>
        <v>4</v>
      </c>
      <c r="AA1327" s="1035"/>
      <c r="AB1327" s="1035"/>
      <c r="AC1327" s="1424">
        <v>410628</v>
      </c>
      <c r="AD1327" s="1021" t="s">
        <v>1216</v>
      </c>
      <c r="AE1327" s="1022">
        <f>VLOOKUP(AC1327,[5]Hoja1!$A$10:$K$1393,11,0)</f>
        <v>0</v>
      </c>
      <c r="AF1327" s="1022"/>
      <c r="AG1327" s="1022">
        <f t="shared" si="301"/>
        <v>0</v>
      </c>
      <c r="AH1327" s="1022">
        <f t="shared" si="302"/>
        <v>0</v>
      </c>
      <c r="AK1327" s="448"/>
      <c r="AL1327" s="445"/>
    </row>
    <row r="1328" spans="1:38" s="467" customFormat="1" ht="12.75" customHeight="1">
      <c r="A1328" s="1033">
        <v>5316200</v>
      </c>
      <c r="B1328" s="1033" t="s">
        <v>2843</v>
      </c>
      <c r="C1328" s="1034" t="str">
        <f t="shared" si="293"/>
        <v/>
      </c>
      <c r="D1328" s="1035"/>
      <c r="E1328" s="1035"/>
      <c r="F1328" s="1034" t="str">
        <f t="shared" si="294"/>
        <v/>
      </c>
      <c r="G1328" s="1033"/>
      <c r="H1328" s="1033"/>
      <c r="I1328" s="1034" t="str">
        <f t="shared" si="295"/>
        <v/>
      </c>
      <c r="J1328" s="1033"/>
      <c r="K1328" s="1033"/>
      <c r="L1328" s="1034" t="str">
        <f t="shared" si="296"/>
        <v/>
      </c>
      <c r="M1328" s="1035"/>
      <c r="N1328" s="1035"/>
      <c r="O1328" s="1036" t="str">
        <f t="shared" si="297"/>
        <v/>
      </c>
      <c r="P1328" s="1033"/>
      <c r="Q1328" s="1033"/>
      <c r="R1328" s="1034" t="str">
        <f t="shared" si="298"/>
        <v/>
      </c>
      <c r="S1328" s="1035"/>
      <c r="T1328" s="1035"/>
      <c r="U1328" s="1034" t="str">
        <f t="shared" si="299"/>
        <v/>
      </c>
      <c r="V1328" s="1035"/>
      <c r="W1328" s="1035"/>
      <c r="X1328" s="1037" t="str">
        <f t="shared" si="292"/>
        <v>44</v>
      </c>
      <c r="Y1328" s="1035">
        <v>4</v>
      </c>
      <c r="Z1328" s="1035">
        <f t="shared" si="300"/>
        <v>4</v>
      </c>
      <c r="AA1328" s="1035"/>
      <c r="AB1328" s="1035"/>
      <c r="AC1328" s="1424">
        <v>410629</v>
      </c>
      <c r="AD1328" s="1021" t="s">
        <v>1414</v>
      </c>
      <c r="AE1328" s="1022">
        <f>VLOOKUP(AC1328,[5]Hoja1!$A$10:$K$1393,11,0)</f>
        <v>-45193321</v>
      </c>
      <c r="AF1328" s="1022"/>
      <c r="AG1328" s="1022">
        <f t="shared" si="301"/>
        <v>-45193321</v>
      </c>
      <c r="AH1328" s="1022">
        <f t="shared" si="302"/>
        <v>-45193</v>
      </c>
      <c r="AJ1328" s="467" t="s">
        <v>858</v>
      </c>
      <c r="AK1328" s="448"/>
      <c r="AL1328" s="445"/>
    </row>
    <row r="1329" spans="1:38" s="467" customFormat="1" ht="12.75" customHeight="1">
      <c r="A1329" s="1033">
        <v>5316200</v>
      </c>
      <c r="B1329" s="1033" t="s">
        <v>2843</v>
      </c>
      <c r="C1329" s="1034" t="str">
        <f t="shared" si="293"/>
        <v/>
      </c>
      <c r="D1329" s="1035"/>
      <c r="E1329" s="1035"/>
      <c r="F1329" s="1034" t="str">
        <f t="shared" si="294"/>
        <v/>
      </c>
      <c r="G1329" s="1033"/>
      <c r="H1329" s="1033"/>
      <c r="I1329" s="1034" t="str">
        <f t="shared" si="295"/>
        <v/>
      </c>
      <c r="J1329" s="1033"/>
      <c r="K1329" s="1033"/>
      <c r="L1329" s="1034" t="str">
        <f t="shared" si="296"/>
        <v/>
      </c>
      <c r="M1329" s="1035"/>
      <c r="N1329" s="1035"/>
      <c r="O1329" s="1036" t="str">
        <f t="shared" si="297"/>
        <v/>
      </c>
      <c r="P1329" s="1033"/>
      <c r="Q1329" s="1033"/>
      <c r="R1329" s="1034" t="str">
        <f t="shared" si="298"/>
        <v/>
      </c>
      <c r="S1329" s="1035"/>
      <c r="T1329" s="1035"/>
      <c r="U1329" s="1034" t="str">
        <f t="shared" si="299"/>
        <v/>
      </c>
      <c r="V1329" s="1035"/>
      <c r="W1329" s="1035"/>
      <c r="X1329" s="1037" t="str">
        <f t="shared" si="292"/>
        <v>44</v>
      </c>
      <c r="Y1329" s="1035">
        <v>4</v>
      </c>
      <c r="Z1329" s="1035">
        <f t="shared" si="300"/>
        <v>4</v>
      </c>
      <c r="AA1329" s="1035"/>
      <c r="AB1329" s="1035"/>
      <c r="AC1329" s="1424">
        <v>410630</v>
      </c>
      <c r="AD1329" s="1021" t="s">
        <v>439</v>
      </c>
      <c r="AE1329" s="1022">
        <f>VLOOKUP(AC1329,[5]Hoja1!$A$10:$K$1393,11,0)</f>
        <v>0</v>
      </c>
      <c r="AF1329" s="1022"/>
      <c r="AG1329" s="1022">
        <f t="shared" si="301"/>
        <v>0</v>
      </c>
      <c r="AH1329" s="1022">
        <f t="shared" si="302"/>
        <v>0</v>
      </c>
      <c r="AK1329" s="448"/>
      <c r="AL1329" s="445"/>
    </row>
    <row r="1330" spans="1:38" s="467" customFormat="1" ht="12.75" customHeight="1">
      <c r="A1330" s="1033">
        <v>5316200</v>
      </c>
      <c r="B1330" s="1033" t="s">
        <v>2843</v>
      </c>
      <c r="C1330" s="1034" t="str">
        <f t="shared" si="293"/>
        <v/>
      </c>
      <c r="D1330" s="1035"/>
      <c r="E1330" s="1035"/>
      <c r="F1330" s="1034" t="str">
        <f t="shared" si="294"/>
        <v/>
      </c>
      <c r="G1330" s="1033"/>
      <c r="H1330" s="1033"/>
      <c r="I1330" s="1034" t="str">
        <f t="shared" si="295"/>
        <v/>
      </c>
      <c r="J1330" s="1033"/>
      <c r="K1330" s="1033"/>
      <c r="L1330" s="1034" t="str">
        <f t="shared" si="296"/>
        <v/>
      </c>
      <c r="M1330" s="1035"/>
      <c r="N1330" s="1035"/>
      <c r="O1330" s="1036" t="str">
        <f t="shared" si="297"/>
        <v/>
      </c>
      <c r="P1330" s="1033"/>
      <c r="Q1330" s="1033"/>
      <c r="R1330" s="1034" t="str">
        <f t="shared" si="298"/>
        <v/>
      </c>
      <c r="S1330" s="1035"/>
      <c r="T1330" s="1035"/>
      <c r="U1330" s="1034" t="str">
        <f t="shared" si="299"/>
        <v/>
      </c>
      <c r="V1330" s="1035"/>
      <c r="W1330" s="1035"/>
      <c r="X1330" s="1037" t="str">
        <f t="shared" si="292"/>
        <v>44</v>
      </c>
      <c r="Y1330" s="1035">
        <v>4</v>
      </c>
      <c r="Z1330" s="1035">
        <f t="shared" si="300"/>
        <v>4</v>
      </c>
      <c r="AA1330" s="1035"/>
      <c r="AB1330" s="1035"/>
      <c r="AC1330" s="1424">
        <v>410631</v>
      </c>
      <c r="AD1330" s="1021" t="s">
        <v>440</v>
      </c>
      <c r="AE1330" s="1022">
        <f>VLOOKUP(AC1330,[5]Hoja1!$A$10:$K$1393,11,0)</f>
        <v>0</v>
      </c>
      <c r="AF1330" s="1022"/>
      <c r="AG1330" s="1022">
        <f t="shared" si="301"/>
        <v>0</v>
      </c>
      <c r="AH1330" s="1022">
        <f t="shared" si="302"/>
        <v>0</v>
      </c>
      <c r="AJ1330" s="467">
        <v>9746000</v>
      </c>
      <c r="AK1330" s="448"/>
      <c r="AL1330" s="445"/>
    </row>
    <row r="1331" spans="1:38" s="467" customFormat="1" ht="12.75" customHeight="1">
      <c r="A1331" s="1033">
        <v>5316200</v>
      </c>
      <c r="B1331" s="1033" t="s">
        <v>2843</v>
      </c>
      <c r="C1331" s="1034" t="str">
        <f t="shared" si="293"/>
        <v/>
      </c>
      <c r="D1331" s="1035"/>
      <c r="E1331" s="1035"/>
      <c r="F1331" s="1034" t="str">
        <f t="shared" si="294"/>
        <v/>
      </c>
      <c r="G1331" s="1033"/>
      <c r="H1331" s="1033"/>
      <c r="I1331" s="1034" t="str">
        <f t="shared" si="295"/>
        <v/>
      </c>
      <c r="J1331" s="1033"/>
      <c r="K1331" s="1033"/>
      <c r="L1331" s="1034" t="str">
        <f t="shared" si="296"/>
        <v/>
      </c>
      <c r="M1331" s="1035"/>
      <c r="N1331" s="1035"/>
      <c r="O1331" s="1036" t="str">
        <f t="shared" si="297"/>
        <v/>
      </c>
      <c r="P1331" s="1033"/>
      <c r="Q1331" s="1033"/>
      <c r="R1331" s="1034" t="str">
        <f t="shared" si="298"/>
        <v/>
      </c>
      <c r="S1331" s="1035"/>
      <c r="T1331" s="1035"/>
      <c r="U1331" s="1034" t="str">
        <f t="shared" si="299"/>
        <v/>
      </c>
      <c r="V1331" s="1035"/>
      <c r="W1331" s="1035"/>
      <c r="X1331" s="1037" t="str">
        <f t="shared" si="292"/>
        <v>44</v>
      </c>
      <c r="Y1331" s="1035">
        <v>4</v>
      </c>
      <c r="Z1331" s="1035">
        <f t="shared" si="300"/>
        <v>4</v>
      </c>
      <c r="AA1331" s="1035"/>
      <c r="AB1331" s="1035"/>
      <c r="AC1331" s="1425">
        <v>410632</v>
      </c>
      <c r="AD1331" s="1021" t="s">
        <v>2405</v>
      </c>
      <c r="AE1331" s="1022">
        <f>VLOOKUP(AC1331,[5]Hoja1!$A$10:$K$1393,11,0)</f>
        <v>-512649139</v>
      </c>
      <c r="AF1331" s="1022"/>
      <c r="AG1331" s="1022">
        <f t="shared" si="301"/>
        <v>-512649139</v>
      </c>
      <c r="AH1331" s="1022">
        <f t="shared" si="302"/>
        <v>-512649</v>
      </c>
      <c r="AJ1331" s="467">
        <v>270000</v>
      </c>
      <c r="AK1331" s="448"/>
      <c r="AL1331" s="445"/>
    </row>
    <row r="1332" spans="1:38" s="467" customFormat="1" ht="12.75" customHeight="1">
      <c r="A1332" s="1033">
        <v>5316200</v>
      </c>
      <c r="B1332" s="1033" t="s">
        <v>2843</v>
      </c>
      <c r="C1332" s="1034" t="str">
        <f t="shared" si="293"/>
        <v/>
      </c>
      <c r="D1332" s="1035"/>
      <c r="E1332" s="1035"/>
      <c r="F1332" s="1034" t="str">
        <f t="shared" si="294"/>
        <v/>
      </c>
      <c r="G1332" s="1033"/>
      <c r="H1332" s="1033"/>
      <c r="I1332" s="1034" t="str">
        <f t="shared" si="295"/>
        <v/>
      </c>
      <c r="J1332" s="1033"/>
      <c r="K1332" s="1033"/>
      <c r="L1332" s="1034" t="str">
        <f t="shared" si="296"/>
        <v/>
      </c>
      <c r="M1332" s="1035"/>
      <c r="N1332" s="1035"/>
      <c r="O1332" s="1036" t="str">
        <f t="shared" si="297"/>
        <v/>
      </c>
      <c r="P1332" s="1033"/>
      <c r="Q1332" s="1033"/>
      <c r="R1332" s="1034" t="str">
        <f t="shared" si="298"/>
        <v/>
      </c>
      <c r="S1332" s="1035"/>
      <c r="T1332" s="1035"/>
      <c r="U1332" s="1034" t="str">
        <f t="shared" si="299"/>
        <v/>
      </c>
      <c r="V1332" s="1035"/>
      <c r="W1332" s="1035"/>
      <c r="X1332" s="1037" t="str">
        <f t="shared" ref="X1332:X1363" si="303">+Y1332&amp;Z1332</f>
        <v>44</v>
      </c>
      <c r="Y1332" s="1035">
        <v>4</v>
      </c>
      <c r="Z1332" s="1035">
        <f t="shared" si="300"/>
        <v>4</v>
      </c>
      <c r="AA1332" s="1035"/>
      <c r="AB1332" s="1035"/>
      <c r="AC1332" s="1425">
        <v>410633</v>
      </c>
      <c r="AD1332" s="1021" t="s">
        <v>2406</v>
      </c>
      <c r="AE1332" s="1022">
        <f>VLOOKUP(AC1332,[5]Hoja1!$A$10:$K$1393,11,0)</f>
        <v>0</v>
      </c>
      <c r="AF1332" s="1022"/>
      <c r="AG1332" s="1022">
        <f t="shared" si="301"/>
        <v>0</v>
      </c>
      <c r="AH1332" s="1022">
        <f t="shared" si="302"/>
        <v>0</v>
      </c>
      <c r="AJ1332" s="467">
        <v>11011000</v>
      </c>
      <c r="AK1332" s="448"/>
      <c r="AL1332" s="445"/>
    </row>
    <row r="1333" spans="1:38" s="467" customFormat="1" ht="12.75" customHeight="1">
      <c r="A1333" s="1033">
        <v>5316200</v>
      </c>
      <c r="B1333" s="1033" t="s">
        <v>2843</v>
      </c>
      <c r="C1333" s="1034" t="str">
        <f>+D1333&amp;E1333</f>
        <v/>
      </c>
      <c r="D1333" s="1035"/>
      <c r="E1333" s="1035"/>
      <c r="F1333" s="1034" t="str">
        <f>+G1333&amp;H1333</f>
        <v/>
      </c>
      <c r="G1333" s="1033"/>
      <c r="H1333" s="1033"/>
      <c r="I1333" s="1034" t="str">
        <f>+J1333&amp;K1333</f>
        <v/>
      </c>
      <c r="J1333" s="1033"/>
      <c r="K1333" s="1033"/>
      <c r="L1333" s="1034" t="str">
        <f>+M1333&amp;N1333</f>
        <v/>
      </c>
      <c r="M1333" s="1035"/>
      <c r="N1333" s="1035"/>
      <c r="O1333" s="1036" t="str">
        <f>+P1333&amp;Q1333</f>
        <v/>
      </c>
      <c r="P1333" s="1033"/>
      <c r="Q1333" s="1033"/>
      <c r="R1333" s="1034" t="str">
        <f>+S1333&amp;T1333</f>
        <v/>
      </c>
      <c r="S1333" s="1035"/>
      <c r="T1333" s="1035"/>
      <c r="U1333" s="1034" t="str">
        <f>+V1333&amp;W1333</f>
        <v/>
      </c>
      <c r="V1333" s="1035"/>
      <c r="W1333" s="1035"/>
      <c r="X1333" s="1037" t="str">
        <f t="shared" si="303"/>
        <v>44</v>
      </c>
      <c r="Y1333" s="1035">
        <v>4</v>
      </c>
      <c r="Z1333" s="1035">
        <f t="shared" si="300"/>
        <v>4</v>
      </c>
      <c r="AA1333" s="1035"/>
      <c r="AB1333" s="1035"/>
      <c r="AC1333" s="1425">
        <v>410634</v>
      </c>
      <c r="AD1333" s="1021" t="s">
        <v>2407</v>
      </c>
      <c r="AE1333" s="1022">
        <v>0</v>
      </c>
      <c r="AF1333" s="1022"/>
      <c r="AG1333" s="1022">
        <f t="shared" si="301"/>
        <v>0</v>
      </c>
      <c r="AH1333" s="1022">
        <f t="shared" si="302"/>
        <v>0</v>
      </c>
      <c r="AK1333" s="448"/>
      <c r="AL1333" s="445"/>
    </row>
    <row r="1334" spans="1:38" s="467" customFormat="1" ht="12.75" customHeight="1">
      <c r="A1334" s="1033">
        <v>5316200</v>
      </c>
      <c r="B1334" s="1033" t="s">
        <v>2843</v>
      </c>
      <c r="C1334" s="1034" t="str">
        <f t="shared" si="293"/>
        <v/>
      </c>
      <c r="D1334" s="1035"/>
      <c r="E1334" s="1035"/>
      <c r="F1334" s="1034" t="str">
        <f t="shared" si="294"/>
        <v/>
      </c>
      <c r="G1334" s="1033"/>
      <c r="H1334" s="1033"/>
      <c r="I1334" s="1034" t="str">
        <f t="shared" si="295"/>
        <v/>
      </c>
      <c r="J1334" s="1033"/>
      <c r="K1334" s="1033"/>
      <c r="L1334" s="1034" t="str">
        <f t="shared" si="296"/>
        <v/>
      </c>
      <c r="M1334" s="1035"/>
      <c r="N1334" s="1035"/>
      <c r="O1334" s="1036" t="str">
        <f t="shared" si="297"/>
        <v/>
      </c>
      <c r="P1334" s="1033"/>
      <c r="Q1334" s="1033"/>
      <c r="R1334" s="1034" t="str">
        <f t="shared" si="298"/>
        <v/>
      </c>
      <c r="S1334" s="1035"/>
      <c r="T1334" s="1035"/>
      <c r="U1334" s="1034" t="str">
        <f t="shared" si="299"/>
        <v/>
      </c>
      <c r="V1334" s="1035"/>
      <c r="W1334" s="1035"/>
      <c r="X1334" s="1037" t="str">
        <f t="shared" si="303"/>
        <v>44</v>
      </c>
      <c r="Y1334" s="1035">
        <v>4</v>
      </c>
      <c r="Z1334" s="1035">
        <f t="shared" si="300"/>
        <v>4</v>
      </c>
      <c r="AA1334" s="1035"/>
      <c r="AB1334" s="1035"/>
      <c r="AC1334" s="1425">
        <v>410635</v>
      </c>
      <c r="AD1334" s="1021" t="s">
        <v>669</v>
      </c>
      <c r="AE1334" s="1022">
        <f>VLOOKUP(AC1334,[5]Hoja1!$A$10:$K$1393,11,0)</f>
        <v>0</v>
      </c>
      <c r="AF1334" s="1022"/>
      <c r="AG1334" s="1022">
        <f t="shared" si="301"/>
        <v>0</v>
      </c>
      <c r="AH1334" s="1022">
        <f t="shared" si="302"/>
        <v>0</v>
      </c>
      <c r="AJ1334" s="467">
        <v>296000</v>
      </c>
      <c r="AK1334" s="448"/>
      <c r="AL1334" s="445"/>
    </row>
    <row r="1335" spans="1:38" s="467" customFormat="1" ht="12.75" customHeight="1">
      <c r="A1335" s="1033">
        <v>5316200</v>
      </c>
      <c r="B1335" s="1033" t="s">
        <v>2843</v>
      </c>
      <c r="C1335" s="1034"/>
      <c r="D1335" s="1035"/>
      <c r="E1335" s="1035"/>
      <c r="F1335" s="1034"/>
      <c r="G1335" s="1033"/>
      <c r="H1335" s="1033"/>
      <c r="I1335" s="1034"/>
      <c r="J1335" s="1033"/>
      <c r="K1335" s="1033"/>
      <c r="L1335" s="1034"/>
      <c r="M1335" s="1035"/>
      <c r="N1335" s="1035"/>
      <c r="O1335" s="1036"/>
      <c r="P1335" s="1033"/>
      <c r="Q1335" s="1033"/>
      <c r="R1335" s="1034"/>
      <c r="S1335" s="1035"/>
      <c r="T1335" s="1035"/>
      <c r="U1335" s="1034"/>
      <c r="V1335" s="1035"/>
      <c r="W1335" s="1035"/>
      <c r="X1335" s="1037" t="str">
        <f t="shared" si="303"/>
        <v>44</v>
      </c>
      <c r="Y1335" s="1035">
        <v>4</v>
      </c>
      <c r="Z1335" s="1035">
        <f t="shared" si="300"/>
        <v>4</v>
      </c>
      <c r="AA1335" s="1035"/>
      <c r="AB1335" s="1035"/>
      <c r="AC1335" s="1425">
        <v>410636</v>
      </c>
      <c r="AD1335" s="1021" t="s">
        <v>39</v>
      </c>
      <c r="AE1335" s="1022">
        <f>VLOOKUP(AC1335,[5]Hoja1!$A$10:$K$1393,11,0)</f>
        <v>0</v>
      </c>
      <c r="AF1335" s="1022"/>
      <c r="AG1335" s="1022">
        <f t="shared" si="301"/>
        <v>0</v>
      </c>
      <c r="AH1335" s="1022">
        <f t="shared" si="302"/>
        <v>0</v>
      </c>
      <c r="AK1335" s="448"/>
      <c r="AL1335" s="445"/>
    </row>
    <row r="1336" spans="1:38" s="467" customFormat="1" ht="12.75" customHeight="1">
      <c r="A1336" s="1033">
        <v>5316200</v>
      </c>
      <c r="B1336" s="1033" t="s">
        <v>2843</v>
      </c>
      <c r="C1336" s="1034"/>
      <c r="D1336" s="1035"/>
      <c r="E1336" s="1035"/>
      <c r="F1336" s="1034"/>
      <c r="G1336" s="1033"/>
      <c r="H1336" s="1033"/>
      <c r="I1336" s="1034"/>
      <c r="J1336" s="1033"/>
      <c r="K1336" s="1033"/>
      <c r="L1336" s="1034"/>
      <c r="M1336" s="1035"/>
      <c r="N1336" s="1035"/>
      <c r="O1336" s="1036"/>
      <c r="P1336" s="1033"/>
      <c r="Q1336" s="1033"/>
      <c r="R1336" s="1034"/>
      <c r="S1336" s="1035"/>
      <c r="T1336" s="1035"/>
      <c r="U1336" s="1034"/>
      <c r="V1336" s="1035"/>
      <c r="W1336" s="1035"/>
      <c r="X1336" s="1037" t="str">
        <f t="shared" si="303"/>
        <v>44</v>
      </c>
      <c r="Y1336" s="1035">
        <v>4</v>
      </c>
      <c r="Z1336" s="1035">
        <f t="shared" si="300"/>
        <v>4</v>
      </c>
      <c r="AA1336" s="1035"/>
      <c r="AB1336" s="1035"/>
      <c r="AC1336" s="1425">
        <v>410637</v>
      </c>
      <c r="AD1336" s="1021" t="s">
        <v>2408</v>
      </c>
      <c r="AE1336" s="1022">
        <f>VLOOKUP(AC1336,[5]Hoja1!$A$10:$K$1393,11,0)</f>
        <v>0</v>
      </c>
      <c r="AF1336" s="1022"/>
      <c r="AG1336" s="1022">
        <f t="shared" si="301"/>
        <v>0</v>
      </c>
      <c r="AH1336" s="1022">
        <f t="shared" si="302"/>
        <v>0</v>
      </c>
      <c r="AK1336" s="448"/>
      <c r="AL1336" s="445"/>
    </row>
    <row r="1337" spans="1:38" s="467" customFormat="1" ht="12.75" customHeight="1">
      <c r="A1337" s="1033">
        <v>5316200</v>
      </c>
      <c r="B1337" s="1033" t="s">
        <v>2843</v>
      </c>
      <c r="C1337" s="1034"/>
      <c r="D1337" s="1035"/>
      <c r="E1337" s="1035"/>
      <c r="F1337" s="1034"/>
      <c r="G1337" s="1033"/>
      <c r="H1337" s="1033"/>
      <c r="I1337" s="1034"/>
      <c r="J1337" s="1033"/>
      <c r="K1337" s="1033"/>
      <c r="L1337" s="1034"/>
      <c r="M1337" s="1035"/>
      <c r="N1337" s="1035"/>
      <c r="O1337" s="1036"/>
      <c r="P1337" s="1033"/>
      <c r="Q1337" s="1033"/>
      <c r="R1337" s="1034"/>
      <c r="S1337" s="1035"/>
      <c r="T1337" s="1035"/>
      <c r="U1337" s="1034"/>
      <c r="V1337" s="1035"/>
      <c r="W1337" s="1035"/>
      <c r="X1337" s="1037" t="str">
        <f t="shared" si="303"/>
        <v>44</v>
      </c>
      <c r="Y1337" s="1035">
        <v>4</v>
      </c>
      <c r="Z1337" s="1035">
        <f t="shared" si="300"/>
        <v>4</v>
      </c>
      <c r="AA1337" s="1035"/>
      <c r="AB1337" s="1035"/>
      <c r="AC1337" s="1425">
        <v>410638</v>
      </c>
      <c r="AD1337" s="1021" t="s">
        <v>2409</v>
      </c>
      <c r="AE1337" s="1022">
        <f>VLOOKUP(AC1337,[5]Hoja1!$A$10:$K$1393,11,0)</f>
        <v>0</v>
      </c>
      <c r="AF1337" s="1022"/>
      <c r="AG1337" s="1022">
        <f t="shared" si="301"/>
        <v>0</v>
      </c>
      <c r="AH1337" s="1022">
        <f t="shared" si="302"/>
        <v>0</v>
      </c>
      <c r="AK1337" s="448"/>
      <c r="AL1337" s="445"/>
    </row>
    <row r="1338" spans="1:38" s="467" customFormat="1" ht="12.75" customHeight="1">
      <c r="A1338" s="1033">
        <v>5316200</v>
      </c>
      <c r="B1338" s="1033" t="s">
        <v>2843</v>
      </c>
      <c r="C1338" s="1034"/>
      <c r="D1338" s="1035"/>
      <c r="E1338" s="1035"/>
      <c r="F1338" s="1034"/>
      <c r="G1338" s="1033"/>
      <c r="H1338" s="1033"/>
      <c r="I1338" s="1034"/>
      <c r="J1338" s="1033"/>
      <c r="K1338" s="1033"/>
      <c r="L1338" s="1034"/>
      <c r="M1338" s="1035"/>
      <c r="N1338" s="1035"/>
      <c r="O1338" s="1036"/>
      <c r="P1338" s="1033"/>
      <c r="Q1338" s="1033"/>
      <c r="R1338" s="1034"/>
      <c r="S1338" s="1035"/>
      <c r="T1338" s="1035"/>
      <c r="U1338" s="1034"/>
      <c r="V1338" s="1035"/>
      <c r="W1338" s="1035"/>
      <c r="X1338" s="1037" t="str">
        <f t="shared" si="303"/>
        <v>44</v>
      </c>
      <c r="Y1338" s="1035">
        <v>4</v>
      </c>
      <c r="Z1338" s="1035">
        <f t="shared" si="300"/>
        <v>4</v>
      </c>
      <c r="AA1338" s="1035"/>
      <c r="AB1338" s="1035"/>
      <c r="AC1338" s="1425">
        <v>410639</v>
      </c>
      <c r="AD1338" s="1021" t="s">
        <v>2410</v>
      </c>
      <c r="AE1338" s="1022">
        <f>VLOOKUP(AC1338,[5]Hoja1!$A$10:$K$1393,11,0)</f>
        <v>0</v>
      </c>
      <c r="AF1338" s="1022"/>
      <c r="AG1338" s="1022">
        <f t="shared" si="301"/>
        <v>0</v>
      </c>
      <c r="AH1338" s="1022">
        <f t="shared" si="302"/>
        <v>0</v>
      </c>
      <c r="AK1338" s="448"/>
      <c r="AL1338" s="445"/>
    </row>
    <row r="1339" spans="1:38" s="467" customFormat="1" ht="12.75" customHeight="1">
      <c r="A1339" s="1033">
        <v>5316200</v>
      </c>
      <c r="B1339" s="1033" t="s">
        <v>2843</v>
      </c>
      <c r="C1339" s="1034"/>
      <c r="D1339" s="1035"/>
      <c r="E1339" s="1035"/>
      <c r="F1339" s="1034"/>
      <c r="G1339" s="1033"/>
      <c r="H1339" s="1033"/>
      <c r="I1339" s="1034"/>
      <c r="J1339" s="1033"/>
      <c r="K1339" s="1033"/>
      <c r="L1339" s="1034"/>
      <c r="M1339" s="1035"/>
      <c r="N1339" s="1035"/>
      <c r="O1339" s="1036"/>
      <c r="P1339" s="1033"/>
      <c r="Q1339" s="1033"/>
      <c r="R1339" s="1034"/>
      <c r="S1339" s="1035"/>
      <c r="T1339" s="1035"/>
      <c r="U1339" s="1034"/>
      <c r="V1339" s="1035"/>
      <c r="W1339" s="1035"/>
      <c r="X1339" s="1037" t="str">
        <f t="shared" si="303"/>
        <v>44</v>
      </c>
      <c r="Y1339" s="1035">
        <v>4</v>
      </c>
      <c r="Z1339" s="1035">
        <f t="shared" si="300"/>
        <v>4</v>
      </c>
      <c r="AA1339" s="1035"/>
      <c r="AB1339" s="1035"/>
      <c r="AC1339" s="1425">
        <v>410640</v>
      </c>
      <c r="AD1339" s="1021" t="s">
        <v>2411</v>
      </c>
      <c r="AE1339" s="1022">
        <f>VLOOKUP(AC1339,[5]Hoja1!$A$10:$K$1393,11,0)</f>
        <v>-203793952</v>
      </c>
      <c r="AF1339" s="1022"/>
      <c r="AG1339" s="1022">
        <f t="shared" si="301"/>
        <v>-203793952</v>
      </c>
      <c r="AH1339" s="1022">
        <f t="shared" si="302"/>
        <v>-203794</v>
      </c>
      <c r="AK1339" s="448"/>
      <c r="AL1339" s="445"/>
    </row>
    <row r="1340" spans="1:38" s="467" customFormat="1" ht="12.75" customHeight="1">
      <c r="A1340" s="1033">
        <v>5316200</v>
      </c>
      <c r="B1340" s="1033" t="s">
        <v>2843</v>
      </c>
      <c r="C1340" s="1034"/>
      <c r="D1340" s="1035"/>
      <c r="E1340" s="1035"/>
      <c r="F1340" s="1034"/>
      <c r="G1340" s="1033"/>
      <c r="H1340" s="1033"/>
      <c r="I1340" s="1034"/>
      <c r="J1340" s="1033"/>
      <c r="K1340" s="1033"/>
      <c r="L1340" s="1034"/>
      <c r="M1340" s="1035"/>
      <c r="N1340" s="1035"/>
      <c r="O1340" s="1036"/>
      <c r="P1340" s="1033"/>
      <c r="Q1340" s="1033"/>
      <c r="R1340" s="1034"/>
      <c r="S1340" s="1035"/>
      <c r="T1340" s="1035"/>
      <c r="U1340" s="1034"/>
      <c r="V1340" s="1035"/>
      <c r="W1340" s="1035"/>
      <c r="X1340" s="1037" t="str">
        <f t="shared" si="303"/>
        <v>44</v>
      </c>
      <c r="Y1340" s="1035">
        <v>4</v>
      </c>
      <c r="Z1340" s="1035">
        <f t="shared" si="300"/>
        <v>4</v>
      </c>
      <c r="AA1340" s="1035"/>
      <c r="AB1340" s="1035"/>
      <c r="AC1340" s="1425">
        <v>410641</v>
      </c>
      <c r="AD1340" s="1021" t="s">
        <v>28</v>
      </c>
      <c r="AE1340" s="1022">
        <f>VLOOKUP(AC1340,[5]Hoja1!$A$10:$K$1393,11,0)</f>
        <v>0</v>
      </c>
      <c r="AF1340" s="1022"/>
      <c r="AG1340" s="1022">
        <f t="shared" si="301"/>
        <v>0</v>
      </c>
      <c r="AH1340" s="1022">
        <f t="shared" si="302"/>
        <v>0</v>
      </c>
      <c r="AK1340" s="448"/>
      <c r="AL1340" s="445"/>
    </row>
    <row r="1341" spans="1:38" s="467" customFormat="1" ht="12.75" customHeight="1">
      <c r="A1341" s="1033">
        <v>5316200</v>
      </c>
      <c r="B1341" s="1033" t="s">
        <v>2843</v>
      </c>
      <c r="C1341" s="1034"/>
      <c r="D1341" s="1035"/>
      <c r="E1341" s="1035"/>
      <c r="F1341" s="1034"/>
      <c r="G1341" s="1033"/>
      <c r="H1341" s="1033"/>
      <c r="I1341" s="1034"/>
      <c r="J1341" s="1033"/>
      <c r="K1341" s="1033"/>
      <c r="L1341" s="1034"/>
      <c r="M1341" s="1035"/>
      <c r="N1341" s="1035"/>
      <c r="O1341" s="1036"/>
      <c r="P1341" s="1033"/>
      <c r="Q1341" s="1033"/>
      <c r="R1341" s="1034"/>
      <c r="S1341" s="1035"/>
      <c r="T1341" s="1035"/>
      <c r="U1341" s="1034"/>
      <c r="V1341" s="1035"/>
      <c r="W1341" s="1035"/>
      <c r="X1341" s="1037" t="str">
        <f t="shared" si="303"/>
        <v>44</v>
      </c>
      <c r="Y1341" s="1035">
        <v>4</v>
      </c>
      <c r="Z1341" s="1035">
        <f t="shared" si="300"/>
        <v>4</v>
      </c>
      <c r="AA1341" s="1035"/>
      <c r="AB1341" s="1035"/>
      <c r="AC1341" s="1425">
        <v>410642</v>
      </c>
      <c r="AD1341" s="1021" t="s">
        <v>684</v>
      </c>
      <c r="AE1341" s="1022">
        <f>VLOOKUP(AC1341,[5]Hoja1!$A$10:$K$1393,11,0)</f>
        <v>1</v>
      </c>
      <c r="AF1341" s="1022"/>
      <c r="AG1341" s="1022">
        <f t="shared" si="301"/>
        <v>1</v>
      </c>
      <c r="AH1341" s="1022">
        <f t="shared" si="302"/>
        <v>0</v>
      </c>
      <c r="AK1341" s="448"/>
      <c r="AL1341" s="445"/>
    </row>
    <row r="1342" spans="1:38" s="467" customFormat="1" ht="12.75" customHeight="1">
      <c r="A1342" s="1033">
        <v>5316200</v>
      </c>
      <c r="B1342" s="1033" t="s">
        <v>2843</v>
      </c>
      <c r="C1342" s="1034"/>
      <c r="D1342" s="1035"/>
      <c r="E1342" s="1035"/>
      <c r="F1342" s="1034"/>
      <c r="G1342" s="1033"/>
      <c r="H1342" s="1033"/>
      <c r="I1342" s="1034"/>
      <c r="J1342" s="1033"/>
      <c r="K1342" s="1033"/>
      <c r="L1342" s="1034"/>
      <c r="M1342" s="1035"/>
      <c r="N1342" s="1035"/>
      <c r="O1342" s="1036"/>
      <c r="P1342" s="1033"/>
      <c r="Q1342" s="1033"/>
      <c r="R1342" s="1034"/>
      <c r="S1342" s="1035"/>
      <c r="T1342" s="1035"/>
      <c r="U1342" s="1034"/>
      <c r="V1342" s="1035"/>
      <c r="W1342" s="1035"/>
      <c r="X1342" s="1037" t="str">
        <f t="shared" si="303"/>
        <v>44</v>
      </c>
      <c r="Y1342" s="1035">
        <v>4</v>
      </c>
      <c r="Z1342" s="1035">
        <f t="shared" si="300"/>
        <v>4</v>
      </c>
      <c r="AA1342" s="1035"/>
      <c r="AB1342" s="1035"/>
      <c r="AC1342" s="1425">
        <v>410643</v>
      </c>
      <c r="AD1342" s="1021" t="s">
        <v>320</v>
      </c>
      <c r="AE1342" s="1022">
        <f>VLOOKUP(AC1342,[5]Hoja1!$A$10:$K$1393,11,0)</f>
        <v>-1041835</v>
      </c>
      <c r="AF1342" s="1022"/>
      <c r="AG1342" s="1022">
        <f t="shared" si="301"/>
        <v>-1041835</v>
      </c>
      <c r="AH1342" s="1022">
        <f t="shared" si="302"/>
        <v>-1042</v>
      </c>
      <c r="AK1342" s="448"/>
      <c r="AL1342" s="445"/>
    </row>
    <row r="1343" spans="1:38" s="467" customFormat="1" ht="12.75" customHeight="1">
      <c r="A1343" s="1033">
        <v>5316200</v>
      </c>
      <c r="B1343" s="1033" t="s">
        <v>2843</v>
      </c>
      <c r="C1343" s="1034"/>
      <c r="D1343" s="1035"/>
      <c r="E1343" s="1035"/>
      <c r="F1343" s="1034"/>
      <c r="G1343" s="1033"/>
      <c r="H1343" s="1033"/>
      <c r="I1343" s="1034"/>
      <c r="J1343" s="1033"/>
      <c r="K1343" s="1033"/>
      <c r="L1343" s="1034"/>
      <c r="M1343" s="1035"/>
      <c r="N1343" s="1035"/>
      <c r="O1343" s="1036"/>
      <c r="P1343" s="1033"/>
      <c r="Q1343" s="1033"/>
      <c r="R1343" s="1034"/>
      <c r="S1343" s="1035"/>
      <c r="T1343" s="1035"/>
      <c r="U1343" s="1034"/>
      <c r="V1343" s="1035"/>
      <c r="W1343" s="1035"/>
      <c r="X1343" s="1037" t="str">
        <f t="shared" si="303"/>
        <v>44</v>
      </c>
      <c r="Y1343" s="1035">
        <v>4</v>
      </c>
      <c r="Z1343" s="1035">
        <f t="shared" si="300"/>
        <v>4</v>
      </c>
      <c r="AA1343" s="1035"/>
      <c r="AB1343" s="1035"/>
      <c r="AC1343" s="1425">
        <v>410644</v>
      </c>
      <c r="AD1343" s="1021" t="s">
        <v>321</v>
      </c>
      <c r="AE1343" s="1022">
        <f>VLOOKUP(AC1343,[5]Hoja1!$A$10:$K$1393,11,0)</f>
        <v>-80563704</v>
      </c>
      <c r="AF1343" s="1022"/>
      <c r="AG1343" s="1022">
        <f t="shared" si="301"/>
        <v>-80563704</v>
      </c>
      <c r="AH1343" s="1022">
        <f t="shared" si="302"/>
        <v>-80564</v>
      </c>
      <c r="AK1343" s="448"/>
      <c r="AL1343" s="445"/>
    </row>
    <row r="1344" spans="1:38" s="467" customFormat="1" ht="12.75" customHeight="1">
      <c r="A1344" s="1033">
        <v>5316200</v>
      </c>
      <c r="B1344" s="1033" t="s">
        <v>2843</v>
      </c>
      <c r="C1344" s="1034"/>
      <c r="D1344" s="1035"/>
      <c r="E1344" s="1035"/>
      <c r="F1344" s="1034"/>
      <c r="G1344" s="1033"/>
      <c r="H1344" s="1033"/>
      <c r="I1344" s="1034"/>
      <c r="J1344" s="1033"/>
      <c r="K1344" s="1033"/>
      <c r="L1344" s="1034"/>
      <c r="M1344" s="1035"/>
      <c r="N1344" s="1035"/>
      <c r="O1344" s="1036"/>
      <c r="P1344" s="1033"/>
      <c r="Q1344" s="1033"/>
      <c r="R1344" s="1034"/>
      <c r="S1344" s="1035"/>
      <c r="T1344" s="1035"/>
      <c r="U1344" s="1034"/>
      <c r="V1344" s="1035"/>
      <c r="W1344" s="1035"/>
      <c r="X1344" s="1037" t="str">
        <f t="shared" si="303"/>
        <v>44</v>
      </c>
      <c r="Y1344" s="1035">
        <v>4</v>
      </c>
      <c r="Z1344" s="1035">
        <f t="shared" si="300"/>
        <v>4</v>
      </c>
      <c r="AA1344" s="1035"/>
      <c r="AB1344" s="1035"/>
      <c r="AC1344" s="1425">
        <v>410645</v>
      </c>
      <c r="AD1344" s="1021" t="s">
        <v>322</v>
      </c>
      <c r="AE1344" s="1022">
        <f>VLOOKUP(AC1344,[5]Hoja1!$A$10:$K$1393,11,0)</f>
        <v>-1429972022</v>
      </c>
      <c r="AF1344" s="1022"/>
      <c r="AG1344" s="1022">
        <f t="shared" si="301"/>
        <v>-1429972022</v>
      </c>
      <c r="AH1344" s="1022">
        <f t="shared" si="302"/>
        <v>-1429972</v>
      </c>
      <c r="AK1344" s="448"/>
      <c r="AL1344" s="445"/>
    </row>
    <row r="1345" spans="1:38" s="467" customFormat="1" ht="12.75" customHeight="1">
      <c r="A1345" s="1033">
        <v>5316200</v>
      </c>
      <c r="B1345" s="1033" t="s">
        <v>2843</v>
      </c>
      <c r="C1345" s="1034"/>
      <c r="D1345" s="1035"/>
      <c r="E1345" s="1035"/>
      <c r="F1345" s="1034"/>
      <c r="G1345" s="1033"/>
      <c r="H1345" s="1033"/>
      <c r="I1345" s="1034"/>
      <c r="J1345" s="1033"/>
      <c r="K1345" s="1033"/>
      <c r="L1345" s="1034"/>
      <c r="M1345" s="1035"/>
      <c r="N1345" s="1035"/>
      <c r="O1345" s="1036"/>
      <c r="P1345" s="1033"/>
      <c r="Q1345" s="1033"/>
      <c r="R1345" s="1034"/>
      <c r="S1345" s="1035"/>
      <c r="T1345" s="1035"/>
      <c r="U1345" s="1034"/>
      <c r="V1345" s="1035"/>
      <c r="W1345" s="1035"/>
      <c r="X1345" s="1037" t="str">
        <f t="shared" si="303"/>
        <v>44</v>
      </c>
      <c r="Y1345" s="1035">
        <v>4</v>
      </c>
      <c r="Z1345" s="1035">
        <f t="shared" si="300"/>
        <v>4</v>
      </c>
      <c r="AA1345" s="1035"/>
      <c r="AB1345" s="1035"/>
      <c r="AC1345" s="1425">
        <v>410646</v>
      </c>
      <c r="AD1345" s="1021" t="s">
        <v>323</v>
      </c>
      <c r="AE1345" s="1022">
        <f>VLOOKUP(AC1345,[5]Hoja1!$A$10:$K$1393,11,0)</f>
        <v>-138895849</v>
      </c>
      <c r="AF1345" s="1022"/>
      <c r="AG1345" s="1022">
        <f t="shared" si="301"/>
        <v>-138895849</v>
      </c>
      <c r="AH1345" s="1022">
        <f t="shared" si="302"/>
        <v>-138896</v>
      </c>
      <c r="AK1345" s="448"/>
      <c r="AL1345" s="445"/>
    </row>
    <row r="1346" spans="1:38" s="467" customFormat="1" ht="12.75" customHeight="1">
      <c r="A1346" s="1033">
        <v>5316200</v>
      </c>
      <c r="B1346" s="1033" t="s">
        <v>2843</v>
      </c>
      <c r="C1346" s="1034"/>
      <c r="D1346" s="1035"/>
      <c r="E1346" s="1035"/>
      <c r="F1346" s="1034"/>
      <c r="G1346" s="1033"/>
      <c r="H1346" s="1033"/>
      <c r="I1346" s="1034"/>
      <c r="J1346" s="1033"/>
      <c r="K1346" s="1033"/>
      <c r="L1346" s="1034"/>
      <c r="M1346" s="1035"/>
      <c r="N1346" s="1035"/>
      <c r="O1346" s="1036"/>
      <c r="P1346" s="1033"/>
      <c r="Q1346" s="1033"/>
      <c r="R1346" s="1034"/>
      <c r="S1346" s="1035"/>
      <c r="T1346" s="1035"/>
      <c r="U1346" s="1034"/>
      <c r="V1346" s="1035"/>
      <c r="W1346" s="1035"/>
      <c r="X1346" s="1037" t="str">
        <f t="shared" si="303"/>
        <v>44</v>
      </c>
      <c r="Y1346" s="1035">
        <v>4</v>
      </c>
      <c r="Z1346" s="1035">
        <f t="shared" si="300"/>
        <v>4</v>
      </c>
      <c r="AA1346" s="1035"/>
      <c r="AB1346" s="1035"/>
      <c r="AC1346" s="1425">
        <v>410647</v>
      </c>
      <c r="AD1346" s="1021" t="s">
        <v>324</v>
      </c>
      <c r="AE1346" s="1022">
        <f>VLOOKUP(AC1346,[5]Hoja1!$A$10:$K$1393,11,0)</f>
        <v>-612406045</v>
      </c>
      <c r="AF1346" s="1022"/>
      <c r="AG1346" s="1022">
        <f t="shared" si="301"/>
        <v>-612406045</v>
      </c>
      <c r="AH1346" s="1022">
        <f t="shared" si="302"/>
        <v>-612406</v>
      </c>
      <c r="AK1346" s="448"/>
      <c r="AL1346" s="445"/>
    </row>
    <row r="1347" spans="1:38" s="467" customFormat="1" ht="12.75" customHeight="1">
      <c r="A1347" s="1033">
        <v>5316200</v>
      </c>
      <c r="B1347" s="1033" t="s">
        <v>2843</v>
      </c>
      <c r="C1347" s="1034"/>
      <c r="D1347" s="1035"/>
      <c r="E1347" s="1035"/>
      <c r="F1347" s="1034"/>
      <c r="G1347" s="1033"/>
      <c r="H1347" s="1033"/>
      <c r="I1347" s="1034"/>
      <c r="J1347" s="1033"/>
      <c r="K1347" s="1033"/>
      <c r="L1347" s="1034"/>
      <c r="M1347" s="1035"/>
      <c r="N1347" s="1035"/>
      <c r="O1347" s="1036"/>
      <c r="P1347" s="1033"/>
      <c r="Q1347" s="1033"/>
      <c r="R1347" s="1034"/>
      <c r="S1347" s="1035"/>
      <c r="T1347" s="1035"/>
      <c r="U1347" s="1034"/>
      <c r="V1347" s="1035"/>
      <c r="W1347" s="1035"/>
      <c r="X1347" s="1037" t="str">
        <f t="shared" si="303"/>
        <v>44</v>
      </c>
      <c r="Y1347" s="1035">
        <v>4</v>
      </c>
      <c r="Z1347" s="1035">
        <f t="shared" si="300"/>
        <v>4</v>
      </c>
      <c r="AA1347" s="1035"/>
      <c r="AB1347" s="1035"/>
      <c r="AC1347" s="1425">
        <v>410648</v>
      </c>
      <c r="AD1347" s="1021" t="s">
        <v>325</v>
      </c>
      <c r="AE1347" s="1022">
        <f>VLOOKUP(AC1347,[5]Hoja1!$A$10:$K$1393,11,0)</f>
        <v>-516024791</v>
      </c>
      <c r="AF1347" s="1022"/>
      <c r="AG1347" s="1022">
        <f t="shared" si="301"/>
        <v>-516024791</v>
      </c>
      <c r="AH1347" s="1022">
        <f t="shared" si="302"/>
        <v>-516025</v>
      </c>
      <c r="AK1347" s="448"/>
      <c r="AL1347" s="445"/>
    </row>
    <row r="1348" spans="1:38" s="467" customFormat="1" ht="12.75" customHeight="1">
      <c r="A1348" s="1033">
        <v>5316200</v>
      </c>
      <c r="B1348" s="1033" t="s">
        <v>2843</v>
      </c>
      <c r="C1348" s="1034"/>
      <c r="D1348" s="1035"/>
      <c r="E1348" s="1035"/>
      <c r="F1348" s="1034"/>
      <c r="G1348" s="1033"/>
      <c r="H1348" s="1033"/>
      <c r="I1348" s="1034"/>
      <c r="J1348" s="1033"/>
      <c r="K1348" s="1033"/>
      <c r="L1348" s="1034"/>
      <c r="M1348" s="1035"/>
      <c r="N1348" s="1035"/>
      <c r="O1348" s="1036"/>
      <c r="P1348" s="1033"/>
      <c r="Q1348" s="1033"/>
      <c r="R1348" s="1034"/>
      <c r="S1348" s="1035"/>
      <c r="T1348" s="1035"/>
      <c r="U1348" s="1034"/>
      <c r="V1348" s="1035"/>
      <c r="W1348" s="1035"/>
      <c r="X1348" s="1037" t="str">
        <f t="shared" si="303"/>
        <v>44</v>
      </c>
      <c r="Y1348" s="1035">
        <v>4</v>
      </c>
      <c r="Z1348" s="1035">
        <f t="shared" si="300"/>
        <v>4</v>
      </c>
      <c r="AA1348" s="1035"/>
      <c r="AB1348" s="1035"/>
      <c r="AC1348" s="1425">
        <v>410649</v>
      </c>
      <c r="AD1348" s="1021" t="s">
        <v>326</v>
      </c>
      <c r="AE1348" s="1022">
        <f>VLOOKUP(AC1348,[5]Hoja1!$A$10:$K$1393,11,0)</f>
        <v>-15169254</v>
      </c>
      <c r="AF1348" s="1022"/>
      <c r="AG1348" s="1022">
        <f t="shared" si="301"/>
        <v>-15169254</v>
      </c>
      <c r="AH1348" s="1022">
        <f t="shared" si="302"/>
        <v>-15169</v>
      </c>
      <c r="AK1348" s="448"/>
      <c r="AL1348" s="445"/>
    </row>
    <row r="1349" spans="1:38" s="467" customFormat="1" ht="12.75" customHeight="1">
      <c r="A1349" s="1033">
        <v>5316200</v>
      </c>
      <c r="B1349" s="1033" t="s">
        <v>2843</v>
      </c>
      <c r="C1349" s="1034"/>
      <c r="D1349" s="1035"/>
      <c r="E1349" s="1035"/>
      <c r="F1349" s="1034"/>
      <c r="G1349" s="1033"/>
      <c r="H1349" s="1033"/>
      <c r="I1349" s="1034"/>
      <c r="J1349" s="1033"/>
      <c r="K1349" s="1033"/>
      <c r="L1349" s="1034"/>
      <c r="M1349" s="1035"/>
      <c r="N1349" s="1035"/>
      <c r="O1349" s="1036"/>
      <c r="P1349" s="1033"/>
      <c r="Q1349" s="1033"/>
      <c r="R1349" s="1034"/>
      <c r="S1349" s="1035"/>
      <c r="T1349" s="1035"/>
      <c r="U1349" s="1034"/>
      <c r="V1349" s="1035"/>
      <c r="W1349" s="1035"/>
      <c r="X1349" s="1037" t="str">
        <f t="shared" si="303"/>
        <v>44</v>
      </c>
      <c r="Y1349" s="1035">
        <v>4</v>
      </c>
      <c r="Z1349" s="1035">
        <f t="shared" si="300"/>
        <v>4</v>
      </c>
      <c r="AA1349" s="1035"/>
      <c r="AB1349" s="1035"/>
      <c r="AC1349" s="1425">
        <v>410650</v>
      </c>
      <c r="AD1349" s="1021" t="s">
        <v>327</v>
      </c>
      <c r="AE1349" s="1022">
        <f>VLOOKUP(AC1349,[5]Hoja1!$A$10:$K$1393,11,0)</f>
        <v>-61017526</v>
      </c>
      <c r="AF1349" s="1022"/>
      <c r="AG1349" s="1022">
        <f t="shared" si="301"/>
        <v>-61017526</v>
      </c>
      <c r="AH1349" s="1022">
        <f t="shared" si="302"/>
        <v>-61018</v>
      </c>
      <c r="AK1349" s="448"/>
      <c r="AL1349" s="445"/>
    </row>
    <row r="1350" spans="1:38" s="467" customFormat="1" ht="12.75" customHeight="1">
      <c r="A1350" s="1033">
        <v>5316200</v>
      </c>
      <c r="B1350" s="1033" t="s">
        <v>2843</v>
      </c>
      <c r="C1350" s="1034"/>
      <c r="D1350" s="1035"/>
      <c r="E1350" s="1035"/>
      <c r="F1350" s="1034"/>
      <c r="G1350" s="1033"/>
      <c r="H1350" s="1033"/>
      <c r="I1350" s="1034"/>
      <c r="J1350" s="1033"/>
      <c r="K1350" s="1033"/>
      <c r="L1350" s="1034"/>
      <c r="M1350" s="1035"/>
      <c r="N1350" s="1035"/>
      <c r="O1350" s="1036"/>
      <c r="P1350" s="1033"/>
      <c r="Q1350" s="1033"/>
      <c r="R1350" s="1034"/>
      <c r="S1350" s="1035"/>
      <c r="T1350" s="1035"/>
      <c r="U1350" s="1034"/>
      <c r="V1350" s="1035"/>
      <c r="W1350" s="1035"/>
      <c r="X1350" s="1037" t="str">
        <f t="shared" si="303"/>
        <v>44</v>
      </c>
      <c r="Y1350" s="1035">
        <v>4</v>
      </c>
      <c r="Z1350" s="1035">
        <f t="shared" si="300"/>
        <v>4</v>
      </c>
      <c r="AA1350" s="1035"/>
      <c r="AB1350" s="1035"/>
      <c r="AC1350" s="1425">
        <v>410651</v>
      </c>
      <c r="AD1350" s="1021" t="s">
        <v>328</v>
      </c>
      <c r="AE1350" s="1022">
        <f>VLOOKUP(AC1350,[5]Hoja1!$A$10:$K$1393,11,0)</f>
        <v>-128716</v>
      </c>
      <c r="AF1350" s="1022"/>
      <c r="AG1350" s="1022">
        <f t="shared" si="301"/>
        <v>-128716</v>
      </c>
      <c r="AH1350" s="1022">
        <f t="shared" si="302"/>
        <v>-129</v>
      </c>
      <c r="AK1350" s="448"/>
      <c r="AL1350" s="445"/>
    </row>
    <row r="1351" spans="1:38" s="467" customFormat="1" ht="12.75" customHeight="1">
      <c r="A1351" s="1033">
        <v>5316200</v>
      </c>
      <c r="B1351" s="1033" t="s">
        <v>2843</v>
      </c>
      <c r="C1351" s="1034"/>
      <c r="D1351" s="1035"/>
      <c r="E1351" s="1035"/>
      <c r="F1351" s="1034"/>
      <c r="G1351" s="1033"/>
      <c r="H1351" s="1033"/>
      <c r="I1351" s="1034"/>
      <c r="J1351" s="1033"/>
      <c r="K1351" s="1033"/>
      <c r="L1351" s="1034"/>
      <c r="M1351" s="1035"/>
      <c r="N1351" s="1035"/>
      <c r="O1351" s="1036"/>
      <c r="P1351" s="1033"/>
      <c r="Q1351" s="1033"/>
      <c r="R1351" s="1034"/>
      <c r="S1351" s="1035"/>
      <c r="T1351" s="1035"/>
      <c r="U1351" s="1034"/>
      <c r="V1351" s="1035"/>
      <c r="W1351" s="1035"/>
      <c r="X1351" s="1037" t="str">
        <f t="shared" si="303"/>
        <v>44</v>
      </c>
      <c r="Y1351" s="1035">
        <v>4</v>
      </c>
      <c r="Z1351" s="1035">
        <f t="shared" si="300"/>
        <v>4</v>
      </c>
      <c r="AA1351" s="1035"/>
      <c r="AB1351" s="1035"/>
      <c r="AC1351" s="1425">
        <v>410652</v>
      </c>
      <c r="AD1351" s="1021" t="s">
        <v>329</v>
      </c>
      <c r="AE1351" s="1022">
        <f>VLOOKUP(AC1351,[5]Hoja1!$A$10:$K$1393,11,0)</f>
        <v>0</v>
      </c>
      <c r="AF1351" s="1022"/>
      <c r="AG1351" s="1022">
        <f t="shared" si="301"/>
        <v>0</v>
      </c>
      <c r="AH1351" s="1022">
        <f t="shared" si="302"/>
        <v>0</v>
      </c>
      <c r="AK1351" s="448"/>
      <c r="AL1351" s="445"/>
    </row>
    <row r="1352" spans="1:38" s="467" customFormat="1" ht="12.75" customHeight="1">
      <c r="A1352" s="1033">
        <v>5316200</v>
      </c>
      <c r="B1352" s="1033" t="s">
        <v>2843</v>
      </c>
      <c r="C1352" s="1034"/>
      <c r="D1352" s="1035"/>
      <c r="E1352" s="1035"/>
      <c r="F1352" s="1034"/>
      <c r="G1352" s="1033"/>
      <c r="H1352" s="1033"/>
      <c r="I1352" s="1034"/>
      <c r="J1352" s="1033"/>
      <c r="K1352" s="1033"/>
      <c r="L1352" s="1034"/>
      <c r="M1352" s="1035"/>
      <c r="N1352" s="1035"/>
      <c r="O1352" s="1036"/>
      <c r="P1352" s="1033"/>
      <c r="Q1352" s="1033"/>
      <c r="R1352" s="1034"/>
      <c r="S1352" s="1035"/>
      <c r="T1352" s="1035"/>
      <c r="U1352" s="1034"/>
      <c r="V1352" s="1035"/>
      <c r="W1352" s="1035"/>
      <c r="X1352" s="1037" t="str">
        <f t="shared" si="303"/>
        <v>44</v>
      </c>
      <c r="Y1352" s="1035">
        <v>4</v>
      </c>
      <c r="Z1352" s="1035">
        <f t="shared" si="300"/>
        <v>4</v>
      </c>
      <c r="AA1352" s="1035"/>
      <c r="AB1352" s="1035"/>
      <c r="AC1352" s="1425">
        <v>410653</v>
      </c>
      <c r="AD1352" s="1021" t="s">
        <v>2412</v>
      </c>
      <c r="AE1352" s="1022">
        <f>VLOOKUP(AC1352,[5]Hoja1!$A$10:$K$1393,11,0)</f>
        <v>0</v>
      </c>
      <c r="AF1352" s="1022"/>
      <c r="AG1352" s="1022">
        <f t="shared" si="301"/>
        <v>0</v>
      </c>
      <c r="AH1352" s="1022">
        <f t="shared" si="302"/>
        <v>0</v>
      </c>
      <c r="AK1352" s="448"/>
      <c r="AL1352" s="445"/>
    </row>
    <row r="1353" spans="1:38" s="467" customFormat="1" ht="12.75" customHeight="1">
      <c r="A1353" s="1033">
        <v>5316200</v>
      </c>
      <c r="B1353" s="1033" t="s">
        <v>2843</v>
      </c>
      <c r="C1353" s="1034"/>
      <c r="D1353" s="1035"/>
      <c r="E1353" s="1035"/>
      <c r="F1353" s="1034"/>
      <c r="G1353" s="1033"/>
      <c r="H1353" s="1033"/>
      <c r="I1353" s="1034"/>
      <c r="J1353" s="1033"/>
      <c r="K1353" s="1033"/>
      <c r="L1353" s="1034"/>
      <c r="M1353" s="1035"/>
      <c r="N1353" s="1035"/>
      <c r="O1353" s="1036"/>
      <c r="P1353" s="1033"/>
      <c r="Q1353" s="1033"/>
      <c r="R1353" s="1034"/>
      <c r="S1353" s="1035"/>
      <c r="T1353" s="1035"/>
      <c r="U1353" s="1034"/>
      <c r="V1353" s="1035"/>
      <c r="W1353" s="1035"/>
      <c r="X1353" s="1037" t="str">
        <f t="shared" si="303"/>
        <v>44</v>
      </c>
      <c r="Y1353" s="1035">
        <v>4</v>
      </c>
      <c r="Z1353" s="1035">
        <f t="shared" si="300"/>
        <v>4</v>
      </c>
      <c r="AA1353" s="1035"/>
      <c r="AB1353" s="1035"/>
      <c r="AC1353" s="1425">
        <v>410654</v>
      </c>
      <c r="AD1353" s="1021" t="s">
        <v>989</v>
      </c>
      <c r="AE1353" s="1022">
        <f>VLOOKUP(AC1353,[5]Hoja1!$A$10:$K$1393,11,0)</f>
        <v>0</v>
      </c>
      <c r="AF1353" s="1022"/>
      <c r="AG1353" s="1022">
        <f t="shared" si="301"/>
        <v>0</v>
      </c>
      <c r="AH1353" s="1022">
        <f t="shared" si="302"/>
        <v>0</v>
      </c>
      <c r="AK1353" s="448"/>
      <c r="AL1353" s="445"/>
    </row>
    <row r="1354" spans="1:38" s="467" customFormat="1" ht="12.75" customHeight="1">
      <c r="A1354" s="1033">
        <v>5316200</v>
      </c>
      <c r="B1354" s="1033" t="s">
        <v>2843</v>
      </c>
      <c r="C1354" s="1034"/>
      <c r="D1354" s="1035"/>
      <c r="E1354" s="1035"/>
      <c r="F1354" s="1034"/>
      <c r="G1354" s="1033"/>
      <c r="H1354" s="1033"/>
      <c r="I1354" s="1034"/>
      <c r="J1354" s="1033"/>
      <c r="K1354" s="1033"/>
      <c r="L1354" s="1034"/>
      <c r="M1354" s="1035"/>
      <c r="N1354" s="1035"/>
      <c r="O1354" s="1036"/>
      <c r="P1354" s="1033"/>
      <c r="Q1354" s="1033"/>
      <c r="R1354" s="1034"/>
      <c r="S1354" s="1035"/>
      <c r="T1354" s="1035"/>
      <c r="U1354" s="1034"/>
      <c r="V1354" s="1035"/>
      <c r="W1354" s="1035"/>
      <c r="X1354" s="1037" t="str">
        <f t="shared" si="303"/>
        <v>44</v>
      </c>
      <c r="Y1354" s="1035">
        <v>4</v>
      </c>
      <c r="Z1354" s="1035">
        <f t="shared" si="300"/>
        <v>4</v>
      </c>
      <c r="AA1354" s="1035"/>
      <c r="AB1354" s="1035"/>
      <c r="AC1354" s="1425">
        <v>410655</v>
      </c>
      <c r="AD1354" s="1021" t="s">
        <v>1285</v>
      </c>
      <c r="AE1354" s="1022">
        <f>VLOOKUP(AC1354,[5]Hoja1!$A$10:$K$1393,11,0)</f>
        <v>-1596138</v>
      </c>
      <c r="AF1354" s="1022"/>
      <c r="AG1354" s="1022">
        <f t="shared" si="301"/>
        <v>-1596138</v>
      </c>
      <c r="AH1354" s="1022">
        <f t="shared" si="302"/>
        <v>-1596</v>
      </c>
      <c r="AK1354" s="448"/>
      <c r="AL1354" s="445"/>
    </row>
    <row r="1355" spans="1:38" s="467" customFormat="1" ht="12.75" customHeight="1">
      <c r="A1355" s="1033">
        <v>5316200</v>
      </c>
      <c r="B1355" s="1033" t="s">
        <v>2843</v>
      </c>
      <c r="C1355" s="1034"/>
      <c r="D1355" s="1035"/>
      <c r="E1355" s="1035"/>
      <c r="F1355" s="1034"/>
      <c r="G1355" s="1033"/>
      <c r="H1355" s="1033"/>
      <c r="I1355" s="1034"/>
      <c r="J1355" s="1033"/>
      <c r="K1355" s="1033"/>
      <c r="L1355" s="1034"/>
      <c r="M1355" s="1035"/>
      <c r="N1355" s="1035"/>
      <c r="O1355" s="1036"/>
      <c r="P1355" s="1033"/>
      <c r="Q1355" s="1033"/>
      <c r="R1355" s="1034"/>
      <c r="S1355" s="1035"/>
      <c r="T1355" s="1035"/>
      <c r="U1355" s="1034"/>
      <c r="V1355" s="1035"/>
      <c r="W1355" s="1035"/>
      <c r="X1355" s="1037" t="str">
        <f t="shared" si="303"/>
        <v>44</v>
      </c>
      <c r="Y1355" s="1035">
        <v>4</v>
      </c>
      <c r="Z1355" s="1035">
        <f t="shared" si="300"/>
        <v>4</v>
      </c>
      <c r="AA1355" s="1035"/>
      <c r="AB1355" s="1035"/>
      <c r="AC1355" s="1425">
        <v>410656</v>
      </c>
      <c r="AD1355" s="1021" t="s">
        <v>2413</v>
      </c>
      <c r="AE1355" s="1022">
        <f>VLOOKUP(AC1355,[5]Hoja1!$A$10:$K$1393,11,0)</f>
        <v>-105352336</v>
      </c>
      <c r="AF1355" s="1022"/>
      <c r="AG1355" s="1022">
        <f t="shared" si="301"/>
        <v>-105352336</v>
      </c>
      <c r="AH1355" s="1022">
        <f t="shared" si="302"/>
        <v>-105352</v>
      </c>
      <c r="AK1355" s="448"/>
      <c r="AL1355" s="445"/>
    </row>
    <row r="1356" spans="1:38" s="467" customFormat="1" ht="12.75" customHeight="1">
      <c r="A1356" s="1033">
        <v>5316200</v>
      </c>
      <c r="B1356" s="1033" t="s">
        <v>2843</v>
      </c>
      <c r="C1356" s="1034"/>
      <c r="D1356" s="1035"/>
      <c r="E1356" s="1035"/>
      <c r="F1356" s="1034"/>
      <c r="G1356" s="1033"/>
      <c r="H1356" s="1033"/>
      <c r="I1356" s="1034"/>
      <c r="J1356" s="1033"/>
      <c r="K1356" s="1033"/>
      <c r="L1356" s="1034"/>
      <c r="M1356" s="1035"/>
      <c r="N1356" s="1035"/>
      <c r="O1356" s="1036"/>
      <c r="P1356" s="1033"/>
      <c r="Q1356" s="1033"/>
      <c r="R1356" s="1034"/>
      <c r="S1356" s="1035"/>
      <c r="T1356" s="1035"/>
      <c r="U1356" s="1034"/>
      <c r="V1356" s="1035"/>
      <c r="W1356" s="1035"/>
      <c r="X1356" s="1037" t="str">
        <f t="shared" si="303"/>
        <v>44</v>
      </c>
      <c r="Y1356" s="1035">
        <v>4</v>
      </c>
      <c r="Z1356" s="1035">
        <f t="shared" si="300"/>
        <v>4</v>
      </c>
      <c r="AA1356" s="1035"/>
      <c r="AB1356" s="1035"/>
      <c r="AC1356" s="1425">
        <v>410657</v>
      </c>
      <c r="AD1356" s="1021" t="s">
        <v>1293</v>
      </c>
      <c r="AE1356" s="1022">
        <f>VLOOKUP(AC1356,[5]Hoja1!$A$10:$K$1393,11,0)</f>
        <v>-1113113894</v>
      </c>
      <c r="AF1356" s="1022"/>
      <c r="AG1356" s="1022">
        <f t="shared" si="301"/>
        <v>-1113113894</v>
      </c>
      <c r="AH1356" s="1022">
        <f t="shared" si="302"/>
        <v>-1113114</v>
      </c>
      <c r="AK1356" s="448"/>
      <c r="AL1356" s="445"/>
    </row>
    <row r="1357" spans="1:38" s="467" customFormat="1" ht="12.75" customHeight="1">
      <c r="A1357" s="1033">
        <v>5316200</v>
      </c>
      <c r="B1357" s="1033" t="s">
        <v>2843</v>
      </c>
      <c r="C1357" s="1034"/>
      <c r="D1357" s="1035"/>
      <c r="E1357" s="1035"/>
      <c r="F1357" s="1034"/>
      <c r="G1357" s="1033"/>
      <c r="H1357" s="1033"/>
      <c r="I1357" s="1034"/>
      <c r="J1357" s="1033"/>
      <c r="K1357" s="1033"/>
      <c r="L1357" s="1034"/>
      <c r="M1357" s="1035"/>
      <c r="N1357" s="1035"/>
      <c r="O1357" s="1036"/>
      <c r="P1357" s="1033"/>
      <c r="Q1357" s="1033"/>
      <c r="R1357" s="1034"/>
      <c r="S1357" s="1035"/>
      <c r="T1357" s="1035"/>
      <c r="U1357" s="1034"/>
      <c r="V1357" s="1035"/>
      <c r="W1357" s="1035"/>
      <c r="X1357" s="1037" t="str">
        <f t="shared" si="303"/>
        <v>44</v>
      </c>
      <c r="Y1357" s="1035">
        <v>4</v>
      </c>
      <c r="Z1357" s="1035">
        <f t="shared" si="300"/>
        <v>4</v>
      </c>
      <c r="AA1357" s="1035"/>
      <c r="AB1357" s="1035"/>
      <c r="AC1357" s="1425">
        <v>410658</v>
      </c>
      <c r="AD1357" s="1021" t="s">
        <v>1294</v>
      </c>
      <c r="AE1357" s="1022">
        <f>VLOOKUP(AC1357,[5]Hoja1!$A$10:$K$1393,11,0)</f>
        <v>53731008</v>
      </c>
      <c r="AF1357" s="1022"/>
      <c r="AG1357" s="1022">
        <f t="shared" si="301"/>
        <v>53731008</v>
      </c>
      <c r="AH1357" s="1022">
        <f t="shared" si="302"/>
        <v>53731</v>
      </c>
      <c r="AK1357" s="448"/>
      <c r="AL1357" s="445"/>
    </row>
    <row r="1358" spans="1:38" s="467" customFormat="1" ht="12.75" customHeight="1">
      <c r="A1358" s="1033">
        <v>5316200</v>
      </c>
      <c r="B1358" s="1033" t="s">
        <v>2843</v>
      </c>
      <c r="C1358" s="1034"/>
      <c r="D1358" s="1035"/>
      <c r="E1358" s="1035"/>
      <c r="F1358" s="1034"/>
      <c r="G1358" s="1033"/>
      <c r="H1358" s="1033"/>
      <c r="I1358" s="1034"/>
      <c r="J1358" s="1033"/>
      <c r="K1358" s="1033"/>
      <c r="L1358" s="1034"/>
      <c r="M1358" s="1035"/>
      <c r="N1358" s="1035"/>
      <c r="O1358" s="1036"/>
      <c r="P1358" s="1033"/>
      <c r="Q1358" s="1033"/>
      <c r="R1358" s="1034"/>
      <c r="S1358" s="1035"/>
      <c r="T1358" s="1035"/>
      <c r="U1358" s="1034"/>
      <c r="V1358" s="1035"/>
      <c r="W1358" s="1035"/>
      <c r="X1358" s="1037" t="str">
        <f t="shared" si="303"/>
        <v>44</v>
      </c>
      <c r="Y1358" s="1035">
        <v>4</v>
      </c>
      <c r="Z1358" s="1035">
        <f t="shared" si="300"/>
        <v>4</v>
      </c>
      <c r="AA1358" s="1035"/>
      <c r="AB1358" s="1035"/>
      <c r="AC1358" s="1425">
        <v>410659</v>
      </c>
      <c r="AD1358" s="1021" t="s">
        <v>915</v>
      </c>
      <c r="AE1358" s="1022">
        <f>VLOOKUP(AC1358,[5]Hoja1!$A$10:$K$1393,11,0)</f>
        <v>-70591683</v>
      </c>
      <c r="AF1358" s="1022"/>
      <c r="AG1358" s="1022">
        <f t="shared" si="301"/>
        <v>-70591683</v>
      </c>
      <c r="AH1358" s="1022">
        <f t="shared" si="302"/>
        <v>-70592</v>
      </c>
      <c r="AK1358" s="448"/>
      <c r="AL1358" s="445"/>
    </row>
    <row r="1359" spans="1:38" s="467" customFormat="1" ht="12.75" customHeight="1">
      <c r="A1359" s="1033">
        <v>5316200</v>
      </c>
      <c r="B1359" s="1033" t="s">
        <v>2843</v>
      </c>
      <c r="C1359" s="1034"/>
      <c r="D1359" s="1035"/>
      <c r="E1359" s="1035"/>
      <c r="F1359" s="1034"/>
      <c r="G1359" s="1033"/>
      <c r="H1359" s="1033"/>
      <c r="I1359" s="1034"/>
      <c r="J1359" s="1033"/>
      <c r="K1359" s="1033"/>
      <c r="L1359" s="1034"/>
      <c r="M1359" s="1035"/>
      <c r="N1359" s="1035"/>
      <c r="O1359" s="1036"/>
      <c r="P1359" s="1033"/>
      <c r="Q1359" s="1033"/>
      <c r="R1359" s="1034"/>
      <c r="S1359" s="1035"/>
      <c r="T1359" s="1035"/>
      <c r="U1359" s="1034"/>
      <c r="V1359" s="1035"/>
      <c r="W1359" s="1035"/>
      <c r="X1359" s="1037" t="str">
        <f t="shared" si="303"/>
        <v>44</v>
      </c>
      <c r="Y1359" s="1035">
        <v>4</v>
      </c>
      <c r="Z1359" s="1035">
        <f t="shared" si="300"/>
        <v>4</v>
      </c>
      <c r="AA1359" s="1035"/>
      <c r="AB1359" s="1035"/>
      <c r="AC1359" s="1425">
        <v>410660</v>
      </c>
      <c r="AD1359" s="1021" t="s">
        <v>2414</v>
      </c>
      <c r="AE1359" s="1022">
        <f>VLOOKUP(AC1359,[5]Hoja1!$A$10:$K$1393,11,0)</f>
        <v>-4444184</v>
      </c>
      <c r="AF1359" s="1022"/>
      <c r="AG1359" s="1022">
        <f t="shared" si="301"/>
        <v>-4444184</v>
      </c>
      <c r="AH1359" s="1022">
        <f t="shared" si="302"/>
        <v>-4444</v>
      </c>
      <c r="AK1359" s="448"/>
      <c r="AL1359" s="445"/>
    </row>
    <row r="1360" spans="1:38" s="467" customFormat="1" ht="12.75" customHeight="1">
      <c r="A1360" s="1033">
        <v>5316200</v>
      </c>
      <c r="B1360" s="1033" t="s">
        <v>2843</v>
      </c>
      <c r="C1360" s="1034"/>
      <c r="D1360" s="1035"/>
      <c r="E1360" s="1035"/>
      <c r="F1360" s="1034"/>
      <c r="G1360" s="1033"/>
      <c r="H1360" s="1033"/>
      <c r="I1360" s="1034"/>
      <c r="J1360" s="1033"/>
      <c r="K1360" s="1033"/>
      <c r="L1360" s="1034"/>
      <c r="M1360" s="1035"/>
      <c r="N1360" s="1035"/>
      <c r="O1360" s="1036"/>
      <c r="P1360" s="1033"/>
      <c r="Q1360" s="1033"/>
      <c r="R1360" s="1034"/>
      <c r="S1360" s="1035"/>
      <c r="T1360" s="1035"/>
      <c r="U1360" s="1034"/>
      <c r="V1360" s="1035"/>
      <c r="W1360" s="1035"/>
      <c r="X1360" s="1037" t="str">
        <f t="shared" si="303"/>
        <v>44</v>
      </c>
      <c r="Y1360" s="1035">
        <v>4</v>
      </c>
      <c r="Z1360" s="1035">
        <f t="shared" si="300"/>
        <v>4</v>
      </c>
      <c r="AA1360" s="1035"/>
      <c r="AB1360" s="1035"/>
      <c r="AC1360" s="1425">
        <v>410661</v>
      </c>
      <c r="AD1360" s="1021" t="s">
        <v>2415</v>
      </c>
      <c r="AE1360" s="1022">
        <f>VLOOKUP(AC1360,[5]Hoja1!$A$10:$K$1393,11,0)</f>
        <v>0</v>
      </c>
      <c r="AF1360" s="1022"/>
      <c r="AG1360" s="1022">
        <f t="shared" si="301"/>
        <v>0</v>
      </c>
      <c r="AH1360" s="1022">
        <f t="shared" si="302"/>
        <v>0</v>
      </c>
      <c r="AK1360" s="448"/>
      <c r="AL1360" s="445"/>
    </row>
    <row r="1361" spans="1:38" s="467" customFormat="1" ht="12.75" customHeight="1">
      <c r="A1361" s="1033">
        <v>5316200</v>
      </c>
      <c r="B1361" s="1033" t="s">
        <v>2843</v>
      </c>
      <c r="C1361" s="1034"/>
      <c r="D1361" s="1035"/>
      <c r="E1361" s="1035"/>
      <c r="F1361" s="1034"/>
      <c r="G1361" s="1033"/>
      <c r="H1361" s="1033"/>
      <c r="I1361" s="1034"/>
      <c r="J1361" s="1033"/>
      <c r="K1361" s="1033"/>
      <c r="L1361" s="1034"/>
      <c r="M1361" s="1035"/>
      <c r="N1361" s="1035"/>
      <c r="O1361" s="1036"/>
      <c r="P1361" s="1033"/>
      <c r="Q1361" s="1033"/>
      <c r="R1361" s="1034"/>
      <c r="S1361" s="1035"/>
      <c r="T1361" s="1035"/>
      <c r="U1361" s="1034"/>
      <c r="V1361" s="1035"/>
      <c r="W1361" s="1035"/>
      <c r="X1361" s="1037" t="str">
        <f t="shared" si="303"/>
        <v>44</v>
      </c>
      <c r="Y1361" s="1035">
        <v>4</v>
      </c>
      <c r="Z1361" s="1035">
        <f t="shared" si="300"/>
        <v>4</v>
      </c>
      <c r="AA1361" s="1035"/>
      <c r="AB1361" s="1035"/>
      <c r="AC1361" s="1425">
        <v>410662</v>
      </c>
      <c r="AD1361" s="1021" t="s">
        <v>2416</v>
      </c>
      <c r="AE1361" s="1022">
        <f>VLOOKUP(AC1361,[5]Hoja1!$A$10:$K$1393,11,0)</f>
        <v>-28448033</v>
      </c>
      <c r="AF1361" s="1022"/>
      <c r="AG1361" s="1022">
        <f t="shared" si="301"/>
        <v>-28448033</v>
      </c>
      <c r="AH1361" s="1022">
        <f t="shared" si="302"/>
        <v>-28448</v>
      </c>
      <c r="AK1361" s="448"/>
      <c r="AL1361" s="445"/>
    </row>
    <row r="1362" spans="1:38" s="467" customFormat="1" ht="12.75" customHeight="1">
      <c r="A1362" s="1033">
        <v>5316200</v>
      </c>
      <c r="B1362" s="1033" t="s">
        <v>2843</v>
      </c>
      <c r="C1362" s="1034"/>
      <c r="D1362" s="1035"/>
      <c r="E1362" s="1035"/>
      <c r="F1362" s="1034"/>
      <c r="G1362" s="1033"/>
      <c r="H1362" s="1033"/>
      <c r="I1362" s="1034"/>
      <c r="J1362" s="1033"/>
      <c r="K1362" s="1033"/>
      <c r="L1362" s="1034"/>
      <c r="M1362" s="1035"/>
      <c r="N1362" s="1035"/>
      <c r="O1362" s="1036"/>
      <c r="P1362" s="1033"/>
      <c r="Q1362" s="1033"/>
      <c r="R1362" s="1034"/>
      <c r="S1362" s="1035"/>
      <c r="T1362" s="1035"/>
      <c r="U1362" s="1034"/>
      <c r="V1362" s="1035"/>
      <c r="W1362" s="1035"/>
      <c r="X1362" s="1037" t="str">
        <f t="shared" si="303"/>
        <v>44</v>
      </c>
      <c r="Y1362" s="1035">
        <v>4</v>
      </c>
      <c r="Z1362" s="1035">
        <f t="shared" si="300"/>
        <v>4</v>
      </c>
      <c r="AA1362" s="1035"/>
      <c r="AB1362" s="1035"/>
      <c r="AC1362" s="1425">
        <v>410663</v>
      </c>
      <c r="AD1362" s="1021" t="s">
        <v>2417</v>
      </c>
      <c r="AE1362" s="1022">
        <f>VLOOKUP(AC1362,[5]Hoja1!$A$10:$K$1393,11,0)</f>
        <v>542662</v>
      </c>
      <c r="AF1362" s="1022"/>
      <c r="AG1362" s="1022">
        <f t="shared" si="301"/>
        <v>542662</v>
      </c>
      <c r="AH1362" s="1022">
        <f t="shared" si="302"/>
        <v>543</v>
      </c>
      <c r="AK1362" s="448"/>
      <c r="AL1362" s="445"/>
    </row>
    <row r="1363" spans="1:38" s="467" customFormat="1" ht="12.75" customHeight="1">
      <c r="A1363" s="1033">
        <v>5316200</v>
      </c>
      <c r="B1363" s="1033" t="s">
        <v>2843</v>
      </c>
      <c r="C1363" s="1034"/>
      <c r="D1363" s="1035"/>
      <c r="E1363" s="1035"/>
      <c r="F1363" s="1034"/>
      <c r="G1363" s="1033"/>
      <c r="H1363" s="1033"/>
      <c r="I1363" s="1034"/>
      <c r="J1363" s="1033"/>
      <c r="K1363" s="1033"/>
      <c r="L1363" s="1034"/>
      <c r="M1363" s="1035"/>
      <c r="N1363" s="1035"/>
      <c r="O1363" s="1036"/>
      <c r="P1363" s="1033"/>
      <c r="Q1363" s="1033"/>
      <c r="R1363" s="1034"/>
      <c r="S1363" s="1035"/>
      <c r="T1363" s="1035"/>
      <c r="U1363" s="1034"/>
      <c r="V1363" s="1035"/>
      <c r="W1363" s="1035"/>
      <c r="X1363" s="1037" t="str">
        <f t="shared" si="303"/>
        <v>44</v>
      </c>
      <c r="Y1363" s="1035">
        <v>4</v>
      </c>
      <c r="Z1363" s="1035">
        <f t="shared" si="300"/>
        <v>4</v>
      </c>
      <c r="AA1363" s="1035"/>
      <c r="AB1363" s="1035"/>
      <c r="AC1363" s="1425">
        <v>410672</v>
      </c>
      <c r="AD1363" s="1021" t="s">
        <v>2578</v>
      </c>
      <c r="AE1363" s="1022">
        <f>VLOOKUP(AC1363,[5]Hoja1!$A$10:$K$1393,11,0)</f>
        <v>0</v>
      </c>
      <c r="AF1363" s="1022"/>
      <c r="AG1363" s="1022">
        <f t="shared" si="301"/>
        <v>0</v>
      </c>
      <c r="AH1363" s="1022">
        <f t="shared" si="302"/>
        <v>0</v>
      </c>
      <c r="AK1363" s="448"/>
      <c r="AL1363" s="445"/>
    </row>
    <row r="1364" spans="1:38" s="467" customFormat="1" ht="12.75" customHeight="1">
      <c r="A1364" s="1033"/>
      <c r="B1364" s="1033"/>
      <c r="C1364" s="1034"/>
      <c r="D1364" s="1035"/>
      <c r="E1364" s="1035"/>
      <c r="F1364" s="1034"/>
      <c r="G1364" s="1033"/>
      <c r="H1364" s="1033"/>
      <c r="I1364" s="1034"/>
      <c r="J1364" s="1033"/>
      <c r="K1364" s="1033"/>
      <c r="L1364" s="1034"/>
      <c r="M1364" s="1035"/>
      <c r="N1364" s="1035"/>
      <c r="O1364" s="1036"/>
      <c r="P1364" s="1033"/>
      <c r="Q1364" s="1033"/>
      <c r="R1364" s="1034"/>
      <c r="S1364" s="1035"/>
      <c r="T1364" s="1035"/>
      <c r="U1364" s="1034"/>
      <c r="V1364" s="1035"/>
      <c r="W1364" s="1035"/>
      <c r="X1364" s="1037"/>
      <c r="Y1364" s="1035"/>
      <c r="Z1364" s="1035">
        <f t="shared" si="300"/>
        <v>4</v>
      </c>
      <c r="AA1364" s="1035"/>
      <c r="AB1364" s="1035"/>
      <c r="AC1364" s="1026">
        <v>410700</v>
      </c>
      <c r="AD1364" s="1021" t="s">
        <v>2711</v>
      </c>
      <c r="AE1364" s="1022">
        <v>0</v>
      </c>
      <c r="AF1364" s="1022"/>
      <c r="AG1364" s="1022">
        <f t="shared" si="301"/>
        <v>0</v>
      </c>
      <c r="AH1364" s="1022">
        <f t="shared" si="302"/>
        <v>0</v>
      </c>
      <c r="AK1364" s="448"/>
      <c r="AL1364" s="445"/>
    </row>
    <row r="1365" spans="1:38" s="467" customFormat="1" ht="12.75" customHeight="1">
      <c r="A1365" s="1033">
        <v>5312200</v>
      </c>
      <c r="B1365" s="1033" t="s">
        <v>998</v>
      </c>
      <c r="C1365" s="1034" t="str">
        <f t="shared" si="293"/>
        <v/>
      </c>
      <c r="D1365" s="1035"/>
      <c r="E1365" s="1035"/>
      <c r="F1365" s="1034" t="str">
        <f t="shared" si="294"/>
        <v/>
      </c>
      <c r="G1365" s="1033"/>
      <c r="H1365" s="1033"/>
      <c r="I1365" s="1034" t="str">
        <f t="shared" si="295"/>
        <v/>
      </c>
      <c r="J1365" s="1033"/>
      <c r="K1365" s="1033"/>
      <c r="L1365" s="1034" t="str">
        <f t="shared" si="296"/>
        <v/>
      </c>
      <c r="M1365" s="1035"/>
      <c r="N1365" s="1035"/>
      <c r="O1365" s="1036" t="str">
        <f t="shared" si="297"/>
        <v/>
      </c>
      <c r="P1365" s="1033"/>
      <c r="Q1365" s="1033"/>
      <c r="R1365" s="1034" t="str">
        <f t="shared" si="298"/>
        <v/>
      </c>
      <c r="S1365" s="1035"/>
      <c r="T1365" s="1035"/>
      <c r="U1365" s="1034" t="str">
        <f t="shared" si="299"/>
        <v/>
      </c>
      <c r="V1365" s="1035"/>
      <c r="W1365" s="1035"/>
      <c r="X1365" s="1037" t="str">
        <f t="shared" ref="X1365:X1375" si="304">+Y1365&amp;Z1365</f>
        <v>5</v>
      </c>
      <c r="Y1365" s="1035"/>
      <c r="Z1365" s="1035">
        <f t="shared" si="300"/>
        <v>5</v>
      </c>
      <c r="AA1365" s="1035"/>
      <c r="AB1365" s="1033" t="s">
        <v>2991</v>
      </c>
      <c r="AC1365" s="1026">
        <v>510001</v>
      </c>
      <c r="AD1365" s="1021" t="s">
        <v>1121</v>
      </c>
      <c r="AE1365" s="1022">
        <f>VLOOKUP(AC1365,[5]Hoja1!$A$10:$K$1393,11,0)</f>
        <v>0</v>
      </c>
      <c r="AF1365" s="1022"/>
      <c r="AG1365" s="1022">
        <f t="shared" si="301"/>
        <v>0</v>
      </c>
      <c r="AH1365" s="1022">
        <f t="shared" si="302"/>
        <v>0</v>
      </c>
      <c r="AJ1365" s="467">
        <v>433000</v>
      </c>
      <c r="AK1365" s="448"/>
      <c r="AL1365" s="445"/>
    </row>
    <row r="1366" spans="1:38" s="467" customFormat="1" ht="12.75" customHeight="1">
      <c r="A1366" s="1033">
        <v>5312200</v>
      </c>
      <c r="B1366" s="1033" t="s">
        <v>998</v>
      </c>
      <c r="C1366" s="1034" t="str">
        <f t="shared" si="293"/>
        <v/>
      </c>
      <c r="D1366" s="1035"/>
      <c r="E1366" s="1035"/>
      <c r="F1366" s="1034" t="str">
        <f t="shared" si="294"/>
        <v/>
      </c>
      <c r="G1366" s="1033"/>
      <c r="H1366" s="1033"/>
      <c r="I1366" s="1034" t="str">
        <f t="shared" si="295"/>
        <v/>
      </c>
      <c r="J1366" s="1033"/>
      <c r="K1366" s="1033"/>
      <c r="L1366" s="1034" t="str">
        <f t="shared" si="296"/>
        <v/>
      </c>
      <c r="M1366" s="1035"/>
      <c r="N1366" s="1035"/>
      <c r="O1366" s="1036" t="str">
        <f t="shared" si="297"/>
        <v/>
      </c>
      <c r="P1366" s="1033"/>
      <c r="Q1366" s="1033"/>
      <c r="R1366" s="1034" t="str">
        <f t="shared" si="298"/>
        <v/>
      </c>
      <c r="S1366" s="1035"/>
      <c r="T1366" s="1035"/>
      <c r="U1366" s="1034" t="str">
        <f t="shared" si="299"/>
        <v/>
      </c>
      <c r="V1366" s="1035"/>
      <c r="W1366" s="1035"/>
      <c r="X1366" s="1037" t="str">
        <f t="shared" si="304"/>
        <v>5</v>
      </c>
      <c r="Y1366" s="1035"/>
      <c r="Z1366" s="1035">
        <f t="shared" si="300"/>
        <v>5</v>
      </c>
      <c r="AA1366" s="1035"/>
      <c r="AB1366" s="1033" t="s">
        <v>2991</v>
      </c>
      <c r="AC1366" s="1026">
        <v>510002</v>
      </c>
      <c r="AD1366" s="1021" t="s">
        <v>2418</v>
      </c>
      <c r="AE1366" s="1022">
        <f>VLOOKUP(AC1366,[5]Hoja1!$A$10:$K$1393,11,0)</f>
        <v>11536250</v>
      </c>
      <c r="AF1366" s="1022"/>
      <c r="AG1366" s="1022">
        <f t="shared" si="301"/>
        <v>11536250</v>
      </c>
      <c r="AH1366" s="1022">
        <f t="shared" si="302"/>
        <v>11536</v>
      </c>
      <c r="AK1366" s="448"/>
      <c r="AL1366" s="445"/>
    </row>
    <row r="1367" spans="1:38" s="467" customFormat="1" ht="12.75" customHeight="1">
      <c r="A1367" s="1033"/>
      <c r="B1367" s="1033"/>
      <c r="C1367" s="1034" t="str">
        <f t="shared" si="293"/>
        <v/>
      </c>
      <c r="D1367" s="1035"/>
      <c r="E1367" s="1035"/>
      <c r="F1367" s="1034" t="str">
        <f t="shared" si="294"/>
        <v/>
      </c>
      <c r="G1367" s="1033"/>
      <c r="H1367" s="1033"/>
      <c r="I1367" s="1034" t="str">
        <f t="shared" si="295"/>
        <v/>
      </c>
      <c r="J1367" s="1033"/>
      <c r="K1367" s="1033"/>
      <c r="L1367" s="1034" t="str">
        <f t="shared" si="296"/>
        <v/>
      </c>
      <c r="M1367" s="1035"/>
      <c r="N1367" s="1035"/>
      <c r="O1367" s="1036" t="str">
        <f t="shared" si="297"/>
        <v/>
      </c>
      <c r="P1367" s="1033"/>
      <c r="Q1367" s="1033"/>
      <c r="R1367" s="1034" t="str">
        <f t="shared" si="298"/>
        <v/>
      </c>
      <c r="S1367" s="1035"/>
      <c r="T1367" s="1035"/>
      <c r="U1367" s="1034" t="str">
        <f t="shared" si="299"/>
        <v/>
      </c>
      <c r="V1367" s="1035"/>
      <c r="W1367" s="1035"/>
      <c r="X1367" s="1037" t="str">
        <f t="shared" si="304"/>
        <v>5</v>
      </c>
      <c r="Y1367" s="1035"/>
      <c r="Z1367" s="1035">
        <f t="shared" si="300"/>
        <v>5</v>
      </c>
      <c r="AA1367" s="1035"/>
      <c r="AB1367" s="1035"/>
      <c r="AC1367" s="1021">
        <v>510003</v>
      </c>
      <c r="AD1367" s="1021" t="s">
        <v>594</v>
      </c>
      <c r="AE1367" s="1022">
        <v>0</v>
      </c>
      <c r="AF1367" s="1022"/>
      <c r="AG1367" s="1022">
        <f t="shared" si="301"/>
        <v>0</v>
      </c>
      <c r="AH1367" s="1022">
        <f t="shared" si="302"/>
        <v>0</v>
      </c>
      <c r="AK1367" s="448"/>
      <c r="AL1367" s="445"/>
    </row>
    <row r="1368" spans="1:38" s="467" customFormat="1" ht="12.75" customHeight="1">
      <c r="A1368" s="1033">
        <v>5316200</v>
      </c>
      <c r="B1368" s="1033" t="s">
        <v>2843</v>
      </c>
      <c r="C1368" s="1034" t="str">
        <f t="shared" si="293"/>
        <v/>
      </c>
      <c r="D1368" s="1035"/>
      <c r="E1368" s="1035"/>
      <c r="F1368" s="1034" t="str">
        <f t="shared" si="294"/>
        <v/>
      </c>
      <c r="G1368" s="1033"/>
      <c r="H1368" s="1033"/>
      <c r="I1368" s="1034" t="str">
        <f t="shared" si="295"/>
        <v/>
      </c>
      <c r="J1368" s="1033"/>
      <c r="K1368" s="1033"/>
      <c r="L1368" s="1034" t="str">
        <f t="shared" si="296"/>
        <v/>
      </c>
      <c r="M1368" s="1035"/>
      <c r="N1368" s="1035"/>
      <c r="O1368" s="1036" t="str">
        <f t="shared" si="297"/>
        <v/>
      </c>
      <c r="P1368" s="1033"/>
      <c r="Q1368" s="1033"/>
      <c r="R1368" s="1034" t="str">
        <f t="shared" si="298"/>
        <v/>
      </c>
      <c r="S1368" s="1035"/>
      <c r="T1368" s="1035"/>
      <c r="U1368" s="1034" t="str">
        <f t="shared" si="299"/>
        <v/>
      </c>
      <c r="V1368" s="1035"/>
      <c r="W1368" s="1035"/>
      <c r="X1368" s="1037" t="str">
        <f t="shared" si="304"/>
        <v>5</v>
      </c>
      <c r="Y1368" s="1035"/>
      <c r="Z1368" s="1035">
        <f t="shared" si="300"/>
        <v>5</v>
      </c>
      <c r="AA1368" s="1035"/>
      <c r="AB1368" s="1035"/>
      <c r="AC1368" s="1424">
        <v>510004</v>
      </c>
      <c r="AD1368" s="1021" t="s">
        <v>686</v>
      </c>
      <c r="AE1368" s="1022">
        <v>0</v>
      </c>
      <c r="AF1368" s="1022"/>
      <c r="AG1368" s="1022">
        <f t="shared" si="301"/>
        <v>0</v>
      </c>
      <c r="AH1368" s="1022">
        <f t="shared" si="302"/>
        <v>0</v>
      </c>
      <c r="AK1368" s="448"/>
      <c r="AL1368" s="445"/>
    </row>
    <row r="1369" spans="1:38" s="467" customFormat="1" ht="12.75" customHeight="1">
      <c r="A1369" s="1033"/>
      <c r="B1369" s="1033"/>
      <c r="C1369" s="1034" t="str">
        <f t="shared" si="293"/>
        <v/>
      </c>
      <c r="D1369" s="1035"/>
      <c r="E1369" s="1035"/>
      <c r="F1369" s="1034" t="str">
        <f t="shared" si="294"/>
        <v/>
      </c>
      <c r="G1369" s="1033"/>
      <c r="H1369" s="1033"/>
      <c r="I1369" s="1034" t="str">
        <f t="shared" si="295"/>
        <v/>
      </c>
      <c r="J1369" s="1033"/>
      <c r="K1369" s="1033"/>
      <c r="L1369" s="1034" t="str">
        <f t="shared" si="296"/>
        <v/>
      </c>
      <c r="M1369" s="1035"/>
      <c r="N1369" s="1035"/>
      <c r="O1369" s="1036" t="str">
        <f t="shared" si="297"/>
        <v/>
      </c>
      <c r="P1369" s="1033"/>
      <c r="Q1369" s="1033"/>
      <c r="R1369" s="1034" t="str">
        <f t="shared" si="298"/>
        <v/>
      </c>
      <c r="S1369" s="1035"/>
      <c r="T1369" s="1035"/>
      <c r="U1369" s="1034" t="str">
        <f t="shared" si="299"/>
        <v/>
      </c>
      <c r="V1369" s="1035"/>
      <c r="W1369" s="1035"/>
      <c r="X1369" s="1037" t="str">
        <f t="shared" si="304"/>
        <v>5</v>
      </c>
      <c r="Y1369" s="1035"/>
      <c r="Z1369" s="1035">
        <f t="shared" si="300"/>
        <v>5</v>
      </c>
      <c r="AA1369" s="1035"/>
      <c r="AB1369" s="1035"/>
      <c r="AC1369" s="1021">
        <v>510005</v>
      </c>
      <c r="AD1369" s="1021" t="s">
        <v>2419</v>
      </c>
      <c r="AE1369" s="1022">
        <f>VLOOKUP(AC1369,[5]Hoja1!$A$10:$K$1393,11,0)</f>
        <v>0</v>
      </c>
      <c r="AF1369" s="1022"/>
      <c r="AG1369" s="1022">
        <f t="shared" si="301"/>
        <v>0</v>
      </c>
      <c r="AH1369" s="1022">
        <f t="shared" si="302"/>
        <v>0</v>
      </c>
      <c r="AK1369" s="448"/>
      <c r="AL1369" s="445"/>
    </row>
    <row r="1370" spans="1:38" s="467" customFormat="1" ht="12.75" customHeight="1">
      <c r="A1370" s="1033">
        <v>5312200</v>
      </c>
      <c r="B1370" s="1033" t="s">
        <v>998</v>
      </c>
      <c r="C1370" s="1034" t="str">
        <f t="shared" si="293"/>
        <v/>
      </c>
      <c r="D1370" s="1035"/>
      <c r="E1370" s="1035"/>
      <c r="F1370" s="1034" t="str">
        <f t="shared" si="294"/>
        <v/>
      </c>
      <c r="G1370" s="1033"/>
      <c r="H1370" s="1033"/>
      <c r="I1370" s="1034" t="str">
        <f t="shared" si="295"/>
        <v/>
      </c>
      <c r="J1370" s="1033"/>
      <c r="K1370" s="1033"/>
      <c r="L1370" s="1034" t="str">
        <f t="shared" si="296"/>
        <v/>
      </c>
      <c r="M1370" s="1035"/>
      <c r="N1370" s="1035"/>
      <c r="O1370" s="1036" t="str">
        <f t="shared" si="297"/>
        <v/>
      </c>
      <c r="P1370" s="1033"/>
      <c r="Q1370" s="1033"/>
      <c r="R1370" s="1034" t="str">
        <f t="shared" si="298"/>
        <v/>
      </c>
      <c r="S1370" s="1035"/>
      <c r="T1370" s="1035"/>
      <c r="U1370" s="1034" t="str">
        <f t="shared" si="299"/>
        <v/>
      </c>
      <c r="V1370" s="1035"/>
      <c r="W1370" s="1035"/>
      <c r="X1370" s="1037" t="str">
        <f t="shared" si="304"/>
        <v>5</v>
      </c>
      <c r="Y1370" s="1035"/>
      <c r="Z1370" s="1035">
        <f t="shared" si="300"/>
        <v>5</v>
      </c>
      <c r="AA1370" s="1035"/>
      <c r="AB1370" s="1033" t="s">
        <v>2991</v>
      </c>
      <c r="AC1370" s="1021">
        <v>510006</v>
      </c>
      <c r="AD1370" s="1021" t="s">
        <v>687</v>
      </c>
      <c r="AE1370" s="1022">
        <f>VLOOKUP(AC1370,[5]Hoja1!$A$10:$K$1393,11,0)</f>
        <v>226973</v>
      </c>
      <c r="AF1370" s="1022"/>
      <c r="AG1370" s="1022">
        <f t="shared" si="301"/>
        <v>226973</v>
      </c>
      <c r="AH1370" s="1022">
        <f t="shared" si="302"/>
        <v>227</v>
      </c>
      <c r="AK1370" s="448"/>
      <c r="AL1370" s="445"/>
    </row>
    <row r="1371" spans="1:38" s="467" customFormat="1" ht="12.75" customHeight="1">
      <c r="A1371" s="1033"/>
      <c r="B1371" s="1033"/>
      <c r="C1371" s="1034" t="str">
        <f t="shared" si="293"/>
        <v/>
      </c>
      <c r="D1371" s="1035"/>
      <c r="E1371" s="1035"/>
      <c r="F1371" s="1034" t="str">
        <f t="shared" si="294"/>
        <v/>
      </c>
      <c r="G1371" s="1033"/>
      <c r="H1371" s="1033"/>
      <c r="I1371" s="1034" t="str">
        <f t="shared" si="295"/>
        <v/>
      </c>
      <c r="J1371" s="1033"/>
      <c r="K1371" s="1033"/>
      <c r="L1371" s="1034" t="str">
        <f t="shared" si="296"/>
        <v/>
      </c>
      <c r="M1371" s="1035"/>
      <c r="N1371" s="1035"/>
      <c r="O1371" s="1036" t="str">
        <f t="shared" si="297"/>
        <v/>
      </c>
      <c r="P1371" s="1033"/>
      <c r="Q1371" s="1033"/>
      <c r="R1371" s="1034" t="str">
        <f t="shared" si="298"/>
        <v/>
      </c>
      <c r="S1371" s="1035"/>
      <c r="T1371" s="1035"/>
      <c r="U1371" s="1034" t="str">
        <f t="shared" si="299"/>
        <v/>
      </c>
      <c r="V1371" s="1035"/>
      <c r="W1371" s="1035"/>
      <c r="X1371" s="1037" t="str">
        <f t="shared" si="304"/>
        <v>5</v>
      </c>
      <c r="Y1371" s="1035"/>
      <c r="Z1371" s="1035">
        <f t="shared" si="300"/>
        <v>5</v>
      </c>
      <c r="AA1371" s="1035"/>
      <c r="AB1371" s="1035"/>
      <c r="AC1371" s="1021">
        <v>510007</v>
      </c>
      <c r="AD1371" s="1021" t="s">
        <v>688</v>
      </c>
      <c r="AE1371" s="1022">
        <v>0</v>
      </c>
      <c r="AF1371" s="1022"/>
      <c r="AG1371" s="1022">
        <f t="shared" si="301"/>
        <v>0</v>
      </c>
      <c r="AH1371" s="1022">
        <f t="shared" si="302"/>
        <v>0</v>
      </c>
      <c r="AK1371" s="448"/>
      <c r="AL1371" s="445"/>
    </row>
    <row r="1372" spans="1:38" s="467" customFormat="1" ht="12.75" customHeight="1">
      <c r="A1372" s="1033">
        <v>5311520</v>
      </c>
      <c r="B1372" s="1033" t="s">
        <v>2825</v>
      </c>
      <c r="C1372" s="1034" t="str">
        <f t="shared" si="293"/>
        <v/>
      </c>
      <c r="D1372" s="1035"/>
      <c r="E1372" s="1035"/>
      <c r="F1372" s="1034" t="str">
        <f t="shared" si="294"/>
        <v/>
      </c>
      <c r="G1372" s="1033"/>
      <c r="H1372" s="1033"/>
      <c r="I1372" s="1034" t="str">
        <f t="shared" si="295"/>
        <v/>
      </c>
      <c r="J1372" s="1033"/>
      <c r="K1372" s="1033"/>
      <c r="L1372" s="1034" t="str">
        <f t="shared" si="296"/>
        <v/>
      </c>
      <c r="M1372" s="1035"/>
      <c r="N1372" s="1035"/>
      <c r="O1372" s="1036" t="str">
        <f t="shared" si="297"/>
        <v/>
      </c>
      <c r="P1372" s="1033"/>
      <c r="Q1372" s="1033"/>
      <c r="R1372" s="1034" t="str">
        <f t="shared" si="298"/>
        <v/>
      </c>
      <c r="S1372" s="1035"/>
      <c r="T1372" s="1035"/>
      <c r="U1372" s="1034" t="str">
        <f t="shared" si="299"/>
        <v>631101820421</v>
      </c>
      <c r="V1372" s="1035">
        <v>631101820</v>
      </c>
      <c r="W1372" s="1035">
        <v>421</v>
      </c>
      <c r="X1372" s="1037" t="str">
        <f t="shared" si="304"/>
        <v>5</v>
      </c>
      <c r="Y1372" s="1035"/>
      <c r="Z1372" s="1035">
        <f t="shared" si="300"/>
        <v>5</v>
      </c>
      <c r="AA1372" s="1035"/>
      <c r="AB1372" s="1035"/>
      <c r="AC1372" s="1021">
        <v>510008</v>
      </c>
      <c r="AD1372" s="1021" t="s">
        <v>702</v>
      </c>
      <c r="AE1372" s="1022">
        <f>VLOOKUP(AC1372,[5]Hoja1!$A$10:$K$1393,11,0)</f>
        <v>0</v>
      </c>
      <c r="AF1372" s="1022"/>
      <c r="AG1372" s="1022">
        <f t="shared" si="301"/>
        <v>0</v>
      </c>
      <c r="AH1372" s="1022">
        <f t="shared" si="302"/>
        <v>0</v>
      </c>
      <c r="AK1372" s="448"/>
      <c r="AL1372" s="445"/>
    </row>
    <row r="1373" spans="1:38" s="467" customFormat="1" ht="12.75" customHeight="1">
      <c r="A1373" s="1033">
        <v>5312200</v>
      </c>
      <c r="B1373" s="1033" t="s">
        <v>998</v>
      </c>
      <c r="C1373" s="1034" t="str">
        <f t="shared" si="293"/>
        <v/>
      </c>
      <c r="D1373" s="1035"/>
      <c r="E1373" s="1035"/>
      <c r="F1373" s="1034" t="str">
        <f t="shared" si="294"/>
        <v/>
      </c>
      <c r="G1373" s="1033"/>
      <c r="H1373" s="1033"/>
      <c r="I1373" s="1034" t="str">
        <f t="shared" si="295"/>
        <v/>
      </c>
      <c r="J1373" s="1033"/>
      <c r="K1373" s="1033"/>
      <c r="L1373" s="1034" t="str">
        <f t="shared" si="296"/>
        <v/>
      </c>
      <c r="M1373" s="1035"/>
      <c r="N1373" s="1035"/>
      <c r="O1373" s="1036" t="str">
        <f t="shared" si="297"/>
        <v/>
      </c>
      <c r="P1373" s="1033"/>
      <c r="Q1373" s="1033"/>
      <c r="R1373" s="1034" t="str">
        <f t="shared" si="298"/>
        <v/>
      </c>
      <c r="S1373" s="1035"/>
      <c r="T1373" s="1035"/>
      <c r="U1373" s="1034" t="str">
        <f t="shared" si="299"/>
        <v/>
      </c>
      <c r="V1373" s="1035"/>
      <c r="W1373" s="1035"/>
      <c r="X1373" s="1037" t="str">
        <f t="shared" si="304"/>
        <v>5</v>
      </c>
      <c r="Y1373" s="1035"/>
      <c r="Z1373" s="1035">
        <f t="shared" ref="Z1373:Z1443" si="305">VALUE(LEFT(AC1373,1))</f>
        <v>5</v>
      </c>
      <c r="AA1373" s="1035"/>
      <c r="AB1373" s="1033" t="s">
        <v>2991</v>
      </c>
      <c r="AC1373" s="1021">
        <v>510009</v>
      </c>
      <c r="AD1373" s="1021" t="s">
        <v>703</v>
      </c>
      <c r="AE1373" s="1022">
        <f>VLOOKUP(AC1373,[5]Hoja1!$A$10:$K$1393,11,0)</f>
        <v>0</v>
      </c>
      <c r="AF1373" s="1022"/>
      <c r="AG1373" s="1022">
        <f t="shared" ref="AG1373:AG1443" si="306">AE1373+AF1373</f>
        <v>0</v>
      </c>
      <c r="AH1373" s="1022">
        <f t="shared" ref="AH1373:AH1443" si="307">ROUND((AE1373+AF1373)/$AH$2,0)</f>
        <v>0</v>
      </c>
      <c r="AK1373" s="448"/>
      <c r="AL1373" s="445"/>
    </row>
    <row r="1374" spans="1:38" s="467" customFormat="1" ht="12.75" customHeight="1">
      <c r="A1374" s="1033"/>
      <c r="B1374" s="1033"/>
      <c r="C1374" s="1034" t="str">
        <f t="shared" si="293"/>
        <v/>
      </c>
      <c r="D1374" s="1035"/>
      <c r="E1374" s="1035"/>
      <c r="F1374" s="1034" t="str">
        <f t="shared" si="294"/>
        <v/>
      </c>
      <c r="G1374" s="1033"/>
      <c r="H1374" s="1033"/>
      <c r="I1374" s="1034" t="str">
        <f t="shared" si="295"/>
        <v/>
      </c>
      <c r="J1374" s="1033"/>
      <c r="K1374" s="1033"/>
      <c r="L1374" s="1034" t="str">
        <f t="shared" si="296"/>
        <v/>
      </c>
      <c r="M1374" s="1035"/>
      <c r="N1374" s="1035"/>
      <c r="O1374" s="1036" t="str">
        <f t="shared" si="297"/>
        <v/>
      </c>
      <c r="P1374" s="1033"/>
      <c r="Q1374" s="1033"/>
      <c r="R1374" s="1034" t="str">
        <f t="shared" si="298"/>
        <v/>
      </c>
      <c r="S1374" s="1035"/>
      <c r="T1374" s="1035"/>
      <c r="U1374" s="1034" t="str">
        <f t="shared" si="299"/>
        <v/>
      </c>
      <c r="V1374" s="1035"/>
      <c r="W1374" s="1035"/>
      <c r="X1374" s="1037" t="str">
        <f t="shared" si="304"/>
        <v>5</v>
      </c>
      <c r="Y1374" s="1035"/>
      <c r="Z1374" s="1035">
        <f t="shared" si="305"/>
        <v>5</v>
      </c>
      <c r="AA1374" s="1035"/>
      <c r="AB1374" s="1035"/>
      <c r="AC1374" s="1021">
        <v>510010</v>
      </c>
      <c r="AD1374" s="1021" t="s">
        <v>919</v>
      </c>
      <c r="AE1374" s="1022">
        <v>0</v>
      </c>
      <c r="AF1374" s="1022"/>
      <c r="AG1374" s="1022">
        <f t="shared" si="306"/>
        <v>0</v>
      </c>
      <c r="AH1374" s="1022">
        <f t="shared" si="307"/>
        <v>0</v>
      </c>
      <c r="AK1374" s="448"/>
      <c r="AL1374" s="445"/>
    </row>
    <row r="1375" spans="1:38" s="467" customFormat="1" ht="12.75" customHeight="1">
      <c r="A1375" s="1033">
        <v>5312200</v>
      </c>
      <c r="B1375" s="1033" t="s">
        <v>998</v>
      </c>
      <c r="C1375" s="1034" t="str">
        <f t="shared" si="293"/>
        <v/>
      </c>
      <c r="D1375" s="1035"/>
      <c r="E1375" s="1035"/>
      <c r="F1375" s="1034" t="str">
        <f t="shared" si="294"/>
        <v/>
      </c>
      <c r="G1375" s="1033"/>
      <c r="H1375" s="1033"/>
      <c r="I1375" s="1034" t="str">
        <f t="shared" si="295"/>
        <v/>
      </c>
      <c r="J1375" s="1033"/>
      <c r="K1375" s="1033"/>
      <c r="L1375" s="1034" t="str">
        <f t="shared" si="296"/>
        <v/>
      </c>
      <c r="M1375" s="1035"/>
      <c r="N1375" s="1035"/>
      <c r="O1375" s="1036" t="str">
        <f t="shared" si="297"/>
        <v/>
      </c>
      <c r="P1375" s="1033"/>
      <c r="Q1375" s="1033"/>
      <c r="R1375" s="1034" t="str">
        <f t="shared" si="298"/>
        <v/>
      </c>
      <c r="S1375" s="1035"/>
      <c r="T1375" s="1035"/>
      <c r="U1375" s="1034" t="str">
        <f t="shared" si="299"/>
        <v/>
      </c>
      <c r="V1375" s="1035"/>
      <c r="W1375" s="1035"/>
      <c r="X1375" s="1037" t="str">
        <f t="shared" si="304"/>
        <v>5</v>
      </c>
      <c r="Y1375" s="1035"/>
      <c r="Z1375" s="1035">
        <f t="shared" si="305"/>
        <v>5</v>
      </c>
      <c r="AA1375" s="1035"/>
      <c r="AB1375" s="1033" t="s">
        <v>2991</v>
      </c>
      <c r="AC1375" s="1021">
        <v>510011</v>
      </c>
      <c r="AD1375" s="1021" t="s">
        <v>704</v>
      </c>
      <c r="AE1375" s="1022">
        <f>VLOOKUP(AC1375,[5]Hoja1!$A$10:$K$1393,11,0)</f>
        <v>0</v>
      </c>
      <c r="AF1375" s="1022"/>
      <c r="AG1375" s="1022">
        <f t="shared" si="306"/>
        <v>0</v>
      </c>
      <c r="AH1375" s="1022">
        <f t="shared" si="307"/>
        <v>0</v>
      </c>
      <c r="AK1375" s="448"/>
      <c r="AL1375" s="445"/>
    </row>
    <row r="1376" spans="1:38" s="467" customFormat="1" ht="12.75" customHeight="1">
      <c r="A1376" s="1033"/>
      <c r="B1376" s="1033"/>
      <c r="C1376" s="1034" t="str">
        <f t="shared" si="293"/>
        <v/>
      </c>
      <c r="D1376" s="1035"/>
      <c r="E1376" s="1035"/>
      <c r="F1376" s="1034" t="str">
        <f t="shared" si="294"/>
        <v/>
      </c>
      <c r="G1376" s="1033"/>
      <c r="H1376" s="1033"/>
      <c r="I1376" s="1034"/>
      <c r="J1376" s="1033"/>
      <c r="K1376" s="1033"/>
      <c r="L1376" s="1034"/>
      <c r="M1376" s="1035"/>
      <c r="N1376" s="1035"/>
      <c r="O1376" s="1036"/>
      <c r="P1376" s="1033"/>
      <c r="Q1376" s="1033"/>
      <c r="R1376" s="1034"/>
      <c r="S1376" s="1035"/>
      <c r="T1376" s="1035"/>
      <c r="U1376" s="1034"/>
      <c r="V1376" s="1035"/>
      <c r="W1376" s="1035"/>
      <c r="X1376" s="1037"/>
      <c r="Y1376" s="1035"/>
      <c r="Z1376" s="1035">
        <f t="shared" si="305"/>
        <v>5</v>
      </c>
      <c r="AA1376" s="1035"/>
      <c r="AB1376" s="1035"/>
      <c r="AC1376" s="1021">
        <v>510012</v>
      </c>
      <c r="AD1376" s="1021" t="s">
        <v>1840</v>
      </c>
      <c r="AE1376" s="1022">
        <v>0</v>
      </c>
      <c r="AF1376" s="1022"/>
      <c r="AG1376" s="1022">
        <f t="shared" si="306"/>
        <v>0</v>
      </c>
      <c r="AH1376" s="1022">
        <f t="shared" si="307"/>
        <v>0</v>
      </c>
      <c r="AK1376" s="448"/>
      <c r="AL1376" s="445"/>
    </row>
    <row r="1377" spans="1:38" s="467" customFormat="1" ht="12.75" customHeight="1">
      <c r="A1377" s="1033"/>
      <c r="B1377" s="1033"/>
      <c r="C1377" s="1034"/>
      <c r="D1377" s="1035"/>
      <c r="E1377" s="1035"/>
      <c r="F1377" s="1034"/>
      <c r="G1377" s="1033"/>
      <c r="H1377" s="1033"/>
      <c r="I1377" s="1034"/>
      <c r="J1377" s="1033"/>
      <c r="K1377" s="1033"/>
      <c r="L1377" s="1034"/>
      <c r="M1377" s="1035"/>
      <c r="N1377" s="1035"/>
      <c r="O1377" s="1036"/>
      <c r="P1377" s="1033"/>
      <c r="Q1377" s="1033"/>
      <c r="R1377" s="1034"/>
      <c r="S1377" s="1035"/>
      <c r="T1377" s="1035"/>
      <c r="U1377" s="1034"/>
      <c r="V1377" s="1035"/>
      <c r="W1377" s="1035"/>
      <c r="X1377" s="1037"/>
      <c r="Y1377" s="1035"/>
      <c r="Z1377" s="1035">
        <f t="shared" si="305"/>
        <v>5</v>
      </c>
      <c r="AA1377" s="1035"/>
      <c r="AB1377" s="1035"/>
      <c r="AC1377" s="1021">
        <v>510035</v>
      </c>
      <c r="AD1377" s="1021" t="s">
        <v>721</v>
      </c>
      <c r="AE1377" s="1022">
        <f>VLOOKUP(AC1377,[5]Hoja1!$A$10:$K$1393,11,0)</f>
        <v>0</v>
      </c>
      <c r="AF1377" s="1022"/>
      <c r="AG1377" s="1022">
        <f t="shared" si="306"/>
        <v>0</v>
      </c>
      <c r="AH1377" s="1022">
        <f t="shared" si="307"/>
        <v>0</v>
      </c>
      <c r="AK1377" s="448"/>
      <c r="AL1377" s="445"/>
    </row>
    <row r="1378" spans="1:38" s="467" customFormat="1" ht="12.75" customHeight="1">
      <c r="A1378" s="1033">
        <v>5311310</v>
      </c>
      <c r="B1378" s="1033" t="s">
        <v>2817</v>
      </c>
      <c r="C1378" s="1034" t="str">
        <f t="shared" ref="C1378:C1393" si="308">+D1378&amp;E1378</f>
        <v/>
      </c>
      <c r="D1378" s="1033"/>
      <c r="E1378" s="1033"/>
      <c r="F1378" s="1034" t="str">
        <f t="shared" ref="F1378:F1393" si="309">+G1378&amp;H1378</f>
        <v/>
      </c>
      <c r="G1378" s="1033"/>
      <c r="H1378" s="1033"/>
      <c r="I1378" s="1034" t="str">
        <f t="shared" ref="I1378:I1393" si="310">+J1378&amp;K1378</f>
        <v/>
      </c>
      <c r="J1378" s="1033"/>
      <c r="K1378" s="1033"/>
      <c r="L1378" s="1034" t="str">
        <f t="shared" ref="L1378:L1393" si="311">+M1378&amp;N1378</f>
        <v/>
      </c>
      <c r="M1378" s="1035"/>
      <c r="N1378" s="1035"/>
      <c r="O1378" s="1036" t="str">
        <f t="shared" ref="O1378:O1393" si="312">+P1378&amp;Q1378</f>
        <v>6351110</v>
      </c>
      <c r="P1378" s="1033">
        <v>6351110</v>
      </c>
      <c r="Q1378" s="1033"/>
      <c r="R1378" s="1034" t="str">
        <f t="shared" ref="R1378:R1393" si="313">+S1378&amp;T1378</f>
        <v/>
      </c>
      <c r="S1378" s="1035"/>
      <c r="T1378" s="1035"/>
      <c r="U1378" s="1034" t="str">
        <f t="shared" ref="U1378:U1393" si="314">+V1378&amp;W1378</f>
        <v>631101710</v>
      </c>
      <c r="V1378" s="1035">
        <v>631101710</v>
      </c>
      <c r="W1378" s="1035"/>
      <c r="X1378" s="1037" t="str">
        <f t="shared" ref="X1378:X1386" si="315">+Y1378&amp;Z1378</f>
        <v>5</v>
      </c>
      <c r="Y1378" s="1035"/>
      <c r="Z1378" s="1035">
        <f t="shared" si="305"/>
        <v>5</v>
      </c>
      <c r="AA1378" s="1035"/>
      <c r="AB1378" s="1035"/>
      <c r="AC1378" s="1021">
        <v>510100</v>
      </c>
      <c r="AD1378" s="1021" t="s">
        <v>2420</v>
      </c>
      <c r="AE1378" s="1022">
        <f>VLOOKUP(AC1378,[5]Hoja1!$A$10:$K$1393,11,0)</f>
        <v>3641645871</v>
      </c>
      <c r="AF1378" s="1188">
        <v>504182998</v>
      </c>
      <c r="AG1378" s="1022">
        <f t="shared" si="306"/>
        <v>4145828869</v>
      </c>
      <c r="AH1378" s="1188">
        <f t="shared" si="307"/>
        <v>4145829</v>
      </c>
      <c r="AI1378" s="467" t="s">
        <v>1805</v>
      </c>
      <c r="AJ1378" s="445"/>
      <c r="AK1378" s="448"/>
      <c r="AL1378" s="445"/>
    </row>
    <row r="1379" spans="1:38" s="467" customFormat="1" ht="12.75" customHeight="1">
      <c r="A1379" s="1033">
        <v>5311410</v>
      </c>
      <c r="B1379" s="1033" t="s">
        <v>2821</v>
      </c>
      <c r="C1379" s="1034" t="str">
        <f t="shared" si="308"/>
        <v/>
      </c>
      <c r="D1379" s="1033"/>
      <c r="E1379" s="1033"/>
      <c r="F1379" s="1034" t="str">
        <f t="shared" si="309"/>
        <v/>
      </c>
      <c r="G1379" s="1033"/>
      <c r="H1379" s="1033"/>
      <c r="I1379" s="1034" t="str">
        <f t="shared" si="310"/>
        <v/>
      </c>
      <c r="J1379" s="1033"/>
      <c r="K1379" s="1033"/>
      <c r="L1379" s="1034" t="str">
        <f t="shared" si="311"/>
        <v/>
      </c>
      <c r="M1379" s="1035"/>
      <c r="N1379" s="1035"/>
      <c r="O1379" s="1036" t="str">
        <f t="shared" si="312"/>
        <v>6351110</v>
      </c>
      <c r="P1379" s="1033">
        <v>6351110</v>
      </c>
      <c r="Q1379" s="1033"/>
      <c r="R1379" s="1034" t="str">
        <f t="shared" si="313"/>
        <v/>
      </c>
      <c r="S1379" s="1035"/>
      <c r="T1379" s="1035"/>
      <c r="U1379" s="1034" t="str">
        <f t="shared" si="314"/>
        <v>631101710</v>
      </c>
      <c r="V1379" s="1035">
        <v>631101710</v>
      </c>
      <c r="W1379" s="1035"/>
      <c r="X1379" s="1037" t="str">
        <f t="shared" si="315"/>
        <v>5</v>
      </c>
      <c r="Y1379" s="1035"/>
      <c r="Z1379" s="1035">
        <f t="shared" si="305"/>
        <v>5</v>
      </c>
      <c r="AA1379" s="1035"/>
      <c r="AB1379" s="1035"/>
      <c r="AC1379" s="1446">
        <v>510101</v>
      </c>
      <c r="AD1379" s="1021" t="s">
        <v>1327</v>
      </c>
      <c r="AE1379" s="1022">
        <f>VLOOKUP(AC1379,[5]Hoja1!$A$10:$K$1393,11,0)</f>
        <v>1535319191</v>
      </c>
      <c r="AF1379" s="1188">
        <v>-504182998</v>
      </c>
      <c r="AG1379" s="1022">
        <f t="shared" si="306"/>
        <v>1031136193</v>
      </c>
      <c r="AH1379" s="1188">
        <f t="shared" si="307"/>
        <v>1031136</v>
      </c>
      <c r="AI1379" s="445">
        <f>+AH1379+AH1401+AH1402+AH1403</f>
        <v>39705039</v>
      </c>
      <c r="AJ1379" s="445" t="s">
        <v>1805</v>
      </c>
      <c r="AK1379" s="448"/>
      <c r="AL1379" s="445"/>
    </row>
    <row r="1380" spans="1:38" s="467" customFormat="1" ht="12.75" customHeight="1">
      <c r="A1380" s="1033">
        <v>5311310</v>
      </c>
      <c r="B1380" s="1033" t="s">
        <v>2817</v>
      </c>
      <c r="C1380" s="1034" t="str">
        <f t="shared" si="308"/>
        <v/>
      </c>
      <c r="D1380" s="1033"/>
      <c r="E1380" s="1033"/>
      <c r="F1380" s="1034" t="str">
        <f t="shared" si="309"/>
        <v/>
      </c>
      <c r="G1380" s="1033"/>
      <c r="H1380" s="1033"/>
      <c r="I1380" s="1034" t="str">
        <f t="shared" si="310"/>
        <v/>
      </c>
      <c r="J1380" s="1033"/>
      <c r="K1380" s="1033"/>
      <c r="L1380" s="1034" t="str">
        <f t="shared" si="311"/>
        <v/>
      </c>
      <c r="M1380" s="1035"/>
      <c r="N1380" s="1035"/>
      <c r="O1380" s="1036" t="str">
        <f t="shared" si="312"/>
        <v>6351110</v>
      </c>
      <c r="P1380" s="1033">
        <v>6351110</v>
      </c>
      <c r="Q1380" s="1033"/>
      <c r="R1380" s="1034" t="str">
        <f t="shared" si="313"/>
        <v/>
      </c>
      <c r="S1380" s="1035"/>
      <c r="T1380" s="1035"/>
      <c r="U1380" s="1034" t="str">
        <f t="shared" si="314"/>
        <v>631101710</v>
      </c>
      <c r="V1380" s="1035">
        <v>631101710</v>
      </c>
      <c r="W1380" s="1035"/>
      <c r="X1380" s="1037" t="str">
        <f t="shared" si="315"/>
        <v>5</v>
      </c>
      <c r="Y1380" s="1035"/>
      <c r="Z1380" s="1035">
        <f t="shared" si="305"/>
        <v>5</v>
      </c>
      <c r="AA1380" s="1035"/>
      <c r="AB1380" s="1035"/>
      <c r="AC1380" s="1021">
        <v>510102</v>
      </c>
      <c r="AD1380" s="1021" t="s">
        <v>1328</v>
      </c>
      <c r="AE1380" s="1022">
        <f>VLOOKUP(AC1380,[5]Hoja1!$A$10:$K$1393,11,0)</f>
        <v>24025008379</v>
      </c>
      <c r="AF1380" s="1188">
        <v>369544642</v>
      </c>
      <c r="AG1380" s="1022">
        <f t="shared" si="306"/>
        <v>24394553021</v>
      </c>
      <c r="AH1380" s="1188">
        <f t="shared" si="307"/>
        <v>24394553</v>
      </c>
      <c r="AI1380" s="467" t="s">
        <v>1805</v>
      </c>
      <c r="AJ1380" s="445"/>
      <c r="AK1380" s="448"/>
      <c r="AL1380" s="445"/>
    </row>
    <row r="1381" spans="1:38" s="467" customFormat="1" ht="12.75" customHeight="1">
      <c r="A1381" s="1033"/>
      <c r="B1381" s="1033"/>
      <c r="C1381" s="1034" t="str">
        <f t="shared" si="308"/>
        <v/>
      </c>
      <c r="D1381" s="1035"/>
      <c r="E1381" s="1035"/>
      <c r="F1381" s="1034" t="str">
        <f t="shared" si="309"/>
        <v/>
      </c>
      <c r="G1381" s="1033"/>
      <c r="H1381" s="1033"/>
      <c r="I1381" s="1034" t="str">
        <f t="shared" si="310"/>
        <v/>
      </c>
      <c r="J1381" s="1033"/>
      <c r="K1381" s="1033"/>
      <c r="L1381" s="1034" t="str">
        <f t="shared" si="311"/>
        <v/>
      </c>
      <c r="M1381" s="1035"/>
      <c r="N1381" s="1035"/>
      <c r="O1381" s="1036" t="str">
        <f t="shared" si="312"/>
        <v>6351210</v>
      </c>
      <c r="P1381" s="1033">
        <v>6351210</v>
      </c>
      <c r="Q1381" s="1033"/>
      <c r="R1381" s="1034" t="str">
        <f t="shared" si="313"/>
        <v/>
      </c>
      <c r="S1381" s="1035"/>
      <c r="T1381" s="1035"/>
      <c r="U1381" s="1034" t="str">
        <f t="shared" si="314"/>
        <v>631101730</v>
      </c>
      <c r="V1381" s="1035">
        <v>631101730</v>
      </c>
      <c r="W1381" s="1035"/>
      <c r="X1381" s="1037" t="str">
        <f t="shared" si="315"/>
        <v>5</v>
      </c>
      <c r="Y1381" s="1035"/>
      <c r="Z1381" s="1035">
        <f t="shared" si="305"/>
        <v>5</v>
      </c>
      <c r="AA1381" s="1035"/>
      <c r="AB1381" s="1035"/>
      <c r="AC1381" s="1021">
        <v>510110</v>
      </c>
      <c r="AD1381" s="1021" t="s">
        <v>2421</v>
      </c>
      <c r="AE1381" s="1022">
        <v>0</v>
      </c>
      <c r="AF1381" s="1022"/>
      <c r="AG1381" s="1022">
        <f t="shared" si="306"/>
        <v>0</v>
      </c>
      <c r="AH1381" s="1022">
        <f t="shared" si="307"/>
        <v>0</v>
      </c>
      <c r="AI1381" s="445" t="s">
        <v>1805</v>
      </c>
      <c r="AJ1381" s="445"/>
      <c r="AK1381" s="448"/>
      <c r="AL1381" s="445"/>
    </row>
    <row r="1382" spans="1:38" s="467" customFormat="1" ht="12.75" customHeight="1">
      <c r="A1382" s="1033"/>
      <c r="B1382" s="1033"/>
      <c r="C1382" s="1034" t="str">
        <f t="shared" si="308"/>
        <v/>
      </c>
      <c r="D1382" s="1035"/>
      <c r="E1382" s="1035"/>
      <c r="F1382" s="1034" t="str">
        <f t="shared" si="309"/>
        <v/>
      </c>
      <c r="G1382" s="1033"/>
      <c r="H1382" s="1033"/>
      <c r="I1382" s="1034" t="str">
        <f t="shared" si="310"/>
        <v/>
      </c>
      <c r="J1382" s="1033"/>
      <c r="K1382" s="1033"/>
      <c r="L1382" s="1034" t="str">
        <f t="shared" si="311"/>
        <v/>
      </c>
      <c r="M1382" s="1035"/>
      <c r="N1382" s="1035"/>
      <c r="O1382" s="1036" t="str">
        <f t="shared" si="312"/>
        <v>6351210</v>
      </c>
      <c r="P1382" s="1033">
        <v>6351210</v>
      </c>
      <c r="Q1382" s="1033"/>
      <c r="R1382" s="1034" t="str">
        <f t="shared" si="313"/>
        <v/>
      </c>
      <c r="S1382" s="1035"/>
      <c r="T1382" s="1035"/>
      <c r="U1382" s="1034" t="str">
        <f t="shared" si="314"/>
        <v>631101730</v>
      </c>
      <c r="V1382" s="1035">
        <v>631101730</v>
      </c>
      <c r="W1382" s="1035"/>
      <c r="X1382" s="1037" t="str">
        <f t="shared" si="315"/>
        <v>5</v>
      </c>
      <c r="Y1382" s="1035"/>
      <c r="Z1382" s="1035">
        <f t="shared" si="305"/>
        <v>5</v>
      </c>
      <c r="AA1382" s="1035"/>
      <c r="AB1382" s="1035"/>
      <c r="AC1382" s="1021">
        <v>510111</v>
      </c>
      <c r="AD1382" s="1021" t="s">
        <v>1329</v>
      </c>
      <c r="AE1382" s="1022">
        <v>0</v>
      </c>
      <c r="AF1382" s="1022"/>
      <c r="AG1382" s="1022">
        <f t="shared" si="306"/>
        <v>0</v>
      </c>
      <c r="AH1382" s="1022">
        <f t="shared" si="307"/>
        <v>0</v>
      </c>
      <c r="AI1382" s="467" t="s">
        <v>1805</v>
      </c>
      <c r="AJ1382" s="445"/>
      <c r="AK1382" s="448"/>
      <c r="AL1382" s="445"/>
    </row>
    <row r="1383" spans="1:38" s="467" customFormat="1" ht="12.75" customHeight="1">
      <c r="A1383" s="1033">
        <v>5311320</v>
      </c>
      <c r="B1383" s="1033" t="s">
        <v>2818</v>
      </c>
      <c r="C1383" s="1034" t="str">
        <f t="shared" si="308"/>
        <v/>
      </c>
      <c r="D1383" s="1035"/>
      <c r="E1383" s="1035"/>
      <c r="F1383" s="1034" t="str">
        <f t="shared" si="309"/>
        <v/>
      </c>
      <c r="G1383" s="1033"/>
      <c r="H1383" s="1033"/>
      <c r="I1383" s="1034" t="str">
        <f t="shared" si="310"/>
        <v/>
      </c>
      <c r="J1383" s="1033"/>
      <c r="K1383" s="1033"/>
      <c r="L1383" s="1034" t="str">
        <f t="shared" si="311"/>
        <v/>
      </c>
      <c r="M1383" s="1035"/>
      <c r="N1383" s="1035"/>
      <c r="O1383" s="1036" t="str">
        <f t="shared" si="312"/>
        <v>6351210</v>
      </c>
      <c r="P1383" s="1033">
        <v>6351210</v>
      </c>
      <c r="Q1383" s="1033"/>
      <c r="R1383" s="1034" t="str">
        <f t="shared" si="313"/>
        <v/>
      </c>
      <c r="S1383" s="1035"/>
      <c r="T1383" s="1035"/>
      <c r="U1383" s="1034" t="str">
        <f t="shared" si="314"/>
        <v>631101730</v>
      </c>
      <c r="V1383" s="1035">
        <v>631101730</v>
      </c>
      <c r="W1383" s="1035"/>
      <c r="X1383" s="1037" t="str">
        <f t="shared" si="315"/>
        <v>5</v>
      </c>
      <c r="Y1383" s="1035"/>
      <c r="Z1383" s="1035">
        <f t="shared" si="305"/>
        <v>5</v>
      </c>
      <c r="AA1383" s="1035"/>
      <c r="AB1383" s="1035"/>
      <c r="AC1383" s="1021">
        <v>510112</v>
      </c>
      <c r="AD1383" s="1021" t="s">
        <v>1330</v>
      </c>
      <c r="AE1383" s="1022">
        <f>VLOOKUP(AC1383,[5]Hoja1!$A$10:$K$1393,11,0)</f>
        <v>-1504090237</v>
      </c>
      <c r="AF1383" s="1022">
        <v>0</v>
      </c>
      <c r="AG1383" s="1022">
        <f t="shared" si="306"/>
        <v>-1504090237</v>
      </c>
      <c r="AH1383" s="1188">
        <f t="shared" si="307"/>
        <v>-1504090</v>
      </c>
      <c r="AI1383" s="467" t="s">
        <v>1805</v>
      </c>
      <c r="AJ1383" s="445"/>
      <c r="AK1383" s="448"/>
      <c r="AL1383" s="445"/>
    </row>
    <row r="1384" spans="1:38" s="467" customFormat="1" ht="12.75" customHeight="1">
      <c r="A1384" s="1033">
        <v>5311310</v>
      </c>
      <c r="B1384" s="1033" t="s">
        <v>2817</v>
      </c>
      <c r="C1384" s="1034"/>
      <c r="D1384" s="1035"/>
      <c r="E1384" s="1035"/>
      <c r="F1384" s="1034"/>
      <c r="G1384" s="1033"/>
      <c r="H1384" s="1033"/>
      <c r="I1384" s="1034"/>
      <c r="J1384" s="1033"/>
      <c r="K1384" s="1033"/>
      <c r="L1384" s="1034"/>
      <c r="M1384" s="1035"/>
      <c r="N1384" s="1035"/>
      <c r="O1384" s="1036"/>
      <c r="P1384" s="1033"/>
      <c r="Q1384" s="1033"/>
      <c r="R1384" s="1034"/>
      <c r="S1384" s="1035"/>
      <c r="T1384" s="1035"/>
      <c r="U1384" s="1034"/>
      <c r="V1384" s="1035"/>
      <c r="W1384" s="1035"/>
      <c r="X1384" s="1037" t="str">
        <f t="shared" si="315"/>
        <v>5</v>
      </c>
      <c r="Y1384" s="1035"/>
      <c r="Z1384" s="1035">
        <f t="shared" si="305"/>
        <v>5</v>
      </c>
      <c r="AA1384" s="1035"/>
      <c r="AB1384" s="1035"/>
      <c r="AC1384" s="1021">
        <v>510119</v>
      </c>
      <c r="AD1384" s="1021" t="s">
        <v>3436</v>
      </c>
      <c r="AE1384" s="1022">
        <f>VLOOKUP(AC1384,[5]Hoja1!$A$10:$K$1393,11,0)</f>
        <v>390842139</v>
      </c>
      <c r="AF1384" s="1022"/>
      <c r="AG1384" s="1022">
        <f t="shared" si="306"/>
        <v>390842139</v>
      </c>
      <c r="AH1384" s="1188">
        <f t="shared" si="307"/>
        <v>390842</v>
      </c>
      <c r="AJ1384" s="445"/>
      <c r="AK1384" s="448"/>
      <c r="AL1384" s="445"/>
    </row>
    <row r="1385" spans="1:38" s="467" customFormat="1" ht="12.75" customHeight="1">
      <c r="A1385" s="1033">
        <v>5311310</v>
      </c>
      <c r="B1385" s="1033" t="s">
        <v>2817</v>
      </c>
      <c r="C1385" s="1034"/>
      <c r="D1385" s="1035"/>
      <c r="E1385" s="1035"/>
      <c r="F1385" s="1034"/>
      <c r="G1385" s="1033"/>
      <c r="H1385" s="1033"/>
      <c r="I1385" s="1034"/>
      <c r="J1385" s="1033"/>
      <c r="K1385" s="1033"/>
      <c r="L1385" s="1034"/>
      <c r="M1385" s="1035"/>
      <c r="N1385" s="1035"/>
      <c r="O1385" s="1036"/>
      <c r="P1385" s="1033"/>
      <c r="Q1385" s="1033"/>
      <c r="R1385" s="1034"/>
      <c r="S1385" s="1035"/>
      <c r="T1385" s="1035"/>
      <c r="U1385" s="1034"/>
      <c r="V1385" s="1035"/>
      <c r="W1385" s="1035"/>
      <c r="X1385" s="1037" t="str">
        <f t="shared" si="315"/>
        <v>5</v>
      </c>
      <c r="Y1385" s="1035"/>
      <c r="Z1385" s="1035">
        <f t="shared" si="305"/>
        <v>5</v>
      </c>
      <c r="AA1385" s="1035"/>
      <c r="AB1385" s="1035"/>
      <c r="AC1385" s="1021">
        <v>510120</v>
      </c>
      <c r="AD1385" s="1021" t="s">
        <v>3443</v>
      </c>
      <c r="AE1385" s="1022">
        <f>VLOOKUP(AC1385,[5]Hoja1!$A$10:$K$1393,11,0)</f>
        <v>182002493</v>
      </c>
      <c r="AF1385" s="1022"/>
      <c r="AG1385" s="1022">
        <f t="shared" si="306"/>
        <v>182002493</v>
      </c>
      <c r="AH1385" s="1188">
        <f t="shared" si="307"/>
        <v>182002</v>
      </c>
      <c r="AJ1385" s="445"/>
      <c r="AK1385" s="448"/>
      <c r="AL1385" s="445"/>
    </row>
    <row r="1386" spans="1:38" s="467" customFormat="1" ht="12.75" customHeight="1">
      <c r="A1386" s="1033">
        <v>5311310</v>
      </c>
      <c r="B1386" s="1033" t="s">
        <v>2817</v>
      </c>
      <c r="C1386" s="1034"/>
      <c r="D1386" s="1035"/>
      <c r="E1386" s="1035"/>
      <c r="F1386" s="1034"/>
      <c r="G1386" s="1033"/>
      <c r="H1386" s="1033"/>
      <c r="I1386" s="1034"/>
      <c r="J1386" s="1033"/>
      <c r="K1386" s="1033"/>
      <c r="L1386" s="1034"/>
      <c r="M1386" s="1035"/>
      <c r="N1386" s="1035"/>
      <c r="O1386" s="1036"/>
      <c r="P1386" s="1033"/>
      <c r="Q1386" s="1033"/>
      <c r="R1386" s="1034"/>
      <c r="S1386" s="1035"/>
      <c r="T1386" s="1035"/>
      <c r="U1386" s="1034"/>
      <c r="V1386" s="1035"/>
      <c r="W1386" s="1035"/>
      <c r="X1386" s="1037" t="str">
        <f t="shared" si="315"/>
        <v>5</v>
      </c>
      <c r="Y1386" s="1035"/>
      <c r="Z1386" s="1035">
        <f t="shared" si="305"/>
        <v>5</v>
      </c>
      <c r="AA1386" s="1035"/>
      <c r="AB1386" s="1035"/>
      <c r="AC1386" s="1021">
        <v>510121</v>
      </c>
      <c r="AD1386" s="1021" t="s">
        <v>3466</v>
      </c>
      <c r="AE1386" s="1022">
        <f>VLOOKUP(AC1386,[5]Hoja1!$A$10:$K$1393,11,0)</f>
        <v>1350928754</v>
      </c>
      <c r="AF1386" s="1022"/>
      <c r="AG1386" s="1022">
        <f t="shared" si="306"/>
        <v>1350928754</v>
      </c>
      <c r="AH1386" s="1188">
        <f t="shared" si="307"/>
        <v>1350929</v>
      </c>
      <c r="AJ1386" s="445"/>
      <c r="AK1386" s="448"/>
      <c r="AL1386" s="445"/>
    </row>
    <row r="1387" spans="1:38" s="467" customFormat="1" ht="12.75" customHeight="1">
      <c r="A1387" s="1033">
        <v>5311210</v>
      </c>
      <c r="B1387" s="1033" t="s">
        <v>2810</v>
      </c>
      <c r="C1387" s="1034" t="str">
        <f>+D1387&amp;E1387</f>
        <v/>
      </c>
      <c r="D1387" s="1033"/>
      <c r="E1387" s="1033"/>
      <c r="F1387" s="1034" t="str">
        <f>+G1387&amp;H1387</f>
        <v/>
      </c>
      <c r="G1387" s="1033"/>
      <c r="H1387" s="1033"/>
      <c r="I1387" s="1034" t="str">
        <f>+J1387&amp;K1387</f>
        <v/>
      </c>
      <c r="J1387" s="1033"/>
      <c r="K1387" s="1033"/>
      <c r="L1387" s="1034" t="str">
        <f>+M1387&amp;N1387</f>
        <v/>
      </c>
      <c r="M1387" s="1035"/>
      <c r="N1387" s="1035"/>
      <c r="O1387" s="1036" t="str">
        <f>+P1387&amp;Q1387</f>
        <v/>
      </c>
      <c r="P1387" s="1033"/>
      <c r="Q1387" s="1033"/>
      <c r="R1387" s="1034" t="str">
        <f>+S1387&amp;T1387</f>
        <v/>
      </c>
      <c r="S1387" s="1035"/>
      <c r="T1387" s="1035"/>
      <c r="U1387" s="1034" t="str">
        <f>+V1387&amp;W1387</f>
        <v>631101200</v>
      </c>
      <c r="V1387" s="1035">
        <v>631101200</v>
      </c>
      <c r="W1387" s="1035"/>
      <c r="X1387" s="1037"/>
      <c r="Y1387" s="1035"/>
      <c r="Z1387" s="1035">
        <f t="shared" si="305"/>
        <v>5</v>
      </c>
      <c r="AA1387" s="1035"/>
      <c r="AB1387" s="1035"/>
      <c r="AC1387" s="1021">
        <v>510200</v>
      </c>
      <c r="AD1387" s="1021" t="s">
        <v>2422</v>
      </c>
      <c r="AE1387" s="1022">
        <f>VLOOKUP(AC1387,[5]Hoja1!$A$10:$K$1393,11,0)</f>
        <v>-7213831</v>
      </c>
      <c r="AF1387" s="1188">
        <f>-6212000+14996000-13902000</f>
        <v>-5118000</v>
      </c>
      <c r="AG1387" s="1022">
        <f t="shared" si="306"/>
        <v>-12331831</v>
      </c>
      <c r="AH1387" s="1188">
        <f t="shared" si="307"/>
        <v>-12332</v>
      </c>
      <c r="AI1387" s="467" t="s">
        <v>1805</v>
      </c>
      <c r="AK1387" s="448"/>
      <c r="AL1387" s="445"/>
    </row>
    <row r="1388" spans="1:38" s="467" customFormat="1" ht="12.75" customHeight="1">
      <c r="A1388" s="1033"/>
      <c r="B1388" s="1033"/>
      <c r="C1388" s="1034" t="str">
        <f>+D1388&amp;E1388</f>
        <v/>
      </c>
      <c r="D1388" s="1033"/>
      <c r="E1388" s="1033"/>
      <c r="F1388" s="1034" t="str">
        <f>+G1388&amp;H1388</f>
        <v/>
      </c>
      <c r="G1388" s="1033"/>
      <c r="H1388" s="1033"/>
      <c r="I1388" s="1034" t="str">
        <f>+J1388&amp;K1388</f>
        <v/>
      </c>
      <c r="J1388" s="1033"/>
      <c r="K1388" s="1033"/>
      <c r="L1388" s="1034" t="str">
        <f>+M1388&amp;N1388</f>
        <v/>
      </c>
      <c r="M1388" s="1035"/>
      <c r="N1388" s="1035"/>
      <c r="O1388" s="1036" t="str">
        <f>+P1388&amp;Q1388</f>
        <v/>
      </c>
      <c r="P1388" s="1033"/>
      <c r="Q1388" s="1033"/>
      <c r="R1388" s="1034" t="str">
        <f>+S1388&amp;T1388</f>
        <v/>
      </c>
      <c r="S1388" s="1035"/>
      <c r="T1388" s="1035"/>
      <c r="U1388" s="1034" t="str">
        <f>+V1388&amp;W1388</f>
        <v>631101200</v>
      </c>
      <c r="V1388" s="1035">
        <v>631101200</v>
      </c>
      <c r="W1388" s="1035"/>
      <c r="X1388" s="1037" t="str">
        <f>+Y1388&amp;Z1388</f>
        <v>5</v>
      </c>
      <c r="Y1388" s="1035"/>
      <c r="Z1388" s="1035">
        <f t="shared" si="305"/>
        <v>5</v>
      </c>
      <c r="AA1388" s="1035"/>
      <c r="AB1388" s="1035"/>
      <c r="AC1388" s="1021">
        <v>510201</v>
      </c>
      <c r="AD1388" s="1021" t="s">
        <v>2423</v>
      </c>
      <c r="AE1388" s="1022">
        <v>0</v>
      </c>
      <c r="AF1388" s="1022"/>
      <c r="AG1388" s="1022">
        <f t="shared" si="306"/>
        <v>0</v>
      </c>
      <c r="AH1388" s="1188">
        <f t="shared" si="307"/>
        <v>0</v>
      </c>
      <c r="AI1388" s="467" t="s">
        <v>1805</v>
      </c>
      <c r="AK1388" s="448"/>
      <c r="AL1388" s="445"/>
    </row>
    <row r="1389" spans="1:38" s="467" customFormat="1" ht="12.75" customHeight="1">
      <c r="A1389" s="1033">
        <v>5311210</v>
      </c>
      <c r="B1389" s="1033" t="s">
        <v>2810</v>
      </c>
      <c r="C1389" s="1034" t="str">
        <f>+D1389&amp;E1389</f>
        <v/>
      </c>
      <c r="D1389" s="1033"/>
      <c r="E1389" s="1033"/>
      <c r="F1389" s="1034" t="str">
        <f>+G1389&amp;H1389</f>
        <v/>
      </c>
      <c r="G1389" s="1033"/>
      <c r="H1389" s="1033"/>
      <c r="I1389" s="1034" t="str">
        <f>+J1389&amp;K1389</f>
        <v/>
      </c>
      <c r="J1389" s="1033"/>
      <c r="K1389" s="1033"/>
      <c r="L1389" s="1034" t="str">
        <f>+M1389&amp;N1389</f>
        <v/>
      </c>
      <c r="M1389" s="1035"/>
      <c r="N1389" s="1035"/>
      <c r="O1389" s="1036" t="str">
        <f>+P1389&amp;Q1389</f>
        <v/>
      </c>
      <c r="P1389" s="1033"/>
      <c r="Q1389" s="1033"/>
      <c r="R1389" s="1034" t="str">
        <f>+S1389&amp;T1389</f>
        <v/>
      </c>
      <c r="S1389" s="1035"/>
      <c r="T1389" s="1035"/>
      <c r="U1389" s="1034" t="str">
        <f>+V1389&amp;W1389</f>
        <v>631101200</v>
      </c>
      <c r="V1389" s="1035">
        <v>631101200</v>
      </c>
      <c r="W1389" s="1035"/>
      <c r="X1389" s="1037" t="str">
        <f>+Y1389&amp;Z1389</f>
        <v>5</v>
      </c>
      <c r="Y1389" s="1035"/>
      <c r="Z1389" s="1035">
        <f t="shared" si="305"/>
        <v>5</v>
      </c>
      <c r="AA1389" s="1035"/>
      <c r="AB1389" s="1035"/>
      <c r="AC1389" s="1021">
        <v>510202</v>
      </c>
      <c r="AD1389" s="1021" t="s">
        <v>2424</v>
      </c>
      <c r="AE1389" s="1022">
        <f>VLOOKUP(AC1389,[5]Hoja1!$A$10:$K$1393,11,0)</f>
        <v>-289304046</v>
      </c>
      <c r="AF1389" s="1022"/>
      <c r="AG1389" s="1022">
        <f t="shared" si="306"/>
        <v>-289304046</v>
      </c>
      <c r="AH1389" s="1188">
        <f t="shared" si="307"/>
        <v>-289304</v>
      </c>
      <c r="AI1389" s="467" t="s">
        <v>1805</v>
      </c>
      <c r="AJ1389" s="467" t="s">
        <v>1805</v>
      </c>
      <c r="AK1389" s="448"/>
      <c r="AL1389" s="445"/>
    </row>
    <row r="1390" spans="1:38" s="467" customFormat="1" ht="12.75" customHeight="1">
      <c r="A1390" s="1033">
        <v>5311230</v>
      </c>
      <c r="B1390" s="1033" t="s">
        <v>2812</v>
      </c>
      <c r="C1390" s="1034"/>
      <c r="D1390" s="1033"/>
      <c r="E1390" s="1033"/>
      <c r="F1390" s="1034"/>
      <c r="G1390" s="1033"/>
      <c r="H1390" s="1033"/>
      <c r="I1390" s="1034"/>
      <c r="J1390" s="1033"/>
      <c r="K1390" s="1033"/>
      <c r="L1390" s="1034"/>
      <c r="M1390" s="1035"/>
      <c r="N1390" s="1035"/>
      <c r="O1390" s="1036"/>
      <c r="P1390" s="1033"/>
      <c r="Q1390" s="1033"/>
      <c r="R1390" s="1034"/>
      <c r="S1390" s="1035"/>
      <c r="T1390" s="1035"/>
      <c r="U1390" s="1034"/>
      <c r="V1390" s="1035"/>
      <c r="W1390" s="1035"/>
      <c r="X1390" s="1037"/>
      <c r="Y1390" s="1035"/>
      <c r="Z1390" s="1035">
        <f t="shared" si="305"/>
        <v>5</v>
      </c>
      <c r="AA1390" s="1035"/>
      <c r="AB1390" s="1035"/>
      <c r="AC1390" s="1021">
        <v>510203</v>
      </c>
      <c r="AD1390" s="27" t="s">
        <v>2941</v>
      </c>
      <c r="AE1390" s="1022">
        <f>VLOOKUP(AC1390,[5]Hoja1!$A$10:$K$1393,11,0)</f>
        <v>2461190916</v>
      </c>
      <c r="AF1390" s="1188">
        <f>-4144000+71755000-57952000</f>
        <v>9659000</v>
      </c>
      <c r="AG1390" s="1022">
        <f t="shared" si="306"/>
        <v>2470849916</v>
      </c>
      <c r="AH1390" s="1188">
        <f t="shared" si="307"/>
        <v>2470850</v>
      </c>
      <c r="AK1390" s="448"/>
      <c r="AL1390" s="445"/>
    </row>
    <row r="1391" spans="1:38" s="467" customFormat="1" ht="12.75" customHeight="1">
      <c r="A1391" s="1033"/>
      <c r="B1391" s="1033"/>
      <c r="C1391" s="1034" t="str">
        <f t="shared" si="308"/>
        <v/>
      </c>
      <c r="D1391" s="1033"/>
      <c r="E1391" s="1033"/>
      <c r="F1391" s="1034" t="str">
        <f t="shared" si="309"/>
        <v/>
      </c>
      <c r="G1391" s="1033"/>
      <c r="H1391" s="1033"/>
      <c r="I1391" s="1034" t="str">
        <f t="shared" si="310"/>
        <v/>
      </c>
      <c r="J1391" s="1033"/>
      <c r="K1391" s="1033"/>
      <c r="L1391" s="1034" t="str">
        <f t="shared" si="311"/>
        <v/>
      </c>
      <c r="M1391" s="1035"/>
      <c r="N1391" s="1035"/>
      <c r="O1391" s="1036" t="str">
        <f t="shared" si="312"/>
        <v/>
      </c>
      <c r="P1391" s="1033"/>
      <c r="Q1391" s="1033"/>
      <c r="R1391" s="1034" t="str">
        <f t="shared" si="313"/>
        <v/>
      </c>
      <c r="S1391" s="1035"/>
      <c r="T1391" s="1035"/>
      <c r="U1391" s="1034" t="str">
        <f t="shared" si="314"/>
        <v>631101300</v>
      </c>
      <c r="V1391" s="1035">
        <v>631101300</v>
      </c>
      <c r="W1391" s="1035"/>
      <c r="X1391" s="1037" t="str">
        <f>+Y1391&amp;Z1391</f>
        <v>5</v>
      </c>
      <c r="Y1391" s="1035"/>
      <c r="Z1391" s="1035">
        <f t="shared" si="305"/>
        <v>5</v>
      </c>
      <c r="AA1391" s="1035"/>
      <c r="AB1391" s="1035"/>
      <c r="AC1391" s="1021">
        <v>510210</v>
      </c>
      <c r="AD1391" s="1021" t="s">
        <v>2425</v>
      </c>
      <c r="AE1391" s="1022">
        <v>0</v>
      </c>
      <c r="AF1391" s="1022"/>
      <c r="AG1391" s="1022">
        <f t="shared" si="306"/>
        <v>0</v>
      </c>
      <c r="AH1391" s="1022">
        <f t="shared" si="307"/>
        <v>0</v>
      </c>
      <c r="AI1391" s="445" t="s">
        <v>1805</v>
      </c>
      <c r="AK1391" s="448"/>
      <c r="AL1391" s="445"/>
    </row>
    <row r="1392" spans="1:38" s="467" customFormat="1" ht="12.75" customHeight="1">
      <c r="A1392" s="1033">
        <v>5311220</v>
      </c>
      <c r="B1392" s="1033" t="s">
        <v>2811</v>
      </c>
      <c r="C1392" s="1034" t="str">
        <f t="shared" si="308"/>
        <v/>
      </c>
      <c r="D1392" s="1033"/>
      <c r="E1392" s="1033"/>
      <c r="F1392" s="1034" t="str">
        <f t="shared" si="309"/>
        <v/>
      </c>
      <c r="G1392" s="1033"/>
      <c r="H1392" s="1033"/>
      <c r="I1392" s="1034" t="str">
        <f t="shared" si="310"/>
        <v/>
      </c>
      <c r="J1392" s="1033"/>
      <c r="K1392" s="1033"/>
      <c r="L1392" s="1034" t="str">
        <f t="shared" si="311"/>
        <v/>
      </c>
      <c r="M1392" s="1035"/>
      <c r="N1392" s="1035"/>
      <c r="O1392" s="1036" t="str">
        <f t="shared" si="312"/>
        <v/>
      </c>
      <c r="P1392" s="1033"/>
      <c r="Q1392" s="1033"/>
      <c r="R1392" s="1034" t="str">
        <f t="shared" si="313"/>
        <v/>
      </c>
      <c r="S1392" s="1035"/>
      <c r="T1392" s="1035"/>
      <c r="U1392" s="1034" t="str">
        <f t="shared" si="314"/>
        <v>631101300</v>
      </c>
      <c r="V1392" s="1035">
        <v>631101300</v>
      </c>
      <c r="W1392" s="1035"/>
      <c r="X1392" s="1037" t="str">
        <f>+Y1392&amp;Z1392</f>
        <v>5</v>
      </c>
      <c r="Y1392" s="1035"/>
      <c r="Z1392" s="1035">
        <f t="shared" si="305"/>
        <v>5</v>
      </c>
      <c r="AA1392" s="1035"/>
      <c r="AB1392" s="1035"/>
      <c r="AC1392" s="1021">
        <v>510211</v>
      </c>
      <c r="AD1392" s="1021" t="s">
        <v>2426</v>
      </c>
      <c r="AE1392" s="1022">
        <v>0</v>
      </c>
      <c r="AF1392" s="1028">
        <v>0</v>
      </c>
      <c r="AG1392" s="1022">
        <f t="shared" si="306"/>
        <v>0</v>
      </c>
      <c r="AH1392" s="1022">
        <f t="shared" si="307"/>
        <v>0</v>
      </c>
      <c r="AI1392" s="467" t="s">
        <v>1805</v>
      </c>
      <c r="AK1392" s="448"/>
      <c r="AL1392" s="445"/>
    </row>
    <row r="1393" spans="1:38" s="467" customFormat="1" ht="12.75" customHeight="1">
      <c r="A1393" s="1033">
        <v>5311220</v>
      </c>
      <c r="B1393" s="1033" t="s">
        <v>2811</v>
      </c>
      <c r="C1393" s="1034" t="str">
        <f t="shared" si="308"/>
        <v/>
      </c>
      <c r="D1393" s="1033"/>
      <c r="E1393" s="1033"/>
      <c r="F1393" s="1034" t="str">
        <f t="shared" si="309"/>
        <v/>
      </c>
      <c r="G1393" s="1033"/>
      <c r="H1393" s="1033"/>
      <c r="I1393" s="1034" t="str">
        <f t="shared" si="310"/>
        <v/>
      </c>
      <c r="J1393" s="1033"/>
      <c r="K1393" s="1033"/>
      <c r="L1393" s="1034" t="str">
        <f t="shared" si="311"/>
        <v/>
      </c>
      <c r="M1393" s="1035"/>
      <c r="N1393" s="1035"/>
      <c r="O1393" s="1036" t="str">
        <f t="shared" si="312"/>
        <v/>
      </c>
      <c r="P1393" s="1033"/>
      <c r="Q1393" s="1033"/>
      <c r="R1393" s="1034" t="str">
        <f t="shared" si="313"/>
        <v/>
      </c>
      <c r="S1393" s="1035"/>
      <c r="T1393" s="1035"/>
      <c r="U1393" s="1034" t="str">
        <f t="shared" si="314"/>
        <v>631101300</v>
      </c>
      <c r="V1393" s="1035">
        <v>631101300</v>
      </c>
      <c r="W1393" s="1035"/>
      <c r="X1393" s="1037" t="str">
        <f>+Y1393&amp;Z1393</f>
        <v>5</v>
      </c>
      <c r="Y1393" s="1035"/>
      <c r="Z1393" s="1035">
        <f t="shared" si="305"/>
        <v>5</v>
      </c>
      <c r="AA1393" s="1035"/>
      <c r="AB1393" s="1035"/>
      <c r="AC1393" s="1021">
        <v>510212</v>
      </c>
      <c r="AD1393" s="1021" t="s">
        <v>2427</v>
      </c>
      <c r="AE1393" s="1022">
        <f>VLOOKUP(AC1393,[5]Hoja1!$A$10:$K$1393,11,0)</f>
        <v>234312424</v>
      </c>
      <c r="AF1393" s="1188">
        <f>239000+48258000-41338000</f>
        <v>7159000</v>
      </c>
      <c r="AG1393" s="1022">
        <f t="shared" si="306"/>
        <v>241471424</v>
      </c>
      <c r="AH1393" s="1188">
        <f t="shared" si="307"/>
        <v>241471</v>
      </c>
      <c r="AI1393" s="445"/>
      <c r="AK1393" s="448"/>
      <c r="AL1393" s="445"/>
    </row>
    <row r="1394" spans="1:38" s="467" customFormat="1" ht="12.75" customHeight="1">
      <c r="A1394" s="1033">
        <v>5311230</v>
      </c>
      <c r="B1394" s="1033" t="s">
        <v>2812</v>
      </c>
      <c r="C1394" s="1034"/>
      <c r="D1394" s="1033"/>
      <c r="E1394" s="1033"/>
      <c r="F1394" s="1034"/>
      <c r="G1394" s="1033"/>
      <c r="H1394" s="1033"/>
      <c r="I1394" s="1034"/>
      <c r="J1394" s="1033"/>
      <c r="K1394" s="1033"/>
      <c r="L1394" s="1034"/>
      <c r="M1394" s="1035"/>
      <c r="N1394" s="1035"/>
      <c r="O1394" s="1036"/>
      <c r="P1394" s="1033"/>
      <c r="Q1394" s="1033"/>
      <c r="R1394" s="1034"/>
      <c r="S1394" s="1035"/>
      <c r="T1394" s="1035"/>
      <c r="U1394" s="1034"/>
      <c r="V1394" s="1035"/>
      <c r="W1394" s="1035"/>
      <c r="X1394" s="1037"/>
      <c r="Y1394" s="1035"/>
      <c r="Z1394" s="1035">
        <f t="shared" si="305"/>
        <v>5</v>
      </c>
      <c r="AA1394" s="1035"/>
      <c r="AB1394" s="1035"/>
      <c r="AC1394" s="1031">
        <v>510212</v>
      </c>
      <c r="AD1394" s="1024" t="s">
        <v>2860</v>
      </c>
      <c r="AE1394" s="1022">
        <v>0</v>
      </c>
      <c r="AF1394" s="1028">
        <v>0</v>
      </c>
      <c r="AG1394" s="1022">
        <f t="shared" si="306"/>
        <v>0</v>
      </c>
      <c r="AH1394" s="1022">
        <f t="shared" si="307"/>
        <v>0</v>
      </c>
      <c r="AK1394" s="448"/>
      <c r="AL1394" s="445"/>
    </row>
    <row r="1395" spans="1:38" s="467" customFormat="1" ht="12.75" customHeight="1">
      <c r="A1395" s="1033">
        <v>5311310</v>
      </c>
      <c r="B1395" s="1033" t="s">
        <v>2817</v>
      </c>
      <c r="C1395" s="1034"/>
      <c r="D1395" s="1033"/>
      <c r="E1395" s="1033"/>
      <c r="F1395" s="1034"/>
      <c r="G1395" s="1033"/>
      <c r="H1395" s="1033"/>
      <c r="I1395" s="1034"/>
      <c r="J1395" s="1033"/>
      <c r="K1395" s="1033"/>
      <c r="L1395" s="1034"/>
      <c r="M1395" s="1035"/>
      <c r="N1395" s="1035"/>
      <c r="O1395" s="1036"/>
      <c r="P1395" s="1033"/>
      <c r="Q1395" s="1033"/>
      <c r="R1395" s="1034"/>
      <c r="S1395" s="1035"/>
      <c r="T1395" s="1035"/>
      <c r="U1395" s="1034"/>
      <c r="V1395" s="1035"/>
      <c r="W1395" s="1035"/>
      <c r="X1395" s="1037"/>
      <c r="Y1395" s="1035"/>
      <c r="Z1395" s="1035">
        <f t="shared" si="305"/>
        <v>5</v>
      </c>
      <c r="AA1395" s="1035"/>
      <c r="AB1395" s="1035"/>
      <c r="AC1395" s="1031">
        <v>510214</v>
      </c>
      <c r="AD1395" s="1021" t="s">
        <v>3531</v>
      </c>
      <c r="AE1395" s="1022">
        <f>VLOOKUP(AC1395,[5]Hoja1!$A$10:$K$1393,11,0)</f>
        <v>960856</v>
      </c>
      <c r="AF1395" s="1028">
        <v>0</v>
      </c>
      <c r="AG1395" s="1022">
        <f t="shared" ref="AG1395" si="316">AE1395+AF1395</f>
        <v>960856</v>
      </c>
      <c r="AH1395" s="1022">
        <f t="shared" ref="AH1395" si="317">ROUND((AE1395+AF1395)/$AH$2,0)</f>
        <v>961</v>
      </c>
      <c r="AK1395" s="448"/>
      <c r="AL1395" s="445"/>
    </row>
    <row r="1396" spans="1:38" s="467" customFormat="1" ht="12.75" customHeight="1">
      <c r="A1396" s="1033">
        <v>5311310</v>
      </c>
      <c r="B1396" s="1033" t="s">
        <v>2817</v>
      </c>
      <c r="C1396" s="1034"/>
      <c r="D1396" s="1033"/>
      <c r="E1396" s="1033"/>
      <c r="F1396" s="1034"/>
      <c r="G1396" s="1033"/>
      <c r="H1396" s="1033"/>
      <c r="I1396" s="1034"/>
      <c r="J1396" s="1033"/>
      <c r="K1396" s="1033"/>
      <c r="L1396" s="1034"/>
      <c r="M1396" s="1035"/>
      <c r="N1396" s="1035"/>
      <c r="O1396" s="1036"/>
      <c r="P1396" s="1033"/>
      <c r="Q1396" s="1033"/>
      <c r="R1396" s="1034"/>
      <c r="S1396" s="1035"/>
      <c r="T1396" s="1035"/>
      <c r="U1396" s="1034"/>
      <c r="V1396" s="1035"/>
      <c r="W1396" s="1035"/>
      <c r="X1396" s="1037"/>
      <c r="Y1396" s="1035"/>
      <c r="Z1396" s="1035">
        <f t="shared" si="305"/>
        <v>5</v>
      </c>
      <c r="AA1396" s="1035"/>
      <c r="AB1396" s="1035"/>
      <c r="AC1396" s="1031">
        <v>510215</v>
      </c>
      <c r="AD1396" s="1021" t="s">
        <v>3527</v>
      </c>
      <c r="AE1396" s="1022">
        <f>VLOOKUP(AC1396,[5]Hoja1!$A$10:$K$1393,11,0)</f>
        <v>1094225099</v>
      </c>
      <c r="AF1396" s="1028">
        <v>0</v>
      </c>
      <c r="AG1396" s="1022">
        <f t="shared" ref="AG1396" si="318">AE1396+AF1396</f>
        <v>1094225099</v>
      </c>
      <c r="AH1396" s="1022">
        <f t="shared" ref="AH1396" si="319">ROUND((AE1396+AF1396)/$AH$2,0)</f>
        <v>1094225</v>
      </c>
      <c r="AK1396" s="448"/>
      <c r="AL1396" s="445"/>
    </row>
    <row r="1397" spans="1:38" s="467" customFormat="1" ht="12.75" customHeight="1">
      <c r="A1397" s="1033">
        <v>5311310</v>
      </c>
      <c r="B1397" s="1033" t="s">
        <v>2817</v>
      </c>
      <c r="C1397" s="1034" t="str">
        <f>+D1397&amp;E1397</f>
        <v/>
      </c>
      <c r="D1397" s="1033"/>
      <c r="E1397" s="1033"/>
      <c r="F1397" s="1034" t="str">
        <f>+G1397&amp;H1397</f>
        <v/>
      </c>
      <c r="G1397" s="1033"/>
      <c r="H1397" s="1033"/>
      <c r="I1397" s="1034" t="str">
        <f>+J1397&amp;K1397</f>
        <v/>
      </c>
      <c r="J1397" s="1033"/>
      <c r="K1397" s="1033"/>
      <c r="L1397" s="1034" t="str">
        <f>+M1397&amp;N1397</f>
        <v/>
      </c>
      <c r="M1397" s="1035"/>
      <c r="N1397" s="1035"/>
      <c r="O1397" s="1036" t="str">
        <f>+P1397&amp;Q1397</f>
        <v>6351110</v>
      </c>
      <c r="P1397" s="1033">
        <v>6351110</v>
      </c>
      <c r="Q1397" s="1033"/>
      <c r="R1397" s="1034" t="str">
        <f>+S1397&amp;T1397</f>
        <v/>
      </c>
      <c r="S1397" s="1035"/>
      <c r="T1397" s="1035"/>
      <c r="U1397" s="1034" t="str">
        <f t="shared" ref="U1397:U1411" si="320">+V1397&amp;W1397</f>
        <v>631101710</v>
      </c>
      <c r="V1397" s="1035">
        <v>631101710</v>
      </c>
      <c r="W1397" s="1035"/>
      <c r="X1397" s="1037" t="str">
        <f>+Y1397&amp;Z1397</f>
        <v>5</v>
      </c>
      <c r="Y1397" s="1035"/>
      <c r="Z1397" s="1035">
        <f t="shared" si="305"/>
        <v>5</v>
      </c>
      <c r="AA1397" s="1035"/>
      <c r="AB1397" s="1035"/>
      <c r="AC1397" s="1021">
        <v>510220</v>
      </c>
      <c r="AD1397" s="1021" t="s">
        <v>521</v>
      </c>
      <c r="AE1397" s="1022">
        <f>VLOOKUP(AC1397,[5]Hoja1!$A$10:$K$1393,11,0)</f>
        <v>-10921332554</v>
      </c>
      <c r="AF1397" s="1188">
        <v>-381684000</v>
      </c>
      <c r="AG1397" s="1022">
        <f t="shared" si="306"/>
        <v>-11303016554</v>
      </c>
      <c r="AH1397" s="1188">
        <f t="shared" si="307"/>
        <v>-11303017</v>
      </c>
      <c r="AK1397" s="448"/>
      <c r="AL1397" s="445"/>
    </row>
    <row r="1398" spans="1:38" s="467" customFormat="1" ht="12.75" customHeight="1">
      <c r="A1398" s="1033">
        <v>5311310</v>
      </c>
      <c r="B1398" s="1033" t="s">
        <v>2817</v>
      </c>
      <c r="C1398" s="1034"/>
      <c r="D1398" s="1033"/>
      <c r="E1398" s="1033"/>
      <c r="F1398" s="1034"/>
      <c r="G1398" s="1033"/>
      <c r="H1398" s="1033"/>
      <c r="I1398" s="1034"/>
      <c r="J1398" s="1033"/>
      <c r="K1398" s="1033"/>
      <c r="L1398" s="1034"/>
      <c r="M1398" s="1035"/>
      <c r="N1398" s="1035"/>
      <c r="O1398" s="1036"/>
      <c r="P1398" s="1033"/>
      <c r="Q1398" s="1033"/>
      <c r="R1398" s="1034"/>
      <c r="S1398" s="1035"/>
      <c r="T1398" s="1035"/>
      <c r="U1398" s="1034"/>
      <c r="V1398" s="1035"/>
      <c r="W1398" s="1035"/>
      <c r="X1398" s="1037"/>
      <c r="Y1398" s="1035"/>
      <c r="Z1398" s="1035">
        <f t="shared" si="305"/>
        <v>5</v>
      </c>
      <c r="AA1398" s="1035"/>
      <c r="AB1398" s="1035"/>
      <c r="AC1398" s="1021">
        <v>510221</v>
      </c>
      <c r="AD1398" s="1021" t="s">
        <v>2579</v>
      </c>
      <c r="AE1398" s="1022">
        <f>VLOOKUP(AC1398,[5]Hoja1!$A$10:$K$1393,11,0)</f>
        <v>3193191722</v>
      </c>
      <c r="AF1398" s="1028"/>
      <c r="AG1398" s="1022">
        <f t="shared" si="306"/>
        <v>3193191722</v>
      </c>
      <c r="AH1398" s="1188">
        <f t="shared" si="307"/>
        <v>3193192</v>
      </c>
      <c r="AK1398" s="448"/>
      <c r="AL1398" s="445"/>
    </row>
    <row r="1399" spans="1:38" s="467" customFormat="1" ht="12.75" customHeight="1">
      <c r="A1399" s="1033">
        <v>5311410</v>
      </c>
      <c r="B1399" s="1033" t="s">
        <v>2821</v>
      </c>
      <c r="C1399" s="1034"/>
      <c r="D1399" s="1033"/>
      <c r="E1399" s="1033"/>
      <c r="F1399" s="1034"/>
      <c r="G1399" s="1033"/>
      <c r="H1399" s="1033"/>
      <c r="I1399" s="1034"/>
      <c r="J1399" s="1033"/>
      <c r="K1399" s="1033"/>
      <c r="L1399" s="1034"/>
      <c r="M1399" s="1035"/>
      <c r="N1399" s="1035"/>
      <c r="O1399" s="1036"/>
      <c r="P1399" s="1033"/>
      <c r="Q1399" s="1033"/>
      <c r="R1399" s="1034"/>
      <c r="S1399" s="1035"/>
      <c r="T1399" s="1035"/>
      <c r="U1399" s="1034"/>
      <c r="V1399" s="1035"/>
      <c r="W1399" s="1035"/>
      <c r="X1399" s="1037"/>
      <c r="Y1399" s="1035"/>
      <c r="Z1399" s="1035">
        <f t="shared" si="305"/>
        <v>5</v>
      </c>
      <c r="AA1399" s="1035"/>
      <c r="AB1399" s="1035"/>
      <c r="AC1399" s="1446">
        <v>510223</v>
      </c>
      <c r="AD1399" s="1021" t="s">
        <v>2944</v>
      </c>
      <c r="AE1399" s="1022">
        <f>VLOOKUP(AC1399,[5]Hoja1!$A$10:$K$1393,11,0)</f>
        <v>62605354172</v>
      </c>
      <c r="AF1399" s="1188">
        <v>434530000</v>
      </c>
      <c r="AG1399" s="1022">
        <f>AE1399+AF1399</f>
        <v>63039884172</v>
      </c>
      <c r="AH1399" s="1188">
        <f>ROUND((AE1399+AF1399)/$AH$2,0)</f>
        <v>63039884</v>
      </c>
      <c r="AK1399" s="448"/>
      <c r="AL1399" s="445"/>
    </row>
    <row r="1400" spans="1:38" s="467" customFormat="1" ht="12.75" customHeight="1">
      <c r="A1400" s="1033">
        <v>5311410</v>
      </c>
      <c r="B1400" s="1033" t="s">
        <v>2821</v>
      </c>
      <c r="C1400" s="1034"/>
      <c r="D1400" s="1033"/>
      <c r="E1400" s="1033"/>
      <c r="F1400" s="1034"/>
      <c r="G1400" s="1033"/>
      <c r="H1400" s="1033"/>
      <c r="I1400" s="1034"/>
      <c r="J1400" s="1033"/>
      <c r="K1400" s="1033"/>
      <c r="L1400" s="1034"/>
      <c r="M1400" s="1035"/>
      <c r="N1400" s="1035"/>
      <c r="O1400" s="1036"/>
      <c r="P1400" s="1033"/>
      <c r="Q1400" s="1033"/>
      <c r="R1400" s="1034"/>
      <c r="S1400" s="1035"/>
      <c r="T1400" s="1035"/>
      <c r="U1400" s="1034"/>
      <c r="V1400" s="1035"/>
      <c r="W1400" s="1035"/>
      <c r="X1400" s="1037"/>
      <c r="Y1400" s="1035"/>
      <c r="Z1400" s="1035">
        <f t="shared" si="305"/>
        <v>5</v>
      </c>
      <c r="AA1400" s="1035"/>
      <c r="AB1400" s="1035"/>
      <c r="AC1400" s="1446">
        <v>510224</v>
      </c>
      <c r="AD1400" s="1021" t="s">
        <v>2945</v>
      </c>
      <c r="AE1400" s="1022">
        <f>VLOOKUP(AC1400,[5]Hoja1!$A$10:$K$1393,11,0)</f>
        <v>19059507506</v>
      </c>
      <c r="AF1400" s="1028"/>
      <c r="AG1400" s="1022">
        <f t="shared" si="306"/>
        <v>19059507506</v>
      </c>
      <c r="AH1400" s="1188">
        <f t="shared" si="307"/>
        <v>19059508</v>
      </c>
      <c r="AK1400" s="448"/>
      <c r="AL1400" s="445"/>
    </row>
    <row r="1401" spans="1:38" s="467" customFormat="1" ht="12.75" customHeight="1">
      <c r="A1401" s="1033">
        <v>5311410</v>
      </c>
      <c r="B1401" s="1033" t="s">
        <v>2821</v>
      </c>
      <c r="C1401" s="1034" t="str">
        <f>+D1401&amp;E1401</f>
        <v/>
      </c>
      <c r="D1401" s="1035"/>
      <c r="E1401" s="1035"/>
      <c r="F1401" s="1034" t="str">
        <f>+G1401&amp;H1401</f>
        <v/>
      </c>
      <c r="G1401" s="1033"/>
      <c r="H1401" s="1033"/>
      <c r="I1401" s="1034" t="str">
        <f>+J1401&amp;K1401</f>
        <v/>
      </c>
      <c r="J1401" s="1033"/>
      <c r="K1401" s="1033"/>
      <c r="L1401" s="1034" t="str">
        <f>+M1401&amp;N1401</f>
        <v>6401100</v>
      </c>
      <c r="M1401" s="1035">
        <v>6401100</v>
      </c>
      <c r="N1401" s="1035"/>
      <c r="O1401" s="1036" t="str">
        <f>+P1401&amp;Q1401</f>
        <v/>
      </c>
      <c r="P1401" s="1033"/>
      <c r="Q1401" s="1033"/>
      <c r="R1401" s="1034" t="str">
        <f>+S1401&amp;T1401</f>
        <v/>
      </c>
      <c r="S1401" s="1035"/>
      <c r="T1401" s="1035"/>
      <c r="U1401" s="1034" t="str">
        <f t="shared" si="320"/>
        <v>631101610</v>
      </c>
      <c r="V1401" s="1035">
        <v>631101610</v>
      </c>
      <c r="W1401" s="1035"/>
      <c r="X1401" s="1037" t="str">
        <f>+Y1401&amp;Z1401</f>
        <v>5</v>
      </c>
      <c r="Y1401" s="1035"/>
      <c r="Z1401" s="1035">
        <f t="shared" si="305"/>
        <v>5</v>
      </c>
      <c r="AA1401" s="1035"/>
      <c r="AB1401" s="1035"/>
      <c r="AC1401" s="1446">
        <v>510230</v>
      </c>
      <c r="AD1401" s="1021" t="s">
        <v>522</v>
      </c>
      <c r="AE1401" s="1022">
        <f>VLOOKUP(AC1401,[5]Hoja1!$A$10:$K$1393,11,0)</f>
        <v>73432600233</v>
      </c>
      <c r="AF1401" s="1188">
        <v>-369544642</v>
      </c>
      <c r="AG1401" s="1022">
        <f t="shared" si="306"/>
        <v>73063055591</v>
      </c>
      <c r="AH1401" s="1188">
        <f t="shared" si="307"/>
        <v>73063056</v>
      </c>
      <c r="AJ1401" s="467" t="s">
        <v>1805</v>
      </c>
      <c r="AK1401" s="448"/>
      <c r="AL1401" s="445"/>
    </row>
    <row r="1402" spans="1:38" s="467" customFormat="1" ht="12.75" customHeight="1">
      <c r="A1402" s="1033">
        <v>5311410</v>
      </c>
      <c r="B1402" s="1033" t="s">
        <v>2821</v>
      </c>
      <c r="C1402" s="1034" t="str">
        <f>+D1402&amp;E1402</f>
        <v/>
      </c>
      <c r="D1402" s="1035"/>
      <c r="E1402" s="1035"/>
      <c r="F1402" s="1034" t="str">
        <f>+G1402&amp;H1402</f>
        <v/>
      </c>
      <c r="G1402" s="1033"/>
      <c r="H1402" s="1033"/>
      <c r="I1402" s="1034" t="str">
        <f>+J1402&amp;K1402</f>
        <v/>
      </c>
      <c r="J1402" s="1033"/>
      <c r="K1402" s="1033"/>
      <c r="L1402" s="1034" t="str">
        <f>+M1402&amp;N1402</f>
        <v/>
      </c>
      <c r="M1402" s="1035"/>
      <c r="N1402" s="1035"/>
      <c r="O1402" s="1036" t="str">
        <f>+P1402&amp;Q1402</f>
        <v/>
      </c>
      <c r="P1402" s="1033"/>
      <c r="Q1402" s="1033"/>
      <c r="R1402" s="1034" t="str">
        <f>+S1402&amp;T1402</f>
        <v/>
      </c>
      <c r="S1402" s="1035"/>
      <c r="T1402" s="1035"/>
      <c r="U1402" s="1034" t="str">
        <f t="shared" si="320"/>
        <v>631101610</v>
      </c>
      <c r="V1402" s="1035">
        <v>631101610</v>
      </c>
      <c r="W1402" s="1035"/>
      <c r="X1402" s="1037" t="str">
        <f>+Y1402&amp;Z1402</f>
        <v>5</v>
      </c>
      <c r="Y1402" s="1035"/>
      <c r="Z1402" s="1035">
        <f t="shared" si="305"/>
        <v>5</v>
      </c>
      <c r="AA1402" s="1035"/>
      <c r="AB1402" s="1035"/>
      <c r="AC1402" s="1446">
        <v>510240</v>
      </c>
      <c r="AD1402" s="1021" t="s">
        <v>523</v>
      </c>
      <c r="AE1402" s="1022">
        <f>VLOOKUP(AC1402,[5]Hoja1!$A$10:$K$1393,11,0)</f>
        <v>-8482218140</v>
      </c>
      <c r="AF1402" s="1028">
        <f>-779852000*0</f>
        <v>0</v>
      </c>
      <c r="AG1402" s="1022">
        <f t="shared" si="306"/>
        <v>-8482218140</v>
      </c>
      <c r="AH1402" s="1188">
        <f t="shared" si="307"/>
        <v>-8482218</v>
      </c>
      <c r="AK1402" s="448"/>
      <c r="AL1402" s="445"/>
    </row>
    <row r="1403" spans="1:38" s="467" customFormat="1" ht="12.75" customHeight="1">
      <c r="A1403" s="1033">
        <v>5311410</v>
      </c>
      <c r="B1403" s="1033" t="s">
        <v>2821</v>
      </c>
      <c r="C1403" s="1034" t="str">
        <f>+D1403&amp;E1403</f>
        <v/>
      </c>
      <c r="D1403" s="1035"/>
      <c r="E1403" s="1035"/>
      <c r="F1403" s="1034" t="str">
        <f>+G1403&amp;H1403</f>
        <v/>
      </c>
      <c r="G1403" s="1033"/>
      <c r="H1403" s="1033"/>
      <c r="I1403" s="1034" t="str">
        <f>+J1403&amp;K1403</f>
        <v/>
      </c>
      <c r="J1403" s="1033"/>
      <c r="K1403" s="1033"/>
      <c r="L1403" s="1034" t="str">
        <f>+M1403&amp;N1403</f>
        <v/>
      </c>
      <c r="M1403" s="1035"/>
      <c r="N1403" s="1035"/>
      <c r="O1403" s="1036" t="str">
        <f>+P1403&amp;Q1403</f>
        <v/>
      </c>
      <c r="P1403" s="1033"/>
      <c r="Q1403" s="1033"/>
      <c r="R1403" s="1034" t="str">
        <f>+S1403&amp;T1403</f>
        <v/>
      </c>
      <c r="S1403" s="1035"/>
      <c r="T1403" s="1035"/>
      <c r="U1403" s="1034" t="str">
        <f t="shared" si="320"/>
        <v>631101610</v>
      </c>
      <c r="V1403" s="1035">
        <v>631101610</v>
      </c>
      <c r="W1403" s="1035"/>
      <c r="X1403" s="1037" t="str">
        <f>+Y1403&amp;Z1403</f>
        <v>5</v>
      </c>
      <c r="Y1403" s="1035"/>
      <c r="Z1403" s="1035">
        <f t="shared" si="305"/>
        <v>5</v>
      </c>
      <c r="AA1403" s="1035"/>
      <c r="AB1403" s="1035"/>
      <c r="AC1403" s="1446">
        <v>510250</v>
      </c>
      <c r="AD1403" s="1021" t="s">
        <v>2428</v>
      </c>
      <c r="AE1403" s="1022">
        <f>VLOOKUP(AC1403,[5]Hoja1!$A$10:$K$1393,11,0)</f>
        <v>-25906934555</v>
      </c>
      <c r="AF1403" s="1028">
        <v>0</v>
      </c>
      <c r="AG1403" s="1022">
        <f t="shared" si="306"/>
        <v>-25906934555</v>
      </c>
      <c r="AH1403" s="1188">
        <f t="shared" si="307"/>
        <v>-25906935</v>
      </c>
      <c r="AK1403" s="448"/>
      <c r="AL1403" s="445"/>
    </row>
    <row r="1404" spans="1:38" s="467" customFormat="1" ht="12.75" customHeight="1">
      <c r="A1404" s="1033">
        <v>5311310</v>
      </c>
      <c r="B1404" s="1033" t="s">
        <v>2817</v>
      </c>
      <c r="C1404" s="1034"/>
      <c r="D1404" s="1033"/>
      <c r="E1404" s="1033"/>
      <c r="F1404" s="1034"/>
      <c r="G1404" s="1033"/>
      <c r="H1404" s="1033"/>
      <c r="I1404" s="1034"/>
      <c r="J1404" s="1033"/>
      <c r="K1404" s="1033"/>
      <c r="L1404" s="1034"/>
      <c r="M1404" s="1035"/>
      <c r="N1404" s="1035"/>
      <c r="O1404" s="1036"/>
      <c r="P1404" s="1033"/>
      <c r="Q1404" s="1033"/>
      <c r="R1404" s="1034"/>
      <c r="S1404" s="1035"/>
      <c r="T1404" s="1035"/>
      <c r="U1404" s="1034"/>
      <c r="V1404" s="1035"/>
      <c r="W1404" s="1035"/>
      <c r="X1404" s="1037"/>
      <c r="Y1404" s="1035"/>
      <c r="Z1404" s="1035">
        <f t="shared" ref="Z1404" si="321">VALUE(LEFT(AC1404,1))</f>
        <v>5</v>
      </c>
      <c r="AA1404" s="1035"/>
      <c r="AB1404" s="1035"/>
      <c r="AC1404" s="1446">
        <v>510251</v>
      </c>
      <c r="AD1404" s="1021" t="s">
        <v>3532</v>
      </c>
      <c r="AE1404" s="1022">
        <f>VLOOKUP(AC1404,[5]Hoja1!$A$10:$K$1393,11,0)</f>
        <v>18567009</v>
      </c>
      <c r="AF1404" s="1028"/>
      <c r="AG1404" s="1022">
        <f t="shared" ref="AG1404" si="322">AE1404+AF1404</f>
        <v>18567009</v>
      </c>
      <c r="AH1404" s="1188">
        <f t="shared" ref="AH1404" si="323">ROUND((AE1404+AF1404)/$AH$2,0)</f>
        <v>18567</v>
      </c>
      <c r="AK1404" s="448"/>
      <c r="AL1404" s="445"/>
    </row>
    <row r="1405" spans="1:38" s="467" customFormat="1" ht="12.75" customHeight="1">
      <c r="A1405" s="1033">
        <v>5313500</v>
      </c>
      <c r="B1405" s="1033" t="s">
        <v>2840</v>
      </c>
      <c r="C1405" s="1034"/>
      <c r="D1405" s="1035"/>
      <c r="E1405" s="1035"/>
      <c r="F1405" s="1034"/>
      <c r="G1405" s="1033"/>
      <c r="H1405" s="1033"/>
      <c r="I1405" s="1034"/>
      <c r="J1405" s="1033"/>
      <c r="K1405" s="1033"/>
      <c r="L1405" s="1034"/>
      <c r="M1405" s="1035"/>
      <c r="N1405" s="1035"/>
      <c r="O1405" s="1036"/>
      <c r="P1405" s="1033"/>
      <c r="Q1405" s="1033"/>
      <c r="R1405" s="1034"/>
      <c r="S1405" s="1035"/>
      <c r="T1405" s="1035"/>
      <c r="U1405" s="1034"/>
      <c r="V1405" s="1035"/>
      <c r="W1405" s="1035"/>
      <c r="X1405" s="1037"/>
      <c r="Y1405" s="1035"/>
      <c r="Z1405" s="1035">
        <f t="shared" si="305"/>
        <v>5</v>
      </c>
      <c r="AA1405" s="1035"/>
      <c r="AB1405" s="1035"/>
      <c r="AC1405" s="1021">
        <v>510504</v>
      </c>
      <c r="AD1405" s="1021" t="s">
        <v>3467</v>
      </c>
      <c r="AE1405" s="1022">
        <f>VLOOKUP(AC1405,[5]Hoja1!$A$10:$K$1393,11,0)</f>
        <v>154503746</v>
      </c>
      <c r="AF1405" s="1028"/>
      <c r="AG1405" s="1022">
        <f t="shared" si="306"/>
        <v>154503746</v>
      </c>
      <c r="AH1405" s="1022">
        <f t="shared" si="307"/>
        <v>154504</v>
      </c>
      <c r="AK1405" s="448"/>
      <c r="AL1405" s="445"/>
    </row>
    <row r="1406" spans="1:38" s="467" customFormat="1" ht="12.75" customHeight="1">
      <c r="A1406" s="1033">
        <v>5311520</v>
      </c>
      <c r="B1406" s="1033" t="s">
        <v>2825</v>
      </c>
      <c r="C1406" s="1034" t="str">
        <f t="shared" ref="C1406:C1502" si="324">+D1406&amp;E1406</f>
        <v/>
      </c>
      <c r="D1406" s="1033"/>
      <c r="E1406" s="1033"/>
      <c r="F1406" s="1034" t="str">
        <f t="shared" ref="F1406:F1502" si="325">+G1406&amp;H1406</f>
        <v/>
      </c>
      <c r="G1406" s="1033"/>
      <c r="H1406" s="1033"/>
      <c r="I1406" s="1034" t="str">
        <f t="shared" ref="I1406:I1502" si="326">+J1406&amp;K1406</f>
        <v/>
      </c>
      <c r="J1406" s="1033"/>
      <c r="K1406" s="1033"/>
      <c r="L1406" s="1034" t="str">
        <f t="shared" ref="L1406:L1502" si="327">+M1406&amp;N1406</f>
        <v/>
      </c>
      <c r="M1406" s="1035"/>
      <c r="N1406" s="1035"/>
      <c r="O1406" s="1036" t="str">
        <f t="shared" ref="O1406:O1502" si="328">+P1406&amp;Q1406</f>
        <v/>
      </c>
      <c r="P1406" s="1033"/>
      <c r="Q1406" s="1033"/>
      <c r="R1406" s="1034" t="str">
        <f t="shared" ref="R1406:R1502" si="329">+S1406&amp;T1406</f>
        <v/>
      </c>
      <c r="S1406" s="1035"/>
      <c r="T1406" s="1035"/>
      <c r="U1406" s="1034" t="str">
        <f t="shared" si="320"/>
        <v>631101820</v>
      </c>
      <c r="V1406" s="1035">
        <v>631101820</v>
      </c>
      <c r="W1406" s="1035"/>
      <c r="X1406" s="1037" t="str">
        <f>+Y1406&amp;Z1406</f>
        <v>5</v>
      </c>
      <c r="Y1406" s="1035"/>
      <c r="Z1406" s="1035">
        <f t="shared" si="305"/>
        <v>5</v>
      </c>
      <c r="AA1406" s="1035"/>
      <c r="AB1406" s="1035"/>
      <c r="AC1406" s="1021">
        <v>520100</v>
      </c>
      <c r="AD1406" s="1021" t="s">
        <v>1481</v>
      </c>
      <c r="AE1406" s="1022">
        <f>VLOOKUP(AC1406,[5]Hoja1!$A$10:$K$1393,11,0)</f>
        <v>4680386085</v>
      </c>
      <c r="AF1406" s="1028">
        <v>0</v>
      </c>
      <c r="AG1406" s="1022">
        <f t="shared" si="306"/>
        <v>4680386085</v>
      </c>
      <c r="AH1406" s="1022">
        <f t="shared" si="307"/>
        <v>4680386</v>
      </c>
      <c r="AK1406" s="448"/>
      <c r="AL1406" s="445"/>
    </row>
    <row r="1407" spans="1:38" s="467" customFormat="1" ht="12.75" customHeight="1">
      <c r="A1407" s="1033">
        <v>5311510</v>
      </c>
      <c r="B1407" s="1033" t="s">
        <v>2824</v>
      </c>
      <c r="C1407" s="1034"/>
      <c r="D1407" s="1033"/>
      <c r="E1407" s="1033"/>
      <c r="F1407" s="1034"/>
      <c r="G1407" s="1033"/>
      <c r="H1407" s="1033"/>
      <c r="I1407" s="1034"/>
      <c r="J1407" s="1033"/>
      <c r="K1407" s="1033"/>
      <c r="L1407" s="1034"/>
      <c r="M1407" s="1035"/>
      <c r="N1407" s="1035"/>
      <c r="O1407" s="1036"/>
      <c r="P1407" s="1033"/>
      <c r="Q1407" s="1033"/>
      <c r="R1407" s="1034"/>
      <c r="S1407" s="1035"/>
      <c r="T1407" s="1035"/>
      <c r="U1407" s="1034" t="str">
        <f t="shared" si="320"/>
        <v>631101810</v>
      </c>
      <c r="V1407" s="1035">
        <v>631101810</v>
      </c>
      <c r="W1407" s="1035"/>
      <c r="X1407" s="1037"/>
      <c r="Y1407" s="1035"/>
      <c r="Z1407" s="1035">
        <f t="shared" si="305"/>
        <v>5</v>
      </c>
      <c r="AA1407" s="1035"/>
      <c r="AB1407" s="1035"/>
      <c r="AC1407" s="1032">
        <v>520110</v>
      </c>
      <c r="AD1407" s="1021" t="s">
        <v>268</v>
      </c>
      <c r="AE1407" s="1022">
        <f>VLOOKUP(AC1407,[5]Hoja1!$A$10:$K$1393,11,0)</f>
        <v>171057561</v>
      </c>
      <c r="AF1407" s="1028">
        <v>0</v>
      </c>
      <c r="AG1407" s="1022">
        <f t="shared" si="306"/>
        <v>171057561</v>
      </c>
      <c r="AH1407" s="1022">
        <f t="shared" si="307"/>
        <v>171058</v>
      </c>
      <c r="AK1407" s="448"/>
      <c r="AL1407" s="445"/>
    </row>
    <row r="1408" spans="1:38" s="467" customFormat="1" ht="12.75" customHeight="1">
      <c r="A1408" s="1033">
        <v>5311130</v>
      </c>
      <c r="B1408" s="1033" t="s">
        <v>2808</v>
      </c>
      <c r="C1408" s="1034" t="str">
        <f t="shared" si="324"/>
        <v>671130000</v>
      </c>
      <c r="D1408" s="1035">
        <v>671130000</v>
      </c>
      <c r="E1408" s="1035"/>
      <c r="F1408" s="1034" t="str">
        <f t="shared" si="325"/>
        <v/>
      </c>
      <c r="G1408" s="1033"/>
      <c r="H1408" s="1033"/>
      <c r="I1408" s="1034" t="str">
        <f t="shared" si="326"/>
        <v/>
      </c>
      <c r="J1408" s="1035"/>
      <c r="K1408" s="1035"/>
      <c r="L1408" s="1034" t="str">
        <f t="shared" si="327"/>
        <v/>
      </c>
      <c r="M1408" s="1035"/>
      <c r="N1408" s="1035"/>
      <c r="O1408" s="1036" t="str">
        <f t="shared" si="328"/>
        <v/>
      </c>
      <c r="P1408" s="1033"/>
      <c r="Q1408" s="1033"/>
      <c r="R1408" s="1034" t="str">
        <f t="shared" si="329"/>
        <v>6201300</v>
      </c>
      <c r="S1408" s="1035">
        <v>6201300</v>
      </c>
      <c r="T1408" s="1035"/>
      <c r="U1408" s="1034" t="str">
        <f t="shared" si="320"/>
        <v>631101130</v>
      </c>
      <c r="V1408" s="1035">
        <v>631101130</v>
      </c>
      <c r="W1408" s="1035"/>
      <c r="X1408" s="1037" t="str">
        <f>+Y1408&amp;Z1408</f>
        <v>5</v>
      </c>
      <c r="Y1408" s="1035"/>
      <c r="Z1408" s="1035">
        <f t="shared" si="305"/>
        <v>5</v>
      </c>
      <c r="AA1408" s="1035"/>
      <c r="AB1408" s="1035"/>
      <c r="AC1408" s="1021">
        <v>520200</v>
      </c>
      <c r="AD1408" s="1021" t="s">
        <v>524</v>
      </c>
      <c r="AE1408" s="1022">
        <f>VLOOKUP(AC1408,[5]Hoja1!$A$10:$K$1393,11,0)</f>
        <v>0</v>
      </c>
      <c r="AF1408" s="1022">
        <v>0</v>
      </c>
      <c r="AG1408" s="1022">
        <f t="shared" si="306"/>
        <v>0</v>
      </c>
      <c r="AH1408" s="1022">
        <f t="shared" si="307"/>
        <v>0</v>
      </c>
      <c r="AK1408" s="448"/>
      <c r="AL1408" s="445"/>
    </row>
    <row r="1409" spans="1:38" s="467" customFormat="1" ht="12.75" customHeight="1">
      <c r="A1409" s="1033">
        <v>5311600</v>
      </c>
      <c r="B1409" s="1033" t="s">
        <v>2828</v>
      </c>
      <c r="C1409" s="1034" t="str">
        <f t="shared" si="324"/>
        <v/>
      </c>
      <c r="D1409" s="1033"/>
      <c r="E1409" s="1033"/>
      <c r="F1409" s="1034" t="str">
        <f t="shared" si="325"/>
        <v/>
      </c>
      <c r="G1409" s="1033"/>
      <c r="H1409" s="1033"/>
      <c r="I1409" s="1034" t="str">
        <f t="shared" si="326"/>
        <v/>
      </c>
      <c r="J1409" s="1033"/>
      <c r="K1409" s="1033"/>
      <c r="L1409" s="1034" t="str">
        <f t="shared" si="327"/>
        <v/>
      </c>
      <c r="M1409" s="1035"/>
      <c r="N1409" s="1035"/>
      <c r="O1409" s="1036" t="str">
        <f t="shared" si="328"/>
        <v/>
      </c>
      <c r="P1409" s="1035"/>
      <c r="Q1409" s="1033"/>
      <c r="R1409" s="1034" t="str">
        <f t="shared" si="329"/>
        <v/>
      </c>
      <c r="S1409" s="1035"/>
      <c r="T1409" s="1035"/>
      <c r="U1409" s="1034" t="str">
        <f t="shared" si="320"/>
        <v>631101900</v>
      </c>
      <c r="V1409" s="1035">
        <v>631101900</v>
      </c>
      <c r="W1409" s="1035"/>
      <c r="X1409" s="1037" t="str">
        <f>+Y1409&amp;Z1409</f>
        <v>5</v>
      </c>
      <c r="Y1409" s="1035"/>
      <c r="Z1409" s="1035">
        <f t="shared" si="305"/>
        <v>5</v>
      </c>
      <c r="AA1409" s="1035"/>
      <c r="AB1409" s="1035"/>
      <c r="AC1409" s="1021">
        <v>520300</v>
      </c>
      <c r="AD1409" s="1021" t="s">
        <v>2429</v>
      </c>
      <c r="AE1409" s="1022">
        <f>VLOOKUP(AC1409,[5]Hoja1!$A$10:$K$1393,11,0)</f>
        <v>229560456</v>
      </c>
      <c r="AF1409" s="1022"/>
      <c r="AG1409" s="1022">
        <f t="shared" si="306"/>
        <v>229560456</v>
      </c>
      <c r="AH1409" s="1022">
        <f t="shared" si="307"/>
        <v>229560</v>
      </c>
      <c r="AK1409" s="448"/>
      <c r="AL1409" s="445"/>
    </row>
    <row r="1410" spans="1:38" s="467" customFormat="1" ht="12.75" customHeight="1">
      <c r="A1410" s="1033">
        <v>5311700</v>
      </c>
      <c r="B1410" s="1033" t="s">
        <v>129</v>
      </c>
      <c r="C1410" s="1034" t="str">
        <f t="shared" si="324"/>
        <v/>
      </c>
      <c r="D1410" s="1033"/>
      <c r="E1410" s="1033"/>
      <c r="F1410" s="1034" t="str">
        <f t="shared" si="325"/>
        <v/>
      </c>
      <c r="G1410" s="1033"/>
      <c r="H1410" s="1033"/>
      <c r="I1410" s="1034" t="str">
        <f t="shared" si="326"/>
        <v/>
      </c>
      <c r="J1410" s="1033"/>
      <c r="K1410" s="1033"/>
      <c r="L1410" s="1034" t="str">
        <f t="shared" si="327"/>
        <v/>
      </c>
      <c r="M1410" s="1035"/>
      <c r="N1410" s="1035"/>
      <c r="O1410" s="1036" t="str">
        <f t="shared" si="328"/>
        <v/>
      </c>
      <c r="P1410" s="1033"/>
      <c r="Q1410" s="1033"/>
      <c r="R1410" s="1034" t="str">
        <f t="shared" si="329"/>
        <v/>
      </c>
      <c r="S1410" s="1033"/>
      <c r="T1410" s="1035"/>
      <c r="U1410" s="1034" t="str">
        <f t="shared" si="320"/>
        <v>631102000</v>
      </c>
      <c r="V1410" s="1035">
        <v>631102000</v>
      </c>
      <c r="W1410" s="1035"/>
      <c r="X1410" s="1037" t="str">
        <f>+Y1410&amp;Z1410</f>
        <v>5</v>
      </c>
      <c r="Y1410" s="1035"/>
      <c r="Z1410" s="1035">
        <f t="shared" si="305"/>
        <v>5</v>
      </c>
      <c r="AA1410" s="1035"/>
      <c r="AB1410" s="1035"/>
      <c r="AC1410" s="1021">
        <v>520400</v>
      </c>
      <c r="AD1410" s="1021" t="s">
        <v>1878</v>
      </c>
      <c r="AE1410" s="1022">
        <f>VLOOKUP(AC1410,[5]Hoja1!$A$10:$K$1393,11,0)</f>
        <v>80364817</v>
      </c>
      <c r="AF1410" s="1022"/>
      <c r="AG1410" s="1022">
        <f t="shared" si="306"/>
        <v>80364817</v>
      </c>
      <c r="AH1410" s="1022">
        <f t="shared" si="307"/>
        <v>80365</v>
      </c>
      <c r="AK1410" s="448"/>
      <c r="AL1410" s="445"/>
    </row>
    <row r="1411" spans="1:38" s="467" customFormat="1" ht="12.75" customHeight="1">
      <c r="A1411" s="1033">
        <v>5311310</v>
      </c>
      <c r="B1411" s="1033" t="s">
        <v>2817</v>
      </c>
      <c r="C1411" s="1034" t="str">
        <f t="shared" si="324"/>
        <v/>
      </c>
      <c r="D1411" s="1033"/>
      <c r="E1411" s="1033"/>
      <c r="F1411" s="1034" t="str">
        <f t="shared" si="325"/>
        <v/>
      </c>
      <c r="G1411" s="1033"/>
      <c r="H1411" s="1033"/>
      <c r="I1411" s="1034" t="str">
        <f t="shared" si="326"/>
        <v/>
      </c>
      <c r="J1411" s="1033"/>
      <c r="K1411" s="1033"/>
      <c r="L1411" s="1034" t="str">
        <f t="shared" si="327"/>
        <v/>
      </c>
      <c r="M1411" s="1035"/>
      <c r="N1411" s="1035"/>
      <c r="O1411" s="1036" t="str">
        <f t="shared" si="328"/>
        <v>6351120</v>
      </c>
      <c r="P1411" s="1033">
        <v>6351120</v>
      </c>
      <c r="Q1411" s="1033"/>
      <c r="R1411" s="1034" t="str">
        <f t="shared" si="329"/>
        <v/>
      </c>
      <c r="S1411" s="1035"/>
      <c r="T1411" s="1035"/>
      <c r="U1411" s="1034" t="str">
        <f t="shared" si="320"/>
        <v>631101710</v>
      </c>
      <c r="V1411" s="1035">
        <v>631101710</v>
      </c>
      <c r="W1411" s="1035"/>
      <c r="X1411" s="1037" t="str">
        <f>+Y1411&amp;Z1411</f>
        <v>5</v>
      </c>
      <c r="Y1411" s="1035"/>
      <c r="Z1411" s="1035">
        <f t="shared" si="305"/>
        <v>5</v>
      </c>
      <c r="AA1411" s="1035"/>
      <c r="AB1411" s="1035"/>
      <c r="AC1411" s="1021">
        <v>520500</v>
      </c>
      <c r="AD1411" s="1021" t="s">
        <v>525</v>
      </c>
      <c r="AE1411" s="1022">
        <f>VLOOKUP(AC1411,[5]Hoja1!$A$10:$K$1393,11,0)</f>
        <v>2625771624</v>
      </c>
      <c r="AF1411" s="1022">
        <v>0</v>
      </c>
      <c r="AG1411" s="1022">
        <f t="shared" si="306"/>
        <v>2625771624</v>
      </c>
      <c r="AH1411" s="1188">
        <f t="shared" si="307"/>
        <v>2625772</v>
      </c>
      <c r="AK1411" s="448"/>
      <c r="AL1411" s="445"/>
    </row>
    <row r="1412" spans="1:38" s="467" customFormat="1" ht="12.75" customHeight="1">
      <c r="A1412" s="1033">
        <v>5311310</v>
      </c>
      <c r="B1412" s="1033" t="s">
        <v>2817</v>
      </c>
      <c r="C1412" s="1034"/>
      <c r="D1412" s="1033"/>
      <c r="E1412" s="1033"/>
      <c r="F1412" s="1034"/>
      <c r="G1412" s="1033"/>
      <c r="H1412" s="1033"/>
      <c r="I1412" s="1034"/>
      <c r="J1412" s="1033"/>
      <c r="K1412" s="1033"/>
      <c r="L1412" s="1034"/>
      <c r="M1412" s="1035"/>
      <c r="N1412" s="1035"/>
      <c r="O1412" s="1036"/>
      <c r="P1412" s="1033"/>
      <c r="Q1412" s="1033"/>
      <c r="R1412" s="1034"/>
      <c r="S1412" s="1035"/>
      <c r="T1412" s="1035"/>
      <c r="U1412" s="1034"/>
      <c r="V1412" s="1035"/>
      <c r="W1412" s="1035"/>
      <c r="X1412" s="1037"/>
      <c r="Y1412" s="1035"/>
      <c r="Z1412" s="1035">
        <f t="shared" si="305"/>
        <v>5</v>
      </c>
      <c r="AA1412" s="1035"/>
      <c r="AB1412" s="1035"/>
      <c r="AC1412" s="1021">
        <v>520501</v>
      </c>
      <c r="AD1412" s="1021" t="s">
        <v>1434</v>
      </c>
      <c r="AE1412" s="1022">
        <f>VLOOKUP(AC1412,[5]Hoja1!$A$10:$K$1393,11,0)</f>
        <v>0</v>
      </c>
      <c r="AF1412" s="1022"/>
      <c r="AG1412" s="1022">
        <f t="shared" si="306"/>
        <v>0</v>
      </c>
      <c r="AH1412" s="1022">
        <f t="shared" si="307"/>
        <v>0</v>
      </c>
      <c r="AK1412" s="448"/>
      <c r="AL1412" s="445"/>
    </row>
    <row r="1413" spans="1:38" s="467" customFormat="1" ht="12.75" customHeight="1">
      <c r="A1413" s="1033">
        <v>5311110</v>
      </c>
      <c r="B1413" s="1033" t="s">
        <v>2806</v>
      </c>
      <c r="C1413" s="1034" t="str">
        <f>+D1413&amp;E1413</f>
        <v>671110000</v>
      </c>
      <c r="D1413" s="1033">
        <v>671110000</v>
      </c>
      <c r="E1413" s="1033"/>
      <c r="F1413" s="1034" t="str">
        <f>+G1413&amp;H1413</f>
        <v/>
      </c>
      <c r="G1413" s="1033"/>
      <c r="H1413" s="1033"/>
      <c r="I1413" s="1034" t="str">
        <f>+J1413&amp;K1413</f>
        <v/>
      </c>
      <c r="J1413" s="1033"/>
      <c r="K1413" s="1033"/>
      <c r="L1413" s="1034" t="str">
        <f>+M1413&amp;N1413</f>
        <v/>
      </c>
      <c r="M1413" s="1035"/>
      <c r="N1413" s="1035"/>
      <c r="O1413" s="1036" t="str">
        <f>+P1413&amp;Q1413</f>
        <v/>
      </c>
      <c r="P1413" s="1033"/>
      <c r="Q1413" s="1033"/>
      <c r="R1413" s="1034" t="str">
        <f>+S1413&amp;T1413</f>
        <v>6201120</v>
      </c>
      <c r="S1413" s="1035">
        <v>6201120</v>
      </c>
      <c r="T1413" s="1035"/>
      <c r="U1413" s="1034" t="str">
        <f>+V1413&amp;W1413</f>
        <v>631101110</v>
      </c>
      <c r="V1413" s="1035">
        <v>631101110</v>
      </c>
      <c r="W1413" s="1035"/>
      <c r="X1413" s="1037" t="str">
        <f>+Y1413&amp;Z1413</f>
        <v>5</v>
      </c>
      <c r="Y1413" s="1035"/>
      <c r="Z1413" s="1035">
        <f t="shared" si="305"/>
        <v>5</v>
      </c>
      <c r="AA1413" s="1035"/>
      <c r="AB1413" s="1035"/>
      <c r="AC1413" s="1021">
        <v>520600</v>
      </c>
      <c r="AD1413" s="1021" t="s">
        <v>526</v>
      </c>
      <c r="AE1413" s="1022">
        <f>VLOOKUP(AC1413,[5]Hoja1!$A$10:$K$1393,11,0)</f>
        <v>455701454</v>
      </c>
      <c r="AF1413" s="1022"/>
      <c r="AG1413" s="1022">
        <f t="shared" si="306"/>
        <v>455701454</v>
      </c>
      <c r="AH1413" s="1022">
        <f t="shared" si="307"/>
        <v>455701</v>
      </c>
      <c r="AK1413" s="448"/>
      <c r="AL1413" s="445"/>
    </row>
    <row r="1414" spans="1:38" s="467" customFormat="1" ht="12.75" customHeight="1">
      <c r="A1414" s="1033">
        <v>5313500</v>
      </c>
      <c r="B1414" s="1033" t="s">
        <v>2840</v>
      </c>
      <c r="C1414" s="1034" t="str">
        <f>+D1414&amp;E1414</f>
        <v/>
      </c>
      <c r="D1414" s="1035"/>
      <c r="E1414" s="1035"/>
      <c r="F1414" s="1034" t="str">
        <f>+G1414&amp;H1414</f>
        <v/>
      </c>
      <c r="G1414" s="1033"/>
      <c r="H1414" s="1033"/>
      <c r="I1414" s="1034" t="str">
        <f>+J1414&amp;K1414</f>
        <v/>
      </c>
      <c r="J1414" s="1033"/>
      <c r="K1414" s="1033"/>
      <c r="L1414" s="1034" t="str">
        <f>+M1414&amp;N1414</f>
        <v/>
      </c>
      <c r="M1414" s="1035"/>
      <c r="N1414" s="1035"/>
      <c r="O1414" s="1036" t="str">
        <f>+P1414&amp;Q1414</f>
        <v/>
      </c>
      <c r="P1414" s="1035"/>
      <c r="Q1414" s="1033"/>
      <c r="R1414" s="1034" t="str">
        <f>+S1414&amp;T1414</f>
        <v/>
      </c>
      <c r="S1414" s="1035"/>
      <c r="T1414" s="1035"/>
      <c r="U1414" s="1034" t="str">
        <f>+V1414&amp;W1414</f>
        <v/>
      </c>
      <c r="V1414" s="1035"/>
      <c r="W1414" s="1035"/>
      <c r="X1414" s="1037" t="str">
        <f>+Y1414&amp;Z1414</f>
        <v>5</v>
      </c>
      <c r="Y1414" s="1035"/>
      <c r="Z1414" s="1035">
        <f t="shared" si="305"/>
        <v>5</v>
      </c>
      <c r="AA1414" s="1035"/>
      <c r="AB1414" s="1035"/>
      <c r="AC1414" s="1021">
        <v>520700</v>
      </c>
      <c r="AD1414" s="1021" t="s">
        <v>884</v>
      </c>
      <c r="AE1414" s="1022">
        <f>VLOOKUP(AC1414,[5]Hoja1!$A$10:$K$1393,11,0)</f>
        <v>20196125</v>
      </c>
      <c r="AF1414" s="1022"/>
      <c r="AG1414" s="1022">
        <f t="shared" si="306"/>
        <v>20196125</v>
      </c>
      <c r="AH1414" s="1022">
        <f t="shared" si="307"/>
        <v>20196</v>
      </c>
      <c r="AK1414" s="448"/>
      <c r="AL1414" s="445"/>
    </row>
    <row r="1415" spans="1:38" s="467" customFormat="1" ht="12.75" customHeight="1">
      <c r="A1415" s="1033">
        <v>5313500</v>
      </c>
      <c r="B1415" s="1033" t="s">
        <v>2840</v>
      </c>
      <c r="C1415" s="1034"/>
      <c r="D1415" s="1035"/>
      <c r="E1415" s="1035"/>
      <c r="F1415" s="1034"/>
      <c r="G1415" s="1033"/>
      <c r="H1415" s="1033"/>
      <c r="I1415" s="1034"/>
      <c r="J1415" s="1033"/>
      <c r="K1415" s="1033"/>
      <c r="L1415" s="1034"/>
      <c r="M1415" s="1035"/>
      <c r="N1415" s="1035"/>
      <c r="O1415" s="1036"/>
      <c r="P1415" s="1035"/>
      <c r="Q1415" s="1033"/>
      <c r="R1415" s="1034"/>
      <c r="S1415" s="1035"/>
      <c r="T1415" s="1035"/>
      <c r="U1415" s="1034"/>
      <c r="V1415" s="1035"/>
      <c r="W1415" s="1035"/>
      <c r="X1415" s="1037"/>
      <c r="Y1415" s="1035"/>
      <c r="Z1415" s="1035">
        <f t="shared" si="305"/>
        <v>5</v>
      </c>
      <c r="AA1415" s="1035"/>
      <c r="AB1415" s="1035"/>
      <c r="AC1415" s="1021">
        <v>520710</v>
      </c>
      <c r="AD1415" s="1021" t="s">
        <v>375</v>
      </c>
      <c r="AE1415" s="1022">
        <f>VLOOKUP(AC1415,[5]Hoja1!$A$10:$K$1393,11,0)</f>
        <v>-178906112</v>
      </c>
      <c r="AF1415" s="1022"/>
      <c r="AG1415" s="1022">
        <f t="shared" si="306"/>
        <v>-178906112</v>
      </c>
      <c r="AH1415" s="1022">
        <f t="shared" si="307"/>
        <v>-178906</v>
      </c>
      <c r="AK1415" s="448"/>
      <c r="AL1415" s="445"/>
    </row>
    <row r="1416" spans="1:38" s="467" customFormat="1" ht="12.75" customHeight="1">
      <c r="A1416" s="1033">
        <v>5313500</v>
      </c>
      <c r="B1416" s="1033" t="s">
        <v>2840</v>
      </c>
      <c r="C1416" s="1034"/>
      <c r="D1416" s="1035"/>
      <c r="E1416" s="1035"/>
      <c r="F1416" s="1034"/>
      <c r="G1416" s="1033"/>
      <c r="H1416" s="1033"/>
      <c r="I1416" s="1034"/>
      <c r="J1416" s="1033"/>
      <c r="K1416" s="1033"/>
      <c r="L1416" s="1034"/>
      <c r="M1416" s="1035"/>
      <c r="N1416" s="1035"/>
      <c r="O1416" s="1036"/>
      <c r="P1416" s="1035"/>
      <c r="Q1416" s="1033"/>
      <c r="R1416" s="1034"/>
      <c r="S1416" s="1035"/>
      <c r="T1416" s="1035"/>
      <c r="U1416" s="1034"/>
      <c r="V1416" s="1035"/>
      <c r="W1416" s="1035"/>
      <c r="X1416" s="1037"/>
      <c r="Y1416" s="1035"/>
      <c r="Z1416" s="1035">
        <f t="shared" si="305"/>
        <v>5</v>
      </c>
      <c r="AA1416" s="1035"/>
      <c r="AB1416" s="1035"/>
      <c r="AC1416" s="1021">
        <v>520720</v>
      </c>
      <c r="AD1416" s="1021" t="s">
        <v>374</v>
      </c>
      <c r="AE1416" s="1022">
        <f>VLOOKUP(AC1416,[5]Hoja1!$A$10:$K$1393,11,0)</f>
        <v>18968747</v>
      </c>
      <c r="AF1416" s="1022"/>
      <c r="AG1416" s="1022">
        <f t="shared" si="306"/>
        <v>18968747</v>
      </c>
      <c r="AH1416" s="1022">
        <f t="shared" si="307"/>
        <v>18969</v>
      </c>
      <c r="AK1416" s="448"/>
      <c r="AL1416" s="445"/>
    </row>
    <row r="1417" spans="1:38" s="467" customFormat="1" ht="12.75" customHeight="1">
      <c r="A1417" s="1033">
        <v>5313500</v>
      </c>
      <c r="B1417" s="1033" t="s">
        <v>2840</v>
      </c>
      <c r="C1417" s="1034"/>
      <c r="D1417" s="1035"/>
      <c r="E1417" s="1035"/>
      <c r="F1417" s="1034"/>
      <c r="G1417" s="1033"/>
      <c r="H1417" s="1033"/>
      <c r="I1417" s="1034"/>
      <c r="J1417" s="1033"/>
      <c r="K1417" s="1033"/>
      <c r="L1417" s="1034"/>
      <c r="M1417" s="1035"/>
      <c r="N1417" s="1035"/>
      <c r="O1417" s="1036"/>
      <c r="P1417" s="1035"/>
      <c r="Q1417" s="1033"/>
      <c r="R1417" s="1034"/>
      <c r="S1417" s="1035"/>
      <c r="T1417" s="1035"/>
      <c r="U1417" s="1034"/>
      <c r="V1417" s="1035"/>
      <c r="W1417" s="1035"/>
      <c r="X1417" s="1037"/>
      <c r="Y1417" s="1035"/>
      <c r="Z1417" s="1035">
        <f t="shared" si="305"/>
        <v>5</v>
      </c>
      <c r="AA1417" s="1035"/>
      <c r="AB1417" s="1035"/>
      <c r="AC1417" s="1021">
        <v>520721</v>
      </c>
      <c r="AD1417" s="1021" t="s">
        <v>2045</v>
      </c>
      <c r="AE1417" s="1022">
        <f>VLOOKUP(AC1417,[5]Hoja1!$A$10:$K$1393,11,0)</f>
        <v>991482</v>
      </c>
      <c r="AF1417" s="1022"/>
      <c r="AG1417" s="1022">
        <f t="shared" si="306"/>
        <v>991482</v>
      </c>
      <c r="AH1417" s="1022">
        <f t="shared" si="307"/>
        <v>991</v>
      </c>
      <c r="AK1417" s="448"/>
      <c r="AL1417" s="445"/>
    </row>
    <row r="1418" spans="1:38" s="467" customFormat="1" ht="12.75" customHeight="1">
      <c r="A1418" s="1033">
        <v>5313500</v>
      </c>
      <c r="B1418" s="1033" t="s">
        <v>2840</v>
      </c>
      <c r="C1418" s="1034"/>
      <c r="D1418" s="1035"/>
      <c r="E1418" s="1035"/>
      <c r="F1418" s="1034"/>
      <c r="G1418" s="1033"/>
      <c r="H1418" s="1033"/>
      <c r="I1418" s="1034"/>
      <c r="J1418" s="1033"/>
      <c r="K1418" s="1033"/>
      <c r="L1418" s="1034"/>
      <c r="M1418" s="1035"/>
      <c r="N1418" s="1035"/>
      <c r="O1418" s="1036"/>
      <c r="P1418" s="1035"/>
      <c r="Q1418" s="1033"/>
      <c r="R1418" s="1034"/>
      <c r="S1418" s="1035"/>
      <c r="T1418" s="1035"/>
      <c r="U1418" s="1034"/>
      <c r="V1418" s="1035"/>
      <c r="W1418" s="1035"/>
      <c r="X1418" s="1037"/>
      <c r="Y1418" s="1035"/>
      <c r="Z1418" s="1035">
        <f t="shared" si="305"/>
        <v>5</v>
      </c>
      <c r="AA1418" s="1035"/>
      <c r="AB1418" s="1035"/>
      <c r="AC1418" s="1021">
        <v>520722</v>
      </c>
      <c r="AD1418" s="1021" t="s">
        <v>2582</v>
      </c>
      <c r="AE1418" s="1022">
        <f>VLOOKUP(AC1418,[5]Hoja1!$A$10:$K$1393,11,0)</f>
        <v>108614</v>
      </c>
      <c r="AF1418" s="1022"/>
      <c r="AG1418" s="1022">
        <f t="shared" si="306"/>
        <v>108614</v>
      </c>
      <c r="AH1418" s="1022">
        <f t="shared" si="307"/>
        <v>109</v>
      </c>
      <c r="AK1418" s="448"/>
      <c r="AL1418" s="445"/>
    </row>
    <row r="1419" spans="1:38" s="467" customFormat="1" ht="12.75" customHeight="1">
      <c r="A1419" s="1033">
        <v>5312200</v>
      </c>
      <c r="B1419" s="1033" t="s">
        <v>998</v>
      </c>
      <c r="C1419" s="1034"/>
      <c r="D1419" s="1035"/>
      <c r="E1419" s="1035"/>
      <c r="F1419" s="1034"/>
      <c r="G1419" s="1033"/>
      <c r="H1419" s="1033"/>
      <c r="I1419" s="1034"/>
      <c r="J1419" s="1033"/>
      <c r="K1419" s="1033"/>
      <c r="L1419" s="1034"/>
      <c r="M1419" s="1035"/>
      <c r="N1419" s="1035"/>
      <c r="O1419" s="1036"/>
      <c r="P1419" s="1035"/>
      <c r="Q1419" s="1033"/>
      <c r="R1419" s="1034"/>
      <c r="S1419" s="1035"/>
      <c r="T1419" s="1035"/>
      <c r="U1419" s="1034"/>
      <c r="V1419" s="1035"/>
      <c r="W1419" s="1035"/>
      <c r="X1419" s="1037"/>
      <c r="Y1419" s="1035"/>
      <c r="Z1419" s="1035">
        <f t="shared" si="305"/>
        <v>5</v>
      </c>
      <c r="AA1419" s="1035"/>
      <c r="AB1419" s="1033" t="s">
        <v>2991</v>
      </c>
      <c r="AC1419" s="1021">
        <v>520740</v>
      </c>
      <c r="AD1419" s="1021" t="s">
        <v>1303</v>
      </c>
      <c r="AE1419" s="1022">
        <f>VLOOKUP(AC1419,[5]Hoja1!$A$10:$K$1393,11,0)</f>
        <v>31933</v>
      </c>
      <c r="AF1419" s="1022"/>
      <c r="AG1419" s="1022">
        <f t="shared" si="306"/>
        <v>31933</v>
      </c>
      <c r="AH1419" s="1022">
        <f t="shared" si="307"/>
        <v>32</v>
      </c>
      <c r="AK1419" s="448"/>
      <c r="AL1419" s="445"/>
    </row>
    <row r="1420" spans="1:38" s="467" customFormat="1" ht="12.75" customHeight="1">
      <c r="A1420" s="1033">
        <v>5312200</v>
      </c>
      <c r="B1420" s="1033" t="s">
        <v>998</v>
      </c>
      <c r="C1420" s="1034"/>
      <c r="D1420" s="1033"/>
      <c r="E1420" s="1033"/>
      <c r="F1420" s="1034"/>
      <c r="G1420" s="1033"/>
      <c r="H1420" s="1033"/>
      <c r="I1420" s="1034"/>
      <c r="J1420" s="1033"/>
      <c r="K1420" s="1033"/>
      <c r="L1420" s="1034"/>
      <c r="M1420" s="1035"/>
      <c r="N1420" s="1035"/>
      <c r="O1420" s="1036"/>
      <c r="P1420" s="1033"/>
      <c r="Q1420" s="1033"/>
      <c r="R1420" s="1034"/>
      <c r="S1420" s="1035"/>
      <c r="T1420" s="1035"/>
      <c r="U1420" s="1034"/>
      <c r="V1420" s="1035"/>
      <c r="W1420" s="1035"/>
      <c r="X1420" s="1037"/>
      <c r="Y1420" s="1035"/>
      <c r="Z1420" s="1035">
        <f t="shared" si="305"/>
        <v>5</v>
      </c>
      <c r="AA1420" s="1035"/>
      <c r="AB1420" s="1033" t="s">
        <v>2984</v>
      </c>
      <c r="AC1420" s="1021">
        <v>520800</v>
      </c>
      <c r="AD1420" s="1021" t="s">
        <v>527</v>
      </c>
      <c r="AE1420" s="1022">
        <f>VLOOKUP(AC1420,[5]Hoja1!$A$10:$K$1393,11,0)</f>
        <v>0</v>
      </c>
      <c r="AF1420" s="1022"/>
      <c r="AG1420" s="1022">
        <f t="shared" si="306"/>
        <v>0</v>
      </c>
      <c r="AH1420" s="1022">
        <f t="shared" si="307"/>
        <v>0</v>
      </c>
      <c r="AK1420" s="448"/>
      <c r="AL1420" s="445"/>
    </row>
    <row r="1421" spans="1:38" s="467" customFormat="1" ht="12.75" customHeight="1">
      <c r="A1421" s="1033">
        <v>5312200</v>
      </c>
      <c r="B1421" s="1033" t="s">
        <v>998</v>
      </c>
      <c r="C1421" s="1034"/>
      <c r="D1421" s="1033"/>
      <c r="E1421" s="1033"/>
      <c r="F1421" s="1034"/>
      <c r="G1421" s="1033"/>
      <c r="H1421" s="1033"/>
      <c r="I1421" s="1034"/>
      <c r="J1421" s="1033"/>
      <c r="K1421" s="1033"/>
      <c r="L1421" s="1034"/>
      <c r="M1421" s="1035"/>
      <c r="N1421" s="1035"/>
      <c r="O1421" s="1036"/>
      <c r="P1421" s="1033"/>
      <c r="Q1421" s="1033"/>
      <c r="R1421" s="1034"/>
      <c r="S1421" s="1035"/>
      <c r="T1421" s="1035"/>
      <c r="U1421" s="1034"/>
      <c r="V1421" s="1035"/>
      <c r="W1421" s="1035"/>
      <c r="X1421" s="1037"/>
      <c r="Y1421" s="1035"/>
      <c r="Z1421" s="1035">
        <f t="shared" si="305"/>
        <v>5</v>
      </c>
      <c r="AA1421" s="1035"/>
      <c r="AB1421" s="1033" t="s">
        <v>2991</v>
      </c>
      <c r="AC1421" s="1021">
        <v>520801</v>
      </c>
      <c r="AD1421" s="1021" t="s">
        <v>2430</v>
      </c>
      <c r="AE1421" s="1022">
        <f>VLOOKUP(AC1421,[5]Hoja1!$A$10:$K$1393,11,0)</f>
        <v>-4970299</v>
      </c>
      <c r="AF1421" s="1022"/>
      <c r="AG1421" s="1022">
        <f t="shared" si="306"/>
        <v>-4970299</v>
      </c>
      <c r="AH1421" s="1022">
        <f t="shared" si="307"/>
        <v>-4970</v>
      </c>
      <c r="AK1421" s="448"/>
      <c r="AL1421" s="445"/>
    </row>
    <row r="1422" spans="1:38" s="467" customFormat="1" ht="12.75" customHeight="1">
      <c r="A1422" s="1033">
        <v>5312200</v>
      </c>
      <c r="B1422" s="1033" t="s">
        <v>998</v>
      </c>
      <c r="C1422" s="1034"/>
      <c r="D1422" s="1033"/>
      <c r="E1422" s="1033"/>
      <c r="F1422" s="1034"/>
      <c r="G1422" s="1033"/>
      <c r="H1422" s="1033"/>
      <c r="I1422" s="1034"/>
      <c r="J1422" s="1033"/>
      <c r="K1422" s="1033"/>
      <c r="L1422" s="1034"/>
      <c r="M1422" s="1035"/>
      <c r="N1422" s="1035"/>
      <c r="O1422" s="1036"/>
      <c r="P1422" s="1033"/>
      <c r="Q1422" s="1033"/>
      <c r="R1422" s="1034"/>
      <c r="S1422" s="1035"/>
      <c r="T1422" s="1035"/>
      <c r="U1422" s="1034"/>
      <c r="V1422" s="1035"/>
      <c r="W1422" s="1035"/>
      <c r="X1422" s="1037"/>
      <c r="Y1422" s="1035"/>
      <c r="Z1422" s="1035">
        <f t="shared" si="305"/>
        <v>5</v>
      </c>
      <c r="AA1422" s="1035"/>
      <c r="AB1422" s="1033" t="s">
        <v>2991</v>
      </c>
      <c r="AC1422" s="1021">
        <v>520900</v>
      </c>
      <c r="AD1422" s="1021" t="s">
        <v>528</v>
      </c>
      <c r="AE1422" s="1022">
        <f>VLOOKUP(AC1422,[5]Hoja1!$A$10:$K$1393,11,0)</f>
        <v>0</v>
      </c>
      <c r="AF1422" s="1022"/>
      <c r="AG1422" s="1022">
        <f t="shared" si="306"/>
        <v>0</v>
      </c>
      <c r="AH1422" s="1022">
        <f t="shared" si="307"/>
        <v>0</v>
      </c>
      <c r="AK1422" s="448"/>
      <c r="AL1422" s="445"/>
    </row>
    <row r="1423" spans="1:38" s="467" customFormat="1" ht="12.75" customHeight="1">
      <c r="A1423" s="1033">
        <v>5312100</v>
      </c>
      <c r="B1423" s="1033" t="s">
        <v>25</v>
      </c>
      <c r="C1423" s="1034" t="str">
        <f t="shared" si="324"/>
        <v/>
      </c>
      <c r="D1423" s="1033"/>
      <c r="E1423" s="1033"/>
      <c r="F1423" s="1034" t="str">
        <f t="shared" si="325"/>
        <v/>
      </c>
      <c r="G1423" s="1033"/>
      <c r="H1423" s="1033"/>
      <c r="I1423" s="1034" t="str">
        <f t="shared" si="326"/>
        <v/>
      </c>
      <c r="J1423" s="1033"/>
      <c r="K1423" s="1033"/>
      <c r="L1423" s="1034" t="str">
        <f t="shared" si="327"/>
        <v/>
      </c>
      <c r="M1423" s="1035"/>
      <c r="N1423" s="1035"/>
      <c r="O1423" s="1036" t="str">
        <f t="shared" si="328"/>
        <v/>
      </c>
      <c r="P1423" s="1033"/>
      <c r="Q1423" s="1033"/>
      <c r="R1423" s="1034" t="str">
        <f t="shared" si="329"/>
        <v/>
      </c>
      <c r="S1423" s="1035"/>
      <c r="T1423" s="1035"/>
      <c r="U1423" s="1034" t="str">
        <f t="shared" ref="U1423:U1448" si="330">+V1423&amp;W1423</f>
        <v/>
      </c>
      <c r="V1423" s="1035"/>
      <c r="W1423" s="1035"/>
      <c r="X1423" s="1037" t="str">
        <f t="shared" ref="X1423:X1448" si="331">+Y1423&amp;Z1423</f>
        <v>6</v>
      </c>
      <c r="Y1423" s="1035"/>
      <c r="Z1423" s="1035">
        <f t="shared" si="305"/>
        <v>6</v>
      </c>
      <c r="AA1423" s="1033">
        <v>34</v>
      </c>
      <c r="AB1423" s="1033" t="s">
        <v>25</v>
      </c>
      <c r="AC1423" s="1021">
        <v>610001</v>
      </c>
      <c r="AD1423" s="1021" t="s">
        <v>1385</v>
      </c>
      <c r="AE1423" s="1022">
        <f>VLOOKUP(AC1423,[5]Hoja1!$A$10:$K$1393,11,0)</f>
        <v>4157800619</v>
      </c>
      <c r="AF1423" s="1022"/>
      <c r="AG1423" s="1022">
        <f t="shared" si="306"/>
        <v>4157800619</v>
      </c>
      <c r="AH1423" s="1022">
        <f t="shared" si="307"/>
        <v>4157801</v>
      </c>
      <c r="AK1423" s="448"/>
      <c r="AL1423" s="445"/>
    </row>
    <row r="1424" spans="1:38" s="467" customFormat="1" ht="12.75" customHeight="1">
      <c r="A1424" s="1033">
        <v>5312100</v>
      </c>
      <c r="B1424" s="1033" t="s">
        <v>25</v>
      </c>
      <c r="C1424" s="1034" t="str">
        <f t="shared" si="324"/>
        <v/>
      </c>
      <c r="D1424" s="1033"/>
      <c r="E1424" s="1033"/>
      <c r="F1424" s="1034" t="str">
        <f t="shared" si="325"/>
        <v/>
      </c>
      <c r="G1424" s="1033"/>
      <c r="H1424" s="1033"/>
      <c r="I1424" s="1034" t="str">
        <f t="shared" si="326"/>
        <v/>
      </c>
      <c r="J1424" s="1033"/>
      <c r="K1424" s="1033"/>
      <c r="L1424" s="1034" t="str">
        <f t="shared" si="327"/>
        <v/>
      </c>
      <c r="M1424" s="1035"/>
      <c r="N1424" s="1035"/>
      <c r="O1424" s="1036" t="str">
        <f t="shared" si="328"/>
        <v/>
      </c>
      <c r="P1424" s="1033"/>
      <c r="Q1424" s="1033"/>
      <c r="R1424" s="1034" t="str">
        <f t="shared" si="329"/>
        <v/>
      </c>
      <c r="S1424" s="1035"/>
      <c r="T1424" s="1035"/>
      <c r="U1424" s="1034" t="str">
        <f t="shared" si="330"/>
        <v/>
      </c>
      <c r="V1424" s="1035"/>
      <c r="W1424" s="1035"/>
      <c r="X1424" s="1037" t="str">
        <f t="shared" si="331"/>
        <v>6</v>
      </c>
      <c r="Y1424" s="1035"/>
      <c r="Z1424" s="1035">
        <f t="shared" si="305"/>
        <v>6</v>
      </c>
      <c r="AA1424" s="1033">
        <v>34</v>
      </c>
      <c r="AB1424" s="1033" t="s">
        <v>25</v>
      </c>
      <c r="AC1424" s="1021">
        <v>610002</v>
      </c>
      <c r="AD1424" s="1021" t="s">
        <v>1386</v>
      </c>
      <c r="AE1424" s="1022">
        <f>VLOOKUP(AC1424,[5]Hoja1!$A$10:$K$1393,11,0)</f>
        <v>0</v>
      </c>
      <c r="AF1424" s="1022"/>
      <c r="AG1424" s="1022">
        <f t="shared" si="306"/>
        <v>0</v>
      </c>
      <c r="AH1424" s="1022">
        <f t="shared" si="307"/>
        <v>0</v>
      </c>
      <c r="AK1424" s="448"/>
      <c r="AL1424" s="445"/>
    </row>
    <row r="1425" spans="1:38" s="467" customFormat="1" ht="12.75" customHeight="1">
      <c r="A1425" s="1033">
        <v>5312100</v>
      </c>
      <c r="B1425" s="1033" t="s">
        <v>25</v>
      </c>
      <c r="C1425" s="1034" t="str">
        <f t="shared" si="324"/>
        <v/>
      </c>
      <c r="D1425" s="1033"/>
      <c r="E1425" s="1033"/>
      <c r="F1425" s="1034" t="str">
        <f t="shared" si="325"/>
        <v/>
      </c>
      <c r="G1425" s="1033"/>
      <c r="H1425" s="1033"/>
      <c r="I1425" s="1034" t="str">
        <f t="shared" si="326"/>
        <v/>
      </c>
      <c r="J1425" s="1033"/>
      <c r="K1425" s="1033"/>
      <c r="L1425" s="1034" t="str">
        <f t="shared" si="327"/>
        <v/>
      </c>
      <c r="M1425" s="1035"/>
      <c r="N1425" s="1035"/>
      <c r="O1425" s="1036" t="str">
        <f t="shared" si="328"/>
        <v/>
      </c>
      <c r="P1425" s="1033"/>
      <c r="Q1425" s="1033"/>
      <c r="R1425" s="1034" t="str">
        <f t="shared" si="329"/>
        <v/>
      </c>
      <c r="S1425" s="1035"/>
      <c r="T1425" s="1035"/>
      <c r="U1425" s="1034" t="str">
        <f t="shared" si="330"/>
        <v/>
      </c>
      <c r="V1425" s="1035"/>
      <c r="W1425" s="1035"/>
      <c r="X1425" s="1037" t="str">
        <f t="shared" si="331"/>
        <v>6</v>
      </c>
      <c r="Y1425" s="1035"/>
      <c r="Z1425" s="1035">
        <f t="shared" si="305"/>
        <v>6</v>
      </c>
      <c r="AA1425" s="1033">
        <v>34</v>
      </c>
      <c r="AB1425" s="1033" t="s">
        <v>25</v>
      </c>
      <c r="AC1425" s="1021">
        <v>610003</v>
      </c>
      <c r="AD1425" s="1021" t="s">
        <v>1387</v>
      </c>
      <c r="AE1425" s="1022">
        <f>VLOOKUP(AC1425,[5]Hoja1!$A$10:$K$1393,11,0)</f>
        <v>18823310</v>
      </c>
      <c r="AF1425" s="1022"/>
      <c r="AG1425" s="1022">
        <f t="shared" si="306"/>
        <v>18823310</v>
      </c>
      <c r="AH1425" s="1022">
        <f t="shared" si="307"/>
        <v>18823</v>
      </c>
      <c r="AK1425" s="448"/>
      <c r="AL1425" s="445"/>
    </row>
    <row r="1426" spans="1:38" s="467" customFormat="1" ht="12.75" customHeight="1">
      <c r="A1426" s="1033"/>
      <c r="B1426" s="1033"/>
      <c r="C1426" s="1034" t="str">
        <f t="shared" si="324"/>
        <v/>
      </c>
      <c r="D1426" s="1033"/>
      <c r="E1426" s="1033"/>
      <c r="F1426" s="1034" t="str">
        <f t="shared" si="325"/>
        <v/>
      </c>
      <c r="G1426" s="1033"/>
      <c r="H1426" s="1033"/>
      <c r="I1426" s="1034" t="str">
        <f t="shared" si="326"/>
        <v/>
      </c>
      <c r="J1426" s="1033"/>
      <c r="K1426" s="1033"/>
      <c r="L1426" s="1034" t="str">
        <f t="shared" si="327"/>
        <v/>
      </c>
      <c r="M1426" s="1035"/>
      <c r="N1426" s="1035"/>
      <c r="O1426" s="1036" t="str">
        <f t="shared" si="328"/>
        <v/>
      </c>
      <c r="P1426" s="1033"/>
      <c r="Q1426" s="1033"/>
      <c r="R1426" s="1034" t="str">
        <f t="shared" si="329"/>
        <v/>
      </c>
      <c r="S1426" s="1035"/>
      <c r="T1426" s="1035"/>
      <c r="U1426" s="1034" t="str">
        <f t="shared" si="330"/>
        <v>631101820421</v>
      </c>
      <c r="V1426" s="1035">
        <v>631101820</v>
      </c>
      <c r="W1426" s="1035">
        <v>421</v>
      </c>
      <c r="X1426" s="1037" t="str">
        <f t="shared" si="331"/>
        <v>6</v>
      </c>
      <c r="Y1426" s="1035"/>
      <c r="Z1426" s="1035">
        <f t="shared" si="305"/>
        <v>6</v>
      </c>
      <c r="AA1426" s="1035"/>
      <c r="AB1426" s="1035"/>
      <c r="AC1426" s="1021">
        <v>610004</v>
      </c>
      <c r="AD1426" s="1021" t="s">
        <v>1690</v>
      </c>
      <c r="AE1426" s="1022">
        <v>0</v>
      </c>
      <c r="AF1426" s="1022"/>
      <c r="AG1426" s="1022">
        <f t="shared" si="306"/>
        <v>0</v>
      </c>
      <c r="AH1426" s="1022">
        <f t="shared" si="307"/>
        <v>0</v>
      </c>
      <c r="AK1426" s="448"/>
      <c r="AL1426" s="445"/>
    </row>
    <row r="1427" spans="1:38" s="467" customFormat="1" ht="12.75" customHeight="1">
      <c r="A1427" s="1033">
        <v>5311520</v>
      </c>
      <c r="B1427" s="1033" t="s">
        <v>2825</v>
      </c>
      <c r="C1427" s="1034" t="str">
        <f t="shared" si="324"/>
        <v/>
      </c>
      <c r="D1427" s="1033"/>
      <c r="E1427" s="1033"/>
      <c r="F1427" s="1034" t="str">
        <f t="shared" si="325"/>
        <v/>
      </c>
      <c r="G1427" s="1033"/>
      <c r="H1427" s="1033"/>
      <c r="I1427" s="1034" t="str">
        <f t="shared" si="326"/>
        <v/>
      </c>
      <c r="J1427" s="1033"/>
      <c r="K1427" s="1033"/>
      <c r="L1427" s="1034" t="str">
        <f t="shared" si="327"/>
        <v/>
      </c>
      <c r="M1427" s="1035"/>
      <c r="N1427" s="1035"/>
      <c r="O1427" s="1036" t="str">
        <f t="shared" si="328"/>
        <v/>
      </c>
      <c r="P1427" s="1033"/>
      <c r="Q1427" s="1033"/>
      <c r="R1427" s="1034" t="str">
        <f t="shared" si="329"/>
        <v/>
      </c>
      <c r="S1427" s="1035"/>
      <c r="T1427" s="1035"/>
      <c r="U1427" s="1034" t="str">
        <f t="shared" si="330"/>
        <v>631101820209</v>
      </c>
      <c r="V1427" s="1035">
        <v>631101820</v>
      </c>
      <c r="W1427" s="1035">
        <v>209</v>
      </c>
      <c r="X1427" s="1037" t="str">
        <f t="shared" si="331"/>
        <v>6</v>
      </c>
      <c r="Y1427" s="1035"/>
      <c r="Z1427" s="1035">
        <f t="shared" si="305"/>
        <v>6</v>
      </c>
      <c r="AA1427" s="1035"/>
      <c r="AB1427" s="1035"/>
      <c r="AC1427" s="1021">
        <v>610005</v>
      </c>
      <c r="AD1427" s="1021" t="s">
        <v>78</v>
      </c>
      <c r="AE1427" s="1022">
        <f>VLOOKUP(AC1427,[5]Hoja1!$A$10:$K$1393,11,0)</f>
        <v>0</v>
      </c>
      <c r="AF1427" s="1022"/>
      <c r="AG1427" s="1022">
        <f t="shared" si="306"/>
        <v>0</v>
      </c>
      <c r="AH1427" s="1022">
        <f t="shared" si="307"/>
        <v>0</v>
      </c>
      <c r="AK1427" s="448"/>
      <c r="AL1427" s="445"/>
    </row>
    <row r="1428" spans="1:38" s="467" customFormat="1" ht="12.75" customHeight="1">
      <c r="A1428" s="1033">
        <v>5312100</v>
      </c>
      <c r="B1428" s="1033" t="s">
        <v>25</v>
      </c>
      <c r="C1428" s="1034" t="str">
        <f t="shared" si="324"/>
        <v/>
      </c>
      <c r="D1428" s="1033"/>
      <c r="E1428" s="1033"/>
      <c r="F1428" s="1034" t="str">
        <f t="shared" si="325"/>
        <v/>
      </c>
      <c r="G1428" s="1033"/>
      <c r="H1428" s="1033"/>
      <c r="I1428" s="1034" t="str">
        <f t="shared" si="326"/>
        <v/>
      </c>
      <c r="J1428" s="1033"/>
      <c r="K1428" s="1033"/>
      <c r="L1428" s="1034" t="str">
        <f t="shared" si="327"/>
        <v/>
      </c>
      <c r="M1428" s="1035"/>
      <c r="N1428" s="1035"/>
      <c r="O1428" s="1036" t="str">
        <f t="shared" si="328"/>
        <v/>
      </c>
      <c r="P1428" s="1033"/>
      <c r="Q1428" s="1033"/>
      <c r="R1428" s="1034" t="str">
        <f t="shared" si="329"/>
        <v/>
      </c>
      <c r="S1428" s="1035"/>
      <c r="T1428" s="1035"/>
      <c r="U1428" s="1034" t="str">
        <f t="shared" si="330"/>
        <v/>
      </c>
      <c r="V1428" s="1035"/>
      <c r="W1428" s="1035"/>
      <c r="X1428" s="1037" t="str">
        <f t="shared" si="331"/>
        <v>6</v>
      </c>
      <c r="Y1428" s="1035"/>
      <c r="Z1428" s="1035">
        <f t="shared" si="305"/>
        <v>6</v>
      </c>
      <c r="AA1428" s="1033">
        <v>34</v>
      </c>
      <c r="AB1428" s="1033" t="s">
        <v>25</v>
      </c>
      <c r="AC1428" s="1021">
        <v>610006</v>
      </c>
      <c r="AD1428" s="1021" t="s">
        <v>1388</v>
      </c>
      <c r="AE1428" s="1022">
        <f>VLOOKUP(AC1428,[5]Hoja1!$A$10:$K$1393,11,0)</f>
        <v>36039308</v>
      </c>
      <c r="AF1428" s="1022"/>
      <c r="AG1428" s="1022">
        <f t="shared" si="306"/>
        <v>36039308</v>
      </c>
      <c r="AH1428" s="1022">
        <f t="shared" si="307"/>
        <v>36039</v>
      </c>
      <c r="AK1428" s="448"/>
      <c r="AL1428" s="445"/>
    </row>
    <row r="1429" spans="1:38" s="467" customFormat="1" ht="12.75" customHeight="1">
      <c r="A1429" s="1033">
        <v>5312100</v>
      </c>
      <c r="B1429" s="1033" t="s">
        <v>25</v>
      </c>
      <c r="C1429" s="1034" t="str">
        <f t="shared" si="324"/>
        <v/>
      </c>
      <c r="D1429" s="1033"/>
      <c r="E1429" s="1033"/>
      <c r="F1429" s="1034" t="str">
        <f t="shared" si="325"/>
        <v/>
      </c>
      <c r="G1429" s="1033"/>
      <c r="H1429" s="1033"/>
      <c r="I1429" s="1034" t="str">
        <f t="shared" si="326"/>
        <v/>
      </c>
      <c r="J1429" s="1033"/>
      <c r="K1429" s="1033"/>
      <c r="L1429" s="1034" t="str">
        <f t="shared" si="327"/>
        <v/>
      </c>
      <c r="M1429" s="1035"/>
      <c r="N1429" s="1035"/>
      <c r="O1429" s="1036" t="str">
        <f t="shared" si="328"/>
        <v/>
      </c>
      <c r="P1429" s="1033"/>
      <c r="Q1429" s="1033"/>
      <c r="R1429" s="1034" t="str">
        <f t="shared" si="329"/>
        <v/>
      </c>
      <c r="S1429" s="1035"/>
      <c r="T1429" s="1035"/>
      <c r="U1429" s="1034" t="str">
        <f t="shared" si="330"/>
        <v/>
      </c>
      <c r="V1429" s="1035"/>
      <c r="W1429" s="1035"/>
      <c r="X1429" s="1037" t="str">
        <f t="shared" si="331"/>
        <v>6</v>
      </c>
      <c r="Y1429" s="1035"/>
      <c r="Z1429" s="1035">
        <f t="shared" si="305"/>
        <v>6</v>
      </c>
      <c r="AA1429" s="1033">
        <v>34</v>
      </c>
      <c r="AB1429" s="1033" t="s">
        <v>25</v>
      </c>
      <c r="AC1429" s="1021">
        <v>610007</v>
      </c>
      <c r="AD1429" s="1021" t="s">
        <v>1389</v>
      </c>
      <c r="AE1429" s="1022">
        <f>VLOOKUP(AC1429,[5]Hoja1!$A$10:$K$1393,11,0)</f>
        <v>184064507</v>
      </c>
      <c r="AF1429" s="1022"/>
      <c r="AG1429" s="1022">
        <f t="shared" si="306"/>
        <v>184064507</v>
      </c>
      <c r="AH1429" s="1022">
        <f t="shared" si="307"/>
        <v>184065</v>
      </c>
      <c r="AK1429" s="448"/>
      <c r="AL1429" s="445"/>
    </row>
    <row r="1430" spans="1:38" s="467" customFormat="1" ht="12.75" customHeight="1">
      <c r="A1430" s="1033">
        <v>5312100</v>
      </c>
      <c r="B1430" s="1033" t="s">
        <v>25</v>
      </c>
      <c r="C1430" s="1034" t="str">
        <f t="shared" si="324"/>
        <v/>
      </c>
      <c r="D1430" s="1033"/>
      <c r="E1430" s="1033"/>
      <c r="F1430" s="1034" t="str">
        <f t="shared" si="325"/>
        <v/>
      </c>
      <c r="G1430" s="1033"/>
      <c r="H1430" s="1033"/>
      <c r="I1430" s="1034" t="str">
        <f t="shared" si="326"/>
        <v/>
      </c>
      <c r="J1430" s="1033"/>
      <c r="K1430" s="1033"/>
      <c r="L1430" s="1034" t="str">
        <f t="shared" si="327"/>
        <v/>
      </c>
      <c r="M1430" s="1035"/>
      <c r="N1430" s="1035"/>
      <c r="O1430" s="1036" t="str">
        <f t="shared" si="328"/>
        <v/>
      </c>
      <c r="P1430" s="1033"/>
      <c r="Q1430" s="1033"/>
      <c r="R1430" s="1034" t="str">
        <f t="shared" si="329"/>
        <v/>
      </c>
      <c r="S1430" s="1035"/>
      <c r="T1430" s="1035"/>
      <c r="U1430" s="1034" t="str">
        <f t="shared" si="330"/>
        <v/>
      </c>
      <c r="V1430" s="1035"/>
      <c r="W1430" s="1035"/>
      <c r="X1430" s="1037" t="str">
        <f t="shared" si="331"/>
        <v>6</v>
      </c>
      <c r="Y1430" s="1035"/>
      <c r="Z1430" s="1035">
        <f t="shared" si="305"/>
        <v>6</v>
      </c>
      <c r="AA1430" s="1033">
        <v>34</v>
      </c>
      <c r="AB1430" s="1033" t="s">
        <v>25</v>
      </c>
      <c r="AC1430" s="1021">
        <v>610008</v>
      </c>
      <c r="AD1430" s="1021" t="s">
        <v>2431</v>
      </c>
      <c r="AE1430" s="1022">
        <f>VLOOKUP(AC1430,[5]Hoja1!$A$10:$K$1393,11,0)</f>
        <v>-9431373</v>
      </c>
      <c r="AF1430" s="1022"/>
      <c r="AG1430" s="1022">
        <f t="shared" si="306"/>
        <v>-9431373</v>
      </c>
      <c r="AH1430" s="1022">
        <f t="shared" si="307"/>
        <v>-9431</v>
      </c>
      <c r="AK1430" s="448"/>
      <c r="AL1430" s="445"/>
    </row>
    <row r="1431" spans="1:38" s="467" customFormat="1" ht="12.75" customHeight="1">
      <c r="A1431" s="1033">
        <v>5312100</v>
      </c>
      <c r="B1431" s="1033" t="s">
        <v>25</v>
      </c>
      <c r="C1431" s="1034" t="str">
        <f t="shared" si="324"/>
        <v/>
      </c>
      <c r="D1431" s="1033"/>
      <c r="E1431" s="1033"/>
      <c r="F1431" s="1034" t="str">
        <f t="shared" si="325"/>
        <v/>
      </c>
      <c r="G1431" s="1033"/>
      <c r="H1431" s="1033"/>
      <c r="I1431" s="1034" t="str">
        <f t="shared" si="326"/>
        <v/>
      </c>
      <c r="J1431" s="1033"/>
      <c r="K1431" s="1033"/>
      <c r="L1431" s="1034" t="str">
        <f t="shared" si="327"/>
        <v/>
      </c>
      <c r="M1431" s="1035"/>
      <c r="N1431" s="1035"/>
      <c r="O1431" s="1036" t="str">
        <f t="shared" si="328"/>
        <v/>
      </c>
      <c r="P1431" s="1033"/>
      <c r="Q1431" s="1033"/>
      <c r="R1431" s="1034" t="str">
        <f t="shared" si="329"/>
        <v/>
      </c>
      <c r="S1431" s="1035"/>
      <c r="T1431" s="1035"/>
      <c r="U1431" s="1034" t="str">
        <f t="shared" si="330"/>
        <v/>
      </c>
      <c r="V1431" s="1035"/>
      <c r="W1431" s="1035"/>
      <c r="X1431" s="1037" t="str">
        <f t="shared" si="331"/>
        <v>6</v>
      </c>
      <c r="Y1431" s="1035"/>
      <c r="Z1431" s="1035">
        <f t="shared" si="305"/>
        <v>6</v>
      </c>
      <c r="AA1431" s="1033">
        <v>34</v>
      </c>
      <c r="AB1431" s="1033" t="s">
        <v>25</v>
      </c>
      <c r="AC1431" s="1021">
        <v>610009</v>
      </c>
      <c r="AD1431" s="1021" t="s">
        <v>2432</v>
      </c>
      <c r="AE1431" s="1022">
        <f>VLOOKUP(AC1431,[5]Hoja1!$A$10:$K$1393,11,0)</f>
        <v>131115020</v>
      </c>
      <c r="AF1431" s="1022"/>
      <c r="AG1431" s="1022">
        <f t="shared" si="306"/>
        <v>131115020</v>
      </c>
      <c r="AH1431" s="1022">
        <f t="shared" si="307"/>
        <v>131115</v>
      </c>
      <c r="AK1431" s="448"/>
      <c r="AL1431" s="445"/>
    </row>
    <row r="1432" spans="1:38" s="467" customFormat="1" ht="12.75" customHeight="1">
      <c r="A1432" s="1033">
        <v>5312100</v>
      </c>
      <c r="B1432" s="1033" t="s">
        <v>25</v>
      </c>
      <c r="C1432" s="1034" t="str">
        <f t="shared" si="324"/>
        <v/>
      </c>
      <c r="D1432" s="1033"/>
      <c r="E1432" s="1033"/>
      <c r="F1432" s="1034" t="str">
        <f t="shared" si="325"/>
        <v/>
      </c>
      <c r="G1432" s="1033"/>
      <c r="H1432" s="1033"/>
      <c r="I1432" s="1034" t="str">
        <f t="shared" si="326"/>
        <v/>
      </c>
      <c r="J1432" s="1033"/>
      <c r="K1432" s="1033"/>
      <c r="L1432" s="1034" t="str">
        <f t="shared" si="327"/>
        <v/>
      </c>
      <c r="M1432" s="1035"/>
      <c r="N1432" s="1035"/>
      <c r="O1432" s="1036" t="str">
        <f t="shared" si="328"/>
        <v/>
      </c>
      <c r="P1432" s="1033"/>
      <c r="Q1432" s="1033"/>
      <c r="R1432" s="1034" t="str">
        <f t="shared" si="329"/>
        <v/>
      </c>
      <c r="S1432" s="1035"/>
      <c r="T1432" s="1035"/>
      <c r="U1432" s="1034" t="str">
        <f t="shared" si="330"/>
        <v/>
      </c>
      <c r="V1432" s="1035"/>
      <c r="W1432" s="1035"/>
      <c r="X1432" s="1037" t="str">
        <f t="shared" si="331"/>
        <v>6</v>
      </c>
      <c r="Y1432" s="1035"/>
      <c r="Z1432" s="1035">
        <f t="shared" si="305"/>
        <v>6</v>
      </c>
      <c r="AA1432" s="1033">
        <v>34</v>
      </c>
      <c r="AB1432" s="1033" t="s">
        <v>25</v>
      </c>
      <c r="AC1432" s="1021">
        <v>610010</v>
      </c>
      <c r="AD1432" s="1021" t="s">
        <v>1390</v>
      </c>
      <c r="AE1432" s="1022">
        <f>VLOOKUP(AC1432,[5]Hoja1!$A$10:$K$1393,11,0)</f>
        <v>9387339</v>
      </c>
      <c r="AF1432" s="1022"/>
      <c r="AG1432" s="1022">
        <f t="shared" si="306"/>
        <v>9387339</v>
      </c>
      <c r="AH1432" s="1022">
        <f t="shared" si="307"/>
        <v>9387</v>
      </c>
      <c r="AK1432" s="448"/>
      <c r="AL1432" s="445"/>
    </row>
    <row r="1433" spans="1:38" s="467" customFormat="1" ht="12.75" customHeight="1">
      <c r="A1433" s="1033">
        <v>5312200</v>
      </c>
      <c r="B1433" s="1033" t="s">
        <v>998</v>
      </c>
      <c r="C1433" s="1034" t="str">
        <f t="shared" si="324"/>
        <v/>
      </c>
      <c r="D1433" s="1033"/>
      <c r="E1433" s="1033"/>
      <c r="F1433" s="1034" t="str">
        <f t="shared" si="325"/>
        <v/>
      </c>
      <c r="G1433" s="1033"/>
      <c r="H1433" s="1033"/>
      <c r="I1433" s="1034" t="str">
        <f t="shared" si="326"/>
        <v/>
      </c>
      <c r="J1433" s="1033"/>
      <c r="K1433" s="1033"/>
      <c r="L1433" s="1034" t="str">
        <f t="shared" si="327"/>
        <v/>
      </c>
      <c r="M1433" s="1035"/>
      <c r="N1433" s="1035"/>
      <c r="O1433" s="1036" t="str">
        <f t="shared" si="328"/>
        <v/>
      </c>
      <c r="P1433" s="1033"/>
      <c r="Q1433" s="1033"/>
      <c r="R1433" s="1034" t="str">
        <f t="shared" si="329"/>
        <v/>
      </c>
      <c r="S1433" s="1035"/>
      <c r="T1433" s="1035"/>
      <c r="U1433" s="1034" t="str">
        <f t="shared" si="330"/>
        <v/>
      </c>
      <c r="V1433" s="1035"/>
      <c r="W1433" s="1035"/>
      <c r="X1433" s="1037" t="str">
        <f t="shared" si="331"/>
        <v>6</v>
      </c>
      <c r="Y1433" s="1035"/>
      <c r="Z1433" s="1035">
        <f t="shared" si="305"/>
        <v>6</v>
      </c>
      <c r="AA1433" s="1035"/>
      <c r="AB1433" s="1033" t="s">
        <v>2985</v>
      </c>
      <c r="AC1433" s="1021">
        <v>610011</v>
      </c>
      <c r="AD1433" s="1021" t="s">
        <v>1391</v>
      </c>
      <c r="AE1433" s="1022">
        <f>VLOOKUP(AC1433,[5]Hoja1!$A$10:$K$1393,11,0)</f>
        <v>18144347</v>
      </c>
      <c r="AF1433" s="1022"/>
      <c r="AG1433" s="1022">
        <f t="shared" si="306"/>
        <v>18144347</v>
      </c>
      <c r="AH1433" s="1022">
        <f t="shared" si="307"/>
        <v>18144</v>
      </c>
      <c r="AK1433" s="448"/>
      <c r="AL1433" s="445"/>
    </row>
    <row r="1434" spans="1:38" s="467" customFormat="1" ht="12.75" customHeight="1">
      <c r="A1434" s="1033">
        <v>5312200</v>
      </c>
      <c r="B1434" s="1033" t="s">
        <v>998</v>
      </c>
      <c r="C1434" s="1034" t="str">
        <f t="shared" si="324"/>
        <v/>
      </c>
      <c r="D1434" s="1033"/>
      <c r="E1434" s="1033"/>
      <c r="F1434" s="1034" t="str">
        <f t="shared" si="325"/>
        <v/>
      </c>
      <c r="G1434" s="1033"/>
      <c r="H1434" s="1033"/>
      <c r="I1434" s="1034" t="str">
        <f t="shared" si="326"/>
        <v/>
      </c>
      <c r="J1434" s="1033"/>
      <c r="K1434" s="1033"/>
      <c r="L1434" s="1034" t="str">
        <f t="shared" si="327"/>
        <v/>
      </c>
      <c r="M1434" s="1035"/>
      <c r="N1434" s="1035"/>
      <c r="O1434" s="1036" t="str">
        <f t="shared" si="328"/>
        <v/>
      </c>
      <c r="P1434" s="1033"/>
      <c r="Q1434" s="1033"/>
      <c r="R1434" s="1034" t="str">
        <f t="shared" si="329"/>
        <v/>
      </c>
      <c r="S1434" s="1035"/>
      <c r="T1434" s="1035"/>
      <c r="U1434" s="1034" t="str">
        <f t="shared" si="330"/>
        <v/>
      </c>
      <c r="V1434" s="1035"/>
      <c r="W1434" s="1035"/>
      <c r="X1434" s="1037" t="str">
        <f t="shared" si="331"/>
        <v>6</v>
      </c>
      <c r="Y1434" s="1035"/>
      <c r="Z1434" s="1035">
        <f t="shared" si="305"/>
        <v>6</v>
      </c>
      <c r="AA1434" s="1035"/>
      <c r="AB1434" s="1033" t="s">
        <v>2985</v>
      </c>
      <c r="AC1434" s="1021">
        <v>610012</v>
      </c>
      <c r="AD1434" s="1021" t="s">
        <v>1392</v>
      </c>
      <c r="AE1434" s="1022">
        <f>VLOOKUP(AC1434,[5]Hoja1!$A$10:$K$1393,11,0)</f>
        <v>31387538</v>
      </c>
      <c r="AF1434" s="1022"/>
      <c r="AG1434" s="1022">
        <f t="shared" si="306"/>
        <v>31387538</v>
      </c>
      <c r="AH1434" s="1022">
        <f t="shared" si="307"/>
        <v>31388</v>
      </c>
      <c r="AK1434" s="448"/>
      <c r="AL1434" s="445"/>
    </row>
    <row r="1435" spans="1:38" s="467" customFormat="1" ht="12.75" customHeight="1">
      <c r="A1435" s="1033">
        <v>5312200</v>
      </c>
      <c r="B1435" s="1033" t="s">
        <v>998</v>
      </c>
      <c r="C1435" s="1034" t="str">
        <f t="shared" si="324"/>
        <v/>
      </c>
      <c r="D1435" s="1033"/>
      <c r="E1435" s="1033"/>
      <c r="F1435" s="1034" t="str">
        <f t="shared" si="325"/>
        <v/>
      </c>
      <c r="G1435" s="1033"/>
      <c r="H1435" s="1033"/>
      <c r="I1435" s="1034" t="str">
        <f t="shared" si="326"/>
        <v/>
      </c>
      <c r="J1435" s="1033"/>
      <c r="K1435" s="1033"/>
      <c r="L1435" s="1034" t="str">
        <f t="shared" si="327"/>
        <v/>
      </c>
      <c r="M1435" s="1035"/>
      <c r="N1435" s="1035"/>
      <c r="O1435" s="1036" t="str">
        <f t="shared" si="328"/>
        <v/>
      </c>
      <c r="P1435" s="1033"/>
      <c r="Q1435" s="1033"/>
      <c r="R1435" s="1034" t="str">
        <f t="shared" si="329"/>
        <v/>
      </c>
      <c r="S1435" s="1035"/>
      <c r="T1435" s="1035"/>
      <c r="U1435" s="1034" t="str">
        <f t="shared" si="330"/>
        <v/>
      </c>
      <c r="V1435" s="1035"/>
      <c r="W1435" s="1035"/>
      <c r="X1435" s="1037" t="str">
        <f t="shared" si="331"/>
        <v>6</v>
      </c>
      <c r="Y1435" s="1035"/>
      <c r="Z1435" s="1035">
        <f t="shared" si="305"/>
        <v>6</v>
      </c>
      <c r="AA1435" s="1035"/>
      <c r="AB1435" s="1033" t="s">
        <v>2985</v>
      </c>
      <c r="AC1435" s="1021">
        <v>610013</v>
      </c>
      <c r="AD1435" s="1021" t="s">
        <v>111</v>
      </c>
      <c r="AE1435" s="1022">
        <f>VLOOKUP(AC1435,[5]Hoja1!$A$10:$K$1393,11,0)</f>
        <v>159583733</v>
      </c>
      <c r="AF1435" s="1022"/>
      <c r="AG1435" s="1022">
        <f t="shared" si="306"/>
        <v>159583733</v>
      </c>
      <c r="AH1435" s="1022">
        <f t="shared" si="307"/>
        <v>159584</v>
      </c>
      <c r="AK1435" s="448"/>
      <c r="AL1435" s="445"/>
    </row>
    <row r="1436" spans="1:38" s="467" customFormat="1" ht="12.75" customHeight="1">
      <c r="A1436" s="1033">
        <v>5312200</v>
      </c>
      <c r="B1436" s="1033" t="s">
        <v>998</v>
      </c>
      <c r="C1436" s="1034" t="str">
        <f t="shared" si="324"/>
        <v/>
      </c>
      <c r="D1436" s="1033"/>
      <c r="E1436" s="1033"/>
      <c r="F1436" s="1034" t="str">
        <f t="shared" si="325"/>
        <v/>
      </c>
      <c r="G1436" s="1033"/>
      <c r="H1436" s="1033"/>
      <c r="I1436" s="1034" t="str">
        <f t="shared" si="326"/>
        <v/>
      </c>
      <c r="J1436" s="1033"/>
      <c r="K1436" s="1033"/>
      <c r="L1436" s="1034" t="str">
        <f t="shared" si="327"/>
        <v/>
      </c>
      <c r="M1436" s="1035"/>
      <c r="N1436" s="1035"/>
      <c r="O1436" s="1036" t="str">
        <f t="shared" si="328"/>
        <v/>
      </c>
      <c r="P1436" s="1033"/>
      <c r="Q1436" s="1033"/>
      <c r="R1436" s="1034" t="str">
        <f t="shared" si="329"/>
        <v/>
      </c>
      <c r="S1436" s="1035"/>
      <c r="T1436" s="1035"/>
      <c r="U1436" s="1034" t="str">
        <f t="shared" si="330"/>
        <v/>
      </c>
      <c r="V1436" s="1035"/>
      <c r="W1436" s="1035"/>
      <c r="X1436" s="1037" t="str">
        <f t="shared" si="331"/>
        <v>6</v>
      </c>
      <c r="Y1436" s="1035"/>
      <c r="Z1436" s="1035">
        <f t="shared" si="305"/>
        <v>6</v>
      </c>
      <c r="AA1436" s="1035"/>
      <c r="AB1436" s="1033" t="s">
        <v>2985</v>
      </c>
      <c r="AC1436" s="1021">
        <v>610014</v>
      </c>
      <c r="AD1436" s="1021" t="s">
        <v>141</v>
      </c>
      <c r="AE1436" s="1022">
        <f>VLOOKUP(AC1436,[5]Hoja1!$A$10:$K$1393,11,0)</f>
        <v>1097882</v>
      </c>
      <c r="AF1436" s="1022"/>
      <c r="AG1436" s="1022">
        <f t="shared" si="306"/>
        <v>1097882</v>
      </c>
      <c r="AH1436" s="1022">
        <f t="shared" si="307"/>
        <v>1098</v>
      </c>
      <c r="AK1436" s="448"/>
      <c r="AL1436" s="445"/>
    </row>
    <row r="1437" spans="1:38" s="467" customFormat="1" ht="12.75" customHeight="1">
      <c r="A1437" s="1033">
        <v>5312200</v>
      </c>
      <c r="B1437" s="1033" t="s">
        <v>998</v>
      </c>
      <c r="C1437" s="1034" t="str">
        <f t="shared" si="324"/>
        <v/>
      </c>
      <c r="D1437" s="1033"/>
      <c r="E1437" s="1033"/>
      <c r="F1437" s="1034" t="str">
        <f t="shared" si="325"/>
        <v/>
      </c>
      <c r="G1437" s="1033"/>
      <c r="H1437" s="1033"/>
      <c r="I1437" s="1034" t="str">
        <f t="shared" si="326"/>
        <v/>
      </c>
      <c r="J1437" s="1033"/>
      <c r="K1437" s="1033"/>
      <c r="L1437" s="1034" t="str">
        <f t="shared" si="327"/>
        <v/>
      </c>
      <c r="M1437" s="1035"/>
      <c r="N1437" s="1035"/>
      <c r="O1437" s="1036" t="str">
        <f t="shared" si="328"/>
        <v/>
      </c>
      <c r="P1437" s="1033"/>
      <c r="Q1437" s="1033"/>
      <c r="R1437" s="1034" t="str">
        <f t="shared" si="329"/>
        <v/>
      </c>
      <c r="S1437" s="1035"/>
      <c r="T1437" s="1035"/>
      <c r="U1437" s="1034" t="str">
        <f t="shared" si="330"/>
        <v/>
      </c>
      <c r="V1437" s="1035"/>
      <c r="W1437" s="1035"/>
      <c r="X1437" s="1037" t="str">
        <f t="shared" si="331"/>
        <v>6</v>
      </c>
      <c r="Y1437" s="1035"/>
      <c r="Z1437" s="1035">
        <f t="shared" si="305"/>
        <v>6</v>
      </c>
      <c r="AA1437" s="1035"/>
      <c r="AB1437" s="1033" t="s">
        <v>2985</v>
      </c>
      <c r="AC1437" s="1021">
        <v>610015</v>
      </c>
      <c r="AD1437" s="1021" t="s">
        <v>113</v>
      </c>
      <c r="AE1437" s="1022">
        <f>VLOOKUP(AC1437,[5]Hoja1!$A$10:$K$1393,11,0)</f>
        <v>11602483</v>
      </c>
      <c r="AF1437" s="1022"/>
      <c r="AG1437" s="1022">
        <f t="shared" si="306"/>
        <v>11602483</v>
      </c>
      <c r="AH1437" s="1022">
        <f t="shared" si="307"/>
        <v>11602</v>
      </c>
      <c r="AK1437" s="448"/>
      <c r="AL1437" s="445"/>
    </row>
    <row r="1438" spans="1:38" s="467" customFormat="1" ht="12.75" customHeight="1">
      <c r="A1438" s="1033">
        <v>5312200</v>
      </c>
      <c r="B1438" s="1033" t="s">
        <v>998</v>
      </c>
      <c r="C1438" s="1034" t="str">
        <f t="shared" si="324"/>
        <v/>
      </c>
      <c r="D1438" s="1033"/>
      <c r="E1438" s="1033"/>
      <c r="F1438" s="1034" t="str">
        <f t="shared" si="325"/>
        <v/>
      </c>
      <c r="G1438" s="1033"/>
      <c r="H1438" s="1033"/>
      <c r="I1438" s="1034" t="str">
        <f t="shared" si="326"/>
        <v/>
      </c>
      <c r="J1438" s="1033"/>
      <c r="K1438" s="1033"/>
      <c r="L1438" s="1034" t="str">
        <f t="shared" si="327"/>
        <v/>
      </c>
      <c r="M1438" s="1035"/>
      <c r="N1438" s="1035"/>
      <c r="O1438" s="1036" t="str">
        <f t="shared" si="328"/>
        <v/>
      </c>
      <c r="P1438" s="1033"/>
      <c r="Q1438" s="1033"/>
      <c r="R1438" s="1034" t="str">
        <f t="shared" si="329"/>
        <v/>
      </c>
      <c r="S1438" s="1035"/>
      <c r="T1438" s="1035"/>
      <c r="U1438" s="1034" t="str">
        <f t="shared" si="330"/>
        <v/>
      </c>
      <c r="V1438" s="1035"/>
      <c r="W1438" s="1035"/>
      <c r="X1438" s="1037" t="str">
        <f t="shared" si="331"/>
        <v>6</v>
      </c>
      <c r="Y1438" s="1035"/>
      <c r="Z1438" s="1035">
        <f t="shared" si="305"/>
        <v>6</v>
      </c>
      <c r="AA1438" s="1035"/>
      <c r="AB1438" s="1033" t="s">
        <v>2985</v>
      </c>
      <c r="AC1438" s="1021">
        <v>610016</v>
      </c>
      <c r="AD1438" s="1021" t="s">
        <v>114</v>
      </c>
      <c r="AE1438" s="1022">
        <f>VLOOKUP(AC1438,[5]Hoja1!$A$10:$K$1393,11,0)</f>
        <v>31712387</v>
      </c>
      <c r="AF1438" s="1022"/>
      <c r="AG1438" s="1022">
        <f t="shared" si="306"/>
        <v>31712387</v>
      </c>
      <c r="AH1438" s="1022">
        <f t="shared" si="307"/>
        <v>31712</v>
      </c>
      <c r="AK1438" s="448"/>
      <c r="AL1438" s="445"/>
    </row>
    <row r="1439" spans="1:38" s="467" customFormat="1" ht="12.75" customHeight="1">
      <c r="A1439" s="1033">
        <v>5312200</v>
      </c>
      <c r="B1439" s="1033" t="s">
        <v>998</v>
      </c>
      <c r="C1439" s="1034" t="str">
        <f t="shared" si="324"/>
        <v/>
      </c>
      <c r="D1439" s="1033"/>
      <c r="E1439" s="1033"/>
      <c r="F1439" s="1034" t="str">
        <f t="shared" si="325"/>
        <v/>
      </c>
      <c r="G1439" s="1033"/>
      <c r="H1439" s="1033"/>
      <c r="I1439" s="1034" t="str">
        <f t="shared" si="326"/>
        <v/>
      </c>
      <c r="J1439" s="1033"/>
      <c r="K1439" s="1033"/>
      <c r="L1439" s="1034" t="str">
        <f t="shared" si="327"/>
        <v/>
      </c>
      <c r="M1439" s="1035"/>
      <c r="N1439" s="1035"/>
      <c r="O1439" s="1036" t="str">
        <f t="shared" si="328"/>
        <v/>
      </c>
      <c r="P1439" s="1033"/>
      <c r="Q1439" s="1033"/>
      <c r="R1439" s="1034" t="str">
        <f t="shared" si="329"/>
        <v/>
      </c>
      <c r="S1439" s="1035"/>
      <c r="T1439" s="1035"/>
      <c r="U1439" s="1034" t="str">
        <f t="shared" si="330"/>
        <v/>
      </c>
      <c r="V1439" s="1035"/>
      <c r="W1439" s="1035"/>
      <c r="X1439" s="1037" t="str">
        <f t="shared" si="331"/>
        <v>6</v>
      </c>
      <c r="Y1439" s="1035"/>
      <c r="Z1439" s="1035">
        <f t="shared" si="305"/>
        <v>6</v>
      </c>
      <c r="AA1439" s="1035"/>
      <c r="AB1439" s="1033" t="s">
        <v>2985</v>
      </c>
      <c r="AC1439" s="1021">
        <v>610017</v>
      </c>
      <c r="AD1439" s="1021" t="s">
        <v>2433</v>
      </c>
      <c r="AE1439" s="1022">
        <f>VLOOKUP(AC1439,[5]Hoja1!$A$10:$K$1393,11,0)</f>
        <v>52639537</v>
      </c>
      <c r="AF1439" s="1022"/>
      <c r="AG1439" s="1022">
        <f t="shared" si="306"/>
        <v>52639537</v>
      </c>
      <c r="AH1439" s="1022">
        <f t="shared" si="307"/>
        <v>52640</v>
      </c>
      <c r="AK1439" s="448"/>
      <c r="AL1439" s="445"/>
    </row>
    <row r="1440" spans="1:38" s="467" customFormat="1" ht="12.75" customHeight="1">
      <c r="A1440" s="1033">
        <v>5312100</v>
      </c>
      <c r="B1440" s="1033" t="s">
        <v>25</v>
      </c>
      <c r="C1440" s="1034" t="str">
        <f t="shared" si="324"/>
        <v/>
      </c>
      <c r="D1440" s="1033"/>
      <c r="E1440" s="1033"/>
      <c r="F1440" s="1034" t="str">
        <f t="shared" si="325"/>
        <v/>
      </c>
      <c r="G1440" s="1033"/>
      <c r="H1440" s="1033"/>
      <c r="I1440" s="1034" t="str">
        <f t="shared" si="326"/>
        <v/>
      </c>
      <c r="J1440" s="1033"/>
      <c r="K1440" s="1033"/>
      <c r="L1440" s="1034" t="str">
        <f t="shared" si="327"/>
        <v/>
      </c>
      <c r="M1440" s="1035"/>
      <c r="N1440" s="1035"/>
      <c r="O1440" s="1036" t="str">
        <f t="shared" si="328"/>
        <v/>
      </c>
      <c r="P1440" s="1033"/>
      <c r="Q1440" s="1033"/>
      <c r="R1440" s="1034" t="str">
        <f t="shared" si="329"/>
        <v/>
      </c>
      <c r="S1440" s="1035"/>
      <c r="T1440" s="1035"/>
      <c r="U1440" s="1034" t="str">
        <f t="shared" si="330"/>
        <v/>
      </c>
      <c r="V1440" s="1035"/>
      <c r="W1440" s="1035"/>
      <c r="X1440" s="1037" t="str">
        <f t="shared" si="331"/>
        <v>6</v>
      </c>
      <c r="Y1440" s="1035"/>
      <c r="Z1440" s="1035">
        <f t="shared" si="305"/>
        <v>6</v>
      </c>
      <c r="AA1440" s="1033">
        <v>34</v>
      </c>
      <c r="AB1440" s="1033" t="s">
        <v>25</v>
      </c>
      <c r="AC1440" s="1021">
        <v>610018</v>
      </c>
      <c r="AD1440" s="1021" t="s">
        <v>2434</v>
      </c>
      <c r="AE1440" s="1022">
        <f>VLOOKUP(AC1440,[5]Hoja1!$A$10:$K$1393,11,0)</f>
        <v>18628673</v>
      </c>
      <c r="AF1440" s="1022"/>
      <c r="AG1440" s="1022">
        <f t="shared" si="306"/>
        <v>18628673</v>
      </c>
      <c r="AH1440" s="1022">
        <f t="shared" si="307"/>
        <v>18629</v>
      </c>
      <c r="AK1440" s="448"/>
      <c r="AL1440" s="445"/>
    </row>
    <row r="1441" spans="1:38" s="467" customFormat="1" ht="12.75" customHeight="1">
      <c r="A1441" s="1033">
        <v>5312100</v>
      </c>
      <c r="B1441" s="1033" t="s">
        <v>25</v>
      </c>
      <c r="C1441" s="1034" t="str">
        <f t="shared" si="324"/>
        <v/>
      </c>
      <c r="D1441" s="1033"/>
      <c r="E1441" s="1033"/>
      <c r="F1441" s="1034" t="str">
        <f t="shared" si="325"/>
        <v/>
      </c>
      <c r="G1441" s="1033"/>
      <c r="H1441" s="1033"/>
      <c r="I1441" s="1034" t="str">
        <f t="shared" si="326"/>
        <v/>
      </c>
      <c r="J1441" s="1033"/>
      <c r="K1441" s="1033"/>
      <c r="L1441" s="1034" t="str">
        <f t="shared" si="327"/>
        <v/>
      </c>
      <c r="M1441" s="1035"/>
      <c r="N1441" s="1035"/>
      <c r="O1441" s="1036" t="str">
        <f t="shared" si="328"/>
        <v/>
      </c>
      <c r="P1441" s="1033"/>
      <c r="Q1441" s="1033"/>
      <c r="R1441" s="1034" t="str">
        <f t="shared" si="329"/>
        <v/>
      </c>
      <c r="S1441" s="1035"/>
      <c r="T1441" s="1035"/>
      <c r="U1441" s="1034" t="str">
        <f t="shared" si="330"/>
        <v/>
      </c>
      <c r="V1441" s="1035"/>
      <c r="W1441" s="1035"/>
      <c r="X1441" s="1037" t="str">
        <f t="shared" si="331"/>
        <v>6</v>
      </c>
      <c r="Y1441" s="1035"/>
      <c r="Z1441" s="1035">
        <f t="shared" si="305"/>
        <v>6</v>
      </c>
      <c r="AA1441" s="1033">
        <v>34</v>
      </c>
      <c r="AB1441" s="1033" t="s">
        <v>25</v>
      </c>
      <c r="AC1441" s="1021">
        <v>610019</v>
      </c>
      <c r="AD1441" s="1021" t="s">
        <v>2435</v>
      </c>
      <c r="AE1441" s="1022">
        <f>VLOOKUP(AC1441,[5]Hoja1!$A$10:$K$1393,11,0)</f>
        <v>52826565</v>
      </c>
      <c r="AF1441" s="1022"/>
      <c r="AG1441" s="1022">
        <f t="shared" si="306"/>
        <v>52826565</v>
      </c>
      <c r="AH1441" s="1022">
        <f t="shared" si="307"/>
        <v>52827</v>
      </c>
      <c r="AK1441" s="448"/>
      <c r="AL1441" s="445"/>
    </row>
    <row r="1442" spans="1:38" s="467" customFormat="1" ht="12.75" customHeight="1">
      <c r="A1442" s="1033"/>
      <c r="B1442" s="1033"/>
      <c r="C1442" s="1034" t="str">
        <f t="shared" si="324"/>
        <v/>
      </c>
      <c r="D1442" s="1033"/>
      <c r="E1442" s="1033"/>
      <c r="F1442" s="1034" t="str">
        <f t="shared" si="325"/>
        <v/>
      </c>
      <c r="G1442" s="1033"/>
      <c r="H1442" s="1033"/>
      <c r="I1442" s="1034" t="str">
        <f t="shared" si="326"/>
        <v/>
      </c>
      <c r="J1442" s="1033"/>
      <c r="K1442" s="1033"/>
      <c r="L1442" s="1034" t="str">
        <f t="shared" si="327"/>
        <v/>
      </c>
      <c r="M1442" s="1035"/>
      <c r="N1442" s="1035"/>
      <c r="O1442" s="1036" t="str">
        <f t="shared" si="328"/>
        <v/>
      </c>
      <c r="P1442" s="1033"/>
      <c r="Q1442" s="1033"/>
      <c r="R1442" s="1034" t="str">
        <f t="shared" si="329"/>
        <v/>
      </c>
      <c r="S1442" s="1035"/>
      <c r="T1442" s="1035"/>
      <c r="U1442" s="1034" t="str">
        <f t="shared" si="330"/>
        <v/>
      </c>
      <c r="V1442" s="1035"/>
      <c r="W1442" s="1035"/>
      <c r="X1442" s="1037" t="str">
        <f t="shared" si="331"/>
        <v>6</v>
      </c>
      <c r="Y1442" s="1035"/>
      <c r="Z1442" s="1035">
        <f t="shared" si="305"/>
        <v>6</v>
      </c>
      <c r="AA1442" s="1035"/>
      <c r="AB1442" s="1035"/>
      <c r="AC1442" s="1021">
        <v>610020</v>
      </c>
      <c r="AD1442" s="1021" t="s">
        <v>1692</v>
      </c>
      <c r="AE1442" s="1022">
        <v>0</v>
      </c>
      <c r="AF1442" s="1022"/>
      <c r="AG1442" s="1022">
        <f t="shared" si="306"/>
        <v>0</v>
      </c>
      <c r="AH1442" s="1022">
        <f t="shared" si="307"/>
        <v>0</v>
      </c>
      <c r="AK1442" s="448"/>
      <c r="AL1442" s="445"/>
    </row>
    <row r="1443" spans="1:38" s="467" customFormat="1" ht="12.75" customHeight="1">
      <c r="A1443" s="1033"/>
      <c r="B1443" s="1033"/>
      <c r="C1443" s="1034" t="str">
        <f t="shared" si="324"/>
        <v/>
      </c>
      <c r="D1443" s="1033"/>
      <c r="E1443" s="1033"/>
      <c r="F1443" s="1034" t="str">
        <f t="shared" si="325"/>
        <v/>
      </c>
      <c r="G1443" s="1033"/>
      <c r="H1443" s="1033"/>
      <c r="I1443" s="1034" t="str">
        <f t="shared" si="326"/>
        <v/>
      </c>
      <c r="J1443" s="1033"/>
      <c r="K1443" s="1033"/>
      <c r="L1443" s="1034" t="str">
        <f t="shared" si="327"/>
        <v/>
      </c>
      <c r="M1443" s="1035"/>
      <c r="N1443" s="1035"/>
      <c r="O1443" s="1036" t="str">
        <f t="shared" si="328"/>
        <v/>
      </c>
      <c r="P1443" s="1033"/>
      <c r="Q1443" s="1033"/>
      <c r="R1443" s="1034" t="str">
        <f t="shared" si="329"/>
        <v/>
      </c>
      <c r="S1443" s="1035"/>
      <c r="T1443" s="1035"/>
      <c r="U1443" s="1034" t="str">
        <f t="shared" si="330"/>
        <v/>
      </c>
      <c r="V1443" s="1035"/>
      <c r="W1443" s="1035"/>
      <c r="X1443" s="1037" t="str">
        <f t="shared" si="331"/>
        <v>6</v>
      </c>
      <c r="Y1443" s="1035"/>
      <c r="Z1443" s="1035">
        <f t="shared" si="305"/>
        <v>6</v>
      </c>
      <c r="AA1443" s="1035"/>
      <c r="AB1443" s="1035"/>
      <c r="AC1443" s="1021">
        <v>610021</v>
      </c>
      <c r="AD1443" s="1021" t="s">
        <v>1189</v>
      </c>
      <c r="AE1443" s="1022">
        <v>0</v>
      </c>
      <c r="AF1443" s="1022"/>
      <c r="AG1443" s="1022">
        <f t="shared" si="306"/>
        <v>0</v>
      </c>
      <c r="AH1443" s="1022">
        <f t="shared" si="307"/>
        <v>0</v>
      </c>
      <c r="AK1443" s="448"/>
      <c r="AL1443" s="445"/>
    </row>
    <row r="1444" spans="1:38" s="467" customFormat="1" ht="12.75" customHeight="1">
      <c r="A1444" s="1033"/>
      <c r="B1444" s="1033"/>
      <c r="C1444" s="1034" t="str">
        <f t="shared" si="324"/>
        <v/>
      </c>
      <c r="D1444" s="1033"/>
      <c r="E1444" s="1033"/>
      <c r="F1444" s="1034" t="str">
        <f t="shared" si="325"/>
        <v/>
      </c>
      <c r="G1444" s="1033"/>
      <c r="H1444" s="1033"/>
      <c r="I1444" s="1034" t="str">
        <f t="shared" si="326"/>
        <v/>
      </c>
      <c r="J1444" s="1033"/>
      <c r="K1444" s="1033"/>
      <c r="L1444" s="1034" t="str">
        <f t="shared" si="327"/>
        <v/>
      </c>
      <c r="M1444" s="1035"/>
      <c r="N1444" s="1035"/>
      <c r="O1444" s="1036" t="str">
        <f t="shared" si="328"/>
        <v/>
      </c>
      <c r="P1444" s="1033"/>
      <c r="Q1444" s="1033"/>
      <c r="R1444" s="1034" t="str">
        <f t="shared" si="329"/>
        <v/>
      </c>
      <c r="S1444" s="1035"/>
      <c r="T1444" s="1035"/>
      <c r="U1444" s="1034" t="str">
        <f t="shared" si="330"/>
        <v/>
      </c>
      <c r="V1444" s="1035"/>
      <c r="W1444" s="1035"/>
      <c r="X1444" s="1037" t="str">
        <f t="shared" si="331"/>
        <v>6</v>
      </c>
      <c r="Y1444" s="1035"/>
      <c r="Z1444" s="1035">
        <f t="shared" ref="Z1444:Z1507" si="332">VALUE(LEFT(AC1444,1))</f>
        <v>6</v>
      </c>
      <c r="AA1444" s="1035"/>
      <c r="AB1444" s="1035"/>
      <c r="AC1444" s="1021">
        <v>610022</v>
      </c>
      <c r="AD1444" s="1021" t="s">
        <v>1298</v>
      </c>
      <c r="AE1444" s="1022">
        <v>0</v>
      </c>
      <c r="AF1444" s="1022"/>
      <c r="AG1444" s="1022">
        <f t="shared" ref="AG1444:AG1507" si="333">AE1444+AF1444</f>
        <v>0</v>
      </c>
      <c r="AH1444" s="1022">
        <f t="shared" ref="AH1444:AH1507" si="334">ROUND((AE1444+AF1444)/$AH$2,0)</f>
        <v>0</v>
      </c>
      <c r="AK1444" s="448"/>
      <c r="AL1444" s="445"/>
    </row>
    <row r="1445" spans="1:38" s="467" customFormat="1" ht="12.75" customHeight="1">
      <c r="A1445" s="1033">
        <v>5312100</v>
      </c>
      <c r="B1445" s="1033" t="s">
        <v>25</v>
      </c>
      <c r="C1445" s="1034" t="str">
        <f t="shared" si="324"/>
        <v/>
      </c>
      <c r="D1445" s="1033"/>
      <c r="E1445" s="1033"/>
      <c r="F1445" s="1034" t="str">
        <f t="shared" si="325"/>
        <v/>
      </c>
      <c r="G1445" s="1033"/>
      <c r="H1445" s="1033"/>
      <c r="I1445" s="1034" t="str">
        <f t="shared" si="326"/>
        <v/>
      </c>
      <c r="J1445" s="1033"/>
      <c r="K1445" s="1033"/>
      <c r="L1445" s="1034" t="str">
        <f t="shared" si="327"/>
        <v/>
      </c>
      <c r="M1445" s="1035"/>
      <c r="N1445" s="1035"/>
      <c r="O1445" s="1036" t="str">
        <f t="shared" si="328"/>
        <v/>
      </c>
      <c r="P1445" s="1033"/>
      <c r="Q1445" s="1033"/>
      <c r="R1445" s="1034" t="str">
        <f t="shared" si="329"/>
        <v/>
      </c>
      <c r="S1445" s="1035"/>
      <c r="T1445" s="1035"/>
      <c r="U1445" s="1034" t="str">
        <f t="shared" si="330"/>
        <v/>
      </c>
      <c r="V1445" s="1035"/>
      <c r="W1445" s="1035"/>
      <c r="X1445" s="1037" t="str">
        <f t="shared" si="331"/>
        <v>6</v>
      </c>
      <c r="Y1445" s="1035"/>
      <c r="Z1445" s="1035">
        <f t="shared" si="332"/>
        <v>6</v>
      </c>
      <c r="AA1445" s="1033">
        <v>34</v>
      </c>
      <c r="AB1445" s="1033" t="s">
        <v>25</v>
      </c>
      <c r="AC1445" s="1021">
        <v>610023</v>
      </c>
      <c r="AD1445" s="1021" t="s">
        <v>1299</v>
      </c>
      <c r="AE1445" s="1022">
        <f>VLOOKUP(AC1445,[5]Hoja1!$A$10:$K$1393,11,0)</f>
        <v>9451672</v>
      </c>
      <c r="AF1445" s="1022"/>
      <c r="AG1445" s="1022">
        <f t="shared" si="333"/>
        <v>9451672</v>
      </c>
      <c r="AH1445" s="1022">
        <f t="shared" si="334"/>
        <v>9452</v>
      </c>
      <c r="AI1445" s="491"/>
      <c r="AK1445" s="448"/>
      <c r="AL1445" s="445"/>
    </row>
    <row r="1446" spans="1:38" s="467" customFormat="1" ht="12.75" customHeight="1">
      <c r="A1446" s="1033"/>
      <c r="B1446" s="1033"/>
      <c r="C1446" s="1034" t="str">
        <f t="shared" si="324"/>
        <v/>
      </c>
      <c r="D1446" s="1033"/>
      <c r="E1446" s="1033"/>
      <c r="F1446" s="1034" t="str">
        <f t="shared" si="325"/>
        <v/>
      </c>
      <c r="G1446" s="1033"/>
      <c r="H1446" s="1033"/>
      <c r="I1446" s="1034" t="str">
        <f t="shared" si="326"/>
        <v/>
      </c>
      <c r="J1446" s="1033"/>
      <c r="K1446" s="1033"/>
      <c r="L1446" s="1034" t="str">
        <f t="shared" si="327"/>
        <v/>
      </c>
      <c r="M1446" s="1035"/>
      <c r="N1446" s="1035"/>
      <c r="O1446" s="1036" t="str">
        <f t="shared" si="328"/>
        <v/>
      </c>
      <c r="P1446" s="1033"/>
      <c r="Q1446" s="1033"/>
      <c r="R1446" s="1034" t="str">
        <f t="shared" si="329"/>
        <v/>
      </c>
      <c r="S1446" s="1035"/>
      <c r="T1446" s="1035"/>
      <c r="U1446" s="1034" t="str">
        <f t="shared" si="330"/>
        <v/>
      </c>
      <c r="V1446" s="1035"/>
      <c r="W1446" s="1035"/>
      <c r="X1446" s="1037" t="str">
        <f t="shared" si="331"/>
        <v>6</v>
      </c>
      <c r="Y1446" s="1035"/>
      <c r="Z1446" s="1035">
        <f t="shared" si="332"/>
        <v>6</v>
      </c>
      <c r="AA1446" s="1035"/>
      <c r="AB1446" s="1035"/>
      <c r="AC1446" s="1021">
        <v>610024</v>
      </c>
      <c r="AD1446" s="1021" t="s">
        <v>1415</v>
      </c>
      <c r="AE1446" s="1022">
        <v>0</v>
      </c>
      <c r="AF1446" s="1022"/>
      <c r="AG1446" s="1022">
        <f t="shared" si="333"/>
        <v>0</v>
      </c>
      <c r="AH1446" s="1022">
        <f t="shared" si="334"/>
        <v>0</v>
      </c>
      <c r="AK1446" s="448"/>
      <c r="AL1446" s="445"/>
    </row>
    <row r="1447" spans="1:38" s="467" customFormat="1" ht="12.75" customHeight="1">
      <c r="A1447" s="1033">
        <v>5312100</v>
      </c>
      <c r="B1447" s="1033" t="s">
        <v>25</v>
      </c>
      <c r="C1447" s="1034" t="str">
        <f t="shared" si="324"/>
        <v/>
      </c>
      <c r="D1447" s="1033"/>
      <c r="E1447" s="1033"/>
      <c r="F1447" s="1034" t="str">
        <f t="shared" si="325"/>
        <v/>
      </c>
      <c r="G1447" s="1033"/>
      <c r="H1447" s="1033"/>
      <c r="I1447" s="1034" t="str">
        <f t="shared" si="326"/>
        <v/>
      </c>
      <c r="J1447" s="1033"/>
      <c r="K1447" s="1033"/>
      <c r="L1447" s="1034" t="str">
        <f t="shared" si="327"/>
        <v/>
      </c>
      <c r="M1447" s="1035"/>
      <c r="N1447" s="1035"/>
      <c r="O1447" s="1036" t="str">
        <f t="shared" si="328"/>
        <v/>
      </c>
      <c r="P1447" s="1033"/>
      <c r="Q1447" s="1033"/>
      <c r="R1447" s="1034" t="str">
        <f t="shared" si="329"/>
        <v/>
      </c>
      <c r="S1447" s="1035"/>
      <c r="T1447" s="1035"/>
      <c r="U1447" s="1034" t="str">
        <f t="shared" si="330"/>
        <v/>
      </c>
      <c r="V1447" s="1035"/>
      <c r="W1447" s="1035"/>
      <c r="X1447" s="1037" t="str">
        <f t="shared" si="331"/>
        <v>6</v>
      </c>
      <c r="Y1447" s="1035"/>
      <c r="Z1447" s="1035">
        <f t="shared" si="332"/>
        <v>6</v>
      </c>
      <c r="AA1447" s="1033">
        <v>34</v>
      </c>
      <c r="AB1447" s="1033" t="s">
        <v>25</v>
      </c>
      <c r="AC1447" s="1021">
        <v>610025</v>
      </c>
      <c r="AD1447" s="1021" t="s">
        <v>1217</v>
      </c>
      <c r="AE1447" s="1022">
        <f>VLOOKUP(AC1447,[5]Hoja1!$A$10:$K$1393,11,0)</f>
        <v>116789159</v>
      </c>
      <c r="AF1447" s="1022"/>
      <c r="AG1447" s="1022">
        <f t="shared" si="333"/>
        <v>116789159</v>
      </c>
      <c r="AH1447" s="1022">
        <f t="shared" si="334"/>
        <v>116789</v>
      </c>
      <c r="AK1447" s="448"/>
      <c r="AL1447" s="445"/>
    </row>
    <row r="1448" spans="1:38" s="467" customFormat="1" ht="12.75" customHeight="1">
      <c r="A1448" s="1033">
        <v>5312200</v>
      </c>
      <c r="B1448" s="1033" t="s">
        <v>998</v>
      </c>
      <c r="C1448" s="1034" t="str">
        <f t="shared" si="324"/>
        <v/>
      </c>
      <c r="D1448" s="1033"/>
      <c r="E1448" s="1033"/>
      <c r="F1448" s="1034" t="str">
        <f t="shared" si="325"/>
        <v/>
      </c>
      <c r="G1448" s="1033"/>
      <c r="H1448" s="1033"/>
      <c r="I1448" s="1034" t="str">
        <f t="shared" si="326"/>
        <v/>
      </c>
      <c r="J1448" s="1033"/>
      <c r="K1448" s="1033"/>
      <c r="L1448" s="1034" t="str">
        <f t="shared" si="327"/>
        <v/>
      </c>
      <c r="M1448" s="1035"/>
      <c r="N1448" s="1035"/>
      <c r="O1448" s="1036" t="str">
        <f t="shared" si="328"/>
        <v/>
      </c>
      <c r="P1448" s="1033"/>
      <c r="Q1448" s="1033"/>
      <c r="R1448" s="1034" t="str">
        <f t="shared" si="329"/>
        <v/>
      </c>
      <c r="S1448" s="1035"/>
      <c r="T1448" s="1035"/>
      <c r="U1448" s="1034" t="str">
        <f t="shared" si="330"/>
        <v/>
      </c>
      <c r="V1448" s="1035"/>
      <c r="W1448" s="1035"/>
      <c r="X1448" s="1037" t="str">
        <f t="shared" si="331"/>
        <v>6</v>
      </c>
      <c r="Y1448" s="1035"/>
      <c r="Z1448" s="1035">
        <f t="shared" si="332"/>
        <v>6</v>
      </c>
      <c r="AA1448" s="1035"/>
      <c r="AB1448" s="1033" t="s">
        <v>2985</v>
      </c>
      <c r="AC1448" s="1021">
        <v>610026</v>
      </c>
      <c r="AD1448" s="1021" t="s">
        <v>2436</v>
      </c>
      <c r="AE1448" s="1022">
        <f>VLOOKUP(AC1448,[5]Hoja1!$A$10:$K$1393,11,0)</f>
        <v>3941287</v>
      </c>
      <c r="AF1448" s="1022"/>
      <c r="AG1448" s="1022">
        <f t="shared" si="333"/>
        <v>3941287</v>
      </c>
      <c r="AH1448" s="1022">
        <f t="shared" si="334"/>
        <v>3941</v>
      </c>
      <c r="AI1448" s="491"/>
      <c r="AK1448" s="448"/>
      <c r="AL1448" s="445"/>
    </row>
    <row r="1449" spans="1:38" s="467" customFormat="1" ht="12.75" customHeight="1">
      <c r="A1449" s="1033"/>
      <c r="B1449" s="1033"/>
      <c r="C1449" s="1034"/>
      <c r="D1449" s="1033"/>
      <c r="E1449" s="1033"/>
      <c r="F1449" s="1034"/>
      <c r="G1449" s="1033"/>
      <c r="H1449" s="1033"/>
      <c r="I1449" s="1034"/>
      <c r="J1449" s="1033"/>
      <c r="K1449" s="1033"/>
      <c r="L1449" s="1034"/>
      <c r="M1449" s="1035"/>
      <c r="N1449" s="1035"/>
      <c r="O1449" s="1036"/>
      <c r="P1449" s="1033"/>
      <c r="Q1449" s="1033"/>
      <c r="R1449" s="1034"/>
      <c r="S1449" s="1035"/>
      <c r="T1449" s="1035"/>
      <c r="U1449" s="1034"/>
      <c r="V1449" s="1035"/>
      <c r="W1449" s="1035"/>
      <c r="X1449" s="1037"/>
      <c r="Y1449" s="1035"/>
      <c r="Z1449" s="1035">
        <f t="shared" si="332"/>
        <v>6</v>
      </c>
      <c r="AA1449" s="1035"/>
      <c r="AB1449" s="1035"/>
      <c r="AC1449" s="1021">
        <v>610027</v>
      </c>
      <c r="AD1449" s="1021" t="s">
        <v>1416</v>
      </c>
      <c r="AE1449" s="1022">
        <v>0</v>
      </c>
      <c r="AF1449" s="1022"/>
      <c r="AG1449" s="1022">
        <f t="shared" si="333"/>
        <v>0</v>
      </c>
      <c r="AH1449" s="1022">
        <f t="shared" si="334"/>
        <v>0</v>
      </c>
      <c r="AI1449" s="491"/>
      <c r="AK1449" s="448"/>
      <c r="AL1449" s="445"/>
    </row>
    <row r="1450" spans="1:38" s="467" customFormat="1" ht="12.75" customHeight="1">
      <c r="A1450" s="1033">
        <v>5312100</v>
      </c>
      <c r="B1450" s="1033" t="s">
        <v>25</v>
      </c>
      <c r="C1450" s="1034"/>
      <c r="D1450" s="1033"/>
      <c r="E1450" s="1033"/>
      <c r="F1450" s="1034"/>
      <c r="G1450" s="1033"/>
      <c r="H1450" s="1033"/>
      <c r="I1450" s="1034"/>
      <c r="J1450" s="1033"/>
      <c r="K1450" s="1033"/>
      <c r="L1450" s="1034"/>
      <c r="M1450" s="1035"/>
      <c r="N1450" s="1035"/>
      <c r="O1450" s="1036"/>
      <c r="P1450" s="1033"/>
      <c r="Q1450" s="1033"/>
      <c r="R1450" s="1034"/>
      <c r="S1450" s="1035"/>
      <c r="T1450" s="1035"/>
      <c r="U1450" s="1034"/>
      <c r="V1450" s="1035"/>
      <c r="W1450" s="1035"/>
      <c r="X1450" s="1037"/>
      <c r="Y1450" s="1035"/>
      <c r="Z1450" s="1035">
        <f t="shared" si="332"/>
        <v>6</v>
      </c>
      <c r="AA1450" s="1033">
        <v>34</v>
      </c>
      <c r="AB1450" s="1033" t="s">
        <v>25</v>
      </c>
      <c r="AC1450" s="1021">
        <v>610028</v>
      </c>
      <c r="AD1450" s="1021" t="s">
        <v>529</v>
      </c>
      <c r="AE1450" s="1022">
        <f>VLOOKUP(AC1450,[5]Hoja1!$A$10:$K$1393,11,0)</f>
        <v>609050110</v>
      </c>
      <c r="AF1450" s="1022"/>
      <c r="AG1450" s="1022">
        <f t="shared" si="333"/>
        <v>609050110</v>
      </c>
      <c r="AH1450" s="1022">
        <f t="shared" si="334"/>
        <v>609050</v>
      </c>
      <c r="AI1450" s="491"/>
      <c r="AK1450" s="448"/>
      <c r="AL1450" s="445"/>
    </row>
    <row r="1451" spans="1:38" s="467" customFormat="1" ht="12.75" customHeight="1">
      <c r="A1451" s="1033">
        <v>5312100</v>
      </c>
      <c r="B1451" s="1033" t="s">
        <v>25</v>
      </c>
      <c r="C1451" s="1034"/>
      <c r="D1451" s="1033"/>
      <c r="E1451" s="1033"/>
      <c r="F1451" s="1034"/>
      <c r="G1451" s="1033"/>
      <c r="H1451" s="1033"/>
      <c r="I1451" s="1034"/>
      <c r="J1451" s="1033"/>
      <c r="K1451" s="1033"/>
      <c r="L1451" s="1034"/>
      <c r="M1451" s="1035"/>
      <c r="N1451" s="1035"/>
      <c r="O1451" s="1036"/>
      <c r="P1451" s="1033"/>
      <c r="Q1451" s="1033"/>
      <c r="R1451" s="1034"/>
      <c r="S1451" s="1035"/>
      <c r="T1451" s="1035"/>
      <c r="U1451" s="1034"/>
      <c r="V1451" s="1035"/>
      <c r="W1451" s="1035"/>
      <c r="X1451" s="1037"/>
      <c r="Y1451" s="1035"/>
      <c r="Z1451" s="1035">
        <f t="shared" si="332"/>
        <v>6</v>
      </c>
      <c r="AA1451" s="1033">
        <v>34</v>
      </c>
      <c r="AB1451" s="1033" t="s">
        <v>25</v>
      </c>
      <c r="AC1451" s="1021">
        <v>610029</v>
      </c>
      <c r="AD1451" s="1021" t="s">
        <v>1447</v>
      </c>
      <c r="AE1451" s="1022">
        <f>VLOOKUP(AC1451,[5]Hoja1!$A$10:$K$1393,11,0)</f>
        <v>53879802</v>
      </c>
      <c r="AF1451" s="1022"/>
      <c r="AG1451" s="1022">
        <f t="shared" si="333"/>
        <v>53879802</v>
      </c>
      <c r="AH1451" s="1022">
        <f t="shared" si="334"/>
        <v>53880</v>
      </c>
      <c r="AI1451" s="491"/>
      <c r="AK1451" s="448"/>
      <c r="AL1451" s="445"/>
    </row>
    <row r="1452" spans="1:38" s="467" customFormat="1" ht="12.75" customHeight="1">
      <c r="A1452" s="1033">
        <v>5312100</v>
      </c>
      <c r="B1452" s="1033" t="s">
        <v>25</v>
      </c>
      <c r="C1452" s="1034"/>
      <c r="D1452" s="1033"/>
      <c r="E1452" s="1033"/>
      <c r="F1452" s="1034"/>
      <c r="G1452" s="1033"/>
      <c r="H1452" s="1033"/>
      <c r="I1452" s="1034"/>
      <c r="J1452" s="1033"/>
      <c r="K1452" s="1033"/>
      <c r="L1452" s="1034"/>
      <c r="M1452" s="1035"/>
      <c r="N1452" s="1035"/>
      <c r="O1452" s="1036"/>
      <c r="P1452" s="1033"/>
      <c r="Q1452" s="1033"/>
      <c r="R1452" s="1034"/>
      <c r="S1452" s="1035"/>
      <c r="T1452" s="1035"/>
      <c r="U1452" s="1034"/>
      <c r="V1452" s="1035"/>
      <c r="W1452" s="1035"/>
      <c r="X1452" s="1037"/>
      <c r="Y1452" s="1035"/>
      <c r="Z1452" s="1035">
        <f t="shared" si="332"/>
        <v>6</v>
      </c>
      <c r="AA1452" s="1033">
        <v>34</v>
      </c>
      <c r="AB1452" s="1033" t="s">
        <v>25</v>
      </c>
      <c r="AC1452" s="1021">
        <v>610030</v>
      </c>
      <c r="AD1452" s="1021" t="s">
        <v>2437</v>
      </c>
      <c r="AE1452" s="1022">
        <f>VLOOKUP(AC1452,[5]Hoja1!$A$10:$K$1393,11,0)</f>
        <v>0</v>
      </c>
      <c r="AF1452" s="1022"/>
      <c r="AG1452" s="1022">
        <f t="shared" si="333"/>
        <v>0</v>
      </c>
      <c r="AH1452" s="1022">
        <f t="shared" si="334"/>
        <v>0</v>
      </c>
      <c r="AI1452" s="491"/>
      <c r="AK1452" s="448"/>
      <c r="AL1452" s="445"/>
    </row>
    <row r="1453" spans="1:38" s="467" customFormat="1" ht="12.75" customHeight="1">
      <c r="A1453" s="1033">
        <v>5312100</v>
      </c>
      <c r="B1453" s="1033" t="s">
        <v>25</v>
      </c>
      <c r="C1453" s="1034"/>
      <c r="D1453" s="1033"/>
      <c r="E1453" s="1033"/>
      <c r="F1453" s="1034"/>
      <c r="G1453" s="1033"/>
      <c r="H1453" s="1033"/>
      <c r="I1453" s="1034"/>
      <c r="J1453" s="1033"/>
      <c r="K1453" s="1033"/>
      <c r="L1453" s="1034"/>
      <c r="M1453" s="1035"/>
      <c r="N1453" s="1035"/>
      <c r="O1453" s="1036"/>
      <c r="P1453" s="1033"/>
      <c r="Q1453" s="1033"/>
      <c r="R1453" s="1034"/>
      <c r="S1453" s="1035"/>
      <c r="T1453" s="1035"/>
      <c r="U1453" s="1034"/>
      <c r="V1453" s="1035"/>
      <c r="W1453" s="1035"/>
      <c r="X1453" s="1037"/>
      <c r="Y1453" s="1035"/>
      <c r="Z1453" s="1035">
        <f t="shared" si="332"/>
        <v>6</v>
      </c>
      <c r="AA1453" s="1033">
        <v>34</v>
      </c>
      <c r="AB1453" s="1033" t="s">
        <v>25</v>
      </c>
      <c r="AC1453" s="1021">
        <v>610031</v>
      </c>
      <c r="AD1453" s="1021" t="s">
        <v>2438</v>
      </c>
      <c r="AE1453" s="1022">
        <f>VLOOKUP(AC1453,[5]Hoja1!$A$10:$K$1393,11,0)</f>
        <v>18535911</v>
      </c>
      <c r="AF1453" s="1022"/>
      <c r="AG1453" s="1022">
        <f t="shared" si="333"/>
        <v>18535911</v>
      </c>
      <c r="AH1453" s="1022">
        <f t="shared" si="334"/>
        <v>18536</v>
      </c>
      <c r="AI1453" s="491"/>
      <c r="AK1453" s="448"/>
      <c r="AL1453" s="445"/>
    </row>
    <row r="1454" spans="1:38" s="467" customFormat="1" ht="12.75" customHeight="1">
      <c r="A1454" s="1033">
        <v>5312100</v>
      </c>
      <c r="B1454" s="1033" t="s">
        <v>25</v>
      </c>
      <c r="C1454" s="1034"/>
      <c r="D1454" s="1033"/>
      <c r="E1454" s="1033"/>
      <c r="F1454" s="1034"/>
      <c r="G1454" s="1033"/>
      <c r="H1454" s="1033"/>
      <c r="I1454" s="1034"/>
      <c r="J1454" s="1033"/>
      <c r="K1454" s="1033"/>
      <c r="L1454" s="1034"/>
      <c r="M1454" s="1035"/>
      <c r="N1454" s="1035"/>
      <c r="O1454" s="1036"/>
      <c r="P1454" s="1033"/>
      <c r="Q1454" s="1033"/>
      <c r="R1454" s="1034"/>
      <c r="S1454" s="1035"/>
      <c r="T1454" s="1035"/>
      <c r="U1454" s="1034"/>
      <c r="V1454" s="1035"/>
      <c r="W1454" s="1035"/>
      <c r="X1454" s="1037"/>
      <c r="Y1454" s="1035"/>
      <c r="Z1454" s="1035">
        <f t="shared" si="332"/>
        <v>6</v>
      </c>
      <c r="AA1454" s="1033">
        <v>34</v>
      </c>
      <c r="AB1454" s="1033" t="s">
        <v>25</v>
      </c>
      <c r="AC1454" s="1021">
        <v>610032</v>
      </c>
      <c r="AD1454" s="1021" t="s">
        <v>2439</v>
      </c>
      <c r="AE1454" s="1022">
        <f>VLOOKUP(AC1454,[5]Hoja1!$A$10:$K$1393,11,0)</f>
        <v>41175812</v>
      </c>
      <c r="AF1454" s="1022"/>
      <c r="AG1454" s="1022">
        <f t="shared" si="333"/>
        <v>41175812</v>
      </c>
      <c r="AH1454" s="1022">
        <f t="shared" si="334"/>
        <v>41176</v>
      </c>
      <c r="AI1454" s="491"/>
      <c r="AK1454" s="448"/>
      <c r="AL1454" s="445"/>
    </row>
    <row r="1455" spans="1:38" s="467" customFormat="1" ht="12.75" customHeight="1">
      <c r="A1455" s="1033">
        <v>5311510</v>
      </c>
      <c r="B1455" s="1033" t="s">
        <v>2824</v>
      </c>
      <c r="C1455" s="1034" t="str">
        <f t="shared" si="324"/>
        <v/>
      </c>
      <c r="D1455" s="1033"/>
      <c r="E1455" s="1033"/>
      <c r="F1455" s="1034" t="str">
        <f t="shared" si="325"/>
        <v/>
      </c>
      <c r="G1455" s="1033"/>
      <c r="H1455" s="1033"/>
      <c r="I1455" s="1034" t="str">
        <f t="shared" si="326"/>
        <v/>
      </c>
      <c r="J1455" s="1033"/>
      <c r="K1455" s="1033"/>
      <c r="L1455" s="1034" t="str">
        <f t="shared" si="327"/>
        <v/>
      </c>
      <c r="M1455" s="1035"/>
      <c r="N1455" s="1035"/>
      <c r="O1455" s="1036" t="str">
        <f t="shared" si="328"/>
        <v/>
      </c>
      <c r="P1455" s="1033"/>
      <c r="Q1455" s="1033"/>
      <c r="R1455" s="1034" t="str">
        <f t="shared" si="329"/>
        <v/>
      </c>
      <c r="S1455" s="1035"/>
      <c r="T1455" s="1035"/>
      <c r="U1455" s="1034" t="str">
        <f t="shared" ref="U1455:U1492" si="335">+V1455&amp;W1455</f>
        <v>631101810103</v>
      </c>
      <c r="V1455" s="1035">
        <v>631101810</v>
      </c>
      <c r="W1455" s="1035">
        <v>103</v>
      </c>
      <c r="X1455" s="1037" t="str">
        <f t="shared" ref="X1455:X1478" si="336">+Y1455&amp;Z1455</f>
        <v>6</v>
      </c>
      <c r="Y1455" s="1035"/>
      <c r="Z1455" s="1035">
        <f t="shared" si="332"/>
        <v>6</v>
      </c>
      <c r="AA1455" s="1035"/>
      <c r="AB1455" s="1035"/>
      <c r="AC1455" s="1032">
        <v>610050</v>
      </c>
      <c r="AD1455" s="1021" t="s">
        <v>1385</v>
      </c>
      <c r="AE1455" s="1022">
        <f>VLOOKUP(AC1455,[5]Hoja1!$A$10:$K$1393,11,0)</f>
        <v>1050095007</v>
      </c>
      <c r="AF1455" s="1022"/>
      <c r="AG1455" s="1022">
        <f t="shared" si="333"/>
        <v>1050095007</v>
      </c>
      <c r="AH1455" s="1022">
        <f t="shared" si="334"/>
        <v>1050095</v>
      </c>
      <c r="AK1455" s="448"/>
      <c r="AL1455" s="445"/>
    </row>
    <row r="1456" spans="1:38" s="467" customFormat="1" ht="12.75" customHeight="1">
      <c r="A1456" s="1033">
        <v>5312100</v>
      </c>
      <c r="B1456" s="1033" t="s">
        <v>25</v>
      </c>
      <c r="C1456" s="1034" t="str">
        <f t="shared" si="324"/>
        <v/>
      </c>
      <c r="D1456" s="1033"/>
      <c r="E1456" s="1033"/>
      <c r="F1456" s="1034" t="str">
        <f t="shared" si="325"/>
        <v/>
      </c>
      <c r="G1456" s="1033"/>
      <c r="H1456" s="1033"/>
      <c r="I1456" s="1034" t="str">
        <f t="shared" si="326"/>
        <v/>
      </c>
      <c r="J1456" s="1033"/>
      <c r="K1456" s="1033"/>
      <c r="L1456" s="1034" t="str">
        <f t="shared" si="327"/>
        <v/>
      </c>
      <c r="M1456" s="1035"/>
      <c r="N1456" s="1035"/>
      <c r="O1456" s="1036" t="str">
        <f t="shared" si="328"/>
        <v/>
      </c>
      <c r="P1456" s="1033"/>
      <c r="Q1456" s="1033"/>
      <c r="R1456" s="1034" t="str">
        <f t="shared" si="329"/>
        <v/>
      </c>
      <c r="S1456" s="1035"/>
      <c r="T1456" s="1035"/>
      <c r="U1456" s="1034" t="str">
        <f t="shared" si="335"/>
        <v>631101810101</v>
      </c>
      <c r="V1456" s="1035">
        <v>631101810</v>
      </c>
      <c r="W1456" s="1035">
        <v>101</v>
      </c>
      <c r="X1456" s="1037" t="str">
        <f t="shared" si="336"/>
        <v>6</v>
      </c>
      <c r="Y1456" s="1035"/>
      <c r="Z1456" s="1035">
        <f t="shared" si="332"/>
        <v>6</v>
      </c>
      <c r="AA1456" s="1035"/>
      <c r="AB1456" s="1035"/>
      <c r="AC1456" s="1032">
        <v>610051</v>
      </c>
      <c r="AD1456" s="1021" t="s">
        <v>1386</v>
      </c>
      <c r="AE1456" s="1022">
        <f>VLOOKUP(AC1456,[5]Hoja1!$A$10:$K$1393,11,0)</f>
        <v>0</v>
      </c>
      <c r="AF1456" s="1022"/>
      <c r="AG1456" s="1022">
        <f t="shared" si="333"/>
        <v>0</v>
      </c>
      <c r="AH1456" s="1022">
        <f t="shared" si="334"/>
        <v>0</v>
      </c>
      <c r="AK1456" s="448"/>
      <c r="AL1456" s="445"/>
    </row>
    <row r="1457" spans="1:38" s="467" customFormat="1" ht="12.75" customHeight="1">
      <c r="A1457" s="1033">
        <v>5312100</v>
      </c>
      <c r="B1457" s="1033" t="s">
        <v>25</v>
      </c>
      <c r="C1457" s="1034" t="str">
        <f t="shared" si="324"/>
        <v/>
      </c>
      <c r="D1457" s="1033"/>
      <c r="E1457" s="1033"/>
      <c r="F1457" s="1034" t="str">
        <f t="shared" si="325"/>
        <v/>
      </c>
      <c r="G1457" s="1033"/>
      <c r="H1457" s="1033"/>
      <c r="I1457" s="1034" t="str">
        <f t="shared" si="326"/>
        <v/>
      </c>
      <c r="J1457" s="1033"/>
      <c r="K1457" s="1033"/>
      <c r="L1457" s="1034" t="str">
        <f t="shared" si="327"/>
        <v/>
      </c>
      <c r="M1457" s="1035"/>
      <c r="N1457" s="1035"/>
      <c r="O1457" s="1036" t="str">
        <f t="shared" si="328"/>
        <v/>
      </c>
      <c r="P1457" s="1033"/>
      <c r="Q1457" s="1033"/>
      <c r="R1457" s="1034" t="str">
        <f t="shared" si="329"/>
        <v/>
      </c>
      <c r="S1457" s="1035"/>
      <c r="T1457" s="1035"/>
      <c r="U1457" s="1034" t="str">
        <f t="shared" si="335"/>
        <v>631101810102</v>
      </c>
      <c r="V1457" s="1035">
        <v>631101810</v>
      </c>
      <c r="W1457" s="1035">
        <v>102</v>
      </c>
      <c r="X1457" s="1037" t="str">
        <f t="shared" si="336"/>
        <v>6</v>
      </c>
      <c r="Y1457" s="1035"/>
      <c r="Z1457" s="1035">
        <f t="shared" si="332"/>
        <v>6</v>
      </c>
      <c r="AA1457" s="1035"/>
      <c r="AB1457" s="1035"/>
      <c r="AC1457" s="1032">
        <v>610052</v>
      </c>
      <c r="AD1457" s="1021" t="s">
        <v>1416</v>
      </c>
      <c r="AE1457" s="1022">
        <v>0</v>
      </c>
      <c r="AF1457" s="1022"/>
      <c r="AG1457" s="1022">
        <f t="shared" si="333"/>
        <v>0</v>
      </c>
      <c r="AH1457" s="1022">
        <f t="shared" si="334"/>
        <v>0</v>
      </c>
      <c r="AK1457" s="448"/>
      <c r="AL1457" s="445"/>
    </row>
    <row r="1458" spans="1:38" s="467" customFormat="1" ht="12.75" customHeight="1">
      <c r="A1458" s="1033">
        <v>5312100</v>
      </c>
      <c r="B1458" s="1033" t="s">
        <v>25</v>
      </c>
      <c r="C1458" s="1034" t="str">
        <f t="shared" si="324"/>
        <v/>
      </c>
      <c r="D1458" s="1033"/>
      <c r="E1458" s="1033"/>
      <c r="F1458" s="1034" t="str">
        <f t="shared" si="325"/>
        <v/>
      </c>
      <c r="G1458" s="1033"/>
      <c r="H1458" s="1033"/>
      <c r="I1458" s="1034" t="str">
        <f t="shared" si="326"/>
        <v/>
      </c>
      <c r="J1458" s="1033"/>
      <c r="K1458" s="1033"/>
      <c r="L1458" s="1034" t="str">
        <f t="shared" si="327"/>
        <v/>
      </c>
      <c r="M1458" s="1035"/>
      <c r="N1458" s="1035"/>
      <c r="O1458" s="1036" t="str">
        <f t="shared" si="328"/>
        <v/>
      </c>
      <c r="P1458" s="1033"/>
      <c r="Q1458" s="1033"/>
      <c r="R1458" s="1034" t="str">
        <f t="shared" si="329"/>
        <v/>
      </c>
      <c r="S1458" s="1033"/>
      <c r="T1458" s="1035"/>
      <c r="U1458" s="1034" t="str">
        <f t="shared" si="335"/>
        <v>631101810103</v>
      </c>
      <c r="V1458" s="1035">
        <v>631101810</v>
      </c>
      <c r="W1458" s="1035">
        <v>103</v>
      </c>
      <c r="X1458" s="1037" t="str">
        <f t="shared" si="336"/>
        <v>6</v>
      </c>
      <c r="Y1458" s="1035"/>
      <c r="Z1458" s="1035">
        <f t="shared" si="332"/>
        <v>6</v>
      </c>
      <c r="AA1458" s="1035"/>
      <c r="AB1458" s="1035"/>
      <c r="AC1458" s="1032">
        <v>610053</v>
      </c>
      <c r="AD1458" s="1021" t="s">
        <v>1387</v>
      </c>
      <c r="AE1458" s="1022">
        <f>VLOOKUP(AC1458,[5]Hoja1!$A$10:$K$1393,11,0)</f>
        <v>50653605</v>
      </c>
      <c r="AF1458" s="1022"/>
      <c r="AG1458" s="1022">
        <f t="shared" si="333"/>
        <v>50653605</v>
      </c>
      <c r="AH1458" s="1022">
        <f t="shared" si="334"/>
        <v>50654</v>
      </c>
      <c r="AK1458" s="448"/>
      <c r="AL1458" s="445"/>
    </row>
    <row r="1459" spans="1:38" s="467" customFormat="1" ht="12.75" customHeight="1">
      <c r="A1459" s="1033">
        <v>5311510</v>
      </c>
      <c r="B1459" s="1033" t="s">
        <v>2824</v>
      </c>
      <c r="C1459" s="1034" t="str">
        <f t="shared" si="324"/>
        <v/>
      </c>
      <c r="D1459" s="1033"/>
      <c r="E1459" s="1033"/>
      <c r="F1459" s="1034" t="str">
        <f t="shared" si="325"/>
        <v/>
      </c>
      <c r="G1459" s="1033"/>
      <c r="H1459" s="1033"/>
      <c r="I1459" s="1034" t="str">
        <f t="shared" si="326"/>
        <v/>
      </c>
      <c r="J1459" s="1033"/>
      <c r="K1459" s="1033"/>
      <c r="L1459" s="1034" t="str">
        <f t="shared" si="327"/>
        <v/>
      </c>
      <c r="M1459" s="1035"/>
      <c r="N1459" s="1035"/>
      <c r="O1459" s="1036" t="str">
        <f t="shared" si="328"/>
        <v/>
      </c>
      <c r="P1459" s="1033"/>
      <c r="Q1459" s="1033"/>
      <c r="R1459" s="1034" t="str">
        <f t="shared" si="329"/>
        <v/>
      </c>
      <c r="S1459" s="1033"/>
      <c r="T1459" s="1035"/>
      <c r="U1459" s="1034" t="str">
        <f t="shared" si="335"/>
        <v>631101820421</v>
      </c>
      <c r="V1459" s="1035">
        <v>631101820</v>
      </c>
      <c r="W1459" s="1035">
        <v>421</v>
      </c>
      <c r="X1459" s="1037" t="str">
        <f t="shared" si="336"/>
        <v>6</v>
      </c>
      <c r="Y1459" s="1035"/>
      <c r="Z1459" s="1035">
        <f t="shared" si="332"/>
        <v>6</v>
      </c>
      <c r="AA1459" s="1035"/>
      <c r="AB1459" s="1035"/>
      <c r="AC1459" s="1021">
        <v>610054</v>
      </c>
      <c r="AD1459" s="1021" t="s">
        <v>1690</v>
      </c>
      <c r="AE1459" s="1022">
        <f>VLOOKUP(AC1459,[5]Hoja1!$A$10:$K$1393,11,0)</f>
        <v>204492499</v>
      </c>
      <c r="AF1459" s="1022"/>
      <c r="AG1459" s="1022">
        <f t="shared" si="333"/>
        <v>204492499</v>
      </c>
      <c r="AH1459" s="1022">
        <f t="shared" si="334"/>
        <v>204492</v>
      </c>
      <c r="AK1459" s="448"/>
      <c r="AL1459" s="445"/>
    </row>
    <row r="1460" spans="1:38" s="467" customFormat="1" ht="12.75" customHeight="1">
      <c r="A1460" s="1033">
        <v>5311510</v>
      </c>
      <c r="B1460" s="1033" t="s">
        <v>2824</v>
      </c>
      <c r="C1460" s="1034" t="str">
        <f t="shared" si="324"/>
        <v/>
      </c>
      <c r="D1460" s="1033"/>
      <c r="E1460" s="1033"/>
      <c r="F1460" s="1034" t="str">
        <f t="shared" si="325"/>
        <v/>
      </c>
      <c r="G1460" s="1033"/>
      <c r="H1460" s="1033"/>
      <c r="I1460" s="1034" t="str">
        <f t="shared" si="326"/>
        <v/>
      </c>
      <c r="J1460" s="1033"/>
      <c r="K1460" s="1033"/>
      <c r="L1460" s="1034" t="str">
        <f t="shared" si="327"/>
        <v/>
      </c>
      <c r="M1460" s="1035"/>
      <c r="N1460" s="1035"/>
      <c r="O1460" s="1036" t="str">
        <f t="shared" si="328"/>
        <v/>
      </c>
      <c r="P1460" s="1033"/>
      <c r="Q1460" s="1033"/>
      <c r="R1460" s="1034" t="str">
        <f t="shared" si="329"/>
        <v/>
      </c>
      <c r="S1460" s="1033"/>
      <c r="T1460" s="1035"/>
      <c r="U1460" s="1034" t="str">
        <f t="shared" si="335"/>
        <v>631101810103</v>
      </c>
      <c r="V1460" s="1035">
        <v>631101810</v>
      </c>
      <c r="W1460" s="1035">
        <v>103</v>
      </c>
      <c r="X1460" s="1037" t="str">
        <f t="shared" si="336"/>
        <v>6</v>
      </c>
      <c r="Y1460" s="1035"/>
      <c r="Z1460" s="1035">
        <f t="shared" si="332"/>
        <v>6</v>
      </c>
      <c r="AA1460" s="1035"/>
      <c r="AB1460" s="1035"/>
      <c r="AC1460" s="1032">
        <v>610055</v>
      </c>
      <c r="AD1460" s="1021" t="s">
        <v>78</v>
      </c>
      <c r="AE1460" s="1022">
        <f>VLOOKUP(AC1460,[5]Hoja1!$A$10:$K$1393,11,0)</f>
        <v>0</v>
      </c>
      <c r="AF1460" s="1022"/>
      <c r="AG1460" s="1022">
        <f t="shared" si="333"/>
        <v>0</v>
      </c>
      <c r="AH1460" s="1022">
        <f t="shared" si="334"/>
        <v>0</v>
      </c>
      <c r="AK1460" s="448"/>
      <c r="AL1460" s="445"/>
    </row>
    <row r="1461" spans="1:38" s="467" customFormat="1" ht="12.75" customHeight="1">
      <c r="A1461" s="1033">
        <v>5312100</v>
      </c>
      <c r="B1461" s="1033" t="s">
        <v>25</v>
      </c>
      <c r="C1461" s="1034" t="str">
        <f t="shared" si="324"/>
        <v/>
      </c>
      <c r="D1461" s="1033"/>
      <c r="E1461" s="1033"/>
      <c r="F1461" s="1034" t="str">
        <f t="shared" si="325"/>
        <v/>
      </c>
      <c r="G1461" s="1033"/>
      <c r="H1461" s="1033"/>
      <c r="I1461" s="1034" t="str">
        <f t="shared" si="326"/>
        <v/>
      </c>
      <c r="J1461" s="1033"/>
      <c r="K1461" s="1033"/>
      <c r="L1461" s="1034" t="str">
        <f t="shared" si="327"/>
        <v/>
      </c>
      <c r="M1461" s="1035"/>
      <c r="N1461" s="1035"/>
      <c r="O1461" s="1036" t="str">
        <f t="shared" si="328"/>
        <v/>
      </c>
      <c r="P1461" s="1033"/>
      <c r="Q1461" s="1033"/>
      <c r="R1461" s="1034" t="str">
        <f t="shared" si="329"/>
        <v/>
      </c>
      <c r="S1461" s="1033"/>
      <c r="T1461" s="1035"/>
      <c r="U1461" s="1034" t="str">
        <f t="shared" si="335"/>
        <v>631101810103</v>
      </c>
      <c r="V1461" s="1035">
        <v>631101810</v>
      </c>
      <c r="W1461" s="1035">
        <v>103</v>
      </c>
      <c r="X1461" s="1037" t="str">
        <f t="shared" si="336"/>
        <v>6</v>
      </c>
      <c r="Y1461" s="1035"/>
      <c r="Z1461" s="1035">
        <f t="shared" si="332"/>
        <v>6</v>
      </c>
      <c r="AA1461" s="1033">
        <v>34</v>
      </c>
      <c r="AB1461" s="1033" t="s">
        <v>25</v>
      </c>
      <c r="AC1461" s="1021">
        <v>610056</v>
      </c>
      <c r="AD1461" s="1021" t="s">
        <v>1388</v>
      </c>
      <c r="AE1461" s="1022">
        <f>VLOOKUP(AC1461,[5]Hoja1!$A$10:$K$1393,11,0)</f>
        <v>30008489</v>
      </c>
      <c r="AF1461" s="1022"/>
      <c r="AG1461" s="1022">
        <f t="shared" si="333"/>
        <v>30008489</v>
      </c>
      <c r="AH1461" s="1022">
        <f t="shared" si="334"/>
        <v>30008</v>
      </c>
      <c r="AK1461" s="448"/>
      <c r="AL1461" s="445"/>
    </row>
    <row r="1462" spans="1:38" s="467" customFormat="1" ht="12.75" customHeight="1">
      <c r="A1462" s="1033">
        <v>5312100</v>
      </c>
      <c r="B1462" s="1033" t="s">
        <v>25</v>
      </c>
      <c r="C1462" s="1034" t="str">
        <f t="shared" si="324"/>
        <v/>
      </c>
      <c r="D1462" s="1033"/>
      <c r="E1462" s="1033"/>
      <c r="F1462" s="1034" t="str">
        <f t="shared" si="325"/>
        <v/>
      </c>
      <c r="G1462" s="1033"/>
      <c r="H1462" s="1033"/>
      <c r="I1462" s="1034" t="str">
        <f t="shared" si="326"/>
        <v/>
      </c>
      <c r="J1462" s="1033"/>
      <c r="K1462" s="1033"/>
      <c r="L1462" s="1034" t="str">
        <f t="shared" si="327"/>
        <v/>
      </c>
      <c r="M1462" s="1035"/>
      <c r="N1462" s="1035"/>
      <c r="O1462" s="1036" t="str">
        <f t="shared" si="328"/>
        <v/>
      </c>
      <c r="P1462" s="1033"/>
      <c r="Q1462" s="1033"/>
      <c r="R1462" s="1034" t="str">
        <f t="shared" si="329"/>
        <v/>
      </c>
      <c r="S1462" s="1033"/>
      <c r="T1462" s="1035"/>
      <c r="U1462" s="1034" t="str">
        <f t="shared" si="335"/>
        <v>631101810103</v>
      </c>
      <c r="V1462" s="1035">
        <v>631101810</v>
      </c>
      <c r="W1462" s="1035">
        <v>103</v>
      </c>
      <c r="X1462" s="1037" t="str">
        <f t="shared" si="336"/>
        <v>6</v>
      </c>
      <c r="Y1462" s="1035"/>
      <c r="Z1462" s="1035">
        <f t="shared" si="332"/>
        <v>6</v>
      </c>
      <c r="AA1462" s="1033">
        <v>34</v>
      </c>
      <c r="AB1462" s="1033" t="s">
        <v>25</v>
      </c>
      <c r="AC1462" s="1021">
        <v>610057</v>
      </c>
      <c r="AD1462" s="1021" t="s">
        <v>1389</v>
      </c>
      <c r="AE1462" s="1022">
        <f>VLOOKUP(AC1462,[5]Hoja1!$A$10:$K$1393,11,0)</f>
        <v>73668079</v>
      </c>
      <c r="AF1462" s="1022"/>
      <c r="AG1462" s="1022">
        <f t="shared" si="333"/>
        <v>73668079</v>
      </c>
      <c r="AH1462" s="1022">
        <f t="shared" si="334"/>
        <v>73668</v>
      </c>
      <c r="AK1462" s="448"/>
      <c r="AL1462" s="445"/>
    </row>
    <row r="1463" spans="1:38" s="467" customFormat="1" ht="12.75" customHeight="1">
      <c r="A1463" s="1033">
        <v>5312100</v>
      </c>
      <c r="B1463" s="1033" t="s">
        <v>25</v>
      </c>
      <c r="C1463" s="1034" t="str">
        <f t="shared" si="324"/>
        <v/>
      </c>
      <c r="D1463" s="1033"/>
      <c r="E1463" s="1033"/>
      <c r="F1463" s="1034" t="str">
        <f t="shared" si="325"/>
        <v/>
      </c>
      <c r="G1463" s="1033"/>
      <c r="H1463" s="1033"/>
      <c r="I1463" s="1034" t="str">
        <f t="shared" si="326"/>
        <v/>
      </c>
      <c r="J1463" s="1033"/>
      <c r="K1463" s="1033"/>
      <c r="L1463" s="1034" t="str">
        <f t="shared" si="327"/>
        <v/>
      </c>
      <c r="M1463" s="1035"/>
      <c r="N1463" s="1035"/>
      <c r="O1463" s="1036" t="str">
        <f t="shared" si="328"/>
        <v/>
      </c>
      <c r="P1463" s="1033"/>
      <c r="Q1463" s="1033"/>
      <c r="R1463" s="1034" t="str">
        <f t="shared" si="329"/>
        <v/>
      </c>
      <c r="S1463" s="1033"/>
      <c r="T1463" s="1035"/>
      <c r="U1463" s="1034" t="str">
        <f t="shared" si="335"/>
        <v>631101810103</v>
      </c>
      <c r="V1463" s="1035">
        <v>631101810</v>
      </c>
      <c r="W1463" s="1035">
        <v>103</v>
      </c>
      <c r="X1463" s="1037" t="str">
        <f t="shared" si="336"/>
        <v>6</v>
      </c>
      <c r="Y1463" s="1035"/>
      <c r="Z1463" s="1035">
        <f t="shared" si="332"/>
        <v>6</v>
      </c>
      <c r="AA1463" s="1033">
        <v>34</v>
      </c>
      <c r="AB1463" s="1033" t="s">
        <v>25</v>
      </c>
      <c r="AC1463" s="1021">
        <v>610058</v>
      </c>
      <c r="AD1463" s="1021" t="s">
        <v>2431</v>
      </c>
      <c r="AE1463" s="1022">
        <f>VLOOKUP(AC1463,[5]Hoja1!$A$10:$K$1393,11,0)</f>
        <v>-1201196</v>
      </c>
      <c r="AF1463" s="1022"/>
      <c r="AG1463" s="1022">
        <f t="shared" si="333"/>
        <v>-1201196</v>
      </c>
      <c r="AH1463" s="1022">
        <f t="shared" si="334"/>
        <v>-1201</v>
      </c>
      <c r="AK1463" s="448"/>
      <c r="AL1463" s="445"/>
    </row>
    <row r="1464" spans="1:38" s="467" customFormat="1" ht="12.75" customHeight="1">
      <c r="A1464" s="1033">
        <v>5312100</v>
      </c>
      <c r="B1464" s="1033" t="s">
        <v>25</v>
      </c>
      <c r="C1464" s="1034" t="str">
        <f t="shared" si="324"/>
        <v/>
      </c>
      <c r="D1464" s="1033"/>
      <c r="E1464" s="1033"/>
      <c r="F1464" s="1034" t="str">
        <f t="shared" si="325"/>
        <v/>
      </c>
      <c r="G1464" s="1033"/>
      <c r="H1464" s="1033"/>
      <c r="I1464" s="1034" t="str">
        <f t="shared" si="326"/>
        <v/>
      </c>
      <c r="J1464" s="1033"/>
      <c r="K1464" s="1033"/>
      <c r="L1464" s="1034" t="str">
        <f t="shared" si="327"/>
        <v/>
      </c>
      <c r="M1464" s="1035"/>
      <c r="N1464" s="1035"/>
      <c r="O1464" s="1036" t="str">
        <f t="shared" si="328"/>
        <v/>
      </c>
      <c r="P1464" s="1033"/>
      <c r="Q1464" s="1033"/>
      <c r="R1464" s="1034" t="str">
        <f t="shared" si="329"/>
        <v/>
      </c>
      <c r="S1464" s="1033"/>
      <c r="T1464" s="1035"/>
      <c r="U1464" s="1034" t="str">
        <f t="shared" si="335"/>
        <v>631101810103</v>
      </c>
      <c r="V1464" s="1035">
        <v>631101810</v>
      </c>
      <c r="W1464" s="1035">
        <v>103</v>
      </c>
      <c r="X1464" s="1037" t="str">
        <f t="shared" si="336"/>
        <v>6</v>
      </c>
      <c r="Y1464" s="1035"/>
      <c r="Z1464" s="1035">
        <f t="shared" si="332"/>
        <v>6</v>
      </c>
      <c r="AA1464" s="1033">
        <v>34</v>
      </c>
      <c r="AB1464" s="1033" t="s">
        <v>25</v>
      </c>
      <c r="AC1464" s="1021">
        <v>610059</v>
      </c>
      <c r="AD1464" s="1021" t="s">
        <v>1691</v>
      </c>
      <c r="AE1464" s="1022">
        <f>VLOOKUP(AC1464,[5]Hoja1!$A$10:$K$1393,11,0)</f>
        <v>113677123</v>
      </c>
      <c r="AF1464" s="1022"/>
      <c r="AG1464" s="1022">
        <f t="shared" si="333"/>
        <v>113677123</v>
      </c>
      <c r="AH1464" s="1022">
        <f t="shared" si="334"/>
        <v>113677</v>
      </c>
      <c r="AK1464" s="448"/>
      <c r="AL1464" s="445"/>
    </row>
    <row r="1465" spans="1:38" s="467" customFormat="1" ht="12.75" customHeight="1">
      <c r="A1465" s="1033">
        <v>5312100</v>
      </c>
      <c r="B1465" s="1033" t="s">
        <v>25</v>
      </c>
      <c r="C1465" s="1034" t="str">
        <f t="shared" si="324"/>
        <v/>
      </c>
      <c r="D1465" s="1033"/>
      <c r="E1465" s="1033"/>
      <c r="F1465" s="1034" t="str">
        <f t="shared" si="325"/>
        <v/>
      </c>
      <c r="G1465" s="1033"/>
      <c r="H1465" s="1033"/>
      <c r="I1465" s="1034" t="str">
        <f t="shared" si="326"/>
        <v/>
      </c>
      <c r="J1465" s="1033"/>
      <c r="K1465" s="1033"/>
      <c r="L1465" s="1034" t="str">
        <f t="shared" si="327"/>
        <v/>
      </c>
      <c r="M1465" s="1035"/>
      <c r="N1465" s="1035"/>
      <c r="O1465" s="1036" t="str">
        <f t="shared" si="328"/>
        <v/>
      </c>
      <c r="P1465" s="1033"/>
      <c r="Q1465" s="1033"/>
      <c r="R1465" s="1034" t="str">
        <f t="shared" si="329"/>
        <v/>
      </c>
      <c r="S1465" s="1033"/>
      <c r="T1465" s="1035"/>
      <c r="U1465" s="1034" t="str">
        <f t="shared" si="335"/>
        <v>631101810103</v>
      </c>
      <c r="V1465" s="1035">
        <v>631101810</v>
      </c>
      <c r="W1465" s="1035">
        <v>103</v>
      </c>
      <c r="X1465" s="1037" t="str">
        <f t="shared" si="336"/>
        <v>6</v>
      </c>
      <c r="Y1465" s="1035"/>
      <c r="Z1465" s="1035">
        <f t="shared" si="332"/>
        <v>6</v>
      </c>
      <c r="AA1465" s="1033">
        <v>34</v>
      </c>
      <c r="AB1465" s="1033" t="s">
        <v>25</v>
      </c>
      <c r="AC1465" s="1021">
        <v>610060</v>
      </c>
      <c r="AD1465" s="1021" t="s">
        <v>1390</v>
      </c>
      <c r="AE1465" s="1022">
        <f>VLOOKUP(AC1465,[5]Hoja1!$A$10:$K$1393,11,0)</f>
        <v>5344000</v>
      </c>
      <c r="AF1465" s="1022"/>
      <c r="AG1465" s="1022">
        <f t="shared" si="333"/>
        <v>5344000</v>
      </c>
      <c r="AH1465" s="1022">
        <f t="shared" si="334"/>
        <v>5344</v>
      </c>
      <c r="AK1465" s="448"/>
      <c r="AL1465" s="445"/>
    </row>
    <row r="1466" spans="1:38" s="467" customFormat="1" ht="12.75" customHeight="1">
      <c r="A1466" s="1033">
        <v>5312100</v>
      </c>
      <c r="B1466" s="1033" t="s">
        <v>25</v>
      </c>
      <c r="C1466" s="1034" t="str">
        <f t="shared" si="324"/>
        <v/>
      </c>
      <c r="D1466" s="1033"/>
      <c r="E1466" s="1033"/>
      <c r="F1466" s="1034" t="str">
        <f t="shared" si="325"/>
        <v/>
      </c>
      <c r="G1466" s="1033"/>
      <c r="H1466" s="1033"/>
      <c r="I1466" s="1034" t="str">
        <f t="shared" si="326"/>
        <v/>
      </c>
      <c r="J1466" s="1033"/>
      <c r="K1466" s="1033"/>
      <c r="L1466" s="1034" t="str">
        <f t="shared" si="327"/>
        <v/>
      </c>
      <c r="M1466" s="1035"/>
      <c r="N1466" s="1035"/>
      <c r="O1466" s="1036" t="str">
        <f t="shared" si="328"/>
        <v/>
      </c>
      <c r="P1466" s="1033"/>
      <c r="Q1466" s="1033"/>
      <c r="R1466" s="1034" t="str">
        <f t="shared" si="329"/>
        <v/>
      </c>
      <c r="S1466" s="1033"/>
      <c r="T1466" s="1035"/>
      <c r="U1466" s="1034" t="str">
        <f t="shared" si="335"/>
        <v>631101810103</v>
      </c>
      <c r="V1466" s="1035">
        <v>631101810</v>
      </c>
      <c r="W1466" s="1035">
        <v>103</v>
      </c>
      <c r="X1466" s="1037" t="str">
        <f t="shared" si="336"/>
        <v>6</v>
      </c>
      <c r="Y1466" s="1035"/>
      <c r="Z1466" s="1035">
        <f t="shared" si="332"/>
        <v>6</v>
      </c>
      <c r="AA1466" s="1033">
        <v>34</v>
      </c>
      <c r="AB1466" s="1033" t="s">
        <v>25</v>
      </c>
      <c r="AC1466" s="1021">
        <v>610061</v>
      </c>
      <c r="AD1466" s="1021" t="s">
        <v>1391</v>
      </c>
      <c r="AE1466" s="1022">
        <f>VLOOKUP(AC1466,[5]Hoja1!$A$10:$K$1393,11,0)</f>
        <v>3801024</v>
      </c>
      <c r="AF1466" s="1022"/>
      <c r="AG1466" s="1022">
        <f t="shared" si="333"/>
        <v>3801024</v>
      </c>
      <c r="AH1466" s="1022">
        <f t="shared" si="334"/>
        <v>3801</v>
      </c>
      <c r="AK1466" s="448"/>
      <c r="AL1466" s="445"/>
    </row>
    <row r="1467" spans="1:38" s="467" customFormat="1" ht="12.75" customHeight="1">
      <c r="A1467" s="1033">
        <v>5312100</v>
      </c>
      <c r="B1467" s="1033" t="s">
        <v>25</v>
      </c>
      <c r="C1467" s="1034" t="str">
        <f t="shared" si="324"/>
        <v/>
      </c>
      <c r="D1467" s="1033"/>
      <c r="E1467" s="1033"/>
      <c r="F1467" s="1034" t="str">
        <f t="shared" si="325"/>
        <v/>
      </c>
      <c r="G1467" s="1033"/>
      <c r="H1467" s="1033"/>
      <c r="I1467" s="1034" t="str">
        <f t="shared" si="326"/>
        <v/>
      </c>
      <c r="J1467" s="1033"/>
      <c r="K1467" s="1033"/>
      <c r="L1467" s="1034" t="str">
        <f t="shared" si="327"/>
        <v/>
      </c>
      <c r="M1467" s="1035"/>
      <c r="N1467" s="1035"/>
      <c r="O1467" s="1036" t="str">
        <f t="shared" si="328"/>
        <v/>
      </c>
      <c r="P1467" s="1033"/>
      <c r="Q1467" s="1033"/>
      <c r="R1467" s="1034" t="str">
        <f t="shared" si="329"/>
        <v/>
      </c>
      <c r="S1467" s="1033"/>
      <c r="T1467" s="1035"/>
      <c r="U1467" s="1034" t="str">
        <f t="shared" si="335"/>
        <v>631101810103</v>
      </c>
      <c r="V1467" s="1035">
        <v>631101810</v>
      </c>
      <c r="W1467" s="1035">
        <v>103</v>
      </c>
      <c r="X1467" s="1037" t="str">
        <f t="shared" si="336"/>
        <v>6</v>
      </c>
      <c r="Y1467" s="1035"/>
      <c r="Z1467" s="1035">
        <f t="shared" si="332"/>
        <v>6</v>
      </c>
      <c r="AA1467" s="1033">
        <v>34</v>
      </c>
      <c r="AB1467" s="1033" t="s">
        <v>25</v>
      </c>
      <c r="AC1467" s="1021">
        <v>610062</v>
      </c>
      <c r="AD1467" s="1021" t="s">
        <v>2440</v>
      </c>
      <c r="AE1467" s="1022">
        <f>VLOOKUP(AC1467,[5]Hoja1!$A$10:$K$1393,11,0)</f>
        <v>-778500</v>
      </c>
      <c r="AF1467" s="1022"/>
      <c r="AG1467" s="1022">
        <f t="shared" si="333"/>
        <v>-778500</v>
      </c>
      <c r="AH1467" s="1022">
        <f t="shared" si="334"/>
        <v>-779</v>
      </c>
      <c r="AK1467" s="448"/>
      <c r="AL1467" s="445"/>
    </row>
    <row r="1468" spans="1:38" s="467" customFormat="1" ht="12.75" customHeight="1">
      <c r="A1468" s="1033">
        <v>5312100</v>
      </c>
      <c r="B1468" s="1033" t="s">
        <v>25</v>
      </c>
      <c r="C1468" s="1034" t="str">
        <f t="shared" si="324"/>
        <v/>
      </c>
      <c r="D1468" s="1033"/>
      <c r="E1468" s="1033"/>
      <c r="F1468" s="1034" t="str">
        <f t="shared" si="325"/>
        <v/>
      </c>
      <c r="G1468" s="1033"/>
      <c r="H1468" s="1033"/>
      <c r="I1468" s="1034" t="str">
        <f t="shared" si="326"/>
        <v/>
      </c>
      <c r="J1468" s="1033"/>
      <c r="K1468" s="1033"/>
      <c r="L1468" s="1034" t="str">
        <f t="shared" si="327"/>
        <v/>
      </c>
      <c r="M1468" s="1035"/>
      <c r="N1468" s="1035"/>
      <c r="O1468" s="1036" t="str">
        <f t="shared" si="328"/>
        <v/>
      </c>
      <c r="P1468" s="1033"/>
      <c r="Q1468" s="1033"/>
      <c r="R1468" s="1034" t="str">
        <f t="shared" si="329"/>
        <v/>
      </c>
      <c r="S1468" s="1033"/>
      <c r="T1468" s="1035"/>
      <c r="U1468" s="1034" t="str">
        <f t="shared" si="335"/>
        <v>631101810103</v>
      </c>
      <c r="V1468" s="1035">
        <v>631101810</v>
      </c>
      <c r="W1468" s="1035">
        <v>103</v>
      </c>
      <c r="X1468" s="1037" t="str">
        <f t="shared" si="336"/>
        <v>6</v>
      </c>
      <c r="Y1468" s="1035"/>
      <c r="Z1468" s="1035">
        <f t="shared" si="332"/>
        <v>6</v>
      </c>
      <c r="AA1468" s="1033">
        <v>34</v>
      </c>
      <c r="AB1468" s="1033" t="s">
        <v>25</v>
      </c>
      <c r="AC1468" s="1021">
        <v>610063</v>
      </c>
      <c r="AD1468" s="1021" t="s">
        <v>111</v>
      </c>
      <c r="AE1468" s="1022">
        <f>VLOOKUP(AC1468,[5]Hoja1!$A$10:$K$1393,11,0)</f>
        <v>79437937</v>
      </c>
      <c r="AF1468" s="1022"/>
      <c r="AG1468" s="1022">
        <f t="shared" si="333"/>
        <v>79437937</v>
      </c>
      <c r="AH1468" s="1022">
        <f t="shared" si="334"/>
        <v>79438</v>
      </c>
      <c r="AK1468" s="448"/>
      <c r="AL1468" s="445"/>
    </row>
    <row r="1469" spans="1:38" s="467" customFormat="1" ht="12.75" customHeight="1">
      <c r="A1469" s="1033">
        <v>5312100</v>
      </c>
      <c r="B1469" s="1033" t="s">
        <v>25</v>
      </c>
      <c r="C1469" s="1034" t="str">
        <f t="shared" si="324"/>
        <v/>
      </c>
      <c r="D1469" s="1033"/>
      <c r="E1469" s="1033"/>
      <c r="F1469" s="1034" t="str">
        <f t="shared" si="325"/>
        <v/>
      </c>
      <c r="G1469" s="1033"/>
      <c r="H1469" s="1033"/>
      <c r="I1469" s="1034" t="str">
        <f t="shared" si="326"/>
        <v/>
      </c>
      <c r="J1469" s="1033"/>
      <c r="K1469" s="1033"/>
      <c r="L1469" s="1034" t="str">
        <f t="shared" si="327"/>
        <v/>
      </c>
      <c r="M1469" s="1035"/>
      <c r="N1469" s="1035"/>
      <c r="O1469" s="1036" t="str">
        <f t="shared" si="328"/>
        <v/>
      </c>
      <c r="P1469" s="1033"/>
      <c r="Q1469" s="1033"/>
      <c r="R1469" s="1034" t="str">
        <f t="shared" si="329"/>
        <v/>
      </c>
      <c r="S1469" s="1033"/>
      <c r="T1469" s="1035"/>
      <c r="U1469" s="1034" t="str">
        <f t="shared" si="335"/>
        <v>631101810103</v>
      </c>
      <c r="V1469" s="1035">
        <v>631101810</v>
      </c>
      <c r="W1469" s="1035">
        <v>103</v>
      </c>
      <c r="X1469" s="1037" t="str">
        <f t="shared" si="336"/>
        <v>6</v>
      </c>
      <c r="Y1469" s="1035"/>
      <c r="Z1469" s="1035">
        <f t="shared" si="332"/>
        <v>6</v>
      </c>
      <c r="AA1469" s="1033">
        <v>34</v>
      </c>
      <c r="AB1469" s="1033" t="s">
        <v>25</v>
      </c>
      <c r="AC1469" s="1021">
        <v>610064</v>
      </c>
      <c r="AD1469" s="1021" t="s">
        <v>112</v>
      </c>
      <c r="AE1469" s="1022">
        <f>VLOOKUP(AC1469,[5]Hoja1!$A$10:$K$1393,11,0)</f>
        <v>18138315</v>
      </c>
      <c r="AF1469" s="1022"/>
      <c r="AG1469" s="1022">
        <f t="shared" si="333"/>
        <v>18138315</v>
      </c>
      <c r="AH1469" s="1022">
        <f t="shared" si="334"/>
        <v>18138</v>
      </c>
      <c r="AK1469" s="448"/>
      <c r="AL1469" s="445"/>
    </row>
    <row r="1470" spans="1:38" s="467" customFormat="1" ht="12.75" customHeight="1">
      <c r="A1470" s="1033">
        <v>5312100</v>
      </c>
      <c r="B1470" s="1033" t="s">
        <v>25</v>
      </c>
      <c r="C1470" s="1034" t="str">
        <f t="shared" si="324"/>
        <v/>
      </c>
      <c r="D1470" s="1033"/>
      <c r="E1470" s="1033"/>
      <c r="F1470" s="1034" t="str">
        <f t="shared" si="325"/>
        <v/>
      </c>
      <c r="G1470" s="1033"/>
      <c r="H1470" s="1033"/>
      <c r="I1470" s="1034" t="str">
        <f t="shared" si="326"/>
        <v/>
      </c>
      <c r="J1470" s="1033"/>
      <c r="K1470" s="1033"/>
      <c r="L1470" s="1034" t="str">
        <f t="shared" si="327"/>
        <v/>
      </c>
      <c r="M1470" s="1035"/>
      <c r="N1470" s="1035"/>
      <c r="O1470" s="1036" t="str">
        <f t="shared" si="328"/>
        <v/>
      </c>
      <c r="P1470" s="1033"/>
      <c r="Q1470" s="1033"/>
      <c r="R1470" s="1034" t="str">
        <f t="shared" si="329"/>
        <v/>
      </c>
      <c r="S1470" s="1033"/>
      <c r="T1470" s="1035"/>
      <c r="U1470" s="1034" t="str">
        <f t="shared" si="335"/>
        <v>631101810103</v>
      </c>
      <c r="V1470" s="1035">
        <v>631101810</v>
      </c>
      <c r="W1470" s="1035">
        <v>103</v>
      </c>
      <c r="X1470" s="1037" t="str">
        <f t="shared" si="336"/>
        <v>6</v>
      </c>
      <c r="Y1470" s="1035"/>
      <c r="Z1470" s="1035">
        <f t="shared" si="332"/>
        <v>6</v>
      </c>
      <c r="AA1470" s="1033">
        <v>34</v>
      </c>
      <c r="AB1470" s="1033" t="s">
        <v>25</v>
      </c>
      <c r="AC1470" s="1021">
        <v>610065</v>
      </c>
      <c r="AD1470" s="1021" t="s">
        <v>2441</v>
      </c>
      <c r="AE1470" s="1022">
        <f>VLOOKUP(AC1470,[5]Hoja1!$A$10:$K$1393,11,0)</f>
        <v>35907553</v>
      </c>
      <c r="AF1470" s="1022"/>
      <c r="AG1470" s="1022">
        <f t="shared" si="333"/>
        <v>35907553</v>
      </c>
      <c r="AH1470" s="1022">
        <f t="shared" si="334"/>
        <v>35908</v>
      </c>
      <c r="AK1470" s="448"/>
      <c r="AL1470" s="445"/>
    </row>
    <row r="1471" spans="1:38" s="467" customFormat="1" ht="12.75" customHeight="1">
      <c r="A1471" s="1033">
        <v>5312100</v>
      </c>
      <c r="B1471" s="1033" t="s">
        <v>25</v>
      </c>
      <c r="C1471" s="1034" t="str">
        <f t="shared" si="324"/>
        <v/>
      </c>
      <c r="D1471" s="1033"/>
      <c r="E1471" s="1033"/>
      <c r="F1471" s="1034" t="str">
        <f t="shared" si="325"/>
        <v/>
      </c>
      <c r="G1471" s="1033"/>
      <c r="H1471" s="1033"/>
      <c r="I1471" s="1034" t="str">
        <f t="shared" si="326"/>
        <v/>
      </c>
      <c r="J1471" s="1033"/>
      <c r="K1471" s="1033"/>
      <c r="L1471" s="1034" t="str">
        <f t="shared" si="327"/>
        <v/>
      </c>
      <c r="M1471" s="1035"/>
      <c r="N1471" s="1035"/>
      <c r="O1471" s="1036" t="str">
        <f t="shared" si="328"/>
        <v/>
      </c>
      <c r="P1471" s="1033"/>
      <c r="Q1471" s="1033"/>
      <c r="R1471" s="1034" t="str">
        <f t="shared" si="329"/>
        <v/>
      </c>
      <c r="S1471" s="1033"/>
      <c r="T1471" s="1035"/>
      <c r="U1471" s="1034" t="str">
        <f t="shared" si="335"/>
        <v>631101810103</v>
      </c>
      <c r="V1471" s="1035">
        <v>631101810</v>
      </c>
      <c r="W1471" s="1035">
        <v>103</v>
      </c>
      <c r="X1471" s="1037" t="str">
        <f t="shared" si="336"/>
        <v>6</v>
      </c>
      <c r="Y1471" s="1035"/>
      <c r="Z1471" s="1035">
        <f t="shared" si="332"/>
        <v>6</v>
      </c>
      <c r="AA1471" s="1033">
        <v>34</v>
      </c>
      <c r="AB1471" s="1033" t="s">
        <v>25</v>
      </c>
      <c r="AC1471" s="1021">
        <v>610066</v>
      </c>
      <c r="AD1471" s="1021" t="s">
        <v>114</v>
      </c>
      <c r="AE1471" s="1022">
        <f>VLOOKUP(AC1471,[5]Hoja1!$A$10:$K$1393,11,0)</f>
        <v>1808400</v>
      </c>
      <c r="AF1471" s="1022"/>
      <c r="AG1471" s="1022">
        <f t="shared" si="333"/>
        <v>1808400</v>
      </c>
      <c r="AH1471" s="1022">
        <f t="shared" si="334"/>
        <v>1808</v>
      </c>
      <c r="AK1471" s="448"/>
      <c r="AL1471" s="445"/>
    </row>
    <row r="1472" spans="1:38" s="467" customFormat="1" ht="12.75" customHeight="1">
      <c r="A1472" s="1033">
        <v>5312100</v>
      </c>
      <c r="B1472" s="1033" t="s">
        <v>25</v>
      </c>
      <c r="C1472" s="1034" t="str">
        <f t="shared" si="324"/>
        <v/>
      </c>
      <c r="D1472" s="1033"/>
      <c r="E1472" s="1033"/>
      <c r="F1472" s="1034" t="str">
        <f t="shared" si="325"/>
        <v/>
      </c>
      <c r="G1472" s="1033"/>
      <c r="H1472" s="1033"/>
      <c r="I1472" s="1034" t="str">
        <f t="shared" si="326"/>
        <v/>
      </c>
      <c r="J1472" s="1033"/>
      <c r="K1472" s="1033"/>
      <c r="L1472" s="1034" t="str">
        <f t="shared" si="327"/>
        <v/>
      </c>
      <c r="M1472" s="1035"/>
      <c r="N1472" s="1035"/>
      <c r="O1472" s="1036" t="str">
        <f t="shared" si="328"/>
        <v/>
      </c>
      <c r="P1472" s="1033"/>
      <c r="Q1472" s="1033"/>
      <c r="R1472" s="1034" t="str">
        <f t="shared" si="329"/>
        <v/>
      </c>
      <c r="S1472" s="1033"/>
      <c r="T1472" s="1035"/>
      <c r="U1472" s="1034" t="str">
        <f t="shared" si="335"/>
        <v>631101810103</v>
      </c>
      <c r="V1472" s="1035">
        <v>631101810</v>
      </c>
      <c r="W1472" s="1035">
        <v>103</v>
      </c>
      <c r="X1472" s="1037" t="str">
        <f t="shared" si="336"/>
        <v>6</v>
      </c>
      <c r="Y1472" s="1035"/>
      <c r="Z1472" s="1035">
        <f t="shared" si="332"/>
        <v>6</v>
      </c>
      <c r="AA1472" s="1033">
        <v>34</v>
      </c>
      <c r="AB1472" s="1033" t="s">
        <v>25</v>
      </c>
      <c r="AC1472" s="1021">
        <v>610067</v>
      </c>
      <c r="AD1472" s="1021" t="s">
        <v>680</v>
      </c>
      <c r="AE1472" s="1022">
        <f>VLOOKUP(AC1472,[5]Hoja1!$A$10:$K$1393,11,0)</f>
        <v>0</v>
      </c>
      <c r="AF1472" s="1022"/>
      <c r="AG1472" s="1022">
        <f t="shared" si="333"/>
        <v>0</v>
      </c>
      <c r="AH1472" s="1022">
        <f t="shared" si="334"/>
        <v>0</v>
      </c>
      <c r="AK1472" s="448"/>
      <c r="AL1472" s="445"/>
    </row>
    <row r="1473" spans="1:38" s="467" customFormat="1" ht="12.75" customHeight="1">
      <c r="A1473" s="1033">
        <v>5312100</v>
      </c>
      <c r="B1473" s="1033" t="s">
        <v>25</v>
      </c>
      <c r="C1473" s="1034" t="str">
        <f t="shared" si="324"/>
        <v/>
      </c>
      <c r="D1473" s="1033"/>
      <c r="E1473" s="1033"/>
      <c r="F1473" s="1034" t="str">
        <f t="shared" si="325"/>
        <v/>
      </c>
      <c r="G1473" s="1033"/>
      <c r="H1473" s="1033"/>
      <c r="I1473" s="1034" t="str">
        <f t="shared" si="326"/>
        <v/>
      </c>
      <c r="J1473" s="1033"/>
      <c r="K1473" s="1033"/>
      <c r="L1473" s="1034" t="str">
        <f t="shared" si="327"/>
        <v/>
      </c>
      <c r="M1473" s="1035"/>
      <c r="N1473" s="1035"/>
      <c r="O1473" s="1036" t="str">
        <f t="shared" si="328"/>
        <v/>
      </c>
      <c r="P1473" s="1033"/>
      <c r="Q1473" s="1033"/>
      <c r="R1473" s="1034" t="str">
        <f t="shared" si="329"/>
        <v/>
      </c>
      <c r="S1473" s="1033"/>
      <c r="T1473" s="1035"/>
      <c r="U1473" s="1034" t="str">
        <f t="shared" si="335"/>
        <v>631101810103</v>
      </c>
      <c r="V1473" s="1035">
        <v>631101810</v>
      </c>
      <c r="W1473" s="1035">
        <v>103</v>
      </c>
      <c r="X1473" s="1037" t="str">
        <f t="shared" si="336"/>
        <v>6</v>
      </c>
      <c r="Y1473" s="1035"/>
      <c r="Z1473" s="1035">
        <f t="shared" si="332"/>
        <v>6</v>
      </c>
      <c r="AA1473" s="1033">
        <v>34</v>
      </c>
      <c r="AB1473" s="1033" t="s">
        <v>25</v>
      </c>
      <c r="AC1473" s="1021">
        <v>610068</v>
      </c>
      <c r="AD1473" s="1021" t="s">
        <v>2442</v>
      </c>
      <c r="AE1473" s="1022">
        <f>VLOOKUP(AC1473,[5]Hoja1!$A$10:$K$1393,11,0)</f>
        <v>24122279</v>
      </c>
      <c r="AF1473" s="1022"/>
      <c r="AG1473" s="1022">
        <f t="shared" si="333"/>
        <v>24122279</v>
      </c>
      <c r="AH1473" s="1022">
        <f t="shared" si="334"/>
        <v>24122</v>
      </c>
      <c r="AK1473" s="448"/>
      <c r="AL1473" s="445"/>
    </row>
    <row r="1474" spans="1:38" s="467" customFormat="1" ht="12.75" customHeight="1">
      <c r="A1474" s="1033">
        <v>5312100</v>
      </c>
      <c r="B1474" s="1033" t="s">
        <v>25</v>
      </c>
      <c r="C1474" s="1034" t="str">
        <f t="shared" si="324"/>
        <v/>
      </c>
      <c r="D1474" s="1033"/>
      <c r="E1474" s="1033"/>
      <c r="F1474" s="1034" t="str">
        <f t="shared" si="325"/>
        <v/>
      </c>
      <c r="G1474" s="1033"/>
      <c r="H1474" s="1033"/>
      <c r="I1474" s="1034" t="str">
        <f t="shared" si="326"/>
        <v/>
      </c>
      <c r="J1474" s="1033"/>
      <c r="K1474" s="1033"/>
      <c r="L1474" s="1034" t="str">
        <f t="shared" si="327"/>
        <v/>
      </c>
      <c r="M1474" s="1035"/>
      <c r="N1474" s="1035"/>
      <c r="O1474" s="1036" t="str">
        <f t="shared" si="328"/>
        <v/>
      </c>
      <c r="P1474" s="1033"/>
      <c r="Q1474" s="1033"/>
      <c r="R1474" s="1034" t="str">
        <f t="shared" si="329"/>
        <v/>
      </c>
      <c r="S1474" s="1033"/>
      <c r="T1474" s="1035"/>
      <c r="U1474" s="1034" t="str">
        <f t="shared" si="335"/>
        <v>631101810103</v>
      </c>
      <c r="V1474" s="1035">
        <v>631101810</v>
      </c>
      <c r="W1474" s="1035">
        <v>103</v>
      </c>
      <c r="X1474" s="1037" t="str">
        <f t="shared" si="336"/>
        <v>6</v>
      </c>
      <c r="Y1474" s="1035"/>
      <c r="Z1474" s="1035">
        <f t="shared" si="332"/>
        <v>6</v>
      </c>
      <c r="AA1474" s="1033">
        <v>34</v>
      </c>
      <c r="AB1474" s="1033" t="s">
        <v>25</v>
      </c>
      <c r="AC1474" s="1021">
        <v>610069</v>
      </c>
      <c r="AD1474" s="1021" t="s">
        <v>2443</v>
      </c>
      <c r="AE1474" s="1022">
        <f>VLOOKUP(AC1474,[5]Hoja1!$A$10:$K$1393,11,0)</f>
        <v>55191379</v>
      </c>
      <c r="AF1474" s="1022"/>
      <c r="AG1474" s="1022">
        <f t="shared" si="333"/>
        <v>55191379</v>
      </c>
      <c r="AH1474" s="1022">
        <f t="shared" si="334"/>
        <v>55191</v>
      </c>
      <c r="AK1474" s="448"/>
      <c r="AL1474" s="445"/>
    </row>
    <row r="1475" spans="1:38" s="467" customFormat="1" ht="12.75" customHeight="1">
      <c r="A1475" s="1033"/>
      <c r="B1475" s="1033"/>
      <c r="C1475" s="1034" t="str">
        <f t="shared" si="324"/>
        <v/>
      </c>
      <c r="D1475" s="1033"/>
      <c r="E1475" s="1033"/>
      <c r="F1475" s="1034" t="str">
        <f t="shared" si="325"/>
        <v/>
      </c>
      <c r="G1475" s="1033"/>
      <c r="H1475" s="1033"/>
      <c r="I1475" s="1034" t="str">
        <f t="shared" si="326"/>
        <v/>
      </c>
      <c r="J1475" s="1033"/>
      <c r="K1475" s="1033"/>
      <c r="L1475" s="1034" t="str">
        <f t="shared" si="327"/>
        <v/>
      </c>
      <c r="M1475" s="1035"/>
      <c r="N1475" s="1035"/>
      <c r="O1475" s="1036" t="str">
        <f t="shared" si="328"/>
        <v/>
      </c>
      <c r="P1475" s="1033"/>
      <c r="Q1475" s="1033"/>
      <c r="R1475" s="1034" t="str">
        <f t="shared" si="329"/>
        <v/>
      </c>
      <c r="S1475" s="1033"/>
      <c r="T1475" s="1035"/>
      <c r="U1475" s="1034" t="str">
        <f t="shared" si="335"/>
        <v>631101810103</v>
      </c>
      <c r="V1475" s="1035">
        <v>631101810</v>
      </c>
      <c r="W1475" s="1035">
        <v>103</v>
      </c>
      <c r="X1475" s="1037" t="str">
        <f t="shared" si="336"/>
        <v>6</v>
      </c>
      <c r="Y1475" s="1035"/>
      <c r="Z1475" s="1035">
        <f t="shared" si="332"/>
        <v>6</v>
      </c>
      <c r="AA1475" s="1035"/>
      <c r="AB1475" s="1035"/>
      <c r="AC1475" s="1021">
        <v>610070</v>
      </c>
      <c r="AD1475" s="1021" t="s">
        <v>1692</v>
      </c>
      <c r="AE1475" s="1022">
        <v>0</v>
      </c>
      <c r="AF1475" s="1022"/>
      <c r="AG1475" s="1022">
        <f t="shared" si="333"/>
        <v>0</v>
      </c>
      <c r="AH1475" s="1022">
        <f t="shared" si="334"/>
        <v>0</v>
      </c>
      <c r="AK1475" s="448"/>
      <c r="AL1475" s="445"/>
    </row>
    <row r="1476" spans="1:38" s="467" customFormat="1" ht="12.75" customHeight="1">
      <c r="A1476" s="1033"/>
      <c r="B1476" s="1033"/>
      <c r="C1476" s="1034" t="str">
        <f t="shared" si="324"/>
        <v/>
      </c>
      <c r="D1476" s="1033"/>
      <c r="E1476" s="1033"/>
      <c r="F1476" s="1034" t="str">
        <f t="shared" si="325"/>
        <v/>
      </c>
      <c r="G1476" s="1033"/>
      <c r="H1476" s="1033"/>
      <c r="I1476" s="1034" t="str">
        <f t="shared" si="326"/>
        <v/>
      </c>
      <c r="J1476" s="1033"/>
      <c r="K1476" s="1033"/>
      <c r="L1476" s="1034" t="str">
        <f t="shared" si="327"/>
        <v/>
      </c>
      <c r="M1476" s="1035"/>
      <c r="N1476" s="1035"/>
      <c r="O1476" s="1036" t="str">
        <f t="shared" si="328"/>
        <v/>
      </c>
      <c r="P1476" s="1033"/>
      <c r="Q1476" s="1033"/>
      <c r="R1476" s="1034" t="str">
        <f t="shared" si="329"/>
        <v/>
      </c>
      <c r="S1476" s="1033"/>
      <c r="T1476" s="1035"/>
      <c r="U1476" s="1034" t="str">
        <f t="shared" si="335"/>
        <v>631101810103</v>
      </c>
      <c r="V1476" s="1035">
        <v>631101810</v>
      </c>
      <c r="W1476" s="1035">
        <v>103</v>
      </c>
      <c r="X1476" s="1037" t="str">
        <f t="shared" si="336"/>
        <v>6</v>
      </c>
      <c r="Y1476" s="1035"/>
      <c r="Z1476" s="1035">
        <f t="shared" si="332"/>
        <v>6</v>
      </c>
      <c r="AA1476" s="1035"/>
      <c r="AB1476" s="1035"/>
      <c r="AC1476" s="1021">
        <v>610071</v>
      </c>
      <c r="AD1476" s="1021" t="s">
        <v>1189</v>
      </c>
      <c r="AE1476" s="1022">
        <v>0</v>
      </c>
      <c r="AF1476" s="1022"/>
      <c r="AG1476" s="1022">
        <f t="shared" si="333"/>
        <v>0</v>
      </c>
      <c r="AH1476" s="1022">
        <f t="shared" si="334"/>
        <v>0</v>
      </c>
      <c r="AK1476" s="448"/>
      <c r="AL1476" s="445"/>
    </row>
    <row r="1477" spans="1:38" s="467" customFormat="1" ht="12.75" customHeight="1">
      <c r="A1477" s="1033">
        <v>5312100</v>
      </c>
      <c r="B1477" s="1033" t="s">
        <v>25</v>
      </c>
      <c r="C1477" s="1034" t="str">
        <f t="shared" si="324"/>
        <v/>
      </c>
      <c r="D1477" s="1033"/>
      <c r="E1477" s="1033"/>
      <c r="F1477" s="1034" t="str">
        <f t="shared" si="325"/>
        <v/>
      </c>
      <c r="G1477" s="1033"/>
      <c r="H1477" s="1033"/>
      <c r="I1477" s="1034" t="str">
        <f t="shared" si="326"/>
        <v/>
      </c>
      <c r="J1477" s="1033"/>
      <c r="K1477" s="1033"/>
      <c r="L1477" s="1034" t="str">
        <f t="shared" si="327"/>
        <v/>
      </c>
      <c r="M1477" s="1035"/>
      <c r="N1477" s="1035"/>
      <c r="O1477" s="1036" t="str">
        <f t="shared" si="328"/>
        <v/>
      </c>
      <c r="P1477" s="1033"/>
      <c r="Q1477" s="1033"/>
      <c r="R1477" s="1034" t="str">
        <f t="shared" si="329"/>
        <v/>
      </c>
      <c r="S1477" s="1033"/>
      <c r="T1477" s="1035"/>
      <c r="U1477" s="1034" t="str">
        <f t="shared" si="335"/>
        <v>631101810103</v>
      </c>
      <c r="V1477" s="1035">
        <v>631101810</v>
      </c>
      <c r="W1477" s="1035">
        <v>103</v>
      </c>
      <c r="X1477" s="1037" t="str">
        <f t="shared" si="336"/>
        <v>6</v>
      </c>
      <c r="Y1477" s="1035"/>
      <c r="Z1477" s="1035">
        <f t="shared" si="332"/>
        <v>6</v>
      </c>
      <c r="AA1477" s="1033">
        <v>34</v>
      </c>
      <c r="AB1477" s="1033" t="s">
        <v>25</v>
      </c>
      <c r="AC1477" s="1021">
        <v>610072</v>
      </c>
      <c r="AD1477" s="1021" t="s">
        <v>1299</v>
      </c>
      <c r="AE1477" s="1022">
        <f>VLOOKUP(AC1477,[5]Hoja1!$A$10:$K$1393,11,0)</f>
        <v>9295576</v>
      </c>
      <c r="AF1477" s="1022"/>
      <c r="AG1477" s="1022">
        <f t="shared" si="333"/>
        <v>9295576</v>
      </c>
      <c r="AH1477" s="1022">
        <f t="shared" si="334"/>
        <v>9296</v>
      </c>
      <c r="AK1477" s="448"/>
      <c r="AL1477" s="445"/>
    </row>
    <row r="1478" spans="1:38" s="467" customFormat="1" ht="12.75" customHeight="1">
      <c r="A1478" s="1033">
        <v>5312100</v>
      </c>
      <c r="B1478" s="1033" t="s">
        <v>25</v>
      </c>
      <c r="C1478" s="1034" t="str">
        <f t="shared" si="324"/>
        <v/>
      </c>
      <c r="D1478" s="1033"/>
      <c r="E1478" s="1033"/>
      <c r="F1478" s="1034" t="str">
        <f t="shared" si="325"/>
        <v/>
      </c>
      <c r="G1478" s="1033"/>
      <c r="H1478" s="1033"/>
      <c r="I1478" s="1034" t="str">
        <f t="shared" si="326"/>
        <v/>
      </c>
      <c r="J1478" s="1033"/>
      <c r="K1478" s="1033"/>
      <c r="L1478" s="1034" t="str">
        <f t="shared" si="327"/>
        <v/>
      </c>
      <c r="M1478" s="1035"/>
      <c r="N1478" s="1035"/>
      <c r="O1478" s="1036" t="str">
        <f t="shared" si="328"/>
        <v/>
      </c>
      <c r="P1478" s="1033"/>
      <c r="Q1478" s="1033"/>
      <c r="R1478" s="1034" t="str">
        <f t="shared" si="329"/>
        <v/>
      </c>
      <c r="S1478" s="1033"/>
      <c r="T1478" s="1035"/>
      <c r="U1478" s="1034" t="str">
        <f t="shared" si="335"/>
        <v>631101810103</v>
      </c>
      <c r="V1478" s="1035">
        <v>631101810</v>
      </c>
      <c r="W1478" s="1035">
        <v>103</v>
      </c>
      <c r="X1478" s="1037" t="str">
        <f t="shared" si="336"/>
        <v>6</v>
      </c>
      <c r="Y1478" s="1035"/>
      <c r="Z1478" s="1035">
        <f t="shared" si="332"/>
        <v>6</v>
      </c>
      <c r="AA1478" s="1033">
        <v>34</v>
      </c>
      <c r="AB1478" s="1033" t="s">
        <v>25</v>
      </c>
      <c r="AC1478" s="1021">
        <v>610073</v>
      </c>
      <c r="AD1478" s="1021" t="s">
        <v>1415</v>
      </c>
      <c r="AE1478" s="1022">
        <f>VLOOKUP(AC1478,[5]Hoja1!$A$10:$K$1393,11,0)</f>
        <v>0</v>
      </c>
      <c r="AF1478" s="1022"/>
      <c r="AG1478" s="1022">
        <f t="shared" si="333"/>
        <v>0</v>
      </c>
      <c r="AH1478" s="1022">
        <f t="shared" si="334"/>
        <v>0</v>
      </c>
      <c r="AK1478" s="448"/>
      <c r="AL1478" s="445"/>
    </row>
    <row r="1479" spans="1:38" s="467" customFormat="1" ht="12.75" customHeight="1">
      <c r="A1479" s="1033"/>
      <c r="B1479" s="1033"/>
      <c r="C1479" s="1034"/>
      <c r="D1479" s="1033"/>
      <c r="E1479" s="1033"/>
      <c r="F1479" s="1034"/>
      <c r="G1479" s="1033"/>
      <c r="H1479" s="1033"/>
      <c r="I1479" s="1034"/>
      <c r="J1479" s="1033"/>
      <c r="K1479" s="1033"/>
      <c r="L1479" s="1034"/>
      <c r="M1479" s="1035"/>
      <c r="N1479" s="1035"/>
      <c r="O1479" s="1036"/>
      <c r="P1479" s="1033"/>
      <c r="Q1479" s="1033"/>
      <c r="R1479" s="1034"/>
      <c r="S1479" s="1033"/>
      <c r="T1479" s="1035"/>
      <c r="U1479" s="1034" t="str">
        <f t="shared" si="335"/>
        <v>631101810103</v>
      </c>
      <c r="V1479" s="1035">
        <v>631101810</v>
      </c>
      <c r="W1479" s="1035">
        <v>103</v>
      </c>
      <c r="X1479" s="1037"/>
      <c r="Y1479" s="1035"/>
      <c r="Z1479" s="1035">
        <f t="shared" si="332"/>
        <v>6</v>
      </c>
      <c r="AA1479" s="1035"/>
      <c r="AB1479" s="1035"/>
      <c r="AC1479" s="1021">
        <v>610074</v>
      </c>
      <c r="AD1479" s="1021" t="s">
        <v>2444</v>
      </c>
      <c r="AE1479" s="1022">
        <v>0</v>
      </c>
      <c r="AF1479" s="1022"/>
      <c r="AG1479" s="1022">
        <f t="shared" si="333"/>
        <v>0</v>
      </c>
      <c r="AH1479" s="1022">
        <f t="shared" si="334"/>
        <v>0</v>
      </c>
      <c r="AK1479" s="448"/>
      <c r="AL1479" s="445"/>
    </row>
    <row r="1480" spans="1:38" s="467" customFormat="1" ht="12.75" customHeight="1">
      <c r="A1480" s="1033">
        <v>5312100</v>
      </c>
      <c r="B1480" s="1033" t="s">
        <v>25</v>
      </c>
      <c r="C1480" s="1034"/>
      <c r="D1480" s="1033"/>
      <c r="E1480" s="1033"/>
      <c r="F1480" s="1034"/>
      <c r="G1480" s="1033"/>
      <c r="H1480" s="1033"/>
      <c r="I1480" s="1034"/>
      <c r="J1480" s="1033"/>
      <c r="K1480" s="1033"/>
      <c r="L1480" s="1034"/>
      <c r="M1480" s="1035"/>
      <c r="N1480" s="1035"/>
      <c r="O1480" s="1036"/>
      <c r="P1480" s="1033"/>
      <c r="Q1480" s="1033"/>
      <c r="R1480" s="1034"/>
      <c r="S1480" s="1033"/>
      <c r="T1480" s="1035"/>
      <c r="U1480" s="1034" t="str">
        <f t="shared" si="335"/>
        <v>631101810103</v>
      </c>
      <c r="V1480" s="1035">
        <v>631101810</v>
      </c>
      <c r="W1480" s="1035">
        <v>103</v>
      </c>
      <c r="X1480" s="1037"/>
      <c r="Y1480" s="1035"/>
      <c r="Z1480" s="1035">
        <f t="shared" si="332"/>
        <v>6</v>
      </c>
      <c r="AA1480" s="1033">
        <v>34</v>
      </c>
      <c r="AB1480" s="1033" t="s">
        <v>25</v>
      </c>
      <c r="AC1480" s="1021">
        <v>610075</v>
      </c>
      <c r="AD1480" s="1021" t="s">
        <v>530</v>
      </c>
      <c r="AE1480" s="1022">
        <f>VLOOKUP(AC1480,[5]Hoja1!$A$10:$K$1393,11,0)</f>
        <v>60552922</v>
      </c>
      <c r="AF1480" s="1022"/>
      <c r="AG1480" s="1022">
        <f t="shared" si="333"/>
        <v>60552922</v>
      </c>
      <c r="AH1480" s="1022">
        <f t="shared" si="334"/>
        <v>60553</v>
      </c>
      <c r="AK1480" s="448"/>
      <c r="AL1480" s="445"/>
    </row>
    <row r="1481" spans="1:38" s="467" customFormat="1" ht="12.75" customHeight="1">
      <c r="A1481" s="1033">
        <v>5311510</v>
      </c>
      <c r="B1481" s="1033" t="s">
        <v>2824</v>
      </c>
      <c r="C1481" s="1034"/>
      <c r="D1481" s="1033"/>
      <c r="E1481" s="1033"/>
      <c r="F1481" s="1034"/>
      <c r="G1481" s="1033"/>
      <c r="H1481" s="1033"/>
      <c r="I1481" s="1034"/>
      <c r="J1481" s="1033"/>
      <c r="K1481" s="1033"/>
      <c r="L1481" s="1034"/>
      <c r="M1481" s="1035"/>
      <c r="N1481" s="1035"/>
      <c r="O1481" s="1036"/>
      <c r="P1481" s="1033"/>
      <c r="Q1481" s="1033"/>
      <c r="R1481" s="1034"/>
      <c r="S1481" s="1033"/>
      <c r="T1481" s="1035"/>
      <c r="U1481" s="1034" t="str">
        <f t="shared" si="335"/>
        <v>631101810103</v>
      </c>
      <c r="V1481" s="1035">
        <v>631101810</v>
      </c>
      <c r="W1481" s="1035">
        <v>103</v>
      </c>
      <c r="X1481" s="1037"/>
      <c r="Y1481" s="1035"/>
      <c r="Z1481" s="1035">
        <f t="shared" si="332"/>
        <v>6</v>
      </c>
      <c r="AA1481" s="1035"/>
      <c r="AB1481" s="1035"/>
      <c r="AC1481" s="1032">
        <v>610076</v>
      </c>
      <c r="AD1481" s="1021" t="s">
        <v>2445</v>
      </c>
      <c r="AE1481" s="1022">
        <f>VLOOKUP(AC1481,[5]Hoja1!$A$10:$K$1393,11,0)</f>
        <v>42563117</v>
      </c>
      <c r="AF1481" s="1028">
        <v>0</v>
      </c>
      <c r="AG1481" s="1022">
        <f t="shared" si="333"/>
        <v>42563117</v>
      </c>
      <c r="AH1481" s="1022">
        <f t="shared" si="334"/>
        <v>42563</v>
      </c>
      <c r="AK1481" s="448"/>
      <c r="AL1481" s="445"/>
    </row>
    <row r="1482" spans="1:38" s="467" customFormat="1" ht="12.75" customHeight="1">
      <c r="A1482" s="1033">
        <v>5312100</v>
      </c>
      <c r="B1482" s="1033" t="s">
        <v>25</v>
      </c>
      <c r="C1482" s="1034"/>
      <c r="D1482" s="1033"/>
      <c r="E1482" s="1033"/>
      <c r="F1482" s="1034"/>
      <c r="G1482" s="1033"/>
      <c r="H1482" s="1033"/>
      <c r="I1482" s="1034"/>
      <c r="J1482" s="1033"/>
      <c r="K1482" s="1033"/>
      <c r="L1482" s="1034"/>
      <c r="M1482" s="1035"/>
      <c r="N1482" s="1035"/>
      <c r="O1482" s="1036"/>
      <c r="P1482" s="1033"/>
      <c r="Q1482" s="1033"/>
      <c r="R1482" s="1034"/>
      <c r="S1482" s="1033"/>
      <c r="T1482" s="1035"/>
      <c r="U1482" s="1034" t="str">
        <f t="shared" si="335"/>
        <v>631101810103</v>
      </c>
      <c r="V1482" s="1035">
        <v>631101810</v>
      </c>
      <c r="W1482" s="1035">
        <v>103</v>
      </c>
      <c r="X1482" s="1037"/>
      <c r="Y1482" s="1035"/>
      <c r="Z1482" s="1035">
        <f t="shared" si="332"/>
        <v>6</v>
      </c>
      <c r="AA1482" s="1035"/>
      <c r="AB1482" s="1035"/>
      <c r="AC1482" s="1032">
        <v>610077</v>
      </c>
      <c r="AD1482" s="1021" t="s">
        <v>2446</v>
      </c>
      <c r="AE1482" s="1022">
        <f>VLOOKUP(AC1482,[5]Hoja1!$A$10:$K$1393,11,0)</f>
        <v>293419324</v>
      </c>
      <c r="AF1482" s="1022"/>
      <c r="AG1482" s="1022">
        <f t="shared" si="333"/>
        <v>293419324</v>
      </c>
      <c r="AH1482" s="1022">
        <f t="shared" si="334"/>
        <v>293419</v>
      </c>
      <c r="AK1482" s="448"/>
      <c r="AL1482" s="445"/>
    </row>
    <row r="1483" spans="1:38" s="467" customFormat="1" ht="12.75" customHeight="1">
      <c r="A1483" s="1033">
        <v>5312100</v>
      </c>
      <c r="B1483" s="1033" t="s">
        <v>25</v>
      </c>
      <c r="C1483" s="1034"/>
      <c r="D1483" s="1033"/>
      <c r="E1483" s="1033"/>
      <c r="F1483" s="1034"/>
      <c r="G1483" s="1033"/>
      <c r="H1483" s="1033"/>
      <c r="I1483" s="1034"/>
      <c r="J1483" s="1033"/>
      <c r="K1483" s="1033"/>
      <c r="L1483" s="1034"/>
      <c r="M1483" s="1035"/>
      <c r="N1483" s="1035"/>
      <c r="O1483" s="1036"/>
      <c r="P1483" s="1033"/>
      <c r="Q1483" s="1033"/>
      <c r="R1483" s="1034"/>
      <c r="S1483" s="1033"/>
      <c r="T1483" s="1035"/>
      <c r="U1483" s="1034" t="str">
        <f t="shared" si="335"/>
        <v>631101810103</v>
      </c>
      <c r="V1483" s="1035">
        <v>631101810</v>
      </c>
      <c r="W1483" s="1035">
        <v>103</v>
      </c>
      <c r="X1483" s="1037"/>
      <c r="Y1483" s="1035"/>
      <c r="Z1483" s="1035">
        <f t="shared" si="332"/>
        <v>6</v>
      </c>
      <c r="AA1483" s="1035"/>
      <c r="AB1483" s="1035"/>
      <c r="AC1483" s="1032">
        <v>610078</v>
      </c>
      <c r="AD1483" s="1021" t="s">
        <v>2447</v>
      </c>
      <c r="AE1483" s="1022">
        <f>VLOOKUP(AC1483,[5]Hoja1!$A$10:$K$1393,11,0)</f>
        <v>19854500</v>
      </c>
      <c r="AF1483" s="1022"/>
      <c r="AG1483" s="1022">
        <f t="shared" si="333"/>
        <v>19854500</v>
      </c>
      <c r="AH1483" s="1022">
        <f t="shared" si="334"/>
        <v>19855</v>
      </c>
      <c r="AK1483" s="448"/>
      <c r="AL1483" s="445"/>
    </row>
    <row r="1484" spans="1:38" s="467" customFormat="1" ht="12.75" customHeight="1">
      <c r="A1484" s="1033">
        <v>5312100</v>
      </c>
      <c r="B1484" s="1033" t="s">
        <v>25</v>
      </c>
      <c r="C1484" s="1034"/>
      <c r="D1484" s="1033"/>
      <c r="E1484" s="1033"/>
      <c r="F1484" s="1034"/>
      <c r="G1484" s="1033"/>
      <c r="H1484" s="1033"/>
      <c r="I1484" s="1034"/>
      <c r="J1484" s="1033"/>
      <c r="K1484" s="1033"/>
      <c r="L1484" s="1034"/>
      <c r="M1484" s="1035"/>
      <c r="N1484" s="1035"/>
      <c r="O1484" s="1036"/>
      <c r="P1484" s="1033"/>
      <c r="Q1484" s="1033"/>
      <c r="R1484" s="1034"/>
      <c r="S1484" s="1033"/>
      <c r="T1484" s="1035"/>
      <c r="U1484" s="1034" t="str">
        <f t="shared" si="335"/>
        <v>631101810103</v>
      </c>
      <c r="V1484" s="1035">
        <v>631101810</v>
      </c>
      <c r="W1484" s="1035">
        <v>103</v>
      </c>
      <c r="X1484" s="1037"/>
      <c r="Y1484" s="1035"/>
      <c r="Z1484" s="1035">
        <f t="shared" si="332"/>
        <v>6</v>
      </c>
      <c r="AA1484" s="1035"/>
      <c r="AB1484" s="1035"/>
      <c r="AC1484" s="1032">
        <v>610079</v>
      </c>
      <c r="AD1484" s="1021" t="s">
        <v>304</v>
      </c>
      <c r="AE1484" s="1022">
        <f>VLOOKUP(AC1484,[5]Hoja1!$A$10:$K$1393,11,0)</f>
        <v>2050068</v>
      </c>
      <c r="AF1484" s="1022"/>
      <c r="AG1484" s="1022">
        <f t="shared" si="333"/>
        <v>2050068</v>
      </c>
      <c r="AH1484" s="1022">
        <f t="shared" si="334"/>
        <v>2050</v>
      </c>
      <c r="AK1484" s="448"/>
      <c r="AL1484" s="445"/>
    </row>
    <row r="1485" spans="1:38" s="467" customFormat="1" ht="12.75" customHeight="1">
      <c r="A1485" s="1033">
        <v>5312100</v>
      </c>
      <c r="B1485" s="1033" t="s">
        <v>25</v>
      </c>
      <c r="C1485" s="1034"/>
      <c r="D1485" s="1033"/>
      <c r="E1485" s="1033"/>
      <c r="F1485" s="1034"/>
      <c r="G1485" s="1033"/>
      <c r="H1485" s="1033"/>
      <c r="I1485" s="1034"/>
      <c r="J1485" s="1033"/>
      <c r="K1485" s="1033"/>
      <c r="L1485" s="1034"/>
      <c r="M1485" s="1035"/>
      <c r="N1485" s="1035"/>
      <c r="O1485" s="1036"/>
      <c r="P1485" s="1033"/>
      <c r="Q1485" s="1033"/>
      <c r="R1485" s="1034"/>
      <c r="S1485" s="1033"/>
      <c r="T1485" s="1035"/>
      <c r="U1485" s="1034" t="str">
        <f t="shared" si="335"/>
        <v>631101810103</v>
      </c>
      <c r="V1485" s="1035">
        <v>631101810</v>
      </c>
      <c r="W1485" s="1035">
        <v>103</v>
      </c>
      <c r="X1485" s="1037"/>
      <c r="Y1485" s="1035"/>
      <c r="Z1485" s="1035">
        <f t="shared" si="332"/>
        <v>6</v>
      </c>
      <c r="AA1485" s="1035"/>
      <c r="AB1485" s="1035"/>
      <c r="AC1485" s="1032">
        <v>610080</v>
      </c>
      <c r="AD1485" s="1021" t="s">
        <v>305</v>
      </c>
      <c r="AE1485" s="1022">
        <f>VLOOKUP(AC1485,[5]Hoja1!$A$10:$K$1393,11,0)</f>
        <v>97580548</v>
      </c>
      <c r="AF1485" s="1022"/>
      <c r="AG1485" s="1022">
        <f t="shared" si="333"/>
        <v>97580548</v>
      </c>
      <c r="AH1485" s="1022">
        <f t="shared" si="334"/>
        <v>97581</v>
      </c>
      <c r="AK1485" s="448"/>
      <c r="AL1485" s="445"/>
    </row>
    <row r="1486" spans="1:38" s="467" customFormat="1" ht="12.75" customHeight="1">
      <c r="A1486" s="1033">
        <v>5312100</v>
      </c>
      <c r="B1486" s="1033" t="s">
        <v>25</v>
      </c>
      <c r="C1486" s="1034"/>
      <c r="D1486" s="1033"/>
      <c r="E1486" s="1033"/>
      <c r="F1486" s="1034"/>
      <c r="G1486" s="1033"/>
      <c r="H1486" s="1033"/>
      <c r="I1486" s="1034"/>
      <c r="J1486" s="1033"/>
      <c r="K1486" s="1033"/>
      <c r="L1486" s="1034"/>
      <c r="M1486" s="1035"/>
      <c r="N1486" s="1035"/>
      <c r="O1486" s="1036"/>
      <c r="P1486" s="1033"/>
      <c r="Q1486" s="1033"/>
      <c r="R1486" s="1034"/>
      <c r="S1486" s="1033"/>
      <c r="T1486" s="1035"/>
      <c r="U1486" s="1034" t="str">
        <f>+V1486&amp;W1486</f>
        <v>631101810103</v>
      </c>
      <c r="V1486" s="1035">
        <v>631101810</v>
      </c>
      <c r="W1486" s="1035">
        <v>103</v>
      </c>
      <c r="X1486" s="1037"/>
      <c r="Y1486" s="1035"/>
      <c r="Z1486" s="1035">
        <f t="shared" si="332"/>
        <v>6</v>
      </c>
      <c r="AA1486" s="1035"/>
      <c r="AB1486" s="1035"/>
      <c r="AC1486" s="1032">
        <v>610081</v>
      </c>
      <c r="AD1486" s="1021" t="s">
        <v>1501</v>
      </c>
      <c r="AE1486" s="1022">
        <f>VLOOKUP(AC1486,[5]Hoja1!$A$10:$K$1393,11,0)</f>
        <v>22666307</v>
      </c>
      <c r="AF1486" s="1022"/>
      <c r="AG1486" s="1022">
        <f t="shared" si="333"/>
        <v>22666307</v>
      </c>
      <c r="AH1486" s="1022">
        <f t="shared" si="334"/>
        <v>22666</v>
      </c>
      <c r="AK1486" s="448"/>
      <c r="AL1486" s="445"/>
    </row>
    <row r="1487" spans="1:38" s="467" customFormat="1" ht="12.75" customHeight="1">
      <c r="A1487" s="1033">
        <v>5312100</v>
      </c>
      <c r="B1487" s="1033" t="s">
        <v>25</v>
      </c>
      <c r="C1487" s="1034"/>
      <c r="D1487" s="1033"/>
      <c r="E1487" s="1033"/>
      <c r="F1487" s="1034"/>
      <c r="G1487" s="1033"/>
      <c r="H1487" s="1033"/>
      <c r="I1487" s="1034"/>
      <c r="J1487" s="1033"/>
      <c r="K1487" s="1033"/>
      <c r="L1487" s="1034"/>
      <c r="M1487" s="1035"/>
      <c r="N1487" s="1035"/>
      <c r="O1487" s="1036"/>
      <c r="P1487" s="1033"/>
      <c r="Q1487" s="1033"/>
      <c r="R1487" s="1034"/>
      <c r="S1487" s="1033"/>
      <c r="T1487" s="1035"/>
      <c r="U1487" s="1034" t="str">
        <f t="shared" si="335"/>
        <v>631101810103</v>
      </c>
      <c r="V1487" s="1035">
        <v>631101810</v>
      </c>
      <c r="W1487" s="1035">
        <v>103</v>
      </c>
      <c r="X1487" s="1037"/>
      <c r="Y1487" s="1035"/>
      <c r="Z1487" s="1035">
        <f t="shared" si="332"/>
        <v>6</v>
      </c>
      <c r="AA1487" s="1035"/>
      <c r="AB1487" s="1035"/>
      <c r="AC1487" s="1032">
        <v>610082</v>
      </c>
      <c r="AD1487" s="1021" t="s">
        <v>306</v>
      </c>
      <c r="AE1487" s="1022">
        <f>VLOOKUP(AC1487,[5]Hoja1!$A$10:$K$1393,11,0)</f>
        <v>54697833</v>
      </c>
      <c r="AF1487" s="1022"/>
      <c r="AG1487" s="1022">
        <f t="shared" si="333"/>
        <v>54697833</v>
      </c>
      <c r="AH1487" s="1022">
        <f t="shared" si="334"/>
        <v>54698</v>
      </c>
      <c r="AK1487" s="448"/>
      <c r="AL1487" s="445"/>
    </row>
    <row r="1488" spans="1:38" s="467" customFormat="1" ht="12.75" customHeight="1">
      <c r="A1488" s="1033">
        <v>5312100</v>
      </c>
      <c r="B1488" s="1033" t="s">
        <v>25</v>
      </c>
      <c r="C1488" s="1034"/>
      <c r="D1488" s="1033"/>
      <c r="E1488" s="1033"/>
      <c r="F1488" s="1034"/>
      <c r="G1488" s="1033"/>
      <c r="H1488" s="1033"/>
      <c r="I1488" s="1034"/>
      <c r="J1488" s="1033"/>
      <c r="K1488" s="1033"/>
      <c r="L1488" s="1034"/>
      <c r="M1488" s="1035"/>
      <c r="N1488" s="1035"/>
      <c r="O1488" s="1036"/>
      <c r="P1488" s="1033"/>
      <c r="Q1488" s="1033"/>
      <c r="R1488" s="1034"/>
      <c r="S1488" s="1033"/>
      <c r="T1488" s="1035"/>
      <c r="U1488" s="1034" t="str">
        <f t="shared" si="335"/>
        <v>631101810103</v>
      </c>
      <c r="V1488" s="1035">
        <v>631101810</v>
      </c>
      <c r="W1488" s="1035">
        <v>103</v>
      </c>
      <c r="X1488" s="1037"/>
      <c r="Y1488" s="1035"/>
      <c r="Z1488" s="1035">
        <f t="shared" si="332"/>
        <v>6</v>
      </c>
      <c r="AA1488" s="1035"/>
      <c r="AB1488" s="1035"/>
      <c r="AC1488" s="1032">
        <v>610083</v>
      </c>
      <c r="AD1488" s="1021" t="s">
        <v>307</v>
      </c>
      <c r="AE1488" s="1022">
        <f>VLOOKUP(AC1488,[5]Hoja1!$A$10:$K$1393,11,0)</f>
        <v>102816882</v>
      </c>
      <c r="AF1488" s="1022"/>
      <c r="AG1488" s="1022">
        <f t="shared" si="333"/>
        <v>102816882</v>
      </c>
      <c r="AH1488" s="1022">
        <f t="shared" si="334"/>
        <v>102817</v>
      </c>
      <c r="AK1488" s="448"/>
      <c r="AL1488" s="445"/>
    </row>
    <row r="1489" spans="1:38" s="467" customFormat="1" ht="12.75" customHeight="1">
      <c r="A1489" s="1033">
        <v>5312100</v>
      </c>
      <c r="B1489" s="1033" t="s">
        <v>25</v>
      </c>
      <c r="C1489" s="1034"/>
      <c r="D1489" s="1033"/>
      <c r="E1489" s="1033"/>
      <c r="F1489" s="1034"/>
      <c r="G1489" s="1033"/>
      <c r="H1489" s="1033"/>
      <c r="I1489" s="1034"/>
      <c r="J1489" s="1033"/>
      <c r="K1489" s="1033"/>
      <c r="L1489" s="1034"/>
      <c r="M1489" s="1035"/>
      <c r="N1489" s="1035"/>
      <c r="O1489" s="1036"/>
      <c r="P1489" s="1033"/>
      <c r="Q1489" s="1033"/>
      <c r="R1489" s="1034"/>
      <c r="S1489" s="1033"/>
      <c r="T1489" s="1035"/>
      <c r="U1489" s="1034" t="str">
        <f>+V1489&amp;W1489</f>
        <v>631101810103</v>
      </c>
      <c r="V1489" s="1035">
        <v>631101810</v>
      </c>
      <c r="W1489" s="1035">
        <v>103</v>
      </c>
      <c r="X1489" s="1037"/>
      <c r="Y1489" s="1035"/>
      <c r="Z1489" s="1035">
        <f t="shared" si="332"/>
        <v>6</v>
      </c>
      <c r="AA1489" s="1035"/>
      <c r="AB1489" s="1035"/>
      <c r="AC1489" s="1032">
        <v>610084</v>
      </c>
      <c r="AD1489" s="1021" t="s">
        <v>48</v>
      </c>
      <c r="AE1489" s="1022">
        <f>VLOOKUP(AC1489,[5]Hoja1!$A$10:$K$1393,11,0)</f>
        <v>0</v>
      </c>
      <c r="AF1489" s="1022"/>
      <c r="AG1489" s="1022">
        <f t="shared" si="333"/>
        <v>0</v>
      </c>
      <c r="AH1489" s="1022">
        <f t="shared" si="334"/>
        <v>0</v>
      </c>
      <c r="AK1489" s="448"/>
      <c r="AL1489" s="445"/>
    </row>
    <row r="1490" spans="1:38" s="467" customFormat="1" ht="12.75" customHeight="1">
      <c r="A1490" s="1033">
        <v>5312100</v>
      </c>
      <c r="B1490" s="1033" t="s">
        <v>25</v>
      </c>
      <c r="C1490" s="1034"/>
      <c r="D1490" s="1033"/>
      <c r="E1490" s="1033"/>
      <c r="F1490" s="1034"/>
      <c r="G1490" s="1033"/>
      <c r="H1490" s="1033"/>
      <c r="I1490" s="1034"/>
      <c r="J1490" s="1033"/>
      <c r="K1490" s="1033"/>
      <c r="L1490" s="1034"/>
      <c r="M1490" s="1035"/>
      <c r="N1490" s="1035"/>
      <c r="O1490" s="1036"/>
      <c r="P1490" s="1033"/>
      <c r="Q1490" s="1033"/>
      <c r="R1490" s="1034"/>
      <c r="S1490" s="1033"/>
      <c r="T1490" s="1035"/>
      <c r="U1490" s="1034" t="str">
        <f t="shared" si="335"/>
        <v>631101810103</v>
      </c>
      <c r="V1490" s="1035">
        <v>631101810</v>
      </c>
      <c r="W1490" s="1035">
        <v>103</v>
      </c>
      <c r="X1490" s="1037"/>
      <c r="Y1490" s="1035"/>
      <c r="Z1490" s="1035">
        <f t="shared" si="332"/>
        <v>6</v>
      </c>
      <c r="AA1490" s="1035"/>
      <c r="AB1490" s="1035"/>
      <c r="AC1490" s="1032">
        <v>610085</v>
      </c>
      <c r="AD1490" s="1021" t="s">
        <v>2448</v>
      </c>
      <c r="AE1490" s="1022">
        <f>VLOOKUP(AC1490,[5]Hoja1!$A$10:$K$1393,11,0)</f>
        <v>75616277</v>
      </c>
      <c r="AF1490" s="1022"/>
      <c r="AG1490" s="1022">
        <f t="shared" si="333"/>
        <v>75616277</v>
      </c>
      <c r="AH1490" s="1022">
        <f t="shared" si="334"/>
        <v>75616</v>
      </c>
      <c r="AK1490" s="448"/>
      <c r="AL1490" s="445"/>
    </row>
    <row r="1491" spans="1:38" s="467" customFormat="1" ht="12.75" customHeight="1">
      <c r="A1491" s="1033">
        <v>5312100</v>
      </c>
      <c r="B1491" s="1033" t="s">
        <v>25</v>
      </c>
      <c r="C1491" s="1034"/>
      <c r="D1491" s="1033"/>
      <c r="E1491" s="1033"/>
      <c r="F1491" s="1034"/>
      <c r="G1491" s="1033"/>
      <c r="H1491" s="1033"/>
      <c r="I1491" s="1034"/>
      <c r="J1491" s="1033"/>
      <c r="K1491" s="1033"/>
      <c r="L1491" s="1034"/>
      <c r="M1491" s="1035"/>
      <c r="N1491" s="1035"/>
      <c r="O1491" s="1036"/>
      <c r="P1491" s="1033"/>
      <c r="Q1491" s="1033"/>
      <c r="R1491" s="1034"/>
      <c r="S1491" s="1033"/>
      <c r="T1491" s="1035"/>
      <c r="U1491" s="1034" t="str">
        <f>+V1491&amp;W1491</f>
        <v>631101810103</v>
      </c>
      <c r="V1491" s="1035">
        <v>631101810</v>
      </c>
      <c r="W1491" s="1035">
        <v>103</v>
      </c>
      <c r="X1491" s="1037"/>
      <c r="Y1491" s="1035"/>
      <c r="Z1491" s="1035">
        <f t="shared" si="332"/>
        <v>6</v>
      </c>
      <c r="AA1491" s="1035"/>
      <c r="AB1491" s="1035"/>
      <c r="AC1491" s="1032">
        <v>610086</v>
      </c>
      <c r="AD1491" s="1021" t="s">
        <v>2449</v>
      </c>
      <c r="AE1491" s="1022">
        <f>VLOOKUP(AC1491,[5]Hoja1!$A$10:$K$1393,11,0)</f>
        <v>827500</v>
      </c>
      <c r="AF1491" s="1022"/>
      <c r="AG1491" s="1022">
        <f t="shared" si="333"/>
        <v>827500</v>
      </c>
      <c r="AH1491" s="1022">
        <f t="shared" si="334"/>
        <v>828</v>
      </c>
      <c r="AK1491" s="448"/>
      <c r="AL1491" s="445"/>
    </row>
    <row r="1492" spans="1:38" s="467" customFormat="1" ht="12.75" customHeight="1">
      <c r="A1492" s="1033">
        <v>5312100</v>
      </c>
      <c r="B1492" s="1033" t="s">
        <v>25</v>
      </c>
      <c r="C1492" s="1034"/>
      <c r="D1492" s="1033"/>
      <c r="E1492" s="1033"/>
      <c r="F1492" s="1034"/>
      <c r="G1492" s="1033"/>
      <c r="H1492" s="1033"/>
      <c r="I1492" s="1034"/>
      <c r="J1492" s="1033"/>
      <c r="K1492" s="1033"/>
      <c r="L1492" s="1034"/>
      <c r="M1492" s="1035"/>
      <c r="N1492" s="1035"/>
      <c r="O1492" s="1036"/>
      <c r="P1492" s="1033"/>
      <c r="Q1492" s="1033"/>
      <c r="R1492" s="1034"/>
      <c r="S1492" s="1033"/>
      <c r="T1492" s="1035"/>
      <c r="U1492" s="1034" t="str">
        <f t="shared" si="335"/>
        <v>631101810103</v>
      </c>
      <c r="V1492" s="1035">
        <v>631101810</v>
      </c>
      <c r="W1492" s="1035">
        <v>103</v>
      </c>
      <c r="X1492" s="1037"/>
      <c r="Y1492" s="1035"/>
      <c r="Z1492" s="1035">
        <f t="shared" si="332"/>
        <v>6</v>
      </c>
      <c r="AA1492" s="1035"/>
      <c r="AB1492" s="1035"/>
      <c r="AC1492" s="1032">
        <v>610087</v>
      </c>
      <c r="AD1492" s="1021" t="s">
        <v>2450</v>
      </c>
      <c r="AE1492" s="1022">
        <f>VLOOKUP(AC1492,[5]Hoja1!$A$10:$K$1393,11,0)</f>
        <v>534684158</v>
      </c>
      <c r="AF1492" s="1022"/>
      <c r="AG1492" s="1022">
        <f t="shared" si="333"/>
        <v>534684158</v>
      </c>
      <c r="AH1492" s="1022">
        <f t="shared" si="334"/>
        <v>534684</v>
      </c>
      <c r="AK1492" s="448"/>
      <c r="AL1492" s="445"/>
    </row>
    <row r="1493" spans="1:38" s="467" customFormat="1" ht="12.75" customHeight="1">
      <c r="A1493" s="1033">
        <v>5311510</v>
      </c>
      <c r="B1493" s="1033" t="s">
        <v>2824</v>
      </c>
      <c r="C1493" s="1034"/>
      <c r="D1493" s="1033"/>
      <c r="E1493" s="1033"/>
      <c r="F1493" s="1034"/>
      <c r="G1493" s="1033"/>
      <c r="H1493" s="1033"/>
      <c r="I1493" s="1034"/>
      <c r="J1493" s="1033"/>
      <c r="K1493" s="1033"/>
      <c r="L1493" s="1034"/>
      <c r="M1493" s="1035"/>
      <c r="N1493" s="1035"/>
      <c r="O1493" s="1036"/>
      <c r="P1493" s="1033"/>
      <c r="Q1493" s="1033"/>
      <c r="R1493" s="1034"/>
      <c r="S1493" s="1033"/>
      <c r="T1493" s="1035"/>
      <c r="U1493" s="1034" t="str">
        <f>+V1493&amp;W1493</f>
        <v>631101810103</v>
      </c>
      <c r="V1493" s="1035">
        <v>631101810</v>
      </c>
      <c r="W1493" s="1035">
        <v>103</v>
      </c>
      <c r="X1493" s="1037"/>
      <c r="Y1493" s="1035"/>
      <c r="Z1493" s="1035">
        <f t="shared" si="332"/>
        <v>6</v>
      </c>
      <c r="AA1493" s="1035"/>
      <c r="AB1493" s="1035"/>
      <c r="AC1493" s="1032">
        <v>610088</v>
      </c>
      <c r="AD1493" s="1021" t="s">
        <v>49</v>
      </c>
      <c r="AE1493" s="1022">
        <f>VLOOKUP(AC1493,[5]Hoja1!$A$10:$K$1393,11,0)</f>
        <v>110400082</v>
      </c>
      <c r="AF1493" s="1022"/>
      <c r="AG1493" s="1022">
        <f t="shared" si="333"/>
        <v>110400082</v>
      </c>
      <c r="AH1493" s="1022">
        <f t="shared" si="334"/>
        <v>110400</v>
      </c>
      <c r="AK1493" s="448"/>
      <c r="AL1493" s="445"/>
    </row>
    <row r="1494" spans="1:38" s="467" customFormat="1" ht="12.75" customHeight="1">
      <c r="A1494" s="1033">
        <v>5312100</v>
      </c>
      <c r="B1494" s="1033" t="s">
        <v>25</v>
      </c>
      <c r="C1494" s="1034"/>
      <c r="D1494" s="1033"/>
      <c r="E1494" s="1033"/>
      <c r="F1494" s="1034"/>
      <c r="G1494" s="1033"/>
      <c r="H1494" s="1033"/>
      <c r="I1494" s="1034"/>
      <c r="J1494" s="1033"/>
      <c r="K1494" s="1033"/>
      <c r="L1494" s="1034"/>
      <c r="M1494" s="1035"/>
      <c r="N1494" s="1035"/>
      <c r="O1494" s="1036"/>
      <c r="P1494" s="1033"/>
      <c r="Q1494" s="1033"/>
      <c r="R1494" s="1034"/>
      <c r="S1494" s="1033"/>
      <c r="T1494" s="1035"/>
      <c r="U1494" s="1034"/>
      <c r="V1494" s="1035"/>
      <c r="W1494" s="1035"/>
      <c r="X1494" s="1037"/>
      <c r="Y1494" s="1035"/>
      <c r="Z1494" s="1035">
        <f t="shared" si="332"/>
        <v>6</v>
      </c>
      <c r="AA1494" s="1035"/>
      <c r="AB1494" s="1035"/>
      <c r="AC1494" s="1032">
        <v>610089</v>
      </c>
      <c r="AD1494" s="1021" t="s">
        <v>2451</v>
      </c>
      <c r="AE1494" s="1022">
        <f>VLOOKUP(AC1494,[5]Hoja1!$A$10:$K$1393,11,0)</f>
        <v>33990160</v>
      </c>
      <c r="AF1494" s="1022"/>
      <c r="AG1494" s="1022">
        <f t="shared" si="333"/>
        <v>33990160</v>
      </c>
      <c r="AH1494" s="1022">
        <f t="shared" si="334"/>
        <v>33990</v>
      </c>
      <c r="AK1494" s="448"/>
      <c r="AL1494" s="445"/>
    </row>
    <row r="1495" spans="1:38" s="467" customFormat="1" ht="12.75" customHeight="1">
      <c r="A1495" s="1033">
        <v>5311510</v>
      </c>
      <c r="B1495" s="1033" t="s">
        <v>2824</v>
      </c>
      <c r="C1495" s="1034"/>
      <c r="D1495" s="1033"/>
      <c r="E1495" s="1033"/>
      <c r="F1495" s="1034"/>
      <c r="G1495" s="1033"/>
      <c r="H1495" s="1033"/>
      <c r="I1495" s="1034"/>
      <c r="J1495" s="1033"/>
      <c r="K1495" s="1033"/>
      <c r="L1495" s="1034"/>
      <c r="M1495" s="1035"/>
      <c r="N1495" s="1035"/>
      <c r="O1495" s="1036"/>
      <c r="P1495" s="1033"/>
      <c r="Q1495" s="1033"/>
      <c r="R1495" s="1034"/>
      <c r="S1495" s="1033"/>
      <c r="T1495" s="1035"/>
      <c r="U1495" s="1034"/>
      <c r="V1495" s="1035"/>
      <c r="W1495" s="1035">
        <v>114</v>
      </c>
      <c r="X1495" s="1037"/>
      <c r="Y1495" s="1035"/>
      <c r="Z1495" s="1035">
        <f t="shared" si="332"/>
        <v>6</v>
      </c>
      <c r="AA1495" s="1035"/>
      <c r="AB1495" s="1035"/>
      <c r="AC1495" s="1021">
        <v>610090</v>
      </c>
      <c r="AD1495" s="1021" t="s">
        <v>509</v>
      </c>
      <c r="AE1495" s="1022">
        <f>VLOOKUP(AC1495,[5]Hoja1!$A$10:$K$1393,11,0)</f>
        <v>0</v>
      </c>
      <c r="AF1495" s="1022"/>
      <c r="AG1495" s="1022">
        <f t="shared" si="333"/>
        <v>0</v>
      </c>
      <c r="AH1495" s="1022">
        <f t="shared" si="334"/>
        <v>0</v>
      </c>
      <c r="AK1495" s="448"/>
      <c r="AL1495" s="445"/>
    </row>
    <row r="1496" spans="1:38" s="467" customFormat="1" ht="12.75" customHeight="1">
      <c r="A1496" s="1033">
        <v>5312100</v>
      </c>
      <c r="B1496" s="1033" t="s">
        <v>25</v>
      </c>
      <c r="C1496" s="1034"/>
      <c r="D1496" s="1033"/>
      <c r="E1496" s="1033"/>
      <c r="F1496" s="1034"/>
      <c r="G1496" s="1033"/>
      <c r="H1496" s="1033"/>
      <c r="I1496" s="1034"/>
      <c r="J1496" s="1033"/>
      <c r="K1496" s="1033"/>
      <c r="L1496" s="1034"/>
      <c r="M1496" s="1035"/>
      <c r="N1496" s="1035"/>
      <c r="O1496" s="1036"/>
      <c r="P1496" s="1033"/>
      <c r="Q1496" s="1033"/>
      <c r="R1496" s="1034"/>
      <c r="S1496" s="1033"/>
      <c r="T1496" s="1035"/>
      <c r="U1496" s="1034"/>
      <c r="V1496" s="1035"/>
      <c r="W1496" s="1035"/>
      <c r="X1496" s="1037"/>
      <c r="Y1496" s="1035"/>
      <c r="Z1496" s="1035">
        <f t="shared" si="332"/>
        <v>6</v>
      </c>
      <c r="AA1496" s="1035"/>
      <c r="AB1496" s="1035"/>
      <c r="AC1496" s="1021">
        <v>610091</v>
      </c>
      <c r="AD1496" s="1021" t="s">
        <v>2452</v>
      </c>
      <c r="AE1496" s="1022">
        <f>VLOOKUP(AC1496,[5]Hoja1!$A$10:$K$1393,11,0)</f>
        <v>9599729</v>
      </c>
      <c r="AF1496" s="1022"/>
      <c r="AG1496" s="1022">
        <f t="shared" si="333"/>
        <v>9599729</v>
      </c>
      <c r="AH1496" s="1022">
        <f t="shared" si="334"/>
        <v>9600</v>
      </c>
      <c r="AK1496" s="448"/>
      <c r="AL1496" s="445"/>
    </row>
    <row r="1497" spans="1:38" s="467" customFormat="1" ht="12.75" customHeight="1">
      <c r="A1497" s="1033">
        <v>5312200</v>
      </c>
      <c r="B1497" s="1033" t="s">
        <v>998</v>
      </c>
      <c r="C1497" s="1034"/>
      <c r="D1497" s="1033"/>
      <c r="E1497" s="1033"/>
      <c r="F1497" s="1034"/>
      <c r="G1497" s="1033"/>
      <c r="H1497" s="1033"/>
      <c r="I1497" s="1034"/>
      <c r="J1497" s="1033"/>
      <c r="K1497" s="1033"/>
      <c r="L1497" s="1034"/>
      <c r="M1497" s="1035"/>
      <c r="N1497" s="1035"/>
      <c r="O1497" s="1036"/>
      <c r="P1497" s="1033"/>
      <c r="Q1497" s="1033"/>
      <c r="R1497" s="1034"/>
      <c r="S1497" s="1033"/>
      <c r="T1497" s="1035"/>
      <c r="U1497" s="1034"/>
      <c r="V1497" s="1035"/>
      <c r="W1497" s="1035"/>
      <c r="X1497" s="1037"/>
      <c r="Y1497" s="1035"/>
      <c r="Z1497" s="1035">
        <f t="shared" si="332"/>
        <v>6</v>
      </c>
      <c r="AA1497" s="1035"/>
      <c r="AB1497" s="1033" t="s">
        <v>2985</v>
      </c>
      <c r="AC1497" s="1021">
        <v>610092</v>
      </c>
      <c r="AD1497" s="1021" t="s">
        <v>2453</v>
      </c>
      <c r="AE1497" s="1022">
        <f>VLOOKUP(AC1497,[5]Hoja1!$A$10:$K$1393,11,0)</f>
        <v>0</v>
      </c>
      <c r="AF1497" s="1022"/>
      <c r="AG1497" s="1022">
        <f t="shared" si="333"/>
        <v>0</v>
      </c>
      <c r="AH1497" s="1022">
        <f t="shared" si="334"/>
        <v>0</v>
      </c>
      <c r="AK1497" s="448"/>
      <c r="AL1497" s="445"/>
    </row>
    <row r="1498" spans="1:38" s="467" customFormat="1" ht="12.75" customHeight="1">
      <c r="A1498" s="1033">
        <v>5312200</v>
      </c>
      <c r="B1498" s="1033" t="s">
        <v>998</v>
      </c>
      <c r="C1498" s="1034"/>
      <c r="D1498" s="1033"/>
      <c r="E1498" s="1033"/>
      <c r="F1498" s="1034"/>
      <c r="G1498" s="1033"/>
      <c r="H1498" s="1033"/>
      <c r="I1498" s="1034"/>
      <c r="J1498" s="1033"/>
      <c r="K1498" s="1033"/>
      <c r="L1498" s="1034"/>
      <c r="M1498" s="1035"/>
      <c r="N1498" s="1035"/>
      <c r="O1498" s="1036"/>
      <c r="P1498" s="1033"/>
      <c r="Q1498" s="1033"/>
      <c r="R1498" s="1034"/>
      <c r="S1498" s="1033"/>
      <c r="T1498" s="1035"/>
      <c r="U1498" s="1034"/>
      <c r="V1498" s="1035"/>
      <c r="W1498" s="1035"/>
      <c r="X1498" s="1037"/>
      <c r="Y1498" s="1035"/>
      <c r="Z1498" s="1035">
        <f t="shared" si="332"/>
        <v>6</v>
      </c>
      <c r="AA1498" s="1035"/>
      <c r="AB1498" s="1033" t="s">
        <v>2991</v>
      </c>
      <c r="AC1498" s="1021">
        <v>610093</v>
      </c>
      <c r="AD1498" s="1021" t="s">
        <v>2557</v>
      </c>
      <c r="AE1498" s="1022">
        <f>VLOOKUP(AC1498,[5]Hoja1!$A$10:$K$1393,11,0)</f>
        <v>5686782</v>
      </c>
      <c r="AF1498" s="1022"/>
      <c r="AG1498" s="1022">
        <f t="shared" si="333"/>
        <v>5686782</v>
      </c>
      <c r="AH1498" s="1022">
        <f t="shared" si="334"/>
        <v>5687</v>
      </c>
      <c r="AK1498" s="448"/>
      <c r="AL1498" s="445"/>
    </row>
    <row r="1499" spans="1:38" s="467" customFormat="1" ht="12.75" customHeight="1">
      <c r="A1499" s="1033">
        <v>5312200</v>
      </c>
      <c r="B1499" s="1033" t="s">
        <v>998</v>
      </c>
      <c r="C1499" s="1034" t="str">
        <f t="shared" si="324"/>
        <v/>
      </c>
      <c r="D1499" s="1033"/>
      <c r="E1499" s="1033"/>
      <c r="F1499" s="1034" t="str">
        <f t="shared" si="325"/>
        <v/>
      </c>
      <c r="G1499" s="1033"/>
      <c r="H1499" s="1033"/>
      <c r="I1499" s="1034" t="str">
        <f t="shared" si="326"/>
        <v/>
      </c>
      <c r="J1499" s="1033"/>
      <c r="K1499" s="1033"/>
      <c r="L1499" s="1034" t="str">
        <f t="shared" si="327"/>
        <v/>
      </c>
      <c r="M1499" s="1035"/>
      <c r="N1499" s="1035"/>
      <c r="O1499" s="1036" t="str">
        <f t="shared" si="328"/>
        <v/>
      </c>
      <c r="P1499" s="1033"/>
      <c r="Q1499" s="1033"/>
      <c r="R1499" s="1034" t="str">
        <f t="shared" si="329"/>
        <v/>
      </c>
      <c r="S1499" s="1033"/>
      <c r="T1499" s="1035"/>
      <c r="U1499" s="1034" t="str">
        <f>+V1499&amp;W1499</f>
        <v/>
      </c>
      <c r="V1499" s="1035"/>
      <c r="W1499" s="1035"/>
      <c r="X1499" s="1037" t="str">
        <f t="shared" ref="X1499:X1527" si="337">+Y1499&amp;Z1499</f>
        <v>6</v>
      </c>
      <c r="Y1499" s="1035"/>
      <c r="Z1499" s="1035">
        <f t="shared" si="332"/>
        <v>6</v>
      </c>
      <c r="AA1499" s="1035"/>
      <c r="AB1499" s="1033" t="s">
        <v>2984</v>
      </c>
      <c r="AC1499" s="1021">
        <v>610101</v>
      </c>
      <c r="AD1499" s="1021" t="s">
        <v>2454</v>
      </c>
      <c r="AE1499" s="1022">
        <f>VLOOKUP(AC1499,[5]Hoja1!$A$10:$K$1393,11,0)</f>
        <v>0</v>
      </c>
      <c r="AF1499" s="1022"/>
      <c r="AG1499" s="1022">
        <f t="shared" si="333"/>
        <v>0</v>
      </c>
      <c r="AH1499" s="1022">
        <f t="shared" si="334"/>
        <v>0</v>
      </c>
      <c r="AK1499" s="448"/>
      <c r="AL1499" s="445"/>
    </row>
    <row r="1500" spans="1:38" s="467" customFormat="1" ht="12.75" customHeight="1">
      <c r="A1500" s="1033">
        <v>5312200</v>
      </c>
      <c r="B1500" s="1033" t="s">
        <v>998</v>
      </c>
      <c r="C1500" s="1034" t="str">
        <f t="shared" si="324"/>
        <v/>
      </c>
      <c r="D1500" s="1033"/>
      <c r="E1500" s="1033"/>
      <c r="F1500" s="1034" t="str">
        <f t="shared" si="325"/>
        <v/>
      </c>
      <c r="G1500" s="1033"/>
      <c r="H1500" s="1033"/>
      <c r="I1500" s="1034" t="str">
        <f t="shared" si="326"/>
        <v/>
      </c>
      <c r="J1500" s="1033"/>
      <c r="K1500" s="1033"/>
      <c r="L1500" s="1034" t="str">
        <f t="shared" si="327"/>
        <v/>
      </c>
      <c r="M1500" s="1035"/>
      <c r="N1500" s="1035"/>
      <c r="O1500" s="1036" t="str">
        <f t="shared" si="328"/>
        <v/>
      </c>
      <c r="P1500" s="1033"/>
      <c r="Q1500" s="1033"/>
      <c r="R1500" s="1034" t="str">
        <f t="shared" si="329"/>
        <v/>
      </c>
      <c r="S1500" s="1033"/>
      <c r="T1500" s="1035"/>
      <c r="U1500" s="1034" t="str">
        <f>+V1500&amp;W1500</f>
        <v/>
      </c>
      <c r="V1500" s="1035"/>
      <c r="W1500" s="1035"/>
      <c r="X1500" s="1037" t="str">
        <f t="shared" si="337"/>
        <v>6</v>
      </c>
      <c r="Y1500" s="1035"/>
      <c r="Z1500" s="1035">
        <f t="shared" si="332"/>
        <v>6</v>
      </c>
      <c r="AA1500" s="1035"/>
      <c r="AB1500" s="1033" t="s">
        <v>2984</v>
      </c>
      <c r="AC1500" s="1021">
        <v>610102</v>
      </c>
      <c r="AD1500" s="1021" t="s">
        <v>2455</v>
      </c>
      <c r="AE1500" s="1022">
        <f>VLOOKUP(AC1500,[5]Hoja1!$A$10:$K$1393,11,0)</f>
        <v>219864016</v>
      </c>
      <c r="AF1500" s="1022"/>
      <c r="AG1500" s="1022">
        <f t="shared" si="333"/>
        <v>219864016</v>
      </c>
      <c r="AH1500" s="1022">
        <f t="shared" si="334"/>
        <v>219864</v>
      </c>
      <c r="AK1500" s="448"/>
      <c r="AL1500" s="445"/>
    </row>
    <row r="1501" spans="1:38" s="467" customFormat="1" ht="12.75" customHeight="1">
      <c r="A1501" s="1033">
        <v>5312200</v>
      </c>
      <c r="B1501" s="1033" t="s">
        <v>998</v>
      </c>
      <c r="C1501" s="1034" t="str">
        <f t="shared" si="324"/>
        <v/>
      </c>
      <c r="D1501" s="1033"/>
      <c r="E1501" s="1033"/>
      <c r="F1501" s="1034" t="str">
        <f t="shared" si="325"/>
        <v/>
      </c>
      <c r="G1501" s="1033"/>
      <c r="H1501" s="1033"/>
      <c r="I1501" s="1034" t="str">
        <f t="shared" si="326"/>
        <v/>
      </c>
      <c r="J1501" s="1033"/>
      <c r="K1501" s="1033"/>
      <c r="L1501" s="1034" t="str">
        <f t="shared" si="327"/>
        <v/>
      </c>
      <c r="M1501" s="1035"/>
      <c r="N1501" s="1035"/>
      <c r="O1501" s="1036" t="str">
        <f t="shared" si="328"/>
        <v/>
      </c>
      <c r="P1501" s="1033"/>
      <c r="Q1501" s="1033"/>
      <c r="R1501" s="1034" t="str">
        <f t="shared" si="329"/>
        <v/>
      </c>
      <c r="S1501" s="1033"/>
      <c r="T1501" s="1035"/>
      <c r="U1501" s="1034" t="str">
        <f>+V1501&amp;W1501</f>
        <v/>
      </c>
      <c r="V1501" s="1035"/>
      <c r="W1501" s="1035"/>
      <c r="X1501" s="1037" t="str">
        <f t="shared" si="337"/>
        <v>6</v>
      </c>
      <c r="Y1501" s="1035"/>
      <c r="Z1501" s="1035">
        <f t="shared" si="332"/>
        <v>6</v>
      </c>
      <c r="AA1501" s="1035"/>
      <c r="AB1501" s="1033" t="s">
        <v>2984</v>
      </c>
      <c r="AC1501" s="1021">
        <v>610103</v>
      </c>
      <c r="AD1501" s="1021" t="s">
        <v>79</v>
      </c>
      <c r="AE1501" s="1022">
        <f>VLOOKUP(AC1501,[5]Hoja1!$A$10:$K$1393,11,0)</f>
        <v>24566389</v>
      </c>
      <c r="AF1501" s="1022"/>
      <c r="AG1501" s="1022">
        <f t="shared" si="333"/>
        <v>24566389</v>
      </c>
      <c r="AH1501" s="1022">
        <f t="shared" si="334"/>
        <v>24566</v>
      </c>
      <c r="AK1501" s="448"/>
      <c r="AL1501" s="445"/>
    </row>
    <row r="1502" spans="1:38" s="467" customFormat="1" ht="12.75" customHeight="1">
      <c r="A1502" s="1033">
        <v>5312200</v>
      </c>
      <c r="B1502" s="1033" t="s">
        <v>998</v>
      </c>
      <c r="C1502" s="1034" t="str">
        <f t="shared" si="324"/>
        <v/>
      </c>
      <c r="D1502" s="1033"/>
      <c r="E1502" s="1033"/>
      <c r="F1502" s="1034" t="str">
        <f t="shared" si="325"/>
        <v/>
      </c>
      <c r="G1502" s="1033"/>
      <c r="H1502" s="1033"/>
      <c r="I1502" s="1034" t="str">
        <f t="shared" si="326"/>
        <v/>
      </c>
      <c r="J1502" s="1033"/>
      <c r="K1502" s="1033"/>
      <c r="L1502" s="1034" t="str">
        <f t="shared" si="327"/>
        <v/>
      </c>
      <c r="M1502" s="1035"/>
      <c r="N1502" s="1035"/>
      <c r="O1502" s="1036" t="str">
        <f t="shared" si="328"/>
        <v/>
      </c>
      <c r="P1502" s="1033"/>
      <c r="Q1502" s="1033"/>
      <c r="R1502" s="1034" t="str">
        <f t="shared" si="329"/>
        <v/>
      </c>
      <c r="S1502" s="1033"/>
      <c r="T1502" s="1035"/>
      <c r="U1502" s="1034" t="str">
        <f>+V1502&amp;W1502</f>
        <v/>
      </c>
      <c r="V1502" s="1035"/>
      <c r="W1502" s="1035"/>
      <c r="X1502" s="1037" t="str">
        <f t="shared" si="337"/>
        <v>6</v>
      </c>
      <c r="Y1502" s="1035"/>
      <c r="Z1502" s="1035">
        <f t="shared" si="332"/>
        <v>6</v>
      </c>
      <c r="AA1502" s="1035"/>
      <c r="AB1502" s="1033" t="s">
        <v>2984</v>
      </c>
      <c r="AC1502" s="1021">
        <v>610104</v>
      </c>
      <c r="AD1502" s="1021" t="s">
        <v>80</v>
      </c>
      <c r="AE1502" s="1022">
        <f>VLOOKUP(AC1502,[5]Hoja1!$A$10:$K$1393,11,0)</f>
        <v>136418281</v>
      </c>
      <c r="AF1502" s="1022"/>
      <c r="AG1502" s="1022">
        <f t="shared" si="333"/>
        <v>136418281</v>
      </c>
      <c r="AH1502" s="1022">
        <f t="shared" si="334"/>
        <v>136418</v>
      </c>
      <c r="AK1502" s="448"/>
      <c r="AL1502" s="445"/>
    </row>
    <row r="1503" spans="1:38" s="467" customFormat="1" ht="12.75" customHeight="1">
      <c r="A1503" s="1033">
        <v>5312200</v>
      </c>
      <c r="B1503" s="1033" t="s">
        <v>998</v>
      </c>
      <c r="C1503" s="1034" t="str">
        <f t="shared" ref="C1503:C1587" si="338">+D1503&amp;E1503</f>
        <v/>
      </c>
      <c r="D1503" s="1033"/>
      <c r="E1503" s="1033"/>
      <c r="F1503" s="1034" t="str">
        <f t="shared" ref="F1503:F1587" si="339">+G1503&amp;H1503</f>
        <v/>
      </c>
      <c r="G1503" s="1033"/>
      <c r="H1503" s="1033"/>
      <c r="I1503" s="1034" t="str">
        <f t="shared" ref="I1503:I1587" si="340">+J1503&amp;K1503</f>
        <v/>
      </c>
      <c r="J1503" s="1033"/>
      <c r="K1503" s="1033"/>
      <c r="L1503" s="1034" t="str">
        <f t="shared" ref="L1503:L1587" si="341">+M1503&amp;N1503</f>
        <v/>
      </c>
      <c r="M1503" s="1035"/>
      <c r="N1503" s="1035"/>
      <c r="O1503" s="1036" t="str">
        <f t="shared" ref="O1503:O1587" si="342">+P1503&amp;Q1503</f>
        <v/>
      </c>
      <c r="P1503" s="1033"/>
      <c r="Q1503" s="1033"/>
      <c r="R1503" s="1034" t="str">
        <f t="shared" ref="R1503:R1587" si="343">+S1503&amp;T1503</f>
        <v/>
      </c>
      <c r="S1503" s="1033"/>
      <c r="T1503" s="1035"/>
      <c r="U1503" s="1034" t="str">
        <f t="shared" ref="U1503:U1587" si="344">+V1503&amp;W1503</f>
        <v/>
      </c>
      <c r="V1503" s="1035"/>
      <c r="W1503" s="1035"/>
      <c r="X1503" s="1037" t="str">
        <f t="shared" si="337"/>
        <v>6</v>
      </c>
      <c r="Y1503" s="1035"/>
      <c r="Z1503" s="1035">
        <f t="shared" si="332"/>
        <v>6</v>
      </c>
      <c r="AA1503" s="1035"/>
      <c r="AB1503" s="1033" t="s">
        <v>2984</v>
      </c>
      <c r="AC1503" s="1021">
        <v>610105</v>
      </c>
      <c r="AD1503" s="1021" t="s">
        <v>1767</v>
      </c>
      <c r="AE1503" s="1022">
        <f>VLOOKUP(AC1503,[5]Hoja1!$A$10:$K$1393,11,0)</f>
        <v>21311134</v>
      </c>
      <c r="AF1503" s="1022"/>
      <c r="AG1503" s="1022">
        <f t="shared" si="333"/>
        <v>21311134</v>
      </c>
      <c r="AH1503" s="1022">
        <f t="shared" si="334"/>
        <v>21311</v>
      </c>
      <c r="AK1503" s="448"/>
      <c r="AL1503" s="445"/>
    </row>
    <row r="1504" spans="1:38" s="467" customFormat="1" ht="12.75" customHeight="1">
      <c r="A1504" s="1033">
        <v>5312200</v>
      </c>
      <c r="B1504" s="1033" t="s">
        <v>998</v>
      </c>
      <c r="C1504" s="1034" t="str">
        <f t="shared" si="338"/>
        <v/>
      </c>
      <c r="D1504" s="1033"/>
      <c r="E1504" s="1033"/>
      <c r="F1504" s="1034" t="str">
        <f t="shared" si="339"/>
        <v/>
      </c>
      <c r="G1504" s="1033"/>
      <c r="H1504" s="1033"/>
      <c r="I1504" s="1034" t="str">
        <f t="shared" si="340"/>
        <v/>
      </c>
      <c r="J1504" s="1033"/>
      <c r="K1504" s="1033"/>
      <c r="L1504" s="1034" t="str">
        <f t="shared" si="341"/>
        <v/>
      </c>
      <c r="M1504" s="1035"/>
      <c r="N1504" s="1035"/>
      <c r="O1504" s="1036" t="str">
        <f t="shared" si="342"/>
        <v/>
      </c>
      <c r="P1504" s="1033"/>
      <c r="Q1504" s="1033"/>
      <c r="R1504" s="1034" t="str">
        <f t="shared" si="343"/>
        <v/>
      </c>
      <c r="S1504" s="1033"/>
      <c r="T1504" s="1035"/>
      <c r="U1504" s="1034" t="str">
        <f t="shared" si="344"/>
        <v/>
      </c>
      <c r="V1504" s="1035"/>
      <c r="W1504" s="1035"/>
      <c r="X1504" s="1037" t="str">
        <f t="shared" si="337"/>
        <v>6</v>
      </c>
      <c r="Y1504" s="1035"/>
      <c r="Z1504" s="1035">
        <f t="shared" si="332"/>
        <v>6</v>
      </c>
      <c r="AA1504" s="1035"/>
      <c r="AB1504" s="1033" t="s">
        <v>2986</v>
      </c>
      <c r="AC1504" s="1021">
        <v>610106</v>
      </c>
      <c r="AD1504" s="1021" t="s">
        <v>134</v>
      </c>
      <c r="AE1504" s="1022">
        <f>VLOOKUP(AC1504,[5]Hoja1!$A$10:$K$1393,11,0)</f>
        <v>316253618</v>
      </c>
      <c r="AF1504" s="1022"/>
      <c r="AG1504" s="1022">
        <f t="shared" si="333"/>
        <v>316253618</v>
      </c>
      <c r="AH1504" s="1022">
        <f t="shared" si="334"/>
        <v>316254</v>
      </c>
      <c r="AK1504" s="448"/>
      <c r="AL1504" s="445"/>
    </row>
    <row r="1505" spans="1:38" s="467" customFormat="1" ht="12.75" customHeight="1">
      <c r="A1505" s="1033">
        <v>5312200</v>
      </c>
      <c r="B1505" s="1033" t="s">
        <v>998</v>
      </c>
      <c r="C1505" s="1034" t="str">
        <f t="shared" si="338"/>
        <v/>
      </c>
      <c r="D1505" s="1033"/>
      <c r="E1505" s="1033"/>
      <c r="F1505" s="1034" t="str">
        <f t="shared" si="339"/>
        <v/>
      </c>
      <c r="G1505" s="1033"/>
      <c r="H1505" s="1033"/>
      <c r="I1505" s="1034" t="str">
        <f t="shared" si="340"/>
        <v/>
      </c>
      <c r="J1505" s="1033"/>
      <c r="K1505" s="1033"/>
      <c r="L1505" s="1034" t="str">
        <f t="shared" si="341"/>
        <v/>
      </c>
      <c r="M1505" s="1035"/>
      <c r="N1505" s="1035"/>
      <c r="O1505" s="1036" t="str">
        <f t="shared" si="342"/>
        <v/>
      </c>
      <c r="P1505" s="1033"/>
      <c r="Q1505" s="1033"/>
      <c r="R1505" s="1034" t="str">
        <f t="shared" si="343"/>
        <v/>
      </c>
      <c r="S1505" s="1033"/>
      <c r="T1505" s="1035"/>
      <c r="U1505" s="1034" t="str">
        <f t="shared" si="344"/>
        <v/>
      </c>
      <c r="V1505" s="1035"/>
      <c r="W1505" s="1035"/>
      <c r="X1505" s="1037" t="str">
        <f t="shared" si="337"/>
        <v>6</v>
      </c>
      <c r="Y1505" s="1035"/>
      <c r="Z1505" s="1035">
        <f t="shared" si="332"/>
        <v>6</v>
      </c>
      <c r="AA1505" s="1035"/>
      <c r="AB1505" s="1033" t="s">
        <v>2991</v>
      </c>
      <c r="AC1505" s="1021">
        <v>610107</v>
      </c>
      <c r="AD1505" s="1021" t="s">
        <v>135</v>
      </c>
      <c r="AE1505" s="1022">
        <f>VLOOKUP(AC1505,[5]Hoja1!$A$10:$K$1393,11,0)</f>
        <v>0</v>
      </c>
      <c r="AF1505" s="1022"/>
      <c r="AG1505" s="1022">
        <f t="shared" si="333"/>
        <v>0</v>
      </c>
      <c r="AH1505" s="1022">
        <f t="shared" si="334"/>
        <v>0</v>
      </c>
      <c r="AK1505" s="448"/>
      <c r="AL1505" s="445"/>
    </row>
    <row r="1506" spans="1:38" s="467" customFormat="1" ht="12.75" customHeight="1">
      <c r="A1506" s="1033">
        <v>5312200</v>
      </c>
      <c r="B1506" s="1033" t="s">
        <v>998</v>
      </c>
      <c r="C1506" s="1034" t="str">
        <f t="shared" si="338"/>
        <v/>
      </c>
      <c r="D1506" s="1033"/>
      <c r="E1506" s="1033"/>
      <c r="F1506" s="1034" t="str">
        <f t="shared" si="339"/>
        <v/>
      </c>
      <c r="G1506" s="1033"/>
      <c r="H1506" s="1033"/>
      <c r="I1506" s="1034" t="str">
        <f t="shared" si="340"/>
        <v/>
      </c>
      <c r="J1506" s="1033"/>
      <c r="K1506" s="1033"/>
      <c r="L1506" s="1034" t="str">
        <f t="shared" si="341"/>
        <v/>
      </c>
      <c r="M1506" s="1035"/>
      <c r="N1506" s="1035"/>
      <c r="O1506" s="1036" t="str">
        <f t="shared" si="342"/>
        <v/>
      </c>
      <c r="P1506" s="1033"/>
      <c r="Q1506" s="1033"/>
      <c r="R1506" s="1034" t="str">
        <f t="shared" si="343"/>
        <v/>
      </c>
      <c r="S1506" s="1033"/>
      <c r="T1506" s="1035"/>
      <c r="U1506" s="1034" t="str">
        <f t="shared" si="344"/>
        <v/>
      </c>
      <c r="V1506" s="1035"/>
      <c r="W1506" s="1035"/>
      <c r="X1506" s="1037" t="str">
        <f t="shared" si="337"/>
        <v>6</v>
      </c>
      <c r="Y1506" s="1035"/>
      <c r="Z1506" s="1035">
        <f t="shared" si="332"/>
        <v>6</v>
      </c>
      <c r="AA1506" s="1035"/>
      <c r="AB1506" s="1033" t="s">
        <v>2984</v>
      </c>
      <c r="AC1506" s="1021">
        <v>610108</v>
      </c>
      <c r="AD1506" s="1021" t="s">
        <v>670</v>
      </c>
      <c r="AE1506" s="1022">
        <f>VLOOKUP(AC1506,[5]Hoja1!$A$10:$K$1393,11,0)</f>
        <v>12808183</v>
      </c>
      <c r="AF1506" s="1022"/>
      <c r="AG1506" s="1022">
        <f t="shared" si="333"/>
        <v>12808183</v>
      </c>
      <c r="AH1506" s="1022">
        <f t="shared" si="334"/>
        <v>12808</v>
      </c>
      <c r="AK1506" s="448"/>
      <c r="AL1506" s="445"/>
    </row>
    <row r="1507" spans="1:38" s="467" customFormat="1" ht="12.75" customHeight="1">
      <c r="A1507" s="1033"/>
      <c r="B1507" s="1033"/>
      <c r="C1507" s="1034" t="str">
        <f t="shared" si="338"/>
        <v/>
      </c>
      <c r="D1507" s="1033"/>
      <c r="E1507" s="1033"/>
      <c r="F1507" s="1034" t="str">
        <f t="shared" si="339"/>
        <v/>
      </c>
      <c r="G1507" s="1033"/>
      <c r="H1507" s="1033"/>
      <c r="I1507" s="1034" t="str">
        <f t="shared" si="340"/>
        <v/>
      </c>
      <c r="J1507" s="1033"/>
      <c r="K1507" s="1033"/>
      <c r="L1507" s="1034" t="str">
        <f t="shared" si="341"/>
        <v/>
      </c>
      <c r="M1507" s="1035"/>
      <c r="N1507" s="1035"/>
      <c r="O1507" s="1036" t="str">
        <f t="shared" si="342"/>
        <v/>
      </c>
      <c r="P1507" s="1033"/>
      <c r="Q1507" s="1033"/>
      <c r="R1507" s="1034" t="str">
        <f t="shared" si="343"/>
        <v/>
      </c>
      <c r="S1507" s="1033"/>
      <c r="T1507" s="1035"/>
      <c r="U1507" s="1034" t="str">
        <f t="shared" si="344"/>
        <v/>
      </c>
      <c r="V1507" s="1035"/>
      <c r="W1507" s="1035"/>
      <c r="X1507" s="1037" t="str">
        <f t="shared" si="337"/>
        <v>6</v>
      </c>
      <c r="Y1507" s="1035"/>
      <c r="Z1507" s="1035">
        <f t="shared" si="332"/>
        <v>6</v>
      </c>
      <c r="AA1507" s="1035"/>
      <c r="AB1507" s="1035"/>
      <c r="AC1507" s="1021">
        <v>610109</v>
      </c>
      <c r="AD1507" s="1021" t="s">
        <v>2456</v>
      </c>
      <c r="AE1507" s="1022">
        <v>0</v>
      </c>
      <c r="AF1507" s="1022"/>
      <c r="AG1507" s="1022">
        <f t="shared" si="333"/>
        <v>0</v>
      </c>
      <c r="AH1507" s="1022">
        <f t="shared" si="334"/>
        <v>0</v>
      </c>
      <c r="AK1507" s="448"/>
      <c r="AL1507" s="445"/>
    </row>
    <row r="1508" spans="1:38" s="467" customFormat="1" ht="12.75" customHeight="1">
      <c r="A1508" s="1033">
        <v>5312200</v>
      </c>
      <c r="B1508" s="1033" t="s">
        <v>998</v>
      </c>
      <c r="C1508" s="1034" t="str">
        <f t="shared" si="338"/>
        <v/>
      </c>
      <c r="D1508" s="1033"/>
      <c r="E1508" s="1033"/>
      <c r="F1508" s="1034" t="str">
        <f t="shared" si="339"/>
        <v/>
      </c>
      <c r="G1508" s="1033"/>
      <c r="H1508" s="1033"/>
      <c r="I1508" s="1034" t="str">
        <f t="shared" si="340"/>
        <v/>
      </c>
      <c r="J1508" s="1033"/>
      <c r="K1508" s="1033"/>
      <c r="L1508" s="1034" t="str">
        <f t="shared" si="341"/>
        <v/>
      </c>
      <c r="M1508" s="1035"/>
      <c r="N1508" s="1035"/>
      <c r="O1508" s="1036" t="str">
        <f t="shared" si="342"/>
        <v/>
      </c>
      <c r="P1508" s="1033"/>
      <c r="Q1508" s="1033"/>
      <c r="R1508" s="1034" t="str">
        <f t="shared" si="343"/>
        <v/>
      </c>
      <c r="S1508" s="1033"/>
      <c r="T1508" s="1035"/>
      <c r="U1508" s="1034" t="str">
        <f t="shared" si="344"/>
        <v/>
      </c>
      <c r="V1508" s="1035"/>
      <c r="W1508" s="1035"/>
      <c r="X1508" s="1037" t="str">
        <f t="shared" si="337"/>
        <v>6</v>
      </c>
      <c r="Y1508" s="1035"/>
      <c r="Z1508" s="1035">
        <f t="shared" ref="Z1508:Z1571" si="345">VALUE(LEFT(AC1508,1))</f>
        <v>6</v>
      </c>
      <c r="AA1508" s="1035"/>
      <c r="AB1508" s="1033" t="s">
        <v>2992</v>
      </c>
      <c r="AC1508" s="1021">
        <v>610201</v>
      </c>
      <c r="AD1508" s="1021" t="s">
        <v>1768</v>
      </c>
      <c r="AE1508" s="1022">
        <f>VLOOKUP(AC1508,[5]Hoja1!$A$10:$K$1393,11,0)</f>
        <v>0</v>
      </c>
      <c r="AF1508" s="1022"/>
      <c r="AG1508" s="1022">
        <f t="shared" ref="AG1508:AG1571" si="346">AE1508+AF1508</f>
        <v>0</v>
      </c>
      <c r="AH1508" s="1022">
        <f t="shared" ref="AH1508:AH1571" si="347">ROUND((AE1508+AF1508)/$AH$2,0)</f>
        <v>0</v>
      </c>
      <c r="AK1508" s="448"/>
      <c r="AL1508" s="445"/>
    </row>
    <row r="1509" spans="1:38" s="467" customFormat="1" ht="12.75" customHeight="1">
      <c r="A1509" s="1033">
        <v>5312200</v>
      </c>
      <c r="B1509" s="1033" t="s">
        <v>998</v>
      </c>
      <c r="C1509" s="1034" t="str">
        <f t="shared" si="338"/>
        <v/>
      </c>
      <c r="D1509" s="1033"/>
      <c r="E1509" s="1033"/>
      <c r="F1509" s="1034" t="str">
        <f t="shared" si="339"/>
        <v/>
      </c>
      <c r="G1509" s="1033"/>
      <c r="H1509" s="1033"/>
      <c r="I1509" s="1034" t="str">
        <f t="shared" si="340"/>
        <v/>
      </c>
      <c r="J1509" s="1033"/>
      <c r="K1509" s="1033"/>
      <c r="L1509" s="1034" t="str">
        <f t="shared" si="341"/>
        <v/>
      </c>
      <c r="M1509" s="1035"/>
      <c r="N1509" s="1035"/>
      <c r="O1509" s="1036" t="str">
        <f t="shared" si="342"/>
        <v/>
      </c>
      <c r="P1509" s="1033"/>
      <c r="Q1509" s="1033"/>
      <c r="R1509" s="1034" t="str">
        <f t="shared" si="343"/>
        <v/>
      </c>
      <c r="S1509" s="1033"/>
      <c r="T1509" s="1035"/>
      <c r="U1509" s="1034" t="str">
        <f t="shared" si="344"/>
        <v/>
      </c>
      <c r="V1509" s="1035"/>
      <c r="W1509" s="1035"/>
      <c r="X1509" s="1037" t="str">
        <f t="shared" si="337"/>
        <v>6</v>
      </c>
      <c r="Y1509" s="1035"/>
      <c r="Z1509" s="1035">
        <f t="shared" si="345"/>
        <v>6</v>
      </c>
      <c r="AA1509" s="1035"/>
      <c r="AB1509" s="1033" t="s">
        <v>2992</v>
      </c>
      <c r="AC1509" s="1021">
        <v>610202</v>
      </c>
      <c r="AD1509" s="1021" t="s">
        <v>1693</v>
      </c>
      <c r="AE1509" s="1022">
        <f>VLOOKUP(AC1509,[5]Hoja1!$A$10:$K$1393,11,0)</f>
        <v>0</v>
      </c>
      <c r="AF1509" s="1022"/>
      <c r="AG1509" s="1022">
        <f t="shared" si="346"/>
        <v>0</v>
      </c>
      <c r="AH1509" s="1022">
        <f t="shared" si="347"/>
        <v>0</v>
      </c>
      <c r="AK1509" s="448"/>
      <c r="AL1509" s="445"/>
    </row>
    <row r="1510" spans="1:38" s="467" customFormat="1" ht="12.75" customHeight="1">
      <c r="A1510" s="1033">
        <v>5312200</v>
      </c>
      <c r="B1510" s="1033" t="s">
        <v>998</v>
      </c>
      <c r="C1510" s="1034" t="str">
        <f t="shared" si="338"/>
        <v/>
      </c>
      <c r="D1510" s="1033"/>
      <c r="E1510" s="1033"/>
      <c r="F1510" s="1034" t="str">
        <f t="shared" si="339"/>
        <v/>
      </c>
      <c r="G1510" s="1033"/>
      <c r="H1510" s="1033"/>
      <c r="I1510" s="1034" t="str">
        <f t="shared" si="340"/>
        <v/>
      </c>
      <c r="J1510" s="1033"/>
      <c r="K1510" s="1033"/>
      <c r="L1510" s="1034" t="str">
        <f t="shared" si="341"/>
        <v/>
      </c>
      <c r="M1510" s="1035"/>
      <c r="N1510" s="1035"/>
      <c r="O1510" s="1036" t="str">
        <f t="shared" si="342"/>
        <v/>
      </c>
      <c r="P1510" s="1033"/>
      <c r="Q1510" s="1033"/>
      <c r="R1510" s="1034" t="str">
        <f t="shared" si="343"/>
        <v/>
      </c>
      <c r="S1510" s="1033"/>
      <c r="T1510" s="1035"/>
      <c r="U1510" s="1034" t="str">
        <f t="shared" si="344"/>
        <v/>
      </c>
      <c r="V1510" s="1035"/>
      <c r="W1510" s="1035"/>
      <c r="X1510" s="1037" t="str">
        <f t="shared" si="337"/>
        <v>6</v>
      </c>
      <c r="Y1510" s="1035"/>
      <c r="Z1510" s="1035">
        <f t="shared" si="345"/>
        <v>6</v>
      </c>
      <c r="AA1510" s="1035"/>
      <c r="AB1510" s="1033" t="s">
        <v>2992</v>
      </c>
      <c r="AC1510" s="1021">
        <v>610203</v>
      </c>
      <c r="AD1510" s="1021" t="s">
        <v>1006</v>
      </c>
      <c r="AE1510" s="1022">
        <f>VLOOKUP(AC1510,[5]Hoja1!$A$10:$K$1393,11,0)</f>
        <v>0</v>
      </c>
      <c r="AF1510" s="1022"/>
      <c r="AG1510" s="1022">
        <f t="shared" si="346"/>
        <v>0</v>
      </c>
      <c r="AH1510" s="1022">
        <f t="shared" si="347"/>
        <v>0</v>
      </c>
      <c r="AK1510" s="448"/>
      <c r="AL1510" s="445"/>
    </row>
    <row r="1511" spans="1:38" s="467" customFormat="1" ht="12.75" customHeight="1">
      <c r="A1511" s="1033">
        <v>5312200</v>
      </c>
      <c r="B1511" s="1033" t="s">
        <v>998</v>
      </c>
      <c r="C1511" s="1034" t="str">
        <f t="shared" si="338"/>
        <v/>
      </c>
      <c r="D1511" s="1033"/>
      <c r="E1511" s="1033"/>
      <c r="F1511" s="1034" t="str">
        <f t="shared" si="339"/>
        <v/>
      </c>
      <c r="G1511" s="1033"/>
      <c r="H1511" s="1033"/>
      <c r="I1511" s="1034" t="str">
        <f t="shared" si="340"/>
        <v/>
      </c>
      <c r="J1511" s="1033"/>
      <c r="K1511" s="1033"/>
      <c r="L1511" s="1034" t="str">
        <f t="shared" si="341"/>
        <v/>
      </c>
      <c r="M1511" s="1035"/>
      <c r="N1511" s="1035"/>
      <c r="O1511" s="1036" t="str">
        <f t="shared" si="342"/>
        <v/>
      </c>
      <c r="P1511" s="1033"/>
      <c r="Q1511" s="1033"/>
      <c r="R1511" s="1034" t="str">
        <f t="shared" si="343"/>
        <v/>
      </c>
      <c r="S1511" s="1033"/>
      <c r="T1511" s="1035"/>
      <c r="U1511" s="1034" t="str">
        <f t="shared" si="344"/>
        <v/>
      </c>
      <c r="V1511" s="1035"/>
      <c r="W1511" s="1035"/>
      <c r="X1511" s="1037" t="str">
        <f t="shared" si="337"/>
        <v>6</v>
      </c>
      <c r="Y1511" s="1035"/>
      <c r="Z1511" s="1035">
        <f t="shared" si="345"/>
        <v>6</v>
      </c>
      <c r="AA1511" s="1035"/>
      <c r="AB1511" s="1033" t="s">
        <v>2992</v>
      </c>
      <c r="AC1511" s="1021">
        <v>610204</v>
      </c>
      <c r="AD1511" s="1021" t="s">
        <v>1694</v>
      </c>
      <c r="AE1511" s="1022">
        <f>VLOOKUP(AC1511,[5]Hoja1!$A$10:$K$1393,11,0)</f>
        <v>0</v>
      </c>
      <c r="AF1511" s="1022"/>
      <c r="AG1511" s="1022">
        <f t="shared" si="346"/>
        <v>0</v>
      </c>
      <c r="AH1511" s="1022">
        <f t="shared" si="347"/>
        <v>0</v>
      </c>
      <c r="AK1511" s="448"/>
      <c r="AL1511" s="445"/>
    </row>
    <row r="1512" spans="1:38" s="467" customFormat="1" ht="12.75" customHeight="1">
      <c r="A1512" s="1033">
        <v>5312200</v>
      </c>
      <c r="B1512" s="1033" t="s">
        <v>998</v>
      </c>
      <c r="C1512" s="1034" t="str">
        <f t="shared" si="338"/>
        <v/>
      </c>
      <c r="D1512" s="1033"/>
      <c r="E1512" s="1033"/>
      <c r="F1512" s="1034" t="str">
        <f t="shared" si="339"/>
        <v/>
      </c>
      <c r="G1512" s="1033"/>
      <c r="H1512" s="1033"/>
      <c r="I1512" s="1034" t="str">
        <f t="shared" si="340"/>
        <v/>
      </c>
      <c r="J1512" s="1033"/>
      <c r="K1512" s="1033"/>
      <c r="L1512" s="1034" t="str">
        <f t="shared" si="341"/>
        <v/>
      </c>
      <c r="M1512" s="1035"/>
      <c r="N1512" s="1035"/>
      <c r="O1512" s="1036" t="str">
        <f t="shared" si="342"/>
        <v/>
      </c>
      <c r="P1512" s="1033"/>
      <c r="Q1512" s="1033"/>
      <c r="R1512" s="1034" t="str">
        <f t="shared" si="343"/>
        <v/>
      </c>
      <c r="S1512" s="1033"/>
      <c r="T1512" s="1035"/>
      <c r="U1512" s="1034" t="str">
        <f t="shared" si="344"/>
        <v/>
      </c>
      <c r="V1512" s="1035"/>
      <c r="W1512" s="1035"/>
      <c r="X1512" s="1037" t="str">
        <f t="shared" si="337"/>
        <v>6</v>
      </c>
      <c r="Y1512" s="1035"/>
      <c r="Z1512" s="1035">
        <f t="shared" si="345"/>
        <v>6</v>
      </c>
      <c r="AA1512" s="1035"/>
      <c r="AB1512" s="1033" t="s">
        <v>2992</v>
      </c>
      <c r="AC1512" s="1021">
        <v>610205</v>
      </c>
      <c r="AD1512" s="1021" t="s">
        <v>1695</v>
      </c>
      <c r="AE1512" s="1022">
        <f>VLOOKUP(AC1512,[5]Hoja1!$A$10:$K$1393,11,0)</f>
        <v>0</v>
      </c>
      <c r="AF1512" s="1022"/>
      <c r="AG1512" s="1022">
        <f t="shared" si="346"/>
        <v>0</v>
      </c>
      <c r="AH1512" s="1022">
        <f t="shared" si="347"/>
        <v>0</v>
      </c>
      <c r="AK1512" s="448"/>
      <c r="AL1512" s="445"/>
    </row>
    <row r="1513" spans="1:38" s="467" customFormat="1" ht="12.75" customHeight="1">
      <c r="A1513" s="1033">
        <v>5312200</v>
      </c>
      <c r="B1513" s="1033" t="s">
        <v>998</v>
      </c>
      <c r="C1513" s="1034" t="str">
        <f t="shared" si="338"/>
        <v/>
      </c>
      <c r="D1513" s="1033"/>
      <c r="E1513" s="1033"/>
      <c r="F1513" s="1034" t="str">
        <f t="shared" si="339"/>
        <v/>
      </c>
      <c r="G1513" s="1033"/>
      <c r="H1513" s="1033"/>
      <c r="I1513" s="1034" t="str">
        <f t="shared" si="340"/>
        <v/>
      </c>
      <c r="J1513" s="1033"/>
      <c r="K1513" s="1033"/>
      <c r="L1513" s="1034" t="str">
        <f t="shared" si="341"/>
        <v/>
      </c>
      <c r="M1513" s="1035"/>
      <c r="N1513" s="1035"/>
      <c r="O1513" s="1036" t="str">
        <f t="shared" si="342"/>
        <v/>
      </c>
      <c r="P1513" s="1033"/>
      <c r="Q1513" s="1033"/>
      <c r="R1513" s="1034" t="str">
        <f t="shared" si="343"/>
        <v/>
      </c>
      <c r="S1513" s="1033"/>
      <c r="T1513" s="1035"/>
      <c r="U1513" s="1034" t="str">
        <f t="shared" si="344"/>
        <v/>
      </c>
      <c r="V1513" s="1035"/>
      <c r="W1513" s="1035"/>
      <c r="X1513" s="1037" t="str">
        <f t="shared" si="337"/>
        <v>6</v>
      </c>
      <c r="Y1513" s="1035"/>
      <c r="Z1513" s="1035">
        <f t="shared" si="345"/>
        <v>6</v>
      </c>
      <c r="AA1513" s="1035"/>
      <c r="AB1513" s="1033" t="s">
        <v>2992</v>
      </c>
      <c r="AC1513" s="1021">
        <v>610206</v>
      </c>
      <c r="AD1513" s="1021" t="s">
        <v>1696</v>
      </c>
      <c r="AE1513" s="1022">
        <f>VLOOKUP(AC1513,[5]Hoja1!$A$10:$K$1393,11,0)</f>
        <v>0</v>
      </c>
      <c r="AF1513" s="1022"/>
      <c r="AG1513" s="1022">
        <f t="shared" si="346"/>
        <v>0</v>
      </c>
      <c r="AH1513" s="1022">
        <f t="shared" si="347"/>
        <v>0</v>
      </c>
      <c r="AK1513" s="448"/>
      <c r="AL1513" s="445"/>
    </row>
    <row r="1514" spans="1:38" s="467" customFormat="1" ht="12.75" customHeight="1">
      <c r="A1514" s="1033">
        <v>5312200</v>
      </c>
      <c r="B1514" s="1033" t="s">
        <v>998</v>
      </c>
      <c r="C1514" s="1034" t="str">
        <f t="shared" si="338"/>
        <v/>
      </c>
      <c r="D1514" s="1033"/>
      <c r="E1514" s="1033"/>
      <c r="F1514" s="1034" t="str">
        <f t="shared" si="339"/>
        <v/>
      </c>
      <c r="G1514" s="1033"/>
      <c r="H1514" s="1033"/>
      <c r="I1514" s="1034" t="str">
        <f t="shared" si="340"/>
        <v/>
      </c>
      <c r="J1514" s="1033"/>
      <c r="K1514" s="1033"/>
      <c r="L1514" s="1034" t="str">
        <f t="shared" si="341"/>
        <v/>
      </c>
      <c r="M1514" s="1035"/>
      <c r="N1514" s="1035"/>
      <c r="O1514" s="1036" t="str">
        <f t="shared" si="342"/>
        <v/>
      </c>
      <c r="P1514" s="1033"/>
      <c r="Q1514" s="1033"/>
      <c r="R1514" s="1034" t="str">
        <f t="shared" si="343"/>
        <v/>
      </c>
      <c r="S1514" s="1033"/>
      <c r="T1514" s="1035"/>
      <c r="U1514" s="1034" t="str">
        <f t="shared" si="344"/>
        <v/>
      </c>
      <c r="V1514" s="1035"/>
      <c r="W1514" s="1035"/>
      <c r="X1514" s="1037" t="str">
        <f t="shared" si="337"/>
        <v>6</v>
      </c>
      <c r="Y1514" s="1035"/>
      <c r="Z1514" s="1035">
        <f t="shared" si="345"/>
        <v>6</v>
      </c>
      <c r="AA1514" s="1035"/>
      <c r="AB1514" s="1033" t="s">
        <v>2992</v>
      </c>
      <c r="AC1514" s="1021">
        <v>610207</v>
      </c>
      <c r="AD1514" s="1021" t="s">
        <v>2457</v>
      </c>
      <c r="AE1514" s="1022">
        <f>VLOOKUP(AC1514,[5]Hoja1!$A$10:$K$1393,11,0)</f>
        <v>0</v>
      </c>
      <c r="AF1514" s="1022"/>
      <c r="AG1514" s="1022">
        <f t="shared" si="346"/>
        <v>0</v>
      </c>
      <c r="AH1514" s="1022">
        <f t="shared" si="347"/>
        <v>0</v>
      </c>
      <c r="AK1514" s="448"/>
      <c r="AL1514" s="445"/>
    </row>
    <row r="1515" spans="1:38" s="467" customFormat="1" ht="12.75" customHeight="1">
      <c r="A1515" s="1033">
        <v>5312200</v>
      </c>
      <c r="B1515" s="1033" t="s">
        <v>998</v>
      </c>
      <c r="C1515" s="1034" t="str">
        <f t="shared" si="338"/>
        <v/>
      </c>
      <c r="D1515" s="1033"/>
      <c r="E1515" s="1033"/>
      <c r="F1515" s="1034" t="str">
        <f t="shared" si="339"/>
        <v/>
      </c>
      <c r="G1515" s="1033"/>
      <c r="H1515" s="1033"/>
      <c r="I1515" s="1034" t="str">
        <f t="shared" si="340"/>
        <v/>
      </c>
      <c r="J1515" s="1033"/>
      <c r="K1515" s="1033"/>
      <c r="L1515" s="1034" t="str">
        <f t="shared" si="341"/>
        <v/>
      </c>
      <c r="M1515" s="1035"/>
      <c r="N1515" s="1035"/>
      <c r="O1515" s="1036" t="str">
        <f t="shared" si="342"/>
        <v/>
      </c>
      <c r="P1515" s="1033"/>
      <c r="Q1515" s="1033"/>
      <c r="R1515" s="1034" t="str">
        <f t="shared" si="343"/>
        <v/>
      </c>
      <c r="S1515" s="1033"/>
      <c r="T1515" s="1035"/>
      <c r="U1515" s="1034" t="str">
        <f t="shared" si="344"/>
        <v/>
      </c>
      <c r="V1515" s="1035"/>
      <c r="W1515" s="1035"/>
      <c r="X1515" s="1037" t="str">
        <f t="shared" si="337"/>
        <v>6</v>
      </c>
      <c r="Y1515" s="1035"/>
      <c r="Z1515" s="1035">
        <f t="shared" si="345"/>
        <v>6</v>
      </c>
      <c r="AA1515" s="1035"/>
      <c r="AB1515" s="1033" t="s">
        <v>2992</v>
      </c>
      <c r="AC1515" s="1021">
        <v>610208</v>
      </c>
      <c r="AD1515" s="1021" t="s">
        <v>1697</v>
      </c>
      <c r="AE1515" s="1022">
        <f>VLOOKUP(AC1515,[5]Hoja1!$A$10:$K$1393,11,0)</f>
        <v>0</v>
      </c>
      <c r="AF1515" s="1022"/>
      <c r="AG1515" s="1022">
        <f t="shared" si="346"/>
        <v>0</v>
      </c>
      <c r="AH1515" s="1022">
        <f t="shared" si="347"/>
        <v>0</v>
      </c>
      <c r="AK1515" s="448"/>
      <c r="AL1515" s="445"/>
    </row>
    <row r="1516" spans="1:38" s="467" customFormat="1" ht="12.75" customHeight="1">
      <c r="A1516" s="1033">
        <v>5312200</v>
      </c>
      <c r="B1516" s="1033" t="s">
        <v>998</v>
      </c>
      <c r="C1516" s="1034" t="str">
        <f t="shared" si="338"/>
        <v/>
      </c>
      <c r="D1516" s="1033"/>
      <c r="E1516" s="1033"/>
      <c r="F1516" s="1034" t="str">
        <f t="shared" si="339"/>
        <v/>
      </c>
      <c r="G1516" s="1033"/>
      <c r="H1516" s="1033"/>
      <c r="I1516" s="1034" t="str">
        <f t="shared" si="340"/>
        <v/>
      </c>
      <c r="J1516" s="1033"/>
      <c r="K1516" s="1033"/>
      <c r="L1516" s="1034" t="str">
        <f t="shared" si="341"/>
        <v/>
      </c>
      <c r="M1516" s="1035"/>
      <c r="N1516" s="1035"/>
      <c r="O1516" s="1036" t="str">
        <f t="shared" si="342"/>
        <v/>
      </c>
      <c r="P1516" s="1033"/>
      <c r="Q1516" s="1033"/>
      <c r="R1516" s="1034" t="str">
        <f t="shared" si="343"/>
        <v/>
      </c>
      <c r="S1516" s="1033"/>
      <c r="T1516" s="1035"/>
      <c r="U1516" s="1034" t="str">
        <f t="shared" si="344"/>
        <v/>
      </c>
      <c r="V1516" s="1035"/>
      <c r="W1516" s="1035"/>
      <c r="X1516" s="1037" t="str">
        <f t="shared" si="337"/>
        <v>6</v>
      </c>
      <c r="Y1516" s="1035"/>
      <c r="Z1516" s="1035">
        <f t="shared" si="345"/>
        <v>6</v>
      </c>
      <c r="AA1516" s="1035"/>
      <c r="AB1516" s="1033" t="s">
        <v>2992</v>
      </c>
      <c r="AC1516" s="1021">
        <v>610209</v>
      </c>
      <c r="AD1516" s="1021" t="s">
        <v>696</v>
      </c>
      <c r="AE1516" s="1022">
        <f>VLOOKUP(AC1516,[5]Hoja1!$A$10:$K$1393,11,0)</f>
        <v>0</v>
      </c>
      <c r="AF1516" s="1022"/>
      <c r="AG1516" s="1022">
        <f t="shared" si="346"/>
        <v>0</v>
      </c>
      <c r="AH1516" s="1022">
        <f t="shared" si="347"/>
        <v>0</v>
      </c>
      <c r="AK1516" s="448"/>
      <c r="AL1516" s="445"/>
    </row>
    <row r="1517" spans="1:38" s="467" customFormat="1" ht="12.75" customHeight="1">
      <c r="A1517" s="1033">
        <v>5312200</v>
      </c>
      <c r="B1517" s="1033" t="s">
        <v>998</v>
      </c>
      <c r="C1517" s="1034" t="str">
        <f t="shared" si="338"/>
        <v/>
      </c>
      <c r="D1517" s="1033"/>
      <c r="E1517" s="1033"/>
      <c r="F1517" s="1034" t="str">
        <f t="shared" si="339"/>
        <v/>
      </c>
      <c r="G1517" s="1033"/>
      <c r="H1517" s="1033"/>
      <c r="I1517" s="1034" t="str">
        <f t="shared" si="340"/>
        <v/>
      </c>
      <c r="J1517" s="1033"/>
      <c r="K1517" s="1033"/>
      <c r="L1517" s="1034" t="str">
        <f t="shared" si="341"/>
        <v/>
      </c>
      <c r="M1517" s="1035"/>
      <c r="N1517" s="1035"/>
      <c r="O1517" s="1036" t="str">
        <f t="shared" si="342"/>
        <v/>
      </c>
      <c r="P1517" s="1033"/>
      <c r="Q1517" s="1033"/>
      <c r="R1517" s="1034" t="str">
        <f t="shared" si="343"/>
        <v/>
      </c>
      <c r="S1517" s="1033"/>
      <c r="T1517" s="1035"/>
      <c r="U1517" s="1034" t="str">
        <f t="shared" si="344"/>
        <v/>
      </c>
      <c r="V1517" s="1035"/>
      <c r="W1517" s="1035"/>
      <c r="X1517" s="1037" t="str">
        <f t="shared" si="337"/>
        <v>6</v>
      </c>
      <c r="Y1517" s="1035"/>
      <c r="Z1517" s="1035">
        <f t="shared" si="345"/>
        <v>6</v>
      </c>
      <c r="AA1517" s="1035"/>
      <c r="AB1517" s="1033" t="s">
        <v>2992</v>
      </c>
      <c r="AC1517" s="1021">
        <v>610210</v>
      </c>
      <c r="AD1517" s="1021" t="s">
        <v>81</v>
      </c>
      <c r="AE1517" s="1022">
        <f>VLOOKUP(AC1517,[5]Hoja1!$A$10:$K$1393,11,0)</f>
        <v>0</v>
      </c>
      <c r="AF1517" s="1022"/>
      <c r="AG1517" s="1022">
        <f t="shared" si="346"/>
        <v>0</v>
      </c>
      <c r="AH1517" s="1022">
        <f t="shared" si="347"/>
        <v>0</v>
      </c>
      <c r="AK1517" s="448"/>
      <c r="AL1517" s="445"/>
    </row>
    <row r="1518" spans="1:38" s="467" customFormat="1" ht="12.75" customHeight="1">
      <c r="A1518" s="1033">
        <v>5312200</v>
      </c>
      <c r="B1518" s="1033" t="s">
        <v>998</v>
      </c>
      <c r="C1518" s="1034" t="str">
        <f t="shared" si="338"/>
        <v/>
      </c>
      <c r="D1518" s="1033"/>
      <c r="E1518" s="1033"/>
      <c r="F1518" s="1034" t="str">
        <f t="shared" si="339"/>
        <v/>
      </c>
      <c r="G1518" s="1033"/>
      <c r="H1518" s="1033"/>
      <c r="I1518" s="1034" t="str">
        <f t="shared" si="340"/>
        <v/>
      </c>
      <c r="J1518" s="1033"/>
      <c r="K1518" s="1033"/>
      <c r="L1518" s="1034" t="str">
        <f t="shared" si="341"/>
        <v/>
      </c>
      <c r="M1518" s="1035"/>
      <c r="N1518" s="1035"/>
      <c r="O1518" s="1036" t="str">
        <f t="shared" si="342"/>
        <v/>
      </c>
      <c r="P1518" s="1033"/>
      <c r="Q1518" s="1033"/>
      <c r="R1518" s="1034" t="str">
        <f t="shared" si="343"/>
        <v/>
      </c>
      <c r="S1518" s="1033"/>
      <c r="T1518" s="1035"/>
      <c r="U1518" s="1034" t="str">
        <f t="shared" si="344"/>
        <v/>
      </c>
      <c r="V1518" s="1035"/>
      <c r="W1518" s="1035"/>
      <c r="X1518" s="1037" t="str">
        <f t="shared" si="337"/>
        <v>6</v>
      </c>
      <c r="Y1518" s="1035"/>
      <c r="Z1518" s="1035">
        <f t="shared" si="345"/>
        <v>6</v>
      </c>
      <c r="AA1518" s="1035"/>
      <c r="AB1518" s="1033" t="s">
        <v>2992</v>
      </c>
      <c r="AC1518" s="1021">
        <v>610211</v>
      </c>
      <c r="AD1518" s="1021" t="s">
        <v>1176</v>
      </c>
      <c r="AE1518" s="1022">
        <f>VLOOKUP(AC1518,[5]Hoja1!$A$10:$K$1393,11,0)</f>
        <v>0</v>
      </c>
      <c r="AF1518" s="1022"/>
      <c r="AG1518" s="1022">
        <f t="shared" si="346"/>
        <v>0</v>
      </c>
      <c r="AH1518" s="1022">
        <f t="shared" si="347"/>
        <v>0</v>
      </c>
      <c r="AK1518" s="448"/>
      <c r="AL1518" s="445"/>
    </row>
    <row r="1519" spans="1:38" s="467" customFormat="1" ht="12.75" customHeight="1">
      <c r="A1519" s="1033">
        <v>5312200</v>
      </c>
      <c r="B1519" s="1033" t="s">
        <v>998</v>
      </c>
      <c r="C1519" s="1034" t="str">
        <f t="shared" si="338"/>
        <v/>
      </c>
      <c r="D1519" s="1033"/>
      <c r="E1519" s="1033"/>
      <c r="F1519" s="1034" t="str">
        <f t="shared" si="339"/>
        <v/>
      </c>
      <c r="G1519" s="1033"/>
      <c r="H1519" s="1033"/>
      <c r="I1519" s="1034" t="str">
        <f t="shared" si="340"/>
        <v/>
      </c>
      <c r="J1519" s="1033"/>
      <c r="K1519" s="1033"/>
      <c r="L1519" s="1034" t="str">
        <f t="shared" si="341"/>
        <v/>
      </c>
      <c r="M1519" s="1035"/>
      <c r="N1519" s="1035"/>
      <c r="O1519" s="1036" t="str">
        <f t="shared" si="342"/>
        <v/>
      </c>
      <c r="P1519" s="1033"/>
      <c r="Q1519" s="1033"/>
      <c r="R1519" s="1034" t="str">
        <f t="shared" si="343"/>
        <v/>
      </c>
      <c r="S1519" s="1033"/>
      <c r="T1519" s="1035"/>
      <c r="U1519" s="1034" t="str">
        <f t="shared" si="344"/>
        <v/>
      </c>
      <c r="V1519" s="1035"/>
      <c r="W1519" s="1035"/>
      <c r="X1519" s="1037" t="str">
        <f t="shared" si="337"/>
        <v>6</v>
      </c>
      <c r="Y1519" s="1035"/>
      <c r="Z1519" s="1035">
        <f t="shared" si="345"/>
        <v>6</v>
      </c>
      <c r="AA1519" s="1035"/>
      <c r="AB1519" s="1033" t="s">
        <v>2992</v>
      </c>
      <c r="AC1519" s="1021">
        <v>610212</v>
      </c>
      <c r="AD1519" s="1021" t="s">
        <v>82</v>
      </c>
      <c r="AE1519" s="1022">
        <f>VLOOKUP(AC1519,[5]Hoja1!$A$10:$K$1393,11,0)</f>
        <v>0</v>
      </c>
      <c r="AF1519" s="1022"/>
      <c r="AG1519" s="1022">
        <f t="shared" si="346"/>
        <v>0</v>
      </c>
      <c r="AH1519" s="1022">
        <f t="shared" si="347"/>
        <v>0</v>
      </c>
      <c r="AK1519" s="448"/>
      <c r="AL1519" s="445"/>
    </row>
    <row r="1520" spans="1:38" s="467" customFormat="1" ht="12.75" customHeight="1">
      <c r="A1520" s="1033">
        <v>5312200</v>
      </c>
      <c r="B1520" s="1033" t="s">
        <v>998</v>
      </c>
      <c r="C1520" s="1034" t="str">
        <f t="shared" si="338"/>
        <v/>
      </c>
      <c r="D1520" s="1033"/>
      <c r="E1520" s="1033"/>
      <c r="F1520" s="1034" t="str">
        <f t="shared" si="339"/>
        <v/>
      </c>
      <c r="G1520" s="1033"/>
      <c r="H1520" s="1033"/>
      <c r="I1520" s="1034" t="str">
        <f t="shared" si="340"/>
        <v/>
      </c>
      <c r="J1520" s="1033"/>
      <c r="K1520" s="1033"/>
      <c r="L1520" s="1034" t="str">
        <f t="shared" si="341"/>
        <v/>
      </c>
      <c r="M1520" s="1035"/>
      <c r="N1520" s="1035"/>
      <c r="O1520" s="1036" t="str">
        <f t="shared" si="342"/>
        <v/>
      </c>
      <c r="P1520" s="1033"/>
      <c r="Q1520" s="1033"/>
      <c r="R1520" s="1034" t="str">
        <f t="shared" si="343"/>
        <v/>
      </c>
      <c r="S1520" s="1033"/>
      <c r="T1520" s="1035"/>
      <c r="U1520" s="1034" t="str">
        <f t="shared" si="344"/>
        <v/>
      </c>
      <c r="V1520" s="1035"/>
      <c r="W1520" s="1035"/>
      <c r="X1520" s="1037" t="str">
        <f t="shared" si="337"/>
        <v>6</v>
      </c>
      <c r="Y1520" s="1035"/>
      <c r="Z1520" s="1035">
        <f t="shared" si="345"/>
        <v>6</v>
      </c>
      <c r="AA1520" s="1035"/>
      <c r="AB1520" s="1033" t="s">
        <v>2992</v>
      </c>
      <c r="AC1520" s="1021">
        <v>610213</v>
      </c>
      <c r="AD1520" s="1021" t="s">
        <v>83</v>
      </c>
      <c r="AE1520" s="1022">
        <f>VLOOKUP(AC1520,[5]Hoja1!$A$10:$K$1393,11,0)</f>
        <v>0</v>
      </c>
      <c r="AF1520" s="1022"/>
      <c r="AG1520" s="1022">
        <f t="shared" si="346"/>
        <v>0</v>
      </c>
      <c r="AH1520" s="1022">
        <f t="shared" si="347"/>
        <v>0</v>
      </c>
      <c r="AK1520" s="448"/>
      <c r="AL1520" s="445"/>
    </row>
    <row r="1521" spans="1:38" s="467" customFormat="1" ht="12.75" customHeight="1">
      <c r="A1521" s="1033"/>
      <c r="B1521" s="1033"/>
      <c r="C1521" s="1034" t="str">
        <f t="shared" si="338"/>
        <v/>
      </c>
      <c r="D1521" s="1033"/>
      <c r="E1521" s="1033"/>
      <c r="F1521" s="1034" t="str">
        <f t="shared" si="339"/>
        <v/>
      </c>
      <c r="G1521" s="1033"/>
      <c r="H1521" s="1033"/>
      <c r="I1521" s="1034" t="str">
        <f t="shared" si="340"/>
        <v/>
      </c>
      <c r="J1521" s="1033"/>
      <c r="K1521" s="1033"/>
      <c r="L1521" s="1034" t="str">
        <f t="shared" si="341"/>
        <v/>
      </c>
      <c r="M1521" s="1035"/>
      <c r="N1521" s="1035"/>
      <c r="O1521" s="1036" t="str">
        <f t="shared" si="342"/>
        <v/>
      </c>
      <c r="P1521" s="1033"/>
      <c r="Q1521" s="1033"/>
      <c r="R1521" s="1034" t="str">
        <f t="shared" si="343"/>
        <v/>
      </c>
      <c r="S1521" s="1033"/>
      <c r="T1521" s="1035"/>
      <c r="U1521" s="1034" t="str">
        <f t="shared" si="344"/>
        <v/>
      </c>
      <c r="V1521" s="1035"/>
      <c r="W1521" s="1035"/>
      <c r="X1521" s="1037" t="str">
        <f t="shared" si="337"/>
        <v>6</v>
      </c>
      <c r="Y1521" s="1035"/>
      <c r="Z1521" s="1035">
        <f t="shared" si="345"/>
        <v>6</v>
      </c>
      <c r="AA1521" s="1035"/>
      <c r="AB1521" s="1035"/>
      <c r="AC1521" s="1021">
        <v>610214</v>
      </c>
      <c r="AD1521" s="1021" t="s">
        <v>1698</v>
      </c>
      <c r="AE1521" s="1022">
        <v>0</v>
      </c>
      <c r="AF1521" s="1022"/>
      <c r="AG1521" s="1022">
        <f t="shared" si="346"/>
        <v>0</v>
      </c>
      <c r="AH1521" s="1022">
        <f t="shared" si="347"/>
        <v>0</v>
      </c>
      <c r="AK1521" s="448"/>
      <c r="AL1521" s="445"/>
    </row>
    <row r="1522" spans="1:38" s="467" customFormat="1" ht="12.75" customHeight="1">
      <c r="A1522" s="1033">
        <v>5312200</v>
      </c>
      <c r="B1522" s="1033" t="s">
        <v>998</v>
      </c>
      <c r="C1522" s="1034" t="str">
        <f t="shared" si="338"/>
        <v/>
      </c>
      <c r="D1522" s="1033"/>
      <c r="E1522" s="1033"/>
      <c r="F1522" s="1034" t="str">
        <f t="shared" si="339"/>
        <v/>
      </c>
      <c r="G1522" s="1033"/>
      <c r="H1522" s="1033"/>
      <c r="I1522" s="1034" t="str">
        <f t="shared" si="340"/>
        <v/>
      </c>
      <c r="J1522" s="1033"/>
      <c r="K1522" s="1033"/>
      <c r="L1522" s="1034" t="str">
        <f t="shared" si="341"/>
        <v/>
      </c>
      <c r="M1522" s="1035"/>
      <c r="N1522" s="1035"/>
      <c r="O1522" s="1036" t="str">
        <f t="shared" si="342"/>
        <v/>
      </c>
      <c r="P1522" s="1033"/>
      <c r="Q1522" s="1033"/>
      <c r="R1522" s="1034" t="str">
        <f t="shared" si="343"/>
        <v/>
      </c>
      <c r="S1522" s="1033"/>
      <c r="T1522" s="1035"/>
      <c r="U1522" s="1034" t="str">
        <f t="shared" si="344"/>
        <v/>
      </c>
      <c r="V1522" s="1035"/>
      <c r="W1522" s="1035"/>
      <c r="X1522" s="1037" t="str">
        <f t="shared" si="337"/>
        <v>6</v>
      </c>
      <c r="Y1522" s="1035"/>
      <c r="Z1522" s="1035">
        <f t="shared" si="345"/>
        <v>6</v>
      </c>
      <c r="AA1522" s="1035"/>
      <c r="AB1522" s="1033" t="s">
        <v>2992</v>
      </c>
      <c r="AC1522" s="1021">
        <v>610215</v>
      </c>
      <c r="AD1522" s="1021" t="s">
        <v>1699</v>
      </c>
      <c r="AE1522" s="1022">
        <f>VLOOKUP(AC1522,[5]Hoja1!$A$10:$K$1393,11,0)</f>
        <v>0</v>
      </c>
      <c r="AF1522" s="1022"/>
      <c r="AG1522" s="1022">
        <f t="shared" si="346"/>
        <v>0</v>
      </c>
      <c r="AH1522" s="1022">
        <f t="shared" si="347"/>
        <v>0</v>
      </c>
      <c r="AK1522" s="448"/>
      <c r="AL1522" s="445"/>
    </row>
    <row r="1523" spans="1:38" s="467" customFormat="1" ht="12.75" customHeight="1">
      <c r="A1523" s="1033">
        <v>5312200</v>
      </c>
      <c r="B1523" s="1033" t="s">
        <v>998</v>
      </c>
      <c r="C1523" s="1034" t="str">
        <f t="shared" si="338"/>
        <v/>
      </c>
      <c r="D1523" s="1033"/>
      <c r="E1523" s="1033"/>
      <c r="F1523" s="1034" t="str">
        <f t="shared" si="339"/>
        <v/>
      </c>
      <c r="G1523" s="1033"/>
      <c r="H1523" s="1033"/>
      <c r="I1523" s="1034" t="str">
        <f t="shared" si="340"/>
        <v/>
      </c>
      <c r="J1523" s="1033"/>
      <c r="K1523" s="1033"/>
      <c r="L1523" s="1034" t="str">
        <f t="shared" si="341"/>
        <v/>
      </c>
      <c r="M1523" s="1035"/>
      <c r="N1523" s="1035"/>
      <c r="O1523" s="1036" t="str">
        <f t="shared" si="342"/>
        <v/>
      </c>
      <c r="P1523" s="1033"/>
      <c r="Q1523" s="1033"/>
      <c r="R1523" s="1034" t="str">
        <f t="shared" si="343"/>
        <v/>
      </c>
      <c r="S1523" s="1033"/>
      <c r="T1523" s="1035"/>
      <c r="U1523" s="1034" t="str">
        <f t="shared" si="344"/>
        <v/>
      </c>
      <c r="V1523" s="1035"/>
      <c r="W1523" s="1035"/>
      <c r="X1523" s="1037" t="str">
        <f t="shared" si="337"/>
        <v>6</v>
      </c>
      <c r="Y1523" s="1035"/>
      <c r="Z1523" s="1035">
        <f t="shared" si="345"/>
        <v>6</v>
      </c>
      <c r="AA1523" s="1035"/>
      <c r="AB1523" s="1033" t="s">
        <v>2992</v>
      </c>
      <c r="AC1523" s="1021">
        <v>610216</v>
      </c>
      <c r="AD1523" s="1021" t="s">
        <v>1700</v>
      </c>
      <c r="AE1523" s="1022">
        <f>VLOOKUP(AC1523,[5]Hoja1!$A$10:$K$1393,11,0)</f>
        <v>0</v>
      </c>
      <c r="AF1523" s="1022"/>
      <c r="AG1523" s="1022">
        <f t="shared" si="346"/>
        <v>0</v>
      </c>
      <c r="AH1523" s="1022">
        <f t="shared" si="347"/>
        <v>0</v>
      </c>
      <c r="AK1523" s="448"/>
      <c r="AL1523" s="445"/>
    </row>
    <row r="1524" spans="1:38" s="467" customFormat="1" ht="12.75" customHeight="1">
      <c r="A1524" s="1033">
        <v>5312200</v>
      </c>
      <c r="B1524" s="1033" t="s">
        <v>998</v>
      </c>
      <c r="C1524" s="1034" t="str">
        <f t="shared" si="338"/>
        <v/>
      </c>
      <c r="D1524" s="1033"/>
      <c r="E1524" s="1033"/>
      <c r="F1524" s="1034" t="str">
        <f t="shared" si="339"/>
        <v/>
      </c>
      <c r="G1524" s="1033"/>
      <c r="H1524" s="1033"/>
      <c r="I1524" s="1034" t="str">
        <f t="shared" si="340"/>
        <v/>
      </c>
      <c r="J1524" s="1033"/>
      <c r="K1524" s="1033"/>
      <c r="L1524" s="1034" t="str">
        <f t="shared" si="341"/>
        <v/>
      </c>
      <c r="M1524" s="1035"/>
      <c r="N1524" s="1035"/>
      <c r="O1524" s="1036" t="str">
        <f t="shared" si="342"/>
        <v/>
      </c>
      <c r="P1524" s="1033"/>
      <c r="Q1524" s="1033"/>
      <c r="R1524" s="1034" t="str">
        <f t="shared" si="343"/>
        <v/>
      </c>
      <c r="S1524" s="1033"/>
      <c r="T1524" s="1035"/>
      <c r="U1524" s="1034" t="str">
        <f t="shared" si="344"/>
        <v/>
      </c>
      <c r="V1524" s="1035"/>
      <c r="W1524" s="1035"/>
      <c r="X1524" s="1037" t="str">
        <f t="shared" si="337"/>
        <v>6</v>
      </c>
      <c r="Y1524" s="1035"/>
      <c r="Z1524" s="1035">
        <f t="shared" si="345"/>
        <v>6</v>
      </c>
      <c r="AA1524" s="1035"/>
      <c r="AB1524" s="1033" t="s">
        <v>2992</v>
      </c>
      <c r="AC1524" s="1021">
        <v>610217</v>
      </c>
      <c r="AD1524" s="1021" t="s">
        <v>697</v>
      </c>
      <c r="AE1524" s="1022">
        <f>VLOOKUP(AC1524,[5]Hoja1!$A$10:$K$1393,11,0)</f>
        <v>4741707</v>
      </c>
      <c r="AF1524" s="1022"/>
      <c r="AG1524" s="1022">
        <f t="shared" si="346"/>
        <v>4741707</v>
      </c>
      <c r="AH1524" s="1022">
        <f t="shared" si="347"/>
        <v>4742</v>
      </c>
      <c r="AK1524" s="448"/>
      <c r="AL1524" s="445"/>
    </row>
    <row r="1525" spans="1:38" s="467" customFormat="1" ht="12.75" customHeight="1">
      <c r="A1525" s="1033"/>
      <c r="B1525" s="1033"/>
      <c r="C1525" s="1034" t="str">
        <f t="shared" si="338"/>
        <v/>
      </c>
      <c r="D1525" s="1033"/>
      <c r="E1525" s="1033"/>
      <c r="F1525" s="1034" t="str">
        <f t="shared" si="339"/>
        <v/>
      </c>
      <c r="G1525" s="1033"/>
      <c r="H1525" s="1033"/>
      <c r="I1525" s="1034" t="str">
        <f t="shared" si="340"/>
        <v/>
      </c>
      <c r="J1525" s="1033"/>
      <c r="K1525" s="1033"/>
      <c r="L1525" s="1034" t="str">
        <f t="shared" si="341"/>
        <v/>
      </c>
      <c r="M1525" s="1035"/>
      <c r="N1525" s="1035"/>
      <c r="O1525" s="1036" t="str">
        <f t="shared" si="342"/>
        <v/>
      </c>
      <c r="P1525" s="1033"/>
      <c r="Q1525" s="1033"/>
      <c r="R1525" s="1034" t="str">
        <f t="shared" si="343"/>
        <v/>
      </c>
      <c r="S1525" s="1033"/>
      <c r="T1525" s="1035"/>
      <c r="U1525" s="1034" t="str">
        <f t="shared" si="344"/>
        <v/>
      </c>
      <c r="V1525" s="1035"/>
      <c r="W1525" s="1035"/>
      <c r="X1525" s="1037" t="str">
        <f t="shared" si="337"/>
        <v>6</v>
      </c>
      <c r="Y1525" s="1035"/>
      <c r="Z1525" s="1035">
        <f t="shared" si="345"/>
        <v>6</v>
      </c>
      <c r="AA1525" s="1035"/>
      <c r="AB1525" s="1035"/>
      <c r="AC1525" s="1021">
        <v>610218</v>
      </c>
      <c r="AD1525" s="1021" t="s">
        <v>698</v>
      </c>
      <c r="AE1525" s="1022">
        <v>0</v>
      </c>
      <c r="AF1525" s="1022"/>
      <c r="AG1525" s="1022">
        <f t="shared" si="346"/>
        <v>0</v>
      </c>
      <c r="AH1525" s="1022">
        <f t="shared" si="347"/>
        <v>0</v>
      </c>
      <c r="AK1525" s="448"/>
      <c r="AL1525" s="445"/>
    </row>
    <row r="1526" spans="1:38" s="467" customFormat="1" ht="12.75" customHeight="1">
      <c r="A1526" s="1033">
        <v>5312200</v>
      </c>
      <c r="B1526" s="1033" t="s">
        <v>998</v>
      </c>
      <c r="C1526" s="1034" t="str">
        <f t="shared" si="338"/>
        <v/>
      </c>
      <c r="D1526" s="1033"/>
      <c r="E1526" s="1033"/>
      <c r="F1526" s="1034" t="str">
        <f t="shared" si="339"/>
        <v/>
      </c>
      <c r="G1526" s="1033"/>
      <c r="H1526" s="1033"/>
      <c r="I1526" s="1034" t="str">
        <f t="shared" si="340"/>
        <v/>
      </c>
      <c r="J1526" s="1033"/>
      <c r="K1526" s="1033"/>
      <c r="L1526" s="1034" t="str">
        <f t="shared" si="341"/>
        <v/>
      </c>
      <c r="M1526" s="1035"/>
      <c r="N1526" s="1035"/>
      <c r="O1526" s="1036" t="str">
        <f t="shared" si="342"/>
        <v/>
      </c>
      <c r="P1526" s="1033"/>
      <c r="Q1526" s="1033"/>
      <c r="R1526" s="1034" t="str">
        <f t="shared" si="343"/>
        <v/>
      </c>
      <c r="S1526" s="1033"/>
      <c r="T1526" s="1035"/>
      <c r="U1526" s="1034" t="str">
        <f t="shared" si="344"/>
        <v/>
      </c>
      <c r="V1526" s="1035"/>
      <c r="W1526" s="1035"/>
      <c r="X1526" s="1037" t="str">
        <f t="shared" si="337"/>
        <v>6</v>
      </c>
      <c r="Y1526" s="1035"/>
      <c r="Z1526" s="1035">
        <f t="shared" si="345"/>
        <v>6</v>
      </c>
      <c r="AA1526" s="1035"/>
      <c r="AB1526" s="1033" t="s">
        <v>2992</v>
      </c>
      <c r="AC1526" s="1021">
        <v>610219</v>
      </c>
      <c r="AD1526" s="1021" t="s">
        <v>2458</v>
      </c>
      <c r="AE1526" s="1022">
        <f>VLOOKUP(AC1526,[5]Hoja1!$A$10:$K$1393,11,0)</f>
        <v>0</v>
      </c>
      <c r="AF1526" s="1022"/>
      <c r="AG1526" s="1022">
        <f t="shared" si="346"/>
        <v>0</v>
      </c>
      <c r="AH1526" s="1022">
        <f t="shared" si="347"/>
        <v>0</v>
      </c>
      <c r="AK1526" s="448"/>
      <c r="AL1526" s="445"/>
    </row>
    <row r="1527" spans="1:38" s="467" customFormat="1" ht="12.75" customHeight="1">
      <c r="A1527" s="1033">
        <v>5312200</v>
      </c>
      <c r="B1527" s="1033" t="s">
        <v>998</v>
      </c>
      <c r="C1527" s="1034" t="str">
        <f t="shared" si="338"/>
        <v/>
      </c>
      <c r="D1527" s="1033"/>
      <c r="E1527" s="1033"/>
      <c r="F1527" s="1034" t="str">
        <f t="shared" si="339"/>
        <v/>
      </c>
      <c r="G1527" s="1033"/>
      <c r="H1527" s="1033"/>
      <c r="I1527" s="1034" t="str">
        <f t="shared" si="340"/>
        <v/>
      </c>
      <c r="J1527" s="1033"/>
      <c r="K1527" s="1033"/>
      <c r="L1527" s="1034" t="str">
        <f t="shared" si="341"/>
        <v/>
      </c>
      <c r="M1527" s="1035"/>
      <c r="N1527" s="1035"/>
      <c r="O1527" s="1036" t="str">
        <f t="shared" si="342"/>
        <v/>
      </c>
      <c r="P1527" s="1033"/>
      <c r="Q1527" s="1033"/>
      <c r="R1527" s="1034" t="str">
        <f t="shared" si="343"/>
        <v/>
      </c>
      <c r="S1527" s="1033"/>
      <c r="T1527" s="1035"/>
      <c r="U1527" s="1034" t="str">
        <f t="shared" si="344"/>
        <v/>
      </c>
      <c r="V1527" s="1035"/>
      <c r="W1527" s="1035"/>
      <c r="X1527" s="1037" t="str">
        <f t="shared" si="337"/>
        <v>6</v>
      </c>
      <c r="Y1527" s="1035"/>
      <c r="Z1527" s="1035">
        <f t="shared" si="345"/>
        <v>6</v>
      </c>
      <c r="AA1527" s="1035"/>
      <c r="AB1527" s="1033" t="s">
        <v>2992</v>
      </c>
      <c r="AC1527" s="1021">
        <v>610220</v>
      </c>
      <c r="AD1527" s="1021" t="s">
        <v>671</v>
      </c>
      <c r="AE1527" s="1022">
        <f>VLOOKUP(AC1527,[5]Hoja1!$A$10:$K$1393,11,0)</f>
        <v>0</v>
      </c>
      <c r="AF1527" s="1022"/>
      <c r="AG1527" s="1022">
        <f t="shared" si="346"/>
        <v>0</v>
      </c>
      <c r="AH1527" s="1022">
        <f t="shared" si="347"/>
        <v>0</v>
      </c>
      <c r="AK1527" s="448"/>
      <c r="AL1527" s="445"/>
    </row>
    <row r="1528" spans="1:38" s="467" customFormat="1" ht="12.75" customHeight="1">
      <c r="A1528" s="1033">
        <v>5312200</v>
      </c>
      <c r="B1528" s="1033" t="s">
        <v>998</v>
      </c>
      <c r="C1528" s="1034"/>
      <c r="D1528" s="1033"/>
      <c r="E1528" s="1033"/>
      <c r="F1528" s="1034"/>
      <c r="G1528" s="1033"/>
      <c r="H1528" s="1033"/>
      <c r="I1528" s="1034"/>
      <c r="J1528" s="1033"/>
      <c r="K1528" s="1033"/>
      <c r="L1528" s="1034"/>
      <c r="M1528" s="1035"/>
      <c r="N1528" s="1035"/>
      <c r="O1528" s="1036"/>
      <c r="P1528" s="1033"/>
      <c r="Q1528" s="1033"/>
      <c r="R1528" s="1034"/>
      <c r="S1528" s="1033"/>
      <c r="T1528" s="1035"/>
      <c r="U1528" s="1034"/>
      <c r="V1528" s="1035"/>
      <c r="W1528" s="1035"/>
      <c r="X1528" s="1037"/>
      <c r="Y1528" s="1035"/>
      <c r="Z1528" s="1035">
        <f t="shared" si="345"/>
        <v>6</v>
      </c>
      <c r="AA1528" s="1035"/>
      <c r="AB1528" s="1033" t="s">
        <v>2992</v>
      </c>
      <c r="AC1528" s="1021">
        <v>610221</v>
      </c>
      <c r="AD1528" s="1021" t="s">
        <v>531</v>
      </c>
      <c r="AE1528" s="1022">
        <f>VLOOKUP(AC1528,[5]Hoja1!$A$10:$K$1393,11,0)</f>
        <v>0</v>
      </c>
      <c r="AF1528" s="1022"/>
      <c r="AG1528" s="1022">
        <f t="shared" si="346"/>
        <v>0</v>
      </c>
      <c r="AH1528" s="1022">
        <f t="shared" si="347"/>
        <v>0</v>
      </c>
      <c r="AK1528" s="448"/>
      <c r="AL1528" s="445"/>
    </row>
    <row r="1529" spans="1:38" s="467" customFormat="1" ht="12.75" customHeight="1">
      <c r="A1529" s="1033">
        <v>5312200</v>
      </c>
      <c r="B1529" s="1033" t="s">
        <v>998</v>
      </c>
      <c r="C1529" s="1034" t="str">
        <f t="shared" si="338"/>
        <v/>
      </c>
      <c r="D1529" s="1033"/>
      <c r="E1529" s="1033"/>
      <c r="F1529" s="1034" t="str">
        <f t="shared" si="339"/>
        <v/>
      </c>
      <c r="G1529" s="1033"/>
      <c r="H1529" s="1033"/>
      <c r="I1529" s="1034" t="str">
        <f t="shared" si="340"/>
        <v/>
      </c>
      <c r="J1529" s="1033"/>
      <c r="K1529" s="1033"/>
      <c r="L1529" s="1034" t="str">
        <f t="shared" si="341"/>
        <v/>
      </c>
      <c r="M1529" s="1035"/>
      <c r="N1529" s="1035"/>
      <c r="O1529" s="1036" t="str">
        <f t="shared" si="342"/>
        <v/>
      </c>
      <c r="P1529" s="1033"/>
      <c r="Q1529" s="1033"/>
      <c r="R1529" s="1034" t="str">
        <f t="shared" si="343"/>
        <v/>
      </c>
      <c r="S1529" s="1033"/>
      <c r="T1529" s="1035"/>
      <c r="U1529" s="1034" t="str">
        <f t="shared" si="344"/>
        <v/>
      </c>
      <c r="V1529" s="1035"/>
      <c r="W1529" s="1035"/>
      <c r="X1529" s="1037" t="str">
        <f>+Y1529&amp;Z1529</f>
        <v>6</v>
      </c>
      <c r="Y1529" s="1035"/>
      <c r="Z1529" s="1035">
        <f t="shared" si="345"/>
        <v>6</v>
      </c>
      <c r="AA1529" s="1035"/>
      <c r="AB1529" s="1033" t="s">
        <v>2992</v>
      </c>
      <c r="AC1529" s="1021">
        <v>610222</v>
      </c>
      <c r="AD1529" s="1021" t="s">
        <v>672</v>
      </c>
      <c r="AE1529" s="1022">
        <f>VLOOKUP(AC1529,[5]Hoja1!$A$10:$K$1393,11,0)</f>
        <v>0</v>
      </c>
      <c r="AF1529" s="1022"/>
      <c r="AG1529" s="1022">
        <f t="shared" si="346"/>
        <v>0</v>
      </c>
      <c r="AH1529" s="1022">
        <f t="shared" si="347"/>
        <v>0</v>
      </c>
      <c r="AK1529" s="448"/>
      <c r="AL1529" s="445"/>
    </row>
    <row r="1530" spans="1:38" s="467" customFormat="1" ht="12.75" customHeight="1">
      <c r="A1530" s="1033">
        <v>5312200</v>
      </c>
      <c r="B1530" s="1033" t="s">
        <v>998</v>
      </c>
      <c r="C1530" s="1034" t="str">
        <f t="shared" si="338"/>
        <v/>
      </c>
      <c r="D1530" s="1033"/>
      <c r="E1530" s="1033"/>
      <c r="F1530" s="1034" t="str">
        <f t="shared" si="339"/>
        <v/>
      </c>
      <c r="G1530" s="1033"/>
      <c r="H1530" s="1033"/>
      <c r="I1530" s="1034" t="str">
        <f t="shared" si="340"/>
        <v/>
      </c>
      <c r="J1530" s="1033"/>
      <c r="K1530" s="1033"/>
      <c r="L1530" s="1034" t="str">
        <f t="shared" si="341"/>
        <v/>
      </c>
      <c r="M1530" s="1035"/>
      <c r="N1530" s="1035"/>
      <c r="O1530" s="1036" t="str">
        <f t="shared" si="342"/>
        <v/>
      </c>
      <c r="P1530" s="1033"/>
      <c r="Q1530" s="1033"/>
      <c r="R1530" s="1034" t="str">
        <f t="shared" si="343"/>
        <v/>
      </c>
      <c r="S1530" s="1033"/>
      <c r="T1530" s="1035"/>
      <c r="U1530" s="1034" t="str">
        <f t="shared" si="344"/>
        <v/>
      </c>
      <c r="V1530" s="1035"/>
      <c r="W1530" s="1035"/>
      <c r="X1530" s="1037" t="str">
        <f>+Y1530&amp;Z1530</f>
        <v>6</v>
      </c>
      <c r="Y1530" s="1035"/>
      <c r="Z1530" s="1035">
        <f t="shared" si="345"/>
        <v>6</v>
      </c>
      <c r="AA1530" s="1035"/>
      <c r="AB1530" s="1033" t="s">
        <v>2992</v>
      </c>
      <c r="AC1530" s="1021">
        <v>610223</v>
      </c>
      <c r="AD1530" s="1021" t="s">
        <v>673</v>
      </c>
      <c r="AE1530" s="1022">
        <f>VLOOKUP(AC1530,[5]Hoja1!$A$10:$K$1393,11,0)</f>
        <v>0</v>
      </c>
      <c r="AF1530" s="1022"/>
      <c r="AG1530" s="1022">
        <f t="shared" si="346"/>
        <v>0</v>
      </c>
      <c r="AH1530" s="1022">
        <f t="shared" si="347"/>
        <v>0</v>
      </c>
      <c r="AK1530" s="448"/>
      <c r="AL1530" s="445"/>
    </row>
    <row r="1531" spans="1:38" s="467" customFormat="1" ht="12.75" customHeight="1">
      <c r="A1531" s="1033">
        <v>5312200</v>
      </c>
      <c r="B1531" s="1033" t="s">
        <v>998</v>
      </c>
      <c r="C1531" s="1034"/>
      <c r="D1531" s="1033"/>
      <c r="E1531" s="1033"/>
      <c r="F1531" s="1034"/>
      <c r="G1531" s="1033"/>
      <c r="H1531" s="1033"/>
      <c r="I1531" s="1034"/>
      <c r="J1531" s="1033"/>
      <c r="K1531" s="1033"/>
      <c r="L1531" s="1034"/>
      <c r="M1531" s="1035"/>
      <c r="N1531" s="1035"/>
      <c r="O1531" s="1036"/>
      <c r="P1531" s="1033"/>
      <c r="Q1531" s="1033"/>
      <c r="R1531" s="1034"/>
      <c r="S1531" s="1033"/>
      <c r="T1531" s="1035"/>
      <c r="U1531" s="1034"/>
      <c r="V1531" s="1035"/>
      <c r="W1531" s="1035"/>
      <c r="X1531" s="1037"/>
      <c r="Y1531" s="1035"/>
      <c r="Z1531" s="1035">
        <f t="shared" si="345"/>
        <v>6</v>
      </c>
      <c r="AA1531" s="1035"/>
      <c r="AB1531" s="1033" t="s">
        <v>2992</v>
      </c>
      <c r="AC1531" s="1021">
        <v>610224</v>
      </c>
      <c r="AD1531" s="1021" t="s">
        <v>532</v>
      </c>
      <c r="AE1531" s="1022">
        <f>VLOOKUP(AC1531,[5]Hoja1!$A$10:$K$1393,11,0)</f>
        <v>0</v>
      </c>
      <c r="AF1531" s="1022"/>
      <c r="AG1531" s="1022">
        <f t="shared" si="346"/>
        <v>0</v>
      </c>
      <c r="AH1531" s="1022">
        <f t="shared" si="347"/>
        <v>0</v>
      </c>
      <c r="AK1531" s="448"/>
      <c r="AL1531" s="445"/>
    </row>
    <row r="1532" spans="1:38" s="467" customFormat="1" ht="12.75" customHeight="1">
      <c r="A1532" s="1033">
        <v>5312200</v>
      </c>
      <c r="B1532" s="1033" t="s">
        <v>998</v>
      </c>
      <c r="C1532" s="1034"/>
      <c r="D1532" s="1033"/>
      <c r="E1532" s="1033"/>
      <c r="F1532" s="1034"/>
      <c r="G1532" s="1033"/>
      <c r="H1532" s="1033"/>
      <c r="I1532" s="1034"/>
      <c r="J1532" s="1033"/>
      <c r="K1532" s="1033"/>
      <c r="L1532" s="1034"/>
      <c r="M1532" s="1035"/>
      <c r="N1532" s="1035"/>
      <c r="O1532" s="1036"/>
      <c r="P1532" s="1033"/>
      <c r="Q1532" s="1033"/>
      <c r="R1532" s="1034"/>
      <c r="S1532" s="1033"/>
      <c r="T1532" s="1035"/>
      <c r="U1532" s="1034"/>
      <c r="V1532" s="1035"/>
      <c r="W1532" s="1035"/>
      <c r="X1532" s="1037"/>
      <c r="Y1532" s="1035"/>
      <c r="Z1532" s="1035">
        <f t="shared" si="345"/>
        <v>6</v>
      </c>
      <c r="AA1532" s="1035"/>
      <c r="AB1532" s="1033" t="s">
        <v>2992</v>
      </c>
      <c r="AC1532" s="1021">
        <v>610225</v>
      </c>
      <c r="AD1532" s="1021" t="s">
        <v>1528</v>
      </c>
      <c r="AE1532" s="1022">
        <f>VLOOKUP(AC1532,[5]Hoja1!$A$10:$K$1393,11,0)</f>
        <v>0</v>
      </c>
      <c r="AF1532" s="1022"/>
      <c r="AG1532" s="1022">
        <f t="shared" si="346"/>
        <v>0</v>
      </c>
      <c r="AH1532" s="1022">
        <f t="shared" si="347"/>
        <v>0</v>
      </c>
      <c r="AK1532" s="448"/>
      <c r="AL1532" s="445"/>
    </row>
    <row r="1533" spans="1:38" s="467" customFormat="1" ht="12.75" customHeight="1">
      <c r="A1533" s="1033">
        <v>5312200</v>
      </c>
      <c r="B1533" s="1033" t="s">
        <v>998</v>
      </c>
      <c r="C1533" s="1034"/>
      <c r="D1533" s="1033"/>
      <c r="E1533" s="1033"/>
      <c r="F1533" s="1034"/>
      <c r="G1533" s="1033"/>
      <c r="H1533" s="1033"/>
      <c r="I1533" s="1034"/>
      <c r="J1533" s="1033"/>
      <c r="K1533" s="1033"/>
      <c r="L1533" s="1034"/>
      <c r="M1533" s="1035"/>
      <c r="N1533" s="1035"/>
      <c r="O1533" s="1036"/>
      <c r="P1533" s="1033"/>
      <c r="Q1533" s="1033"/>
      <c r="R1533" s="1034"/>
      <c r="S1533" s="1033"/>
      <c r="T1533" s="1035"/>
      <c r="U1533" s="1034"/>
      <c r="V1533" s="1035"/>
      <c r="W1533" s="1035"/>
      <c r="X1533" s="1037"/>
      <c r="Y1533" s="1035"/>
      <c r="Z1533" s="1035">
        <f t="shared" si="345"/>
        <v>6</v>
      </c>
      <c r="AA1533" s="1035"/>
      <c r="AB1533" s="1033" t="s">
        <v>2992</v>
      </c>
      <c r="AC1533" s="1021">
        <v>610226</v>
      </c>
      <c r="AD1533" s="1021" t="s">
        <v>1669</v>
      </c>
      <c r="AE1533" s="1022">
        <f>VLOOKUP(AC1533,[5]Hoja1!$A$10:$K$1393,11,0)</f>
        <v>1246240389</v>
      </c>
      <c r="AF1533" s="1022"/>
      <c r="AG1533" s="1022">
        <f t="shared" si="346"/>
        <v>1246240389</v>
      </c>
      <c r="AH1533" s="1022">
        <f t="shared" si="347"/>
        <v>1246240</v>
      </c>
      <c r="AK1533" s="448"/>
      <c r="AL1533" s="445"/>
    </row>
    <row r="1534" spans="1:38" s="467" customFormat="1" ht="12.75" customHeight="1">
      <c r="A1534" s="1033">
        <v>5312200</v>
      </c>
      <c r="B1534" s="1033" t="s">
        <v>998</v>
      </c>
      <c r="C1534" s="1034"/>
      <c r="D1534" s="1033"/>
      <c r="E1534" s="1033"/>
      <c r="F1534" s="1034"/>
      <c r="G1534" s="1033"/>
      <c r="H1534" s="1033"/>
      <c r="I1534" s="1034"/>
      <c r="J1534" s="1033"/>
      <c r="K1534" s="1033"/>
      <c r="L1534" s="1034"/>
      <c r="M1534" s="1035"/>
      <c r="N1534" s="1035"/>
      <c r="O1534" s="1036"/>
      <c r="P1534" s="1033"/>
      <c r="Q1534" s="1033"/>
      <c r="R1534" s="1034"/>
      <c r="S1534" s="1033"/>
      <c r="T1534" s="1035"/>
      <c r="U1534" s="1034"/>
      <c r="V1534" s="1035"/>
      <c r="W1534" s="1035"/>
      <c r="X1534" s="1037"/>
      <c r="Y1534" s="1035"/>
      <c r="Z1534" s="1035">
        <f t="shared" si="345"/>
        <v>6</v>
      </c>
      <c r="AA1534" s="1035"/>
      <c r="AB1534" s="1033" t="s">
        <v>2992</v>
      </c>
      <c r="AC1534" s="1021">
        <v>610227</v>
      </c>
      <c r="AD1534" s="1021" t="s">
        <v>2459</v>
      </c>
      <c r="AE1534" s="1022">
        <f>VLOOKUP(AC1534,[5]Hoja1!$A$10:$K$1393,11,0)</f>
        <v>0</v>
      </c>
      <c r="AF1534" s="1022"/>
      <c r="AG1534" s="1022">
        <f t="shared" si="346"/>
        <v>0</v>
      </c>
      <c r="AH1534" s="1022">
        <f t="shared" si="347"/>
        <v>0</v>
      </c>
      <c r="AK1534" s="448"/>
      <c r="AL1534" s="445"/>
    </row>
    <row r="1535" spans="1:38" s="467" customFormat="1" ht="12.75" customHeight="1">
      <c r="A1535" s="1033">
        <v>5312200</v>
      </c>
      <c r="B1535" s="1033" t="s">
        <v>998</v>
      </c>
      <c r="C1535" s="1034"/>
      <c r="D1535" s="1033"/>
      <c r="E1535" s="1033"/>
      <c r="F1535" s="1034"/>
      <c r="G1535" s="1033"/>
      <c r="H1535" s="1033"/>
      <c r="I1535" s="1034"/>
      <c r="J1535" s="1033"/>
      <c r="K1535" s="1033"/>
      <c r="L1535" s="1034"/>
      <c r="M1535" s="1035"/>
      <c r="N1535" s="1035"/>
      <c r="O1535" s="1036"/>
      <c r="P1535" s="1033"/>
      <c r="Q1535" s="1033"/>
      <c r="R1535" s="1034"/>
      <c r="S1535" s="1033"/>
      <c r="T1535" s="1035"/>
      <c r="U1535" s="1034"/>
      <c r="V1535" s="1035"/>
      <c r="W1535" s="1035"/>
      <c r="X1535" s="1037"/>
      <c r="Y1535" s="1035"/>
      <c r="Z1535" s="1035">
        <f t="shared" si="345"/>
        <v>6</v>
      </c>
      <c r="AA1535" s="1035"/>
      <c r="AB1535" s="1033" t="s">
        <v>2992</v>
      </c>
      <c r="AC1535" s="1021">
        <v>610228</v>
      </c>
      <c r="AD1535" s="1021" t="s">
        <v>2460</v>
      </c>
      <c r="AE1535" s="1022">
        <f>VLOOKUP(AC1535,[5]Hoja1!$A$10:$K$1393,11,0)</f>
        <v>0</v>
      </c>
      <c r="AF1535" s="1022"/>
      <c r="AG1535" s="1022">
        <f t="shared" si="346"/>
        <v>0</v>
      </c>
      <c r="AH1535" s="1022">
        <f t="shared" si="347"/>
        <v>0</v>
      </c>
      <c r="AK1535" s="448"/>
      <c r="AL1535" s="445"/>
    </row>
    <row r="1536" spans="1:38" s="467" customFormat="1" ht="12.75" customHeight="1">
      <c r="A1536" s="1033">
        <v>5312200</v>
      </c>
      <c r="B1536" s="1033" t="s">
        <v>998</v>
      </c>
      <c r="C1536" s="1034"/>
      <c r="D1536" s="1033"/>
      <c r="E1536" s="1033"/>
      <c r="F1536" s="1034"/>
      <c r="G1536" s="1033"/>
      <c r="H1536" s="1033"/>
      <c r="I1536" s="1034"/>
      <c r="J1536" s="1033"/>
      <c r="K1536" s="1033"/>
      <c r="L1536" s="1034"/>
      <c r="M1536" s="1035"/>
      <c r="N1536" s="1035"/>
      <c r="O1536" s="1036"/>
      <c r="P1536" s="1033"/>
      <c r="Q1536" s="1033"/>
      <c r="R1536" s="1034"/>
      <c r="S1536" s="1033"/>
      <c r="T1536" s="1035"/>
      <c r="U1536" s="1034"/>
      <c r="V1536" s="1035"/>
      <c r="W1536" s="1035"/>
      <c r="X1536" s="1037"/>
      <c r="Y1536" s="1035"/>
      <c r="Z1536" s="1035">
        <f t="shared" si="345"/>
        <v>6</v>
      </c>
      <c r="AA1536" s="1035"/>
      <c r="AB1536" s="1033" t="s">
        <v>2992</v>
      </c>
      <c r="AC1536" s="1021">
        <v>610229</v>
      </c>
      <c r="AD1536" s="1021" t="s">
        <v>2461</v>
      </c>
      <c r="AE1536" s="1022">
        <f>VLOOKUP(AC1536,[5]Hoja1!$A$10:$K$1393,11,0)</f>
        <v>160920192</v>
      </c>
      <c r="AF1536" s="1022"/>
      <c r="AG1536" s="1022">
        <f t="shared" si="346"/>
        <v>160920192</v>
      </c>
      <c r="AH1536" s="1022">
        <f t="shared" si="347"/>
        <v>160920</v>
      </c>
      <c r="AK1536" s="448"/>
      <c r="AL1536" s="445"/>
    </row>
    <row r="1537" spans="1:38" s="467" customFormat="1" ht="12.75" customHeight="1">
      <c r="A1537" s="1033">
        <v>5312200</v>
      </c>
      <c r="B1537" s="1033" t="s">
        <v>998</v>
      </c>
      <c r="C1537" s="1034"/>
      <c r="D1537" s="1033"/>
      <c r="E1537" s="1033"/>
      <c r="F1537" s="1034"/>
      <c r="G1537" s="1033"/>
      <c r="H1537" s="1033"/>
      <c r="I1537" s="1034"/>
      <c r="J1537" s="1033"/>
      <c r="K1537" s="1033"/>
      <c r="L1537" s="1034"/>
      <c r="M1537" s="1035"/>
      <c r="N1537" s="1035"/>
      <c r="O1537" s="1036"/>
      <c r="P1537" s="1033"/>
      <c r="Q1537" s="1033"/>
      <c r="R1537" s="1034"/>
      <c r="S1537" s="1033"/>
      <c r="T1537" s="1035"/>
      <c r="U1537" s="1034"/>
      <c r="V1537" s="1035"/>
      <c r="W1537" s="1035"/>
      <c r="X1537" s="1037"/>
      <c r="Y1537" s="1035"/>
      <c r="Z1537" s="1035">
        <f t="shared" si="345"/>
        <v>6</v>
      </c>
      <c r="AA1537" s="1035"/>
      <c r="AB1537" s="1033" t="s">
        <v>2992</v>
      </c>
      <c r="AC1537" s="1021">
        <v>610230</v>
      </c>
      <c r="AD1537" s="1021" t="s">
        <v>2462</v>
      </c>
      <c r="AE1537" s="1022">
        <f>VLOOKUP(AC1537,[5]Hoja1!$A$10:$K$1393,11,0)</f>
        <v>34063531</v>
      </c>
      <c r="AF1537" s="1022"/>
      <c r="AG1537" s="1022">
        <f t="shared" si="346"/>
        <v>34063531</v>
      </c>
      <c r="AH1537" s="1022">
        <f t="shared" si="347"/>
        <v>34064</v>
      </c>
      <c r="AK1537" s="448"/>
      <c r="AL1537" s="445"/>
    </row>
    <row r="1538" spans="1:38" s="467" customFormat="1" ht="12.75" customHeight="1">
      <c r="A1538" s="1033">
        <v>5312200</v>
      </c>
      <c r="B1538" s="1033" t="s">
        <v>998</v>
      </c>
      <c r="C1538" s="1034"/>
      <c r="D1538" s="1033"/>
      <c r="E1538" s="1033"/>
      <c r="F1538" s="1034"/>
      <c r="G1538" s="1033"/>
      <c r="H1538" s="1033"/>
      <c r="I1538" s="1034"/>
      <c r="J1538" s="1033"/>
      <c r="K1538" s="1033"/>
      <c r="L1538" s="1034"/>
      <c r="M1538" s="1035"/>
      <c r="N1538" s="1035"/>
      <c r="O1538" s="1036"/>
      <c r="P1538" s="1033"/>
      <c r="Q1538" s="1033"/>
      <c r="R1538" s="1034"/>
      <c r="S1538" s="1033"/>
      <c r="T1538" s="1035"/>
      <c r="U1538" s="1034"/>
      <c r="V1538" s="1035"/>
      <c r="W1538" s="1035"/>
      <c r="X1538" s="1037"/>
      <c r="Y1538" s="1035"/>
      <c r="Z1538" s="1035">
        <f t="shared" si="345"/>
        <v>6</v>
      </c>
      <c r="AA1538" s="1035"/>
      <c r="AB1538" s="1033" t="s">
        <v>2992</v>
      </c>
      <c r="AC1538" s="1021">
        <v>610231</v>
      </c>
      <c r="AD1538" s="1021" t="s">
        <v>2640</v>
      </c>
      <c r="AE1538" s="1022">
        <f>VLOOKUP(AC1538,[5]Hoja1!$A$10:$K$1393,11,0)</f>
        <v>60683744</v>
      </c>
      <c r="AF1538" s="1022">
        <v>0</v>
      </c>
      <c r="AG1538" s="1022">
        <f t="shared" si="346"/>
        <v>60683744</v>
      </c>
      <c r="AH1538" s="1022">
        <f t="shared" si="347"/>
        <v>60684</v>
      </c>
      <c r="AK1538" s="448"/>
      <c r="AL1538" s="445"/>
    </row>
    <row r="1539" spans="1:38" s="467" customFormat="1" ht="12.75" customHeight="1">
      <c r="A1539" s="1033">
        <v>5312200</v>
      </c>
      <c r="B1539" s="1033" t="s">
        <v>998</v>
      </c>
      <c r="C1539" s="1034" t="str">
        <f t="shared" si="338"/>
        <v/>
      </c>
      <c r="D1539" s="1033"/>
      <c r="E1539" s="1033"/>
      <c r="F1539" s="1034" t="str">
        <f t="shared" si="339"/>
        <v/>
      </c>
      <c r="G1539" s="1033"/>
      <c r="H1539" s="1033"/>
      <c r="I1539" s="1034" t="str">
        <f t="shared" si="340"/>
        <v/>
      </c>
      <c r="J1539" s="1033"/>
      <c r="K1539" s="1033"/>
      <c r="L1539" s="1034" t="str">
        <f t="shared" si="341"/>
        <v/>
      </c>
      <c r="M1539" s="1035"/>
      <c r="N1539" s="1035"/>
      <c r="O1539" s="1036" t="str">
        <f t="shared" si="342"/>
        <v/>
      </c>
      <c r="P1539" s="1033"/>
      <c r="Q1539" s="1033"/>
      <c r="R1539" s="1034" t="str">
        <f t="shared" si="343"/>
        <v/>
      </c>
      <c r="S1539" s="1033"/>
      <c r="T1539" s="1035"/>
      <c r="U1539" s="1034" t="str">
        <f t="shared" si="344"/>
        <v/>
      </c>
      <c r="V1539" s="1035"/>
      <c r="W1539" s="1035"/>
      <c r="X1539" s="1037" t="str">
        <f t="shared" ref="X1539:X1567" si="348">+Y1539&amp;Z1539</f>
        <v>6</v>
      </c>
      <c r="Y1539" s="1035"/>
      <c r="Z1539" s="1035">
        <f t="shared" si="345"/>
        <v>6</v>
      </c>
      <c r="AA1539" s="1035"/>
      <c r="AB1539" s="1033" t="s">
        <v>2987</v>
      </c>
      <c r="AC1539" s="1021">
        <v>610301</v>
      </c>
      <c r="AD1539" s="1021" t="s">
        <v>1535</v>
      </c>
      <c r="AE1539" s="1022">
        <f>VLOOKUP(AC1539,[5]Hoja1!$A$10:$K$1393,11,0)</f>
        <v>118444308</v>
      </c>
      <c r="AF1539" s="1022"/>
      <c r="AG1539" s="1022">
        <f t="shared" si="346"/>
        <v>118444308</v>
      </c>
      <c r="AH1539" s="1022">
        <f t="shared" si="347"/>
        <v>118444</v>
      </c>
      <c r="AK1539" s="448"/>
      <c r="AL1539" s="445"/>
    </row>
    <row r="1540" spans="1:38" s="467" customFormat="1" ht="12.75" customHeight="1">
      <c r="A1540" s="1033">
        <v>5312200</v>
      </c>
      <c r="B1540" s="1033" t="s">
        <v>998</v>
      </c>
      <c r="C1540" s="1034" t="str">
        <f t="shared" si="338"/>
        <v/>
      </c>
      <c r="D1540" s="1033"/>
      <c r="E1540" s="1033"/>
      <c r="F1540" s="1034" t="str">
        <f t="shared" si="339"/>
        <v/>
      </c>
      <c r="G1540" s="1033"/>
      <c r="H1540" s="1033"/>
      <c r="I1540" s="1034" t="str">
        <f t="shared" si="340"/>
        <v/>
      </c>
      <c r="J1540" s="1033"/>
      <c r="K1540" s="1033"/>
      <c r="L1540" s="1034" t="str">
        <f t="shared" si="341"/>
        <v/>
      </c>
      <c r="M1540" s="1035"/>
      <c r="N1540" s="1035"/>
      <c r="O1540" s="1036" t="str">
        <f t="shared" si="342"/>
        <v/>
      </c>
      <c r="P1540" s="1033"/>
      <c r="Q1540" s="1033"/>
      <c r="R1540" s="1034" t="str">
        <f t="shared" si="343"/>
        <v/>
      </c>
      <c r="S1540" s="1033"/>
      <c r="T1540" s="1035"/>
      <c r="U1540" s="1034" t="str">
        <f t="shared" si="344"/>
        <v/>
      </c>
      <c r="V1540" s="1035"/>
      <c r="W1540" s="1035"/>
      <c r="X1540" s="1037" t="str">
        <f t="shared" si="348"/>
        <v>6</v>
      </c>
      <c r="Y1540" s="1035"/>
      <c r="Z1540" s="1035">
        <f t="shared" si="345"/>
        <v>6</v>
      </c>
      <c r="AA1540" s="1035"/>
      <c r="AB1540" s="1033" t="s">
        <v>2987</v>
      </c>
      <c r="AC1540" s="1021">
        <v>610302</v>
      </c>
      <c r="AD1540" s="1021" t="s">
        <v>918</v>
      </c>
      <c r="AE1540" s="1022">
        <f>VLOOKUP(AC1540,[5]Hoja1!$A$10:$K$1393,11,0)</f>
        <v>71781</v>
      </c>
      <c r="AF1540" s="1022"/>
      <c r="AG1540" s="1022">
        <f t="shared" si="346"/>
        <v>71781</v>
      </c>
      <c r="AH1540" s="1022">
        <f t="shared" si="347"/>
        <v>72</v>
      </c>
      <c r="AK1540" s="448"/>
      <c r="AL1540" s="445"/>
    </row>
    <row r="1541" spans="1:38" s="467" customFormat="1" ht="12.75" customHeight="1">
      <c r="A1541" s="1033">
        <v>5312200</v>
      </c>
      <c r="B1541" s="1033" t="s">
        <v>998</v>
      </c>
      <c r="C1541" s="1034" t="str">
        <f t="shared" si="338"/>
        <v/>
      </c>
      <c r="D1541" s="1033"/>
      <c r="E1541" s="1033"/>
      <c r="F1541" s="1034" t="str">
        <f t="shared" si="339"/>
        <v/>
      </c>
      <c r="G1541" s="1033"/>
      <c r="H1541" s="1033"/>
      <c r="I1541" s="1034" t="str">
        <f t="shared" si="340"/>
        <v/>
      </c>
      <c r="J1541" s="1033"/>
      <c r="K1541" s="1033"/>
      <c r="L1541" s="1034" t="str">
        <f t="shared" si="341"/>
        <v/>
      </c>
      <c r="M1541" s="1035"/>
      <c r="N1541" s="1035"/>
      <c r="O1541" s="1036" t="str">
        <f t="shared" si="342"/>
        <v/>
      </c>
      <c r="P1541" s="1033"/>
      <c r="Q1541" s="1033"/>
      <c r="R1541" s="1034" t="str">
        <f t="shared" si="343"/>
        <v/>
      </c>
      <c r="S1541" s="1033"/>
      <c r="T1541" s="1035"/>
      <c r="U1541" s="1034" t="str">
        <f t="shared" si="344"/>
        <v/>
      </c>
      <c r="V1541" s="1035"/>
      <c r="W1541" s="1035"/>
      <c r="X1541" s="1037" t="str">
        <f t="shared" si="348"/>
        <v>6</v>
      </c>
      <c r="Y1541" s="1035"/>
      <c r="Z1541" s="1035">
        <f t="shared" si="345"/>
        <v>6</v>
      </c>
      <c r="AA1541" s="1035"/>
      <c r="AB1541" s="1033" t="s">
        <v>2991</v>
      </c>
      <c r="AC1541" s="1021">
        <v>610303</v>
      </c>
      <c r="AD1541" s="1021" t="s">
        <v>919</v>
      </c>
      <c r="AE1541" s="1022">
        <f>VLOOKUP(AC1541,[5]Hoja1!$A$10:$K$1393,11,0)</f>
        <v>36750956</v>
      </c>
      <c r="AF1541" s="1022"/>
      <c r="AG1541" s="1022">
        <f t="shared" si="346"/>
        <v>36750956</v>
      </c>
      <c r="AH1541" s="1022">
        <f t="shared" si="347"/>
        <v>36751</v>
      </c>
      <c r="AK1541" s="448"/>
      <c r="AL1541" s="445"/>
    </row>
    <row r="1542" spans="1:38" s="467" customFormat="1" ht="12.75" customHeight="1">
      <c r="A1542" s="1033">
        <v>5312200</v>
      </c>
      <c r="B1542" s="1033" t="s">
        <v>998</v>
      </c>
      <c r="C1542" s="1034" t="str">
        <f t="shared" si="338"/>
        <v/>
      </c>
      <c r="D1542" s="1033"/>
      <c r="E1542" s="1033"/>
      <c r="F1542" s="1034" t="str">
        <f t="shared" si="339"/>
        <v/>
      </c>
      <c r="G1542" s="1033"/>
      <c r="H1542" s="1033"/>
      <c r="I1542" s="1034" t="str">
        <f t="shared" si="340"/>
        <v/>
      </c>
      <c r="J1542" s="1033"/>
      <c r="K1542" s="1033"/>
      <c r="L1542" s="1034" t="str">
        <f t="shared" si="341"/>
        <v/>
      </c>
      <c r="M1542" s="1035"/>
      <c r="N1542" s="1035"/>
      <c r="O1542" s="1036" t="str">
        <f t="shared" si="342"/>
        <v/>
      </c>
      <c r="P1542" s="1033"/>
      <c r="Q1542" s="1033"/>
      <c r="R1542" s="1034" t="str">
        <f t="shared" si="343"/>
        <v/>
      </c>
      <c r="S1542" s="1033"/>
      <c r="T1542" s="1035"/>
      <c r="U1542" s="1034" t="str">
        <f t="shared" si="344"/>
        <v/>
      </c>
      <c r="V1542" s="1035"/>
      <c r="W1542" s="1035"/>
      <c r="X1542" s="1037" t="str">
        <f t="shared" si="348"/>
        <v>6</v>
      </c>
      <c r="Y1542" s="1035"/>
      <c r="Z1542" s="1035">
        <f t="shared" si="345"/>
        <v>6</v>
      </c>
      <c r="AA1542" s="1035"/>
      <c r="AB1542" s="1033" t="s">
        <v>2991</v>
      </c>
      <c r="AC1542" s="1021">
        <v>610304</v>
      </c>
      <c r="AD1542" s="1021" t="s">
        <v>921</v>
      </c>
      <c r="AE1542" s="1022">
        <f>VLOOKUP(AC1542,[5]Hoja1!$A$10:$K$1393,11,0)</f>
        <v>27557805</v>
      </c>
      <c r="AF1542" s="1022"/>
      <c r="AG1542" s="1022">
        <f t="shared" si="346"/>
        <v>27557805</v>
      </c>
      <c r="AH1542" s="1022">
        <f t="shared" si="347"/>
        <v>27558</v>
      </c>
      <c r="AK1542" s="448"/>
      <c r="AL1542" s="445"/>
    </row>
    <row r="1543" spans="1:38" s="467" customFormat="1" ht="12.75" customHeight="1">
      <c r="A1543" s="1033">
        <v>5312200</v>
      </c>
      <c r="B1543" s="1033" t="s">
        <v>998</v>
      </c>
      <c r="C1543" s="1034" t="str">
        <f t="shared" si="338"/>
        <v/>
      </c>
      <c r="D1543" s="1033"/>
      <c r="E1543" s="1033"/>
      <c r="F1543" s="1034" t="str">
        <f t="shared" si="339"/>
        <v/>
      </c>
      <c r="G1543" s="1033"/>
      <c r="H1543" s="1033"/>
      <c r="I1543" s="1034" t="str">
        <f t="shared" si="340"/>
        <v/>
      </c>
      <c r="J1543" s="1033"/>
      <c r="K1543" s="1033"/>
      <c r="L1543" s="1034" t="str">
        <f t="shared" si="341"/>
        <v/>
      </c>
      <c r="M1543" s="1035"/>
      <c r="N1543" s="1035"/>
      <c r="O1543" s="1036" t="str">
        <f t="shared" si="342"/>
        <v/>
      </c>
      <c r="P1543" s="1033"/>
      <c r="Q1543" s="1033"/>
      <c r="R1543" s="1034" t="str">
        <f t="shared" si="343"/>
        <v/>
      </c>
      <c r="S1543" s="1033"/>
      <c r="T1543" s="1035"/>
      <c r="U1543" s="1034" t="str">
        <f t="shared" si="344"/>
        <v/>
      </c>
      <c r="V1543" s="1035"/>
      <c r="W1543" s="1035"/>
      <c r="X1543" s="1037" t="str">
        <f t="shared" si="348"/>
        <v>6</v>
      </c>
      <c r="Y1543" s="1035"/>
      <c r="Z1543" s="1035">
        <f t="shared" si="345"/>
        <v>6</v>
      </c>
      <c r="AA1543" s="1035"/>
      <c r="AB1543" s="1033" t="s">
        <v>2987</v>
      </c>
      <c r="AC1543" s="1021">
        <v>610305</v>
      </c>
      <c r="AD1543" s="1021" t="s">
        <v>2463</v>
      </c>
      <c r="AE1543" s="1022">
        <f>VLOOKUP(AC1543,[5]Hoja1!$A$10:$K$1393,11,0)</f>
        <v>4438008</v>
      </c>
      <c r="AF1543" s="1022"/>
      <c r="AG1543" s="1022">
        <f t="shared" si="346"/>
        <v>4438008</v>
      </c>
      <c r="AH1543" s="1022">
        <f t="shared" si="347"/>
        <v>4438</v>
      </c>
      <c r="AK1543" s="448"/>
      <c r="AL1543" s="445"/>
    </row>
    <row r="1544" spans="1:38" s="467" customFormat="1" ht="12.75" customHeight="1">
      <c r="A1544" s="1033"/>
      <c r="B1544" s="1033"/>
      <c r="C1544" s="1034" t="str">
        <f t="shared" si="338"/>
        <v/>
      </c>
      <c r="D1544" s="1033"/>
      <c r="E1544" s="1033"/>
      <c r="F1544" s="1034" t="str">
        <f t="shared" si="339"/>
        <v/>
      </c>
      <c r="G1544" s="1033"/>
      <c r="H1544" s="1033"/>
      <c r="I1544" s="1034" t="str">
        <f t="shared" si="340"/>
        <v/>
      </c>
      <c r="J1544" s="1033"/>
      <c r="K1544" s="1033"/>
      <c r="L1544" s="1034" t="str">
        <f t="shared" si="341"/>
        <v/>
      </c>
      <c r="M1544" s="1035"/>
      <c r="N1544" s="1035"/>
      <c r="O1544" s="1036" t="str">
        <f t="shared" si="342"/>
        <v/>
      </c>
      <c r="P1544" s="1033"/>
      <c r="Q1544" s="1033"/>
      <c r="R1544" s="1034" t="str">
        <f t="shared" si="343"/>
        <v/>
      </c>
      <c r="S1544" s="1033"/>
      <c r="T1544" s="1035"/>
      <c r="U1544" s="1034" t="str">
        <f t="shared" si="344"/>
        <v/>
      </c>
      <c r="V1544" s="1035"/>
      <c r="W1544" s="1035"/>
      <c r="X1544" s="1037" t="str">
        <f t="shared" si="348"/>
        <v>6</v>
      </c>
      <c r="Y1544" s="1035"/>
      <c r="Z1544" s="1035">
        <f t="shared" si="345"/>
        <v>6</v>
      </c>
      <c r="AA1544" s="1035"/>
      <c r="AB1544" s="1035"/>
      <c r="AC1544" s="1021">
        <v>610306</v>
      </c>
      <c r="AD1544" s="1021" t="s">
        <v>2464</v>
      </c>
      <c r="AE1544" s="1022">
        <v>0</v>
      </c>
      <c r="AF1544" s="1022"/>
      <c r="AG1544" s="1022">
        <f t="shared" si="346"/>
        <v>0</v>
      </c>
      <c r="AH1544" s="1022">
        <f t="shared" si="347"/>
        <v>0</v>
      </c>
      <c r="AI1544" s="445"/>
      <c r="AK1544" s="448"/>
      <c r="AL1544" s="445"/>
    </row>
    <row r="1545" spans="1:38" s="467" customFormat="1" ht="12.75" customHeight="1">
      <c r="A1545" s="1033">
        <v>5312200</v>
      </c>
      <c r="B1545" s="1033" t="s">
        <v>998</v>
      </c>
      <c r="C1545" s="1034" t="str">
        <f t="shared" si="338"/>
        <v/>
      </c>
      <c r="D1545" s="1033"/>
      <c r="E1545" s="1033"/>
      <c r="F1545" s="1034" t="str">
        <f t="shared" si="339"/>
        <v/>
      </c>
      <c r="G1545" s="1033"/>
      <c r="H1545" s="1033"/>
      <c r="I1545" s="1034" t="str">
        <f t="shared" si="340"/>
        <v/>
      </c>
      <c r="J1545" s="1033"/>
      <c r="K1545" s="1033"/>
      <c r="L1545" s="1034" t="str">
        <f t="shared" si="341"/>
        <v/>
      </c>
      <c r="M1545" s="1035"/>
      <c r="N1545" s="1035"/>
      <c r="O1545" s="1036" t="str">
        <f t="shared" si="342"/>
        <v/>
      </c>
      <c r="P1545" s="1033"/>
      <c r="Q1545" s="1033"/>
      <c r="R1545" s="1034" t="str">
        <f t="shared" si="343"/>
        <v/>
      </c>
      <c r="S1545" s="1033"/>
      <c r="T1545" s="1035"/>
      <c r="U1545" s="1034" t="str">
        <f t="shared" si="344"/>
        <v/>
      </c>
      <c r="V1545" s="1035"/>
      <c r="W1545" s="1035"/>
      <c r="X1545" s="1037" t="str">
        <f t="shared" si="348"/>
        <v>6</v>
      </c>
      <c r="Y1545" s="1035"/>
      <c r="Z1545" s="1035">
        <f t="shared" si="345"/>
        <v>6</v>
      </c>
      <c r="AA1545" s="1035"/>
      <c r="AB1545" s="1033" t="s">
        <v>2991</v>
      </c>
      <c r="AC1545" s="1021">
        <v>610307</v>
      </c>
      <c r="AD1545" s="1021" t="s">
        <v>700</v>
      </c>
      <c r="AE1545" s="1022">
        <f>VLOOKUP(AC1545,[5]Hoja1!$A$10:$K$1393,11,0)</f>
        <v>0</v>
      </c>
      <c r="AF1545" s="1022"/>
      <c r="AG1545" s="1022">
        <f t="shared" si="346"/>
        <v>0</v>
      </c>
      <c r="AH1545" s="1022">
        <f t="shared" si="347"/>
        <v>0</v>
      </c>
      <c r="AK1545" s="448"/>
      <c r="AL1545" s="445"/>
    </row>
    <row r="1546" spans="1:38" s="467" customFormat="1" ht="12.75" customHeight="1">
      <c r="A1546" s="1033">
        <v>5312200</v>
      </c>
      <c r="B1546" s="1033" t="s">
        <v>998</v>
      </c>
      <c r="C1546" s="1034" t="str">
        <f t="shared" si="338"/>
        <v/>
      </c>
      <c r="D1546" s="1033"/>
      <c r="E1546" s="1033"/>
      <c r="F1546" s="1034" t="str">
        <f t="shared" si="339"/>
        <v/>
      </c>
      <c r="G1546" s="1033"/>
      <c r="H1546" s="1033"/>
      <c r="I1546" s="1034" t="str">
        <f t="shared" si="340"/>
        <v/>
      </c>
      <c r="J1546" s="1033"/>
      <c r="K1546" s="1033"/>
      <c r="L1546" s="1034" t="str">
        <f t="shared" si="341"/>
        <v/>
      </c>
      <c r="M1546" s="1035"/>
      <c r="N1546" s="1035"/>
      <c r="O1546" s="1036" t="str">
        <f t="shared" si="342"/>
        <v/>
      </c>
      <c r="P1546" s="1033"/>
      <c r="Q1546" s="1033"/>
      <c r="R1546" s="1034" t="str">
        <f t="shared" si="343"/>
        <v/>
      </c>
      <c r="S1546" s="1033"/>
      <c r="T1546" s="1035"/>
      <c r="U1546" s="1034" t="str">
        <f t="shared" si="344"/>
        <v/>
      </c>
      <c r="V1546" s="1035"/>
      <c r="W1546" s="1035"/>
      <c r="X1546" s="1037" t="str">
        <f t="shared" si="348"/>
        <v>6</v>
      </c>
      <c r="Y1546" s="1035"/>
      <c r="Z1546" s="1035">
        <f t="shared" si="345"/>
        <v>6</v>
      </c>
      <c r="AA1546" s="1035"/>
      <c r="AB1546" s="1033" t="s">
        <v>2991</v>
      </c>
      <c r="AC1546" s="1021">
        <v>610308</v>
      </c>
      <c r="AD1546" s="1021" t="s">
        <v>700</v>
      </c>
      <c r="AE1546" s="1022">
        <f>VLOOKUP(AC1546,[5]Hoja1!$A$10:$K$1393,11,0)</f>
        <v>0</v>
      </c>
      <c r="AF1546" s="1022"/>
      <c r="AG1546" s="1022">
        <f t="shared" si="346"/>
        <v>0</v>
      </c>
      <c r="AH1546" s="1022">
        <f t="shared" si="347"/>
        <v>0</v>
      </c>
      <c r="AK1546" s="448"/>
      <c r="AL1546" s="445"/>
    </row>
    <row r="1547" spans="1:38" s="467" customFormat="1" ht="12.75" customHeight="1">
      <c r="A1547" s="1033">
        <v>5312200</v>
      </c>
      <c r="B1547" s="1033" t="s">
        <v>998</v>
      </c>
      <c r="C1547" s="1034" t="str">
        <f t="shared" si="338"/>
        <v/>
      </c>
      <c r="D1547" s="1033"/>
      <c r="E1547" s="1033"/>
      <c r="F1547" s="1034" t="str">
        <f t="shared" si="339"/>
        <v/>
      </c>
      <c r="G1547" s="1033"/>
      <c r="H1547" s="1033"/>
      <c r="I1547" s="1034" t="str">
        <f t="shared" si="340"/>
        <v/>
      </c>
      <c r="J1547" s="1033"/>
      <c r="K1547" s="1033"/>
      <c r="L1547" s="1034" t="str">
        <f t="shared" si="341"/>
        <v/>
      </c>
      <c r="M1547" s="1035"/>
      <c r="N1547" s="1035"/>
      <c r="O1547" s="1036" t="str">
        <f t="shared" si="342"/>
        <v/>
      </c>
      <c r="P1547" s="1033"/>
      <c r="Q1547" s="1033"/>
      <c r="R1547" s="1034" t="str">
        <f t="shared" si="343"/>
        <v/>
      </c>
      <c r="S1547" s="1033"/>
      <c r="T1547" s="1035"/>
      <c r="U1547" s="1034" t="str">
        <f t="shared" si="344"/>
        <v/>
      </c>
      <c r="V1547" s="1035"/>
      <c r="W1547" s="1035"/>
      <c r="X1547" s="1037" t="str">
        <f t="shared" si="348"/>
        <v>6</v>
      </c>
      <c r="Y1547" s="1035"/>
      <c r="Z1547" s="1035">
        <f t="shared" si="345"/>
        <v>6</v>
      </c>
      <c r="AA1547" s="1035"/>
      <c r="AB1547" s="1033" t="s">
        <v>2997</v>
      </c>
      <c r="AC1547" s="1021">
        <v>610401</v>
      </c>
      <c r="AD1547" s="1021" t="s">
        <v>1007</v>
      </c>
      <c r="AE1547" s="1022">
        <f>VLOOKUP(AC1547,[5]Hoja1!$A$10:$K$1393,11,0)</f>
        <v>0</v>
      </c>
      <c r="AF1547" s="1022"/>
      <c r="AG1547" s="1022">
        <f t="shared" si="346"/>
        <v>0</v>
      </c>
      <c r="AH1547" s="1022">
        <f t="shared" si="347"/>
        <v>0</v>
      </c>
      <c r="AK1547" s="448"/>
      <c r="AL1547" s="445"/>
    </row>
    <row r="1548" spans="1:38" s="467" customFormat="1" ht="12.75" customHeight="1">
      <c r="A1548" s="1033">
        <v>5312200</v>
      </c>
      <c r="B1548" s="1033" t="s">
        <v>998</v>
      </c>
      <c r="C1548" s="1034" t="str">
        <f t="shared" si="338"/>
        <v/>
      </c>
      <c r="D1548" s="1033"/>
      <c r="E1548" s="1033"/>
      <c r="F1548" s="1034" t="str">
        <f t="shared" si="339"/>
        <v/>
      </c>
      <c r="G1548" s="1033"/>
      <c r="H1548" s="1033"/>
      <c r="I1548" s="1034" t="str">
        <f t="shared" si="340"/>
        <v/>
      </c>
      <c r="J1548" s="1033"/>
      <c r="K1548" s="1033"/>
      <c r="L1548" s="1034" t="str">
        <f t="shared" si="341"/>
        <v/>
      </c>
      <c r="M1548" s="1035"/>
      <c r="N1548" s="1035"/>
      <c r="O1548" s="1036" t="str">
        <f t="shared" si="342"/>
        <v/>
      </c>
      <c r="P1548" s="1033"/>
      <c r="Q1548" s="1033"/>
      <c r="R1548" s="1034" t="str">
        <f t="shared" si="343"/>
        <v/>
      </c>
      <c r="S1548" s="1033"/>
      <c r="T1548" s="1035"/>
      <c r="U1548" s="1034" t="str">
        <f t="shared" si="344"/>
        <v/>
      </c>
      <c r="V1548" s="1035"/>
      <c r="W1548" s="1035"/>
      <c r="X1548" s="1037" t="str">
        <f t="shared" si="348"/>
        <v>6</v>
      </c>
      <c r="Y1548" s="1035"/>
      <c r="Z1548" s="1035">
        <f t="shared" si="345"/>
        <v>6</v>
      </c>
      <c r="AA1548" s="1035"/>
      <c r="AB1548" s="1033" t="s">
        <v>2997</v>
      </c>
      <c r="AC1548" s="1021">
        <v>610402</v>
      </c>
      <c r="AD1548" s="1021" t="s">
        <v>1008</v>
      </c>
      <c r="AE1548" s="1022">
        <f>VLOOKUP(AC1548,[5]Hoja1!$A$10:$K$1393,11,0)</f>
        <v>4625707</v>
      </c>
      <c r="AF1548" s="1022"/>
      <c r="AG1548" s="1022">
        <f t="shared" si="346"/>
        <v>4625707</v>
      </c>
      <c r="AH1548" s="1022">
        <f t="shared" si="347"/>
        <v>4626</v>
      </c>
      <c r="AK1548" s="448"/>
      <c r="AL1548" s="445"/>
    </row>
    <row r="1549" spans="1:38" s="467" customFormat="1" ht="12.75" customHeight="1">
      <c r="A1549" s="1033">
        <v>5312200</v>
      </c>
      <c r="B1549" s="1033" t="s">
        <v>998</v>
      </c>
      <c r="C1549" s="1034" t="str">
        <f t="shared" si="338"/>
        <v/>
      </c>
      <c r="D1549" s="1033"/>
      <c r="E1549" s="1033"/>
      <c r="F1549" s="1034" t="str">
        <f t="shared" si="339"/>
        <v/>
      </c>
      <c r="G1549" s="1033"/>
      <c r="H1549" s="1033"/>
      <c r="I1549" s="1034" t="str">
        <f t="shared" si="340"/>
        <v/>
      </c>
      <c r="J1549" s="1033"/>
      <c r="K1549" s="1033"/>
      <c r="L1549" s="1034" t="str">
        <f t="shared" si="341"/>
        <v/>
      </c>
      <c r="M1549" s="1035"/>
      <c r="N1549" s="1035"/>
      <c r="O1549" s="1036" t="str">
        <f t="shared" si="342"/>
        <v/>
      </c>
      <c r="P1549" s="1033"/>
      <c r="Q1549" s="1033"/>
      <c r="R1549" s="1034" t="str">
        <f t="shared" si="343"/>
        <v/>
      </c>
      <c r="S1549" s="1033"/>
      <c r="T1549" s="1035"/>
      <c r="U1549" s="1034" t="str">
        <f t="shared" si="344"/>
        <v/>
      </c>
      <c r="V1549" s="1035"/>
      <c r="W1549" s="1035"/>
      <c r="X1549" s="1037" t="str">
        <f t="shared" si="348"/>
        <v>6</v>
      </c>
      <c r="Y1549" s="1035"/>
      <c r="Z1549" s="1035">
        <f t="shared" si="345"/>
        <v>6</v>
      </c>
      <c r="AA1549" s="1035"/>
      <c r="AB1549" s="1033" t="s">
        <v>2997</v>
      </c>
      <c r="AC1549" s="1021">
        <v>610403</v>
      </c>
      <c r="AD1549" s="1021" t="s">
        <v>2465</v>
      </c>
      <c r="AE1549" s="1022">
        <f>VLOOKUP(AC1549,[5]Hoja1!$A$10:$K$1393,11,0)</f>
        <v>0</v>
      </c>
      <c r="AF1549" s="1022"/>
      <c r="AG1549" s="1022">
        <f t="shared" si="346"/>
        <v>0</v>
      </c>
      <c r="AH1549" s="1022">
        <f t="shared" si="347"/>
        <v>0</v>
      </c>
      <c r="AK1549" s="448"/>
      <c r="AL1549" s="445"/>
    </row>
    <row r="1550" spans="1:38" s="467" customFormat="1" ht="12.75" customHeight="1">
      <c r="A1550" s="1033">
        <v>5312200</v>
      </c>
      <c r="B1550" s="1033" t="s">
        <v>998</v>
      </c>
      <c r="C1550" s="1034" t="str">
        <f t="shared" si="338"/>
        <v/>
      </c>
      <c r="D1550" s="1033"/>
      <c r="E1550" s="1033"/>
      <c r="F1550" s="1034" t="str">
        <f t="shared" si="339"/>
        <v/>
      </c>
      <c r="G1550" s="1033"/>
      <c r="H1550" s="1033"/>
      <c r="I1550" s="1034" t="str">
        <f t="shared" si="340"/>
        <v/>
      </c>
      <c r="J1550" s="1033"/>
      <c r="K1550" s="1033"/>
      <c r="L1550" s="1034" t="str">
        <f t="shared" si="341"/>
        <v/>
      </c>
      <c r="M1550" s="1035"/>
      <c r="N1550" s="1035"/>
      <c r="O1550" s="1036" t="str">
        <f t="shared" si="342"/>
        <v/>
      </c>
      <c r="P1550" s="1033"/>
      <c r="Q1550" s="1033"/>
      <c r="R1550" s="1034" t="str">
        <f t="shared" si="343"/>
        <v/>
      </c>
      <c r="S1550" s="1033"/>
      <c r="T1550" s="1035"/>
      <c r="U1550" s="1034" t="str">
        <f t="shared" si="344"/>
        <v/>
      </c>
      <c r="V1550" s="1035"/>
      <c r="W1550" s="1035"/>
      <c r="X1550" s="1037" t="str">
        <f t="shared" si="348"/>
        <v>6</v>
      </c>
      <c r="Y1550" s="1035"/>
      <c r="Z1550" s="1035">
        <f t="shared" si="345"/>
        <v>6</v>
      </c>
      <c r="AA1550" s="1035"/>
      <c r="AB1550" s="1033" t="s">
        <v>2997</v>
      </c>
      <c r="AC1550" s="1021">
        <v>610404</v>
      </c>
      <c r="AD1550" s="1021" t="s">
        <v>2466</v>
      </c>
      <c r="AE1550" s="1022">
        <f>VLOOKUP(AC1550,[5]Hoja1!$A$10:$K$1393,11,0)</f>
        <v>0</v>
      </c>
      <c r="AF1550" s="1022"/>
      <c r="AG1550" s="1022">
        <f t="shared" si="346"/>
        <v>0</v>
      </c>
      <c r="AH1550" s="1022">
        <f t="shared" si="347"/>
        <v>0</v>
      </c>
      <c r="AK1550" s="448"/>
      <c r="AL1550" s="445"/>
    </row>
    <row r="1551" spans="1:38" s="467" customFormat="1" ht="12.75" customHeight="1">
      <c r="A1551" s="1033">
        <v>5312200</v>
      </c>
      <c r="B1551" s="1033" t="s">
        <v>998</v>
      </c>
      <c r="C1551" s="1034" t="str">
        <f t="shared" si="338"/>
        <v/>
      </c>
      <c r="D1551" s="1033"/>
      <c r="E1551" s="1033"/>
      <c r="F1551" s="1034" t="str">
        <f t="shared" si="339"/>
        <v/>
      </c>
      <c r="G1551" s="1033"/>
      <c r="H1551" s="1033"/>
      <c r="I1551" s="1034" t="str">
        <f t="shared" si="340"/>
        <v/>
      </c>
      <c r="J1551" s="1033"/>
      <c r="K1551" s="1033"/>
      <c r="L1551" s="1034" t="str">
        <f t="shared" si="341"/>
        <v/>
      </c>
      <c r="M1551" s="1035"/>
      <c r="N1551" s="1035"/>
      <c r="O1551" s="1036" t="str">
        <f t="shared" si="342"/>
        <v/>
      </c>
      <c r="P1551" s="1033"/>
      <c r="Q1551" s="1033"/>
      <c r="R1551" s="1034" t="str">
        <f t="shared" si="343"/>
        <v/>
      </c>
      <c r="S1551" s="1033"/>
      <c r="T1551" s="1035"/>
      <c r="U1551" s="1034" t="str">
        <f t="shared" si="344"/>
        <v/>
      </c>
      <c r="V1551" s="1035"/>
      <c r="W1551" s="1035"/>
      <c r="X1551" s="1037" t="str">
        <f t="shared" si="348"/>
        <v>6</v>
      </c>
      <c r="Y1551" s="1035"/>
      <c r="Z1551" s="1035">
        <f t="shared" si="345"/>
        <v>6</v>
      </c>
      <c r="AA1551" s="1035"/>
      <c r="AB1551" s="1033" t="s">
        <v>2997</v>
      </c>
      <c r="AC1551" s="1021">
        <v>610405</v>
      </c>
      <c r="AD1551" s="1021" t="s">
        <v>2467</v>
      </c>
      <c r="AE1551" s="1022">
        <f>VLOOKUP(AC1551,[5]Hoja1!$A$10:$K$1393,11,0)</f>
        <v>0</v>
      </c>
      <c r="AF1551" s="1022"/>
      <c r="AG1551" s="1022">
        <f t="shared" si="346"/>
        <v>0</v>
      </c>
      <c r="AH1551" s="1022">
        <f t="shared" si="347"/>
        <v>0</v>
      </c>
      <c r="AK1551" s="448"/>
      <c r="AL1551" s="445"/>
    </row>
    <row r="1552" spans="1:38" s="467" customFormat="1" ht="12.75" customHeight="1">
      <c r="A1552" s="1033">
        <v>5312200</v>
      </c>
      <c r="B1552" s="1033" t="s">
        <v>998</v>
      </c>
      <c r="C1552" s="1034" t="str">
        <f t="shared" si="338"/>
        <v/>
      </c>
      <c r="D1552" s="1033"/>
      <c r="E1552" s="1033"/>
      <c r="F1552" s="1034" t="str">
        <f t="shared" si="339"/>
        <v/>
      </c>
      <c r="G1552" s="1033"/>
      <c r="H1552" s="1033"/>
      <c r="I1552" s="1034" t="str">
        <f t="shared" si="340"/>
        <v/>
      </c>
      <c r="J1552" s="1033"/>
      <c r="K1552" s="1033"/>
      <c r="L1552" s="1034" t="str">
        <f t="shared" si="341"/>
        <v/>
      </c>
      <c r="M1552" s="1035"/>
      <c r="N1552" s="1035"/>
      <c r="O1552" s="1036" t="str">
        <f t="shared" si="342"/>
        <v/>
      </c>
      <c r="P1552" s="1033"/>
      <c r="Q1552" s="1033"/>
      <c r="R1552" s="1034" t="str">
        <f t="shared" si="343"/>
        <v/>
      </c>
      <c r="S1552" s="1033"/>
      <c r="T1552" s="1035"/>
      <c r="U1552" s="1034" t="str">
        <f t="shared" si="344"/>
        <v/>
      </c>
      <c r="V1552" s="1035"/>
      <c r="W1552" s="1035"/>
      <c r="X1552" s="1037" t="str">
        <f t="shared" si="348"/>
        <v>6</v>
      </c>
      <c r="Y1552" s="1035"/>
      <c r="Z1552" s="1035">
        <f t="shared" si="345"/>
        <v>6</v>
      </c>
      <c r="AA1552" s="1035"/>
      <c r="AB1552" s="1033" t="s">
        <v>2997</v>
      </c>
      <c r="AC1552" s="1021">
        <v>610406</v>
      </c>
      <c r="AD1552" s="1021" t="s">
        <v>2468</v>
      </c>
      <c r="AE1552" s="1022">
        <f>VLOOKUP(AC1552,[5]Hoja1!$A$10:$K$1393,11,0)</f>
        <v>34998965</v>
      </c>
      <c r="AF1552" s="1022"/>
      <c r="AG1552" s="1022">
        <f t="shared" si="346"/>
        <v>34998965</v>
      </c>
      <c r="AH1552" s="1022">
        <f t="shared" si="347"/>
        <v>34999</v>
      </c>
      <c r="AK1552" s="448"/>
      <c r="AL1552" s="445"/>
    </row>
    <row r="1553" spans="1:38" s="467" customFormat="1" ht="12.75" customHeight="1">
      <c r="A1553" s="1033">
        <v>5312200</v>
      </c>
      <c r="B1553" s="1033" t="s">
        <v>998</v>
      </c>
      <c r="C1553" s="1034" t="str">
        <f t="shared" si="338"/>
        <v/>
      </c>
      <c r="D1553" s="1033"/>
      <c r="E1553" s="1033"/>
      <c r="F1553" s="1034" t="str">
        <f t="shared" si="339"/>
        <v/>
      </c>
      <c r="G1553" s="1033"/>
      <c r="H1553" s="1033"/>
      <c r="I1553" s="1034" t="str">
        <f t="shared" si="340"/>
        <v/>
      </c>
      <c r="J1553" s="1033"/>
      <c r="K1553" s="1033"/>
      <c r="L1553" s="1034" t="str">
        <f t="shared" si="341"/>
        <v/>
      </c>
      <c r="M1553" s="1035"/>
      <c r="N1553" s="1035"/>
      <c r="O1553" s="1036" t="str">
        <f t="shared" si="342"/>
        <v/>
      </c>
      <c r="P1553" s="1033"/>
      <c r="Q1553" s="1033"/>
      <c r="R1553" s="1034" t="str">
        <f t="shared" si="343"/>
        <v/>
      </c>
      <c r="S1553" s="1033"/>
      <c r="T1553" s="1035"/>
      <c r="U1553" s="1034" t="str">
        <f t="shared" si="344"/>
        <v/>
      </c>
      <c r="V1553" s="1035"/>
      <c r="W1553" s="1035"/>
      <c r="X1553" s="1037" t="str">
        <f t="shared" si="348"/>
        <v>6</v>
      </c>
      <c r="Y1553" s="1035"/>
      <c r="Z1553" s="1035">
        <f t="shared" si="345"/>
        <v>6</v>
      </c>
      <c r="AA1553" s="1035"/>
      <c r="AB1553" s="1033" t="s">
        <v>2997</v>
      </c>
      <c r="AC1553" s="1021">
        <v>610407</v>
      </c>
      <c r="AD1553" s="1021" t="s">
        <v>916</v>
      </c>
      <c r="AE1553" s="1022">
        <f>VLOOKUP(AC1553,[5]Hoja1!$A$10:$K$1393,11,0)</f>
        <v>0</v>
      </c>
      <c r="AF1553" s="1022"/>
      <c r="AG1553" s="1022">
        <f t="shared" si="346"/>
        <v>0</v>
      </c>
      <c r="AH1553" s="1022">
        <f t="shared" si="347"/>
        <v>0</v>
      </c>
      <c r="AK1553" s="448"/>
      <c r="AL1553" s="445"/>
    </row>
    <row r="1554" spans="1:38" s="467" customFormat="1" ht="12.75" customHeight="1">
      <c r="A1554" s="1033">
        <v>5312200</v>
      </c>
      <c r="B1554" s="1033" t="s">
        <v>998</v>
      </c>
      <c r="C1554" s="1034" t="str">
        <f t="shared" si="338"/>
        <v/>
      </c>
      <c r="D1554" s="1033"/>
      <c r="E1554" s="1033"/>
      <c r="F1554" s="1034" t="str">
        <f t="shared" si="339"/>
        <v/>
      </c>
      <c r="G1554" s="1033"/>
      <c r="H1554" s="1033"/>
      <c r="I1554" s="1034" t="str">
        <f t="shared" si="340"/>
        <v/>
      </c>
      <c r="J1554" s="1033"/>
      <c r="K1554" s="1033"/>
      <c r="L1554" s="1034" t="str">
        <f t="shared" si="341"/>
        <v/>
      </c>
      <c r="M1554" s="1035"/>
      <c r="N1554" s="1035"/>
      <c r="O1554" s="1036" t="str">
        <f t="shared" si="342"/>
        <v/>
      </c>
      <c r="P1554" s="1033"/>
      <c r="Q1554" s="1033"/>
      <c r="R1554" s="1034" t="str">
        <f t="shared" si="343"/>
        <v/>
      </c>
      <c r="S1554" s="1033"/>
      <c r="T1554" s="1035"/>
      <c r="U1554" s="1034" t="str">
        <f t="shared" si="344"/>
        <v/>
      </c>
      <c r="V1554" s="1035"/>
      <c r="W1554" s="1035"/>
      <c r="X1554" s="1037" t="str">
        <f t="shared" si="348"/>
        <v>6</v>
      </c>
      <c r="Y1554" s="1035"/>
      <c r="Z1554" s="1035">
        <f t="shared" si="345"/>
        <v>6</v>
      </c>
      <c r="AA1554" s="1035"/>
      <c r="AB1554" s="1033" t="s">
        <v>2997</v>
      </c>
      <c r="AC1554" s="1021">
        <v>610408</v>
      </c>
      <c r="AD1554" s="1021" t="s">
        <v>917</v>
      </c>
      <c r="AE1554" s="1022">
        <f>VLOOKUP(AC1554,[5]Hoja1!$A$10:$K$1393,11,0)</f>
        <v>4992290</v>
      </c>
      <c r="AF1554" s="1022"/>
      <c r="AG1554" s="1022">
        <f t="shared" si="346"/>
        <v>4992290</v>
      </c>
      <c r="AH1554" s="1022">
        <f t="shared" si="347"/>
        <v>4992</v>
      </c>
      <c r="AK1554" s="448"/>
      <c r="AL1554" s="445"/>
    </row>
    <row r="1555" spans="1:38" s="467" customFormat="1" ht="12.75" customHeight="1">
      <c r="A1555" s="1033">
        <v>5312200</v>
      </c>
      <c r="B1555" s="1033" t="s">
        <v>998</v>
      </c>
      <c r="C1555" s="1034" t="str">
        <f t="shared" si="338"/>
        <v/>
      </c>
      <c r="D1555" s="1033"/>
      <c r="E1555" s="1033"/>
      <c r="F1555" s="1034" t="str">
        <f t="shared" si="339"/>
        <v/>
      </c>
      <c r="G1555" s="1033"/>
      <c r="H1555" s="1033"/>
      <c r="I1555" s="1034" t="str">
        <f t="shared" si="340"/>
        <v/>
      </c>
      <c r="J1555" s="1033"/>
      <c r="K1555" s="1033"/>
      <c r="L1555" s="1034" t="str">
        <f t="shared" si="341"/>
        <v/>
      </c>
      <c r="M1555" s="1035"/>
      <c r="N1555" s="1035"/>
      <c r="O1555" s="1036" t="str">
        <f t="shared" si="342"/>
        <v/>
      </c>
      <c r="P1555" s="1033"/>
      <c r="Q1555" s="1033"/>
      <c r="R1555" s="1034" t="str">
        <f t="shared" si="343"/>
        <v/>
      </c>
      <c r="S1555" s="1033"/>
      <c r="T1555" s="1035"/>
      <c r="U1555" s="1034" t="str">
        <f t="shared" si="344"/>
        <v/>
      </c>
      <c r="V1555" s="1035"/>
      <c r="W1555" s="1035"/>
      <c r="X1555" s="1037" t="str">
        <f t="shared" si="348"/>
        <v>6</v>
      </c>
      <c r="Y1555" s="1035"/>
      <c r="Z1555" s="1035">
        <f t="shared" si="345"/>
        <v>6</v>
      </c>
      <c r="AA1555" s="1035"/>
      <c r="AB1555" s="1033" t="s">
        <v>2997</v>
      </c>
      <c r="AC1555" s="1021">
        <v>610409</v>
      </c>
      <c r="AD1555" s="1021" t="s">
        <v>2469</v>
      </c>
      <c r="AE1555" s="1022">
        <f>VLOOKUP(AC1555,[5]Hoja1!$A$10:$K$1393,11,0)</f>
        <v>26602</v>
      </c>
      <c r="AF1555" s="1022"/>
      <c r="AG1555" s="1022">
        <f t="shared" si="346"/>
        <v>26602</v>
      </c>
      <c r="AH1555" s="1022">
        <f t="shared" si="347"/>
        <v>27</v>
      </c>
      <c r="AK1555" s="448"/>
      <c r="AL1555" s="445"/>
    </row>
    <row r="1556" spans="1:38" s="467" customFormat="1" ht="12.75" customHeight="1">
      <c r="A1556" s="1033">
        <v>5312200</v>
      </c>
      <c r="B1556" s="1033" t="s">
        <v>998</v>
      </c>
      <c r="C1556" s="1034" t="str">
        <f t="shared" si="338"/>
        <v/>
      </c>
      <c r="D1556" s="1033"/>
      <c r="E1556" s="1033"/>
      <c r="F1556" s="1034" t="str">
        <f t="shared" si="339"/>
        <v/>
      </c>
      <c r="G1556" s="1033"/>
      <c r="H1556" s="1033"/>
      <c r="I1556" s="1034" t="str">
        <f t="shared" si="340"/>
        <v/>
      </c>
      <c r="J1556" s="1033"/>
      <c r="K1556" s="1033"/>
      <c r="L1556" s="1034" t="str">
        <f t="shared" si="341"/>
        <v/>
      </c>
      <c r="M1556" s="1035"/>
      <c r="N1556" s="1035"/>
      <c r="O1556" s="1036" t="str">
        <f t="shared" si="342"/>
        <v/>
      </c>
      <c r="P1556" s="1033"/>
      <c r="Q1556" s="1033"/>
      <c r="R1556" s="1034" t="str">
        <f t="shared" si="343"/>
        <v/>
      </c>
      <c r="S1556" s="1033"/>
      <c r="T1556" s="1035"/>
      <c r="U1556" s="1034" t="str">
        <f t="shared" si="344"/>
        <v/>
      </c>
      <c r="V1556" s="1035"/>
      <c r="W1556" s="1035"/>
      <c r="X1556" s="1037" t="str">
        <f t="shared" si="348"/>
        <v>6</v>
      </c>
      <c r="Y1556" s="1035"/>
      <c r="Z1556" s="1035">
        <f t="shared" si="345"/>
        <v>6</v>
      </c>
      <c r="AA1556" s="1035"/>
      <c r="AB1556" s="1033" t="s">
        <v>2997</v>
      </c>
      <c r="AC1556" s="1021">
        <v>610410</v>
      </c>
      <c r="AD1556" s="1021" t="s">
        <v>2470</v>
      </c>
      <c r="AE1556" s="1022">
        <f>VLOOKUP(AC1556,[5]Hoja1!$A$10:$K$1393,11,0)</f>
        <v>2878249</v>
      </c>
      <c r="AF1556" s="1022"/>
      <c r="AG1556" s="1022">
        <f t="shared" si="346"/>
        <v>2878249</v>
      </c>
      <c r="AH1556" s="1022">
        <f t="shared" si="347"/>
        <v>2878</v>
      </c>
      <c r="AK1556" s="448"/>
      <c r="AL1556" s="445"/>
    </row>
    <row r="1557" spans="1:38" s="467" customFormat="1" ht="12.75" customHeight="1">
      <c r="A1557" s="1033">
        <v>5312200</v>
      </c>
      <c r="B1557" s="1033" t="s">
        <v>998</v>
      </c>
      <c r="C1557" s="1034" t="str">
        <f t="shared" si="338"/>
        <v/>
      </c>
      <c r="D1557" s="1033"/>
      <c r="E1557" s="1033"/>
      <c r="F1557" s="1034" t="str">
        <f t="shared" si="339"/>
        <v/>
      </c>
      <c r="G1557" s="1033"/>
      <c r="H1557" s="1033"/>
      <c r="I1557" s="1034" t="str">
        <f t="shared" si="340"/>
        <v/>
      </c>
      <c r="J1557" s="1033"/>
      <c r="K1557" s="1033"/>
      <c r="L1557" s="1034" t="str">
        <f t="shared" si="341"/>
        <v/>
      </c>
      <c r="M1557" s="1035"/>
      <c r="N1557" s="1035"/>
      <c r="O1557" s="1036" t="str">
        <f t="shared" si="342"/>
        <v/>
      </c>
      <c r="P1557" s="1033"/>
      <c r="Q1557" s="1033"/>
      <c r="R1557" s="1034" t="str">
        <f t="shared" si="343"/>
        <v/>
      </c>
      <c r="S1557" s="1033"/>
      <c r="T1557" s="1035"/>
      <c r="U1557" s="1034" t="str">
        <f t="shared" si="344"/>
        <v/>
      </c>
      <c r="V1557" s="1035"/>
      <c r="W1557" s="1035"/>
      <c r="X1557" s="1037" t="str">
        <f t="shared" si="348"/>
        <v>6</v>
      </c>
      <c r="Y1557" s="1035"/>
      <c r="Z1557" s="1035">
        <f t="shared" si="345"/>
        <v>6</v>
      </c>
      <c r="AA1557" s="1035"/>
      <c r="AB1557" s="1033" t="s">
        <v>2997</v>
      </c>
      <c r="AC1557" s="1021">
        <v>610411</v>
      </c>
      <c r="AD1557" s="1021" t="s">
        <v>2471</v>
      </c>
      <c r="AE1557" s="1022">
        <f>VLOOKUP(AC1557,[5]Hoja1!$A$10:$K$1393,11,0)</f>
        <v>42477880</v>
      </c>
      <c r="AF1557" s="1022"/>
      <c r="AG1557" s="1022">
        <f t="shared" si="346"/>
        <v>42477880</v>
      </c>
      <c r="AH1557" s="1022">
        <f t="shared" si="347"/>
        <v>42478</v>
      </c>
      <c r="AK1557" s="448"/>
      <c r="AL1557" s="445"/>
    </row>
    <row r="1558" spans="1:38" s="467" customFormat="1" ht="12.75" customHeight="1">
      <c r="A1558" s="1033">
        <v>5312200</v>
      </c>
      <c r="B1558" s="1033" t="s">
        <v>998</v>
      </c>
      <c r="C1558" s="1034" t="str">
        <f t="shared" si="338"/>
        <v/>
      </c>
      <c r="D1558" s="1033"/>
      <c r="E1558" s="1033"/>
      <c r="F1558" s="1034" t="str">
        <f t="shared" si="339"/>
        <v/>
      </c>
      <c r="G1558" s="1033"/>
      <c r="H1558" s="1033"/>
      <c r="I1558" s="1034" t="str">
        <f t="shared" si="340"/>
        <v/>
      </c>
      <c r="J1558" s="1033"/>
      <c r="K1558" s="1033"/>
      <c r="L1558" s="1034" t="str">
        <f t="shared" si="341"/>
        <v/>
      </c>
      <c r="M1558" s="1035"/>
      <c r="N1558" s="1035"/>
      <c r="O1558" s="1036" t="str">
        <f t="shared" si="342"/>
        <v/>
      </c>
      <c r="P1558" s="1033"/>
      <c r="Q1558" s="1033"/>
      <c r="R1558" s="1034" t="str">
        <f t="shared" si="343"/>
        <v/>
      </c>
      <c r="S1558" s="1033"/>
      <c r="T1558" s="1035"/>
      <c r="U1558" s="1034" t="str">
        <f t="shared" si="344"/>
        <v/>
      </c>
      <c r="V1558" s="1035"/>
      <c r="W1558" s="1035"/>
      <c r="X1558" s="1037" t="str">
        <f t="shared" si="348"/>
        <v>6</v>
      </c>
      <c r="Y1558" s="1035"/>
      <c r="Z1558" s="1035">
        <f t="shared" si="345"/>
        <v>6</v>
      </c>
      <c r="AA1558" s="1035"/>
      <c r="AB1558" s="1033" t="s">
        <v>2991</v>
      </c>
      <c r="AC1558" s="1021">
        <v>610412</v>
      </c>
      <c r="AD1558" s="1021" t="s">
        <v>2472</v>
      </c>
      <c r="AE1558" s="1022">
        <f>VLOOKUP(AC1558,[5]Hoja1!$A$10:$K$1393,11,0)</f>
        <v>0</v>
      </c>
      <c r="AF1558" s="1022"/>
      <c r="AG1558" s="1022">
        <f t="shared" si="346"/>
        <v>0</v>
      </c>
      <c r="AH1558" s="1022">
        <f t="shared" si="347"/>
        <v>0</v>
      </c>
      <c r="AK1558" s="448"/>
      <c r="AL1558" s="445"/>
    </row>
    <row r="1559" spans="1:38" s="467" customFormat="1" ht="12.75" customHeight="1">
      <c r="A1559" s="1033">
        <v>5312200</v>
      </c>
      <c r="B1559" s="1033" t="s">
        <v>998</v>
      </c>
      <c r="C1559" s="1034" t="str">
        <f t="shared" si="338"/>
        <v/>
      </c>
      <c r="D1559" s="1033"/>
      <c r="E1559" s="1033"/>
      <c r="F1559" s="1034" t="str">
        <f t="shared" si="339"/>
        <v/>
      </c>
      <c r="G1559" s="1033"/>
      <c r="H1559" s="1033"/>
      <c r="I1559" s="1034" t="str">
        <f t="shared" si="340"/>
        <v/>
      </c>
      <c r="J1559" s="1033"/>
      <c r="K1559" s="1033"/>
      <c r="L1559" s="1034" t="str">
        <f t="shared" si="341"/>
        <v/>
      </c>
      <c r="M1559" s="1035"/>
      <c r="N1559" s="1035"/>
      <c r="O1559" s="1036" t="str">
        <f t="shared" si="342"/>
        <v/>
      </c>
      <c r="P1559" s="1033"/>
      <c r="Q1559" s="1033"/>
      <c r="R1559" s="1034" t="str">
        <f t="shared" si="343"/>
        <v/>
      </c>
      <c r="S1559" s="1033"/>
      <c r="T1559" s="1035"/>
      <c r="U1559" s="1034" t="str">
        <f t="shared" si="344"/>
        <v/>
      </c>
      <c r="V1559" s="1035"/>
      <c r="W1559" s="1035"/>
      <c r="X1559" s="1037" t="str">
        <f t="shared" si="348"/>
        <v>6</v>
      </c>
      <c r="Y1559" s="1035"/>
      <c r="Z1559" s="1035">
        <f t="shared" si="345"/>
        <v>6</v>
      </c>
      <c r="AA1559" s="1035"/>
      <c r="AB1559" s="1033" t="s">
        <v>2997</v>
      </c>
      <c r="AC1559" s="1021">
        <v>610413</v>
      </c>
      <c r="AD1559" s="1021" t="s">
        <v>2473</v>
      </c>
      <c r="AE1559" s="1022">
        <f>VLOOKUP(AC1559,[5]Hoja1!$A$10:$K$1393,11,0)</f>
        <v>0</v>
      </c>
      <c r="AF1559" s="1022"/>
      <c r="AG1559" s="1022">
        <f t="shared" si="346"/>
        <v>0</v>
      </c>
      <c r="AH1559" s="1022">
        <f t="shared" si="347"/>
        <v>0</v>
      </c>
      <c r="AK1559" s="448"/>
      <c r="AL1559" s="445"/>
    </row>
    <row r="1560" spans="1:38" s="467" customFormat="1" ht="12.75" customHeight="1">
      <c r="A1560" s="1033">
        <v>5312200</v>
      </c>
      <c r="B1560" s="1033" t="s">
        <v>998</v>
      </c>
      <c r="C1560" s="1034" t="str">
        <f t="shared" si="338"/>
        <v/>
      </c>
      <c r="D1560" s="1033"/>
      <c r="E1560" s="1033"/>
      <c r="F1560" s="1034" t="str">
        <f t="shared" si="339"/>
        <v/>
      </c>
      <c r="G1560" s="1033"/>
      <c r="H1560" s="1033"/>
      <c r="I1560" s="1034" t="str">
        <f t="shared" si="340"/>
        <v/>
      </c>
      <c r="J1560" s="1033"/>
      <c r="K1560" s="1033"/>
      <c r="L1560" s="1034" t="str">
        <f t="shared" si="341"/>
        <v/>
      </c>
      <c r="M1560" s="1035"/>
      <c r="N1560" s="1035"/>
      <c r="O1560" s="1036" t="str">
        <f t="shared" si="342"/>
        <v/>
      </c>
      <c r="P1560" s="1033"/>
      <c r="Q1560" s="1033"/>
      <c r="R1560" s="1034" t="str">
        <f t="shared" si="343"/>
        <v/>
      </c>
      <c r="S1560" s="1033"/>
      <c r="T1560" s="1035"/>
      <c r="U1560" s="1034" t="str">
        <f t="shared" si="344"/>
        <v/>
      </c>
      <c r="V1560" s="1035"/>
      <c r="W1560" s="1035"/>
      <c r="X1560" s="1037" t="str">
        <f t="shared" si="348"/>
        <v>6</v>
      </c>
      <c r="Y1560" s="1035"/>
      <c r="Z1560" s="1035">
        <f t="shared" si="345"/>
        <v>6</v>
      </c>
      <c r="AA1560" s="1035"/>
      <c r="AB1560" s="1033" t="s">
        <v>2997</v>
      </c>
      <c r="AC1560" s="1021">
        <v>610414</v>
      </c>
      <c r="AD1560" s="1021" t="s">
        <v>2474</v>
      </c>
      <c r="AE1560" s="1022">
        <f>VLOOKUP(AC1560,[5]Hoja1!$A$10:$K$1393,11,0)</f>
        <v>7070561</v>
      </c>
      <c r="AF1560" s="1022"/>
      <c r="AG1560" s="1022">
        <f t="shared" si="346"/>
        <v>7070561</v>
      </c>
      <c r="AH1560" s="1022">
        <f t="shared" si="347"/>
        <v>7071</v>
      </c>
      <c r="AK1560" s="448"/>
      <c r="AL1560" s="445"/>
    </row>
    <row r="1561" spans="1:38" s="467" customFormat="1" ht="12.75" customHeight="1">
      <c r="A1561" s="1033">
        <v>5312200</v>
      </c>
      <c r="B1561" s="1033" t="s">
        <v>998</v>
      </c>
      <c r="C1561" s="1034" t="str">
        <f t="shared" si="338"/>
        <v/>
      </c>
      <c r="D1561" s="1033"/>
      <c r="E1561" s="1033"/>
      <c r="F1561" s="1034" t="str">
        <f t="shared" si="339"/>
        <v/>
      </c>
      <c r="G1561" s="1033"/>
      <c r="H1561" s="1033"/>
      <c r="I1561" s="1034" t="str">
        <f t="shared" si="340"/>
        <v/>
      </c>
      <c r="J1561" s="1033"/>
      <c r="K1561" s="1033"/>
      <c r="L1561" s="1034" t="str">
        <f t="shared" si="341"/>
        <v/>
      </c>
      <c r="M1561" s="1035"/>
      <c r="N1561" s="1035"/>
      <c r="O1561" s="1036" t="str">
        <f t="shared" si="342"/>
        <v/>
      </c>
      <c r="P1561" s="1033"/>
      <c r="Q1561" s="1033"/>
      <c r="R1561" s="1034" t="str">
        <f t="shared" si="343"/>
        <v/>
      </c>
      <c r="S1561" s="1033"/>
      <c r="T1561" s="1035"/>
      <c r="U1561" s="1034" t="str">
        <f t="shared" si="344"/>
        <v/>
      </c>
      <c r="V1561" s="1035"/>
      <c r="W1561" s="1035"/>
      <c r="X1561" s="1037" t="str">
        <f t="shared" si="348"/>
        <v>6</v>
      </c>
      <c r="Y1561" s="1035"/>
      <c r="Z1561" s="1035">
        <f t="shared" si="345"/>
        <v>6</v>
      </c>
      <c r="AA1561" s="1035"/>
      <c r="AB1561" s="1033" t="s">
        <v>2991</v>
      </c>
      <c r="AC1561" s="1021">
        <v>610415</v>
      </c>
      <c r="AD1561" s="1021" t="s">
        <v>922</v>
      </c>
      <c r="AE1561" s="1022">
        <f>VLOOKUP(AC1561,[5]Hoja1!$A$10:$K$1393,11,0)</f>
        <v>1253998</v>
      </c>
      <c r="AF1561" s="1022"/>
      <c r="AG1561" s="1022">
        <f t="shared" si="346"/>
        <v>1253998</v>
      </c>
      <c r="AH1561" s="1022">
        <f t="shared" si="347"/>
        <v>1254</v>
      </c>
      <c r="AK1561" s="448"/>
      <c r="AL1561" s="445"/>
    </row>
    <row r="1562" spans="1:38" s="467" customFormat="1" ht="12.75" customHeight="1">
      <c r="A1562" s="1033">
        <v>5312200</v>
      </c>
      <c r="B1562" s="1033" t="s">
        <v>998</v>
      </c>
      <c r="C1562" s="1034" t="str">
        <f t="shared" si="338"/>
        <v/>
      </c>
      <c r="D1562" s="1033"/>
      <c r="E1562" s="1033"/>
      <c r="F1562" s="1034" t="str">
        <f t="shared" si="339"/>
        <v/>
      </c>
      <c r="G1562" s="1033"/>
      <c r="H1562" s="1033"/>
      <c r="I1562" s="1034" t="str">
        <f t="shared" si="340"/>
        <v/>
      </c>
      <c r="J1562" s="1033"/>
      <c r="K1562" s="1033"/>
      <c r="L1562" s="1034" t="str">
        <f t="shared" si="341"/>
        <v/>
      </c>
      <c r="M1562" s="1035"/>
      <c r="N1562" s="1035"/>
      <c r="O1562" s="1036" t="str">
        <f t="shared" si="342"/>
        <v/>
      </c>
      <c r="P1562" s="1033"/>
      <c r="Q1562" s="1033"/>
      <c r="R1562" s="1034" t="str">
        <f t="shared" si="343"/>
        <v/>
      </c>
      <c r="S1562" s="1033"/>
      <c r="T1562" s="1035"/>
      <c r="U1562" s="1034" t="str">
        <f t="shared" si="344"/>
        <v/>
      </c>
      <c r="V1562" s="1035"/>
      <c r="W1562" s="1035"/>
      <c r="X1562" s="1037" t="str">
        <f t="shared" si="348"/>
        <v>6</v>
      </c>
      <c r="Y1562" s="1035"/>
      <c r="Z1562" s="1035">
        <f t="shared" si="345"/>
        <v>6</v>
      </c>
      <c r="AA1562" s="1035"/>
      <c r="AB1562" s="1033" t="s">
        <v>2991</v>
      </c>
      <c r="AC1562" s="1021">
        <v>610416</v>
      </c>
      <c r="AD1562" s="1021" t="s">
        <v>923</v>
      </c>
      <c r="AE1562" s="1022">
        <f>VLOOKUP(AC1562,[5]Hoja1!$A$10:$K$1393,11,0)</f>
        <v>3545133</v>
      </c>
      <c r="AF1562" s="1022"/>
      <c r="AG1562" s="1022">
        <f t="shared" si="346"/>
        <v>3545133</v>
      </c>
      <c r="AH1562" s="1022">
        <f t="shared" si="347"/>
        <v>3545</v>
      </c>
      <c r="AK1562" s="448"/>
      <c r="AL1562" s="445"/>
    </row>
    <row r="1563" spans="1:38" s="467" customFormat="1" ht="12.75" customHeight="1">
      <c r="A1563" s="1033"/>
      <c r="B1563" s="1033"/>
      <c r="C1563" s="1034" t="str">
        <f t="shared" si="338"/>
        <v/>
      </c>
      <c r="D1563" s="1033"/>
      <c r="E1563" s="1033"/>
      <c r="F1563" s="1034" t="str">
        <f t="shared" si="339"/>
        <v/>
      </c>
      <c r="G1563" s="1033"/>
      <c r="H1563" s="1033"/>
      <c r="I1563" s="1034" t="str">
        <f t="shared" si="340"/>
        <v/>
      </c>
      <c r="J1563" s="1033"/>
      <c r="K1563" s="1033"/>
      <c r="L1563" s="1034" t="str">
        <f t="shared" si="341"/>
        <v/>
      </c>
      <c r="M1563" s="1035"/>
      <c r="N1563" s="1035"/>
      <c r="O1563" s="1036" t="str">
        <f t="shared" si="342"/>
        <v/>
      </c>
      <c r="P1563" s="1033"/>
      <c r="Q1563" s="1033"/>
      <c r="R1563" s="1034" t="str">
        <f t="shared" si="343"/>
        <v/>
      </c>
      <c r="S1563" s="1033"/>
      <c r="T1563" s="1035"/>
      <c r="U1563" s="1034" t="str">
        <f t="shared" si="344"/>
        <v/>
      </c>
      <c r="V1563" s="1035"/>
      <c r="W1563" s="1035"/>
      <c r="X1563" s="1037" t="str">
        <f t="shared" si="348"/>
        <v>6</v>
      </c>
      <c r="Y1563" s="1035"/>
      <c r="Z1563" s="1035">
        <f t="shared" si="345"/>
        <v>6</v>
      </c>
      <c r="AA1563" s="1035"/>
      <c r="AB1563" s="1035"/>
      <c r="AC1563" s="1021">
        <v>610417</v>
      </c>
      <c r="AD1563" s="1021" t="s">
        <v>2475</v>
      </c>
      <c r="AE1563" s="1022">
        <v>0</v>
      </c>
      <c r="AF1563" s="1022"/>
      <c r="AG1563" s="1022">
        <f t="shared" si="346"/>
        <v>0</v>
      </c>
      <c r="AH1563" s="1022">
        <f t="shared" si="347"/>
        <v>0</v>
      </c>
      <c r="AK1563" s="448"/>
      <c r="AL1563" s="445"/>
    </row>
    <row r="1564" spans="1:38" s="467" customFormat="1" ht="12.75" customHeight="1">
      <c r="A1564" s="1033">
        <v>5312200</v>
      </c>
      <c r="B1564" s="1033" t="s">
        <v>998</v>
      </c>
      <c r="C1564" s="1034" t="str">
        <f t="shared" si="338"/>
        <v/>
      </c>
      <c r="D1564" s="1033"/>
      <c r="E1564" s="1033"/>
      <c r="F1564" s="1034" t="str">
        <f t="shared" si="339"/>
        <v/>
      </c>
      <c r="G1564" s="1033"/>
      <c r="H1564" s="1033"/>
      <c r="I1564" s="1034" t="str">
        <f t="shared" si="340"/>
        <v/>
      </c>
      <c r="J1564" s="1033"/>
      <c r="K1564" s="1033"/>
      <c r="L1564" s="1034" t="str">
        <f t="shared" si="341"/>
        <v/>
      </c>
      <c r="M1564" s="1035"/>
      <c r="N1564" s="1035"/>
      <c r="O1564" s="1036" t="str">
        <f t="shared" si="342"/>
        <v/>
      </c>
      <c r="P1564" s="1033"/>
      <c r="Q1564" s="1033"/>
      <c r="R1564" s="1034" t="str">
        <f t="shared" si="343"/>
        <v/>
      </c>
      <c r="S1564" s="1033"/>
      <c r="T1564" s="1035"/>
      <c r="U1564" s="1034" t="str">
        <f t="shared" si="344"/>
        <v/>
      </c>
      <c r="V1564" s="1035"/>
      <c r="W1564" s="1035"/>
      <c r="X1564" s="1037" t="str">
        <f t="shared" si="348"/>
        <v>6</v>
      </c>
      <c r="Y1564" s="1035"/>
      <c r="Z1564" s="1035">
        <f t="shared" si="345"/>
        <v>6</v>
      </c>
      <c r="AA1564" s="1035"/>
      <c r="AB1564" s="1033" t="s">
        <v>2997</v>
      </c>
      <c r="AC1564" s="1021">
        <v>610418</v>
      </c>
      <c r="AD1564" s="1021" t="s">
        <v>2476</v>
      </c>
      <c r="AE1564" s="1022">
        <f>VLOOKUP(AC1564,[5]Hoja1!$A$10:$K$1393,11,0)</f>
        <v>0</v>
      </c>
      <c r="AF1564" s="1022"/>
      <c r="AG1564" s="1022">
        <f t="shared" si="346"/>
        <v>0</v>
      </c>
      <c r="AH1564" s="1022">
        <f t="shared" si="347"/>
        <v>0</v>
      </c>
      <c r="AK1564" s="448"/>
      <c r="AL1564" s="445"/>
    </row>
    <row r="1565" spans="1:38" s="467" customFormat="1" ht="12.75" customHeight="1">
      <c r="A1565" s="1033">
        <v>5312200</v>
      </c>
      <c r="B1565" s="1033" t="s">
        <v>998</v>
      </c>
      <c r="C1565" s="1034" t="str">
        <f t="shared" si="338"/>
        <v/>
      </c>
      <c r="D1565" s="1033"/>
      <c r="E1565" s="1033"/>
      <c r="F1565" s="1034" t="str">
        <f t="shared" si="339"/>
        <v/>
      </c>
      <c r="G1565" s="1033"/>
      <c r="H1565" s="1033"/>
      <c r="I1565" s="1034" t="str">
        <f t="shared" si="340"/>
        <v/>
      </c>
      <c r="J1565" s="1033"/>
      <c r="K1565" s="1033"/>
      <c r="L1565" s="1034" t="str">
        <f t="shared" si="341"/>
        <v/>
      </c>
      <c r="M1565" s="1035"/>
      <c r="N1565" s="1035"/>
      <c r="O1565" s="1036" t="str">
        <f t="shared" si="342"/>
        <v/>
      </c>
      <c r="P1565" s="1033"/>
      <c r="Q1565" s="1033"/>
      <c r="R1565" s="1034" t="str">
        <f t="shared" si="343"/>
        <v/>
      </c>
      <c r="S1565" s="1033"/>
      <c r="T1565" s="1035"/>
      <c r="U1565" s="1034" t="str">
        <f t="shared" si="344"/>
        <v/>
      </c>
      <c r="V1565" s="1035"/>
      <c r="W1565" s="1035"/>
      <c r="X1565" s="1037" t="str">
        <f t="shared" si="348"/>
        <v>6</v>
      </c>
      <c r="Y1565" s="1035"/>
      <c r="Z1565" s="1035">
        <f t="shared" si="345"/>
        <v>6</v>
      </c>
      <c r="AA1565" s="1035"/>
      <c r="AB1565" s="1033" t="s">
        <v>2997</v>
      </c>
      <c r="AC1565" s="1021">
        <v>610419</v>
      </c>
      <c r="AD1565" s="1021" t="s">
        <v>2477</v>
      </c>
      <c r="AE1565" s="1022">
        <f>VLOOKUP(AC1565,[5]Hoja1!$A$10:$K$1393,11,0)</f>
        <v>0</v>
      </c>
      <c r="AF1565" s="1022"/>
      <c r="AG1565" s="1022">
        <f t="shared" si="346"/>
        <v>0</v>
      </c>
      <c r="AH1565" s="1022">
        <f t="shared" si="347"/>
        <v>0</v>
      </c>
      <c r="AK1565" s="448"/>
      <c r="AL1565" s="445"/>
    </row>
    <row r="1566" spans="1:38" s="467" customFormat="1" ht="12.75" customHeight="1">
      <c r="A1566" s="1033">
        <v>5312200</v>
      </c>
      <c r="B1566" s="1033" t="s">
        <v>998</v>
      </c>
      <c r="C1566" s="1034" t="str">
        <f t="shared" si="338"/>
        <v/>
      </c>
      <c r="D1566" s="1033"/>
      <c r="E1566" s="1033"/>
      <c r="F1566" s="1034" t="str">
        <f t="shared" si="339"/>
        <v/>
      </c>
      <c r="G1566" s="1033"/>
      <c r="H1566" s="1033"/>
      <c r="I1566" s="1034" t="str">
        <f t="shared" si="340"/>
        <v/>
      </c>
      <c r="J1566" s="1033"/>
      <c r="K1566" s="1033"/>
      <c r="L1566" s="1034" t="str">
        <f t="shared" si="341"/>
        <v/>
      </c>
      <c r="M1566" s="1035"/>
      <c r="N1566" s="1035"/>
      <c r="O1566" s="1036" t="str">
        <f t="shared" si="342"/>
        <v/>
      </c>
      <c r="P1566" s="1033"/>
      <c r="Q1566" s="1033"/>
      <c r="R1566" s="1034" t="str">
        <f t="shared" si="343"/>
        <v/>
      </c>
      <c r="S1566" s="1033"/>
      <c r="T1566" s="1035"/>
      <c r="U1566" s="1034" t="str">
        <f t="shared" si="344"/>
        <v/>
      </c>
      <c r="V1566" s="1035"/>
      <c r="W1566" s="1035"/>
      <c r="X1566" s="1037" t="str">
        <f t="shared" si="348"/>
        <v>6</v>
      </c>
      <c r="Y1566" s="1035"/>
      <c r="Z1566" s="1035">
        <f t="shared" si="345"/>
        <v>6</v>
      </c>
      <c r="AA1566" s="1035"/>
      <c r="AB1566" s="1033" t="s">
        <v>2991</v>
      </c>
      <c r="AC1566" s="1021">
        <v>610420</v>
      </c>
      <c r="AD1566" s="1021" t="s">
        <v>269</v>
      </c>
      <c r="AE1566" s="1022">
        <f>VLOOKUP(AC1566,[5]Hoja1!$A$10:$K$1393,11,0)</f>
        <v>52691</v>
      </c>
      <c r="AF1566" s="1022"/>
      <c r="AG1566" s="1022">
        <f t="shared" si="346"/>
        <v>52691</v>
      </c>
      <c r="AH1566" s="1022">
        <f t="shared" si="347"/>
        <v>53</v>
      </c>
      <c r="AK1566" s="448"/>
      <c r="AL1566" s="445"/>
    </row>
    <row r="1567" spans="1:38" s="467" customFormat="1" ht="12.75" customHeight="1">
      <c r="A1567" s="1033">
        <v>5312200</v>
      </c>
      <c r="B1567" s="1033" t="s">
        <v>998</v>
      </c>
      <c r="C1567" s="1034" t="str">
        <f t="shared" si="338"/>
        <v/>
      </c>
      <c r="D1567" s="1033"/>
      <c r="E1567" s="1033"/>
      <c r="F1567" s="1034" t="str">
        <f t="shared" si="339"/>
        <v/>
      </c>
      <c r="G1567" s="1033"/>
      <c r="H1567" s="1033"/>
      <c r="I1567" s="1034" t="str">
        <f t="shared" si="340"/>
        <v/>
      </c>
      <c r="J1567" s="1033"/>
      <c r="K1567" s="1033"/>
      <c r="L1567" s="1034" t="str">
        <f t="shared" si="341"/>
        <v/>
      </c>
      <c r="M1567" s="1035"/>
      <c r="N1567" s="1035"/>
      <c r="O1567" s="1036" t="str">
        <f t="shared" si="342"/>
        <v/>
      </c>
      <c r="P1567" s="1033"/>
      <c r="Q1567" s="1033"/>
      <c r="R1567" s="1034" t="str">
        <f t="shared" si="343"/>
        <v/>
      </c>
      <c r="S1567" s="1033"/>
      <c r="T1567" s="1035"/>
      <c r="U1567" s="1034" t="str">
        <f t="shared" si="344"/>
        <v/>
      </c>
      <c r="V1567" s="1035"/>
      <c r="W1567" s="1035"/>
      <c r="X1567" s="1037" t="str">
        <f t="shared" si="348"/>
        <v>6</v>
      </c>
      <c r="Y1567" s="1035"/>
      <c r="Z1567" s="1035">
        <f t="shared" si="345"/>
        <v>6</v>
      </c>
      <c r="AA1567" s="1035"/>
      <c r="AB1567" s="1033" t="s">
        <v>2997</v>
      </c>
      <c r="AC1567" s="1021">
        <v>610421</v>
      </c>
      <c r="AD1567" s="1021" t="s">
        <v>1859</v>
      </c>
      <c r="AE1567" s="1022">
        <f>VLOOKUP(AC1567,[5]Hoja1!$A$10:$K$1393,11,0)</f>
        <v>0</v>
      </c>
      <c r="AF1567" s="1022"/>
      <c r="AG1567" s="1022">
        <f t="shared" si="346"/>
        <v>0</v>
      </c>
      <c r="AH1567" s="1022">
        <f t="shared" si="347"/>
        <v>0</v>
      </c>
      <c r="AK1567" s="448"/>
      <c r="AL1567" s="445"/>
    </row>
    <row r="1568" spans="1:38" s="467" customFormat="1" ht="12.75" customHeight="1">
      <c r="A1568" s="1033">
        <v>5312200</v>
      </c>
      <c r="B1568" s="1033" t="s">
        <v>998</v>
      </c>
      <c r="C1568" s="1034"/>
      <c r="D1568" s="1033"/>
      <c r="E1568" s="1033"/>
      <c r="F1568" s="1034"/>
      <c r="G1568" s="1033"/>
      <c r="H1568" s="1033"/>
      <c r="I1568" s="1034"/>
      <c r="J1568" s="1033"/>
      <c r="K1568" s="1033"/>
      <c r="L1568" s="1034"/>
      <c r="M1568" s="1035"/>
      <c r="N1568" s="1035"/>
      <c r="O1568" s="1036"/>
      <c r="P1568" s="1033"/>
      <c r="Q1568" s="1033"/>
      <c r="R1568" s="1034"/>
      <c r="S1568" s="1033"/>
      <c r="T1568" s="1035"/>
      <c r="U1568" s="1034"/>
      <c r="V1568" s="1035"/>
      <c r="W1568" s="1035"/>
      <c r="X1568" s="1037"/>
      <c r="Y1568" s="1035"/>
      <c r="Z1568" s="1035">
        <f t="shared" si="345"/>
        <v>6</v>
      </c>
      <c r="AA1568" s="1035"/>
      <c r="AB1568" s="1033" t="s">
        <v>2991</v>
      </c>
      <c r="AC1568" s="1021">
        <v>610422</v>
      </c>
      <c r="AD1568" s="1021" t="s">
        <v>2478</v>
      </c>
      <c r="AE1568" s="1022">
        <f>VLOOKUP(AC1568,[5]Hoja1!$A$10:$K$1393,11,0)</f>
        <v>0</v>
      </c>
      <c r="AF1568" s="1022"/>
      <c r="AG1568" s="1022">
        <f t="shared" si="346"/>
        <v>0</v>
      </c>
      <c r="AH1568" s="1022">
        <f t="shared" si="347"/>
        <v>0</v>
      </c>
      <c r="AK1568" s="448"/>
      <c r="AL1568" s="445"/>
    </row>
    <row r="1569" spans="1:38" s="467" customFormat="1" ht="12.75" customHeight="1">
      <c r="A1569" s="1033">
        <v>5312200</v>
      </c>
      <c r="B1569" s="1033" t="s">
        <v>998</v>
      </c>
      <c r="C1569" s="1034"/>
      <c r="D1569" s="1033"/>
      <c r="E1569" s="1033"/>
      <c r="F1569" s="1034"/>
      <c r="G1569" s="1033"/>
      <c r="H1569" s="1033"/>
      <c r="I1569" s="1034"/>
      <c r="J1569" s="1033"/>
      <c r="K1569" s="1033"/>
      <c r="L1569" s="1034"/>
      <c r="M1569" s="1035"/>
      <c r="N1569" s="1035"/>
      <c r="O1569" s="1036"/>
      <c r="P1569" s="1033"/>
      <c r="Q1569" s="1033"/>
      <c r="R1569" s="1034"/>
      <c r="S1569" s="1033"/>
      <c r="T1569" s="1035"/>
      <c r="U1569" s="1034"/>
      <c r="V1569" s="1035"/>
      <c r="W1569" s="1035"/>
      <c r="X1569" s="1037"/>
      <c r="Y1569" s="1035"/>
      <c r="Z1569" s="1035">
        <f t="shared" si="345"/>
        <v>6</v>
      </c>
      <c r="AA1569" s="1035"/>
      <c r="AB1569" s="1033" t="s">
        <v>2991</v>
      </c>
      <c r="AC1569" s="1021">
        <v>610423</v>
      </c>
      <c r="AD1569" s="1021" t="s">
        <v>2479</v>
      </c>
      <c r="AE1569" s="1022">
        <f>VLOOKUP(AC1569,[5]Hoja1!$A$10:$K$1393,11,0)</f>
        <v>-767925</v>
      </c>
      <c r="AF1569" s="1022"/>
      <c r="AG1569" s="1022">
        <f t="shared" si="346"/>
        <v>-767925</v>
      </c>
      <c r="AH1569" s="1022">
        <f t="shared" si="347"/>
        <v>-768</v>
      </c>
      <c r="AK1569" s="448"/>
      <c r="AL1569" s="445"/>
    </row>
    <row r="1570" spans="1:38" s="467" customFormat="1" ht="12.75" customHeight="1">
      <c r="A1570" s="1033">
        <v>5312200</v>
      </c>
      <c r="B1570" s="1033" t="s">
        <v>998</v>
      </c>
      <c r="C1570" s="1034"/>
      <c r="D1570" s="1033"/>
      <c r="E1570" s="1033"/>
      <c r="F1570" s="1034"/>
      <c r="G1570" s="1033"/>
      <c r="H1570" s="1033"/>
      <c r="I1570" s="1034"/>
      <c r="J1570" s="1033"/>
      <c r="K1570" s="1033"/>
      <c r="L1570" s="1034"/>
      <c r="M1570" s="1035"/>
      <c r="N1570" s="1035"/>
      <c r="O1570" s="1036"/>
      <c r="P1570" s="1033"/>
      <c r="Q1570" s="1033"/>
      <c r="R1570" s="1034"/>
      <c r="S1570" s="1033"/>
      <c r="T1570" s="1035"/>
      <c r="U1570" s="1034"/>
      <c r="V1570" s="1035"/>
      <c r="W1570" s="1035"/>
      <c r="X1570" s="1037"/>
      <c r="Y1570" s="1035"/>
      <c r="Z1570" s="1035">
        <f t="shared" si="345"/>
        <v>6</v>
      </c>
      <c r="AA1570" s="1035"/>
      <c r="AB1570" s="1033" t="s">
        <v>2997</v>
      </c>
      <c r="AC1570" s="1021">
        <v>610424</v>
      </c>
      <c r="AD1570" s="1021" t="s">
        <v>1007</v>
      </c>
      <c r="AE1570" s="1022">
        <f>VLOOKUP(AC1570,[5]Hoja1!$A$10:$K$1393,11,0)</f>
        <v>0</v>
      </c>
      <c r="AF1570" s="1022"/>
      <c r="AG1570" s="1022">
        <f t="shared" si="346"/>
        <v>0</v>
      </c>
      <c r="AH1570" s="1022">
        <f t="shared" si="347"/>
        <v>0</v>
      </c>
      <c r="AK1570" s="448"/>
      <c r="AL1570" s="445"/>
    </row>
    <row r="1571" spans="1:38" s="467" customFormat="1" ht="12.75" customHeight="1">
      <c r="A1571" s="1033">
        <v>5312200</v>
      </c>
      <c r="B1571" s="1033" t="s">
        <v>998</v>
      </c>
      <c r="C1571" s="1034"/>
      <c r="D1571" s="1033"/>
      <c r="E1571" s="1033"/>
      <c r="F1571" s="1034"/>
      <c r="G1571" s="1033"/>
      <c r="H1571" s="1033"/>
      <c r="I1571" s="1034"/>
      <c r="J1571" s="1033"/>
      <c r="K1571" s="1033"/>
      <c r="L1571" s="1034"/>
      <c r="M1571" s="1035"/>
      <c r="N1571" s="1035"/>
      <c r="O1571" s="1036"/>
      <c r="P1571" s="1033"/>
      <c r="Q1571" s="1033"/>
      <c r="R1571" s="1034"/>
      <c r="S1571" s="1033"/>
      <c r="T1571" s="1035"/>
      <c r="U1571" s="1034"/>
      <c r="V1571" s="1035"/>
      <c r="W1571" s="1035"/>
      <c r="X1571" s="1037"/>
      <c r="Y1571" s="1035"/>
      <c r="Z1571" s="1035">
        <f t="shared" si="345"/>
        <v>6</v>
      </c>
      <c r="AA1571" s="1035"/>
      <c r="AB1571" s="1033" t="s">
        <v>2991</v>
      </c>
      <c r="AC1571" s="1021">
        <v>610425</v>
      </c>
      <c r="AD1571" s="1021" t="s">
        <v>1205</v>
      </c>
      <c r="AE1571" s="1022">
        <f>VLOOKUP(AC1571,[5]Hoja1!$A$10:$K$1393,11,0)</f>
        <v>17158102</v>
      </c>
      <c r="AF1571" s="1022"/>
      <c r="AG1571" s="1022">
        <f t="shared" si="346"/>
        <v>17158102</v>
      </c>
      <c r="AH1571" s="1022">
        <f t="shared" si="347"/>
        <v>17158</v>
      </c>
      <c r="AK1571" s="448"/>
      <c r="AL1571" s="445"/>
    </row>
    <row r="1572" spans="1:38" s="467" customFormat="1" ht="12.75" customHeight="1">
      <c r="A1572" s="1033">
        <v>5312200</v>
      </c>
      <c r="B1572" s="1033" t="s">
        <v>998</v>
      </c>
      <c r="C1572" s="1034"/>
      <c r="D1572" s="1033"/>
      <c r="E1572" s="1033"/>
      <c r="F1572" s="1034"/>
      <c r="G1572" s="1033"/>
      <c r="H1572" s="1033"/>
      <c r="I1572" s="1034"/>
      <c r="J1572" s="1033"/>
      <c r="K1572" s="1033"/>
      <c r="L1572" s="1034"/>
      <c r="M1572" s="1035"/>
      <c r="N1572" s="1035"/>
      <c r="O1572" s="1036"/>
      <c r="P1572" s="1033"/>
      <c r="Q1572" s="1033"/>
      <c r="R1572" s="1034"/>
      <c r="S1572" s="1033"/>
      <c r="T1572" s="1035"/>
      <c r="U1572" s="1034"/>
      <c r="V1572" s="1035"/>
      <c r="W1572" s="1035"/>
      <c r="X1572" s="1037"/>
      <c r="Y1572" s="1035"/>
      <c r="Z1572" s="1035">
        <f t="shared" ref="Z1572:Z1636" si="349">VALUE(LEFT(AC1572,1))</f>
        <v>6</v>
      </c>
      <c r="AA1572" s="1035"/>
      <c r="AB1572" s="1033" t="s">
        <v>2991</v>
      </c>
      <c r="AC1572" s="1021">
        <v>610426</v>
      </c>
      <c r="AD1572" s="1021" t="s">
        <v>2480</v>
      </c>
      <c r="AE1572" s="1022">
        <f>VLOOKUP(AC1572,[5]Hoja1!$A$10:$K$1393,11,0)</f>
        <v>0</v>
      </c>
      <c r="AF1572" s="1022"/>
      <c r="AG1572" s="1022">
        <f t="shared" ref="AG1572:AG1636" si="350">AE1572+AF1572</f>
        <v>0</v>
      </c>
      <c r="AH1572" s="1022">
        <f t="shared" ref="AH1572:AH1636" si="351">ROUND((AE1572+AF1572)/$AH$2,0)</f>
        <v>0</v>
      </c>
      <c r="AK1572" s="448"/>
      <c r="AL1572" s="445"/>
    </row>
    <row r="1573" spans="1:38" s="467" customFormat="1" ht="12.75" customHeight="1">
      <c r="A1573" s="1033">
        <v>5312200</v>
      </c>
      <c r="B1573" s="1033" t="s">
        <v>998</v>
      </c>
      <c r="C1573" s="1034"/>
      <c r="D1573" s="1033"/>
      <c r="E1573" s="1033"/>
      <c r="F1573" s="1034"/>
      <c r="G1573" s="1033"/>
      <c r="H1573" s="1033"/>
      <c r="I1573" s="1034"/>
      <c r="J1573" s="1033"/>
      <c r="K1573" s="1033"/>
      <c r="L1573" s="1034"/>
      <c r="M1573" s="1035"/>
      <c r="N1573" s="1035"/>
      <c r="O1573" s="1036"/>
      <c r="P1573" s="1033"/>
      <c r="Q1573" s="1033"/>
      <c r="R1573" s="1034"/>
      <c r="S1573" s="1033"/>
      <c r="T1573" s="1035"/>
      <c r="U1573" s="1034"/>
      <c r="V1573" s="1035"/>
      <c r="W1573" s="1035"/>
      <c r="X1573" s="1037"/>
      <c r="Y1573" s="1035"/>
      <c r="Z1573" s="1035">
        <f t="shared" si="349"/>
        <v>6</v>
      </c>
      <c r="AA1573" s="1035"/>
      <c r="AB1573" s="1033" t="s">
        <v>2991</v>
      </c>
      <c r="AC1573" s="1021">
        <v>610427</v>
      </c>
      <c r="AD1573" s="1021" t="s">
        <v>1084</v>
      </c>
      <c r="AE1573" s="1022">
        <f>VLOOKUP(AC1573,[5]Hoja1!$A$10:$K$1393,11,0)</f>
        <v>0</v>
      </c>
      <c r="AF1573" s="1022"/>
      <c r="AG1573" s="1022">
        <f t="shared" si="350"/>
        <v>0</v>
      </c>
      <c r="AH1573" s="1022">
        <f t="shared" si="351"/>
        <v>0</v>
      </c>
      <c r="AK1573" s="448"/>
      <c r="AL1573" s="445"/>
    </row>
    <row r="1574" spans="1:38" s="467" customFormat="1" ht="12.75" customHeight="1">
      <c r="A1574" s="1033">
        <v>5312200</v>
      </c>
      <c r="B1574" s="1033" t="s">
        <v>998</v>
      </c>
      <c r="C1574" s="1034"/>
      <c r="D1574" s="1033"/>
      <c r="E1574" s="1033"/>
      <c r="F1574" s="1034"/>
      <c r="G1574" s="1033"/>
      <c r="H1574" s="1033"/>
      <c r="I1574" s="1034"/>
      <c r="J1574" s="1033"/>
      <c r="K1574" s="1033"/>
      <c r="L1574" s="1034"/>
      <c r="M1574" s="1035"/>
      <c r="N1574" s="1035"/>
      <c r="O1574" s="1036"/>
      <c r="P1574" s="1033"/>
      <c r="Q1574" s="1033"/>
      <c r="R1574" s="1034"/>
      <c r="S1574" s="1033"/>
      <c r="T1574" s="1035"/>
      <c r="U1574" s="1034"/>
      <c r="V1574" s="1035"/>
      <c r="W1574" s="1035"/>
      <c r="X1574" s="1037"/>
      <c r="Y1574" s="1035"/>
      <c r="Z1574" s="1035">
        <f t="shared" si="349"/>
        <v>6</v>
      </c>
      <c r="AA1574" s="1035"/>
      <c r="AB1574" s="1033" t="s">
        <v>2997</v>
      </c>
      <c r="AC1574" s="1021">
        <v>610428</v>
      </c>
      <c r="AD1574" s="1021" t="s">
        <v>868</v>
      </c>
      <c r="AE1574" s="1022">
        <f>VLOOKUP(AC1574,[5]Hoja1!$A$10:$K$1393,11,0)</f>
        <v>20547015</v>
      </c>
      <c r="AF1574" s="1022"/>
      <c r="AG1574" s="1022">
        <f t="shared" si="350"/>
        <v>20547015</v>
      </c>
      <c r="AH1574" s="1022">
        <f t="shared" si="351"/>
        <v>20547</v>
      </c>
      <c r="AK1574" s="448"/>
      <c r="AL1574" s="445"/>
    </row>
    <row r="1575" spans="1:38" s="467" customFormat="1" ht="12.75" customHeight="1">
      <c r="A1575" s="1033">
        <v>5312200</v>
      </c>
      <c r="B1575" s="1033" t="s">
        <v>998</v>
      </c>
      <c r="C1575" s="1034"/>
      <c r="D1575" s="1033"/>
      <c r="E1575" s="1033"/>
      <c r="F1575" s="1034"/>
      <c r="G1575" s="1033"/>
      <c r="H1575" s="1033"/>
      <c r="I1575" s="1034"/>
      <c r="J1575" s="1033"/>
      <c r="K1575" s="1033"/>
      <c r="L1575" s="1034"/>
      <c r="M1575" s="1035"/>
      <c r="N1575" s="1035"/>
      <c r="O1575" s="1036"/>
      <c r="P1575" s="1033"/>
      <c r="Q1575" s="1033"/>
      <c r="R1575" s="1034"/>
      <c r="S1575" s="1033"/>
      <c r="T1575" s="1035"/>
      <c r="U1575" s="1034"/>
      <c r="V1575" s="1035"/>
      <c r="W1575" s="1035"/>
      <c r="X1575" s="1037"/>
      <c r="Y1575" s="1035"/>
      <c r="Z1575" s="1035">
        <f t="shared" si="349"/>
        <v>6</v>
      </c>
      <c r="AA1575" s="1035"/>
      <c r="AB1575" s="1033" t="s">
        <v>2991</v>
      </c>
      <c r="AC1575" s="1021">
        <v>610429</v>
      </c>
      <c r="AD1575" s="1021" t="s">
        <v>2481</v>
      </c>
      <c r="AE1575" s="1022">
        <f>VLOOKUP(AC1575,[5]Hoja1!$A$10:$K$1393,11,0)</f>
        <v>27251437</v>
      </c>
      <c r="AF1575" s="1022"/>
      <c r="AG1575" s="1022">
        <f t="shared" si="350"/>
        <v>27251437</v>
      </c>
      <c r="AH1575" s="1022">
        <f t="shared" si="351"/>
        <v>27251</v>
      </c>
      <c r="AK1575" s="448"/>
      <c r="AL1575" s="445"/>
    </row>
    <row r="1576" spans="1:38" s="467" customFormat="1" ht="12.75" customHeight="1">
      <c r="A1576" s="1033">
        <v>5312200</v>
      </c>
      <c r="B1576" s="1033" t="s">
        <v>998</v>
      </c>
      <c r="C1576" s="1034"/>
      <c r="D1576" s="1033"/>
      <c r="E1576" s="1033"/>
      <c r="F1576" s="1034"/>
      <c r="G1576" s="1033"/>
      <c r="H1576" s="1033"/>
      <c r="I1576" s="1034"/>
      <c r="J1576" s="1033"/>
      <c r="K1576" s="1033"/>
      <c r="L1576" s="1034"/>
      <c r="M1576" s="1035"/>
      <c r="N1576" s="1035"/>
      <c r="O1576" s="1036"/>
      <c r="P1576" s="1033"/>
      <c r="Q1576" s="1033"/>
      <c r="R1576" s="1034"/>
      <c r="S1576" s="1033"/>
      <c r="T1576" s="1035"/>
      <c r="U1576" s="1034"/>
      <c r="V1576" s="1035"/>
      <c r="W1576" s="1035"/>
      <c r="X1576" s="1037"/>
      <c r="Y1576" s="1035"/>
      <c r="Z1576" s="1035">
        <f t="shared" si="349"/>
        <v>6</v>
      </c>
      <c r="AA1576" s="1035"/>
      <c r="AB1576" s="1033" t="s">
        <v>2991</v>
      </c>
      <c r="AC1576" s="1021">
        <v>610430</v>
      </c>
      <c r="AD1576" s="1021" t="s">
        <v>1025</v>
      </c>
      <c r="AE1576" s="1022">
        <f>VLOOKUP(AC1576,[5]Hoja1!$A$10:$K$1393,11,0)</f>
        <v>5996825</v>
      </c>
      <c r="AF1576" s="1022"/>
      <c r="AG1576" s="1022">
        <f t="shared" si="350"/>
        <v>5996825</v>
      </c>
      <c r="AH1576" s="1022">
        <f t="shared" si="351"/>
        <v>5997</v>
      </c>
      <c r="AK1576" s="448"/>
      <c r="AL1576" s="445"/>
    </row>
    <row r="1577" spans="1:38" s="467" customFormat="1" ht="12.75" customHeight="1">
      <c r="A1577" s="1033">
        <v>5312200</v>
      </c>
      <c r="B1577" s="1033" t="s">
        <v>998</v>
      </c>
      <c r="C1577" s="1034"/>
      <c r="D1577" s="1033"/>
      <c r="E1577" s="1033"/>
      <c r="F1577" s="1034"/>
      <c r="G1577" s="1033"/>
      <c r="H1577" s="1033"/>
      <c r="I1577" s="1034"/>
      <c r="J1577" s="1033"/>
      <c r="K1577" s="1033"/>
      <c r="L1577" s="1034"/>
      <c r="M1577" s="1035"/>
      <c r="N1577" s="1035"/>
      <c r="O1577" s="1036"/>
      <c r="P1577" s="1033"/>
      <c r="Q1577" s="1033"/>
      <c r="R1577" s="1034"/>
      <c r="S1577" s="1033"/>
      <c r="T1577" s="1035"/>
      <c r="U1577" s="1034"/>
      <c r="V1577" s="1035"/>
      <c r="W1577" s="1035"/>
      <c r="X1577" s="1037"/>
      <c r="Y1577" s="1035"/>
      <c r="Z1577" s="1035">
        <f t="shared" si="349"/>
        <v>6</v>
      </c>
      <c r="AA1577" s="1035"/>
      <c r="AB1577" s="1033" t="s">
        <v>2991</v>
      </c>
      <c r="AC1577" s="1021">
        <v>610431</v>
      </c>
      <c r="AD1577" s="1021" t="s">
        <v>2482</v>
      </c>
      <c r="AE1577" s="1022">
        <f>VLOOKUP(AC1577,[5]Hoja1!$A$10:$K$1393,11,0)</f>
        <v>10013848</v>
      </c>
      <c r="AF1577" s="1022"/>
      <c r="AG1577" s="1022">
        <f t="shared" si="350"/>
        <v>10013848</v>
      </c>
      <c r="AH1577" s="1022">
        <f t="shared" si="351"/>
        <v>10014</v>
      </c>
      <c r="AK1577" s="448"/>
      <c r="AL1577" s="445"/>
    </row>
    <row r="1578" spans="1:38" s="467" customFormat="1" ht="12.75" customHeight="1">
      <c r="A1578" s="1033">
        <v>5312200</v>
      </c>
      <c r="B1578" s="1033" t="s">
        <v>998</v>
      </c>
      <c r="C1578" s="1034"/>
      <c r="D1578" s="1033"/>
      <c r="E1578" s="1033"/>
      <c r="F1578" s="1034"/>
      <c r="G1578" s="1033"/>
      <c r="H1578" s="1033"/>
      <c r="I1578" s="1034"/>
      <c r="J1578" s="1033"/>
      <c r="K1578" s="1033"/>
      <c r="L1578" s="1034"/>
      <c r="M1578" s="1035"/>
      <c r="N1578" s="1035"/>
      <c r="O1578" s="1036"/>
      <c r="P1578" s="1033"/>
      <c r="Q1578" s="1033"/>
      <c r="R1578" s="1034"/>
      <c r="S1578" s="1033"/>
      <c r="T1578" s="1035"/>
      <c r="U1578" s="1034"/>
      <c r="V1578" s="1035"/>
      <c r="W1578" s="1035"/>
      <c r="X1578" s="1037"/>
      <c r="Y1578" s="1035"/>
      <c r="Z1578" s="1035">
        <f t="shared" si="349"/>
        <v>6</v>
      </c>
      <c r="AA1578" s="1035"/>
      <c r="AB1578" s="1033" t="s">
        <v>2997</v>
      </c>
      <c r="AC1578" s="1021">
        <v>610432</v>
      </c>
      <c r="AD1578" s="1021" t="s">
        <v>885</v>
      </c>
      <c r="AE1578" s="1022">
        <f>VLOOKUP(AC1578,[5]Hoja1!$A$10:$K$1393,11,0)</f>
        <v>0</v>
      </c>
      <c r="AF1578" s="1022"/>
      <c r="AG1578" s="1022">
        <f t="shared" si="350"/>
        <v>0</v>
      </c>
      <c r="AH1578" s="1022">
        <f t="shared" si="351"/>
        <v>0</v>
      </c>
      <c r="AK1578" s="448"/>
      <c r="AL1578" s="445"/>
    </row>
    <row r="1579" spans="1:38" s="467" customFormat="1" ht="12.75" customHeight="1">
      <c r="A1579" s="1033">
        <v>5312200</v>
      </c>
      <c r="B1579" s="1033" t="s">
        <v>998</v>
      </c>
      <c r="C1579" s="1034"/>
      <c r="D1579" s="1033"/>
      <c r="E1579" s="1033"/>
      <c r="F1579" s="1034"/>
      <c r="G1579" s="1033"/>
      <c r="H1579" s="1033"/>
      <c r="I1579" s="1034"/>
      <c r="J1579" s="1033"/>
      <c r="K1579" s="1033"/>
      <c r="L1579" s="1034"/>
      <c r="M1579" s="1035"/>
      <c r="N1579" s="1035"/>
      <c r="O1579" s="1036"/>
      <c r="P1579" s="1033"/>
      <c r="Q1579" s="1033"/>
      <c r="R1579" s="1034"/>
      <c r="S1579" s="1033"/>
      <c r="T1579" s="1035"/>
      <c r="U1579" s="1034"/>
      <c r="V1579" s="1035"/>
      <c r="W1579" s="1035"/>
      <c r="X1579" s="1037"/>
      <c r="Y1579" s="1035"/>
      <c r="Z1579" s="1035">
        <f t="shared" si="349"/>
        <v>6</v>
      </c>
      <c r="AA1579" s="1035"/>
      <c r="AB1579" s="1033" t="s">
        <v>2997</v>
      </c>
      <c r="AC1579" s="1021">
        <v>610433</v>
      </c>
      <c r="AD1579" s="1021" t="s">
        <v>2638</v>
      </c>
      <c r="AE1579" s="1022">
        <f>VLOOKUP(AC1579,[5]Hoja1!$A$10:$K$1393,11,0)</f>
        <v>63155567</v>
      </c>
      <c r="AF1579" s="1022"/>
      <c r="AG1579" s="1022">
        <f t="shared" si="350"/>
        <v>63155567</v>
      </c>
      <c r="AH1579" s="1022">
        <f t="shared" si="351"/>
        <v>63156</v>
      </c>
      <c r="AK1579" s="448"/>
      <c r="AL1579" s="445"/>
    </row>
    <row r="1580" spans="1:38" s="467" customFormat="1" ht="12.75" customHeight="1">
      <c r="A1580" s="1033">
        <v>5312200</v>
      </c>
      <c r="B1580" s="1033" t="s">
        <v>998</v>
      </c>
      <c r="C1580" s="1034" t="str">
        <f t="shared" si="338"/>
        <v/>
      </c>
      <c r="D1580" s="1033"/>
      <c r="E1580" s="1033"/>
      <c r="F1580" s="1034" t="str">
        <f t="shared" si="339"/>
        <v/>
      </c>
      <c r="G1580" s="1033"/>
      <c r="H1580" s="1033"/>
      <c r="I1580" s="1034" t="str">
        <f t="shared" si="340"/>
        <v/>
      </c>
      <c r="J1580" s="1033"/>
      <c r="K1580" s="1033"/>
      <c r="L1580" s="1034" t="str">
        <f t="shared" si="341"/>
        <v/>
      </c>
      <c r="M1580" s="1035"/>
      <c r="N1580" s="1035"/>
      <c r="O1580" s="1036" t="str">
        <f t="shared" si="342"/>
        <v/>
      </c>
      <c r="P1580" s="1033"/>
      <c r="Q1580" s="1033"/>
      <c r="R1580" s="1034" t="str">
        <f t="shared" si="343"/>
        <v/>
      </c>
      <c r="S1580" s="1033"/>
      <c r="T1580" s="1035"/>
      <c r="U1580" s="1034" t="str">
        <f t="shared" si="344"/>
        <v/>
      </c>
      <c r="V1580" s="1035"/>
      <c r="W1580" s="1035"/>
      <c r="X1580" s="1037" t="str">
        <f t="shared" ref="X1580:X1594" si="352">+Y1580&amp;Z1580</f>
        <v>6</v>
      </c>
      <c r="Y1580" s="1035"/>
      <c r="Z1580" s="1035">
        <f t="shared" si="349"/>
        <v>6</v>
      </c>
      <c r="AA1580" s="1035"/>
      <c r="AB1580" s="1033" t="s">
        <v>2991</v>
      </c>
      <c r="AC1580" s="1021">
        <v>610501</v>
      </c>
      <c r="AD1580" s="1021" t="s">
        <v>137</v>
      </c>
      <c r="AE1580" s="1022">
        <f>VLOOKUP(AC1580,[5]Hoja1!$A$10:$K$1393,11,0)</f>
        <v>58647057</v>
      </c>
      <c r="AF1580" s="1022"/>
      <c r="AG1580" s="1022">
        <f t="shared" si="350"/>
        <v>58647057</v>
      </c>
      <c r="AH1580" s="1022">
        <f t="shared" si="351"/>
        <v>58647</v>
      </c>
      <c r="AK1580" s="448"/>
      <c r="AL1580" s="445"/>
    </row>
    <row r="1581" spans="1:38" s="467" customFormat="1" ht="12.75" customHeight="1">
      <c r="A1581" s="1033">
        <v>5312200</v>
      </c>
      <c r="B1581" s="1033" t="s">
        <v>998</v>
      </c>
      <c r="C1581" s="1034" t="str">
        <f t="shared" si="338"/>
        <v/>
      </c>
      <c r="D1581" s="1033"/>
      <c r="E1581" s="1033"/>
      <c r="F1581" s="1034" t="str">
        <f t="shared" si="339"/>
        <v/>
      </c>
      <c r="G1581" s="1033"/>
      <c r="H1581" s="1033"/>
      <c r="I1581" s="1034" t="str">
        <f t="shared" si="340"/>
        <v/>
      </c>
      <c r="J1581" s="1033"/>
      <c r="K1581" s="1033"/>
      <c r="L1581" s="1034" t="str">
        <f t="shared" si="341"/>
        <v/>
      </c>
      <c r="M1581" s="1035"/>
      <c r="N1581" s="1035"/>
      <c r="O1581" s="1036" t="str">
        <f t="shared" si="342"/>
        <v/>
      </c>
      <c r="P1581" s="1033"/>
      <c r="Q1581" s="1033"/>
      <c r="R1581" s="1034" t="str">
        <f t="shared" si="343"/>
        <v/>
      </c>
      <c r="S1581" s="1033"/>
      <c r="T1581" s="1035"/>
      <c r="U1581" s="1034" t="str">
        <f t="shared" si="344"/>
        <v/>
      </c>
      <c r="V1581" s="1035"/>
      <c r="W1581" s="1035"/>
      <c r="X1581" s="1037" t="str">
        <f t="shared" si="352"/>
        <v>6</v>
      </c>
      <c r="Y1581" s="1035"/>
      <c r="Z1581" s="1035">
        <f t="shared" si="349"/>
        <v>6</v>
      </c>
      <c r="AA1581" s="1035"/>
      <c r="AB1581" s="1033" t="s">
        <v>2991</v>
      </c>
      <c r="AC1581" s="1021">
        <v>610502</v>
      </c>
      <c r="AD1581" s="1021" t="s">
        <v>1067</v>
      </c>
      <c r="AE1581" s="1022">
        <f>VLOOKUP(AC1581,[5]Hoja1!$A$10:$K$1393,11,0)</f>
        <v>77255959</v>
      </c>
      <c r="AF1581" s="1022"/>
      <c r="AG1581" s="1022">
        <f t="shared" si="350"/>
        <v>77255959</v>
      </c>
      <c r="AH1581" s="1022">
        <f t="shared" si="351"/>
        <v>77256</v>
      </c>
      <c r="AK1581" s="448"/>
      <c r="AL1581" s="445"/>
    </row>
    <row r="1582" spans="1:38" s="467" customFormat="1" ht="12.75" customHeight="1">
      <c r="A1582" s="1033">
        <v>5312200</v>
      </c>
      <c r="B1582" s="1033" t="s">
        <v>998</v>
      </c>
      <c r="C1582" s="1034" t="str">
        <f t="shared" si="338"/>
        <v/>
      </c>
      <c r="D1582" s="1033"/>
      <c r="E1582" s="1033"/>
      <c r="F1582" s="1034" t="str">
        <f t="shared" si="339"/>
        <v/>
      </c>
      <c r="G1582" s="1033"/>
      <c r="H1582" s="1033"/>
      <c r="I1582" s="1034" t="str">
        <f t="shared" si="340"/>
        <v/>
      </c>
      <c r="J1582" s="1033"/>
      <c r="K1582" s="1033"/>
      <c r="L1582" s="1034" t="str">
        <f t="shared" si="341"/>
        <v/>
      </c>
      <c r="M1582" s="1035"/>
      <c r="N1582" s="1035"/>
      <c r="O1582" s="1036" t="str">
        <f t="shared" si="342"/>
        <v/>
      </c>
      <c r="P1582" s="1033"/>
      <c r="Q1582" s="1033"/>
      <c r="R1582" s="1034" t="str">
        <f t="shared" si="343"/>
        <v/>
      </c>
      <c r="S1582" s="1033"/>
      <c r="T1582" s="1035"/>
      <c r="U1582" s="1034" t="str">
        <f t="shared" si="344"/>
        <v/>
      </c>
      <c r="V1582" s="1035"/>
      <c r="W1582" s="1035"/>
      <c r="X1582" s="1037" t="str">
        <f t="shared" si="352"/>
        <v>6</v>
      </c>
      <c r="Y1582" s="1035"/>
      <c r="Z1582" s="1035">
        <f t="shared" si="349"/>
        <v>6</v>
      </c>
      <c r="AA1582" s="1035"/>
      <c r="AB1582" s="1033" t="s">
        <v>2991</v>
      </c>
      <c r="AC1582" s="1021">
        <v>610503</v>
      </c>
      <c r="AD1582" s="1021" t="s">
        <v>1776</v>
      </c>
      <c r="AE1582" s="1022">
        <f>VLOOKUP(AC1582,[5]Hoja1!$A$10:$K$1393,11,0)</f>
        <v>1234382</v>
      </c>
      <c r="AF1582" s="1022"/>
      <c r="AG1582" s="1022">
        <f t="shared" si="350"/>
        <v>1234382</v>
      </c>
      <c r="AH1582" s="1022">
        <f t="shared" si="351"/>
        <v>1234</v>
      </c>
      <c r="AK1582" s="448"/>
      <c r="AL1582" s="445"/>
    </row>
    <row r="1583" spans="1:38" s="467" customFormat="1" ht="12.75" customHeight="1">
      <c r="A1583" s="1033">
        <v>5312200</v>
      </c>
      <c r="B1583" s="1033" t="s">
        <v>998</v>
      </c>
      <c r="C1583" s="1034" t="str">
        <f t="shared" si="338"/>
        <v/>
      </c>
      <c r="D1583" s="1033"/>
      <c r="E1583" s="1033"/>
      <c r="F1583" s="1034" t="str">
        <f t="shared" si="339"/>
        <v/>
      </c>
      <c r="G1583" s="1033"/>
      <c r="H1583" s="1033"/>
      <c r="I1583" s="1034" t="str">
        <f t="shared" si="340"/>
        <v/>
      </c>
      <c r="J1583" s="1033"/>
      <c r="K1583" s="1033"/>
      <c r="L1583" s="1034" t="str">
        <f t="shared" si="341"/>
        <v/>
      </c>
      <c r="M1583" s="1035"/>
      <c r="N1583" s="1035"/>
      <c r="O1583" s="1036" t="str">
        <f t="shared" si="342"/>
        <v/>
      </c>
      <c r="P1583" s="1033"/>
      <c r="Q1583" s="1033"/>
      <c r="R1583" s="1034" t="str">
        <f t="shared" si="343"/>
        <v/>
      </c>
      <c r="S1583" s="1033"/>
      <c r="T1583" s="1035"/>
      <c r="U1583" s="1034" t="str">
        <f t="shared" si="344"/>
        <v/>
      </c>
      <c r="V1583" s="1035"/>
      <c r="W1583" s="1035"/>
      <c r="X1583" s="1037" t="str">
        <f t="shared" si="352"/>
        <v>6</v>
      </c>
      <c r="Y1583" s="1035"/>
      <c r="Z1583" s="1035">
        <f t="shared" si="349"/>
        <v>6</v>
      </c>
      <c r="AA1583" s="1035"/>
      <c r="AB1583" s="1033" t="s">
        <v>2991</v>
      </c>
      <c r="AC1583" s="1021">
        <v>610504</v>
      </c>
      <c r="AD1583" s="1021" t="s">
        <v>2483</v>
      </c>
      <c r="AE1583" s="1022">
        <f>VLOOKUP(AC1583,[5]Hoja1!$A$10:$K$1393,11,0)</f>
        <v>60062510</v>
      </c>
      <c r="AF1583" s="1022"/>
      <c r="AG1583" s="1022">
        <f t="shared" si="350"/>
        <v>60062510</v>
      </c>
      <c r="AH1583" s="1022">
        <f t="shared" si="351"/>
        <v>60063</v>
      </c>
      <c r="AK1583" s="448"/>
      <c r="AL1583" s="445"/>
    </row>
    <row r="1584" spans="1:38" s="467" customFormat="1" ht="12.75" customHeight="1">
      <c r="A1584" s="1033">
        <v>5313340</v>
      </c>
      <c r="B1584" s="1033" t="s">
        <v>2838</v>
      </c>
      <c r="C1584" s="1034" t="str">
        <f t="shared" si="338"/>
        <v/>
      </c>
      <c r="D1584" s="1033"/>
      <c r="E1584" s="1033"/>
      <c r="F1584" s="1034" t="str">
        <f t="shared" si="339"/>
        <v/>
      </c>
      <c r="G1584" s="1033"/>
      <c r="H1584" s="1033"/>
      <c r="I1584" s="1034" t="str">
        <f t="shared" si="340"/>
        <v/>
      </c>
      <c r="J1584" s="1033"/>
      <c r="K1584" s="1033"/>
      <c r="L1584" s="1034" t="str">
        <f t="shared" si="341"/>
        <v/>
      </c>
      <c r="M1584" s="1035"/>
      <c r="N1584" s="1035"/>
      <c r="O1584" s="1036" t="str">
        <f t="shared" si="342"/>
        <v/>
      </c>
      <c r="P1584" s="1033"/>
      <c r="Q1584" s="1033"/>
      <c r="R1584" s="1034" t="str">
        <f t="shared" si="343"/>
        <v/>
      </c>
      <c r="S1584" s="1033"/>
      <c r="T1584" s="1035"/>
      <c r="U1584" s="1034" t="str">
        <f t="shared" si="344"/>
        <v/>
      </c>
      <c r="V1584" s="1035"/>
      <c r="W1584" s="1035"/>
      <c r="X1584" s="1037" t="str">
        <f t="shared" si="352"/>
        <v>6</v>
      </c>
      <c r="Y1584" s="1035"/>
      <c r="Z1584" s="1035">
        <f t="shared" si="349"/>
        <v>6</v>
      </c>
      <c r="AA1584" s="1035"/>
      <c r="AB1584" s="1035"/>
      <c r="AC1584" s="1021">
        <v>610601</v>
      </c>
      <c r="AD1584" s="1021" t="s">
        <v>1544</v>
      </c>
      <c r="AE1584" s="1022">
        <f>VLOOKUP(AC1584,[5]Hoja1!$A$10:$K$1393,11,0)</f>
        <v>67547667</v>
      </c>
      <c r="AF1584" s="1022"/>
      <c r="AG1584" s="1022">
        <f t="shared" si="350"/>
        <v>67547667</v>
      </c>
      <c r="AH1584" s="1022">
        <f t="shared" si="351"/>
        <v>67548</v>
      </c>
      <c r="AK1584" s="448"/>
      <c r="AL1584" s="445"/>
    </row>
    <row r="1585" spans="1:38" s="467" customFormat="1" ht="12.75" customHeight="1">
      <c r="A1585" s="1033">
        <v>5313340</v>
      </c>
      <c r="B1585" s="1033" t="s">
        <v>2838</v>
      </c>
      <c r="C1585" s="1034" t="str">
        <f t="shared" si="338"/>
        <v/>
      </c>
      <c r="D1585" s="1033"/>
      <c r="E1585" s="1033"/>
      <c r="F1585" s="1034" t="str">
        <f t="shared" si="339"/>
        <v/>
      </c>
      <c r="G1585" s="1033"/>
      <c r="H1585" s="1033"/>
      <c r="I1585" s="1034" t="str">
        <f t="shared" si="340"/>
        <v/>
      </c>
      <c r="J1585" s="1033"/>
      <c r="K1585" s="1033"/>
      <c r="L1585" s="1034" t="str">
        <f t="shared" si="341"/>
        <v/>
      </c>
      <c r="M1585" s="1035"/>
      <c r="N1585" s="1035"/>
      <c r="O1585" s="1036" t="str">
        <f t="shared" si="342"/>
        <v/>
      </c>
      <c r="P1585" s="1033"/>
      <c r="Q1585" s="1033"/>
      <c r="R1585" s="1034" t="str">
        <f t="shared" si="343"/>
        <v/>
      </c>
      <c r="S1585" s="1033"/>
      <c r="T1585" s="1035"/>
      <c r="U1585" s="1034" t="str">
        <f t="shared" si="344"/>
        <v/>
      </c>
      <c r="V1585" s="1035"/>
      <c r="W1585" s="1035"/>
      <c r="X1585" s="1037" t="str">
        <f t="shared" si="352"/>
        <v>6</v>
      </c>
      <c r="Y1585" s="1035"/>
      <c r="Z1585" s="1035">
        <f t="shared" si="349"/>
        <v>6</v>
      </c>
      <c r="AA1585" s="1035"/>
      <c r="AB1585" s="1035"/>
      <c r="AC1585" s="1021">
        <v>610602</v>
      </c>
      <c r="AD1585" s="1021" t="s">
        <v>1088</v>
      </c>
      <c r="AE1585" s="1022">
        <f>VLOOKUP(AC1585,[5]Hoja1!$A$10:$K$1393,11,0)</f>
        <v>83805820</v>
      </c>
      <c r="AF1585" s="1022"/>
      <c r="AG1585" s="1022">
        <f t="shared" si="350"/>
        <v>83805820</v>
      </c>
      <c r="AH1585" s="1022">
        <f t="shared" si="351"/>
        <v>83806</v>
      </c>
      <c r="AK1585" s="448"/>
      <c r="AL1585" s="445"/>
    </row>
    <row r="1586" spans="1:38" s="467" customFormat="1" ht="12.75" customHeight="1">
      <c r="A1586" s="1033">
        <v>5313340</v>
      </c>
      <c r="B1586" s="1033" t="s">
        <v>2838</v>
      </c>
      <c r="C1586" s="1034" t="str">
        <f t="shared" si="338"/>
        <v/>
      </c>
      <c r="D1586" s="1033"/>
      <c r="E1586" s="1033"/>
      <c r="F1586" s="1034" t="str">
        <f t="shared" si="339"/>
        <v/>
      </c>
      <c r="G1586" s="1033"/>
      <c r="H1586" s="1033"/>
      <c r="I1586" s="1034" t="str">
        <f t="shared" si="340"/>
        <v/>
      </c>
      <c r="J1586" s="1033"/>
      <c r="K1586" s="1033"/>
      <c r="L1586" s="1034" t="str">
        <f t="shared" si="341"/>
        <v/>
      </c>
      <c r="M1586" s="1035"/>
      <c r="N1586" s="1035"/>
      <c r="O1586" s="1036" t="str">
        <f t="shared" si="342"/>
        <v/>
      </c>
      <c r="P1586" s="1033"/>
      <c r="Q1586" s="1033"/>
      <c r="R1586" s="1034" t="str">
        <f t="shared" si="343"/>
        <v/>
      </c>
      <c r="S1586" s="1033"/>
      <c r="T1586" s="1035"/>
      <c r="U1586" s="1034" t="str">
        <f t="shared" si="344"/>
        <v/>
      </c>
      <c r="V1586" s="1035"/>
      <c r="W1586" s="1035"/>
      <c r="X1586" s="1037" t="str">
        <f t="shared" si="352"/>
        <v>6</v>
      </c>
      <c r="Y1586" s="1035"/>
      <c r="Z1586" s="1035">
        <f t="shared" si="349"/>
        <v>6</v>
      </c>
      <c r="AA1586" s="1035"/>
      <c r="AB1586" s="1035"/>
      <c r="AC1586" s="1021">
        <v>610603</v>
      </c>
      <c r="AD1586" s="1021" t="s">
        <v>1701</v>
      </c>
      <c r="AE1586" s="1022">
        <f>VLOOKUP(AC1586,[5]Hoja1!$A$10:$K$1393,11,0)</f>
        <v>11381972</v>
      </c>
      <c r="AF1586" s="1022"/>
      <c r="AG1586" s="1022">
        <f t="shared" si="350"/>
        <v>11381972</v>
      </c>
      <c r="AH1586" s="1022">
        <f t="shared" si="351"/>
        <v>11382</v>
      </c>
      <c r="AK1586" s="448"/>
      <c r="AL1586" s="445"/>
    </row>
    <row r="1587" spans="1:38" s="467" customFormat="1" ht="12.75" customHeight="1">
      <c r="A1587" s="1033">
        <v>5313340</v>
      </c>
      <c r="B1587" s="1033" t="s">
        <v>2838</v>
      </c>
      <c r="C1587" s="1034" t="str">
        <f t="shared" si="338"/>
        <v/>
      </c>
      <c r="D1587" s="1033"/>
      <c r="E1587" s="1033"/>
      <c r="F1587" s="1034" t="str">
        <f t="shared" si="339"/>
        <v/>
      </c>
      <c r="G1587" s="1033"/>
      <c r="H1587" s="1033"/>
      <c r="I1587" s="1034" t="str">
        <f t="shared" si="340"/>
        <v/>
      </c>
      <c r="J1587" s="1033"/>
      <c r="K1587" s="1033"/>
      <c r="L1587" s="1034" t="str">
        <f t="shared" si="341"/>
        <v/>
      </c>
      <c r="M1587" s="1035"/>
      <c r="N1587" s="1035"/>
      <c r="O1587" s="1036" t="str">
        <f t="shared" si="342"/>
        <v/>
      </c>
      <c r="P1587" s="1033"/>
      <c r="Q1587" s="1033"/>
      <c r="R1587" s="1034" t="str">
        <f t="shared" si="343"/>
        <v/>
      </c>
      <c r="S1587" s="1033"/>
      <c r="T1587" s="1035"/>
      <c r="U1587" s="1034" t="str">
        <f t="shared" si="344"/>
        <v/>
      </c>
      <c r="V1587" s="1035"/>
      <c r="W1587" s="1035"/>
      <c r="X1587" s="1037" t="str">
        <f t="shared" si="352"/>
        <v>6</v>
      </c>
      <c r="Y1587" s="1035"/>
      <c r="Z1587" s="1035">
        <f t="shared" si="349"/>
        <v>6</v>
      </c>
      <c r="AA1587" s="1035"/>
      <c r="AB1587" s="1035"/>
      <c r="AC1587" s="1021">
        <v>610604</v>
      </c>
      <c r="AD1587" s="1021" t="s">
        <v>407</v>
      </c>
      <c r="AE1587" s="1022">
        <f>VLOOKUP(AC1587,[5]Hoja1!$A$10:$K$1393,11,0)</f>
        <v>310037588</v>
      </c>
      <c r="AF1587" s="1022"/>
      <c r="AG1587" s="1022">
        <f t="shared" si="350"/>
        <v>310037588</v>
      </c>
      <c r="AH1587" s="1022">
        <f t="shared" si="351"/>
        <v>310038</v>
      </c>
      <c r="AK1587" s="448"/>
      <c r="AL1587" s="445"/>
    </row>
    <row r="1588" spans="1:38" s="467" customFormat="1" ht="12.75" customHeight="1">
      <c r="A1588" s="1033">
        <v>5313340</v>
      </c>
      <c r="B1588" s="1033" t="s">
        <v>2838</v>
      </c>
      <c r="C1588" s="1034" t="str">
        <f t="shared" ref="C1588:C1673" si="353">+D1588&amp;E1588</f>
        <v/>
      </c>
      <c r="D1588" s="1033"/>
      <c r="E1588" s="1033"/>
      <c r="F1588" s="1034" t="str">
        <f t="shared" ref="F1588:F1673" si="354">+G1588&amp;H1588</f>
        <v/>
      </c>
      <c r="G1588" s="1033"/>
      <c r="H1588" s="1033"/>
      <c r="I1588" s="1034" t="str">
        <f t="shared" ref="I1588:I1673" si="355">+J1588&amp;K1588</f>
        <v/>
      </c>
      <c r="J1588" s="1033"/>
      <c r="K1588" s="1033"/>
      <c r="L1588" s="1034" t="str">
        <f t="shared" ref="L1588:L1673" si="356">+M1588&amp;N1588</f>
        <v/>
      </c>
      <c r="M1588" s="1035"/>
      <c r="N1588" s="1035"/>
      <c r="O1588" s="1036" t="str">
        <f t="shared" ref="O1588:O1673" si="357">+P1588&amp;Q1588</f>
        <v/>
      </c>
      <c r="P1588" s="1033"/>
      <c r="Q1588" s="1033"/>
      <c r="R1588" s="1034" t="str">
        <f t="shared" ref="R1588:R1673" si="358">+S1588&amp;T1588</f>
        <v/>
      </c>
      <c r="S1588" s="1033"/>
      <c r="T1588" s="1035"/>
      <c r="U1588" s="1034" t="str">
        <f t="shared" ref="U1588:U1673" si="359">+V1588&amp;W1588</f>
        <v/>
      </c>
      <c r="V1588" s="1035"/>
      <c r="W1588" s="1035"/>
      <c r="X1588" s="1037" t="str">
        <f t="shared" si="352"/>
        <v>6</v>
      </c>
      <c r="Y1588" s="1035"/>
      <c r="Z1588" s="1035">
        <f t="shared" si="349"/>
        <v>6</v>
      </c>
      <c r="AA1588" s="1035"/>
      <c r="AB1588" s="1035"/>
      <c r="AC1588" s="1021">
        <v>610605</v>
      </c>
      <c r="AD1588" s="1021" t="s">
        <v>408</v>
      </c>
      <c r="AE1588" s="1022">
        <f>VLOOKUP(AC1588,[5]Hoja1!$A$10:$K$1393,11,0)</f>
        <v>61732722</v>
      </c>
      <c r="AF1588" s="1022"/>
      <c r="AG1588" s="1022">
        <f t="shared" si="350"/>
        <v>61732722</v>
      </c>
      <c r="AH1588" s="1022">
        <f t="shared" si="351"/>
        <v>61733</v>
      </c>
      <c r="AK1588" s="448"/>
      <c r="AL1588" s="445"/>
    </row>
    <row r="1589" spans="1:38" s="467" customFormat="1" ht="12.75" customHeight="1">
      <c r="A1589" s="1033">
        <v>5313340</v>
      </c>
      <c r="B1589" s="1033" t="s">
        <v>2838</v>
      </c>
      <c r="C1589" s="1034" t="str">
        <f t="shared" si="353"/>
        <v/>
      </c>
      <c r="D1589" s="1033"/>
      <c r="E1589" s="1033"/>
      <c r="F1589" s="1034" t="str">
        <f t="shared" si="354"/>
        <v/>
      </c>
      <c r="G1589" s="1033"/>
      <c r="H1589" s="1033"/>
      <c r="I1589" s="1034" t="str">
        <f t="shared" si="355"/>
        <v/>
      </c>
      <c r="J1589" s="1033"/>
      <c r="K1589" s="1033"/>
      <c r="L1589" s="1034" t="str">
        <f t="shared" si="356"/>
        <v/>
      </c>
      <c r="M1589" s="1035"/>
      <c r="N1589" s="1035"/>
      <c r="O1589" s="1036" t="str">
        <f t="shared" si="357"/>
        <v/>
      </c>
      <c r="P1589" s="1033"/>
      <c r="Q1589" s="1033"/>
      <c r="R1589" s="1034" t="str">
        <f t="shared" si="358"/>
        <v/>
      </c>
      <c r="S1589" s="1033"/>
      <c r="T1589" s="1035"/>
      <c r="U1589" s="1034" t="str">
        <f t="shared" si="359"/>
        <v/>
      </c>
      <c r="V1589" s="1035"/>
      <c r="W1589" s="1035"/>
      <c r="X1589" s="1037" t="str">
        <f t="shared" si="352"/>
        <v>6</v>
      </c>
      <c r="Y1589" s="1035"/>
      <c r="Z1589" s="1035">
        <f t="shared" si="349"/>
        <v>6</v>
      </c>
      <c r="AA1589" s="1035"/>
      <c r="AB1589" s="1035"/>
      <c r="AC1589" s="1021">
        <v>610606</v>
      </c>
      <c r="AD1589" s="1021" t="s">
        <v>409</v>
      </c>
      <c r="AE1589" s="1022">
        <f>VLOOKUP(AC1589,[5]Hoja1!$A$10:$K$1393,11,0)</f>
        <v>42844060</v>
      </c>
      <c r="AF1589" s="1022"/>
      <c r="AG1589" s="1022">
        <f t="shared" si="350"/>
        <v>42844060</v>
      </c>
      <c r="AH1589" s="1022">
        <f t="shared" si="351"/>
        <v>42844</v>
      </c>
      <c r="AK1589" s="448"/>
      <c r="AL1589" s="445"/>
    </row>
    <row r="1590" spans="1:38" s="467" customFormat="1" ht="12.75" customHeight="1">
      <c r="A1590" s="1033">
        <v>5315200</v>
      </c>
      <c r="B1590" s="1033" t="s">
        <v>2842</v>
      </c>
      <c r="C1590" s="1034" t="str">
        <f t="shared" si="353"/>
        <v/>
      </c>
      <c r="D1590" s="1033"/>
      <c r="E1590" s="1033"/>
      <c r="F1590" s="1034" t="str">
        <f t="shared" si="354"/>
        <v/>
      </c>
      <c r="G1590" s="1033"/>
      <c r="H1590" s="1033"/>
      <c r="I1590" s="1034" t="str">
        <f t="shared" si="355"/>
        <v/>
      </c>
      <c r="J1590" s="1033"/>
      <c r="K1590" s="1033"/>
      <c r="L1590" s="1034" t="str">
        <f t="shared" si="356"/>
        <v/>
      </c>
      <c r="M1590" s="1035"/>
      <c r="N1590" s="1035"/>
      <c r="O1590" s="1036" t="str">
        <f t="shared" si="357"/>
        <v/>
      </c>
      <c r="P1590" s="1033"/>
      <c r="Q1590" s="1033"/>
      <c r="R1590" s="1034" t="str">
        <f t="shared" si="358"/>
        <v/>
      </c>
      <c r="S1590" s="1033"/>
      <c r="T1590" s="1035"/>
      <c r="U1590" s="1034" t="str">
        <f t="shared" si="359"/>
        <v/>
      </c>
      <c r="V1590" s="1035"/>
      <c r="W1590" s="1035"/>
      <c r="X1590" s="1037" t="str">
        <f t="shared" si="352"/>
        <v>6</v>
      </c>
      <c r="Y1590" s="1035"/>
      <c r="Z1590" s="1035">
        <f t="shared" si="349"/>
        <v>6</v>
      </c>
      <c r="AA1590" s="1033">
        <v>37</v>
      </c>
      <c r="AB1590" s="1033" t="s">
        <v>1835</v>
      </c>
      <c r="AC1590" s="1021">
        <v>610607</v>
      </c>
      <c r="AD1590" s="1021" t="s">
        <v>410</v>
      </c>
      <c r="AE1590" s="1022">
        <f>VLOOKUP(AC1590,[5]Hoja1!$A$10:$K$1393,11,0)</f>
        <v>147767121</v>
      </c>
      <c r="AF1590" s="1022"/>
      <c r="AG1590" s="1022">
        <f t="shared" si="350"/>
        <v>147767121</v>
      </c>
      <c r="AH1590" s="1022">
        <f t="shared" si="351"/>
        <v>147767</v>
      </c>
      <c r="AK1590" s="448"/>
      <c r="AL1590" s="445"/>
    </row>
    <row r="1591" spans="1:38" s="467" customFormat="1" ht="12.75" customHeight="1">
      <c r="A1591" s="1033">
        <v>5315200</v>
      </c>
      <c r="B1591" s="1033" t="s">
        <v>2842</v>
      </c>
      <c r="C1591" s="1034" t="str">
        <f t="shared" si="353"/>
        <v/>
      </c>
      <c r="D1591" s="1033"/>
      <c r="E1591" s="1033"/>
      <c r="F1591" s="1034" t="str">
        <f t="shared" si="354"/>
        <v/>
      </c>
      <c r="G1591" s="1033"/>
      <c r="H1591" s="1033"/>
      <c r="I1591" s="1034" t="str">
        <f t="shared" si="355"/>
        <v/>
      </c>
      <c r="J1591" s="1033"/>
      <c r="K1591" s="1033"/>
      <c r="L1591" s="1034" t="str">
        <f t="shared" si="356"/>
        <v/>
      </c>
      <c r="M1591" s="1035"/>
      <c r="N1591" s="1035"/>
      <c r="O1591" s="1036" t="str">
        <f t="shared" si="357"/>
        <v/>
      </c>
      <c r="P1591" s="1033"/>
      <c r="Q1591" s="1033"/>
      <c r="R1591" s="1034" t="str">
        <f t="shared" si="358"/>
        <v/>
      </c>
      <c r="S1591" s="1033"/>
      <c r="T1591" s="1035"/>
      <c r="U1591" s="1034" t="str">
        <f t="shared" si="359"/>
        <v/>
      </c>
      <c r="V1591" s="1035"/>
      <c r="W1591" s="1035"/>
      <c r="X1591" s="1037" t="str">
        <f t="shared" si="352"/>
        <v>6</v>
      </c>
      <c r="Y1591" s="1035"/>
      <c r="Z1591" s="1035">
        <f t="shared" si="349"/>
        <v>6</v>
      </c>
      <c r="AA1591" s="1033">
        <v>37</v>
      </c>
      <c r="AB1591" s="1033" t="s">
        <v>1835</v>
      </c>
      <c r="AC1591" s="1021">
        <v>610608</v>
      </c>
      <c r="AD1591" s="1021" t="s">
        <v>411</v>
      </c>
      <c r="AE1591" s="1022">
        <f>VLOOKUP(AC1591,[5]Hoja1!$A$10:$K$1393,11,0)</f>
        <v>24471258</v>
      </c>
      <c r="AF1591" s="1022"/>
      <c r="AG1591" s="1022">
        <f t="shared" si="350"/>
        <v>24471258</v>
      </c>
      <c r="AH1591" s="1022">
        <f t="shared" si="351"/>
        <v>24471</v>
      </c>
      <c r="AK1591" s="448"/>
      <c r="AL1591" s="445"/>
    </row>
    <row r="1592" spans="1:38" s="467" customFormat="1" ht="12.75" customHeight="1">
      <c r="A1592" s="1033">
        <v>5312200</v>
      </c>
      <c r="B1592" s="1033" t="s">
        <v>998</v>
      </c>
      <c r="C1592" s="1034" t="str">
        <f t="shared" si="353"/>
        <v/>
      </c>
      <c r="D1592" s="1033"/>
      <c r="E1592" s="1033"/>
      <c r="F1592" s="1034" t="str">
        <f t="shared" si="354"/>
        <v/>
      </c>
      <c r="G1592" s="1033"/>
      <c r="H1592" s="1033"/>
      <c r="I1592" s="1034" t="str">
        <f t="shared" si="355"/>
        <v/>
      </c>
      <c r="J1592" s="1033"/>
      <c r="K1592" s="1033"/>
      <c r="L1592" s="1034" t="str">
        <f t="shared" si="356"/>
        <v/>
      </c>
      <c r="M1592" s="1035"/>
      <c r="N1592" s="1035"/>
      <c r="O1592" s="1036" t="str">
        <f t="shared" si="357"/>
        <v/>
      </c>
      <c r="P1592" s="1033"/>
      <c r="Q1592" s="1033"/>
      <c r="R1592" s="1034" t="str">
        <f t="shared" si="358"/>
        <v/>
      </c>
      <c r="S1592" s="1033"/>
      <c r="T1592" s="1035"/>
      <c r="U1592" s="1034" t="str">
        <f t="shared" si="359"/>
        <v/>
      </c>
      <c r="V1592" s="1035"/>
      <c r="W1592" s="1035"/>
      <c r="X1592" s="1037" t="str">
        <f t="shared" si="352"/>
        <v>6</v>
      </c>
      <c r="Y1592" s="1035"/>
      <c r="Z1592" s="1035">
        <f t="shared" si="349"/>
        <v>6</v>
      </c>
      <c r="AA1592" s="1035"/>
      <c r="AB1592" s="1033" t="s">
        <v>2991</v>
      </c>
      <c r="AC1592" s="1021">
        <v>610609</v>
      </c>
      <c r="AD1592" s="1021" t="s">
        <v>920</v>
      </c>
      <c r="AE1592" s="1022">
        <f>VLOOKUP(AC1592,[5]Hoja1!$A$10:$K$1393,11,0)</f>
        <v>0</v>
      </c>
      <c r="AF1592" s="1022"/>
      <c r="AG1592" s="1022">
        <f t="shared" si="350"/>
        <v>0</v>
      </c>
      <c r="AH1592" s="1022">
        <f t="shared" si="351"/>
        <v>0</v>
      </c>
      <c r="AK1592" s="448"/>
      <c r="AL1592" s="445"/>
    </row>
    <row r="1593" spans="1:38" s="467" customFormat="1" ht="12.75" customHeight="1">
      <c r="A1593" s="1033">
        <v>5312200</v>
      </c>
      <c r="B1593" s="1033" t="s">
        <v>998</v>
      </c>
      <c r="C1593" s="1034" t="str">
        <f t="shared" si="353"/>
        <v/>
      </c>
      <c r="D1593" s="1033"/>
      <c r="E1593" s="1033"/>
      <c r="F1593" s="1034" t="str">
        <f t="shared" si="354"/>
        <v/>
      </c>
      <c r="G1593" s="1033"/>
      <c r="H1593" s="1033"/>
      <c r="I1593" s="1034" t="str">
        <f t="shared" si="355"/>
        <v/>
      </c>
      <c r="J1593" s="1033"/>
      <c r="K1593" s="1033"/>
      <c r="L1593" s="1034" t="str">
        <f t="shared" si="356"/>
        <v/>
      </c>
      <c r="M1593" s="1035"/>
      <c r="N1593" s="1035"/>
      <c r="O1593" s="1036" t="str">
        <f t="shared" si="357"/>
        <v/>
      </c>
      <c r="P1593" s="1033"/>
      <c r="Q1593" s="1033"/>
      <c r="R1593" s="1034" t="str">
        <f t="shared" si="358"/>
        <v/>
      </c>
      <c r="S1593" s="1033"/>
      <c r="T1593" s="1035"/>
      <c r="U1593" s="1034" t="str">
        <f t="shared" si="359"/>
        <v/>
      </c>
      <c r="V1593" s="1035"/>
      <c r="W1593" s="1035"/>
      <c r="X1593" s="1037" t="str">
        <f t="shared" si="352"/>
        <v>6</v>
      </c>
      <c r="Y1593" s="1035"/>
      <c r="Z1593" s="1035">
        <f t="shared" si="349"/>
        <v>6</v>
      </c>
      <c r="AA1593" s="1035"/>
      <c r="AB1593" s="1033" t="s">
        <v>2991</v>
      </c>
      <c r="AC1593" s="1021">
        <v>610610</v>
      </c>
      <c r="AD1593" s="1021" t="s">
        <v>2484</v>
      </c>
      <c r="AE1593" s="1022">
        <f>VLOOKUP(AC1593,[5]Hoja1!$A$10:$K$1393,11,0)</f>
        <v>0</v>
      </c>
      <c r="AF1593" s="1022"/>
      <c r="AG1593" s="1022">
        <f t="shared" si="350"/>
        <v>0</v>
      </c>
      <c r="AH1593" s="1022">
        <f t="shared" si="351"/>
        <v>0</v>
      </c>
      <c r="AK1593" s="448"/>
      <c r="AL1593" s="445"/>
    </row>
    <row r="1594" spans="1:38" s="467" customFormat="1" ht="12.75" customHeight="1">
      <c r="A1594" s="1033"/>
      <c r="B1594" s="1033"/>
      <c r="C1594" s="1034" t="str">
        <f t="shared" si="353"/>
        <v/>
      </c>
      <c r="D1594" s="1033"/>
      <c r="E1594" s="1033"/>
      <c r="F1594" s="1034" t="str">
        <f t="shared" si="354"/>
        <v/>
      </c>
      <c r="G1594" s="1033"/>
      <c r="H1594" s="1033"/>
      <c r="I1594" s="1034" t="str">
        <f t="shared" si="355"/>
        <v/>
      </c>
      <c r="J1594" s="1033"/>
      <c r="K1594" s="1033"/>
      <c r="L1594" s="1034" t="str">
        <f t="shared" si="356"/>
        <v/>
      </c>
      <c r="M1594" s="1035"/>
      <c r="N1594" s="1035"/>
      <c r="O1594" s="1036" t="str">
        <f t="shared" si="357"/>
        <v/>
      </c>
      <c r="P1594" s="1033"/>
      <c r="Q1594" s="1033"/>
      <c r="R1594" s="1034" t="str">
        <f t="shared" si="358"/>
        <v/>
      </c>
      <c r="S1594" s="1033"/>
      <c r="T1594" s="1035"/>
      <c r="U1594" s="1034" t="str">
        <f t="shared" si="359"/>
        <v/>
      </c>
      <c r="V1594" s="1035"/>
      <c r="W1594" s="1035"/>
      <c r="X1594" s="1037" t="str">
        <f t="shared" si="352"/>
        <v>6</v>
      </c>
      <c r="Y1594" s="1035"/>
      <c r="Z1594" s="1035">
        <f t="shared" si="349"/>
        <v>6</v>
      </c>
      <c r="AA1594" s="1035"/>
      <c r="AB1594" s="1035"/>
      <c r="AC1594" s="1021">
        <v>610611</v>
      </c>
      <c r="AD1594" s="1021" t="s">
        <v>2485</v>
      </c>
      <c r="AE1594" s="1022">
        <v>0</v>
      </c>
      <c r="AF1594" s="1022"/>
      <c r="AG1594" s="1022">
        <f t="shared" si="350"/>
        <v>0</v>
      </c>
      <c r="AH1594" s="1022">
        <f t="shared" si="351"/>
        <v>0</v>
      </c>
      <c r="AK1594" s="448"/>
      <c r="AL1594" s="445"/>
    </row>
    <row r="1595" spans="1:38" s="467" customFormat="1" ht="12.75" customHeight="1">
      <c r="A1595" s="1033">
        <v>5313340</v>
      </c>
      <c r="B1595" s="1033" t="s">
        <v>2838</v>
      </c>
      <c r="C1595" s="1034"/>
      <c r="D1595" s="1033"/>
      <c r="E1595" s="1033"/>
      <c r="F1595" s="1034"/>
      <c r="G1595" s="1033"/>
      <c r="H1595" s="1033"/>
      <c r="I1595" s="1034"/>
      <c r="J1595" s="1033"/>
      <c r="K1595" s="1033"/>
      <c r="L1595" s="1034"/>
      <c r="M1595" s="1035"/>
      <c r="N1595" s="1035"/>
      <c r="O1595" s="1036"/>
      <c r="P1595" s="1033"/>
      <c r="Q1595" s="1033"/>
      <c r="R1595" s="1034"/>
      <c r="S1595" s="1033"/>
      <c r="T1595" s="1035"/>
      <c r="U1595" s="1034"/>
      <c r="V1595" s="1035"/>
      <c r="W1595" s="1035"/>
      <c r="X1595" s="1037"/>
      <c r="Y1595" s="1035"/>
      <c r="Z1595" s="1035">
        <f t="shared" si="349"/>
        <v>6</v>
      </c>
      <c r="AA1595" s="1035"/>
      <c r="AB1595" s="1035"/>
      <c r="AC1595" s="1021">
        <v>610612</v>
      </c>
      <c r="AD1595" s="1021" t="s">
        <v>578</v>
      </c>
      <c r="AE1595" s="1022">
        <f>VLOOKUP(AC1595,[5]Hoja1!$A$10:$K$1393,11,0)</f>
        <v>0</v>
      </c>
      <c r="AF1595" s="1022"/>
      <c r="AG1595" s="1022">
        <f t="shared" si="350"/>
        <v>0</v>
      </c>
      <c r="AH1595" s="1022">
        <f t="shared" si="351"/>
        <v>0</v>
      </c>
      <c r="AK1595" s="448"/>
      <c r="AL1595" s="445"/>
    </row>
    <row r="1596" spans="1:38" s="467" customFormat="1" ht="12.75" customHeight="1">
      <c r="A1596" s="1033">
        <v>5312200</v>
      </c>
      <c r="B1596" s="1033" t="s">
        <v>998</v>
      </c>
      <c r="C1596" s="1034"/>
      <c r="D1596" s="1033"/>
      <c r="E1596" s="1033"/>
      <c r="F1596" s="1034"/>
      <c r="G1596" s="1033"/>
      <c r="H1596" s="1033"/>
      <c r="I1596" s="1034"/>
      <c r="J1596" s="1033"/>
      <c r="K1596" s="1033"/>
      <c r="L1596" s="1034"/>
      <c r="M1596" s="1035"/>
      <c r="N1596" s="1035"/>
      <c r="O1596" s="1036"/>
      <c r="P1596" s="1033"/>
      <c r="Q1596" s="1033"/>
      <c r="R1596" s="1034"/>
      <c r="S1596" s="1033"/>
      <c r="T1596" s="1035"/>
      <c r="U1596" s="1034"/>
      <c r="V1596" s="1035"/>
      <c r="W1596" s="1035"/>
      <c r="X1596" s="1037"/>
      <c r="Y1596" s="1035"/>
      <c r="Z1596" s="1035">
        <f t="shared" si="349"/>
        <v>6</v>
      </c>
      <c r="AA1596" s="1035"/>
      <c r="AB1596" s="1033" t="s">
        <v>2984</v>
      </c>
      <c r="AC1596" s="1021">
        <v>610613</v>
      </c>
      <c r="AD1596" s="1021" t="s">
        <v>1206</v>
      </c>
      <c r="AE1596" s="1022">
        <f>VLOOKUP(AC1596,[5]Hoja1!$A$10:$K$1393,11,0)</f>
        <v>0</v>
      </c>
      <c r="AF1596" s="1022"/>
      <c r="AG1596" s="1022">
        <f t="shared" si="350"/>
        <v>0</v>
      </c>
      <c r="AH1596" s="1022">
        <f t="shared" si="351"/>
        <v>0</v>
      </c>
      <c r="AK1596" s="448"/>
      <c r="AL1596" s="445"/>
    </row>
    <row r="1597" spans="1:38" s="467" customFormat="1" ht="12.75" customHeight="1">
      <c r="A1597" s="1033">
        <v>5312200</v>
      </c>
      <c r="B1597" s="1033" t="s">
        <v>998</v>
      </c>
      <c r="C1597" s="1034"/>
      <c r="D1597" s="1033"/>
      <c r="E1597" s="1033"/>
      <c r="F1597" s="1034"/>
      <c r="G1597" s="1033"/>
      <c r="H1597" s="1033"/>
      <c r="I1597" s="1034"/>
      <c r="J1597" s="1033"/>
      <c r="K1597" s="1033"/>
      <c r="L1597" s="1034"/>
      <c r="M1597" s="1035"/>
      <c r="N1597" s="1035"/>
      <c r="O1597" s="1036"/>
      <c r="P1597" s="1033"/>
      <c r="Q1597" s="1033"/>
      <c r="R1597" s="1034"/>
      <c r="S1597" s="1033"/>
      <c r="T1597" s="1035"/>
      <c r="U1597" s="1034"/>
      <c r="V1597" s="1035"/>
      <c r="W1597" s="1035"/>
      <c r="X1597" s="1037"/>
      <c r="Y1597" s="1035"/>
      <c r="Z1597" s="1035">
        <f t="shared" si="349"/>
        <v>6</v>
      </c>
      <c r="AA1597" s="1035"/>
      <c r="AB1597" s="1033" t="s">
        <v>2991</v>
      </c>
      <c r="AC1597" s="1021">
        <v>610614</v>
      </c>
      <c r="AD1597" s="1021" t="s">
        <v>2486</v>
      </c>
      <c r="AE1597" s="1022">
        <f>VLOOKUP(AC1597,[5]Hoja1!$A$10:$K$1393,11,0)</f>
        <v>0</v>
      </c>
      <c r="AF1597" s="1022"/>
      <c r="AG1597" s="1022">
        <f t="shared" si="350"/>
        <v>0</v>
      </c>
      <c r="AH1597" s="1022">
        <f t="shared" si="351"/>
        <v>0</v>
      </c>
      <c r="AK1597" s="448"/>
      <c r="AL1597" s="445"/>
    </row>
    <row r="1598" spans="1:38" s="467" customFormat="1" ht="12.75" customHeight="1">
      <c r="A1598" s="1033">
        <v>5313340</v>
      </c>
      <c r="B1598" s="1033" t="s">
        <v>2838</v>
      </c>
      <c r="C1598" s="1034"/>
      <c r="D1598" s="1033"/>
      <c r="E1598" s="1033"/>
      <c r="F1598" s="1034"/>
      <c r="G1598" s="1033"/>
      <c r="H1598" s="1033"/>
      <c r="I1598" s="1034"/>
      <c r="J1598" s="1033"/>
      <c r="K1598" s="1033"/>
      <c r="L1598" s="1034"/>
      <c r="M1598" s="1035"/>
      <c r="N1598" s="1035"/>
      <c r="O1598" s="1036"/>
      <c r="P1598" s="1033"/>
      <c r="Q1598" s="1033"/>
      <c r="R1598" s="1034"/>
      <c r="S1598" s="1033"/>
      <c r="T1598" s="1035"/>
      <c r="U1598" s="1034"/>
      <c r="V1598" s="1035"/>
      <c r="W1598" s="1035"/>
      <c r="X1598" s="1037"/>
      <c r="Y1598" s="1035"/>
      <c r="Z1598" s="1035">
        <f t="shared" si="349"/>
        <v>6</v>
      </c>
      <c r="AA1598" s="1035"/>
      <c r="AB1598" s="1033"/>
      <c r="AC1598" s="1021">
        <v>610615</v>
      </c>
      <c r="AD1598" s="1021" t="s">
        <v>2487</v>
      </c>
      <c r="AE1598" s="1022">
        <f>VLOOKUP(AC1598,[5]Hoja1!$A$10:$K$1393,11,0)</f>
        <v>189402050</v>
      </c>
      <c r="AF1598" s="1022"/>
      <c r="AG1598" s="1022">
        <f t="shared" si="350"/>
        <v>189402050</v>
      </c>
      <c r="AH1598" s="1022">
        <f t="shared" si="351"/>
        <v>189402</v>
      </c>
      <c r="AK1598" s="448"/>
      <c r="AL1598" s="445"/>
    </row>
    <row r="1599" spans="1:38" s="467" customFormat="1" ht="12.75" customHeight="1">
      <c r="A1599" s="1033">
        <v>5312200</v>
      </c>
      <c r="B1599" s="1033" t="s">
        <v>998</v>
      </c>
      <c r="C1599" s="1034" t="str">
        <f t="shared" si="353"/>
        <v/>
      </c>
      <c r="D1599" s="1033"/>
      <c r="E1599" s="1033"/>
      <c r="F1599" s="1034" t="str">
        <f t="shared" si="354"/>
        <v/>
      </c>
      <c r="G1599" s="1033"/>
      <c r="H1599" s="1033"/>
      <c r="I1599" s="1034" t="str">
        <f t="shared" si="355"/>
        <v/>
      </c>
      <c r="J1599" s="1033"/>
      <c r="K1599" s="1033"/>
      <c r="L1599" s="1034" t="str">
        <f t="shared" si="356"/>
        <v/>
      </c>
      <c r="M1599" s="1035"/>
      <c r="N1599" s="1035"/>
      <c r="O1599" s="1036" t="str">
        <f t="shared" si="357"/>
        <v/>
      </c>
      <c r="P1599" s="1033"/>
      <c r="Q1599" s="1033"/>
      <c r="R1599" s="1034" t="str">
        <f t="shared" si="358"/>
        <v/>
      </c>
      <c r="S1599" s="1033"/>
      <c r="T1599" s="1035"/>
      <c r="U1599" s="1034" t="str">
        <f t="shared" si="359"/>
        <v/>
      </c>
      <c r="V1599" s="1035"/>
      <c r="W1599" s="1035"/>
      <c r="X1599" s="1037" t="str">
        <f t="shared" ref="X1599:X1615" si="360">+Y1599&amp;Z1599</f>
        <v>6</v>
      </c>
      <c r="Y1599" s="1035"/>
      <c r="Z1599" s="1035">
        <f t="shared" si="349"/>
        <v>6</v>
      </c>
      <c r="AA1599" s="1035"/>
      <c r="AB1599" s="1033" t="s">
        <v>2988</v>
      </c>
      <c r="AC1599" s="1021">
        <v>610701</v>
      </c>
      <c r="AD1599" s="1021" t="s">
        <v>136</v>
      </c>
      <c r="AE1599" s="1022">
        <f>VLOOKUP(AC1599,[5]Hoja1!$A$10:$K$1393,11,0)</f>
        <v>51067930</v>
      </c>
      <c r="AF1599" s="1022"/>
      <c r="AG1599" s="1022">
        <f t="shared" si="350"/>
        <v>51067930</v>
      </c>
      <c r="AH1599" s="1022">
        <f t="shared" si="351"/>
        <v>51068</v>
      </c>
      <c r="AK1599" s="448"/>
      <c r="AL1599" s="445"/>
    </row>
    <row r="1600" spans="1:38" s="467" customFormat="1" ht="12.75" customHeight="1">
      <c r="A1600" s="1033">
        <v>5312200</v>
      </c>
      <c r="B1600" s="1033" t="s">
        <v>998</v>
      </c>
      <c r="C1600" s="1034" t="str">
        <f t="shared" si="353"/>
        <v/>
      </c>
      <c r="D1600" s="1033"/>
      <c r="E1600" s="1033"/>
      <c r="F1600" s="1034" t="str">
        <f t="shared" si="354"/>
        <v/>
      </c>
      <c r="G1600" s="1033"/>
      <c r="H1600" s="1033"/>
      <c r="I1600" s="1034" t="str">
        <f t="shared" si="355"/>
        <v/>
      </c>
      <c r="J1600" s="1033"/>
      <c r="K1600" s="1033"/>
      <c r="L1600" s="1034" t="str">
        <f t="shared" si="356"/>
        <v/>
      </c>
      <c r="M1600" s="1035"/>
      <c r="N1600" s="1035"/>
      <c r="O1600" s="1036" t="str">
        <f t="shared" si="357"/>
        <v/>
      </c>
      <c r="P1600" s="1033"/>
      <c r="Q1600" s="1033"/>
      <c r="R1600" s="1034" t="str">
        <f t="shared" si="358"/>
        <v/>
      </c>
      <c r="S1600" s="1033"/>
      <c r="T1600" s="1035"/>
      <c r="U1600" s="1034" t="str">
        <f t="shared" si="359"/>
        <v/>
      </c>
      <c r="V1600" s="1035"/>
      <c r="W1600" s="1035"/>
      <c r="X1600" s="1037" t="str">
        <f t="shared" si="360"/>
        <v>6</v>
      </c>
      <c r="Y1600" s="1035"/>
      <c r="Z1600" s="1035">
        <f t="shared" si="349"/>
        <v>6</v>
      </c>
      <c r="AA1600" s="1035"/>
      <c r="AB1600" s="1033" t="s">
        <v>2988</v>
      </c>
      <c r="AC1600" s="1021">
        <v>610702</v>
      </c>
      <c r="AD1600" s="1021" t="s">
        <v>138</v>
      </c>
      <c r="AE1600" s="1022">
        <f>VLOOKUP(AC1600,[5]Hoja1!$A$10:$K$1393,11,0)</f>
        <v>2175520</v>
      </c>
      <c r="AF1600" s="1022"/>
      <c r="AG1600" s="1022">
        <f t="shared" si="350"/>
        <v>2175520</v>
      </c>
      <c r="AH1600" s="1022">
        <f t="shared" si="351"/>
        <v>2176</v>
      </c>
      <c r="AK1600" s="448"/>
      <c r="AL1600" s="445"/>
    </row>
    <row r="1601" spans="1:38" s="467" customFormat="1" ht="12.75" customHeight="1">
      <c r="A1601" s="1033">
        <v>5312200</v>
      </c>
      <c r="B1601" s="1033" t="s">
        <v>998</v>
      </c>
      <c r="C1601" s="1034" t="str">
        <f t="shared" si="353"/>
        <v/>
      </c>
      <c r="D1601" s="1033"/>
      <c r="E1601" s="1033"/>
      <c r="F1601" s="1034" t="str">
        <f t="shared" si="354"/>
        <v/>
      </c>
      <c r="G1601" s="1033"/>
      <c r="H1601" s="1033"/>
      <c r="I1601" s="1034" t="str">
        <f t="shared" si="355"/>
        <v/>
      </c>
      <c r="J1601" s="1033"/>
      <c r="K1601" s="1033"/>
      <c r="L1601" s="1034" t="str">
        <f t="shared" si="356"/>
        <v/>
      </c>
      <c r="M1601" s="1035"/>
      <c r="N1601" s="1035"/>
      <c r="O1601" s="1036" t="str">
        <f t="shared" si="357"/>
        <v/>
      </c>
      <c r="P1601" s="1033"/>
      <c r="Q1601" s="1033"/>
      <c r="R1601" s="1034" t="str">
        <f t="shared" si="358"/>
        <v/>
      </c>
      <c r="S1601" s="1033"/>
      <c r="T1601" s="1035"/>
      <c r="U1601" s="1034" t="str">
        <f t="shared" si="359"/>
        <v/>
      </c>
      <c r="V1601" s="1035"/>
      <c r="W1601" s="1035"/>
      <c r="X1601" s="1037" t="str">
        <f t="shared" si="360"/>
        <v>6</v>
      </c>
      <c r="Y1601" s="1035"/>
      <c r="Z1601" s="1035">
        <f t="shared" si="349"/>
        <v>6</v>
      </c>
      <c r="AA1601" s="1035"/>
      <c r="AB1601" s="1033" t="s">
        <v>2988</v>
      </c>
      <c r="AC1601" s="1021">
        <v>610703</v>
      </c>
      <c r="AD1601" s="1021" t="s">
        <v>139</v>
      </c>
      <c r="AE1601" s="1022">
        <f>VLOOKUP(AC1601,[5]Hoja1!$A$10:$K$1393,11,0)</f>
        <v>138970</v>
      </c>
      <c r="AF1601" s="1022"/>
      <c r="AG1601" s="1022">
        <f t="shared" si="350"/>
        <v>138970</v>
      </c>
      <c r="AH1601" s="1022">
        <f t="shared" si="351"/>
        <v>139</v>
      </c>
      <c r="AK1601" s="448"/>
      <c r="AL1601" s="445"/>
    </row>
    <row r="1602" spans="1:38" s="467" customFormat="1" ht="12.75" customHeight="1">
      <c r="A1602" s="1033">
        <v>5312200</v>
      </c>
      <c r="B1602" s="1033" t="s">
        <v>998</v>
      </c>
      <c r="C1602" s="1034" t="str">
        <f t="shared" si="353"/>
        <v/>
      </c>
      <c r="D1602" s="1033"/>
      <c r="E1602" s="1033"/>
      <c r="F1602" s="1034" t="str">
        <f t="shared" si="354"/>
        <v/>
      </c>
      <c r="G1602" s="1033"/>
      <c r="H1602" s="1033"/>
      <c r="I1602" s="1034" t="str">
        <f t="shared" si="355"/>
        <v/>
      </c>
      <c r="J1602" s="1033"/>
      <c r="K1602" s="1033"/>
      <c r="L1602" s="1034" t="str">
        <f t="shared" si="356"/>
        <v/>
      </c>
      <c r="M1602" s="1035"/>
      <c r="N1602" s="1035"/>
      <c r="O1602" s="1036" t="str">
        <f t="shared" si="357"/>
        <v/>
      </c>
      <c r="P1602" s="1033"/>
      <c r="Q1602" s="1033"/>
      <c r="R1602" s="1034" t="str">
        <f t="shared" si="358"/>
        <v/>
      </c>
      <c r="S1602" s="1033"/>
      <c r="T1602" s="1035"/>
      <c r="U1602" s="1034" t="str">
        <f t="shared" si="359"/>
        <v/>
      </c>
      <c r="V1602" s="1035"/>
      <c r="W1602" s="1035"/>
      <c r="X1602" s="1037" t="str">
        <f t="shared" si="360"/>
        <v>6</v>
      </c>
      <c r="Y1602" s="1035"/>
      <c r="Z1602" s="1035">
        <f t="shared" si="349"/>
        <v>6</v>
      </c>
      <c r="AA1602" s="1035"/>
      <c r="AB1602" s="1033" t="s">
        <v>2988</v>
      </c>
      <c r="AC1602" s="1021">
        <v>610704</v>
      </c>
      <c r="AD1602" s="1021" t="s">
        <v>140</v>
      </c>
      <c r="AE1602" s="1022">
        <f>VLOOKUP(AC1602,[5]Hoja1!$A$10:$K$1393,11,0)</f>
        <v>28092447</v>
      </c>
      <c r="AF1602" s="1022"/>
      <c r="AG1602" s="1022">
        <f t="shared" si="350"/>
        <v>28092447</v>
      </c>
      <c r="AH1602" s="1022">
        <f t="shared" si="351"/>
        <v>28092</v>
      </c>
      <c r="AK1602" s="448"/>
      <c r="AL1602" s="445"/>
    </row>
    <row r="1603" spans="1:38" s="467" customFormat="1" ht="12.75" customHeight="1">
      <c r="A1603" s="1033">
        <v>5312200</v>
      </c>
      <c r="B1603" s="1033" t="s">
        <v>998</v>
      </c>
      <c r="C1603" s="1034" t="str">
        <f t="shared" si="353"/>
        <v/>
      </c>
      <c r="D1603" s="1033"/>
      <c r="E1603" s="1033"/>
      <c r="F1603" s="1034" t="str">
        <f t="shared" si="354"/>
        <v/>
      </c>
      <c r="G1603" s="1033"/>
      <c r="H1603" s="1033"/>
      <c r="I1603" s="1034" t="str">
        <f t="shared" si="355"/>
        <v/>
      </c>
      <c r="J1603" s="1033"/>
      <c r="K1603" s="1033"/>
      <c r="L1603" s="1034" t="str">
        <f t="shared" si="356"/>
        <v/>
      </c>
      <c r="M1603" s="1035"/>
      <c r="N1603" s="1035"/>
      <c r="O1603" s="1036" t="str">
        <f t="shared" si="357"/>
        <v/>
      </c>
      <c r="P1603" s="1033"/>
      <c r="Q1603" s="1033"/>
      <c r="R1603" s="1034" t="str">
        <f t="shared" si="358"/>
        <v/>
      </c>
      <c r="S1603" s="1033"/>
      <c r="T1603" s="1035"/>
      <c r="U1603" s="1034" t="str">
        <f t="shared" si="359"/>
        <v/>
      </c>
      <c r="V1603" s="1035"/>
      <c r="W1603" s="1035"/>
      <c r="X1603" s="1037" t="str">
        <f t="shared" si="360"/>
        <v>6</v>
      </c>
      <c r="Y1603" s="1035"/>
      <c r="Z1603" s="1035">
        <f t="shared" si="349"/>
        <v>6</v>
      </c>
      <c r="AA1603" s="1035"/>
      <c r="AB1603" s="1033" t="s">
        <v>2991</v>
      </c>
      <c r="AC1603" s="1021">
        <v>610705</v>
      </c>
      <c r="AD1603" s="1021" t="s">
        <v>141</v>
      </c>
      <c r="AE1603" s="1022">
        <f>VLOOKUP(AC1603,[5]Hoja1!$A$10:$K$1393,11,0)</f>
        <v>25044898</v>
      </c>
      <c r="AF1603" s="1022"/>
      <c r="AG1603" s="1022">
        <f t="shared" si="350"/>
        <v>25044898</v>
      </c>
      <c r="AH1603" s="1022">
        <f t="shared" si="351"/>
        <v>25045</v>
      </c>
      <c r="AK1603" s="448"/>
      <c r="AL1603" s="445"/>
    </row>
    <row r="1604" spans="1:38" s="467" customFormat="1" ht="12.75" customHeight="1">
      <c r="A1604" s="1033">
        <v>5312200</v>
      </c>
      <c r="B1604" s="1033" t="s">
        <v>998</v>
      </c>
      <c r="C1604" s="1034" t="str">
        <f t="shared" si="353"/>
        <v/>
      </c>
      <c r="D1604" s="1033"/>
      <c r="E1604" s="1033"/>
      <c r="F1604" s="1034" t="str">
        <f t="shared" si="354"/>
        <v/>
      </c>
      <c r="G1604" s="1033"/>
      <c r="H1604" s="1033"/>
      <c r="I1604" s="1034" t="str">
        <f t="shared" si="355"/>
        <v/>
      </c>
      <c r="J1604" s="1033"/>
      <c r="K1604" s="1033"/>
      <c r="L1604" s="1034" t="str">
        <f t="shared" si="356"/>
        <v/>
      </c>
      <c r="M1604" s="1035"/>
      <c r="N1604" s="1035"/>
      <c r="O1604" s="1036" t="str">
        <f t="shared" si="357"/>
        <v/>
      </c>
      <c r="P1604" s="1033"/>
      <c r="Q1604" s="1033"/>
      <c r="R1604" s="1034" t="str">
        <f t="shared" si="358"/>
        <v/>
      </c>
      <c r="S1604" s="1033"/>
      <c r="T1604" s="1035"/>
      <c r="U1604" s="1034" t="str">
        <f t="shared" si="359"/>
        <v/>
      </c>
      <c r="V1604" s="1035"/>
      <c r="W1604" s="1035"/>
      <c r="X1604" s="1037" t="str">
        <f t="shared" si="360"/>
        <v>6</v>
      </c>
      <c r="Y1604" s="1035"/>
      <c r="Z1604" s="1035">
        <f t="shared" si="349"/>
        <v>6</v>
      </c>
      <c r="AA1604" s="1035"/>
      <c r="AB1604" s="1033" t="s">
        <v>2991</v>
      </c>
      <c r="AC1604" s="1021">
        <v>610706</v>
      </c>
      <c r="AD1604" s="1021" t="s">
        <v>1065</v>
      </c>
      <c r="AE1604" s="1022">
        <f>VLOOKUP(AC1604,[5]Hoja1!$A$10:$K$1393,11,0)</f>
        <v>1980993</v>
      </c>
      <c r="AF1604" s="1022"/>
      <c r="AG1604" s="1022">
        <f t="shared" si="350"/>
        <v>1980993</v>
      </c>
      <c r="AH1604" s="1022">
        <f t="shared" si="351"/>
        <v>1981</v>
      </c>
      <c r="AK1604" s="448"/>
      <c r="AL1604" s="445"/>
    </row>
    <row r="1605" spans="1:38" s="467" customFormat="1" ht="12.75" customHeight="1">
      <c r="A1605" s="1033">
        <v>5312200</v>
      </c>
      <c r="B1605" s="1033" t="s">
        <v>998</v>
      </c>
      <c r="C1605" s="1034" t="str">
        <f t="shared" si="353"/>
        <v/>
      </c>
      <c r="D1605" s="1033"/>
      <c r="E1605" s="1033"/>
      <c r="F1605" s="1034" t="str">
        <f t="shared" si="354"/>
        <v/>
      </c>
      <c r="G1605" s="1033"/>
      <c r="H1605" s="1033"/>
      <c r="I1605" s="1034" t="str">
        <f t="shared" si="355"/>
        <v/>
      </c>
      <c r="J1605" s="1033"/>
      <c r="K1605" s="1033"/>
      <c r="L1605" s="1034" t="str">
        <f t="shared" si="356"/>
        <v/>
      </c>
      <c r="M1605" s="1035"/>
      <c r="N1605" s="1035"/>
      <c r="O1605" s="1036" t="str">
        <f t="shared" si="357"/>
        <v/>
      </c>
      <c r="P1605" s="1033"/>
      <c r="Q1605" s="1033"/>
      <c r="R1605" s="1034" t="str">
        <f t="shared" si="358"/>
        <v/>
      </c>
      <c r="S1605" s="1033"/>
      <c r="T1605" s="1035"/>
      <c r="U1605" s="1034" t="str">
        <f t="shared" si="359"/>
        <v/>
      </c>
      <c r="V1605" s="1035"/>
      <c r="W1605" s="1035"/>
      <c r="X1605" s="1037" t="str">
        <f t="shared" si="360"/>
        <v>6</v>
      </c>
      <c r="Y1605" s="1035"/>
      <c r="Z1605" s="1035">
        <f t="shared" si="349"/>
        <v>6</v>
      </c>
      <c r="AA1605" s="1035"/>
      <c r="AB1605" s="1033" t="s">
        <v>2991</v>
      </c>
      <c r="AC1605" s="1021">
        <v>610707</v>
      </c>
      <c r="AD1605" s="1021" t="s">
        <v>1066</v>
      </c>
      <c r="AE1605" s="1022">
        <f>VLOOKUP(AC1605,[5]Hoja1!$A$10:$K$1393,11,0)</f>
        <v>34776463</v>
      </c>
      <c r="AF1605" s="1022"/>
      <c r="AG1605" s="1022">
        <f t="shared" si="350"/>
        <v>34776463</v>
      </c>
      <c r="AH1605" s="1022">
        <f t="shared" si="351"/>
        <v>34776</v>
      </c>
      <c r="AK1605" s="448"/>
      <c r="AL1605" s="445"/>
    </row>
    <row r="1606" spans="1:38" s="467" customFormat="1" ht="12.75" customHeight="1">
      <c r="A1606" s="1033">
        <v>5312200</v>
      </c>
      <c r="B1606" s="1033" t="s">
        <v>998</v>
      </c>
      <c r="C1606" s="1034" t="str">
        <f t="shared" si="353"/>
        <v/>
      </c>
      <c r="D1606" s="1033"/>
      <c r="E1606" s="1033"/>
      <c r="F1606" s="1034" t="str">
        <f t="shared" si="354"/>
        <v/>
      </c>
      <c r="G1606" s="1033"/>
      <c r="H1606" s="1033"/>
      <c r="I1606" s="1034" t="str">
        <f t="shared" si="355"/>
        <v/>
      </c>
      <c r="J1606" s="1033"/>
      <c r="K1606" s="1033"/>
      <c r="L1606" s="1034" t="str">
        <f t="shared" si="356"/>
        <v/>
      </c>
      <c r="M1606" s="1035"/>
      <c r="N1606" s="1035"/>
      <c r="O1606" s="1036" t="str">
        <f t="shared" si="357"/>
        <v/>
      </c>
      <c r="P1606" s="1033"/>
      <c r="Q1606" s="1033"/>
      <c r="R1606" s="1034" t="str">
        <f t="shared" si="358"/>
        <v/>
      </c>
      <c r="S1606" s="1033"/>
      <c r="T1606" s="1035"/>
      <c r="U1606" s="1034" t="str">
        <f t="shared" si="359"/>
        <v/>
      </c>
      <c r="V1606" s="1035"/>
      <c r="W1606" s="1035"/>
      <c r="X1606" s="1037" t="str">
        <f t="shared" si="360"/>
        <v>6</v>
      </c>
      <c r="Y1606" s="1035"/>
      <c r="Z1606" s="1035">
        <f t="shared" si="349"/>
        <v>6</v>
      </c>
      <c r="AA1606" s="1035"/>
      <c r="AB1606" s="1033" t="s">
        <v>2991</v>
      </c>
      <c r="AC1606" s="1021">
        <v>610708</v>
      </c>
      <c r="AD1606" s="1021" t="s">
        <v>1068</v>
      </c>
      <c r="AE1606" s="1022">
        <f>VLOOKUP(AC1606,[5]Hoja1!$A$10:$K$1393,11,0)</f>
        <v>1391623</v>
      </c>
      <c r="AF1606" s="1022"/>
      <c r="AG1606" s="1022">
        <f t="shared" si="350"/>
        <v>1391623</v>
      </c>
      <c r="AH1606" s="1022">
        <f t="shared" si="351"/>
        <v>1392</v>
      </c>
      <c r="AK1606" s="448"/>
      <c r="AL1606" s="445"/>
    </row>
    <row r="1607" spans="1:38" s="467" customFormat="1" ht="12.75" customHeight="1">
      <c r="A1607" s="1033">
        <v>5312200</v>
      </c>
      <c r="B1607" s="1033" t="s">
        <v>998</v>
      </c>
      <c r="C1607" s="1034" t="str">
        <f t="shared" si="353"/>
        <v/>
      </c>
      <c r="D1607" s="1033"/>
      <c r="E1607" s="1033"/>
      <c r="F1607" s="1034" t="str">
        <f t="shared" si="354"/>
        <v/>
      </c>
      <c r="G1607" s="1033"/>
      <c r="H1607" s="1033"/>
      <c r="I1607" s="1034" t="str">
        <f t="shared" si="355"/>
        <v/>
      </c>
      <c r="J1607" s="1033"/>
      <c r="K1607" s="1033"/>
      <c r="L1607" s="1034" t="str">
        <f t="shared" si="356"/>
        <v/>
      </c>
      <c r="M1607" s="1035"/>
      <c r="N1607" s="1035"/>
      <c r="O1607" s="1036" t="str">
        <f t="shared" si="357"/>
        <v/>
      </c>
      <c r="P1607" s="1033"/>
      <c r="Q1607" s="1033"/>
      <c r="R1607" s="1034" t="str">
        <f t="shared" si="358"/>
        <v/>
      </c>
      <c r="S1607" s="1033"/>
      <c r="T1607" s="1035"/>
      <c r="U1607" s="1034" t="str">
        <f t="shared" si="359"/>
        <v/>
      </c>
      <c r="V1607" s="1035"/>
      <c r="W1607" s="1035"/>
      <c r="X1607" s="1037" t="str">
        <f t="shared" si="360"/>
        <v>6</v>
      </c>
      <c r="Y1607" s="1035"/>
      <c r="Z1607" s="1035">
        <f t="shared" si="349"/>
        <v>6</v>
      </c>
      <c r="AA1607" s="1035"/>
      <c r="AB1607" s="1033" t="s">
        <v>2991</v>
      </c>
      <c r="AC1607" s="1021">
        <v>610709</v>
      </c>
      <c r="AD1607" s="1021" t="s">
        <v>1069</v>
      </c>
      <c r="AE1607" s="1022">
        <f>VLOOKUP(AC1607,[5]Hoja1!$A$10:$K$1393,11,0)</f>
        <v>15050</v>
      </c>
      <c r="AF1607" s="1022"/>
      <c r="AG1607" s="1022">
        <f t="shared" si="350"/>
        <v>15050</v>
      </c>
      <c r="AH1607" s="1022">
        <f t="shared" si="351"/>
        <v>15</v>
      </c>
      <c r="AK1607" s="448"/>
      <c r="AL1607" s="445"/>
    </row>
    <row r="1608" spans="1:38" s="467" customFormat="1" ht="12.75" customHeight="1">
      <c r="A1608" s="1033">
        <v>5312200</v>
      </c>
      <c r="B1608" s="1033" t="s">
        <v>998</v>
      </c>
      <c r="C1608" s="1034" t="str">
        <f t="shared" si="353"/>
        <v/>
      </c>
      <c r="D1608" s="1033"/>
      <c r="E1608" s="1033"/>
      <c r="F1608" s="1034" t="str">
        <f t="shared" si="354"/>
        <v/>
      </c>
      <c r="G1608" s="1033"/>
      <c r="H1608" s="1033"/>
      <c r="I1608" s="1034" t="str">
        <f t="shared" si="355"/>
        <v/>
      </c>
      <c r="J1608" s="1033"/>
      <c r="K1608" s="1033"/>
      <c r="L1608" s="1034" t="str">
        <f t="shared" si="356"/>
        <v/>
      </c>
      <c r="M1608" s="1035"/>
      <c r="N1608" s="1035"/>
      <c r="O1608" s="1036" t="str">
        <f t="shared" si="357"/>
        <v/>
      </c>
      <c r="P1608" s="1033"/>
      <c r="Q1608" s="1033"/>
      <c r="R1608" s="1034" t="str">
        <f t="shared" si="358"/>
        <v/>
      </c>
      <c r="S1608" s="1033"/>
      <c r="T1608" s="1035"/>
      <c r="U1608" s="1034" t="str">
        <f t="shared" si="359"/>
        <v/>
      </c>
      <c r="V1608" s="1035"/>
      <c r="W1608" s="1035"/>
      <c r="X1608" s="1037" t="str">
        <f t="shared" si="360"/>
        <v>6</v>
      </c>
      <c r="Y1608" s="1035"/>
      <c r="Z1608" s="1035">
        <f t="shared" si="349"/>
        <v>6</v>
      </c>
      <c r="AA1608" s="1035"/>
      <c r="AB1608" s="1033" t="s">
        <v>2991</v>
      </c>
      <c r="AC1608" s="1021">
        <v>610710</v>
      </c>
      <c r="AD1608" s="1021" t="s">
        <v>1070</v>
      </c>
      <c r="AE1608" s="1022">
        <f>VLOOKUP(AC1608,[5]Hoja1!$A$10:$K$1393,11,0)</f>
        <v>70116151</v>
      </c>
      <c r="AF1608" s="1022"/>
      <c r="AG1608" s="1022">
        <f t="shared" si="350"/>
        <v>70116151</v>
      </c>
      <c r="AH1608" s="1022">
        <f t="shared" si="351"/>
        <v>70116</v>
      </c>
      <c r="AK1608" s="448"/>
      <c r="AL1608" s="445"/>
    </row>
    <row r="1609" spans="1:38" s="467" customFormat="1" ht="12.75" customHeight="1">
      <c r="A1609" s="1033">
        <v>5312200</v>
      </c>
      <c r="B1609" s="1033" t="s">
        <v>998</v>
      </c>
      <c r="C1609" s="1034" t="str">
        <f t="shared" si="353"/>
        <v/>
      </c>
      <c r="D1609" s="1033"/>
      <c r="E1609" s="1033"/>
      <c r="F1609" s="1034" t="str">
        <f t="shared" si="354"/>
        <v/>
      </c>
      <c r="G1609" s="1033"/>
      <c r="H1609" s="1033"/>
      <c r="I1609" s="1034" t="str">
        <f t="shared" si="355"/>
        <v/>
      </c>
      <c r="J1609" s="1033"/>
      <c r="K1609" s="1033"/>
      <c r="L1609" s="1034" t="str">
        <f t="shared" si="356"/>
        <v/>
      </c>
      <c r="M1609" s="1035"/>
      <c r="N1609" s="1035"/>
      <c r="O1609" s="1036" t="str">
        <f t="shared" si="357"/>
        <v/>
      </c>
      <c r="P1609" s="1033"/>
      <c r="Q1609" s="1033"/>
      <c r="R1609" s="1034" t="str">
        <f t="shared" si="358"/>
        <v/>
      </c>
      <c r="S1609" s="1033"/>
      <c r="T1609" s="1035"/>
      <c r="U1609" s="1034" t="str">
        <f t="shared" si="359"/>
        <v/>
      </c>
      <c r="V1609" s="1035"/>
      <c r="W1609" s="1035"/>
      <c r="X1609" s="1037" t="str">
        <f t="shared" si="360"/>
        <v>6</v>
      </c>
      <c r="Y1609" s="1035"/>
      <c r="Z1609" s="1035">
        <f t="shared" si="349"/>
        <v>6</v>
      </c>
      <c r="AA1609" s="1035"/>
      <c r="AB1609" s="1033" t="s">
        <v>2991</v>
      </c>
      <c r="AC1609" s="1021">
        <v>610711</v>
      </c>
      <c r="AD1609" s="1021" t="s">
        <v>1702</v>
      </c>
      <c r="AE1609" s="1022">
        <f>VLOOKUP(AC1609,[5]Hoja1!$A$10:$K$1393,11,0)</f>
        <v>9107185</v>
      </c>
      <c r="AF1609" s="1022"/>
      <c r="AG1609" s="1022">
        <f t="shared" si="350"/>
        <v>9107185</v>
      </c>
      <c r="AH1609" s="1022">
        <f t="shared" si="351"/>
        <v>9107</v>
      </c>
      <c r="AK1609" s="448"/>
      <c r="AL1609" s="445"/>
    </row>
    <row r="1610" spans="1:38" s="467" customFormat="1" ht="12.75" customHeight="1">
      <c r="A1610" s="1033">
        <v>5312200</v>
      </c>
      <c r="B1610" s="1033" t="s">
        <v>998</v>
      </c>
      <c r="C1610" s="1034" t="str">
        <f t="shared" si="353"/>
        <v/>
      </c>
      <c r="D1610" s="1033"/>
      <c r="E1610" s="1033"/>
      <c r="F1610" s="1034" t="str">
        <f t="shared" si="354"/>
        <v/>
      </c>
      <c r="G1610" s="1033"/>
      <c r="H1610" s="1033"/>
      <c r="I1610" s="1034" t="str">
        <f t="shared" si="355"/>
        <v/>
      </c>
      <c r="J1610" s="1033"/>
      <c r="K1610" s="1033"/>
      <c r="L1610" s="1034" t="str">
        <f t="shared" si="356"/>
        <v/>
      </c>
      <c r="M1610" s="1035"/>
      <c r="N1610" s="1035"/>
      <c r="O1610" s="1036" t="str">
        <f t="shared" si="357"/>
        <v/>
      </c>
      <c r="P1610" s="1033"/>
      <c r="Q1610" s="1033"/>
      <c r="R1610" s="1034" t="str">
        <f t="shared" si="358"/>
        <v/>
      </c>
      <c r="S1610" s="1033"/>
      <c r="T1610" s="1035"/>
      <c r="U1610" s="1034" t="str">
        <f t="shared" si="359"/>
        <v/>
      </c>
      <c r="V1610" s="1035"/>
      <c r="W1610" s="1035"/>
      <c r="X1610" s="1037" t="str">
        <f t="shared" si="360"/>
        <v>6</v>
      </c>
      <c r="Y1610" s="1035"/>
      <c r="Z1610" s="1035">
        <f t="shared" si="349"/>
        <v>6</v>
      </c>
      <c r="AA1610" s="1035"/>
      <c r="AB1610" s="1033" t="s">
        <v>2991</v>
      </c>
      <c r="AC1610" s="1021">
        <v>610712</v>
      </c>
      <c r="AD1610" s="1021" t="s">
        <v>1071</v>
      </c>
      <c r="AE1610" s="1022">
        <f>VLOOKUP(AC1610,[5]Hoja1!$A$10:$K$1393,11,0)</f>
        <v>0</v>
      </c>
      <c r="AF1610" s="1022"/>
      <c r="AG1610" s="1022">
        <f t="shared" si="350"/>
        <v>0</v>
      </c>
      <c r="AH1610" s="1022">
        <f t="shared" si="351"/>
        <v>0</v>
      </c>
      <c r="AK1610" s="448"/>
      <c r="AL1610" s="445"/>
    </row>
    <row r="1611" spans="1:38" s="467" customFormat="1" ht="12.75" customHeight="1">
      <c r="A1611" s="1033">
        <v>5312200</v>
      </c>
      <c r="B1611" s="1033" t="s">
        <v>998</v>
      </c>
      <c r="C1611" s="1034" t="str">
        <f t="shared" si="353"/>
        <v/>
      </c>
      <c r="D1611" s="1033"/>
      <c r="E1611" s="1033"/>
      <c r="F1611" s="1034" t="str">
        <f t="shared" si="354"/>
        <v/>
      </c>
      <c r="G1611" s="1033"/>
      <c r="H1611" s="1033"/>
      <c r="I1611" s="1034" t="str">
        <f t="shared" si="355"/>
        <v/>
      </c>
      <c r="J1611" s="1033"/>
      <c r="K1611" s="1033"/>
      <c r="L1611" s="1034" t="str">
        <f t="shared" si="356"/>
        <v/>
      </c>
      <c r="M1611" s="1035"/>
      <c r="N1611" s="1035"/>
      <c r="O1611" s="1036" t="str">
        <f t="shared" si="357"/>
        <v/>
      </c>
      <c r="P1611" s="1033"/>
      <c r="Q1611" s="1033"/>
      <c r="R1611" s="1034" t="str">
        <f t="shared" si="358"/>
        <v/>
      </c>
      <c r="S1611" s="1033"/>
      <c r="T1611" s="1035"/>
      <c r="U1611" s="1034" t="str">
        <f t="shared" si="359"/>
        <v/>
      </c>
      <c r="V1611" s="1035"/>
      <c r="W1611" s="1035"/>
      <c r="X1611" s="1037" t="str">
        <f t="shared" si="360"/>
        <v>6</v>
      </c>
      <c r="Y1611" s="1035"/>
      <c r="Z1611" s="1035">
        <f t="shared" si="349"/>
        <v>6</v>
      </c>
      <c r="AA1611" s="1035"/>
      <c r="AB1611" s="1033" t="s">
        <v>2991</v>
      </c>
      <c r="AC1611" s="1021">
        <v>610713</v>
      </c>
      <c r="AD1611" s="1021" t="s">
        <v>1646</v>
      </c>
      <c r="AE1611" s="1022">
        <f>VLOOKUP(AC1611,[5]Hoja1!$A$10:$K$1393,11,0)</f>
        <v>73227341</v>
      </c>
      <c r="AF1611" s="1022"/>
      <c r="AG1611" s="1022">
        <f t="shared" si="350"/>
        <v>73227341</v>
      </c>
      <c r="AH1611" s="1022">
        <f t="shared" si="351"/>
        <v>73227</v>
      </c>
      <c r="AK1611" s="448"/>
      <c r="AL1611" s="445"/>
    </row>
    <row r="1612" spans="1:38" s="467" customFormat="1" ht="12.75" customHeight="1">
      <c r="A1612" s="1033">
        <v>5312200</v>
      </c>
      <c r="B1612" s="1033" t="s">
        <v>998</v>
      </c>
      <c r="C1612" s="1034" t="str">
        <f t="shared" si="353"/>
        <v/>
      </c>
      <c r="D1612" s="1033"/>
      <c r="E1612" s="1033"/>
      <c r="F1612" s="1034" t="str">
        <f t="shared" si="354"/>
        <v/>
      </c>
      <c r="G1612" s="1033"/>
      <c r="H1612" s="1033"/>
      <c r="I1612" s="1034" t="str">
        <f t="shared" si="355"/>
        <v/>
      </c>
      <c r="J1612" s="1033"/>
      <c r="K1612" s="1033"/>
      <c r="L1612" s="1034" t="str">
        <f t="shared" si="356"/>
        <v/>
      </c>
      <c r="M1612" s="1035"/>
      <c r="N1612" s="1035"/>
      <c r="O1612" s="1036" t="str">
        <f t="shared" si="357"/>
        <v/>
      </c>
      <c r="P1612" s="1033"/>
      <c r="Q1612" s="1033"/>
      <c r="R1612" s="1034" t="str">
        <f t="shared" si="358"/>
        <v/>
      </c>
      <c r="S1612" s="1033"/>
      <c r="T1612" s="1035"/>
      <c r="U1612" s="1034" t="str">
        <f t="shared" si="359"/>
        <v/>
      </c>
      <c r="V1612" s="1035"/>
      <c r="W1612" s="1035"/>
      <c r="X1612" s="1037" t="str">
        <f t="shared" si="360"/>
        <v>6</v>
      </c>
      <c r="Y1612" s="1035"/>
      <c r="Z1612" s="1035">
        <f t="shared" si="349"/>
        <v>6</v>
      </c>
      <c r="AA1612" s="1035"/>
      <c r="AB1612" s="1033" t="s">
        <v>2991</v>
      </c>
      <c r="AC1612" s="1021">
        <v>610714</v>
      </c>
      <c r="AD1612" s="1021" t="s">
        <v>620</v>
      </c>
      <c r="AE1612" s="1022">
        <f>VLOOKUP(AC1612,[5]Hoja1!$A$10:$K$1393,11,0)</f>
        <v>19499510</v>
      </c>
      <c r="AF1612" s="1022"/>
      <c r="AG1612" s="1022">
        <f t="shared" si="350"/>
        <v>19499510</v>
      </c>
      <c r="AH1612" s="1022">
        <f t="shared" si="351"/>
        <v>19500</v>
      </c>
      <c r="AK1612" s="448"/>
      <c r="AL1612" s="445"/>
    </row>
    <row r="1613" spans="1:38" s="467" customFormat="1" ht="12.75" customHeight="1">
      <c r="A1613" s="1033">
        <v>5312200</v>
      </c>
      <c r="B1613" s="1033" t="s">
        <v>998</v>
      </c>
      <c r="C1613" s="1034" t="str">
        <f t="shared" si="353"/>
        <v/>
      </c>
      <c r="D1613" s="1033"/>
      <c r="E1613" s="1033"/>
      <c r="F1613" s="1034" t="str">
        <f t="shared" si="354"/>
        <v/>
      </c>
      <c r="G1613" s="1033"/>
      <c r="H1613" s="1033"/>
      <c r="I1613" s="1034" t="str">
        <f t="shared" si="355"/>
        <v/>
      </c>
      <c r="J1613" s="1033"/>
      <c r="K1613" s="1033"/>
      <c r="L1613" s="1034" t="str">
        <f t="shared" si="356"/>
        <v/>
      </c>
      <c r="M1613" s="1035"/>
      <c r="N1613" s="1035"/>
      <c r="O1613" s="1036" t="str">
        <f t="shared" si="357"/>
        <v/>
      </c>
      <c r="P1613" s="1033"/>
      <c r="Q1613" s="1033"/>
      <c r="R1613" s="1034" t="str">
        <f t="shared" si="358"/>
        <v/>
      </c>
      <c r="S1613" s="1033"/>
      <c r="T1613" s="1035"/>
      <c r="U1613" s="1034" t="str">
        <f t="shared" si="359"/>
        <v/>
      </c>
      <c r="V1613" s="1035"/>
      <c r="W1613" s="1035"/>
      <c r="X1613" s="1037" t="str">
        <f t="shared" si="360"/>
        <v>6</v>
      </c>
      <c r="Y1613" s="1035"/>
      <c r="Z1613" s="1035">
        <f t="shared" si="349"/>
        <v>6</v>
      </c>
      <c r="AA1613" s="1035"/>
      <c r="AB1613" s="1033" t="s">
        <v>2988</v>
      </c>
      <c r="AC1613" s="1021">
        <v>610715</v>
      </c>
      <c r="AD1613" s="1021" t="s">
        <v>2488</v>
      </c>
      <c r="AE1613" s="1022">
        <f>VLOOKUP(AC1613,[5]Hoja1!$A$10:$K$1393,11,0)</f>
        <v>18849</v>
      </c>
      <c r="AF1613" s="1022"/>
      <c r="AG1613" s="1022">
        <f t="shared" si="350"/>
        <v>18849</v>
      </c>
      <c r="AH1613" s="1022">
        <f t="shared" si="351"/>
        <v>19</v>
      </c>
      <c r="AK1613" s="448"/>
      <c r="AL1613" s="445"/>
    </row>
    <row r="1614" spans="1:38" s="467" customFormat="1" ht="12.75" customHeight="1">
      <c r="A1614" s="1033">
        <v>5312200</v>
      </c>
      <c r="B1614" s="1033" t="s">
        <v>998</v>
      </c>
      <c r="C1614" s="1034" t="str">
        <f t="shared" si="353"/>
        <v/>
      </c>
      <c r="D1614" s="1033"/>
      <c r="E1614" s="1033"/>
      <c r="F1614" s="1034" t="str">
        <f t="shared" si="354"/>
        <v/>
      </c>
      <c r="G1614" s="1033"/>
      <c r="H1614" s="1033"/>
      <c r="I1614" s="1034" t="str">
        <f t="shared" si="355"/>
        <v/>
      </c>
      <c r="J1614" s="1033"/>
      <c r="K1614" s="1033"/>
      <c r="L1614" s="1034" t="str">
        <f t="shared" si="356"/>
        <v/>
      </c>
      <c r="M1614" s="1035"/>
      <c r="N1614" s="1035"/>
      <c r="O1614" s="1036" t="str">
        <f t="shared" si="357"/>
        <v/>
      </c>
      <c r="P1614" s="1033"/>
      <c r="Q1614" s="1033"/>
      <c r="R1614" s="1034" t="str">
        <f t="shared" si="358"/>
        <v/>
      </c>
      <c r="S1614" s="1033"/>
      <c r="T1614" s="1035"/>
      <c r="U1614" s="1034" t="str">
        <f t="shared" si="359"/>
        <v/>
      </c>
      <c r="V1614" s="1035"/>
      <c r="W1614" s="1035"/>
      <c r="X1614" s="1037" t="str">
        <f t="shared" si="360"/>
        <v>6</v>
      </c>
      <c r="Y1614" s="1035"/>
      <c r="Z1614" s="1035">
        <f t="shared" si="349"/>
        <v>6</v>
      </c>
      <c r="AA1614" s="1035"/>
      <c r="AB1614" s="1033" t="s">
        <v>2991</v>
      </c>
      <c r="AC1614" s="1021">
        <v>610716</v>
      </c>
      <c r="AD1614" s="1021" t="s">
        <v>621</v>
      </c>
      <c r="AE1614" s="1022">
        <f>VLOOKUP(AC1614,[5]Hoja1!$A$10:$K$1393,11,0)</f>
        <v>21292840</v>
      </c>
      <c r="AF1614" s="1022"/>
      <c r="AG1614" s="1022">
        <f t="shared" si="350"/>
        <v>21292840</v>
      </c>
      <c r="AH1614" s="1022">
        <f t="shared" si="351"/>
        <v>21293</v>
      </c>
      <c r="AK1614" s="448"/>
      <c r="AL1614" s="445"/>
    </row>
    <row r="1615" spans="1:38" s="467" customFormat="1" ht="12.75" customHeight="1">
      <c r="A1615" s="1033">
        <v>5312200</v>
      </c>
      <c r="B1615" s="1033" t="s">
        <v>998</v>
      </c>
      <c r="C1615" s="1034" t="str">
        <f t="shared" si="353"/>
        <v/>
      </c>
      <c r="D1615" s="1033"/>
      <c r="E1615" s="1033"/>
      <c r="F1615" s="1034" t="str">
        <f t="shared" si="354"/>
        <v/>
      </c>
      <c r="G1615" s="1033"/>
      <c r="H1615" s="1033"/>
      <c r="I1615" s="1034" t="str">
        <f t="shared" si="355"/>
        <v/>
      </c>
      <c r="J1615" s="1033"/>
      <c r="K1615" s="1033"/>
      <c r="L1615" s="1034" t="str">
        <f t="shared" si="356"/>
        <v/>
      </c>
      <c r="M1615" s="1035"/>
      <c r="N1615" s="1035"/>
      <c r="O1615" s="1036" t="str">
        <f t="shared" si="357"/>
        <v/>
      </c>
      <c r="P1615" s="1033"/>
      <c r="Q1615" s="1033"/>
      <c r="R1615" s="1034" t="str">
        <f t="shared" si="358"/>
        <v/>
      </c>
      <c r="S1615" s="1033"/>
      <c r="T1615" s="1035"/>
      <c r="U1615" s="1034" t="str">
        <f t="shared" si="359"/>
        <v/>
      </c>
      <c r="V1615" s="1035"/>
      <c r="W1615" s="1035"/>
      <c r="X1615" s="1037" t="str">
        <f t="shared" si="360"/>
        <v>6</v>
      </c>
      <c r="Y1615" s="1035"/>
      <c r="Z1615" s="1035">
        <f t="shared" si="349"/>
        <v>6</v>
      </c>
      <c r="AA1615" s="1035"/>
      <c r="AB1615" s="1033" t="s">
        <v>2991</v>
      </c>
      <c r="AC1615" s="1021">
        <v>610717</v>
      </c>
      <c r="AD1615" s="1021" t="s">
        <v>622</v>
      </c>
      <c r="AE1615" s="1022">
        <f>VLOOKUP(AC1615,[5]Hoja1!$A$10:$K$1393,11,0)</f>
        <v>1325000</v>
      </c>
      <c r="AF1615" s="1022"/>
      <c r="AG1615" s="1022">
        <f t="shared" si="350"/>
        <v>1325000</v>
      </c>
      <c r="AH1615" s="1022">
        <f t="shared" si="351"/>
        <v>1325</v>
      </c>
      <c r="AK1615" s="448"/>
      <c r="AL1615" s="445"/>
    </row>
    <row r="1616" spans="1:38" s="467" customFormat="1" ht="12.75" customHeight="1">
      <c r="A1616" s="1033">
        <v>5312200</v>
      </c>
      <c r="B1616" s="1033" t="s">
        <v>998</v>
      </c>
      <c r="C1616" s="1034"/>
      <c r="D1616" s="1033"/>
      <c r="E1616" s="1033"/>
      <c r="F1616" s="1034"/>
      <c r="G1616" s="1033"/>
      <c r="H1616" s="1033"/>
      <c r="I1616" s="1034"/>
      <c r="J1616" s="1033"/>
      <c r="K1616" s="1033"/>
      <c r="L1616" s="1034"/>
      <c r="M1616" s="1035"/>
      <c r="N1616" s="1035"/>
      <c r="O1616" s="1036"/>
      <c r="P1616" s="1033"/>
      <c r="Q1616" s="1033"/>
      <c r="R1616" s="1034"/>
      <c r="S1616" s="1033"/>
      <c r="T1616" s="1035"/>
      <c r="U1616" s="1034"/>
      <c r="V1616" s="1035"/>
      <c r="W1616" s="1035"/>
      <c r="X1616" s="1037"/>
      <c r="Y1616" s="1035"/>
      <c r="Z1616" s="1035">
        <f t="shared" si="349"/>
        <v>6</v>
      </c>
      <c r="AA1616" s="1035"/>
      <c r="AB1616" s="1033" t="s">
        <v>2991</v>
      </c>
      <c r="AC1616" s="1021">
        <v>610718</v>
      </c>
      <c r="AD1616" s="1021" t="s">
        <v>533</v>
      </c>
      <c r="AE1616" s="1022">
        <f>VLOOKUP(AC1616,[5]Hoja1!$A$10:$K$1393,11,0)</f>
        <v>0</v>
      </c>
      <c r="AF1616" s="1022"/>
      <c r="AG1616" s="1022">
        <f t="shared" si="350"/>
        <v>0</v>
      </c>
      <c r="AH1616" s="1022">
        <f t="shared" si="351"/>
        <v>0</v>
      </c>
      <c r="AK1616" s="448"/>
      <c r="AL1616" s="445"/>
    </row>
    <row r="1617" spans="1:38" s="467" customFormat="1" ht="12.75" customHeight="1">
      <c r="A1617" s="1033">
        <v>5312200</v>
      </c>
      <c r="B1617" s="1033" t="s">
        <v>998</v>
      </c>
      <c r="C1617" s="1034"/>
      <c r="D1617" s="1033"/>
      <c r="E1617" s="1033"/>
      <c r="F1617" s="1034"/>
      <c r="G1617" s="1033"/>
      <c r="H1617" s="1033"/>
      <c r="I1617" s="1034"/>
      <c r="J1617" s="1033"/>
      <c r="K1617" s="1033"/>
      <c r="L1617" s="1034"/>
      <c r="M1617" s="1035"/>
      <c r="N1617" s="1035"/>
      <c r="O1617" s="1036"/>
      <c r="P1617" s="1033"/>
      <c r="Q1617" s="1033"/>
      <c r="R1617" s="1034"/>
      <c r="S1617" s="1033"/>
      <c r="T1617" s="1035"/>
      <c r="U1617" s="1034"/>
      <c r="V1617" s="1035"/>
      <c r="W1617" s="1035"/>
      <c r="X1617" s="1037"/>
      <c r="Y1617" s="1035"/>
      <c r="Z1617" s="1035">
        <f t="shared" si="349"/>
        <v>6</v>
      </c>
      <c r="AA1617" s="1035"/>
      <c r="AB1617" s="1033" t="s">
        <v>2991</v>
      </c>
      <c r="AC1617" s="1021">
        <v>610719</v>
      </c>
      <c r="AD1617" s="1021" t="s">
        <v>534</v>
      </c>
      <c r="AE1617" s="1022">
        <f>VLOOKUP(AC1617,[5]Hoja1!$A$10:$K$1393,11,0)</f>
        <v>-538664</v>
      </c>
      <c r="AF1617" s="1022"/>
      <c r="AG1617" s="1022">
        <f t="shared" si="350"/>
        <v>-538664</v>
      </c>
      <c r="AH1617" s="1022">
        <f t="shared" si="351"/>
        <v>-539</v>
      </c>
      <c r="AK1617" s="448"/>
      <c r="AL1617" s="445"/>
    </row>
    <row r="1618" spans="1:38" s="467" customFormat="1" ht="12.75" customHeight="1">
      <c r="A1618" s="1033">
        <v>5312200</v>
      </c>
      <c r="B1618" s="1033" t="s">
        <v>998</v>
      </c>
      <c r="C1618" s="1034"/>
      <c r="D1618" s="1033"/>
      <c r="E1618" s="1033"/>
      <c r="F1618" s="1034"/>
      <c r="G1618" s="1033"/>
      <c r="H1618" s="1033"/>
      <c r="I1618" s="1034"/>
      <c r="J1618" s="1033"/>
      <c r="K1618" s="1033"/>
      <c r="L1618" s="1034"/>
      <c r="M1618" s="1035"/>
      <c r="N1618" s="1035"/>
      <c r="O1618" s="1036"/>
      <c r="P1618" s="1033"/>
      <c r="Q1618" s="1033"/>
      <c r="R1618" s="1034"/>
      <c r="S1618" s="1033"/>
      <c r="T1618" s="1035"/>
      <c r="U1618" s="1034"/>
      <c r="V1618" s="1035"/>
      <c r="W1618" s="1035"/>
      <c r="X1618" s="1037"/>
      <c r="Y1618" s="1035"/>
      <c r="Z1618" s="1035">
        <f t="shared" si="349"/>
        <v>6</v>
      </c>
      <c r="AA1618" s="1035"/>
      <c r="AB1618" s="1033" t="s">
        <v>2991</v>
      </c>
      <c r="AC1618" s="1021">
        <v>610720</v>
      </c>
      <c r="AD1618" s="1021" t="s">
        <v>2489</v>
      </c>
      <c r="AE1618" s="1022">
        <f>VLOOKUP(AC1618,[5]Hoja1!$A$10:$K$1393,11,0)</f>
        <v>0</v>
      </c>
      <c r="AF1618" s="1022"/>
      <c r="AG1618" s="1022">
        <f t="shared" si="350"/>
        <v>0</v>
      </c>
      <c r="AH1618" s="1022">
        <f t="shared" si="351"/>
        <v>0</v>
      </c>
      <c r="AK1618" s="448"/>
      <c r="AL1618" s="445"/>
    </row>
    <row r="1619" spans="1:38" s="467" customFormat="1" ht="12.75" customHeight="1">
      <c r="A1619" s="1033">
        <v>5312200</v>
      </c>
      <c r="B1619" s="1033" t="s">
        <v>998</v>
      </c>
      <c r="C1619" s="1034"/>
      <c r="D1619" s="1033"/>
      <c r="E1619" s="1033"/>
      <c r="F1619" s="1034"/>
      <c r="G1619" s="1033"/>
      <c r="H1619" s="1033"/>
      <c r="I1619" s="1034"/>
      <c r="J1619" s="1033"/>
      <c r="K1619" s="1033"/>
      <c r="L1619" s="1034"/>
      <c r="M1619" s="1035"/>
      <c r="N1619" s="1035"/>
      <c r="O1619" s="1036"/>
      <c r="P1619" s="1033"/>
      <c r="Q1619" s="1033"/>
      <c r="R1619" s="1034"/>
      <c r="S1619" s="1033"/>
      <c r="T1619" s="1035"/>
      <c r="U1619" s="1034"/>
      <c r="V1619" s="1035"/>
      <c r="W1619" s="1035"/>
      <c r="X1619" s="1037"/>
      <c r="Y1619" s="1035"/>
      <c r="Z1619" s="1035">
        <f t="shared" si="349"/>
        <v>6</v>
      </c>
      <c r="AA1619" s="1035"/>
      <c r="AB1619" s="1033" t="s">
        <v>2991</v>
      </c>
      <c r="AC1619" s="1021">
        <v>610721</v>
      </c>
      <c r="AD1619" s="1021" t="s">
        <v>2490</v>
      </c>
      <c r="AE1619" s="1022">
        <f>VLOOKUP(AC1619,[5]Hoja1!$A$10:$K$1393,11,0)</f>
        <v>2738</v>
      </c>
      <c r="AF1619" s="1022"/>
      <c r="AG1619" s="1022">
        <f t="shared" si="350"/>
        <v>2738</v>
      </c>
      <c r="AH1619" s="1022">
        <f t="shared" si="351"/>
        <v>3</v>
      </c>
      <c r="AK1619" s="448"/>
      <c r="AL1619" s="445"/>
    </row>
    <row r="1620" spans="1:38" s="467" customFormat="1" ht="12.75" customHeight="1">
      <c r="A1620" s="1033"/>
      <c r="B1620" s="1033"/>
      <c r="C1620" s="1034"/>
      <c r="D1620" s="1033"/>
      <c r="E1620" s="1033"/>
      <c r="F1620" s="1034"/>
      <c r="G1620" s="1033"/>
      <c r="H1620" s="1033"/>
      <c r="I1620" s="1034"/>
      <c r="J1620" s="1033"/>
      <c r="K1620" s="1033"/>
      <c r="L1620" s="1034"/>
      <c r="M1620" s="1035"/>
      <c r="N1620" s="1035"/>
      <c r="O1620" s="1036"/>
      <c r="P1620" s="1033"/>
      <c r="Q1620" s="1033"/>
      <c r="R1620" s="1034"/>
      <c r="S1620" s="1033"/>
      <c r="T1620" s="1035"/>
      <c r="U1620" s="1034"/>
      <c r="V1620" s="1035"/>
      <c r="W1620" s="1035"/>
      <c r="X1620" s="1037"/>
      <c r="Y1620" s="1035"/>
      <c r="Z1620" s="1035">
        <f t="shared" si="349"/>
        <v>6</v>
      </c>
      <c r="AA1620" s="1035"/>
      <c r="AB1620" s="1033"/>
      <c r="AC1620" s="1021">
        <v>610722</v>
      </c>
      <c r="AD1620" s="1021" t="s">
        <v>535</v>
      </c>
      <c r="AE1620" s="1022">
        <v>0</v>
      </c>
      <c r="AF1620" s="1022"/>
      <c r="AG1620" s="1022">
        <f t="shared" si="350"/>
        <v>0</v>
      </c>
      <c r="AH1620" s="1022">
        <f t="shared" si="351"/>
        <v>0</v>
      </c>
      <c r="AK1620" s="448"/>
      <c r="AL1620" s="445"/>
    </row>
    <row r="1621" spans="1:38" s="467" customFormat="1" ht="12.75" customHeight="1">
      <c r="A1621" s="1033">
        <v>5312200</v>
      </c>
      <c r="B1621" s="1033" t="s">
        <v>998</v>
      </c>
      <c r="C1621" s="1034"/>
      <c r="D1621" s="1033"/>
      <c r="E1621" s="1033"/>
      <c r="F1621" s="1034"/>
      <c r="G1621" s="1033"/>
      <c r="H1621" s="1033"/>
      <c r="I1621" s="1034"/>
      <c r="J1621" s="1033"/>
      <c r="K1621" s="1033"/>
      <c r="L1621" s="1034"/>
      <c r="M1621" s="1035"/>
      <c r="N1621" s="1035"/>
      <c r="O1621" s="1036"/>
      <c r="P1621" s="1033"/>
      <c r="Q1621" s="1033"/>
      <c r="R1621" s="1034"/>
      <c r="S1621" s="1033"/>
      <c r="T1621" s="1035"/>
      <c r="U1621" s="1034"/>
      <c r="V1621" s="1035"/>
      <c r="W1621" s="1035"/>
      <c r="X1621" s="1037"/>
      <c r="Y1621" s="1035"/>
      <c r="Z1621" s="1035">
        <f t="shared" si="349"/>
        <v>6</v>
      </c>
      <c r="AA1621" s="1035"/>
      <c r="AB1621" s="1033" t="s">
        <v>2991</v>
      </c>
      <c r="AC1621" s="1021">
        <v>610723</v>
      </c>
      <c r="AD1621" s="1021" t="s">
        <v>514</v>
      </c>
      <c r="AE1621" s="1022">
        <f>VLOOKUP(AC1621,[5]Hoja1!$A$10:$K$1393,11,0)</f>
        <v>0</v>
      </c>
      <c r="AF1621" s="1022"/>
      <c r="AG1621" s="1022">
        <f t="shared" si="350"/>
        <v>0</v>
      </c>
      <c r="AH1621" s="1022">
        <f t="shared" si="351"/>
        <v>0</v>
      </c>
      <c r="AK1621" s="448"/>
      <c r="AL1621" s="445"/>
    </row>
    <row r="1622" spans="1:38" s="467" customFormat="1" ht="12.75" customHeight="1">
      <c r="A1622" s="1033">
        <v>5312200</v>
      </c>
      <c r="B1622" s="1033" t="s">
        <v>998</v>
      </c>
      <c r="C1622" s="1034"/>
      <c r="D1622" s="1033"/>
      <c r="E1622" s="1033"/>
      <c r="F1622" s="1034"/>
      <c r="G1622" s="1033"/>
      <c r="H1622" s="1033"/>
      <c r="I1622" s="1034"/>
      <c r="J1622" s="1033"/>
      <c r="K1622" s="1033"/>
      <c r="L1622" s="1034"/>
      <c r="M1622" s="1035"/>
      <c r="N1622" s="1035"/>
      <c r="O1622" s="1036"/>
      <c r="P1622" s="1033"/>
      <c r="Q1622" s="1033"/>
      <c r="R1622" s="1034"/>
      <c r="S1622" s="1033"/>
      <c r="T1622" s="1035"/>
      <c r="U1622" s="1034"/>
      <c r="V1622" s="1035"/>
      <c r="W1622" s="1035"/>
      <c r="X1622" s="1037"/>
      <c r="Y1622" s="1035"/>
      <c r="Z1622" s="1035">
        <f t="shared" si="349"/>
        <v>6</v>
      </c>
      <c r="AA1622" s="1035"/>
      <c r="AB1622" s="1033" t="s">
        <v>2991</v>
      </c>
      <c r="AC1622" s="1021">
        <v>610724</v>
      </c>
      <c r="AD1622" s="1021" t="s">
        <v>833</v>
      </c>
      <c r="AE1622" s="1022">
        <f>VLOOKUP(AC1622,[5]Hoja1!$A$10:$K$1393,11,0)</f>
        <v>0</v>
      </c>
      <c r="AF1622" s="1022"/>
      <c r="AG1622" s="1022">
        <f t="shared" si="350"/>
        <v>0</v>
      </c>
      <c r="AH1622" s="1022">
        <f t="shared" si="351"/>
        <v>0</v>
      </c>
      <c r="AK1622" s="448"/>
      <c r="AL1622" s="445"/>
    </row>
    <row r="1623" spans="1:38" s="467" customFormat="1" ht="12.75" customHeight="1">
      <c r="A1623" s="1033">
        <v>5312200</v>
      </c>
      <c r="B1623" s="1033" t="s">
        <v>998</v>
      </c>
      <c r="C1623" s="1034" t="str">
        <f t="shared" si="353"/>
        <v/>
      </c>
      <c r="D1623" s="1033"/>
      <c r="E1623" s="1033"/>
      <c r="F1623" s="1034" t="str">
        <f t="shared" si="354"/>
        <v/>
      </c>
      <c r="G1623" s="1033"/>
      <c r="H1623" s="1033"/>
      <c r="I1623" s="1034" t="str">
        <f t="shared" si="355"/>
        <v/>
      </c>
      <c r="J1623" s="1033"/>
      <c r="K1623" s="1033"/>
      <c r="L1623" s="1034" t="str">
        <f t="shared" si="356"/>
        <v/>
      </c>
      <c r="M1623" s="1035"/>
      <c r="N1623" s="1035"/>
      <c r="O1623" s="1036" t="str">
        <f t="shared" si="357"/>
        <v/>
      </c>
      <c r="P1623" s="1033"/>
      <c r="Q1623" s="1033"/>
      <c r="R1623" s="1034" t="str">
        <f t="shared" si="358"/>
        <v/>
      </c>
      <c r="S1623" s="1033"/>
      <c r="T1623" s="1035"/>
      <c r="U1623" s="1034" t="str">
        <f t="shared" si="359"/>
        <v/>
      </c>
      <c r="V1623" s="1035"/>
      <c r="W1623" s="1035"/>
      <c r="X1623" s="1037" t="str">
        <f t="shared" ref="X1623:X1642" si="361">+Y1623&amp;Z1623</f>
        <v>6</v>
      </c>
      <c r="Y1623" s="1035"/>
      <c r="Z1623" s="1035">
        <f t="shared" si="349"/>
        <v>6</v>
      </c>
      <c r="AA1623" s="1035"/>
      <c r="AB1623" s="1033" t="s">
        <v>2991</v>
      </c>
      <c r="AC1623" s="1021">
        <v>610801</v>
      </c>
      <c r="AD1623" s="1021" t="s">
        <v>1332</v>
      </c>
      <c r="AE1623" s="1022">
        <f>VLOOKUP(AC1623,[5]Hoja1!$A$10:$K$1393,11,0)</f>
        <v>0</v>
      </c>
      <c r="AF1623" s="1022"/>
      <c r="AG1623" s="1022">
        <f t="shared" si="350"/>
        <v>0</v>
      </c>
      <c r="AH1623" s="1022">
        <f t="shared" si="351"/>
        <v>0</v>
      </c>
      <c r="AK1623" s="448"/>
      <c r="AL1623" s="445"/>
    </row>
    <row r="1624" spans="1:38" s="467" customFormat="1" ht="12.75" customHeight="1">
      <c r="A1624" s="1033"/>
      <c r="B1624" s="1033"/>
      <c r="C1624" s="1034" t="str">
        <f t="shared" si="353"/>
        <v/>
      </c>
      <c r="D1624" s="1033"/>
      <c r="E1624" s="1033"/>
      <c r="F1624" s="1034" t="str">
        <f t="shared" si="354"/>
        <v/>
      </c>
      <c r="G1624" s="1033"/>
      <c r="H1624" s="1033"/>
      <c r="I1624" s="1034" t="str">
        <f t="shared" si="355"/>
        <v/>
      </c>
      <c r="J1624" s="1033"/>
      <c r="K1624" s="1033"/>
      <c r="L1624" s="1034" t="str">
        <f t="shared" si="356"/>
        <v/>
      </c>
      <c r="M1624" s="1035"/>
      <c r="N1624" s="1035"/>
      <c r="O1624" s="1036" t="str">
        <f t="shared" si="357"/>
        <v/>
      </c>
      <c r="P1624" s="1033"/>
      <c r="Q1624" s="1033"/>
      <c r="R1624" s="1034" t="str">
        <f t="shared" si="358"/>
        <v/>
      </c>
      <c r="S1624" s="1033"/>
      <c r="T1624" s="1035"/>
      <c r="U1624" s="1034" t="str">
        <f t="shared" si="359"/>
        <v/>
      </c>
      <c r="V1624" s="1035"/>
      <c r="W1624" s="1035"/>
      <c r="X1624" s="1037" t="str">
        <f t="shared" si="361"/>
        <v>6</v>
      </c>
      <c r="Y1624" s="1035"/>
      <c r="Z1624" s="1035">
        <f t="shared" si="349"/>
        <v>6</v>
      </c>
      <c r="AA1624" s="1035"/>
      <c r="AB1624" s="1033"/>
      <c r="AC1624" s="1021">
        <v>610802</v>
      </c>
      <c r="AD1624" s="1021" t="s">
        <v>2491</v>
      </c>
      <c r="AE1624" s="1022">
        <v>0</v>
      </c>
      <c r="AF1624" s="1022"/>
      <c r="AG1624" s="1022">
        <f t="shared" si="350"/>
        <v>0</v>
      </c>
      <c r="AH1624" s="1022">
        <f t="shared" si="351"/>
        <v>0</v>
      </c>
      <c r="AK1624" s="448"/>
      <c r="AL1624" s="445"/>
    </row>
    <row r="1625" spans="1:38" s="467" customFormat="1" ht="12.75" customHeight="1">
      <c r="A1625" s="1033">
        <v>5312200</v>
      </c>
      <c r="B1625" s="1033" t="s">
        <v>998</v>
      </c>
      <c r="C1625" s="1034" t="str">
        <f t="shared" si="353"/>
        <v/>
      </c>
      <c r="D1625" s="1033"/>
      <c r="E1625" s="1033"/>
      <c r="F1625" s="1034" t="str">
        <f t="shared" si="354"/>
        <v/>
      </c>
      <c r="G1625" s="1033"/>
      <c r="H1625" s="1033"/>
      <c r="I1625" s="1034" t="str">
        <f t="shared" si="355"/>
        <v/>
      </c>
      <c r="J1625" s="1033"/>
      <c r="K1625" s="1033"/>
      <c r="L1625" s="1034" t="str">
        <f t="shared" si="356"/>
        <v/>
      </c>
      <c r="M1625" s="1035"/>
      <c r="N1625" s="1035"/>
      <c r="O1625" s="1036" t="str">
        <f t="shared" si="357"/>
        <v/>
      </c>
      <c r="P1625" s="1033"/>
      <c r="Q1625" s="1033"/>
      <c r="R1625" s="1034" t="str">
        <f t="shared" si="358"/>
        <v/>
      </c>
      <c r="S1625" s="1033"/>
      <c r="T1625" s="1035"/>
      <c r="U1625" s="1034" t="str">
        <f t="shared" si="359"/>
        <v/>
      </c>
      <c r="V1625" s="1035"/>
      <c r="W1625" s="1035"/>
      <c r="X1625" s="1037" t="str">
        <f t="shared" si="361"/>
        <v>6</v>
      </c>
      <c r="Y1625" s="1035"/>
      <c r="Z1625" s="1035">
        <f t="shared" si="349"/>
        <v>6</v>
      </c>
      <c r="AA1625" s="1035"/>
      <c r="AB1625" s="1033" t="s">
        <v>2989</v>
      </c>
      <c r="AC1625" s="1021">
        <v>610803</v>
      </c>
      <c r="AD1625" s="1021" t="s">
        <v>1647</v>
      </c>
      <c r="AE1625" s="1022">
        <f>VLOOKUP(AC1625,[5]Hoja1!$A$10:$K$1393,11,0)</f>
        <v>693786521</v>
      </c>
      <c r="AF1625" s="1028">
        <f>2000-1000</f>
        <v>1000</v>
      </c>
      <c r="AG1625" s="1022">
        <f t="shared" si="350"/>
        <v>693787521</v>
      </c>
      <c r="AH1625" s="1022">
        <f>ROUND((AE1625+AF1625)/$AH$2,0)-3</f>
        <v>693785</v>
      </c>
      <c r="AK1625" s="448"/>
      <c r="AL1625" s="445"/>
    </row>
    <row r="1626" spans="1:38" s="467" customFormat="1" ht="12.75" customHeight="1">
      <c r="A1626" s="1033">
        <v>5312200</v>
      </c>
      <c r="B1626" s="1033" t="s">
        <v>998</v>
      </c>
      <c r="C1626" s="1034" t="str">
        <f t="shared" si="353"/>
        <v/>
      </c>
      <c r="D1626" s="1033"/>
      <c r="E1626" s="1033"/>
      <c r="F1626" s="1034" t="str">
        <f t="shared" si="354"/>
        <v/>
      </c>
      <c r="G1626" s="1033"/>
      <c r="H1626" s="1033"/>
      <c r="I1626" s="1034" t="str">
        <f t="shared" si="355"/>
        <v/>
      </c>
      <c r="J1626" s="1033"/>
      <c r="K1626" s="1033"/>
      <c r="L1626" s="1034" t="str">
        <f t="shared" si="356"/>
        <v/>
      </c>
      <c r="M1626" s="1035"/>
      <c r="N1626" s="1035"/>
      <c r="O1626" s="1036" t="str">
        <f t="shared" si="357"/>
        <v/>
      </c>
      <c r="P1626" s="1033"/>
      <c r="Q1626" s="1033"/>
      <c r="R1626" s="1034" t="str">
        <f t="shared" si="358"/>
        <v/>
      </c>
      <c r="S1626" s="1033"/>
      <c r="T1626" s="1035"/>
      <c r="U1626" s="1034" t="str">
        <f t="shared" si="359"/>
        <v/>
      </c>
      <c r="V1626" s="1035"/>
      <c r="W1626" s="1035"/>
      <c r="X1626" s="1037" t="str">
        <f t="shared" si="361"/>
        <v>6</v>
      </c>
      <c r="Y1626" s="1035"/>
      <c r="Z1626" s="1035">
        <f t="shared" si="349"/>
        <v>6</v>
      </c>
      <c r="AA1626" s="1035"/>
      <c r="AB1626" s="1033" t="s">
        <v>2991</v>
      </c>
      <c r="AC1626" s="1021">
        <v>610804</v>
      </c>
      <c r="AD1626" s="1021" t="s">
        <v>1009</v>
      </c>
      <c r="AE1626" s="1022">
        <f>VLOOKUP(AC1626,[5]Hoja1!$A$10:$K$1393,11,0)</f>
        <v>2118196</v>
      </c>
      <c r="AF1626" s="1022"/>
      <c r="AG1626" s="1022">
        <f t="shared" si="350"/>
        <v>2118196</v>
      </c>
      <c r="AH1626" s="1022">
        <f t="shared" si="351"/>
        <v>2118</v>
      </c>
      <c r="AK1626" s="448"/>
      <c r="AL1626" s="445"/>
    </row>
    <row r="1627" spans="1:38" s="467" customFormat="1" ht="12.75" customHeight="1">
      <c r="A1627" s="1033">
        <v>5312200</v>
      </c>
      <c r="B1627" s="1033" t="s">
        <v>998</v>
      </c>
      <c r="C1627" s="1034"/>
      <c r="D1627" s="1033"/>
      <c r="E1627" s="1033"/>
      <c r="F1627" s="1034"/>
      <c r="G1627" s="1033"/>
      <c r="H1627" s="1033"/>
      <c r="I1627" s="1034"/>
      <c r="J1627" s="1033"/>
      <c r="K1627" s="1033"/>
      <c r="L1627" s="1034"/>
      <c r="M1627" s="1035"/>
      <c r="N1627" s="1035"/>
      <c r="O1627" s="1036"/>
      <c r="P1627" s="1033"/>
      <c r="Q1627" s="1033"/>
      <c r="R1627" s="1034"/>
      <c r="S1627" s="1033"/>
      <c r="T1627" s="1035"/>
      <c r="U1627" s="1034"/>
      <c r="V1627" s="1035"/>
      <c r="W1627" s="1035"/>
      <c r="X1627" s="1037" t="str">
        <f t="shared" si="361"/>
        <v>6</v>
      </c>
      <c r="Y1627" s="1035"/>
      <c r="Z1627" s="1035">
        <f t="shared" si="349"/>
        <v>6</v>
      </c>
      <c r="AA1627" s="1035"/>
      <c r="AB1627" s="1033" t="s">
        <v>2989</v>
      </c>
      <c r="AC1627" s="1021">
        <v>610806</v>
      </c>
      <c r="AD1627" s="1021" t="s">
        <v>3468</v>
      </c>
      <c r="AE1627" s="1022">
        <f>VLOOKUP(AC1627,[5]Hoja1!$A$10:$K$1393,11,0)</f>
        <v>0</v>
      </c>
      <c r="AF1627" s="1022"/>
      <c r="AG1627" s="1022">
        <f t="shared" ref="AG1627" si="362">AE1627+AF1627</f>
        <v>0</v>
      </c>
      <c r="AH1627" s="1022">
        <f t="shared" ref="AH1627" si="363">ROUND((AE1627+AF1627)/$AH$2,0)</f>
        <v>0</v>
      </c>
      <c r="AK1627" s="448"/>
      <c r="AL1627" s="445"/>
    </row>
    <row r="1628" spans="1:38" s="467" customFormat="1" ht="12.75" customHeight="1">
      <c r="A1628" s="1033">
        <v>5312200</v>
      </c>
      <c r="B1628" s="1033" t="s">
        <v>998</v>
      </c>
      <c r="C1628" s="1034" t="str">
        <f t="shared" si="353"/>
        <v/>
      </c>
      <c r="D1628" s="1033"/>
      <c r="E1628" s="1033"/>
      <c r="F1628" s="1034" t="str">
        <f t="shared" si="354"/>
        <v/>
      </c>
      <c r="G1628" s="1033"/>
      <c r="H1628" s="1033"/>
      <c r="I1628" s="1034" t="str">
        <f t="shared" si="355"/>
        <v/>
      </c>
      <c r="J1628" s="1033"/>
      <c r="K1628" s="1033"/>
      <c r="L1628" s="1034" t="str">
        <f t="shared" si="356"/>
        <v/>
      </c>
      <c r="M1628" s="1035"/>
      <c r="N1628" s="1035"/>
      <c r="O1628" s="1036" t="str">
        <f t="shared" si="357"/>
        <v/>
      </c>
      <c r="P1628" s="1033"/>
      <c r="Q1628" s="1033"/>
      <c r="R1628" s="1034" t="str">
        <f t="shared" si="358"/>
        <v/>
      </c>
      <c r="S1628" s="1033"/>
      <c r="T1628" s="1035"/>
      <c r="U1628" s="1034" t="str">
        <f t="shared" si="359"/>
        <v/>
      </c>
      <c r="V1628" s="1035"/>
      <c r="W1628" s="1035"/>
      <c r="X1628" s="1037" t="str">
        <f t="shared" si="361"/>
        <v>6</v>
      </c>
      <c r="Y1628" s="1035"/>
      <c r="Z1628" s="1035">
        <f t="shared" si="349"/>
        <v>6</v>
      </c>
      <c r="AA1628" s="1035"/>
      <c r="AB1628" s="1033" t="s">
        <v>2991</v>
      </c>
      <c r="AC1628" s="1021">
        <v>610901</v>
      </c>
      <c r="AD1628" s="1021" t="s">
        <v>2492</v>
      </c>
      <c r="AE1628" s="1022">
        <f>VLOOKUP(AC1628,[5]Hoja1!$A$10:$K$1393,11,0)</f>
        <v>17562801</v>
      </c>
      <c r="AF1628" s="1022"/>
      <c r="AG1628" s="1022">
        <f t="shared" si="350"/>
        <v>17562801</v>
      </c>
      <c r="AH1628" s="1022">
        <f t="shared" si="351"/>
        <v>17563</v>
      </c>
      <c r="AK1628" s="448"/>
      <c r="AL1628" s="445"/>
    </row>
    <row r="1629" spans="1:38" s="467" customFormat="1" ht="12.75" customHeight="1">
      <c r="A1629" s="1033">
        <v>5312200</v>
      </c>
      <c r="B1629" s="1033" t="s">
        <v>998</v>
      </c>
      <c r="C1629" s="1034" t="str">
        <f t="shared" si="353"/>
        <v/>
      </c>
      <c r="D1629" s="1033"/>
      <c r="E1629" s="1033"/>
      <c r="F1629" s="1034" t="str">
        <f t="shared" si="354"/>
        <v/>
      </c>
      <c r="G1629" s="1033"/>
      <c r="H1629" s="1033"/>
      <c r="I1629" s="1034" t="str">
        <f t="shared" si="355"/>
        <v/>
      </c>
      <c r="J1629" s="1033"/>
      <c r="K1629" s="1033"/>
      <c r="L1629" s="1034" t="str">
        <f t="shared" si="356"/>
        <v/>
      </c>
      <c r="M1629" s="1035"/>
      <c r="N1629" s="1035"/>
      <c r="O1629" s="1036" t="str">
        <f t="shared" si="357"/>
        <v/>
      </c>
      <c r="P1629" s="1033"/>
      <c r="Q1629" s="1033"/>
      <c r="R1629" s="1034" t="str">
        <f t="shared" si="358"/>
        <v/>
      </c>
      <c r="S1629" s="1033"/>
      <c r="T1629" s="1035"/>
      <c r="U1629" s="1034" t="str">
        <f t="shared" si="359"/>
        <v/>
      </c>
      <c r="V1629" s="1035"/>
      <c r="W1629" s="1035"/>
      <c r="X1629" s="1037" t="str">
        <f t="shared" si="361"/>
        <v>6</v>
      </c>
      <c r="Y1629" s="1035"/>
      <c r="Z1629" s="1035">
        <f t="shared" si="349"/>
        <v>6</v>
      </c>
      <c r="AA1629" s="1035"/>
      <c r="AB1629" s="1033" t="s">
        <v>2990</v>
      </c>
      <c r="AC1629" s="1021">
        <v>610902</v>
      </c>
      <c r="AD1629" s="1021" t="s">
        <v>1180</v>
      </c>
      <c r="AE1629" s="1022">
        <f>VLOOKUP(AC1629,[5]Hoja1!$A$10:$K$1393,11,0)</f>
        <v>384822690</v>
      </c>
      <c r="AF1629" s="1022"/>
      <c r="AG1629" s="1022">
        <f t="shared" si="350"/>
        <v>384822690</v>
      </c>
      <c r="AH1629" s="1022">
        <f t="shared" si="351"/>
        <v>384823</v>
      </c>
      <c r="AK1629" s="448"/>
      <c r="AL1629" s="445"/>
    </row>
    <row r="1630" spans="1:38" s="467" customFormat="1" ht="12.75" customHeight="1">
      <c r="A1630" s="1033">
        <v>5311700</v>
      </c>
      <c r="B1630" s="1033" t="s">
        <v>129</v>
      </c>
      <c r="C1630" s="1034" t="str">
        <f t="shared" si="353"/>
        <v/>
      </c>
      <c r="D1630" s="1033"/>
      <c r="E1630" s="1033"/>
      <c r="F1630" s="1034" t="str">
        <f t="shared" si="354"/>
        <v/>
      </c>
      <c r="G1630" s="1033"/>
      <c r="H1630" s="1033"/>
      <c r="I1630" s="1034" t="str">
        <f t="shared" si="355"/>
        <v/>
      </c>
      <c r="J1630" s="1033"/>
      <c r="K1630" s="1033"/>
      <c r="L1630" s="1034" t="str">
        <f t="shared" si="356"/>
        <v/>
      </c>
      <c r="M1630" s="1035"/>
      <c r="N1630" s="1035"/>
      <c r="O1630" s="1036" t="str">
        <f t="shared" si="357"/>
        <v/>
      </c>
      <c r="P1630" s="1033"/>
      <c r="Q1630" s="1033"/>
      <c r="R1630" s="1034" t="str">
        <f t="shared" si="358"/>
        <v/>
      </c>
      <c r="S1630" s="1033"/>
      <c r="T1630" s="1035"/>
      <c r="U1630" s="1034" t="str">
        <f t="shared" si="359"/>
        <v>631102000212</v>
      </c>
      <c r="V1630" s="1035">
        <v>631102000</v>
      </c>
      <c r="W1630" s="1035">
        <v>212</v>
      </c>
      <c r="X1630" s="1037" t="str">
        <f t="shared" si="361"/>
        <v>6</v>
      </c>
      <c r="Y1630" s="1035"/>
      <c r="Z1630" s="1035">
        <f t="shared" si="349"/>
        <v>6</v>
      </c>
      <c r="AA1630" s="1035"/>
      <c r="AB1630" s="1033"/>
      <c r="AC1630" s="1021">
        <v>610903</v>
      </c>
      <c r="AD1630" s="1021" t="s">
        <v>1878</v>
      </c>
      <c r="AE1630" s="1022">
        <f>VLOOKUP(AC1630,[5]Hoja1!$A$10:$K$1393,11,0)</f>
        <v>6574144</v>
      </c>
      <c r="AF1630" s="1022"/>
      <c r="AG1630" s="1022">
        <f t="shared" si="350"/>
        <v>6574144</v>
      </c>
      <c r="AH1630" s="1022">
        <f t="shared" si="351"/>
        <v>6574</v>
      </c>
      <c r="AK1630" s="448"/>
      <c r="AL1630" s="445"/>
    </row>
    <row r="1631" spans="1:38" s="467" customFormat="1" ht="12.75" customHeight="1">
      <c r="A1631" s="1033">
        <v>5311700</v>
      </c>
      <c r="B1631" s="1033" t="s">
        <v>129</v>
      </c>
      <c r="C1631" s="1034" t="str">
        <f t="shared" si="353"/>
        <v/>
      </c>
      <c r="D1631" s="1033"/>
      <c r="E1631" s="1033"/>
      <c r="F1631" s="1034" t="str">
        <f t="shared" si="354"/>
        <v/>
      </c>
      <c r="G1631" s="1033"/>
      <c r="H1631" s="1033"/>
      <c r="I1631" s="1034" t="str">
        <f t="shared" si="355"/>
        <v/>
      </c>
      <c r="J1631" s="1033"/>
      <c r="K1631" s="1033"/>
      <c r="L1631" s="1034" t="str">
        <f t="shared" si="356"/>
        <v/>
      </c>
      <c r="M1631" s="1035"/>
      <c r="N1631" s="1035"/>
      <c r="O1631" s="1036" t="str">
        <f t="shared" si="357"/>
        <v/>
      </c>
      <c r="P1631" s="1033"/>
      <c r="Q1631" s="1033"/>
      <c r="R1631" s="1034" t="str">
        <f t="shared" si="358"/>
        <v/>
      </c>
      <c r="S1631" s="1033"/>
      <c r="T1631" s="1035"/>
      <c r="U1631" s="1034" t="str">
        <f t="shared" si="359"/>
        <v>631102000101</v>
      </c>
      <c r="V1631" s="1035">
        <v>631102000</v>
      </c>
      <c r="W1631" s="1035">
        <v>101</v>
      </c>
      <c r="X1631" s="1037" t="str">
        <f t="shared" si="361"/>
        <v>6</v>
      </c>
      <c r="Y1631" s="1035"/>
      <c r="Z1631" s="1035">
        <f t="shared" si="349"/>
        <v>6</v>
      </c>
      <c r="AA1631" s="1035"/>
      <c r="AB1631" s="1033"/>
      <c r="AC1631" s="1021">
        <v>610903</v>
      </c>
      <c r="AD1631" s="1024" t="s">
        <v>1878</v>
      </c>
      <c r="AE1631" s="1022">
        <v>0</v>
      </c>
      <c r="AF1631" s="1022"/>
      <c r="AG1631" s="1022">
        <f t="shared" si="350"/>
        <v>0</v>
      </c>
      <c r="AH1631" s="1022">
        <f t="shared" si="351"/>
        <v>0</v>
      </c>
      <c r="AK1631" s="448"/>
      <c r="AL1631" s="445"/>
    </row>
    <row r="1632" spans="1:38" s="467" customFormat="1" ht="12.75" customHeight="1">
      <c r="A1632" s="1033">
        <v>5311700</v>
      </c>
      <c r="B1632" s="1033" t="s">
        <v>129</v>
      </c>
      <c r="C1632" s="1034" t="str">
        <f t="shared" si="353"/>
        <v/>
      </c>
      <c r="D1632" s="1033"/>
      <c r="E1632" s="1033"/>
      <c r="F1632" s="1034" t="str">
        <f t="shared" si="354"/>
        <v/>
      </c>
      <c r="G1632" s="1033"/>
      <c r="H1632" s="1033"/>
      <c r="I1632" s="1034" t="str">
        <f t="shared" si="355"/>
        <v/>
      </c>
      <c r="J1632" s="1033"/>
      <c r="K1632" s="1033"/>
      <c r="L1632" s="1034" t="str">
        <f t="shared" si="356"/>
        <v/>
      </c>
      <c r="M1632" s="1035"/>
      <c r="N1632" s="1035"/>
      <c r="O1632" s="1036" t="str">
        <f t="shared" si="357"/>
        <v/>
      </c>
      <c r="P1632" s="1033"/>
      <c r="Q1632" s="1033"/>
      <c r="R1632" s="1034" t="str">
        <f t="shared" si="358"/>
        <v/>
      </c>
      <c r="S1632" s="1033"/>
      <c r="T1632" s="1035"/>
      <c r="U1632" s="1034" t="str">
        <f t="shared" si="359"/>
        <v>631102000103</v>
      </c>
      <c r="V1632" s="1035">
        <v>631102000</v>
      </c>
      <c r="W1632" s="1035">
        <v>103</v>
      </c>
      <c r="X1632" s="1037" t="str">
        <f t="shared" si="361"/>
        <v>6</v>
      </c>
      <c r="Y1632" s="1035"/>
      <c r="Z1632" s="1035">
        <f t="shared" si="349"/>
        <v>6</v>
      </c>
      <c r="AA1632" s="1035"/>
      <c r="AB1632" s="1033"/>
      <c r="AC1632" s="1021">
        <v>610903</v>
      </c>
      <c r="AD1632" s="1024" t="s">
        <v>1878</v>
      </c>
      <c r="AE1632" s="1022">
        <v>0</v>
      </c>
      <c r="AF1632" s="1022"/>
      <c r="AG1632" s="1022">
        <f t="shared" si="350"/>
        <v>0</v>
      </c>
      <c r="AH1632" s="1022">
        <f t="shared" si="351"/>
        <v>0</v>
      </c>
      <c r="AK1632" s="448"/>
      <c r="AL1632" s="445"/>
    </row>
    <row r="1633" spans="1:38" s="467" customFormat="1" ht="12.75" customHeight="1">
      <c r="A1633" s="1033">
        <v>5311700</v>
      </c>
      <c r="B1633" s="1033" t="s">
        <v>129</v>
      </c>
      <c r="C1633" s="1034" t="str">
        <f t="shared" si="353"/>
        <v/>
      </c>
      <c r="D1633" s="1033"/>
      <c r="E1633" s="1033"/>
      <c r="F1633" s="1034" t="str">
        <f t="shared" si="354"/>
        <v/>
      </c>
      <c r="G1633" s="1033"/>
      <c r="H1633" s="1033"/>
      <c r="I1633" s="1034" t="str">
        <f t="shared" si="355"/>
        <v/>
      </c>
      <c r="J1633" s="1033"/>
      <c r="K1633" s="1033"/>
      <c r="L1633" s="1034" t="str">
        <f t="shared" si="356"/>
        <v/>
      </c>
      <c r="M1633" s="1035"/>
      <c r="N1633" s="1035"/>
      <c r="O1633" s="1036" t="str">
        <f t="shared" si="357"/>
        <v/>
      </c>
      <c r="P1633" s="1033"/>
      <c r="Q1633" s="1033"/>
      <c r="R1633" s="1034" t="str">
        <f t="shared" si="358"/>
        <v/>
      </c>
      <c r="S1633" s="1033"/>
      <c r="T1633" s="1035"/>
      <c r="U1633" s="1034" t="str">
        <f t="shared" si="359"/>
        <v>631102000102</v>
      </c>
      <c r="V1633" s="1035">
        <v>631102000</v>
      </c>
      <c r="W1633" s="1035">
        <v>102</v>
      </c>
      <c r="X1633" s="1037" t="str">
        <f t="shared" si="361"/>
        <v>6</v>
      </c>
      <c r="Y1633" s="1035"/>
      <c r="Z1633" s="1035">
        <f t="shared" si="349"/>
        <v>6</v>
      </c>
      <c r="AA1633" s="1035"/>
      <c r="AB1633" s="1033"/>
      <c r="AC1633" s="1021">
        <v>610903</v>
      </c>
      <c r="AD1633" s="1024" t="s">
        <v>1878</v>
      </c>
      <c r="AE1633" s="1022">
        <v>0</v>
      </c>
      <c r="AF1633" s="1022"/>
      <c r="AG1633" s="1022">
        <f t="shared" si="350"/>
        <v>0</v>
      </c>
      <c r="AH1633" s="1022">
        <f t="shared" si="351"/>
        <v>0</v>
      </c>
      <c r="AK1633" s="448"/>
      <c r="AL1633" s="445"/>
    </row>
    <row r="1634" spans="1:38" s="467" customFormat="1" ht="12.75" customHeight="1">
      <c r="A1634" s="1033">
        <v>5311700</v>
      </c>
      <c r="B1634" s="1033" t="s">
        <v>129</v>
      </c>
      <c r="C1634" s="1034" t="str">
        <f t="shared" si="353"/>
        <v/>
      </c>
      <c r="D1634" s="1033"/>
      <c r="E1634" s="1033"/>
      <c r="F1634" s="1034" t="str">
        <f t="shared" si="354"/>
        <v/>
      </c>
      <c r="G1634" s="1033"/>
      <c r="H1634" s="1033"/>
      <c r="I1634" s="1034" t="str">
        <f t="shared" si="355"/>
        <v/>
      </c>
      <c r="J1634" s="1033"/>
      <c r="K1634" s="1033"/>
      <c r="L1634" s="1034" t="str">
        <f t="shared" si="356"/>
        <v/>
      </c>
      <c r="M1634" s="1035"/>
      <c r="N1634" s="1035"/>
      <c r="O1634" s="1036" t="str">
        <f t="shared" si="357"/>
        <v/>
      </c>
      <c r="P1634" s="1033"/>
      <c r="Q1634" s="1033"/>
      <c r="R1634" s="1034" t="str">
        <f t="shared" si="358"/>
        <v/>
      </c>
      <c r="S1634" s="1033"/>
      <c r="T1634" s="1035"/>
      <c r="U1634" s="1034" t="str">
        <f t="shared" si="359"/>
        <v>631102000209</v>
      </c>
      <c r="V1634" s="1035">
        <v>631102000</v>
      </c>
      <c r="W1634" s="1035">
        <v>209</v>
      </c>
      <c r="X1634" s="1037" t="str">
        <f t="shared" si="361"/>
        <v>6</v>
      </c>
      <c r="Y1634" s="1035"/>
      <c r="Z1634" s="1035">
        <f t="shared" si="349"/>
        <v>6</v>
      </c>
      <c r="AA1634" s="1035"/>
      <c r="AB1634" s="1033"/>
      <c r="AC1634" s="1021">
        <v>610903</v>
      </c>
      <c r="AD1634" s="1024" t="s">
        <v>1878</v>
      </c>
      <c r="AE1634" s="1022">
        <v>0</v>
      </c>
      <c r="AF1634" s="1022"/>
      <c r="AG1634" s="1022">
        <f t="shared" si="350"/>
        <v>0</v>
      </c>
      <c r="AH1634" s="1022">
        <f t="shared" si="351"/>
        <v>0</v>
      </c>
      <c r="AK1634" s="448"/>
      <c r="AL1634" s="445"/>
    </row>
    <row r="1635" spans="1:38" s="467" customFormat="1" ht="12.75" customHeight="1">
      <c r="A1635" s="1033">
        <v>5311700</v>
      </c>
      <c r="B1635" s="1033" t="s">
        <v>129</v>
      </c>
      <c r="C1635" s="1034" t="str">
        <f t="shared" si="353"/>
        <v/>
      </c>
      <c r="D1635" s="1033"/>
      <c r="E1635" s="1033"/>
      <c r="F1635" s="1034" t="str">
        <f t="shared" si="354"/>
        <v/>
      </c>
      <c r="G1635" s="1033"/>
      <c r="H1635" s="1033"/>
      <c r="I1635" s="1034" t="str">
        <f t="shared" si="355"/>
        <v/>
      </c>
      <c r="J1635" s="1033"/>
      <c r="K1635" s="1033"/>
      <c r="L1635" s="1034" t="str">
        <f t="shared" si="356"/>
        <v/>
      </c>
      <c r="M1635" s="1035"/>
      <c r="N1635" s="1035"/>
      <c r="O1635" s="1036" t="str">
        <f t="shared" si="357"/>
        <v/>
      </c>
      <c r="P1635" s="1033"/>
      <c r="Q1635" s="1033"/>
      <c r="R1635" s="1034" t="str">
        <f t="shared" si="358"/>
        <v/>
      </c>
      <c r="S1635" s="1033"/>
      <c r="T1635" s="1035"/>
      <c r="U1635" s="1034" t="str">
        <f t="shared" si="359"/>
        <v>631102000202</v>
      </c>
      <c r="V1635" s="1035">
        <v>631102000</v>
      </c>
      <c r="W1635" s="1035">
        <v>202</v>
      </c>
      <c r="X1635" s="1037" t="str">
        <f t="shared" si="361"/>
        <v>6</v>
      </c>
      <c r="Y1635" s="1035"/>
      <c r="Z1635" s="1035">
        <f t="shared" si="349"/>
        <v>6</v>
      </c>
      <c r="AA1635" s="1035"/>
      <c r="AB1635" s="1033"/>
      <c r="AC1635" s="1021">
        <v>610903</v>
      </c>
      <c r="AD1635" s="1024" t="s">
        <v>1878</v>
      </c>
      <c r="AE1635" s="1022">
        <v>0</v>
      </c>
      <c r="AF1635" s="1022"/>
      <c r="AG1635" s="1022">
        <f t="shared" si="350"/>
        <v>0</v>
      </c>
      <c r="AH1635" s="1022">
        <f t="shared" si="351"/>
        <v>0</v>
      </c>
      <c r="AK1635" s="448"/>
      <c r="AL1635" s="445"/>
    </row>
    <row r="1636" spans="1:38" s="467" customFormat="1" ht="12.75" customHeight="1">
      <c r="A1636" s="1033">
        <v>5311700</v>
      </c>
      <c r="B1636" s="1033" t="s">
        <v>129</v>
      </c>
      <c r="C1636" s="1034" t="str">
        <f t="shared" si="353"/>
        <v/>
      </c>
      <c r="D1636" s="1033"/>
      <c r="E1636" s="1033"/>
      <c r="F1636" s="1034" t="str">
        <f t="shared" si="354"/>
        <v/>
      </c>
      <c r="G1636" s="1033"/>
      <c r="H1636" s="1033"/>
      <c r="I1636" s="1034" t="str">
        <f t="shared" si="355"/>
        <v/>
      </c>
      <c r="J1636" s="1033"/>
      <c r="K1636" s="1033"/>
      <c r="L1636" s="1034" t="str">
        <f t="shared" si="356"/>
        <v/>
      </c>
      <c r="M1636" s="1035"/>
      <c r="N1636" s="1035"/>
      <c r="O1636" s="1036" t="str">
        <f t="shared" si="357"/>
        <v/>
      </c>
      <c r="P1636" s="1033"/>
      <c r="Q1636" s="1033"/>
      <c r="R1636" s="1034" t="str">
        <f t="shared" si="358"/>
        <v/>
      </c>
      <c r="S1636" s="1033"/>
      <c r="T1636" s="1035"/>
      <c r="U1636" s="1034" t="str">
        <f t="shared" si="359"/>
        <v>631102000109</v>
      </c>
      <c r="V1636" s="1035">
        <v>631102000</v>
      </c>
      <c r="W1636" s="1035">
        <v>109</v>
      </c>
      <c r="X1636" s="1037" t="str">
        <f t="shared" si="361"/>
        <v>6</v>
      </c>
      <c r="Y1636" s="1035"/>
      <c r="Z1636" s="1035">
        <f t="shared" si="349"/>
        <v>6</v>
      </c>
      <c r="AA1636" s="1035"/>
      <c r="AB1636" s="1033"/>
      <c r="AC1636" s="1021">
        <v>610903</v>
      </c>
      <c r="AD1636" s="1024" t="s">
        <v>1878</v>
      </c>
      <c r="AE1636" s="1022">
        <v>0</v>
      </c>
      <c r="AF1636" s="1022"/>
      <c r="AG1636" s="1022">
        <f t="shared" si="350"/>
        <v>0</v>
      </c>
      <c r="AH1636" s="1022">
        <f t="shared" si="351"/>
        <v>0</v>
      </c>
      <c r="AK1636" s="448"/>
      <c r="AL1636" s="445"/>
    </row>
    <row r="1637" spans="1:38" s="467" customFormat="1" ht="12.75" customHeight="1">
      <c r="A1637" s="1033">
        <v>5311700</v>
      </c>
      <c r="B1637" s="1033" t="s">
        <v>129</v>
      </c>
      <c r="C1637" s="1034" t="str">
        <f t="shared" si="353"/>
        <v/>
      </c>
      <c r="D1637" s="1033"/>
      <c r="E1637" s="1033"/>
      <c r="F1637" s="1034" t="str">
        <f t="shared" si="354"/>
        <v/>
      </c>
      <c r="G1637" s="1033"/>
      <c r="H1637" s="1033"/>
      <c r="I1637" s="1034" t="str">
        <f t="shared" si="355"/>
        <v/>
      </c>
      <c r="J1637" s="1033"/>
      <c r="K1637" s="1033"/>
      <c r="L1637" s="1034" t="str">
        <f t="shared" si="356"/>
        <v/>
      </c>
      <c r="M1637" s="1035"/>
      <c r="N1637" s="1035"/>
      <c r="O1637" s="1036" t="str">
        <f t="shared" si="357"/>
        <v/>
      </c>
      <c r="P1637" s="1033"/>
      <c r="Q1637" s="1033"/>
      <c r="R1637" s="1034" t="str">
        <f t="shared" si="358"/>
        <v/>
      </c>
      <c r="S1637" s="1033"/>
      <c r="T1637" s="1035"/>
      <c r="U1637" s="1034" t="str">
        <f t="shared" si="359"/>
        <v>631102000420</v>
      </c>
      <c r="V1637" s="1035">
        <v>631102000</v>
      </c>
      <c r="W1637" s="1035">
        <v>420</v>
      </c>
      <c r="X1637" s="1037" t="str">
        <f t="shared" si="361"/>
        <v>6</v>
      </c>
      <c r="Y1637" s="1035"/>
      <c r="Z1637" s="1035">
        <f t="shared" ref="Z1637:Z1702" si="364">VALUE(LEFT(AC1637,1))</f>
        <v>6</v>
      </c>
      <c r="AA1637" s="1035"/>
      <c r="AB1637" s="1033"/>
      <c r="AC1637" s="1021">
        <v>610903</v>
      </c>
      <c r="AD1637" s="1024" t="s">
        <v>1878</v>
      </c>
      <c r="AE1637" s="1022">
        <v>0</v>
      </c>
      <c r="AF1637" s="1022"/>
      <c r="AG1637" s="1022">
        <f t="shared" ref="AG1637:AG1702" si="365">AE1637+AF1637</f>
        <v>0</v>
      </c>
      <c r="AH1637" s="1022">
        <f t="shared" ref="AH1637:AH1702" si="366">ROUND((AE1637+AF1637)/$AH$2,0)</f>
        <v>0</v>
      </c>
      <c r="AK1637" s="448"/>
      <c r="AL1637" s="445"/>
    </row>
    <row r="1638" spans="1:38" s="467" customFormat="1" ht="12.75" customHeight="1">
      <c r="A1638" s="1033"/>
      <c r="B1638" s="1033"/>
      <c r="C1638" s="1034" t="str">
        <f t="shared" si="353"/>
        <v/>
      </c>
      <c r="D1638" s="1033"/>
      <c r="E1638" s="1033"/>
      <c r="F1638" s="1034" t="str">
        <f t="shared" si="354"/>
        <v/>
      </c>
      <c r="G1638" s="1033"/>
      <c r="H1638" s="1033"/>
      <c r="I1638" s="1034" t="str">
        <f t="shared" si="355"/>
        <v/>
      </c>
      <c r="J1638" s="1033"/>
      <c r="K1638" s="1033"/>
      <c r="L1638" s="1034" t="str">
        <f t="shared" si="356"/>
        <v/>
      </c>
      <c r="M1638" s="1035"/>
      <c r="N1638" s="1035"/>
      <c r="O1638" s="1036" t="str">
        <f t="shared" si="357"/>
        <v/>
      </c>
      <c r="P1638" s="1033"/>
      <c r="Q1638" s="1033"/>
      <c r="R1638" s="1034" t="str">
        <f t="shared" si="358"/>
        <v/>
      </c>
      <c r="S1638" s="1033"/>
      <c r="T1638" s="1035"/>
      <c r="U1638" s="1034" t="str">
        <f t="shared" si="359"/>
        <v/>
      </c>
      <c r="V1638" s="1035"/>
      <c r="W1638" s="1035"/>
      <c r="X1638" s="1037" t="str">
        <f t="shared" si="361"/>
        <v>6</v>
      </c>
      <c r="Y1638" s="1035"/>
      <c r="Z1638" s="1035">
        <f t="shared" si="364"/>
        <v>6</v>
      </c>
      <c r="AA1638" s="1035"/>
      <c r="AB1638" s="1033"/>
      <c r="AC1638" s="1021">
        <v>610904</v>
      </c>
      <c r="AD1638" s="1021" t="s">
        <v>1879</v>
      </c>
      <c r="AE1638" s="1022">
        <v>0</v>
      </c>
      <c r="AF1638" s="1022"/>
      <c r="AG1638" s="1022">
        <f t="shared" si="365"/>
        <v>0</v>
      </c>
      <c r="AH1638" s="1022">
        <f t="shared" si="366"/>
        <v>0</v>
      </c>
      <c r="AK1638" s="448"/>
      <c r="AL1638" s="445"/>
    </row>
    <row r="1639" spans="1:38" s="467" customFormat="1" ht="12.75" customHeight="1">
      <c r="A1639" s="1033">
        <v>5312200</v>
      </c>
      <c r="B1639" s="1033" t="s">
        <v>998</v>
      </c>
      <c r="C1639" s="1034" t="str">
        <f t="shared" si="353"/>
        <v/>
      </c>
      <c r="D1639" s="1033"/>
      <c r="E1639" s="1033"/>
      <c r="F1639" s="1034" t="str">
        <f t="shared" si="354"/>
        <v/>
      </c>
      <c r="G1639" s="1033"/>
      <c r="H1639" s="1033"/>
      <c r="I1639" s="1034" t="str">
        <f t="shared" si="355"/>
        <v/>
      </c>
      <c r="J1639" s="1033"/>
      <c r="K1639" s="1033"/>
      <c r="L1639" s="1034" t="str">
        <f t="shared" si="356"/>
        <v/>
      </c>
      <c r="M1639" s="1035"/>
      <c r="N1639" s="1035"/>
      <c r="O1639" s="1036" t="str">
        <f t="shared" si="357"/>
        <v/>
      </c>
      <c r="P1639" s="1033"/>
      <c r="Q1639" s="1033"/>
      <c r="R1639" s="1034" t="str">
        <f t="shared" si="358"/>
        <v/>
      </c>
      <c r="S1639" s="1033"/>
      <c r="T1639" s="1035"/>
      <c r="U1639" s="1034" t="str">
        <f t="shared" si="359"/>
        <v/>
      </c>
      <c r="V1639" s="1035"/>
      <c r="W1639" s="1035"/>
      <c r="X1639" s="1037" t="str">
        <f t="shared" si="361"/>
        <v>6</v>
      </c>
      <c r="Y1639" s="1035"/>
      <c r="Z1639" s="1035">
        <f t="shared" si="364"/>
        <v>6</v>
      </c>
      <c r="AA1639" s="1035"/>
      <c r="AB1639" s="1033" t="s">
        <v>2991</v>
      </c>
      <c r="AC1639" s="1021">
        <v>610905</v>
      </c>
      <c r="AD1639" s="1021" t="s">
        <v>84</v>
      </c>
      <c r="AE1639" s="1022">
        <f>VLOOKUP(AC1639,[5]Hoja1!$A$10:$K$1393,11,0)</f>
        <v>114251176</v>
      </c>
      <c r="AF1639" s="1022"/>
      <c r="AG1639" s="1022">
        <f t="shared" si="365"/>
        <v>114251176</v>
      </c>
      <c r="AH1639" s="1022">
        <f t="shared" si="366"/>
        <v>114251</v>
      </c>
      <c r="AK1639" s="448"/>
      <c r="AL1639" s="445"/>
    </row>
    <row r="1640" spans="1:38" s="467" customFormat="1" ht="12.75" customHeight="1">
      <c r="A1640" s="1033">
        <v>5312200</v>
      </c>
      <c r="B1640" s="1033" t="s">
        <v>998</v>
      </c>
      <c r="C1640" s="1034" t="str">
        <f t="shared" si="353"/>
        <v/>
      </c>
      <c r="D1640" s="1033"/>
      <c r="E1640" s="1033"/>
      <c r="F1640" s="1034" t="str">
        <f t="shared" si="354"/>
        <v/>
      </c>
      <c r="G1640" s="1033"/>
      <c r="H1640" s="1033"/>
      <c r="I1640" s="1034" t="str">
        <f t="shared" si="355"/>
        <v/>
      </c>
      <c r="J1640" s="1033"/>
      <c r="K1640" s="1033"/>
      <c r="L1640" s="1034" t="str">
        <f t="shared" si="356"/>
        <v/>
      </c>
      <c r="M1640" s="1035"/>
      <c r="N1640" s="1035"/>
      <c r="O1640" s="1036" t="str">
        <f t="shared" si="357"/>
        <v/>
      </c>
      <c r="P1640" s="1033"/>
      <c r="Q1640" s="1033"/>
      <c r="R1640" s="1034" t="str">
        <f t="shared" si="358"/>
        <v/>
      </c>
      <c r="S1640" s="1033"/>
      <c r="T1640" s="1035"/>
      <c r="U1640" s="1034" t="str">
        <f t="shared" si="359"/>
        <v/>
      </c>
      <c r="V1640" s="1035"/>
      <c r="W1640" s="1035"/>
      <c r="X1640" s="1037" t="str">
        <f t="shared" si="361"/>
        <v>6</v>
      </c>
      <c r="Y1640" s="1035"/>
      <c r="Z1640" s="1035">
        <f t="shared" si="364"/>
        <v>6</v>
      </c>
      <c r="AA1640" s="1035"/>
      <c r="AB1640" s="1033" t="s">
        <v>2991</v>
      </c>
      <c r="AC1640" s="1021">
        <v>610906</v>
      </c>
      <c r="AD1640" s="1021" t="s">
        <v>2493</v>
      </c>
      <c r="AE1640" s="1022">
        <f>VLOOKUP(AC1640,[5]Hoja1!$A$10:$K$1393,11,0)</f>
        <v>50727010</v>
      </c>
      <c r="AF1640" s="1022"/>
      <c r="AG1640" s="1022">
        <f t="shared" si="365"/>
        <v>50727010</v>
      </c>
      <c r="AH1640" s="1022">
        <f t="shared" si="366"/>
        <v>50727</v>
      </c>
      <c r="AK1640" s="448"/>
      <c r="AL1640" s="445"/>
    </row>
    <row r="1641" spans="1:38" s="467" customFormat="1" ht="12.75" customHeight="1">
      <c r="A1641" s="1033"/>
      <c r="B1641" s="1033"/>
      <c r="C1641" s="1034" t="str">
        <f t="shared" si="353"/>
        <v/>
      </c>
      <c r="D1641" s="1033"/>
      <c r="E1641" s="1033"/>
      <c r="F1641" s="1034" t="str">
        <f t="shared" si="354"/>
        <v/>
      </c>
      <c r="G1641" s="1033"/>
      <c r="H1641" s="1033"/>
      <c r="I1641" s="1034" t="str">
        <f t="shared" si="355"/>
        <v/>
      </c>
      <c r="J1641" s="1033"/>
      <c r="K1641" s="1033"/>
      <c r="L1641" s="1034" t="str">
        <f t="shared" si="356"/>
        <v/>
      </c>
      <c r="M1641" s="1035"/>
      <c r="N1641" s="1035"/>
      <c r="O1641" s="1036" t="str">
        <f t="shared" si="357"/>
        <v/>
      </c>
      <c r="P1641" s="1033"/>
      <c r="Q1641" s="1033"/>
      <c r="R1641" s="1034" t="str">
        <f t="shared" si="358"/>
        <v/>
      </c>
      <c r="S1641" s="1033"/>
      <c r="T1641" s="1035"/>
      <c r="U1641" s="1034" t="str">
        <f t="shared" si="359"/>
        <v/>
      </c>
      <c r="V1641" s="1035"/>
      <c r="W1641" s="1035"/>
      <c r="X1641" s="1037" t="str">
        <f t="shared" si="361"/>
        <v>6</v>
      </c>
      <c r="Y1641" s="1035"/>
      <c r="Z1641" s="1035">
        <f t="shared" si="364"/>
        <v>6</v>
      </c>
      <c r="AA1641" s="1035"/>
      <c r="AB1641" s="1033"/>
      <c r="AC1641" s="1021">
        <v>610910</v>
      </c>
      <c r="AD1641" s="1021" t="s">
        <v>1858</v>
      </c>
      <c r="AE1641" s="1022">
        <v>0</v>
      </c>
      <c r="AF1641" s="1022"/>
      <c r="AG1641" s="1022">
        <f t="shared" si="365"/>
        <v>0</v>
      </c>
      <c r="AH1641" s="1022">
        <f t="shared" si="366"/>
        <v>0</v>
      </c>
      <c r="AK1641" s="448"/>
      <c r="AL1641" s="445"/>
    </row>
    <row r="1642" spans="1:38" s="467" customFormat="1" ht="12.75" customHeight="1">
      <c r="A1642" s="1033">
        <v>5312200</v>
      </c>
      <c r="B1642" s="1033" t="s">
        <v>998</v>
      </c>
      <c r="C1642" s="1034" t="str">
        <f t="shared" si="353"/>
        <v/>
      </c>
      <c r="D1642" s="1033"/>
      <c r="E1642" s="1033"/>
      <c r="F1642" s="1034" t="str">
        <f t="shared" si="354"/>
        <v/>
      </c>
      <c r="G1642" s="1033"/>
      <c r="H1642" s="1033"/>
      <c r="I1642" s="1034" t="str">
        <f t="shared" si="355"/>
        <v/>
      </c>
      <c r="J1642" s="1033"/>
      <c r="K1642" s="1033"/>
      <c r="L1642" s="1034" t="str">
        <f t="shared" si="356"/>
        <v/>
      </c>
      <c r="M1642" s="1035"/>
      <c r="N1642" s="1035"/>
      <c r="O1642" s="1036" t="str">
        <f t="shared" si="357"/>
        <v/>
      </c>
      <c r="P1642" s="1033"/>
      <c r="Q1642" s="1033"/>
      <c r="R1642" s="1034" t="str">
        <f t="shared" si="358"/>
        <v/>
      </c>
      <c r="S1642" s="1033"/>
      <c r="T1642" s="1035"/>
      <c r="U1642" s="1034" t="str">
        <f t="shared" si="359"/>
        <v/>
      </c>
      <c r="V1642" s="1035"/>
      <c r="W1642" s="1035"/>
      <c r="X1642" s="1037" t="str">
        <f t="shared" si="361"/>
        <v>6</v>
      </c>
      <c r="Y1642" s="1035"/>
      <c r="Z1642" s="1035">
        <f t="shared" si="364"/>
        <v>6</v>
      </c>
      <c r="AA1642" s="1035"/>
      <c r="AB1642" s="1033" t="s">
        <v>2991</v>
      </c>
      <c r="AC1642" s="1021">
        <v>610911</v>
      </c>
      <c r="AD1642" s="1021" t="s">
        <v>1769</v>
      </c>
      <c r="AE1642" s="1022">
        <f>VLOOKUP(AC1642,[5]Hoja1!$A$10:$K$1393,11,0)</f>
        <v>33802004</v>
      </c>
      <c r="AF1642" s="1022"/>
      <c r="AG1642" s="1022">
        <f t="shared" si="365"/>
        <v>33802004</v>
      </c>
      <c r="AH1642" s="1022">
        <f t="shared" si="366"/>
        <v>33802</v>
      </c>
      <c r="AK1642" s="448"/>
      <c r="AL1642" s="445"/>
    </row>
    <row r="1643" spans="1:38" s="467" customFormat="1" ht="12.75" customHeight="1">
      <c r="A1643" s="1033">
        <v>5312200</v>
      </c>
      <c r="B1643" s="1033" t="s">
        <v>998</v>
      </c>
      <c r="C1643" s="1034"/>
      <c r="D1643" s="1033"/>
      <c r="E1643" s="1033"/>
      <c r="F1643" s="1034"/>
      <c r="G1643" s="1033"/>
      <c r="H1643" s="1033"/>
      <c r="I1643" s="1034"/>
      <c r="J1643" s="1033"/>
      <c r="K1643" s="1033"/>
      <c r="L1643" s="1034"/>
      <c r="M1643" s="1035"/>
      <c r="N1643" s="1035"/>
      <c r="O1643" s="1036"/>
      <c r="P1643" s="1033"/>
      <c r="Q1643" s="1033"/>
      <c r="R1643" s="1034"/>
      <c r="S1643" s="1033"/>
      <c r="T1643" s="1035"/>
      <c r="U1643" s="1034"/>
      <c r="V1643" s="1035"/>
      <c r="W1643" s="1035"/>
      <c r="X1643" s="1037"/>
      <c r="Y1643" s="1035"/>
      <c r="Z1643" s="1035">
        <f t="shared" si="364"/>
        <v>6</v>
      </c>
      <c r="AA1643" s="1035"/>
      <c r="AB1643" s="1033" t="s">
        <v>2996</v>
      </c>
      <c r="AC1643" s="1021">
        <v>610912</v>
      </c>
      <c r="AD1643" s="1021" t="s">
        <v>1331</v>
      </c>
      <c r="AE1643" s="1022">
        <f>VLOOKUP(AC1643,[5]Hoja1!$A$10:$K$1393,11,0)</f>
        <v>3056503457</v>
      </c>
      <c r="AF1643" s="1022"/>
      <c r="AG1643" s="1022">
        <f t="shared" si="365"/>
        <v>3056503457</v>
      </c>
      <c r="AH1643" s="1022">
        <f t="shared" si="366"/>
        <v>3056503</v>
      </c>
      <c r="AI1643" s="445"/>
      <c r="AK1643" s="448"/>
      <c r="AL1643" s="445"/>
    </row>
    <row r="1644" spans="1:38" s="467" customFormat="1" ht="12.75" customHeight="1">
      <c r="A1644" s="1033">
        <v>5311520</v>
      </c>
      <c r="B1644" s="1033" t="s">
        <v>2825</v>
      </c>
      <c r="C1644" s="1034"/>
      <c r="D1644" s="1033"/>
      <c r="E1644" s="1033"/>
      <c r="F1644" s="1034"/>
      <c r="G1644" s="1033"/>
      <c r="H1644" s="1033"/>
      <c r="I1644" s="1034"/>
      <c r="J1644" s="1033"/>
      <c r="K1644" s="1033"/>
      <c r="L1644" s="1034"/>
      <c r="M1644" s="1035"/>
      <c r="N1644" s="1035"/>
      <c r="O1644" s="1036"/>
      <c r="P1644" s="1033"/>
      <c r="Q1644" s="1033"/>
      <c r="R1644" s="1034"/>
      <c r="S1644" s="1033"/>
      <c r="T1644" s="1035"/>
      <c r="U1644" s="1034"/>
      <c r="V1644" s="1035"/>
      <c r="W1644" s="1035"/>
      <c r="X1644" s="1037"/>
      <c r="Y1644" s="1035"/>
      <c r="Z1644" s="1035">
        <f t="shared" si="364"/>
        <v>6</v>
      </c>
      <c r="AA1644" s="1035"/>
      <c r="AB1644" s="1033"/>
      <c r="AC1644" s="1021">
        <v>610913</v>
      </c>
      <c r="AD1644" s="1021" t="s">
        <v>2494</v>
      </c>
      <c r="AE1644" s="1022">
        <f>VLOOKUP(AC1644,[5]Hoja1!$A$10:$K$1393,11,0)</f>
        <v>0</v>
      </c>
      <c r="AF1644" s="1022"/>
      <c r="AG1644" s="1022">
        <f t="shared" si="365"/>
        <v>0</v>
      </c>
      <c r="AH1644" s="1022">
        <f t="shared" si="366"/>
        <v>0</v>
      </c>
      <c r="AK1644" s="448"/>
      <c r="AL1644" s="445"/>
    </row>
    <row r="1645" spans="1:38" s="467" customFormat="1" ht="12.75" customHeight="1">
      <c r="A1645" s="1033">
        <v>5312200</v>
      </c>
      <c r="B1645" s="1033" t="s">
        <v>998</v>
      </c>
      <c r="C1645" s="1034" t="str">
        <f t="shared" si="353"/>
        <v/>
      </c>
      <c r="D1645" s="1033"/>
      <c r="E1645" s="1033"/>
      <c r="F1645" s="1034" t="str">
        <f t="shared" si="354"/>
        <v/>
      </c>
      <c r="G1645" s="1033"/>
      <c r="H1645" s="1033"/>
      <c r="I1645" s="1034" t="str">
        <f t="shared" si="355"/>
        <v/>
      </c>
      <c r="J1645" s="1033"/>
      <c r="K1645" s="1033"/>
      <c r="L1645" s="1034" t="str">
        <f t="shared" si="356"/>
        <v/>
      </c>
      <c r="M1645" s="1035"/>
      <c r="N1645" s="1035"/>
      <c r="O1645" s="1036" t="str">
        <f t="shared" si="357"/>
        <v/>
      </c>
      <c r="P1645" s="1033"/>
      <c r="Q1645" s="1033"/>
      <c r="R1645" s="1034" t="str">
        <f t="shared" si="358"/>
        <v/>
      </c>
      <c r="S1645" s="1033"/>
      <c r="T1645" s="1035"/>
      <c r="U1645" s="1034" t="str">
        <f t="shared" si="359"/>
        <v/>
      </c>
      <c r="V1645" s="1035"/>
      <c r="W1645" s="1035"/>
      <c r="X1645" s="1037" t="str">
        <f t="shared" ref="X1645:X1662" si="367">+Y1645&amp;Z1645</f>
        <v>6</v>
      </c>
      <c r="Y1645" s="1035"/>
      <c r="Z1645" s="1035">
        <f t="shared" si="364"/>
        <v>6</v>
      </c>
      <c r="AA1645" s="1035"/>
      <c r="AB1645" s="1033" t="s">
        <v>2993</v>
      </c>
      <c r="AC1645" s="1021">
        <v>611001</v>
      </c>
      <c r="AD1645" s="1021" t="s">
        <v>2495</v>
      </c>
      <c r="AE1645" s="1022">
        <f>VLOOKUP(AC1645,[5]Hoja1!$A$10:$K$1393,11,0)</f>
        <v>0</v>
      </c>
      <c r="AF1645" s="1022"/>
      <c r="AG1645" s="1022">
        <f t="shared" si="365"/>
        <v>0</v>
      </c>
      <c r="AH1645" s="1022">
        <f t="shared" si="366"/>
        <v>0</v>
      </c>
      <c r="AK1645" s="448"/>
      <c r="AL1645" s="445"/>
    </row>
    <row r="1646" spans="1:38" s="467" customFormat="1" ht="12.75" customHeight="1">
      <c r="A1646" s="1033"/>
      <c r="B1646" s="1033"/>
      <c r="C1646" s="1034" t="str">
        <f t="shared" si="353"/>
        <v/>
      </c>
      <c r="D1646" s="1033"/>
      <c r="E1646" s="1033"/>
      <c r="F1646" s="1034" t="str">
        <f t="shared" si="354"/>
        <v/>
      </c>
      <c r="G1646" s="1033"/>
      <c r="H1646" s="1033"/>
      <c r="I1646" s="1034" t="str">
        <f t="shared" si="355"/>
        <v/>
      </c>
      <c r="J1646" s="1033"/>
      <c r="K1646" s="1033"/>
      <c r="L1646" s="1034" t="str">
        <f t="shared" si="356"/>
        <v/>
      </c>
      <c r="M1646" s="1035"/>
      <c r="N1646" s="1035"/>
      <c r="O1646" s="1036" t="str">
        <f t="shared" si="357"/>
        <v/>
      </c>
      <c r="P1646" s="1033"/>
      <c r="Q1646" s="1033"/>
      <c r="R1646" s="1034" t="str">
        <f t="shared" si="358"/>
        <v/>
      </c>
      <c r="S1646" s="1033"/>
      <c r="T1646" s="1035"/>
      <c r="U1646" s="1034" t="str">
        <f t="shared" si="359"/>
        <v/>
      </c>
      <c r="V1646" s="1035"/>
      <c r="W1646" s="1035"/>
      <c r="X1646" s="1037" t="str">
        <f t="shared" si="367"/>
        <v>6</v>
      </c>
      <c r="Y1646" s="1035"/>
      <c r="Z1646" s="1035">
        <f t="shared" si="364"/>
        <v>6</v>
      </c>
      <c r="AA1646" s="1035"/>
      <c r="AB1646" s="1033"/>
      <c r="AC1646" s="1021">
        <v>611002</v>
      </c>
      <c r="AD1646" s="1021" t="s">
        <v>1181</v>
      </c>
      <c r="AE1646" s="1022">
        <v>0</v>
      </c>
      <c r="AF1646" s="1022"/>
      <c r="AG1646" s="1022">
        <f t="shared" si="365"/>
        <v>0</v>
      </c>
      <c r="AH1646" s="1022">
        <f t="shared" si="366"/>
        <v>0</v>
      </c>
      <c r="AK1646" s="448"/>
      <c r="AL1646" s="445"/>
    </row>
    <row r="1647" spans="1:38" s="467" customFormat="1" ht="12.75" customHeight="1">
      <c r="A1647" s="1033">
        <v>5313110</v>
      </c>
      <c r="B1647" s="1033" t="s">
        <v>2833</v>
      </c>
      <c r="C1647" s="1034" t="str">
        <f t="shared" si="353"/>
        <v/>
      </c>
      <c r="D1647" s="1033"/>
      <c r="E1647" s="1033"/>
      <c r="F1647" s="1034" t="str">
        <f t="shared" si="354"/>
        <v/>
      </c>
      <c r="G1647" s="1033"/>
      <c r="H1647" s="1033"/>
      <c r="I1647" s="1034" t="str">
        <f t="shared" si="355"/>
        <v/>
      </c>
      <c r="J1647" s="1033"/>
      <c r="K1647" s="1033"/>
      <c r="L1647" s="1034" t="str">
        <f t="shared" si="356"/>
        <v/>
      </c>
      <c r="M1647" s="1035"/>
      <c r="N1647" s="1035"/>
      <c r="O1647" s="1036" t="str">
        <f t="shared" si="357"/>
        <v/>
      </c>
      <c r="P1647" s="1033"/>
      <c r="Q1647" s="1033"/>
      <c r="R1647" s="1034" t="str">
        <f t="shared" si="358"/>
        <v/>
      </c>
      <c r="S1647" s="1033"/>
      <c r="T1647" s="1035"/>
      <c r="U1647" s="1034" t="str">
        <f t="shared" si="359"/>
        <v/>
      </c>
      <c r="V1647" s="1035"/>
      <c r="W1647" s="1035"/>
      <c r="X1647" s="1037" t="str">
        <f t="shared" si="367"/>
        <v>6</v>
      </c>
      <c r="Y1647" s="1035"/>
      <c r="Z1647" s="1035">
        <f t="shared" si="364"/>
        <v>6</v>
      </c>
      <c r="AA1647" s="1035"/>
      <c r="AB1647" s="1033"/>
      <c r="AC1647" s="1021">
        <v>611003</v>
      </c>
      <c r="AD1647" s="1021" t="s">
        <v>2496</v>
      </c>
      <c r="AE1647" s="1022">
        <f>VLOOKUP(AC1647,[5]Hoja1!$A$10:$K$1393,11,0)</f>
        <v>706848</v>
      </c>
      <c r="AF1647" s="1022"/>
      <c r="AG1647" s="1022">
        <f t="shared" si="365"/>
        <v>706848</v>
      </c>
      <c r="AH1647" s="1022">
        <f t="shared" si="366"/>
        <v>707</v>
      </c>
      <c r="AI1647" s="445">
        <f>+AH1645+AH1652+AH1665+AH1666</f>
        <v>83581</v>
      </c>
      <c r="AJ1647" s="467" t="s">
        <v>2644</v>
      </c>
      <c r="AK1647" s="448"/>
      <c r="AL1647" s="445"/>
    </row>
    <row r="1648" spans="1:38" s="467" customFormat="1" ht="12.75" customHeight="1">
      <c r="A1648" s="1033">
        <v>5313330</v>
      </c>
      <c r="B1648" s="1033" t="s">
        <v>2837</v>
      </c>
      <c r="C1648" s="1034" t="str">
        <f t="shared" si="353"/>
        <v/>
      </c>
      <c r="D1648" s="1033"/>
      <c r="E1648" s="1033"/>
      <c r="F1648" s="1034" t="str">
        <f t="shared" si="354"/>
        <v/>
      </c>
      <c r="G1648" s="1033"/>
      <c r="H1648" s="1033"/>
      <c r="I1648" s="1034" t="str">
        <f t="shared" si="355"/>
        <v/>
      </c>
      <c r="J1648" s="1033"/>
      <c r="K1648" s="1033"/>
      <c r="L1648" s="1034" t="str">
        <f t="shared" si="356"/>
        <v/>
      </c>
      <c r="M1648" s="1035"/>
      <c r="N1648" s="1035"/>
      <c r="O1648" s="1036" t="str">
        <f t="shared" si="357"/>
        <v/>
      </c>
      <c r="P1648" s="1033"/>
      <c r="Q1648" s="1033"/>
      <c r="R1648" s="1034" t="str">
        <f t="shared" si="358"/>
        <v/>
      </c>
      <c r="S1648" s="1033"/>
      <c r="T1648" s="1035"/>
      <c r="U1648" s="1034" t="str">
        <f t="shared" si="359"/>
        <v/>
      </c>
      <c r="V1648" s="1035"/>
      <c r="W1648" s="1035"/>
      <c r="X1648" s="1037" t="str">
        <f t="shared" si="367"/>
        <v>26</v>
      </c>
      <c r="Y1648" s="1035">
        <v>2</v>
      </c>
      <c r="Z1648" s="1035">
        <f t="shared" si="364"/>
        <v>6</v>
      </c>
      <c r="AA1648" s="1035"/>
      <c r="AB1648" s="1033"/>
      <c r="AC1648" s="1021">
        <v>611004</v>
      </c>
      <c r="AD1648" s="1021" t="s">
        <v>1010</v>
      </c>
      <c r="AE1648" s="1022">
        <f>VLOOKUP(AC1648,[5]Hoja1!$A$10:$K$1393,11,0)</f>
        <v>508792196</v>
      </c>
      <c r="AF1648" s="1022"/>
      <c r="AG1648" s="1022">
        <f t="shared" si="365"/>
        <v>508792196</v>
      </c>
      <c r="AH1648" s="1022">
        <f t="shared" si="366"/>
        <v>508792</v>
      </c>
      <c r="AI1648" s="445">
        <f>+AH1648+AH1649+AH1650+AH1651+AH1663+AH1668</f>
        <v>734589</v>
      </c>
      <c r="AJ1648" s="467" t="s">
        <v>2643</v>
      </c>
      <c r="AK1648" s="448"/>
      <c r="AL1648" s="445"/>
    </row>
    <row r="1649" spans="1:38" s="467" customFormat="1" ht="12.75" customHeight="1">
      <c r="A1649" s="1033">
        <v>5312200</v>
      </c>
      <c r="B1649" s="1033" t="s">
        <v>998</v>
      </c>
      <c r="C1649" s="1034" t="str">
        <f t="shared" si="353"/>
        <v/>
      </c>
      <c r="D1649" s="1033"/>
      <c r="E1649" s="1033"/>
      <c r="F1649" s="1034" t="str">
        <f t="shared" si="354"/>
        <v/>
      </c>
      <c r="G1649" s="1033"/>
      <c r="H1649" s="1033"/>
      <c r="I1649" s="1034" t="str">
        <f t="shared" si="355"/>
        <v/>
      </c>
      <c r="J1649" s="1033"/>
      <c r="K1649" s="1033"/>
      <c r="L1649" s="1034" t="str">
        <f t="shared" si="356"/>
        <v/>
      </c>
      <c r="M1649" s="1035"/>
      <c r="N1649" s="1035"/>
      <c r="O1649" s="1036" t="str">
        <f t="shared" si="357"/>
        <v/>
      </c>
      <c r="P1649" s="1033"/>
      <c r="Q1649" s="1033"/>
      <c r="R1649" s="1034" t="str">
        <f t="shared" si="358"/>
        <v/>
      </c>
      <c r="S1649" s="1033"/>
      <c r="T1649" s="1035"/>
      <c r="U1649" s="1034" t="str">
        <f t="shared" si="359"/>
        <v/>
      </c>
      <c r="V1649" s="1035"/>
      <c r="W1649" s="1035"/>
      <c r="X1649" s="1037" t="str">
        <f t="shared" si="367"/>
        <v>26</v>
      </c>
      <c r="Y1649" s="1035">
        <v>2</v>
      </c>
      <c r="Z1649" s="1035">
        <f t="shared" si="364"/>
        <v>6</v>
      </c>
      <c r="AA1649" s="1035"/>
      <c r="AB1649" s="1033" t="s">
        <v>2993</v>
      </c>
      <c r="AC1649" s="1021">
        <v>611005</v>
      </c>
      <c r="AD1649" s="1021" t="s">
        <v>1011</v>
      </c>
      <c r="AE1649" s="1022">
        <f>VLOOKUP(AC1649,[5]Hoja1!$A$10:$K$1393,11,0)</f>
        <v>22910411</v>
      </c>
      <c r="AF1649" s="1022"/>
      <c r="AG1649" s="1022">
        <f t="shared" si="365"/>
        <v>22910411</v>
      </c>
      <c r="AH1649" s="1022">
        <f t="shared" si="366"/>
        <v>22910</v>
      </c>
      <c r="AI1649" s="445"/>
      <c r="AK1649" s="448"/>
      <c r="AL1649" s="445"/>
    </row>
    <row r="1650" spans="1:38" s="467" customFormat="1" ht="12.75" customHeight="1">
      <c r="A1650" s="1033">
        <v>5312200</v>
      </c>
      <c r="B1650" s="1033" t="s">
        <v>998</v>
      </c>
      <c r="C1650" s="1034" t="str">
        <f t="shared" si="353"/>
        <v/>
      </c>
      <c r="D1650" s="1033"/>
      <c r="E1650" s="1033"/>
      <c r="F1650" s="1034" t="str">
        <f t="shared" si="354"/>
        <v/>
      </c>
      <c r="G1650" s="1033"/>
      <c r="H1650" s="1033"/>
      <c r="I1650" s="1034" t="str">
        <f t="shared" si="355"/>
        <v/>
      </c>
      <c r="J1650" s="1033"/>
      <c r="K1650" s="1033"/>
      <c r="L1650" s="1034" t="str">
        <f t="shared" si="356"/>
        <v/>
      </c>
      <c r="M1650" s="1035"/>
      <c r="N1650" s="1035"/>
      <c r="O1650" s="1036" t="str">
        <f t="shared" si="357"/>
        <v/>
      </c>
      <c r="P1650" s="1033"/>
      <c r="Q1650" s="1033"/>
      <c r="R1650" s="1034" t="str">
        <f t="shared" si="358"/>
        <v/>
      </c>
      <c r="S1650" s="1033"/>
      <c r="T1650" s="1035"/>
      <c r="U1650" s="1034" t="str">
        <f t="shared" si="359"/>
        <v/>
      </c>
      <c r="V1650" s="1035"/>
      <c r="W1650" s="1035"/>
      <c r="X1650" s="1037" t="str">
        <f t="shared" si="367"/>
        <v>26</v>
      </c>
      <c r="Y1650" s="1035">
        <v>2</v>
      </c>
      <c r="Z1650" s="1035">
        <f t="shared" si="364"/>
        <v>6</v>
      </c>
      <c r="AA1650" s="1035"/>
      <c r="AB1650" s="1033" t="s">
        <v>2993</v>
      </c>
      <c r="AC1650" s="1021">
        <v>611006</v>
      </c>
      <c r="AD1650" s="1021" t="s">
        <v>2497</v>
      </c>
      <c r="AE1650" s="1022">
        <f>VLOOKUP(AC1650,[5]Hoja1!$A$10:$K$1393,11,0)</f>
        <v>156578552</v>
      </c>
      <c r="AF1650" s="1022"/>
      <c r="AG1650" s="1022">
        <f t="shared" si="365"/>
        <v>156578552</v>
      </c>
      <c r="AH1650" s="1022">
        <f t="shared" si="366"/>
        <v>156579</v>
      </c>
      <c r="AI1650" s="445"/>
      <c r="AK1650" s="448"/>
      <c r="AL1650" s="445"/>
    </row>
    <row r="1651" spans="1:38" s="467" customFormat="1" ht="12.75" customHeight="1">
      <c r="A1651" s="1033">
        <v>5312200</v>
      </c>
      <c r="B1651" s="1033" t="s">
        <v>998</v>
      </c>
      <c r="C1651" s="1034" t="str">
        <f t="shared" si="353"/>
        <v/>
      </c>
      <c r="D1651" s="1033"/>
      <c r="E1651" s="1033"/>
      <c r="F1651" s="1034" t="str">
        <f t="shared" si="354"/>
        <v/>
      </c>
      <c r="G1651" s="1033"/>
      <c r="H1651" s="1033"/>
      <c r="I1651" s="1034" t="str">
        <f t="shared" si="355"/>
        <v/>
      </c>
      <c r="J1651" s="1033"/>
      <c r="K1651" s="1033"/>
      <c r="L1651" s="1034" t="str">
        <f t="shared" si="356"/>
        <v/>
      </c>
      <c r="M1651" s="1035"/>
      <c r="N1651" s="1035"/>
      <c r="O1651" s="1036" t="str">
        <f t="shared" si="357"/>
        <v/>
      </c>
      <c r="P1651" s="1033"/>
      <c r="Q1651" s="1033"/>
      <c r="R1651" s="1034" t="str">
        <f t="shared" si="358"/>
        <v/>
      </c>
      <c r="S1651" s="1033"/>
      <c r="T1651" s="1035"/>
      <c r="U1651" s="1034" t="str">
        <f t="shared" si="359"/>
        <v/>
      </c>
      <c r="V1651" s="1035"/>
      <c r="W1651" s="1035"/>
      <c r="X1651" s="1037" t="str">
        <f t="shared" si="367"/>
        <v>26</v>
      </c>
      <c r="Y1651" s="1035">
        <v>2</v>
      </c>
      <c r="Z1651" s="1035">
        <f t="shared" si="364"/>
        <v>6</v>
      </c>
      <c r="AA1651" s="1035"/>
      <c r="AB1651" s="1033" t="s">
        <v>2993</v>
      </c>
      <c r="AC1651" s="1021">
        <v>611007</v>
      </c>
      <c r="AD1651" s="1021" t="s">
        <v>1012</v>
      </c>
      <c r="AE1651" s="1022">
        <f>VLOOKUP(AC1651,[5]Hoja1!$A$10:$K$1393,11,0)</f>
        <v>1818467</v>
      </c>
      <c r="AF1651" s="1022"/>
      <c r="AG1651" s="1022">
        <f t="shared" si="365"/>
        <v>1818467</v>
      </c>
      <c r="AH1651" s="1022">
        <f t="shared" si="366"/>
        <v>1818</v>
      </c>
      <c r="AK1651" s="448"/>
      <c r="AL1651" s="445"/>
    </row>
    <row r="1652" spans="1:38" s="467" customFormat="1" ht="12.75" customHeight="1">
      <c r="A1652" s="1033">
        <v>5312200</v>
      </c>
      <c r="B1652" s="1033" t="s">
        <v>998</v>
      </c>
      <c r="C1652" s="1034" t="str">
        <f t="shared" si="353"/>
        <v/>
      </c>
      <c r="D1652" s="1033"/>
      <c r="E1652" s="1033"/>
      <c r="F1652" s="1034" t="str">
        <f t="shared" si="354"/>
        <v/>
      </c>
      <c r="G1652" s="1033"/>
      <c r="H1652" s="1033"/>
      <c r="I1652" s="1034" t="str">
        <f t="shared" si="355"/>
        <v/>
      </c>
      <c r="J1652" s="1033"/>
      <c r="K1652" s="1033"/>
      <c r="L1652" s="1034" t="str">
        <f t="shared" si="356"/>
        <v/>
      </c>
      <c r="M1652" s="1035"/>
      <c r="N1652" s="1035"/>
      <c r="O1652" s="1036" t="str">
        <f t="shared" si="357"/>
        <v/>
      </c>
      <c r="P1652" s="1033"/>
      <c r="Q1652" s="1033"/>
      <c r="R1652" s="1034" t="str">
        <f t="shared" si="358"/>
        <v/>
      </c>
      <c r="S1652" s="1033"/>
      <c r="T1652" s="1035"/>
      <c r="U1652" s="1034" t="str">
        <f t="shared" si="359"/>
        <v/>
      </c>
      <c r="V1652" s="1035"/>
      <c r="W1652" s="1035"/>
      <c r="X1652" s="1037" t="str">
        <f t="shared" si="367"/>
        <v>6</v>
      </c>
      <c r="Y1652" s="1035"/>
      <c r="Z1652" s="1035">
        <f t="shared" si="364"/>
        <v>6</v>
      </c>
      <c r="AA1652" s="1035"/>
      <c r="AB1652" s="1033" t="s">
        <v>2993</v>
      </c>
      <c r="AC1652" s="1021">
        <v>611008</v>
      </c>
      <c r="AD1652" s="1021" t="s">
        <v>1013</v>
      </c>
      <c r="AE1652" s="1022">
        <f>VLOOKUP(AC1652,[5]Hoja1!$A$10:$K$1393,11,0)</f>
        <v>83581246</v>
      </c>
      <c r="AF1652" s="1022"/>
      <c r="AG1652" s="1022">
        <f t="shared" si="365"/>
        <v>83581246</v>
      </c>
      <c r="AH1652" s="1022">
        <f t="shared" si="366"/>
        <v>83581</v>
      </c>
      <c r="AK1652" s="448"/>
      <c r="AL1652" s="445"/>
    </row>
    <row r="1653" spans="1:38" s="467" customFormat="1" ht="12.75" customHeight="1">
      <c r="A1653" s="1033"/>
      <c r="B1653" s="1033"/>
      <c r="C1653" s="1034" t="str">
        <f t="shared" si="353"/>
        <v/>
      </c>
      <c r="D1653" s="1033"/>
      <c r="E1653" s="1033"/>
      <c r="F1653" s="1034" t="str">
        <f t="shared" si="354"/>
        <v/>
      </c>
      <c r="G1653" s="1033"/>
      <c r="H1653" s="1033"/>
      <c r="I1653" s="1034" t="str">
        <f t="shared" si="355"/>
        <v/>
      </c>
      <c r="J1653" s="1033"/>
      <c r="K1653" s="1033"/>
      <c r="L1653" s="1034" t="str">
        <f t="shared" si="356"/>
        <v/>
      </c>
      <c r="M1653" s="1035"/>
      <c r="N1653" s="1035"/>
      <c r="O1653" s="1036" t="str">
        <f t="shared" si="357"/>
        <v/>
      </c>
      <c r="P1653" s="1033"/>
      <c r="Q1653" s="1033"/>
      <c r="R1653" s="1034" t="str">
        <f t="shared" si="358"/>
        <v/>
      </c>
      <c r="S1653" s="1033"/>
      <c r="T1653" s="1035"/>
      <c r="U1653" s="1034" t="str">
        <f t="shared" si="359"/>
        <v/>
      </c>
      <c r="V1653" s="1035"/>
      <c r="W1653" s="1035"/>
      <c r="X1653" s="1037" t="str">
        <f t="shared" si="367"/>
        <v>6</v>
      </c>
      <c r="Y1653" s="1035"/>
      <c r="Z1653" s="1035">
        <f t="shared" si="364"/>
        <v>6</v>
      </c>
      <c r="AA1653" s="1035"/>
      <c r="AB1653" s="1033"/>
      <c r="AC1653" s="1021">
        <v>611009</v>
      </c>
      <c r="AD1653" s="1021" t="s">
        <v>2498</v>
      </c>
      <c r="AE1653" s="1022">
        <v>0</v>
      </c>
      <c r="AF1653" s="1022"/>
      <c r="AG1653" s="1022">
        <f t="shared" si="365"/>
        <v>0</v>
      </c>
      <c r="AH1653" s="1022">
        <f t="shared" si="366"/>
        <v>0</v>
      </c>
      <c r="AK1653" s="448"/>
      <c r="AL1653" s="445"/>
    </row>
    <row r="1654" spans="1:38" s="467" customFormat="1" ht="12.75" customHeight="1">
      <c r="A1654" s="1033"/>
      <c r="B1654" s="1033"/>
      <c r="C1654" s="1034" t="str">
        <f t="shared" si="353"/>
        <v/>
      </c>
      <c r="D1654" s="1033"/>
      <c r="E1654" s="1033"/>
      <c r="F1654" s="1034" t="str">
        <f t="shared" si="354"/>
        <v/>
      </c>
      <c r="G1654" s="1033"/>
      <c r="H1654" s="1033"/>
      <c r="I1654" s="1034" t="str">
        <f t="shared" si="355"/>
        <v/>
      </c>
      <c r="J1654" s="1033"/>
      <c r="K1654" s="1033"/>
      <c r="L1654" s="1034" t="str">
        <f t="shared" si="356"/>
        <v/>
      </c>
      <c r="M1654" s="1035"/>
      <c r="N1654" s="1035"/>
      <c r="O1654" s="1036" t="str">
        <f t="shared" si="357"/>
        <v/>
      </c>
      <c r="P1654" s="1033"/>
      <c r="Q1654" s="1033"/>
      <c r="R1654" s="1034" t="str">
        <f t="shared" si="358"/>
        <v/>
      </c>
      <c r="S1654" s="1033"/>
      <c r="T1654" s="1035"/>
      <c r="U1654" s="1034" t="str">
        <f t="shared" si="359"/>
        <v/>
      </c>
      <c r="V1654" s="1035"/>
      <c r="W1654" s="1035"/>
      <c r="X1654" s="1037" t="str">
        <f t="shared" si="367"/>
        <v>6</v>
      </c>
      <c r="Y1654" s="1035"/>
      <c r="Z1654" s="1035">
        <f t="shared" si="364"/>
        <v>6</v>
      </c>
      <c r="AA1654" s="1035"/>
      <c r="AB1654" s="1033"/>
      <c r="AC1654" s="1021">
        <v>611010</v>
      </c>
      <c r="AD1654" s="1021" t="s">
        <v>290</v>
      </c>
      <c r="AE1654" s="1022">
        <v>0</v>
      </c>
      <c r="AF1654" s="1022"/>
      <c r="AG1654" s="1022">
        <f t="shared" si="365"/>
        <v>0</v>
      </c>
      <c r="AH1654" s="1022">
        <f t="shared" si="366"/>
        <v>0</v>
      </c>
      <c r="AK1654" s="448"/>
      <c r="AL1654" s="445"/>
    </row>
    <row r="1655" spans="1:38" s="467" customFormat="1" ht="12.75" customHeight="1">
      <c r="A1655" s="1033">
        <v>5313500</v>
      </c>
      <c r="B1655" s="1033" t="s">
        <v>2840</v>
      </c>
      <c r="C1655" s="1034" t="str">
        <f t="shared" si="353"/>
        <v/>
      </c>
      <c r="D1655" s="1033"/>
      <c r="E1655" s="1033"/>
      <c r="F1655" s="1034" t="str">
        <f t="shared" si="354"/>
        <v/>
      </c>
      <c r="G1655" s="1033"/>
      <c r="H1655" s="1033"/>
      <c r="I1655" s="1034" t="str">
        <f t="shared" si="355"/>
        <v/>
      </c>
      <c r="J1655" s="1033"/>
      <c r="K1655" s="1033"/>
      <c r="L1655" s="1034" t="str">
        <f t="shared" si="356"/>
        <v/>
      </c>
      <c r="M1655" s="1035"/>
      <c r="N1655" s="1035"/>
      <c r="O1655" s="1036" t="str">
        <f t="shared" si="357"/>
        <v/>
      </c>
      <c r="P1655" s="1033"/>
      <c r="Q1655" s="1033"/>
      <c r="R1655" s="1034" t="str">
        <f t="shared" si="358"/>
        <v/>
      </c>
      <c r="S1655" s="1033"/>
      <c r="T1655" s="1035"/>
      <c r="U1655" s="1034" t="str">
        <f t="shared" si="359"/>
        <v/>
      </c>
      <c r="V1655" s="1035"/>
      <c r="W1655" s="1035"/>
      <c r="X1655" s="1037" t="str">
        <f t="shared" si="367"/>
        <v>6</v>
      </c>
      <c r="Y1655" s="1035"/>
      <c r="Z1655" s="1035">
        <f t="shared" si="364"/>
        <v>6</v>
      </c>
      <c r="AA1655" s="1035"/>
      <c r="AB1655" s="1033"/>
      <c r="AC1655" s="1021">
        <v>611011</v>
      </c>
      <c r="AD1655" s="1021" t="s">
        <v>291</v>
      </c>
      <c r="AE1655" s="1022">
        <f>VLOOKUP(AC1655,[5]Hoja1!$A$10:$K$1393,11,0)</f>
        <v>0</v>
      </c>
      <c r="AF1655" s="1022"/>
      <c r="AG1655" s="1022">
        <f t="shared" si="365"/>
        <v>0</v>
      </c>
      <c r="AH1655" s="1022">
        <f t="shared" si="366"/>
        <v>0</v>
      </c>
      <c r="AK1655" s="448"/>
      <c r="AL1655" s="445"/>
    </row>
    <row r="1656" spans="1:38" s="467" customFormat="1" ht="12.75" customHeight="1">
      <c r="A1656" s="1033">
        <v>5313500</v>
      </c>
      <c r="B1656" s="1033" t="s">
        <v>2840</v>
      </c>
      <c r="C1656" s="1034" t="str">
        <f t="shared" si="353"/>
        <v/>
      </c>
      <c r="D1656" s="1033"/>
      <c r="E1656" s="1033"/>
      <c r="F1656" s="1034" t="str">
        <f t="shared" si="354"/>
        <v/>
      </c>
      <c r="G1656" s="1033"/>
      <c r="H1656" s="1033"/>
      <c r="I1656" s="1034" t="str">
        <f t="shared" si="355"/>
        <v/>
      </c>
      <c r="J1656" s="1033"/>
      <c r="K1656" s="1033"/>
      <c r="L1656" s="1034" t="str">
        <f t="shared" si="356"/>
        <v/>
      </c>
      <c r="M1656" s="1035"/>
      <c r="N1656" s="1035"/>
      <c r="O1656" s="1036" t="str">
        <f t="shared" si="357"/>
        <v/>
      </c>
      <c r="P1656" s="1033"/>
      <c r="Q1656" s="1033"/>
      <c r="R1656" s="1034" t="str">
        <f t="shared" si="358"/>
        <v/>
      </c>
      <c r="S1656" s="1033"/>
      <c r="T1656" s="1035"/>
      <c r="U1656" s="1034" t="str">
        <f t="shared" si="359"/>
        <v/>
      </c>
      <c r="V1656" s="1035"/>
      <c r="W1656" s="1035"/>
      <c r="X1656" s="1037" t="str">
        <f t="shared" si="367"/>
        <v>6</v>
      </c>
      <c r="Y1656" s="1035"/>
      <c r="Z1656" s="1035">
        <f t="shared" si="364"/>
        <v>6</v>
      </c>
      <c r="AA1656" s="1035"/>
      <c r="AB1656" s="1033"/>
      <c r="AC1656" s="1021">
        <v>611012</v>
      </c>
      <c r="AD1656" s="1021" t="s">
        <v>1747</v>
      </c>
      <c r="AE1656" s="1022">
        <f>VLOOKUP(AC1656,[5]Hoja1!$A$10:$K$1393,11,0)</f>
        <v>-1114975</v>
      </c>
      <c r="AF1656" s="1022"/>
      <c r="AG1656" s="1022">
        <f t="shared" si="365"/>
        <v>-1114975</v>
      </c>
      <c r="AH1656" s="1022">
        <f t="shared" si="366"/>
        <v>-1115</v>
      </c>
      <c r="AK1656" s="448"/>
      <c r="AL1656" s="445"/>
    </row>
    <row r="1657" spans="1:38" s="467" customFormat="1" ht="12.75" customHeight="1">
      <c r="A1657" s="1033">
        <v>5313500</v>
      </c>
      <c r="B1657" s="1033" t="s">
        <v>2840</v>
      </c>
      <c r="C1657" s="1034" t="str">
        <f t="shared" si="353"/>
        <v/>
      </c>
      <c r="D1657" s="1033"/>
      <c r="E1657" s="1033"/>
      <c r="F1657" s="1034" t="str">
        <f t="shared" si="354"/>
        <v/>
      </c>
      <c r="G1657" s="1033"/>
      <c r="H1657" s="1033"/>
      <c r="I1657" s="1034" t="str">
        <f t="shared" si="355"/>
        <v/>
      </c>
      <c r="J1657" s="1033"/>
      <c r="K1657" s="1033"/>
      <c r="L1657" s="1034" t="str">
        <f t="shared" si="356"/>
        <v/>
      </c>
      <c r="M1657" s="1035"/>
      <c r="N1657" s="1035"/>
      <c r="O1657" s="1036" t="str">
        <f t="shared" si="357"/>
        <v/>
      </c>
      <c r="P1657" s="1033"/>
      <c r="Q1657" s="1033"/>
      <c r="R1657" s="1034" t="str">
        <f t="shared" si="358"/>
        <v/>
      </c>
      <c r="S1657" s="1033"/>
      <c r="T1657" s="1035"/>
      <c r="U1657" s="1034" t="str">
        <f t="shared" si="359"/>
        <v/>
      </c>
      <c r="V1657" s="1035"/>
      <c r="W1657" s="1035"/>
      <c r="X1657" s="1037" t="str">
        <f t="shared" si="367"/>
        <v>6</v>
      </c>
      <c r="Y1657" s="1035"/>
      <c r="Z1657" s="1035">
        <f t="shared" si="364"/>
        <v>6</v>
      </c>
      <c r="AA1657" s="1035"/>
      <c r="AB1657" s="1033"/>
      <c r="AC1657" s="1021">
        <v>611013</v>
      </c>
      <c r="AD1657" s="1021" t="s">
        <v>2499</v>
      </c>
      <c r="AE1657" s="1022">
        <f>VLOOKUP(AC1657,[5]Hoja1!$A$10:$K$1393,11,0)</f>
        <v>-149896581</v>
      </c>
      <c r="AF1657" s="1022"/>
      <c r="AG1657" s="1022">
        <f t="shared" si="365"/>
        <v>-149896581</v>
      </c>
      <c r="AH1657" s="1022">
        <f t="shared" si="366"/>
        <v>-149897</v>
      </c>
      <c r="AK1657" s="448"/>
      <c r="AL1657" s="445"/>
    </row>
    <row r="1658" spans="1:38" s="467" customFormat="1" ht="12.75" customHeight="1">
      <c r="A1658" s="1033">
        <v>5313500</v>
      </c>
      <c r="B1658" s="1033" t="s">
        <v>2840</v>
      </c>
      <c r="C1658" s="1034" t="str">
        <f t="shared" si="353"/>
        <v/>
      </c>
      <c r="D1658" s="1033"/>
      <c r="E1658" s="1033"/>
      <c r="F1658" s="1034" t="str">
        <f t="shared" si="354"/>
        <v/>
      </c>
      <c r="G1658" s="1033"/>
      <c r="H1658" s="1033"/>
      <c r="I1658" s="1034" t="str">
        <f t="shared" si="355"/>
        <v/>
      </c>
      <c r="J1658" s="1033"/>
      <c r="K1658" s="1033"/>
      <c r="L1658" s="1034" t="str">
        <f t="shared" si="356"/>
        <v/>
      </c>
      <c r="M1658" s="1035"/>
      <c r="N1658" s="1035"/>
      <c r="O1658" s="1036" t="str">
        <f t="shared" si="357"/>
        <v/>
      </c>
      <c r="P1658" s="1033"/>
      <c r="Q1658" s="1033"/>
      <c r="R1658" s="1034" t="str">
        <f t="shared" si="358"/>
        <v/>
      </c>
      <c r="S1658" s="1033"/>
      <c r="T1658" s="1035"/>
      <c r="U1658" s="1034" t="str">
        <f t="shared" si="359"/>
        <v/>
      </c>
      <c r="V1658" s="1035"/>
      <c r="W1658" s="1035"/>
      <c r="X1658" s="1037" t="str">
        <f t="shared" si="367"/>
        <v>6</v>
      </c>
      <c r="Y1658" s="1035"/>
      <c r="Z1658" s="1035">
        <f t="shared" si="364"/>
        <v>6</v>
      </c>
      <c r="AA1658" s="1035"/>
      <c r="AB1658" s="1033"/>
      <c r="AC1658" s="1021">
        <v>611014</v>
      </c>
      <c r="AD1658" s="1021" t="s">
        <v>292</v>
      </c>
      <c r="AE1658" s="1022">
        <f>VLOOKUP(AC1658,[5]Hoja1!$A$10:$K$1393,11,0)</f>
        <v>-39815032</v>
      </c>
      <c r="AF1658" s="1022"/>
      <c r="AG1658" s="1022">
        <f t="shared" si="365"/>
        <v>-39815032</v>
      </c>
      <c r="AH1658" s="1022">
        <f t="shared" si="366"/>
        <v>-39815</v>
      </c>
      <c r="AK1658" s="448"/>
      <c r="AL1658" s="445"/>
    </row>
    <row r="1659" spans="1:38" s="467" customFormat="1" ht="12.75" customHeight="1">
      <c r="A1659" s="1033">
        <v>5313500</v>
      </c>
      <c r="B1659" s="1033" t="s">
        <v>2840</v>
      </c>
      <c r="C1659" s="1034" t="str">
        <f t="shared" si="353"/>
        <v/>
      </c>
      <c r="D1659" s="1033"/>
      <c r="E1659" s="1033"/>
      <c r="F1659" s="1034" t="str">
        <f t="shared" si="354"/>
        <v/>
      </c>
      <c r="G1659" s="1033"/>
      <c r="H1659" s="1033"/>
      <c r="I1659" s="1034" t="str">
        <f t="shared" si="355"/>
        <v/>
      </c>
      <c r="J1659" s="1033"/>
      <c r="K1659" s="1033"/>
      <c r="L1659" s="1034" t="str">
        <f t="shared" si="356"/>
        <v/>
      </c>
      <c r="M1659" s="1035"/>
      <c r="N1659" s="1035"/>
      <c r="O1659" s="1036" t="str">
        <f t="shared" si="357"/>
        <v/>
      </c>
      <c r="P1659" s="1033"/>
      <c r="Q1659" s="1033"/>
      <c r="R1659" s="1034" t="str">
        <f t="shared" si="358"/>
        <v/>
      </c>
      <c r="S1659" s="1033"/>
      <c r="T1659" s="1035"/>
      <c r="U1659" s="1034" t="str">
        <f t="shared" si="359"/>
        <v/>
      </c>
      <c r="V1659" s="1035"/>
      <c r="W1659" s="1035"/>
      <c r="X1659" s="1037" t="str">
        <f t="shared" si="367"/>
        <v>6</v>
      </c>
      <c r="Y1659" s="1035"/>
      <c r="Z1659" s="1035">
        <f t="shared" si="364"/>
        <v>6</v>
      </c>
      <c r="AA1659" s="1035"/>
      <c r="AB1659" s="1033"/>
      <c r="AC1659" s="1021">
        <v>611015</v>
      </c>
      <c r="AD1659" s="1021" t="s">
        <v>293</v>
      </c>
      <c r="AE1659" s="1022">
        <f>VLOOKUP(AC1659,[5]Hoja1!$A$10:$K$1393,11,0)</f>
        <v>0</v>
      </c>
      <c r="AF1659" s="1022"/>
      <c r="AG1659" s="1022">
        <f t="shared" si="365"/>
        <v>0</v>
      </c>
      <c r="AH1659" s="1022">
        <f t="shared" si="366"/>
        <v>0</v>
      </c>
      <c r="AK1659" s="448"/>
      <c r="AL1659" s="445"/>
    </row>
    <row r="1660" spans="1:38" s="467" customFormat="1" ht="12.75" customHeight="1">
      <c r="A1660" s="1033">
        <v>5312200</v>
      </c>
      <c r="B1660" s="1033" t="s">
        <v>998</v>
      </c>
      <c r="C1660" s="1034" t="str">
        <f t="shared" si="353"/>
        <v/>
      </c>
      <c r="D1660" s="1033"/>
      <c r="E1660" s="1033"/>
      <c r="F1660" s="1034" t="str">
        <f t="shared" si="354"/>
        <v/>
      </c>
      <c r="G1660" s="1033"/>
      <c r="H1660" s="1033"/>
      <c r="I1660" s="1034" t="str">
        <f t="shared" si="355"/>
        <v/>
      </c>
      <c r="J1660" s="1033"/>
      <c r="K1660" s="1033"/>
      <c r="L1660" s="1034" t="str">
        <f t="shared" si="356"/>
        <v/>
      </c>
      <c r="M1660" s="1035"/>
      <c r="N1660" s="1035"/>
      <c r="O1660" s="1036" t="str">
        <f t="shared" si="357"/>
        <v/>
      </c>
      <c r="P1660" s="1033"/>
      <c r="Q1660" s="1033"/>
      <c r="R1660" s="1034" t="str">
        <f t="shared" si="358"/>
        <v/>
      </c>
      <c r="S1660" s="1033"/>
      <c r="T1660" s="1035"/>
      <c r="U1660" s="1034" t="str">
        <f t="shared" si="359"/>
        <v/>
      </c>
      <c r="V1660" s="1035"/>
      <c r="W1660" s="1035"/>
      <c r="X1660" s="1037" t="str">
        <f t="shared" si="367"/>
        <v>6</v>
      </c>
      <c r="Y1660" s="1035"/>
      <c r="Z1660" s="1035">
        <f t="shared" si="364"/>
        <v>6</v>
      </c>
      <c r="AA1660" s="1035"/>
      <c r="AB1660" s="1033" t="s">
        <v>2991</v>
      </c>
      <c r="AC1660" s="1021">
        <v>611016</v>
      </c>
      <c r="AD1660" s="1021" t="s">
        <v>294</v>
      </c>
      <c r="AE1660" s="1022">
        <f>VLOOKUP(AC1660,[5]Hoja1!$A$10:$K$1393,11,0)</f>
        <v>1220779</v>
      </c>
      <c r="AF1660" s="1022"/>
      <c r="AG1660" s="1022">
        <f t="shared" si="365"/>
        <v>1220779</v>
      </c>
      <c r="AH1660" s="1022">
        <f t="shared" si="366"/>
        <v>1221</v>
      </c>
      <c r="AK1660" s="448"/>
      <c r="AL1660" s="445"/>
    </row>
    <row r="1661" spans="1:38" s="467" customFormat="1" ht="12.75" customHeight="1">
      <c r="A1661" s="1033">
        <v>5312200</v>
      </c>
      <c r="B1661" s="1033" t="s">
        <v>998</v>
      </c>
      <c r="C1661" s="1034" t="str">
        <f t="shared" si="353"/>
        <v/>
      </c>
      <c r="D1661" s="1033"/>
      <c r="E1661" s="1033"/>
      <c r="F1661" s="1034" t="str">
        <f t="shared" si="354"/>
        <v/>
      </c>
      <c r="G1661" s="1033"/>
      <c r="H1661" s="1033"/>
      <c r="I1661" s="1034" t="str">
        <f t="shared" si="355"/>
        <v/>
      </c>
      <c r="J1661" s="1033"/>
      <c r="K1661" s="1033"/>
      <c r="L1661" s="1034" t="str">
        <f t="shared" si="356"/>
        <v/>
      </c>
      <c r="M1661" s="1035"/>
      <c r="N1661" s="1035"/>
      <c r="O1661" s="1036" t="str">
        <f t="shared" si="357"/>
        <v/>
      </c>
      <c r="P1661" s="1033"/>
      <c r="Q1661" s="1033"/>
      <c r="R1661" s="1034" t="str">
        <f t="shared" si="358"/>
        <v/>
      </c>
      <c r="S1661" s="1033"/>
      <c r="T1661" s="1035"/>
      <c r="U1661" s="1034" t="str">
        <f t="shared" si="359"/>
        <v/>
      </c>
      <c r="V1661" s="1035"/>
      <c r="W1661" s="1035"/>
      <c r="X1661" s="1037" t="str">
        <f t="shared" si="367"/>
        <v>6</v>
      </c>
      <c r="Y1661" s="1035"/>
      <c r="Z1661" s="1035">
        <f t="shared" si="364"/>
        <v>6</v>
      </c>
      <c r="AA1661" s="1035"/>
      <c r="AB1661" s="1033" t="s">
        <v>2991</v>
      </c>
      <c r="AC1661" s="1021">
        <v>611017</v>
      </c>
      <c r="AD1661" s="1021" t="s">
        <v>1324</v>
      </c>
      <c r="AE1661" s="1022">
        <f>VLOOKUP(AC1661,[5]Hoja1!$A$10:$K$1393,11,0)</f>
        <v>32846860</v>
      </c>
      <c r="AF1661" s="1022"/>
      <c r="AG1661" s="1022">
        <f t="shared" si="365"/>
        <v>32846860</v>
      </c>
      <c r="AH1661" s="1022">
        <f t="shared" si="366"/>
        <v>32847</v>
      </c>
      <c r="AK1661" s="448"/>
      <c r="AL1661" s="445"/>
    </row>
    <row r="1662" spans="1:38" s="467" customFormat="1" ht="12.75" customHeight="1">
      <c r="A1662" s="1033"/>
      <c r="B1662" s="1033"/>
      <c r="C1662" s="1034" t="str">
        <f t="shared" si="353"/>
        <v/>
      </c>
      <c r="D1662" s="1033"/>
      <c r="E1662" s="1033"/>
      <c r="F1662" s="1034" t="str">
        <f t="shared" si="354"/>
        <v/>
      </c>
      <c r="G1662" s="1033"/>
      <c r="H1662" s="1033"/>
      <c r="I1662" s="1034" t="str">
        <f t="shared" si="355"/>
        <v/>
      </c>
      <c r="J1662" s="1033"/>
      <c r="K1662" s="1033"/>
      <c r="L1662" s="1034" t="str">
        <f t="shared" si="356"/>
        <v/>
      </c>
      <c r="M1662" s="1035"/>
      <c r="N1662" s="1035"/>
      <c r="O1662" s="1036" t="str">
        <f t="shared" si="357"/>
        <v/>
      </c>
      <c r="P1662" s="1033"/>
      <c r="Q1662" s="1033"/>
      <c r="R1662" s="1034" t="str">
        <f t="shared" si="358"/>
        <v/>
      </c>
      <c r="S1662" s="1033"/>
      <c r="T1662" s="1035"/>
      <c r="U1662" s="1034" t="str">
        <f t="shared" si="359"/>
        <v/>
      </c>
      <c r="V1662" s="1035"/>
      <c r="W1662" s="1035"/>
      <c r="X1662" s="1037" t="str">
        <f t="shared" si="367"/>
        <v>6</v>
      </c>
      <c r="Y1662" s="1035"/>
      <c r="Z1662" s="1035">
        <f t="shared" si="364"/>
        <v>6</v>
      </c>
      <c r="AA1662" s="1035"/>
      <c r="AB1662" s="1033"/>
      <c r="AC1662" s="1021">
        <v>611018</v>
      </c>
      <c r="AD1662" s="1021" t="s">
        <v>1325</v>
      </c>
      <c r="AE1662" s="1022">
        <v>0</v>
      </c>
      <c r="AF1662" s="1022"/>
      <c r="AG1662" s="1022">
        <f t="shared" si="365"/>
        <v>0</v>
      </c>
      <c r="AH1662" s="1022">
        <f t="shared" si="366"/>
        <v>0</v>
      </c>
      <c r="AK1662" s="448"/>
      <c r="AL1662" s="445"/>
    </row>
    <row r="1663" spans="1:38" s="467" customFormat="1" ht="12.75" customHeight="1">
      <c r="A1663" s="1033"/>
      <c r="B1663" s="1033"/>
      <c r="C1663" s="1034"/>
      <c r="D1663" s="1033"/>
      <c r="E1663" s="1033"/>
      <c r="F1663" s="1034"/>
      <c r="G1663" s="1033"/>
      <c r="H1663" s="1033"/>
      <c r="I1663" s="1034"/>
      <c r="J1663" s="1033"/>
      <c r="K1663" s="1033"/>
      <c r="L1663" s="1034"/>
      <c r="M1663" s="1035"/>
      <c r="N1663" s="1035"/>
      <c r="O1663" s="1036"/>
      <c r="P1663" s="1033"/>
      <c r="Q1663" s="1033"/>
      <c r="R1663" s="1034"/>
      <c r="S1663" s="1033"/>
      <c r="T1663" s="1035"/>
      <c r="U1663" s="1034"/>
      <c r="V1663" s="1035"/>
      <c r="W1663" s="1035"/>
      <c r="X1663" s="1037"/>
      <c r="Y1663" s="1035"/>
      <c r="Z1663" s="1035">
        <f t="shared" si="364"/>
        <v>6</v>
      </c>
      <c r="AA1663" s="1035"/>
      <c r="AB1663" s="1033"/>
      <c r="AC1663" s="1021">
        <v>611019</v>
      </c>
      <c r="AD1663" s="1021" t="s">
        <v>1633</v>
      </c>
      <c r="AE1663" s="1022">
        <v>0</v>
      </c>
      <c r="AF1663" s="1022"/>
      <c r="AG1663" s="1022">
        <f t="shared" si="365"/>
        <v>0</v>
      </c>
      <c r="AH1663" s="1022">
        <f t="shared" si="366"/>
        <v>0</v>
      </c>
      <c r="AK1663" s="448"/>
      <c r="AL1663" s="445"/>
    </row>
    <row r="1664" spans="1:38" s="467" customFormat="1" ht="12.75" customHeight="1">
      <c r="A1664" s="1033">
        <v>5313500</v>
      </c>
      <c r="B1664" s="1033" t="s">
        <v>2840</v>
      </c>
      <c r="C1664" s="1034"/>
      <c r="D1664" s="1033"/>
      <c r="E1664" s="1033"/>
      <c r="F1664" s="1034"/>
      <c r="G1664" s="1033"/>
      <c r="H1664" s="1033"/>
      <c r="I1664" s="1034"/>
      <c r="J1664" s="1033"/>
      <c r="K1664" s="1033"/>
      <c r="L1664" s="1034"/>
      <c r="M1664" s="1035"/>
      <c r="N1664" s="1035"/>
      <c r="O1664" s="1036"/>
      <c r="P1664" s="1033"/>
      <c r="Q1664" s="1033"/>
      <c r="R1664" s="1034"/>
      <c r="S1664" s="1033"/>
      <c r="T1664" s="1035"/>
      <c r="U1664" s="1034"/>
      <c r="V1664" s="1035"/>
      <c r="W1664" s="1035"/>
      <c r="X1664" s="1037"/>
      <c r="Y1664" s="1035"/>
      <c r="Z1664" s="1035">
        <f t="shared" si="364"/>
        <v>6</v>
      </c>
      <c r="AA1664" s="1035"/>
      <c r="AB1664" s="1033"/>
      <c r="AC1664" s="1021">
        <v>611020</v>
      </c>
      <c r="AD1664" s="1021" t="s">
        <v>647</v>
      </c>
      <c r="AE1664" s="1022">
        <f>VLOOKUP(AC1664,[5]Hoja1!$A$10:$K$1393,11,0)</f>
        <v>0</v>
      </c>
      <c r="AF1664" s="1022"/>
      <c r="AG1664" s="1022">
        <f t="shared" si="365"/>
        <v>0</v>
      </c>
      <c r="AH1664" s="1022">
        <f t="shared" si="366"/>
        <v>0</v>
      </c>
      <c r="AK1664" s="448"/>
      <c r="AL1664" s="445"/>
    </row>
    <row r="1665" spans="1:38" s="467" customFormat="1" ht="12.75" customHeight="1">
      <c r="A1665" s="1033">
        <v>5312200</v>
      </c>
      <c r="B1665" s="1033" t="s">
        <v>998</v>
      </c>
      <c r="C1665" s="1034"/>
      <c r="D1665" s="1033"/>
      <c r="E1665" s="1033"/>
      <c r="F1665" s="1034"/>
      <c r="G1665" s="1033"/>
      <c r="H1665" s="1033"/>
      <c r="I1665" s="1034"/>
      <c r="J1665" s="1033"/>
      <c r="K1665" s="1033"/>
      <c r="L1665" s="1034"/>
      <c r="M1665" s="1035"/>
      <c r="N1665" s="1035"/>
      <c r="O1665" s="1036"/>
      <c r="P1665" s="1033"/>
      <c r="Q1665" s="1033"/>
      <c r="R1665" s="1034"/>
      <c r="S1665" s="1033"/>
      <c r="T1665" s="1035"/>
      <c r="U1665" s="1034"/>
      <c r="V1665" s="1035"/>
      <c r="W1665" s="1035"/>
      <c r="X1665" s="1037"/>
      <c r="Y1665" s="1035"/>
      <c r="Z1665" s="1035">
        <f t="shared" si="364"/>
        <v>6</v>
      </c>
      <c r="AA1665" s="1035"/>
      <c r="AB1665" s="1033" t="s">
        <v>2993</v>
      </c>
      <c r="AC1665" s="1021">
        <v>611021</v>
      </c>
      <c r="AD1665" s="1021" t="s">
        <v>541</v>
      </c>
      <c r="AE1665" s="1022">
        <f>VLOOKUP(AC1665,[5]Hoja1!$A$10:$K$1393,11,0)</f>
        <v>0</v>
      </c>
      <c r="AF1665" s="1022"/>
      <c r="AG1665" s="1022">
        <f t="shared" si="365"/>
        <v>0</v>
      </c>
      <c r="AH1665" s="1022">
        <f t="shared" si="366"/>
        <v>0</v>
      </c>
      <c r="AK1665" s="448"/>
      <c r="AL1665" s="445"/>
    </row>
    <row r="1666" spans="1:38" s="467" customFormat="1" ht="12.75" customHeight="1">
      <c r="A1666" s="1033">
        <v>5312200</v>
      </c>
      <c r="B1666" s="1033" t="s">
        <v>998</v>
      </c>
      <c r="C1666" s="1034"/>
      <c r="D1666" s="1033"/>
      <c r="E1666" s="1033"/>
      <c r="F1666" s="1034"/>
      <c r="G1666" s="1033"/>
      <c r="H1666" s="1033"/>
      <c r="I1666" s="1034"/>
      <c r="J1666" s="1033"/>
      <c r="K1666" s="1033"/>
      <c r="L1666" s="1034"/>
      <c r="M1666" s="1035"/>
      <c r="N1666" s="1035"/>
      <c r="O1666" s="1036"/>
      <c r="P1666" s="1033"/>
      <c r="Q1666" s="1033"/>
      <c r="R1666" s="1034"/>
      <c r="S1666" s="1033"/>
      <c r="T1666" s="1035"/>
      <c r="U1666" s="1034"/>
      <c r="V1666" s="1035"/>
      <c r="W1666" s="1035"/>
      <c r="X1666" s="1037"/>
      <c r="Y1666" s="1035"/>
      <c r="Z1666" s="1035">
        <f t="shared" si="364"/>
        <v>6</v>
      </c>
      <c r="AA1666" s="1035"/>
      <c r="AB1666" s="1033" t="s">
        <v>2993</v>
      </c>
      <c r="AC1666" s="1021">
        <v>611022</v>
      </c>
      <c r="AD1666" s="1021" t="s">
        <v>2500</v>
      </c>
      <c r="AE1666" s="1022">
        <f>VLOOKUP(AC1666,[5]Hoja1!$A$10:$K$1393,11,0)</f>
        <v>0</v>
      </c>
      <c r="AF1666" s="1022"/>
      <c r="AG1666" s="1022">
        <f t="shared" si="365"/>
        <v>0</v>
      </c>
      <c r="AH1666" s="1022">
        <f t="shared" si="366"/>
        <v>0</v>
      </c>
      <c r="AK1666" s="448"/>
      <c r="AL1666" s="445"/>
    </row>
    <row r="1667" spans="1:38" s="467" customFormat="1" ht="12.75" customHeight="1">
      <c r="A1667" s="1033">
        <v>5312200</v>
      </c>
      <c r="B1667" s="1033" t="s">
        <v>998</v>
      </c>
      <c r="C1667" s="1034"/>
      <c r="D1667" s="1033"/>
      <c r="E1667" s="1033"/>
      <c r="F1667" s="1034"/>
      <c r="G1667" s="1033"/>
      <c r="H1667" s="1033"/>
      <c r="I1667" s="1034"/>
      <c r="J1667" s="1033"/>
      <c r="K1667" s="1033"/>
      <c r="L1667" s="1034"/>
      <c r="M1667" s="1035"/>
      <c r="N1667" s="1035"/>
      <c r="O1667" s="1036"/>
      <c r="P1667" s="1033"/>
      <c r="Q1667" s="1033"/>
      <c r="R1667" s="1034"/>
      <c r="S1667" s="1033"/>
      <c r="T1667" s="1035"/>
      <c r="U1667" s="1034"/>
      <c r="V1667" s="1035"/>
      <c r="W1667" s="1035"/>
      <c r="X1667" s="1037"/>
      <c r="Y1667" s="1035"/>
      <c r="Z1667" s="1035">
        <f t="shared" si="364"/>
        <v>6</v>
      </c>
      <c r="AA1667" s="1035"/>
      <c r="AB1667" s="1033" t="s">
        <v>2991</v>
      </c>
      <c r="AC1667" s="1021">
        <v>611023</v>
      </c>
      <c r="AD1667" s="1021" t="s">
        <v>928</v>
      </c>
      <c r="AE1667" s="1022">
        <f>VLOOKUP(AC1667,[5]Hoja1!$A$10:$K$1393,11,0)</f>
        <v>0</v>
      </c>
      <c r="AF1667" s="1022"/>
      <c r="AG1667" s="1022">
        <f t="shared" si="365"/>
        <v>0</v>
      </c>
      <c r="AH1667" s="1022">
        <f t="shared" si="366"/>
        <v>0</v>
      </c>
      <c r="AK1667" s="448"/>
      <c r="AL1667" s="445"/>
    </row>
    <row r="1668" spans="1:38" s="467" customFormat="1" ht="12.75" customHeight="1">
      <c r="A1668" s="1033">
        <v>5313330</v>
      </c>
      <c r="B1668" s="1033" t="s">
        <v>2837</v>
      </c>
      <c r="C1668" s="1034"/>
      <c r="D1668" s="1033"/>
      <c r="E1668" s="1033"/>
      <c r="F1668" s="1034"/>
      <c r="G1668" s="1033"/>
      <c r="H1668" s="1033"/>
      <c r="I1668" s="1034"/>
      <c r="J1668" s="1033"/>
      <c r="K1668" s="1033"/>
      <c r="L1668" s="1034"/>
      <c r="M1668" s="1035"/>
      <c r="N1668" s="1035"/>
      <c r="O1668" s="1036"/>
      <c r="P1668" s="1033"/>
      <c r="Q1668" s="1033"/>
      <c r="R1668" s="1034"/>
      <c r="S1668" s="1033"/>
      <c r="T1668" s="1035"/>
      <c r="U1668" s="1034"/>
      <c r="V1668" s="1035"/>
      <c r="W1668" s="1035"/>
      <c r="X1668" s="1037" t="str">
        <f>+Y1668&amp;Z1668</f>
        <v>26</v>
      </c>
      <c r="Y1668" s="1035">
        <v>2</v>
      </c>
      <c r="Z1668" s="1035">
        <f t="shared" si="364"/>
        <v>6</v>
      </c>
      <c r="AA1668" s="1035"/>
      <c r="AB1668" s="1033"/>
      <c r="AC1668" s="1021">
        <v>611024</v>
      </c>
      <c r="AD1668" s="1021" t="s">
        <v>2501</v>
      </c>
      <c r="AE1668" s="1022">
        <f>VLOOKUP(AC1668,[5]Hoja1!$A$10:$K$1393,11,0)</f>
        <v>44489654</v>
      </c>
      <c r="AF1668" s="1022"/>
      <c r="AG1668" s="1022">
        <f t="shared" si="365"/>
        <v>44489654</v>
      </c>
      <c r="AH1668" s="1022">
        <f t="shared" si="366"/>
        <v>44490</v>
      </c>
      <c r="AK1668" s="448"/>
      <c r="AL1668" s="445"/>
    </row>
    <row r="1669" spans="1:38" s="467" customFormat="1" ht="12.75" customHeight="1">
      <c r="A1669" s="1033">
        <v>5313500</v>
      </c>
      <c r="B1669" s="1033" t="s">
        <v>2840</v>
      </c>
      <c r="C1669" s="1034"/>
      <c r="D1669" s="1033"/>
      <c r="E1669" s="1033"/>
      <c r="F1669" s="1034"/>
      <c r="G1669" s="1033"/>
      <c r="H1669" s="1033"/>
      <c r="I1669" s="1034"/>
      <c r="J1669" s="1033"/>
      <c r="K1669" s="1033"/>
      <c r="L1669" s="1034"/>
      <c r="M1669" s="1035"/>
      <c r="N1669" s="1035"/>
      <c r="O1669" s="1036"/>
      <c r="P1669" s="1033"/>
      <c r="Q1669" s="1033"/>
      <c r="R1669" s="1034"/>
      <c r="S1669" s="1033"/>
      <c r="T1669" s="1035"/>
      <c r="U1669" s="1034"/>
      <c r="V1669" s="1035"/>
      <c r="W1669" s="1035"/>
      <c r="X1669" s="1037"/>
      <c r="Y1669" s="1035"/>
      <c r="Z1669" s="1035">
        <f t="shared" si="364"/>
        <v>6</v>
      </c>
      <c r="AA1669" s="1035"/>
      <c r="AB1669" s="1033"/>
      <c r="AC1669" s="1021">
        <v>611026</v>
      </c>
      <c r="AD1669" s="1021" t="s">
        <v>2946</v>
      </c>
      <c r="AE1669" s="1022">
        <f>VLOOKUP(AC1669,[5]Hoja1!$A$10:$K$1393,11,0)</f>
        <v>0</v>
      </c>
      <c r="AF1669" s="1022"/>
      <c r="AG1669" s="1022">
        <f t="shared" si="365"/>
        <v>0</v>
      </c>
      <c r="AH1669" s="1022">
        <f t="shared" si="366"/>
        <v>0</v>
      </c>
      <c r="AK1669" s="448"/>
      <c r="AL1669" s="445"/>
    </row>
    <row r="1670" spans="1:38" s="467" customFormat="1" ht="12.75" customHeight="1">
      <c r="A1670" s="1033">
        <v>5313500</v>
      </c>
      <c r="B1670" s="1033" t="s">
        <v>2840</v>
      </c>
      <c r="C1670" s="1034"/>
      <c r="D1670" s="1033"/>
      <c r="E1670" s="1033"/>
      <c r="F1670" s="1034"/>
      <c r="G1670" s="1033"/>
      <c r="H1670" s="1033"/>
      <c r="I1670" s="1034"/>
      <c r="J1670" s="1033"/>
      <c r="K1670" s="1033"/>
      <c r="L1670" s="1034"/>
      <c r="M1670" s="1035"/>
      <c r="N1670" s="1035"/>
      <c r="O1670" s="1036"/>
      <c r="P1670" s="1033"/>
      <c r="Q1670" s="1033"/>
      <c r="R1670" s="1034"/>
      <c r="S1670" s="1033"/>
      <c r="T1670" s="1035"/>
      <c r="U1670" s="1034"/>
      <c r="V1670" s="1035"/>
      <c r="W1670" s="1035"/>
      <c r="X1670" s="1037"/>
      <c r="Y1670" s="1035"/>
      <c r="Z1670" s="1035">
        <f t="shared" si="364"/>
        <v>6</v>
      </c>
      <c r="AA1670" s="1035"/>
      <c r="AB1670" s="1033"/>
      <c r="AC1670" s="1021">
        <v>611027</v>
      </c>
      <c r="AD1670" s="1021" t="s">
        <v>3088</v>
      </c>
      <c r="AE1670" s="1022">
        <f>VLOOKUP(AC1670,[5]Hoja1!$A$10:$K$1393,11,0)</f>
        <v>125068732</v>
      </c>
      <c r="AF1670" s="1022"/>
      <c r="AG1670" s="1022">
        <f t="shared" ref="AG1670" si="368">AE1670+AF1670</f>
        <v>125068732</v>
      </c>
      <c r="AH1670" s="1022">
        <f t="shared" ref="AH1670" si="369">ROUND((AE1670+AF1670)/$AH$2,0)</f>
        <v>125069</v>
      </c>
      <c r="AK1670" s="448"/>
      <c r="AL1670" s="445"/>
    </row>
    <row r="1671" spans="1:38" s="467" customFormat="1" ht="12.75" customHeight="1">
      <c r="A1671" s="1033">
        <v>5313340</v>
      </c>
      <c r="B1671" s="1033" t="s">
        <v>2838</v>
      </c>
      <c r="C1671" s="1034"/>
      <c r="D1671" s="1033"/>
      <c r="E1671" s="1033"/>
      <c r="F1671" s="1034"/>
      <c r="G1671" s="1033"/>
      <c r="H1671" s="1033"/>
      <c r="I1671" s="1034"/>
      <c r="J1671" s="1033"/>
      <c r="K1671" s="1033"/>
      <c r="L1671" s="1034"/>
      <c r="M1671" s="1035"/>
      <c r="N1671" s="1035"/>
      <c r="O1671" s="1036"/>
      <c r="P1671" s="1033"/>
      <c r="Q1671" s="1033"/>
      <c r="R1671" s="1034"/>
      <c r="S1671" s="1033"/>
      <c r="T1671" s="1035"/>
      <c r="U1671" s="1034"/>
      <c r="V1671" s="1035"/>
      <c r="W1671" s="1035"/>
      <c r="X1671" s="1037"/>
      <c r="Y1671" s="1035"/>
      <c r="Z1671" s="1035">
        <f t="shared" si="364"/>
        <v>6</v>
      </c>
      <c r="AA1671" s="1035"/>
      <c r="AB1671" s="1033"/>
      <c r="AC1671" s="1021">
        <v>611050</v>
      </c>
      <c r="AD1671" s="1021" t="s">
        <v>1307</v>
      </c>
      <c r="AE1671" s="1022">
        <f>VLOOKUP(AC1671,[5]Hoja1!$A$10:$K$1393,11,0)</f>
        <v>0</v>
      </c>
      <c r="AF1671" s="1022"/>
      <c r="AG1671" s="1022">
        <f t="shared" si="365"/>
        <v>0</v>
      </c>
      <c r="AH1671" s="1022">
        <f t="shared" si="366"/>
        <v>0</v>
      </c>
      <c r="AK1671" s="448"/>
      <c r="AL1671" s="445"/>
    </row>
    <row r="1672" spans="1:38" s="467" customFormat="1" ht="12.75" customHeight="1">
      <c r="A1672" s="1033"/>
      <c r="B1672" s="1033"/>
      <c r="C1672" s="1034" t="str">
        <f t="shared" si="353"/>
        <v/>
      </c>
      <c r="D1672" s="1033"/>
      <c r="E1672" s="1033"/>
      <c r="F1672" s="1034" t="str">
        <f t="shared" si="354"/>
        <v/>
      </c>
      <c r="G1672" s="1033"/>
      <c r="H1672" s="1033"/>
      <c r="I1672" s="1034" t="str">
        <f t="shared" si="355"/>
        <v/>
      </c>
      <c r="J1672" s="1033"/>
      <c r="K1672" s="1033"/>
      <c r="L1672" s="1034" t="str">
        <f t="shared" si="356"/>
        <v/>
      </c>
      <c r="M1672" s="1035"/>
      <c r="N1672" s="1035"/>
      <c r="O1672" s="1036" t="str">
        <f t="shared" si="357"/>
        <v/>
      </c>
      <c r="P1672" s="1033"/>
      <c r="Q1672" s="1033"/>
      <c r="R1672" s="1034" t="str">
        <f t="shared" si="358"/>
        <v/>
      </c>
      <c r="S1672" s="1033"/>
      <c r="T1672" s="1035"/>
      <c r="U1672" s="1034" t="str">
        <f t="shared" si="359"/>
        <v/>
      </c>
      <c r="V1672" s="1035"/>
      <c r="W1672" s="1035"/>
      <c r="X1672" s="1037" t="str">
        <f t="shared" ref="X1672:X1679" si="370">+Y1672&amp;Z1672</f>
        <v>6</v>
      </c>
      <c r="Y1672" s="1035"/>
      <c r="Z1672" s="1035">
        <f t="shared" si="364"/>
        <v>6</v>
      </c>
      <c r="AA1672" s="1035"/>
      <c r="AB1672" s="1033"/>
      <c r="AC1672" s="1021">
        <v>611051</v>
      </c>
      <c r="AD1672" s="1021" t="s">
        <v>1553</v>
      </c>
      <c r="AE1672" s="1022">
        <v>0</v>
      </c>
      <c r="AF1672" s="1022"/>
      <c r="AG1672" s="1022">
        <f t="shared" si="365"/>
        <v>0</v>
      </c>
      <c r="AH1672" s="1022">
        <f t="shared" si="366"/>
        <v>0</v>
      </c>
      <c r="AK1672" s="448"/>
      <c r="AL1672" s="445"/>
    </row>
    <row r="1673" spans="1:38" s="467" customFormat="1" ht="12.75" customHeight="1">
      <c r="A1673" s="1033">
        <v>5313340</v>
      </c>
      <c r="B1673" s="1033" t="s">
        <v>2838</v>
      </c>
      <c r="C1673" s="1034" t="str">
        <f t="shared" si="353"/>
        <v/>
      </c>
      <c r="D1673" s="1033"/>
      <c r="E1673" s="1033"/>
      <c r="F1673" s="1034" t="str">
        <f t="shared" si="354"/>
        <v/>
      </c>
      <c r="G1673" s="1033"/>
      <c r="H1673" s="1033"/>
      <c r="I1673" s="1034" t="str">
        <f t="shared" si="355"/>
        <v/>
      </c>
      <c r="J1673" s="1033"/>
      <c r="K1673" s="1033"/>
      <c r="L1673" s="1034" t="str">
        <f t="shared" si="356"/>
        <v/>
      </c>
      <c r="M1673" s="1035"/>
      <c r="N1673" s="1035"/>
      <c r="O1673" s="1036" t="str">
        <f t="shared" si="357"/>
        <v/>
      </c>
      <c r="P1673" s="1033"/>
      <c r="Q1673" s="1033"/>
      <c r="R1673" s="1034" t="str">
        <f t="shared" si="358"/>
        <v/>
      </c>
      <c r="S1673" s="1033"/>
      <c r="T1673" s="1035"/>
      <c r="U1673" s="1034" t="str">
        <f t="shared" si="359"/>
        <v/>
      </c>
      <c r="V1673" s="1035"/>
      <c r="W1673" s="1035"/>
      <c r="X1673" s="1037" t="str">
        <f t="shared" si="370"/>
        <v>6</v>
      </c>
      <c r="Y1673" s="1035"/>
      <c r="Z1673" s="1035">
        <f t="shared" si="364"/>
        <v>6</v>
      </c>
      <c r="AA1673" s="1035"/>
      <c r="AB1673" s="1033"/>
      <c r="AC1673" s="1021">
        <v>611052</v>
      </c>
      <c r="AD1673" s="1021" t="s">
        <v>2502</v>
      </c>
      <c r="AE1673" s="1022">
        <f>VLOOKUP(AC1673,[5]Hoja1!$A$10:$K$1393,11,0)</f>
        <v>30786825</v>
      </c>
      <c r="AF1673" s="1022"/>
      <c r="AG1673" s="1022">
        <f t="shared" si="365"/>
        <v>30786825</v>
      </c>
      <c r="AH1673" s="1022">
        <f t="shared" si="366"/>
        <v>30787</v>
      </c>
      <c r="AK1673" s="448"/>
      <c r="AL1673" s="445"/>
    </row>
    <row r="1674" spans="1:38" s="467" customFormat="1" ht="12.75" customHeight="1">
      <c r="A1674" s="1033">
        <v>5313340</v>
      </c>
      <c r="B1674" s="1033" t="s">
        <v>2838</v>
      </c>
      <c r="C1674" s="1034" t="str">
        <f t="shared" ref="C1674:C1679" si="371">+D1674&amp;E1674</f>
        <v/>
      </c>
      <c r="D1674" s="1033"/>
      <c r="E1674" s="1033"/>
      <c r="F1674" s="1034" t="str">
        <f t="shared" ref="F1674:F1679" si="372">+G1674&amp;H1674</f>
        <v/>
      </c>
      <c r="G1674" s="1033"/>
      <c r="H1674" s="1033"/>
      <c r="I1674" s="1034" t="str">
        <f t="shared" ref="I1674:I1679" si="373">+J1674&amp;K1674</f>
        <v/>
      </c>
      <c r="J1674" s="1033"/>
      <c r="K1674" s="1033"/>
      <c r="L1674" s="1034" t="str">
        <f t="shared" ref="L1674:L1679" si="374">+M1674&amp;N1674</f>
        <v/>
      </c>
      <c r="M1674" s="1035"/>
      <c r="N1674" s="1035"/>
      <c r="O1674" s="1036" t="str">
        <f t="shared" ref="O1674:O1679" si="375">+P1674&amp;Q1674</f>
        <v/>
      </c>
      <c r="P1674" s="1033"/>
      <c r="Q1674" s="1033"/>
      <c r="R1674" s="1034" t="str">
        <f t="shared" ref="R1674:R1679" si="376">+S1674&amp;T1674</f>
        <v/>
      </c>
      <c r="S1674" s="1033"/>
      <c r="T1674" s="1035"/>
      <c r="U1674" s="1034" t="str">
        <f t="shared" ref="U1674:U1679" si="377">+V1674&amp;W1674</f>
        <v/>
      </c>
      <c r="V1674" s="1035"/>
      <c r="W1674" s="1035"/>
      <c r="X1674" s="1037" t="str">
        <f t="shared" si="370"/>
        <v>6</v>
      </c>
      <c r="Y1674" s="1035"/>
      <c r="Z1674" s="1035">
        <f t="shared" si="364"/>
        <v>6</v>
      </c>
      <c r="AA1674" s="1035"/>
      <c r="AB1674" s="1033"/>
      <c r="AC1674" s="1021">
        <v>611053</v>
      </c>
      <c r="AD1674" s="1021" t="s">
        <v>2503</v>
      </c>
      <c r="AE1674" s="1022">
        <f>VLOOKUP(AC1674,[5]Hoja1!$A$10:$K$1393,11,0)</f>
        <v>427060083</v>
      </c>
      <c r="AF1674" s="1022"/>
      <c r="AG1674" s="1022">
        <f t="shared" si="365"/>
        <v>427060083</v>
      </c>
      <c r="AH1674" s="1022">
        <f t="shared" si="366"/>
        <v>427060</v>
      </c>
      <c r="AK1674" s="448"/>
      <c r="AL1674" s="445"/>
    </row>
    <row r="1675" spans="1:38" s="467" customFormat="1" ht="12.75" customHeight="1">
      <c r="A1675" s="1033">
        <v>5313340</v>
      </c>
      <c r="B1675" s="1033" t="s">
        <v>2838</v>
      </c>
      <c r="C1675" s="1034" t="str">
        <f t="shared" si="371"/>
        <v/>
      </c>
      <c r="D1675" s="1033"/>
      <c r="E1675" s="1033"/>
      <c r="F1675" s="1034" t="str">
        <f t="shared" si="372"/>
        <v/>
      </c>
      <c r="G1675" s="1033"/>
      <c r="H1675" s="1033"/>
      <c r="I1675" s="1034" t="str">
        <f t="shared" si="373"/>
        <v/>
      </c>
      <c r="J1675" s="1033"/>
      <c r="K1675" s="1033"/>
      <c r="L1675" s="1034" t="str">
        <f t="shared" si="374"/>
        <v/>
      </c>
      <c r="M1675" s="1035"/>
      <c r="N1675" s="1035"/>
      <c r="O1675" s="1036" t="str">
        <f t="shared" si="375"/>
        <v/>
      </c>
      <c r="P1675" s="1033"/>
      <c r="Q1675" s="1033"/>
      <c r="R1675" s="1034" t="str">
        <f t="shared" si="376"/>
        <v/>
      </c>
      <c r="S1675" s="1033"/>
      <c r="T1675" s="1035"/>
      <c r="U1675" s="1034" t="str">
        <f t="shared" si="377"/>
        <v/>
      </c>
      <c r="V1675" s="1035"/>
      <c r="W1675" s="1035"/>
      <c r="X1675" s="1037" t="str">
        <f t="shared" si="370"/>
        <v>6</v>
      </c>
      <c r="Y1675" s="1035"/>
      <c r="Z1675" s="1035">
        <f t="shared" si="364"/>
        <v>6</v>
      </c>
      <c r="AA1675" s="1035"/>
      <c r="AB1675" s="1033"/>
      <c r="AC1675" s="1021">
        <v>611054</v>
      </c>
      <c r="AD1675" s="1021" t="s">
        <v>1554</v>
      </c>
      <c r="AE1675" s="1022">
        <f>VLOOKUP(AC1675,[5]Hoja1!$A$10:$K$1393,11,0)</f>
        <v>0</v>
      </c>
      <c r="AF1675" s="1022"/>
      <c r="AG1675" s="1022">
        <f t="shared" si="365"/>
        <v>0</v>
      </c>
      <c r="AH1675" s="1022">
        <f t="shared" si="366"/>
        <v>0</v>
      </c>
      <c r="AK1675" s="448"/>
      <c r="AL1675" s="445"/>
    </row>
    <row r="1676" spans="1:38" s="467" customFormat="1" ht="12.75" customHeight="1">
      <c r="A1676" s="1033">
        <v>5313340</v>
      </c>
      <c r="B1676" s="1033" t="s">
        <v>2838</v>
      </c>
      <c r="C1676" s="1034" t="str">
        <f t="shared" si="371"/>
        <v/>
      </c>
      <c r="D1676" s="1033"/>
      <c r="E1676" s="1033"/>
      <c r="F1676" s="1034" t="str">
        <f t="shared" si="372"/>
        <v/>
      </c>
      <c r="G1676" s="1033"/>
      <c r="H1676" s="1033"/>
      <c r="I1676" s="1034" t="str">
        <f t="shared" si="373"/>
        <v/>
      </c>
      <c r="J1676" s="1033"/>
      <c r="K1676" s="1033"/>
      <c r="L1676" s="1034" t="str">
        <f t="shared" si="374"/>
        <v/>
      </c>
      <c r="M1676" s="1035"/>
      <c r="N1676" s="1035"/>
      <c r="O1676" s="1036" t="str">
        <f t="shared" si="375"/>
        <v/>
      </c>
      <c r="P1676" s="1033"/>
      <c r="Q1676" s="1033"/>
      <c r="R1676" s="1034" t="str">
        <f t="shared" si="376"/>
        <v/>
      </c>
      <c r="S1676" s="1033"/>
      <c r="T1676" s="1035"/>
      <c r="U1676" s="1034" t="str">
        <f t="shared" si="377"/>
        <v/>
      </c>
      <c r="V1676" s="1035"/>
      <c r="W1676" s="1035"/>
      <c r="X1676" s="1037" t="str">
        <f t="shared" si="370"/>
        <v>6</v>
      </c>
      <c r="Y1676" s="1035"/>
      <c r="Z1676" s="1035">
        <f t="shared" si="364"/>
        <v>6</v>
      </c>
      <c r="AA1676" s="1035"/>
      <c r="AB1676" s="1033"/>
      <c r="AC1676" s="1021">
        <v>611055</v>
      </c>
      <c r="AD1676" s="1021" t="s">
        <v>177</v>
      </c>
      <c r="AE1676" s="1022">
        <f>VLOOKUP(AC1676,[5]Hoja1!$A$10:$K$1393,11,0)</f>
        <v>65706884</v>
      </c>
      <c r="AF1676" s="1022"/>
      <c r="AG1676" s="1022">
        <f t="shared" si="365"/>
        <v>65706884</v>
      </c>
      <c r="AH1676" s="1022">
        <f t="shared" si="366"/>
        <v>65707</v>
      </c>
      <c r="AK1676" s="448"/>
      <c r="AL1676" s="445"/>
    </row>
    <row r="1677" spans="1:38" s="467" customFormat="1" ht="12.75" customHeight="1">
      <c r="A1677" s="1033"/>
      <c r="B1677" s="1033"/>
      <c r="C1677" s="1034" t="str">
        <f t="shared" si="371"/>
        <v/>
      </c>
      <c r="D1677" s="1033"/>
      <c r="E1677" s="1033"/>
      <c r="F1677" s="1034" t="str">
        <f t="shared" si="372"/>
        <v/>
      </c>
      <c r="G1677" s="1033"/>
      <c r="H1677" s="1033"/>
      <c r="I1677" s="1034" t="str">
        <f t="shared" si="373"/>
        <v/>
      </c>
      <c r="J1677" s="1033"/>
      <c r="K1677" s="1033"/>
      <c r="L1677" s="1034" t="str">
        <f t="shared" si="374"/>
        <v/>
      </c>
      <c r="M1677" s="1035"/>
      <c r="N1677" s="1035"/>
      <c r="O1677" s="1036" t="str">
        <f t="shared" si="375"/>
        <v/>
      </c>
      <c r="P1677" s="1033"/>
      <c r="Q1677" s="1033"/>
      <c r="R1677" s="1034" t="str">
        <f t="shared" si="376"/>
        <v/>
      </c>
      <c r="S1677" s="1033"/>
      <c r="T1677" s="1035"/>
      <c r="U1677" s="1034" t="str">
        <f t="shared" si="377"/>
        <v/>
      </c>
      <c r="V1677" s="1035"/>
      <c r="W1677" s="1035"/>
      <c r="X1677" s="1037" t="str">
        <f t="shared" si="370"/>
        <v>6</v>
      </c>
      <c r="Y1677" s="1035"/>
      <c r="Z1677" s="1035">
        <f t="shared" si="364"/>
        <v>6</v>
      </c>
      <c r="AA1677" s="1035"/>
      <c r="AB1677" s="1033"/>
      <c r="AC1677" s="1021">
        <v>611056</v>
      </c>
      <c r="AD1677" s="1021" t="s">
        <v>178</v>
      </c>
      <c r="AE1677" s="1022">
        <v>0</v>
      </c>
      <c r="AF1677" s="1022"/>
      <c r="AG1677" s="1022">
        <f t="shared" si="365"/>
        <v>0</v>
      </c>
      <c r="AH1677" s="1022">
        <f t="shared" si="366"/>
        <v>0</v>
      </c>
      <c r="AK1677" s="448"/>
      <c r="AL1677" s="445"/>
    </row>
    <row r="1678" spans="1:38" s="467" customFormat="1" ht="12.75" customHeight="1">
      <c r="A1678" s="1033">
        <v>5313340</v>
      </c>
      <c r="B1678" s="1033" t="s">
        <v>2838</v>
      </c>
      <c r="C1678" s="1034" t="str">
        <f t="shared" si="371"/>
        <v/>
      </c>
      <c r="D1678" s="1033"/>
      <c r="E1678" s="1033"/>
      <c r="F1678" s="1034" t="str">
        <f t="shared" si="372"/>
        <v/>
      </c>
      <c r="G1678" s="1033"/>
      <c r="H1678" s="1033"/>
      <c r="I1678" s="1034" t="str">
        <f t="shared" si="373"/>
        <v/>
      </c>
      <c r="J1678" s="1033"/>
      <c r="K1678" s="1033"/>
      <c r="L1678" s="1034" t="str">
        <f t="shared" si="374"/>
        <v/>
      </c>
      <c r="M1678" s="1035"/>
      <c r="N1678" s="1035"/>
      <c r="O1678" s="1036" t="str">
        <f t="shared" si="375"/>
        <v/>
      </c>
      <c r="P1678" s="1033"/>
      <c r="Q1678" s="1033"/>
      <c r="R1678" s="1034" t="str">
        <f t="shared" si="376"/>
        <v/>
      </c>
      <c r="S1678" s="1033"/>
      <c r="T1678" s="1035"/>
      <c r="U1678" s="1034" t="str">
        <f t="shared" si="377"/>
        <v/>
      </c>
      <c r="V1678" s="1035"/>
      <c r="W1678" s="1035"/>
      <c r="X1678" s="1037" t="str">
        <f t="shared" si="370"/>
        <v>6</v>
      </c>
      <c r="Y1678" s="1035"/>
      <c r="Z1678" s="1035">
        <f t="shared" si="364"/>
        <v>6</v>
      </c>
      <c r="AA1678" s="1035"/>
      <c r="AB1678" s="1033"/>
      <c r="AC1678" s="1021">
        <v>611057</v>
      </c>
      <c r="AD1678" s="1021" t="s">
        <v>2504</v>
      </c>
      <c r="AE1678" s="1022">
        <f>VLOOKUP(AC1678,[5]Hoja1!$A$10:$K$1393,11,0)</f>
        <v>14298386</v>
      </c>
      <c r="AF1678" s="1022"/>
      <c r="AG1678" s="1022">
        <f t="shared" si="365"/>
        <v>14298386</v>
      </c>
      <c r="AH1678" s="1022">
        <f t="shared" si="366"/>
        <v>14298</v>
      </c>
      <c r="AK1678" s="448"/>
      <c r="AL1678" s="445"/>
    </row>
    <row r="1679" spans="1:38" s="467" customFormat="1" ht="12.75" customHeight="1">
      <c r="A1679" s="1033">
        <v>5313340</v>
      </c>
      <c r="B1679" s="1033" t="s">
        <v>2838</v>
      </c>
      <c r="C1679" s="1034" t="str">
        <f t="shared" si="371"/>
        <v/>
      </c>
      <c r="D1679" s="1033"/>
      <c r="E1679" s="1033"/>
      <c r="F1679" s="1034" t="str">
        <f t="shared" si="372"/>
        <v/>
      </c>
      <c r="G1679" s="1033"/>
      <c r="H1679" s="1033"/>
      <c r="I1679" s="1034" t="str">
        <f t="shared" si="373"/>
        <v/>
      </c>
      <c r="J1679" s="1033"/>
      <c r="K1679" s="1033"/>
      <c r="L1679" s="1034" t="str">
        <f t="shared" si="374"/>
        <v/>
      </c>
      <c r="M1679" s="1035"/>
      <c r="N1679" s="1035"/>
      <c r="O1679" s="1036" t="str">
        <f t="shared" si="375"/>
        <v/>
      </c>
      <c r="P1679" s="1033"/>
      <c r="Q1679" s="1033"/>
      <c r="R1679" s="1034" t="str">
        <f t="shared" si="376"/>
        <v/>
      </c>
      <c r="S1679" s="1033"/>
      <c r="T1679" s="1035"/>
      <c r="U1679" s="1034" t="str">
        <f t="shared" si="377"/>
        <v/>
      </c>
      <c r="V1679" s="1035"/>
      <c r="W1679" s="1035"/>
      <c r="X1679" s="1037" t="str">
        <f t="shared" si="370"/>
        <v>6</v>
      </c>
      <c r="Y1679" s="1035"/>
      <c r="Z1679" s="1035">
        <f t="shared" si="364"/>
        <v>6</v>
      </c>
      <c r="AA1679" s="1035"/>
      <c r="AB1679" s="1033"/>
      <c r="AC1679" s="1021">
        <v>611058</v>
      </c>
      <c r="AD1679" s="1021" t="s">
        <v>179</v>
      </c>
      <c r="AE1679" s="1022">
        <f>VLOOKUP(AC1679,[5]Hoja1!$A$10:$K$1393,11,0)</f>
        <v>14752282</v>
      </c>
      <c r="AF1679" s="1022"/>
      <c r="AG1679" s="1022">
        <f t="shared" si="365"/>
        <v>14752282</v>
      </c>
      <c r="AH1679" s="1022">
        <f t="shared" si="366"/>
        <v>14752</v>
      </c>
      <c r="AK1679" s="448"/>
      <c r="AL1679" s="445"/>
    </row>
    <row r="1680" spans="1:38" s="467" customFormat="1" ht="12.75" customHeight="1">
      <c r="A1680" s="1033">
        <v>5313500</v>
      </c>
      <c r="B1680" s="1033" t="s">
        <v>2840</v>
      </c>
      <c r="C1680" s="1034"/>
      <c r="D1680" s="1033"/>
      <c r="E1680" s="1033"/>
      <c r="F1680" s="1034"/>
      <c r="G1680" s="1033"/>
      <c r="H1680" s="1033"/>
      <c r="I1680" s="1034"/>
      <c r="J1680" s="1033"/>
      <c r="K1680" s="1033"/>
      <c r="L1680" s="1034"/>
      <c r="M1680" s="1035"/>
      <c r="N1680" s="1035"/>
      <c r="O1680" s="1036"/>
      <c r="P1680" s="1033"/>
      <c r="Q1680" s="1033"/>
      <c r="R1680" s="1034"/>
      <c r="S1680" s="1033"/>
      <c r="T1680" s="1035"/>
      <c r="U1680" s="1034"/>
      <c r="V1680" s="1035"/>
      <c r="W1680" s="1035"/>
      <c r="X1680" s="1037"/>
      <c r="Y1680" s="1035"/>
      <c r="Z1680" s="1035">
        <f t="shared" si="364"/>
        <v>6</v>
      </c>
      <c r="AA1680" s="1035"/>
      <c r="AB1680" s="1033"/>
      <c r="AC1680" s="1021">
        <v>611059</v>
      </c>
      <c r="AD1680" s="1021" t="s">
        <v>2505</v>
      </c>
      <c r="AE1680" s="1022">
        <f>VLOOKUP(AC1680,[5]Hoja1!$A$10:$K$1393,11,0)</f>
        <v>0</v>
      </c>
      <c r="AF1680" s="1022"/>
      <c r="AG1680" s="1022">
        <f t="shared" si="365"/>
        <v>0</v>
      </c>
      <c r="AH1680" s="1022">
        <f t="shared" si="366"/>
        <v>0</v>
      </c>
      <c r="AK1680" s="448"/>
      <c r="AL1680" s="445"/>
    </row>
    <row r="1681" spans="1:38" s="467" customFormat="1" ht="12.75" customHeight="1">
      <c r="A1681" s="1033">
        <v>5313500</v>
      </c>
      <c r="B1681" s="1033" t="s">
        <v>2840</v>
      </c>
      <c r="C1681" s="1034"/>
      <c r="D1681" s="1033"/>
      <c r="E1681" s="1033"/>
      <c r="F1681" s="1034"/>
      <c r="G1681" s="1033"/>
      <c r="H1681" s="1033"/>
      <c r="I1681" s="1034"/>
      <c r="J1681" s="1033"/>
      <c r="K1681" s="1033"/>
      <c r="L1681" s="1034"/>
      <c r="M1681" s="1035"/>
      <c r="N1681" s="1035"/>
      <c r="O1681" s="1036"/>
      <c r="P1681" s="1033"/>
      <c r="Q1681" s="1033"/>
      <c r="R1681" s="1034"/>
      <c r="S1681" s="1033"/>
      <c r="T1681" s="1035"/>
      <c r="U1681" s="1034"/>
      <c r="V1681" s="1035"/>
      <c r="W1681" s="1035"/>
      <c r="X1681" s="1037"/>
      <c r="Y1681" s="1035"/>
      <c r="Z1681" s="1035">
        <f t="shared" si="364"/>
        <v>6</v>
      </c>
      <c r="AA1681" s="1035"/>
      <c r="AB1681" s="1033"/>
      <c r="AC1681" s="1021">
        <v>611060</v>
      </c>
      <c r="AD1681" s="1021" t="s">
        <v>2506</v>
      </c>
      <c r="AE1681" s="1022">
        <f>VLOOKUP(AC1681,[5]Hoja1!$A$10:$K$1393,11,0)</f>
        <v>2887853</v>
      </c>
      <c r="AF1681" s="1022"/>
      <c r="AG1681" s="1022">
        <f t="shared" si="365"/>
        <v>2887853</v>
      </c>
      <c r="AH1681" s="1022">
        <f t="shared" si="366"/>
        <v>2888</v>
      </c>
      <c r="AK1681" s="448"/>
      <c r="AL1681" s="445"/>
    </row>
    <row r="1682" spans="1:38" s="467" customFormat="1" ht="12.75" customHeight="1">
      <c r="A1682" s="1033">
        <v>5313340</v>
      </c>
      <c r="B1682" s="1033" t="s">
        <v>2838</v>
      </c>
      <c r="C1682" s="1034"/>
      <c r="D1682" s="1033"/>
      <c r="E1682" s="1033"/>
      <c r="F1682" s="1034"/>
      <c r="G1682" s="1033"/>
      <c r="H1682" s="1033"/>
      <c r="I1682" s="1034"/>
      <c r="J1682" s="1033"/>
      <c r="K1682" s="1033"/>
      <c r="L1682" s="1034"/>
      <c r="M1682" s="1035"/>
      <c r="N1682" s="1035"/>
      <c r="O1682" s="1036"/>
      <c r="P1682" s="1033"/>
      <c r="Q1682" s="1033"/>
      <c r="R1682" s="1034"/>
      <c r="S1682" s="1033"/>
      <c r="T1682" s="1035"/>
      <c r="U1682" s="1034"/>
      <c r="V1682" s="1035"/>
      <c r="W1682" s="1035"/>
      <c r="X1682" s="1037"/>
      <c r="Y1682" s="1035"/>
      <c r="Z1682" s="1035">
        <f t="shared" si="364"/>
        <v>6</v>
      </c>
      <c r="AA1682" s="1035"/>
      <c r="AB1682" s="1033"/>
      <c r="AC1682" s="1021">
        <v>611061</v>
      </c>
      <c r="AD1682" s="1021" t="s">
        <v>1530</v>
      </c>
      <c r="AE1682" s="1022">
        <f>VLOOKUP(AC1682,[5]Hoja1!$A$10:$K$1393,11,0)</f>
        <v>33990599</v>
      </c>
      <c r="AF1682" s="1022"/>
      <c r="AG1682" s="1022">
        <f t="shared" si="365"/>
        <v>33990599</v>
      </c>
      <c r="AH1682" s="1022">
        <f t="shared" si="366"/>
        <v>33991</v>
      </c>
      <c r="AK1682" s="448"/>
      <c r="AL1682" s="445"/>
    </row>
    <row r="1683" spans="1:38" s="467" customFormat="1" ht="12.75" customHeight="1">
      <c r="A1683" s="1033">
        <v>5313340</v>
      </c>
      <c r="B1683" s="1033" t="s">
        <v>2838</v>
      </c>
      <c r="C1683" s="1034" t="str">
        <f>+D1683&amp;E1683</f>
        <v/>
      </c>
      <c r="D1683" s="1033"/>
      <c r="E1683" s="1033"/>
      <c r="F1683" s="1034" t="str">
        <f>+G1683&amp;H1683</f>
        <v/>
      </c>
      <c r="G1683" s="1033"/>
      <c r="H1683" s="1033"/>
      <c r="I1683" s="1034" t="str">
        <f>+J1683&amp;K1683</f>
        <v/>
      </c>
      <c r="J1683" s="1033"/>
      <c r="K1683" s="1033"/>
      <c r="L1683" s="1034" t="str">
        <f>+M1683&amp;N1683</f>
        <v/>
      </c>
      <c r="M1683" s="1035"/>
      <c r="N1683" s="1035"/>
      <c r="O1683" s="1036" t="str">
        <f>+P1683&amp;Q1683</f>
        <v/>
      </c>
      <c r="P1683" s="1033"/>
      <c r="Q1683" s="1033"/>
      <c r="R1683" s="1034" t="str">
        <f>+S1683&amp;T1683</f>
        <v/>
      </c>
      <c r="S1683" s="1033"/>
      <c r="T1683" s="1035"/>
      <c r="U1683" s="1034" t="str">
        <f>+V1683&amp;W1683</f>
        <v/>
      </c>
      <c r="V1683" s="1035"/>
      <c r="W1683" s="1035"/>
      <c r="X1683" s="1037" t="str">
        <f>+Y1683&amp;Z1683</f>
        <v>6</v>
      </c>
      <c r="Y1683" s="1035"/>
      <c r="Z1683" s="1035">
        <f t="shared" si="364"/>
        <v>6</v>
      </c>
      <c r="AA1683" s="1035"/>
      <c r="AB1683" s="1033"/>
      <c r="AC1683" s="1021">
        <v>611062</v>
      </c>
      <c r="AD1683" s="1021" t="s">
        <v>2507</v>
      </c>
      <c r="AE1683" s="1022">
        <f>VLOOKUP(AC1683,[5]Hoja1!$A$10:$K$1393,11,0)</f>
        <v>5030483</v>
      </c>
      <c r="AF1683" s="1022"/>
      <c r="AG1683" s="1022">
        <f t="shared" si="365"/>
        <v>5030483</v>
      </c>
      <c r="AH1683" s="1022">
        <f t="shared" si="366"/>
        <v>5030</v>
      </c>
      <c r="AK1683" s="448"/>
      <c r="AL1683" s="445"/>
    </row>
    <row r="1684" spans="1:38" s="467" customFormat="1" ht="12.75" customHeight="1">
      <c r="A1684" s="1033">
        <v>5313340</v>
      </c>
      <c r="B1684" s="1033" t="s">
        <v>2838</v>
      </c>
      <c r="C1684" s="1034" t="str">
        <f>+D1684&amp;E1684</f>
        <v/>
      </c>
      <c r="D1684" s="1033"/>
      <c r="E1684" s="1033"/>
      <c r="F1684" s="1034" t="str">
        <f>+G1684&amp;H1684</f>
        <v/>
      </c>
      <c r="G1684" s="1033"/>
      <c r="H1684" s="1033"/>
      <c r="I1684" s="1034" t="str">
        <f>+J1684&amp;K1684</f>
        <v/>
      </c>
      <c r="J1684" s="1033"/>
      <c r="K1684" s="1033"/>
      <c r="L1684" s="1034" t="str">
        <f>+M1684&amp;N1684</f>
        <v/>
      </c>
      <c r="M1684" s="1035"/>
      <c r="N1684" s="1035"/>
      <c r="O1684" s="1036" t="str">
        <f>+P1684&amp;Q1684</f>
        <v/>
      </c>
      <c r="P1684" s="1033"/>
      <c r="Q1684" s="1033"/>
      <c r="R1684" s="1034" t="str">
        <f>+S1684&amp;T1684</f>
        <v/>
      </c>
      <c r="S1684" s="1033"/>
      <c r="T1684" s="1035"/>
      <c r="U1684" s="1034" t="str">
        <f>+V1684&amp;W1684</f>
        <v/>
      </c>
      <c r="V1684" s="1035"/>
      <c r="W1684" s="1035"/>
      <c r="X1684" s="1037" t="str">
        <f>+Y1684&amp;Z1684</f>
        <v>6</v>
      </c>
      <c r="Y1684" s="1035"/>
      <c r="Z1684" s="1035">
        <f t="shared" si="364"/>
        <v>6</v>
      </c>
      <c r="AA1684" s="1035"/>
      <c r="AB1684" s="1033"/>
      <c r="AC1684" s="1021">
        <v>611063</v>
      </c>
      <c r="AD1684" s="1021" t="s">
        <v>2508</v>
      </c>
      <c r="AE1684" s="1022">
        <f>VLOOKUP(AC1684,[5]Hoja1!$A$10:$K$1393,11,0)</f>
        <v>321582913</v>
      </c>
      <c r="AF1684" s="1022"/>
      <c r="AG1684" s="1022">
        <f t="shared" si="365"/>
        <v>321582913</v>
      </c>
      <c r="AH1684" s="1022">
        <f t="shared" si="366"/>
        <v>321583</v>
      </c>
      <c r="AK1684" s="448"/>
      <c r="AL1684" s="445"/>
    </row>
    <row r="1685" spans="1:38" s="467" customFormat="1" ht="12.75" customHeight="1">
      <c r="A1685" s="1033">
        <v>5313340</v>
      </c>
      <c r="B1685" s="1033" t="s">
        <v>2838</v>
      </c>
      <c r="C1685" s="1034" t="str">
        <f>+D1685&amp;E1685</f>
        <v/>
      </c>
      <c r="D1685" s="1033"/>
      <c r="E1685" s="1033"/>
      <c r="F1685" s="1034" t="str">
        <f>+G1685&amp;H1685</f>
        <v/>
      </c>
      <c r="G1685" s="1033"/>
      <c r="H1685" s="1033"/>
      <c r="I1685" s="1034" t="str">
        <f>+J1685&amp;K1685</f>
        <v/>
      </c>
      <c r="J1685" s="1033"/>
      <c r="K1685" s="1033"/>
      <c r="L1685" s="1034" t="str">
        <f>+M1685&amp;N1685</f>
        <v/>
      </c>
      <c r="M1685" s="1035"/>
      <c r="N1685" s="1035"/>
      <c r="O1685" s="1036" t="str">
        <f>+P1685&amp;Q1685</f>
        <v/>
      </c>
      <c r="P1685" s="1033"/>
      <c r="Q1685" s="1033"/>
      <c r="R1685" s="1034" t="str">
        <f>+S1685&amp;T1685</f>
        <v/>
      </c>
      <c r="S1685" s="1033"/>
      <c r="T1685" s="1035"/>
      <c r="U1685" s="1034" t="str">
        <f>+V1685&amp;W1685</f>
        <v/>
      </c>
      <c r="V1685" s="1035"/>
      <c r="W1685" s="1035"/>
      <c r="X1685" s="1037" t="str">
        <f>+Y1685&amp;Z1685</f>
        <v>6</v>
      </c>
      <c r="Y1685" s="1035"/>
      <c r="Z1685" s="1035">
        <f t="shared" si="364"/>
        <v>6</v>
      </c>
      <c r="AA1685" s="1035"/>
      <c r="AB1685" s="1033"/>
      <c r="AC1685" s="1021">
        <v>611064</v>
      </c>
      <c r="AD1685" s="1021" t="s">
        <v>2509</v>
      </c>
      <c r="AE1685" s="1022">
        <f>VLOOKUP(AC1685,[5]Hoja1!$A$10:$K$1393,11,0)</f>
        <v>0</v>
      </c>
      <c r="AF1685" s="1022"/>
      <c r="AG1685" s="1022">
        <f t="shared" si="365"/>
        <v>0</v>
      </c>
      <c r="AH1685" s="1022">
        <f t="shared" si="366"/>
        <v>0</v>
      </c>
      <c r="AK1685" s="448"/>
      <c r="AL1685" s="445"/>
    </row>
    <row r="1686" spans="1:38" s="467" customFormat="1" ht="12.75" customHeight="1">
      <c r="A1686" s="1033">
        <v>5313340</v>
      </c>
      <c r="B1686" s="1033" t="s">
        <v>2838</v>
      </c>
      <c r="C1686" s="1034" t="str">
        <f>+D1686&amp;E1686</f>
        <v/>
      </c>
      <c r="D1686" s="1033"/>
      <c r="E1686" s="1033"/>
      <c r="F1686" s="1034" t="str">
        <f>+G1686&amp;H1686</f>
        <v/>
      </c>
      <c r="G1686" s="1033"/>
      <c r="H1686" s="1033"/>
      <c r="I1686" s="1034" t="str">
        <f>+J1686&amp;K1686</f>
        <v/>
      </c>
      <c r="J1686" s="1033"/>
      <c r="K1686" s="1033"/>
      <c r="L1686" s="1034" t="str">
        <f>+M1686&amp;N1686</f>
        <v/>
      </c>
      <c r="M1686" s="1035"/>
      <c r="N1686" s="1035"/>
      <c r="O1686" s="1036" t="str">
        <f>+P1686&amp;Q1686</f>
        <v/>
      </c>
      <c r="P1686" s="1033"/>
      <c r="Q1686" s="1033"/>
      <c r="R1686" s="1034" t="str">
        <f>+S1686&amp;T1686</f>
        <v/>
      </c>
      <c r="S1686" s="1033"/>
      <c r="T1686" s="1035"/>
      <c r="U1686" s="1034" t="str">
        <f>+V1686&amp;W1686</f>
        <v/>
      </c>
      <c r="V1686" s="1035"/>
      <c r="W1686" s="1035"/>
      <c r="X1686" s="1037" t="str">
        <f>+Y1686&amp;Z1686</f>
        <v>6</v>
      </c>
      <c r="Y1686" s="1035"/>
      <c r="Z1686" s="1035">
        <f t="shared" si="364"/>
        <v>6</v>
      </c>
      <c r="AA1686" s="1035"/>
      <c r="AB1686" s="1033"/>
      <c r="AC1686" s="1021">
        <v>611065</v>
      </c>
      <c r="AD1686" s="1021" t="s">
        <v>2510</v>
      </c>
      <c r="AE1686" s="1022">
        <f>VLOOKUP(AC1686,[5]Hoja1!$A$10:$K$1393,11,0)</f>
        <v>0</v>
      </c>
      <c r="AF1686" s="1022"/>
      <c r="AG1686" s="1022">
        <f t="shared" si="365"/>
        <v>0</v>
      </c>
      <c r="AH1686" s="1022">
        <f t="shared" si="366"/>
        <v>0</v>
      </c>
      <c r="AK1686" s="448"/>
      <c r="AL1686" s="445"/>
    </row>
    <row r="1687" spans="1:38" s="467" customFormat="1" ht="12.75" customHeight="1">
      <c r="A1687" s="1033">
        <v>5313340</v>
      </c>
      <c r="B1687" s="1033" t="s">
        <v>2838</v>
      </c>
      <c r="C1687" s="1034"/>
      <c r="D1687" s="1033"/>
      <c r="E1687" s="1033"/>
      <c r="F1687" s="1034"/>
      <c r="G1687" s="1033"/>
      <c r="H1687" s="1033"/>
      <c r="I1687" s="1034"/>
      <c r="J1687" s="1033"/>
      <c r="K1687" s="1033"/>
      <c r="L1687" s="1034"/>
      <c r="M1687" s="1035"/>
      <c r="N1687" s="1035"/>
      <c r="O1687" s="1036"/>
      <c r="P1687" s="1033"/>
      <c r="Q1687" s="1033"/>
      <c r="R1687" s="1034"/>
      <c r="S1687" s="1033"/>
      <c r="T1687" s="1035"/>
      <c r="U1687" s="1034"/>
      <c r="V1687" s="1035"/>
      <c r="W1687" s="1035"/>
      <c r="X1687" s="1037"/>
      <c r="Y1687" s="1035"/>
      <c r="Z1687" s="1035">
        <f t="shared" si="364"/>
        <v>6</v>
      </c>
      <c r="AA1687" s="1035"/>
      <c r="AB1687" s="1033"/>
      <c r="AC1687" s="1021">
        <v>611066</v>
      </c>
      <c r="AD1687" s="1021" t="s">
        <v>1326</v>
      </c>
      <c r="AE1687" s="1022">
        <f>VLOOKUP(AC1687,[5]Hoja1!$A$10:$K$1393,11,0)</f>
        <v>1750750</v>
      </c>
      <c r="AF1687" s="1022"/>
      <c r="AG1687" s="1022">
        <f t="shared" si="365"/>
        <v>1750750</v>
      </c>
      <c r="AH1687" s="1022">
        <f t="shared" si="366"/>
        <v>1751</v>
      </c>
      <c r="AK1687" s="448"/>
      <c r="AL1687" s="445"/>
    </row>
    <row r="1688" spans="1:38" s="467" customFormat="1" ht="12.75" customHeight="1">
      <c r="A1688" s="1033">
        <v>5313340</v>
      </c>
      <c r="B1688" s="1033" t="s">
        <v>2838</v>
      </c>
      <c r="C1688" s="1034"/>
      <c r="D1688" s="1033"/>
      <c r="E1688" s="1033"/>
      <c r="F1688" s="1034"/>
      <c r="G1688" s="1033"/>
      <c r="H1688" s="1033"/>
      <c r="I1688" s="1034"/>
      <c r="J1688" s="1033"/>
      <c r="K1688" s="1033"/>
      <c r="L1688" s="1034"/>
      <c r="M1688" s="1035"/>
      <c r="N1688" s="1035"/>
      <c r="O1688" s="1036"/>
      <c r="P1688" s="1033"/>
      <c r="Q1688" s="1033"/>
      <c r="R1688" s="1034"/>
      <c r="S1688" s="1033"/>
      <c r="T1688" s="1035"/>
      <c r="U1688" s="1034"/>
      <c r="V1688" s="1035"/>
      <c r="W1688" s="1035"/>
      <c r="X1688" s="1037"/>
      <c r="Y1688" s="1035"/>
      <c r="Z1688" s="1035">
        <f t="shared" si="364"/>
        <v>6</v>
      </c>
      <c r="AA1688" s="1035"/>
      <c r="AB1688" s="1033"/>
      <c r="AC1688" s="1021">
        <v>611068</v>
      </c>
      <c r="AD1688" s="1021" t="s">
        <v>2564</v>
      </c>
      <c r="AE1688" s="1022">
        <f>VLOOKUP(AC1688,[5]Hoja1!$A$10:$K$1393,11,0)</f>
        <v>0</v>
      </c>
      <c r="AF1688" s="1022"/>
      <c r="AG1688" s="1022">
        <f t="shared" si="365"/>
        <v>0</v>
      </c>
      <c r="AH1688" s="1022">
        <f t="shared" si="366"/>
        <v>0</v>
      </c>
      <c r="AK1688" s="448"/>
      <c r="AL1688" s="445"/>
    </row>
    <row r="1689" spans="1:38" s="467" customFormat="1" ht="12.75" customHeight="1">
      <c r="A1689" s="1033">
        <v>5313340</v>
      </c>
      <c r="B1689" s="1033" t="s">
        <v>2838</v>
      </c>
      <c r="C1689" s="1034"/>
      <c r="D1689" s="1033"/>
      <c r="E1689" s="1033"/>
      <c r="F1689" s="1034"/>
      <c r="G1689" s="1033"/>
      <c r="H1689" s="1033"/>
      <c r="I1689" s="1034"/>
      <c r="J1689" s="1033"/>
      <c r="K1689" s="1033"/>
      <c r="L1689" s="1034"/>
      <c r="M1689" s="1035"/>
      <c r="N1689" s="1035"/>
      <c r="O1689" s="1036"/>
      <c r="P1689" s="1033"/>
      <c r="Q1689" s="1033"/>
      <c r="R1689" s="1034"/>
      <c r="S1689" s="1033"/>
      <c r="T1689" s="1035"/>
      <c r="U1689" s="1034"/>
      <c r="V1689" s="1035"/>
      <c r="W1689" s="1035"/>
      <c r="X1689" s="1037"/>
      <c r="Y1689" s="1035"/>
      <c r="Z1689" s="1035">
        <f t="shared" si="364"/>
        <v>6</v>
      </c>
      <c r="AA1689" s="1035"/>
      <c r="AB1689" s="1033"/>
      <c r="AC1689" s="1021">
        <v>611069</v>
      </c>
      <c r="AD1689" s="1021" t="s">
        <v>1410</v>
      </c>
      <c r="AE1689" s="1022">
        <f>VLOOKUP(AC1689,[5]Hoja1!$A$10:$K$1393,11,0)</f>
        <v>0</v>
      </c>
      <c r="AF1689" s="1022"/>
      <c r="AG1689" s="1022">
        <f t="shared" si="365"/>
        <v>0</v>
      </c>
      <c r="AH1689" s="1022">
        <f t="shared" si="366"/>
        <v>0</v>
      </c>
      <c r="AK1689" s="448"/>
      <c r="AL1689" s="445"/>
    </row>
    <row r="1690" spans="1:38" s="467" customFormat="1" ht="12.75" customHeight="1">
      <c r="A1690" s="1033">
        <v>5313340</v>
      </c>
      <c r="B1690" s="1033" t="s">
        <v>2838</v>
      </c>
      <c r="C1690" s="1034"/>
      <c r="D1690" s="1033"/>
      <c r="E1690" s="1033"/>
      <c r="F1690" s="1034"/>
      <c r="G1690" s="1033"/>
      <c r="H1690" s="1033"/>
      <c r="I1690" s="1034"/>
      <c r="J1690" s="1033"/>
      <c r="K1690" s="1033"/>
      <c r="L1690" s="1034"/>
      <c r="M1690" s="1035"/>
      <c r="N1690" s="1035"/>
      <c r="O1690" s="1036"/>
      <c r="P1690" s="1033"/>
      <c r="Q1690" s="1033"/>
      <c r="R1690" s="1034"/>
      <c r="S1690" s="1033"/>
      <c r="T1690" s="1035"/>
      <c r="U1690" s="1034"/>
      <c r="V1690" s="1035"/>
      <c r="W1690" s="1035"/>
      <c r="X1690" s="1037"/>
      <c r="Y1690" s="1035"/>
      <c r="Z1690" s="1035">
        <f t="shared" si="364"/>
        <v>6</v>
      </c>
      <c r="AA1690" s="1035"/>
      <c r="AB1690" s="1033"/>
      <c r="AC1690" s="1021">
        <v>611070</v>
      </c>
      <c r="AD1690" s="1021" t="s">
        <v>919</v>
      </c>
      <c r="AE1690" s="1022">
        <f>VLOOKUP(AC1690,[5]Hoja1!$A$10:$K$1393,11,0)</f>
        <v>0</v>
      </c>
      <c r="AF1690" s="1022"/>
      <c r="AG1690" s="1022">
        <f t="shared" si="365"/>
        <v>0</v>
      </c>
      <c r="AH1690" s="1022">
        <f t="shared" si="366"/>
        <v>0</v>
      </c>
      <c r="AK1690" s="448"/>
      <c r="AL1690" s="445"/>
    </row>
    <row r="1691" spans="1:38" s="467" customFormat="1" ht="12.75" customHeight="1">
      <c r="A1691" s="1033">
        <v>5313340</v>
      </c>
      <c r="B1691" s="1033" t="s">
        <v>2838</v>
      </c>
      <c r="C1691" s="1034"/>
      <c r="D1691" s="1033"/>
      <c r="E1691" s="1033"/>
      <c r="F1691" s="1034"/>
      <c r="G1691" s="1033"/>
      <c r="H1691" s="1033"/>
      <c r="I1691" s="1034"/>
      <c r="J1691" s="1033"/>
      <c r="K1691" s="1033"/>
      <c r="L1691" s="1034"/>
      <c r="M1691" s="1035"/>
      <c r="N1691" s="1035"/>
      <c r="O1691" s="1036"/>
      <c r="P1691" s="1033"/>
      <c r="Q1691" s="1033"/>
      <c r="R1691" s="1034"/>
      <c r="S1691" s="1033"/>
      <c r="T1691" s="1035"/>
      <c r="U1691" s="1034"/>
      <c r="V1691" s="1035"/>
      <c r="W1691" s="1035"/>
      <c r="X1691" s="1037"/>
      <c r="Y1691" s="1035"/>
      <c r="Z1691" s="1035">
        <f t="shared" si="364"/>
        <v>6</v>
      </c>
      <c r="AA1691" s="1035"/>
      <c r="AB1691" s="1033"/>
      <c r="AC1691" s="1021">
        <v>611071</v>
      </c>
      <c r="AD1691" s="1021" t="s">
        <v>2561</v>
      </c>
      <c r="AE1691" s="1022">
        <f>VLOOKUP(AC1691,[5]Hoja1!$A$10:$K$1393,11,0)</f>
        <v>0</v>
      </c>
      <c r="AF1691" s="1022"/>
      <c r="AG1691" s="1022">
        <f t="shared" si="365"/>
        <v>0</v>
      </c>
      <c r="AH1691" s="1022">
        <f t="shared" si="366"/>
        <v>0</v>
      </c>
      <c r="AK1691" s="448"/>
      <c r="AL1691" s="445"/>
    </row>
    <row r="1692" spans="1:38" s="467" customFormat="1" ht="12.75" customHeight="1">
      <c r="A1692" s="1033">
        <v>5313500</v>
      </c>
      <c r="B1692" s="1033" t="s">
        <v>2840</v>
      </c>
      <c r="C1692" s="1034"/>
      <c r="D1692" s="1033"/>
      <c r="E1692" s="1033"/>
      <c r="F1692" s="1034"/>
      <c r="G1692" s="1033"/>
      <c r="H1692" s="1033"/>
      <c r="I1692" s="1034"/>
      <c r="J1692" s="1033"/>
      <c r="K1692" s="1033"/>
      <c r="L1692" s="1034"/>
      <c r="M1692" s="1035"/>
      <c r="N1692" s="1035"/>
      <c r="O1692" s="1036"/>
      <c r="P1692" s="1033"/>
      <c r="Q1692" s="1033"/>
      <c r="R1692" s="1034"/>
      <c r="S1692" s="1033"/>
      <c r="T1692" s="1035"/>
      <c r="U1692" s="1034"/>
      <c r="V1692" s="1035"/>
      <c r="W1692" s="1035"/>
      <c r="X1692" s="1037"/>
      <c r="Y1692" s="1035"/>
      <c r="Z1692" s="1035">
        <f t="shared" si="364"/>
        <v>6</v>
      </c>
      <c r="AA1692" s="1035"/>
      <c r="AB1692" s="1033"/>
      <c r="AC1692" s="1021">
        <v>611075</v>
      </c>
      <c r="AD1692" s="1021" t="s">
        <v>3089</v>
      </c>
      <c r="AE1692" s="1022">
        <f>VLOOKUP(AC1692,[5]Hoja1!$A$10:$K$1393,11,0)</f>
        <v>446817006</v>
      </c>
      <c r="AF1692" s="1022"/>
      <c r="AG1692" s="1022">
        <f t="shared" ref="AG1692" si="378">AE1692+AF1692</f>
        <v>446817006</v>
      </c>
      <c r="AH1692" s="1022">
        <f t="shared" ref="AH1692" si="379">ROUND((AE1692+AF1692)/$AH$2,0)</f>
        <v>446817</v>
      </c>
      <c r="AK1692" s="448"/>
      <c r="AL1692" s="445"/>
    </row>
    <row r="1693" spans="1:38" s="467" customFormat="1" ht="12.75" customHeight="1">
      <c r="A1693" s="1033">
        <v>5312200</v>
      </c>
      <c r="B1693" s="1033" t="s">
        <v>998</v>
      </c>
      <c r="C1693" s="1034" t="str">
        <f>+D1693&amp;E1693</f>
        <v/>
      </c>
      <c r="D1693" s="1033"/>
      <c r="E1693" s="1033"/>
      <c r="F1693" s="1034" t="str">
        <f>+G1693&amp;H1693</f>
        <v/>
      </c>
      <c r="G1693" s="1033"/>
      <c r="H1693" s="1033"/>
      <c r="I1693" s="1034" t="str">
        <f>+J1693&amp;K1693</f>
        <v/>
      </c>
      <c r="J1693" s="1033"/>
      <c r="K1693" s="1033"/>
      <c r="L1693" s="1034" t="str">
        <f>+M1693&amp;N1693</f>
        <v/>
      </c>
      <c r="M1693" s="1035"/>
      <c r="N1693" s="1035"/>
      <c r="O1693" s="1036" t="str">
        <f>+P1693&amp;Q1693</f>
        <v/>
      </c>
      <c r="P1693" s="1033"/>
      <c r="Q1693" s="1033"/>
      <c r="R1693" s="1034" t="str">
        <f>+S1693&amp;T1693</f>
        <v/>
      </c>
      <c r="S1693" s="1033"/>
      <c r="T1693" s="1035"/>
      <c r="U1693" s="1034" t="str">
        <f>+V1693&amp;W1693</f>
        <v/>
      </c>
      <c r="V1693" s="1035"/>
      <c r="W1693" s="1035"/>
      <c r="X1693" s="1037" t="str">
        <f>+Y1693&amp;Z1693</f>
        <v>6</v>
      </c>
      <c r="Y1693" s="1035"/>
      <c r="Z1693" s="1035">
        <f t="shared" si="364"/>
        <v>6</v>
      </c>
      <c r="AA1693" s="1035"/>
      <c r="AB1693" s="1033" t="s">
        <v>2984</v>
      </c>
      <c r="AC1693" s="1021">
        <v>611101</v>
      </c>
      <c r="AD1693" s="1021" t="s">
        <v>1187</v>
      </c>
      <c r="AE1693" s="1022">
        <f>VLOOKUP(AC1693,[5]Hoja1!$A$10:$K$1393,11,0)</f>
        <v>335000</v>
      </c>
      <c r="AF1693" s="1022"/>
      <c r="AG1693" s="1022">
        <f t="shared" si="365"/>
        <v>335000</v>
      </c>
      <c r="AH1693" s="1022">
        <f t="shared" si="366"/>
        <v>335</v>
      </c>
      <c r="AK1693" s="448"/>
      <c r="AL1693" s="445"/>
    </row>
    <row r="1694" spans="1:38" s="467" customFormat="1" ht="12.75" customHeight="1">
      <c r="A1694" s="1033">
        <v>5312200</v>
      </c>
      <c r="B1694" s="1033" t="s">
        <v>998</v>
      </c>
      <c r="C1694" s="1034" t="str">
        <f>+D1694&amp;E1694</f>
        <v/>
      </c>
      <c r="D1694" s="1033"/>
      <c r="E1694" s="1033"/>
      <c r="F1694" s="1034" t="str">
        <f>+G1694&amp;H1694</f>
        <v/>
      </c>
      <c r="G1694" s="1033"/>
      <c r="H1694" s="1033"/>
      <c r="I1694" s="1034" t="str">
        <f>+J1694&amp;K1694</f>
        <v/>
      </c>
      <c r="J1694" s="1033"/>
      <c r="K1694" s="1033"/>
      <c r="L1694" s="1034" t="str">
        <f>+M1694&amp;N1694</f>
        <v/>
      </c>
      <c r="M1694" s="1035"/>
      <c r="N1694" s="1035"/>
      <c r="O1694" s="1036" t="str">
        <f>+P1694&amp;Q1694</f>
        <v/>
      </c>
      <c r="P1694" s="1033"/>
      <c r="Q1694" s="1033"/>
      <c r="R1694" s="1034" t="str">
        <f>+S1694&amp;T1694</f>
        <v/>
      </c>
      <c r="S1694" s="1033"/>
      <c r="T1694" s="1035"/>
      <c r="U1694" s="1034" t="str">
        <f>+V1694&amp;W1694</f>
        <v/>
      </c>
      <c r="V1694" s="1035"/>
      <c r="W1694" s="1035"/>
      <c r="X1694" s="1037" t="str">
        <f>+Y1694&amp;Z1694</f>
        <v>6</v>
      </c>
      <c r="Y1694" s="1035"/>
      <c r="Z1694" s="1035">
        <f t="shared" si="364"/>
        <v>6</v>
      </c>
      <c r="AA1694" s="1035"/>
      <c r="AB1694" s="1033" t="s">
        <v>2991</v>
      </c>
      <c r="AC1694" s="1021">
        <v>611102</v>
      </c>
      <c r="AD1694" s="1021" t="s">
        <v>1188</v>
      </c>
      <c r="AE1694" s="1022">
        <f>VLOOKUP(AC1694,[5]Hoja1!$A$10:$K$1393,11,0)</f>
        <v>2030430</v>
      </c>
      <c r="AF1694" s="1022"/>
      <c r="AG1694" s="1022">
        <f t="shared" si="365"/>
        <v>2030430</v>
      </c>
      <c r="AH1694" s="1022">
        <f t="shared" si="366"/>
        <v>2030</v>
      </c>
      <c r="AK1694" s="448"/>
      <c r="AL1694" s="445"/>
    </row>
    <row r="1695" spans="1:38" s="467" customFormat="1" ht="12.75" customHeight="1">
      <c r="A1695" s="1033">
        <v>5312200</v>
      </c>
      <c r="B1695" s="1033" t="s">
        <v>998</v>
      </c>
      <c r="C1695" s="1034" t="str">
        <f>+D1695&amp;E1695</f>
        <v/>
      </c>
      <c r="D1695" s="1033"/>
      <c r="E1695" s="1033"/>
      <c r="F1695" s="1034" t="str">
        <f>+G1695&amp;H1695</f>
        <v/>
      </c>
      <c r="G1695" s="1033"/>
      <c r="H1695" s="1033"/>
      <c r="I1695" s="1034" t="str">
        <f>+J1695&amp;K1695</f>
        <v/>
      </c>
      <c r="J1695" s="1033"/>
      <c r="K1695" s="1033"/>
      <c r="L1695" s="1034" t="str">
        <f>+M1695&amp;N1695</f>
        <v/>
      </c>
      <c r="M1695" s="1035"/>
      <c r="N1695" s="1035"/>
      <c r="O1695" s="1036" t="str">
        <f>+P1695&amp;Q1695</f>
        <v/>
      </c>
      <c r="P1695" s="1033"/>
      <c r="Q1695" s="1033"/>
      <c r="R1695" s="1034" t="str">
        <f>+S1695&amp;T1695</f>
        <v/>
      </c>
      <c r="S1695" s="1033"/>
      <c r="T1695" s="1035"/>
      <c r="U1695" s="1034" t="str">
        <f>+V1695&amp;W1695</f>
        <v/>
      </c>
      <c r="V1695" s="1035"/>
      <c r="W1695" s="1035"/>
      <c r="X1695" s="1037" t="str">
        <f>+Y1695&amp;Z1695</f>
        <v>6</v>
      </c>
      <c r="Y1695" s="1035"/>
      <c r="Z1695" s="1035">
        <f t="shared" si="364"/>
        <v>6</v>
      </c>
      <c r="AA1695" s="1035"/>
      <c r="AB1695" s="1033" t="s">
        <v>2991</v>
      </c>
      <c r="AC1695" s="1021">
        <v>611103</v>
      </c>
      <c r="AD1695" s="1021" t="s">
        <v>2511</v>
      </c>
      <c r="AE1695" s="1022">
        <f>VLOOKUP(AC1695,[5]Hoja1!$A$10:$K$1393,11,0)</f>
        <v>1375171</v>
      </c>
      <c r="AF1695" s="1022"/>
      <c r="AG1695" s="1022">
        <f t="shared" si="365"/>
        <v>1375171</v>
      </c>
      <c r="AH1695" s="1022">
        <f t="shared" si="366"/>
        <v>1375</v>
      </c>
      <c r="AK1695" s="448"/>
      <c r="AL1695" s="445"/>
    </row>
    <row r="1696" spans="1:38" s="467" customFormat="1" ht="12.75" customHeight="1">
      <c r="A1696" s="1033">
        <v>5312200</v>
      </c>
      <c r="B1696" s="1033" t="s">
        <v>998</v>
      </c>
      <c r="C1696" s="1034" t="str">
        <f>+D1696&amp;E1696</f>
        <v/>
      </c>
      <c r="D1696" s="1033"/>
      <c r="E1696" s="1033"/>
      <c r="F1696" s="1034" t="str">
        <f>+G1696&amp;H1696</f>
        <v/>
      </c>
      <c r="G1696" s="1033"/>
      <c r="H1696" s="1033"/>
      <c r="I1696" s="1034" t="str">
        <f>+J1696&amp;K1696</f>
        <v/>
      </c>
      <c r="J1696" s="1033"/>
      <c r="K1696" s="1033"/>
      <c r="L1696" s="1034" t="str">
        <f>+M1696&amp;N1696</f>
        <v/>
      </c>
      <c r="M1696" s="1035"/>
      <c r="N1696" s="1035"/>
      <c r="O1696" s="1036" t="str">
        <f>+P1696&amp;Q1696</f>
        <v/>
      </c>
      <c r="P1696" s="1033"/>
      <c r="Q1696" s="1033"/>
      <c r="R1696" s="1034" t="str">
        <f>+S1696&amp;T1696</f>
        <v/>
      </c>
      <c r="S1696" s="1033"/>
      <c r="T1696" s="1035"/>
      <c r="U1696" s="1034" t="str">
        <f>+V1696&amp;W1696</f>
        <v/>
      </c>
      <c r="V1696" s="1035"/>
      <c r="W1696" s="1035"/>
      <c r="X1696" s="1037" t="str">
        <f>+Y1696&amp;Z1696</f>
        <v>6</v>
      </c>
      <c r="Y1696" s="1035"/>
      <c r="Z1696" s="1035">
        <f t="shared" si="364"/>
        <v>6</v>
      </c>
      <c r="AA1696" s="1035"/>
      <c r="AB1696" s="1033" t="s">
        <v>2991</v>
      </c>
      <c r="AC1696" s="1021">
        <v>611104</v>
      </c>
      <c r="AD1696" s="1021" t="s">
        <v>2512</v>
      </c>
      <c r="AE1696" s="1022">
        <f>VLOOKUP(AC1696,[5]Hoja1!$A$10:$K$1393,11,0)</f>
        <v>0</v>
      </c>
      <c r="AF1696" s="1022"/>
      <c r="AG1696" s="1022">
        <f t="shared" si="365"/>
        <v>0</v>
      </c>
      <c r="AH1696" s="1022">
        <f t="shared" si="366"/>
        <v>0</v>
      </c>
      <c r="AK1696" s="448"/>
      <c r="AL1696" s="445"/>
    </row>
    <row r="1697" spans="1:38" s="467" customFormat="1" ht="12.75" customHeight="1">
      <c r="A1697" s="1033"/>
      <c r="B1697" s="1033"/>
      <c r="C1697" s="1034"/>
      <c r="D1697" s="1033"/>
      <c r="E1697" s="1033"/>
      <c r="F1697" s="1034"/>
      <c r="G1697" s="1033"/>
      <c r="H1697" s="1033"/>
      <c r="I1697" s="1034"/>
      <c r="J1697" s="1033"/>
      <c r="K1697" s="1033"/>
      <c r="L1697" s="1034"/>
      <c r="M1697" s="1035"/>
      <c r="N1697" s="1035"/>
      <c r="O1697" s="1036"/>
      <c r="P1697" s="1033"/>
      <c r="Q1697" s="1033"/>
      <c r="R1697" s="1034"/>
      <c r="S1697" s="1033"/>
      <c r="T1697" s="1035"/>
      <c r="U1697" s="1034"/>
      <c r="V1697" s="1035"/>
      <c r="W1697" s="1035"/>
      <c r="X1697" s="1037"/>
      <c r="Y1697" s="1035"/>
      <c r="Z1697" s="1035">
        <f t="shared" si="364"/>
        <v>6</v>
      </c>
      <c r="AA1697" s="1035"/>
      <c r="AB1697" s="1033"/>
      <c r="AC1697" s="1021">
        <v>612001</v>
      </c>
      <c r="AD1697" s="1021" t="s">
        <v>2513</v>
      </c>
      <c r="AE1697" s="1022">
        <v>0</v>
      </c>
      <c r="AF1697" s="1022"/>
      <c r="AG1697" s="1022">
        <f t="shared" si="365"/>
        <v>0</v>
      </c>
      <c r="AH1697" s="1022">
        <f t="shared" si="366"/>
        <v>0</v>
      </c>
      <c r="AK1697" s="448"/>
      <c r="AL1697" s="445"/>
    </row>
    <row r="1698" spans="1:38" s="467" customFormat="1" ht="12.75" customHeight="1">
      <c r="A1698" s="1033">
        <v>5315100</v>
      </c>
      <c r="B1698" s="1033" t="s">
        <v>1172</v>
      </c>
      <c r="C1698" s="1034"/>
      <c r="D1698" s="1033"/>
      <c r="E1698" s="1033"/>
      <c r="F1698" s="1034"/>
      <c r="G1698" s="1033"/>
      <c r="H1698" s="1033"/>
      <c r="I1698" s="1034"/>
      <c r="J1698" s="1033"/>
      <c r="K1698" s="1033"/>
      <c r="L1698" s="1034"/>
      <c r="M1698" s="1035"/>
      <c r="N1698" s="1035"/>
      <c r="O1698" s="1036"/>
      <c r="P1698" s="1033"/>
      <c r="Q1698" s="1033"/>
      <c r="R1698" s="1034"/>
      <c r="S1698" s="1033"/>
      <c r="T1698" s="1035"/>
      <c r="U1698" s="1034"/>
      <c r="V1698" s="1035"/>
      <c r="W1698" s="1035"/>
      <c r="X1698" s="1037"/>
      <c r="Y1698" s="1035"/>
      <c r="Z1698" s="1035">
        <f t="shared" si="364"/>
        <v>6</v>
      </c>
      <c r="AA1698" s="1033">
        <v>36</v>
      </c>
      <c r="AB1698" s="1033"/>
      <c r="AC1698" s="1021">
        <v>612002</v>
      </c>
      <c r="AD1698" s="1021" t="s">
        <v>1531</v>
      </c>
      <c r="AE1698" s="1022">
        <f>VLOOKUP(AC1698,[5]Hoja1!$A$10:$K$1393,11,0)</f>
        <v>0</v>
      </c>
      <c r="AF1698" s="1022"/>
      <c r="AG1698" s="1022">
        <f t="shared" si="365"/>
        <v>0</v>
      </c>
      <c r="AH1698" s="1022">
        <f t="shared" si="366"/>
        <v>0</v>
      </c>
      <c r="AK1698" s="448"/>
      <c r="AL1698" s="445"/>
    </row>
    <row r="1699" spans="1:38" s="467" customFormat="1" ht="12.75" customHeight="1">
      <c r="A1699" s="1033"/>
      <c r="B1699" s="1033"/>
      <c r="C1699" s="1034" t="str">
        <f>+D1699&amp;E1699</f>
        <v/>
      </c>
      <c r="D1699" s="1033"/>
      <c r="E1699" s="1033"/>
      <c r="F1699" s="1034" t="str">
        <f>+G1699&amp;H1699</f>
        <v/>
      </c>
      <c r="G1699" s="1033"/>
      <c r="H1699" s="1033"/>
      <c r="I1699" s="1034" t="str">
        <f>+J1699&amp;K1699</f>
        <v/>
      </c>
      <c r="J1699" s="1033"/>
      <c r="K1699" s="1033"/>
      <c r="L1699" s="1034" t="str">
        <f>+M1699&amp;N1699</f>
        <v/>
      </c>
      <c r="M1699" s="1035"/>
      <c r="N1699" s="1035"/>
      <c r="O1699" s="1036" t="str">
        <f>+P1699&amp;Q1699</f>
        <v/>
      </c>
      <c r="P1699" s="1033"/>
      <c r="Q1699" s="1033"/>
      <c r="R1699" s="1034" t="str">
        <f>+S1699&amp;T1699</f>
        <v/>
      </c>
      <c r="S1699" s="1033"/>
      <c r="T1699" s="1035"/>
      <c r="U1699" s="1034" t="str">
        <f>+V1699&amp;W1699</f>
        <v/>
      </c>
      <c r="V1699" s="1035"/>
      <c r="W1699" s="1035"/>
      <c r="X1699" s="1037" t="str">
        <f>+Y1699&amp;Z1699</f>
        <v>6</v>
      </c>
      <c r="Y1699" s="1035"/>
      <c r="Z1699" s="1035">
        <f t="shared" si="364"/>
        <v>6</v>
      </c>
      <c r="AA1699" s="1035"/>
      <c r="AB1699" s="1033"/>
      <c r="AC1699" s="1021">
        <v>612003</v>
      </c>
      <c r="AD1699" s="1021" t="s">
        <v>2514</v>
      </c>
      <c r="AE1699" s="1022">
        <v>0</v>
      </c>
      <c r="AF1699" s="1022"/>
      <c r="AG1699" s="1022">
        <f t="shared" si="365"/>
        <v>0</v>
      </c>
      <c r="AH1699" s="1022">
        <f t="shared" si="366"/>
        <v>0</v>
      </c>
      <c r="AK1699" s="448"/>
      <c r="AL1699" s="445"/>
    </row>
    <row r="1700" spans="1:38" s="467" customFormat="1" ht="12.75" customHeight="1">
      <c r="A1700" s="1033">
        <v>5315100</v>
      </c>
      <c r="B1700" s="1033" t="s">
        <v>1172</v>
      </c>
      <c r="C1700" s="1034"/>
      <c r="D1700" s="1033"/>
      <c r="E1700" s="1033"/>
      <c r="F1700" s="1034"/>
      <c r="G1700" s="1033"/>
      <c r="H1700" s="1033"/>
      <c r="I1700" s="1034"/>
      <c r="J1700" s="1033"/>
      <c r="K1700" s="1033"/>
      <c r="L1700" s="1034"/>
      <c r="M1700" s="1035"/>
      <c r="N1700" s="1035"/>
      <c r="O1700" s="1036"/>
      <c r="P1700" s="1033"/>
      <c r="Q1700" s="1033"/>
      <c r="R1700" s="1034"/>
      <c r="S1700" s="1033"/>
      <c r="T1700" s="1035"/>
      <c r="U1700" s="1034"/>
      <c r="V1700" s="1035"/>
      <c r="W1700" s="1035"/>
      <c r="X1700" s="1037"/>
      <c r="Y1700" s="1035"/>
      <c r="Z1700" s="1035">
        <f t="shared" si="364"/>
        <v>6</v>
      </c>
      <c r="AA1700" s="1033">
        <v>36</v>
      </c>
      <c r="AB1700" s="1033"/>
      <c r="AC1700" s="1021">
        <v>612004</v>
      </c>
      <c r="AD1700" s="1021" t="s">
        <v>1532</v>
      </c>
      <c r="AE1700" s="1022">
        <f>VLOOKUP(AC1700,[5]Hoja1!$A$10:$K$1393,11,0)</f>
        <v>0</v>
      </c>
      <c r="AF1700" s="1022"/>
      <c r="AG1700" s="1022">
        <f t="shared" si="365"/>
        <v>0</v>
      </c>
      <c r="AH1700" s="1022">
        <f t="shared" si="366"/>
        <v>0</v>
      </c>
      <c r="AK1700" s="448"/>
      <c r="AL1700" s="445"/>
    </row>
    <row r="1701" spans="1:38" s="467" customFormat="1" ht="12.75" customHeight="1">
      <c r="A1701" s="1033">
        <v>5315100</v>
      </c>
      <c r="B1701" s="1033" t="s">
        <v>1172</v>
      </c>
      <c r="C1701" s="1034"/>
      <c r="D1701" s="1033"/>
      <c r="E1701" s="1033"/>
      <c r="F1701" s="1034"/>
      <c r="G1701" s="1033"/>
      <c r="H1701" s="1033"/>
      <c r="I1701" s="1034"/>
      <c r="J1701" s="1033"/>
      <c r="K1701" s="1033"/>
      <c r="L1701" s="1034"/>
      <c r="M1701" s="1035"/>
      <c r="N1701" s="1035"/>
      <c r="O1701" s="1036"/>
      <c r="P1701" s="1033"/>
      <c r="Q1701" s="1033"/>
      <c r="R1701" s="1034"/>
      <c r="S1701" s="1033"/>
      <c r="T1701" s="1035"/>
      <c r="U1701" s="1034"/>
      <c r="V1701" s="1035"/>
      <c r="W1701" s="1035"/>
      <c r="X1701" s="1037"/>
      <c r="Y1701" s="1035"/>
      <c r="Z1701" s="1035">
        <f t="shared" si="364"/>
        <v>6</v>
      </c>
      <c r="AA1701" s="1033">
        <v>36</v>
      </c>
      <c r="AB1701" s="1033"/>
      <c r="AC1701" s="1021">
        <v>612005</v>
      </c>
      <c r="AD1701" s="1021" t="s">
        <v>1533</v>
      </c>
      <c r="AE1701" s="1022">
        <f>VLOOKUP(AC1701,[5]Hoja1!$A$10:$K$1393,11,0)</f>
        <v>0</v>
      </c>
      <c r="AF1701" s="1022"/>
      <c r="AG1701" s="1022">
        <f t="shared" si="365"/>
        <v>0</v>
      </c>
      <c r="AH1701" s="1022">
        <f t="shared" si="366"/>
        <v>0</v>
      </c>
      <c r="AK1701" s="448"/>
      <c r="AL1701" s="445"/>
    </row>
    <row r="1702" spans="1:38" s="467" customFormat="1" ht="12.75" customHeight="1">
      <c r="A1702" s="1033"/>
      <c r="B1702" s="1033"/>
      <c r="C1702" s="1034"/>
      <c r="D1702" s="1033"/>
      <c r="E1702" s="1033"/>
      <c r="F1702" s="1034"/>
      <c r="G1702" s="1033"/>
      <c r="H1702" s="1033"/>
      <c r="I1702" s="1034"/>
      <c r="J1702" s="1033"/>
      <c r="K1702" s="1033"/>
      <c r="L1702" s="1034"/>
      <c r="M1702" s="1035"/>
      <c r="N1702" s="1035"/>
      <c r="O1702" s="1036"/>
      <c r="P1702" s="1033"/>
      <c r="Q1702" s="1033"/>
      <c r="R1702" s="1034"/>
      <c r="S1702" s="1033"/>
      <c r="T1702" s="1035"/>
      <c r="U1702" s="1034"/>
      <c r="V1702" s="1035"/>
      <c r="W1702" s="1035"/>
      <c r="X1702" s="1037"/>
      <c r="Y1702" s="1035"/>
      <c r="Z1702" s="1035">
        <f t="shared" si="364"/>
        <v>6</v>
      </c>
      <c r="AA1702" s="1035"/>
      <c r="AB1702" s="1033"/>
      <c r="AC1702" s="1021">
        <v>612006</v>
      </c>
      <c r="AD1702" s="1021" t="s">
        <v>1534</v>
      </c>
      <c r="AE1702" s="1022">
        <v>0</v>
      </c>
      <c r="AF1702" s="1022"/>
      <c r="AG1702" s="1022">
        <f t="shared" si="365"/>
        <v>0</v>
      </c>
      <c r="AH1702" s="1022">
        <f t="shared" si="366"/>
        <v>0</v>
      </c>
      <c r="AK1702" s="448"/>
      <c r="AL1702" s="445"/>
    </row>
    <row r="1703" spans="1:38" s="467" customFormat="1" ht="12.75" customHeight="1">
      <c r="A1703" s="1033">
        <v>5312200</v>
      </c>
      <c r="B1703" s="1033" t="s">
        <v>998</v>
      </c>
      <c r="C1703" s="1034" t="str">
        <f>+D1703&amp;E1703</f>
        <v/>
      </c>
      <c r="D1703" s="1033"/>
      <c r="E1703" s="1033"/>
      <c r="F1703" s="1034" t="str">
        <f>+G1703&amp;H1703</f>
        <v/>
      </c>
      <c r="G1703" s="1033"/>
      <c r="H1703" s="1033"/>
      <c r="I1703" s="1034" t="str">
        <f>+J1703&amp;K1703</f>
        <v/>
      </c>
      <c r="J1703" s="1033"/>
      <c r="K1703" s="1033"/>
      <c r="L1703" s="1034" t="str">
        <f>+M1703&amp;N1703</f>
        <v/>
      </c>
      <c r="M1703" s="1035"/>
      <c r="N1703" s="1035"/>
      <c r="O1703" s="1036" t="str">
        <f>+P1703&amp;Q1703</f>
        <v/>
      </c>
      <c r="P1703" s="1033"/>
      <c r="Q1703" s="1033"/>
      <c r="R1703" s="1034" t="str">
        <f>+S1703&amp;T1703</f>
        <v/>
      </c>
      <c r="S1703" s="1033"/>
      <c r="T1703" s="1035"/>
      <c r="U1703" s="1034" t="str">
        <f>+V1703&amp;W1703</f>
        <v/>
      </c>
      <c r="V1703" s="1035"/>
      <c r="W1703" s="1035"/>
      <c r="X1703" s="1037" t="str">
        <f>+Y1703&amp;Z1703</f>
        <v>6</v>
      </c>
      <c r="Y1703" s="1035"/>
      <c r="Z1703" s="1035">
        <f t="shared" ref="Z1703:Z1766" si="380">VALUE(LEFT(AC1703,1))</f>
        <v>6</v>
      </c>
      <c r="AA1703" s="1035"/>
      <c r="AB1703" s="1033" t="s">
        <v>2984</v>
      </c>
      <c r="AC1703" s="1021">
        <v>612007</v>
      </c>
      <c r="AD1703" s="1021" t="s">
        <v>1770</v>
      </c>
      <c r="AE1703" s="1022">
        <f>VLOOKUP(AC1703,[5]Hoja1!$A$10:$K$1393,11,0)</f>
        <v>0</v>
      </c>
      <c r="AF1703" s="1022"/>
      <c r="AG1703" s="1022">
        <f t="shared" ref="AG1703:AG1766" si="381">AE1703+AF1703</f>
        <v>0</v>
      </c>
      <c r="AH1703" s="1022">
        <f t="shared" ref="AH1703:AH1766" si="382">ROUND((AE1703+AF1703)/$AH$2,0)</f>
        <v>0</v>
      </c>
      <c r="AK1703" s="448"/>
      <c r="AL1703" s="445"/>
    </row>
    <row r="1704" spans="1:38" s="467" customFormat="1" ht="12.75" customHeight="1">
      <c r="A1704" s="1033">
        <v>5312200</v>
      </c>
      <c r="B1704" s="1033" t="s">
        <v>998</v>
      </c>
      <c r="C1704" s="1034"/>
      <c r="D1704" s="1033"/>
      <c r="E1704" s="1033"/>
      <c r="F1704" s="1034"/>
      <c r="G1704" s="1033"/>
      <c r="H1704" s="1033"/>
      <c r="I1704" s="1034"/>
      <c r="J1704" s="1033"/>
      <c r="K1704" s="1033"/>
      <c r="L1704" s="1034"/>
      <c r="M1704" s="1035"/>
      <c r="N1704" s="1035"/>
      <c r="O1704" s="1036"/>
      <c r="P1704" s="1033"/>
      <c r="Q1704" s="1033"/>
      <c r="R1704" s="1034"/>
      <c r="S1704" s="1033"/>
      <c r="T1704" s="1035"/>
      <c r="U1704" s="1034"/>
      <c r="V1704" s="1035"/>
      <c r="W1704" s="1035"/>
      <c r="X1704" s="1037"/>
      <c r="Y1704" s="1035"/>
      <c r="Z1704" s="1035">
        <f t="shared" si="380"/>
        <v>6</v>
      </c>
      <c r="AA1704" s="1035"/>
      <c r="AB1704" s="1033" t="s">
        <v>2987</v>
      </c>
      <c r="AC1704" s="1021">
        <v>612008</v>
      </c>
      <c r="AD1704" s="1021" t="s">
        <v>699</v>
      </c>
      <c r="AE1704" s="1022">
        <f>VLOOKUP(AC1704,[5]Hoja1!$A$10:$K$1393,11,0)</f>
        <v>0</v>
      </c>
      <c r="AF1704" s="1022">
        <v>0</v>
      </c>
      <c r="AG1704" s="1022">
        <f t="shared" si="381"/>
        <v>0</v>
      </c>
      <c r="AH1704" s="1022">
        <f t="shared" si="382"/>
        <v>0</v>
      </c>
      <c r="AK1704" s="448"/>
      <c r="AL1704" s="445"/>
    </row>
    <row r="1705" spans="1:38" s="467" customFormat="1" ht="12.75" customHeight="1">
      <c r="A1705" s="1033"/>
      <c r="B1705" s="1033"/>
      <c r="C1705" s="1034"/>
      <c r="D1705" s="1033"/>
      <c r="E1705" s="1033"/>
      <c r="F1705" s="1034"/>
      <c r="G1705" s="1033"/>
      <c r="H1705" s="1033"/>
      <c r="I1705" s="1034"/>
      <c r="J1705" s="1033"/>
      <c r="K1705" s="1033"/>
      <c r="L1705" s="1034"/>
      <c r="M1705" s="1035"/>
      <c r="N1705" s="1035"/>
      <c r="O1705" s="1036"/>
      <c r="P1705" s="1033"/>
      <c r="Q1705" s="1033"/>
      <c r="R1705" s="1034"/>
      <c r="S1705" s="1033"/>
      <c r="T1705" s="1035"/>
      <c r="U1705" s="1034"/>
      <c r="V1705" s="1035"/>
      <c r="W1705" s="1035"/>
      <c r="X1705" s="1037"/>
      <c r="Y1705" s="1035"/>
      <c r="Z1705" s="1035">
        <f t="shared" si="380"/>
        <v>6</v>
      </c>
      <c r="AA1705" s="1035"/>
      <c r="AB1705" s="1033"/>
      <c r="AC1705" s="1021">
        <v>613001</v>
      </c>
      <c r="AD1705" s="1021" t="s">
        <v>1536</v>
      </c>
      <c r="AE1705" s="1022">
        <v>0</v>
      </c>
      <c r="AF1705" s="1022"/>
      <c r="AG1705" s="1022">
        <f t="shared" si="381"/>
        <v>0</v>
      </c>
      <c r="AH1705" s="1022">
        <f t="shared" si="382"/>
        <v>0</v>
      </c>
      <c r="AK1705" s="448"/>
      <c r="AL1705" s="445"/>
    </row>
    <row r="1706" spans="1:38" s="467" customFormat="1" ht="12.75" customHeight="1">
      <c r="A1706" s="1033"/>
      <c r="B1706" s="1033"/>
      <c r="C1706" s="1034"/>
      <c r="D1706" s="1033"/>
      <c r="E1706" s="1033"/>
      <c r="F1706" s="1034"/>
      <c r="G1706" s="1033"/>
      <c r="H1706" s="1033"/>
      <c r="I1706" s="1034"/>
      <c r="J1706" s="1033"/>
      <c r="K1706" s="1033"/>
      <c r="L1706" s="1034"/>
      <c r="M1706" s="1035"/>
      <c r="N1706" s="1035"/>
      <c r="O1706" s="1036"/>
      <c r="P1706" s="1033"/>
      <c r="Q1706" s="1033"/>
      <c r="R1706" s="1034"/>
      <c r="S1706" s="1033"/>
      <c r="T1706" s="1035"/>
      <c r="U1706" s="1034"/>
      <c r="V1706" s="1035"/>
      <c r="W1706" s="1035"/>
      <c r="X1706" s="1037"/>
      <c r="Y1706" s="1035"/>
      <c r="Z1706" s="1035">
        <f t="shared" si="380"/>
        <v>6</v>
      </c>
      <c r="AA1706" s="1035"/>
      <c r="AB1706" s="1033"/>
      <c r="AC1706" s="1021">
        <v>613002</v>
      </c>
      <c r="AD1706" s="1021" t="s">
        <v>1537</v>
      </c>
      <c r="AE1706" s="1022">
        <v>0</v>
      </c>
      <c r="AF1706" s="1022"/>
      <c r="AG1706" s="1022">
        <f t="shared" si="381"/>
        <v>0</v>
      </c>
      <c r="AH1706" s="1022">
        <f t="shared" si="382"/>
        <v>0</v>
      </c>
      <c r="AK1706" s="448"/>
      <c r="AL1706" s="445"/>
    </row>
    <row r="1707" spans="1:38" s="467" customFormat="1" ht="12.75" customHeight="1">
      <c r="A1707" s="1033"/>
      <c r="B1707" s="1033"/>
      <c r="C1707" s="1034"/>
      <c r="D1707" s="1033"/>
      <c r="E1707" s="1033"/>
      <c r="F1707" s="1034"/>
      <c r="G1707" s="1033"/>
      <c r="H1707" s="1033"/>
      <c r="I1707" s="1034"/>
      <c r="J1707" s="1033"/>
      <c r="K1707" s="1033"/>
      <c r="L1707" s="1034"/>
      <c r="M1707" s="1035"/>
      <c r="N1707" s="1035"/>
      <c r="O1707" s="1036"/>
      <c r="P1707" s="1033"/>
      <c r="Q1707" s="1033"/>
      <c r="R1707" s="1034"/>
      <c r="S1707" s="1033"/>
      <c r="T1707" s="1035"/>
      <c r="U1707" s="1034"/>
      <c r="V1707" s="1035"/>
      <c r="W1707" s="1035"/>
      <c r="X1707" s="1037"/>
      <c r="Y1707" s="1035"/>
      <c r="Z1707" s="1035">
        <f t="shared" si="380"/>
        <v>6</v>
      </c>
      <c r="AA1707" s="1035"/>
      <c r="AB1707" s="1033"/>
      <c r="AC1707" s="1021">
        <v>613003</v>
      </c>
      <c r="AD1707" s="1021" t="s">
        <v>1538</v>
      </c>
      <c r="AE1707" s="1022">
        <v>0</v>
      </c>
      <c r="AF1707" s="1022"/>
      <c r="AG1707" s="1022">
        <f t="shared" si="381"/>
        <v>0</v>
      </c>
      <c r="AH1707" s="1022">
        <f t="shared" si="382"/>
        <v>0</v>
      </c>
      <c r="AK1707" s="448"/>
      <c r="AL1707" s="445"/>
    </row>
    <row r="1708" spans="1:38" s="467" customFormat="1" ht="12.75" customHeight="1">
      <c r="A1708" s="1033"/>
      <c r="B1708" s="1033"/>
      <c r="C1708" s="1034"/>
      <c r="D1708" s="1033"/>
      <c r="E1708" s="1033"/>
      <c r="F1708" s="1034"/>
      <c r="G1708" s="1033"/>
      <c r="H1708" s="1033"/>
      <c r="I1708" s="1034"/>
      <c r="J1708" s="1033"/>
      <c r="K1708" s="1033"/>
      <c r="L1708" s="1034"/>
      <c r="M1708" s="1035"/>
      <c r="N1708" s="1035"/>
      <c r="O1708" s="1036"/>
      <c r="P1708" s="1033"/>
      <c r="Q1708" s="1033"/>
      <c r="R1708" s="1034"/>
      <c r="S1708" s="1033"/>
      <c r="T1708" s="1035"/>
      <c r="U1708" s="1034"/>
      <c r="V1708" s="1035"/>
      <c r="W1708" s="1035"/>
      <c r="X1708" s="1037"/>
      <c r="Y1708" s="1035"/>
      <c r="Z1708" s="1035">
        <f t="shared" si="380"/>
        <v>6</v>
      </c>
      <c r="AA1708" s="1035"/>
      <c r="AB1708" s="1033"/>
      <c r="AC1708" s="1021">
        <v>613004</v>
      </c>
      <c r="AD1708" s="1021" t="s">
        <v>1539</v>
      </c>
      <c r="AE1708" s="1022">
        <v>0</v>
      </c>
      <c r="AF1708" s="1022"/>
      <c r="AG1708" s="1022">
        <f t="shared" si="381"/>
        <v>0</v>
      </c>
      <c r="AH1708" s="1022">
        <f t="shared" si="382"/>
        <v>0</v>
      </c>
      <c r="AK1708" s="448"/>
      <c r="AL1708" s="445"/>
    </row>
    <row r="1709" spans="1:38" s="467" customFormat="1" ht="12.75" customHeight="1">
      <c r="A1709" s="1033"/>
      <c r="B1709" s="1033"/>
      <c r="C1709" s="1034"/>
      <c r="D1709" s="1033"/>
      <c r="E1709" s="1033"/>
      <c r="F1709" s="1034"/>
      <c r="G1709" s="1033"/>
      <c r="H1709" s="1033"/>
      <c r="I1709" s="1034"/>
      <c r="J1709" s="1033"/>
      <c r="K1709" s="1033"/>
      <c r="L1709" s="1034"/>
      <c r="M1709" s="1035"/>
      <c r="N1709" s="1035"/>
      <c r="O1709" s="1036"/>
      <c r="P1709" s="1033"/>
      <c r="Q1709" s="1033"/>
      <c r="R1709" s="1034"/>
      <c r="S1709" s="1033"/>
      <c r="T1709" s="1035"/>
      <c r="U1709" s="1034"/>
      <c r="V1709" s="1035"/>
      <c r="W1709" s="1035"/>
      <c r="X1709" s="1037"/>
      <c r="Y1709" s="1035"/>
      <c r="Z1709" s="1035">
        <f t="shared" si="380"/>
        <v>6</v>
      </c>
      <c r="AA1709" s="1035"/>
      <c r="AB1709" s="1033"/>
      <c r="AC1709" s="1021">
        <v>613005</v>
      </c>
      <c r="AD1709" s="1021" t="s">
        <v>1540</v>
      </c>
      <c r="AE1709" s="1022">
        <v>0</v>
      </c>
      <c r="AF1709" s="1022"/>
      <c r="AG1709" s="1022">
        <f t="shared" si="381"/>
        <v>0</v>
      </c>
      <c r="AH1709" s="1022">
        <f t="shared" si="382"/>
        <v>0</v>
      </c>
      <c r="AK1709" s="448"/>
      <c r="AL1709" s="445"/>
    </row>
    <row r="1710" spans="1:38" s="467" customFormat="1" ht="12.75" customHeight="1">
      <c r="A1710" s="1033"/>
      <c r="B1710" s="1033"/>
      <c r="C1710" s="1034"/>
      <c r="D1710" s="1033"/>
      <c r="E1710" s="1033"/>
      <c r="F1710" s="1034"/>
      <c r="G1710" s="1033"/>
      <c r="H1710" s="1033"/>
      <c r="I1710" s="1034"/>
      <c r="J1710" s="1033"/>
      <c r="K1710" s="1033"/>
      <c r="L1710" s="1034"/>
      <c r="M1710" s="1035"/>
      <c r="N1710" s="1035"/>
      <c r="O1710" s="1036"/>
      <c r="P1710" s="1033"/>
      <c r="Q1710" s="1033"/>
      <c r="R1710" s="1034"/>
      <c r="S1710" s="1033"/>
      <c r="T1710" s="1035"/>
      <c r="U1710" s="1034"/>
      <c r="V1710" s="1035"/>
      <c r="W1710" s="1035"/>
      <c r="X1710" s="1037"/>
      <c r="Y1710" s="1035"/>
      <c r="Z1710" s="1035">
        <f t="shared" si="380"/>
        <v>6</v>
      </c>
      <c r="AA1710" s="1035"/>
      <c r="AB1710" s="1033"/>
      <c r="AC1710" s="1021">
        <v>613006</v>
      </c>
      <c r="AD1710" s="1021" t="s">
        <v>650</v>
      </c>
      <c r="AE1710" s="1022">
        <v>0</v>
      </c>
      <c r="AF1710" s="1022"/>
      <c r="AG1710" s="1022">
        <f t="shared" si="381"/>
        <v>0</v>
      </c>
      <c r="AH1710" s="1022">
        <f t="shared" si="382"/>
        <v>0</v>
      </c>
      <c r="AK1710" s="448"/>
      <c r="AL1710" s="445"/>
    </row>
    <row r="1711" spans="1:38" s="467" customFormat="1" ht="12.75" customHeight="1">
      <c r="A1711" s="1033"/>
      <c r="B1711" s="1033"/>
      <c r="C1711" s="1034"/>
      <c r="D1711" s="1033"/>
      <c r="E1711" s="1033"/>
      <c r="F1711" s="1034"/>
      <c r="G1711" s="1033"/>
      <c r="H1711" s="1033"/>
      <c r="I1711" s="1034"/>
      <c r="J1711" s="1033"/>
      <c r="K1711" s="1033"/>
      <c r="L1711" s="1034"/>
      <c r="M1711" s="1035"/>
      <c r="N1711" s="1035"/>
      <c r="O1711" s="1036"/>
      <c r="P1711" s="1033"/>
      <c r="Q1711" s="1033"/>
      <c r="R1711" s="1034"/>
      <c r="S1711" s="1033"/>
      <c r="T1711" s="1035"/>
      <c r="U1711" s="1034"/>
      <c r="V1711" s="1035"/>
      <c r="W1711" s="1035"/>
      <c r="X1711" s="1037"/>
      <c r="Y1711" s="1035"/>
      <c r="Z1711" s="1035">
        <f t="shared" si="380"/>
        <v>6</v>
      </c>
      <c r="AA1711" s="1035"/>
      <c r="AB1711" s="1033"/>
      <c r="AC1711" s="1021">
        <v>613007</v>
      </c>
      <c r="AD1711" s="1021" t="s">
        <v>651</v>
      </c>
      <c r="AE1711" s="1022">
        <v>0</v>
      </c>
      <c r="AF1711" s="1022"/>
      <c r="AG1711" s="1022">
        <f t="shared" si="381"/>
        <v>0</v>
      </c>
      <c r="AH1711" s="1022">
        <f t="shared" si="382"/>
        <v>0</v>
      </c>
      <c r="AK1711" s="448"/>
      <c r="AL1711" s="445"/>
    </row>
    <row r="1712" spans="1:38" s="467" customFormat="1" ht="12.75" customHeight="1">
      <c r="A1712" s="1033">
        <v>5315100</v>
      </c>
      <c r="B1712" s="1033" t="s">
        <v>1172</v>
      </c>
      <c r="C1712" s="1034"/>
      <c r="D1712" s="1033"/>
      <c r="E1712" s="1033"/>
      <c r="F1712" s="1034"/>
      <c r="G1712" s="1033"/>
      <c r="H1712" s="1033"/>
      <c r="I1712" s="1034"/>
      <c r="J1712" s="1033"/>
      <c r="K1712" s="1033"/>
      <c r="L1712" s="1034"/>
      <c r="M1712" s="1035"/>
      <c r="N1712" s="1035"/>
      <c r="O1712" s="1036"/>
      <c r="P1712" s="1033"/>
      <c r="Q1712" s="1033"/>
      <c r="R1712" s="1034"/>
      <c r="S1712" s="1033"/>
      <c r="T1712" s="1035"/>
      <c r="U1712" s="1034"/>
      <c r="V1712" s="1035"/>
      <c r="W1712" s="1035"/>
      <c r="X1712" s="1037"/>
      <c r="Y1712" s="1035"/>
      <c r="Z1712" s="1035">
        <f t="shared" si="380"/>
        <v>6</v>
      </c>
      <c r="AA1712" s="1033">
        <v>36</v>
      </c>
      <c r="AB1712" s="1033"/>
      <c r="AC1712" s="1021">
        <v>613008</v>
      </c>
      <c r="AD1712" s="1021" t="s">
        <v>652</v>
      </c>
      <c r="AE1712" s="1022">
        <f>VLOOKUP(AC1712,[5]Hoja1!$A$10:$K$1393,11,0)</f>
        <v>0</v>
      </c>
      <c r="AF1712" s="1022"/>
      <c r="AG1712" s="1022">
        <f t="shared" si="381"/>
        <v>0</v>
      </c>
      <c r="AH1712" s="1022">
        <f t="shared" si="382"/>
        <v>0</v>
      </c>
      <c r="AK1712" s="448"/>
      <c r="AL1712" s="445"/>
    </row>
    <row r="1713" spans="1:38" s="467" customFormat="1" ht="12.75" customHeight="1">
      <c r="A1713" s="1033"/>
      <c r="B1713" s="1033"/>
      <c r="C1713" s="1034"/>
      <c r="D1713" s="1033"/>
      <c r="E1713" s="1033"/>
      <c r="F1713" s="1034"/>
      <c r="G1713" s="1033"/>
      <c r="H1713" s="1033"/>
      <c r="I1713" s="1034"/>
      <c r="J1713" s="1033"/>
      <c r="K1713" s="1033"/>
      <c r="L1713" s="1034"/>
      <c r="M1713" s="1035"/>
      <c r="N1713" s="1035"/>
      <c r="O1713" s="1036"/>
      <c r="P1713" s="1033"/>
      <c r="Q1713" s="1033"/>
      <c r="R1713" s="1034"/>
      <c r="S1713" s="1033"/>
      <c r="T1713" s="1035"/>
      <c r="U1713" s="1034"/>
      <c r="V1713" s="1035"/>
      <c r="W1713" s="1035"/>
      <c r="X1713" s="1037"/>
      <c r="Y1713" s="1035"/>
      <c r="Z1713" s="1035">
        <f t="shared" si="380"/>
        <v>6</v>
      </c>
      <c r="AA1713" s="1035"/>
      <c r="AB1713" s="1033"/>
      <c r="AC1713" s="1021">
        <v>613009</v>
      </c>
      <c r="AD1713" s="1021" t="s">
        <v>653</v>
      </c>
      <c r="AE1713" s="1022">
        <v>0</v>
      </c>
      <c r="AF1713" s="1022"/>
      <c r="AG1713" s="1022">
        <f t="shared" si="381"/>
        <v>0</v>
      </c>
      <c r="AH1713" s="1022">
        <f t="shared" si="382"/>
        <v>0</v>
      </c>
      <c r="AK1713" s="448"/>
      <c r="AL1713" s="445"/>
    </row>
    <row r="1714" spans="1:38" s="467" customFormat="1" ht="12.75" customHeight="1">
      <c r="A1714" s="1033">
        <v>5315100</v>
      </c>
      <c r="B1714" s="1033" t="s">
        <v>1172</v>
      </c>
      <c r="C1714" s="1034"/>
      <c r="D1714" s="1033"/>
      <c r="E1714" s="1033"/>
      <c r="F1714" s="1034"/>
      <c r="G1714" s="1033"/>
      <c r="H1714" s="1033"/>
      <c r="I1714" s="1034"/>
      <c r="J1714" s="1033"/>
      <c r="K1714" s="1033"/>
      <c r="L1714" s="1034"/>
      <c r="M1714" s="1035"/>
      <c r="N1714" s="1035"/>
      <c r="O1714" s="1036"/>
      <c r="P1714" s="1033"/>
      <c r="Q1714" s="1033"/>
      <c r="R1714" s="1034"/>
      <c r="S1714" s="1033"/>
      <c r="T1714" s="1035"/>
      <c r="U1714" s="1034"/>
      <c r="V1714" s="1035"/>
      <c r="W1714" s="1035"/>
      <c r="X1714" s="1037"/>
      <c r="Y1714" s="1035"/>
      <c r="Z1714" s="1035">
        <f t="shared" si="380"/>
        <v>6</v>
      </c>
      <c r="AA1714" s="1033">
        <v>36</v>
      </c>
      <c r="AB1714" s="1033"/>
      <c r="AC1714" s="1021">
        <v>613010</v>
      </c>
      <c r="AD1714" s="1021" t="s">
        <v>820</v>
      </c>
      <c r="AE1714" s="1022">
        <f>VLOOKUP(AC1714,[5]Hoja1!$A$10:$K$1393,11,0)</f>
        <v>0</v>
      </c>
      <c r="AF1714" s="1022"/>
      <c r="AG1714" s="1022">
        <f t="shared" si="381"/>
        <v>0</v>
      </c>
      <c r="AH1714" s="1022">
        <f t="shared" si="382"/>
        <v>0</v>
      </c>
      <c r="AK1714" s="448"/>
      <c r="AL1714" s="445"/>
    </row>
    <row r="1715" spans="1:38" s="467" customFormat="1" ht="12.75" customHeight="1">
      <c r="A1715" s="1033"/>
      <c r="B1715" s="1033"/>
      <c r="C1715" s="1034"/>
      <c r="D1715" s="1033"/>
      <c r="E1715" s="1033"/>
      <c r="F1715" s="1034"/>
      <c r="G1715" s="1033"/>
      <c r="H1715" s="1033"/>
      <c r="I1715" s="1034"/>
      <c r="J1715" s="1033"/>
      <c r="K1715" s="1033"/>
      <c r="L1715" s="1034"/>
      <c r="M1715" s="1035"/>
      <c r="N1715" s="1035"/>
      <c r="O1715" s="1036"/>
      <c r="P1715" s="1033"/>
      <c r="Q1715" s="1033"/>
      <c r="R1715" s="1034"/>
      <c r="S1715" s="1033"/>
      <c r="T1715" s="1035"/>
      <c r="U1715" s="1034"/>
      <c r="V1715" s="1035"/>
      <c r="W1715" s="1035"/>
      <c r="X1715" s="1037"/>
      <c r="Y1715" s="1035"/>
      <c r="Z1715" s="1035">
        <f t="shared" si="380"/>
        <v>6</v>
      </c>
      <c r="AA1715" s="1035"/>
      <c r="AB1715" s="1033"/>
      <c r="AC1715" s="1021">
        <v>613011</v>
      </c>
      <c r="AD1715" s="1021" t="s">
        <v>821</v>
      </c>
      <c r="AE1715" s="1022">
        <v>0</v>
      </c>
      <c r="AF1715" s="1022"/>
      <c r="AG1715" s="1022">
        <f t="shared" si="381"/>
        <v>0</v>
      </c>
      <c r="AH1715" s="1022">
        <f t="shared" si="382"/>
        <v>0</v>
      </c>
      <c r="AK1715" s="448"/>
      <c r="AL1715" s="445"/>
    </row>
    <row r="1716" spans="1:38" s="467" customFormat="1" ht="12.75" customHeight="1">
      <c r="A1716" s="1033"/>
      <c r="B1716" s="1033"/>
      <c r="C1716" s="1034"/>
      <c r="D1716" s="1033"/>
      <c r="E1716" s="1033"/>
      <c r="F1716" s="1034"/>
      <c r="G1716" s="1033"/>
      <c r="H1716" s="1033"/>
      <c r="I1716" s="1034"/>
      <c r="J1716" s="1033"/>
      <c r="K1716" s="1033"/>
      <c r="L1716" s="1034"/>
      <c r="M1716" s="1035"/>
      <c r="N1716" s="1035"/>
      <c r="O1716" s="1036"/>
      <c r="P1716" s="1033"/>
      <c r="Q1716" s="1033"/>
      <c r="R1716" s="1034"/>
      <c r="S1716" s="1033"/>
      <c r="T1716" s="1035"/>
      <c r="U1716" s="1034"/>
      <c r="V1716" s="1035"/>
      <c r="W1716" s="1035"/>
      <c r="X1716" s="1037"/>
      <c r="Y1716" s="1035"/>
      <c r="Z1716" s="1035">
        <f t="shared" si="380"/>
        <v>6</v>
      </c>
      <c r="AA1716" s="1035"/>
      <c r="AB1716" s="1033"/>
      <c r="AC1716" s="1021">
        <v>614001</v>
      </c>
      <c r="AD1716" s="1021" t="s">
        <v>822</v>
      </c>
      <c r="AE1716" s="1022">
        <v>0</v>
      </c>
      <c r="AF1716" s="1022"/>
      <c r="AG1716" s="1022">
        <f t="shared" si="381"/>
        <v>0</v>
      </c>
      <c r="AH1716" s="1022">
        <f t="shared" si="382"/>
        <v>0</v>
      </c>
      <c r="AK1716" s="448"/>
      <c r="AL1716" s="445"/>
    </row>
    <row r="1717" spans="1:38" s="467" customFormat="1" ht="12.75" customHeight="1">
      <c r="A1717" s="1033"/>
      <c r="B1717" s="1033"/>
      <c r="C1717" s="1034"/>
      <c r="D1717" s="1033"/>
      <c r="E1717" s="1033"/>
      <c r="F1717" s="1034"/>
      <c r="G1717" s="1033"/>
      <c r="H1717" s="1033"/>
      <c r="I1717" s="1034"/>
      <c r="J1717" s="1033"/>
      <c r="K1717" s="1033"/>
      <c r="L1717" s="1034"/>
      <c r="M1717" s="1035"/>
      <c r="N1717" s="1035"/>
      <c r="O1717" s="1036"/>
      <c r="P1717" s="1033"/>
      <c r="Q1717" s="1033"/>
      <c r="R1717" s="1034"/>
      <c r="S1717" s="1033"/>
      <c r="T1717" s="1035"/>
      <c r="U1717" s="1034"/>
      <c r="V1717" s="1035"/>
      <c r="W1717" s="1035"/>
      <c r="X1717" s="1037"/>
      <c r="Y1717" s="1035"/>
      <c r="Z1717" s="1035">
        <f t="shared" si="380"/>
        <v>6</v>
      </c>
      <c r="AA1717" s="1035"/>
      <c r="AB1717" s="1033"/>
      <c r="AC1717" s="1021">
        <v>614002</v>
      </c>
      <c r="AD1717" s="1021" t="s">
        <v>823</v>
      </c>
      <c r="AE1717" s="1022">
        <v>0</v>
      </c>
      <c r="AF1717" s="1022"/>
      <c r="AG1717" s="1022">
        <f t="shared" si="381"/>
        <v>0</v>
      </c>
      <c r="AH1717" s="1022">
        <f t="shared" si="382"/>
        <v>0</v>
      </c>
      <c r="AK1717" s="448"/>
      <c r="AL1717" s="445"/>
    </row>
    <row r="1718" spans="1:38" s="467" customFormat="1" ht="12.75" customHeight="1">
      <c r="A1718" s="1033"/>
      <c r="B1718" s="1033"/>
      <c r="C1718" s="1034"/>
      <c r="D1718" s="1033"/>
      <c r="E1718" s="1033"/>
      <c r="F1718" s="1034"/>
      <c r="G1718" s="1033"/>
      <c r="H1718" s="1033"/>
      <c r="I1718" s="1034"/>
      <c r="J1718" s="1033"/>
      <c r="K1718" s="1033"/>
      <c r="L1718" s="1034"/>
      <c r="M1718" s="1035"/>
      <c r="N1718" s="1035"/>
      <c r="O1718" s="1036"/>
      <c r="P1718" s="1033"/>
      <c r="Q1718" s="1033"/>
      <c r="R1718" s="1034"/>
      <c r="S1718" s="1033"/>
      <c r="T1718" s="1035"/>
      <c r="U1718" s="1034"/>
      <c r="V1718" s="1035"/>
      <c r="W1718" s="1035"/>
      <c r="X1718" s="1037"/>
      <c r="Y1718" s="1035"/>
      <c r="Z1718" s="1035">
        <f t="shared" si="380"/>
        <v>6</v>
      </c>
      <c r="AA1718" s="1035"/>
      <c r="AB1718" s="1033"/>
      <c r="AC1718" s="1021">
        <v>614003</v>
      </c>
      <c r="AD1718" s="1021" t="s">
        <v>824</v>
      </c>
      <c r="AE1718" s="1022">
        <v>0</v>
      </c>
      <c r="AF1718" s="1022"/>
      <c r="AG1718" s="1022">
        <f t="shared" si="381"/>
        <v>0</v>
      </c>
      <c r="AH1718" s="1022">
        <f t="shared" si="382"/>
        <v>0</v>
      </c>
      <c r="AK1718" s="448"/>
      <c r="AL1718" s="445"/>
    </row>
    <row r="1719" spans="1:38" s="467" customFormat="1" ht="12.75" customHeight="1">
      <c r="A1719" s="1033"/>
      <c r="B1719" s="1033"/>
      <c r="C1719" s="1034"/>
      <c r="D1719" s="1033"/>
      <c r="E1719" s="1033"/>
      <c r="F1719" s="1034"/>
      <c r="G1719" s="1033"/>
      <c r="H1719" s="1033"/>
      <c r="I1719" s="1034"/>
      <c r="J1719" s="1033"/>
      <c r="K1719" s="1033"/>
      <c r="L1719" s="1034"/>
      <c r="M1719" s="1035"/>
      <c r="N1719" s="1035"/>
      <c r="O1719" s="1036"/>
      <c r="P1719" s="1033"/>
      <c r="Q1719" s="1033"/>
      <c r="R1719" s="1034"/>
      <c r="S1719" s="1033"/>
      <c r="T1719" s="1035"/>
      <c r="U1719" s="1034"/>
      <c r="V1719" s="1035"/>
      <c r="W1719" s="1035"/>
      <c r="X1719" s="1037"/>
      <c r="Y1719" s="1035"/>
      <c r="Z1719" s="1035">
        <f t="shared" si="380"/>
        <v>6</v>
      </c>
      <c r="AA1719" s="1035"/>
      <c r="AB1719" s="1033"/>
      <c r="AC1719" s="1021">
        <v>614004</v>
      </c>
      <c r="AD1719" s="1021" t="s">
        <v>825</v>
      </c>
      <c r="AE1719" s="1022">
        <v>0</v>
      </c>
      <c r="AF1719" s="1022"/>
      <c r="AG1719" s="1022">
        <f t="shared" si="381"/>
        <v>0</v>
      </c>
      <c r="AH1719" s="1022">
        <f t="shared" si="382"/>
        <v>0</v>
      </c>
      <c r="AK1719" s="448"/>
      <c r="AL1719" s="445"/>
    </row>
    <row r="1720" spans="1:38" s="467" customFormat="1" ht="12.75" customHeight="1">
      <c r="A1720" s="1033"/>
      <c r="B1720" s="1033"/>
      <c r="C1720" s="1034"/>
      <c r="D1720" s="1033"/>
      <c r="E1720" s="1033"/>
      <c r="F1720" s="1034"/>
      <c r="G1720" s="1033"/>
      <c r="H1720" s="1033"/>
      <c r="I1720" s="1034"/>
      <c r="J1720" s="1033"/>
      <c r="K1720" s="1033"/>
      <c r="L1720" s="1034"/>
      <c r="M1720" s="1035"/>
      <c r="N1720" s="1035"/>
      <c r="O1720" s="1036"/>
      <c r="P1720" s="1033"/>
      <c r="Q1720" s="1033"/>
      <c r="R1720" s="1034"/>
      <c r="S1720" s="1033"/>
      <c r="T1720" s="1035"/>
      <c r="U1720" s="1034"/>
      <c r="V1720" s="1035"/>
      <c r="W1720" s="1035"/>
      <c r="X1720" s="1037"/>
      <c r="Y1720" s="1035"/>
      <c r="Z1720" s="1035">
        <f t="shared" si="380"/>
        <v>6</v>
      </c>
      <c r="AA1720" s="1035"/>
      <c r="AB1720" s="1033"/>
      <c r="AC1720" s="1021">
        <v>614005</v>
      </c>
      <c r="AD1720" s="1021" t="s">
        <v>826</v>
      </c>
      <c r="AE1720" s="1022">
        <v>0</v>
      </c>
      <c r="AF1720" s="1022"/>
      <c r="AG1720" s="1022">
        <f t="shared" si="381"/>
        <v>0</v>
      </c>
      <c r="AH1720" s="1022">
        <f t="shared" si="382"/>
        <v>0</v>
      </c>
      <c r="AK1720" s="448"/>
      <c r="AL1720" s="445"/>
    </row>
    <row r="1721" spans="1:38" s="467" customFormat="1" ht="12.75" customHeight="1">
      <c r="A1721" s="1033"/>
      <c r="B1721" s="1033"/>
      <c r="C1721" s="1034"/>
      <c r="D1721" s="1033"/>
      <c r="E1721" s="1033"/>
      <c r="F1721" s="1034"/>
      <c r="G1721" s="1033"/>
      <c r="H1721" s="1033"/>
      <c r="I1721" s="1034"/>
      <c r="J1721" s="1033"/>
      <c r="K1721" s="1033"/>
      <c r="L1721" s="1034"/>
      <c r="M1721" s="1035"/>
      <c r="N1721" s="1035"/>
      <c r="O1721" s="1036"/>
      <c r="P1721" s="1033"/>
      <c r="Q1721" s="1033"/>
      <c r="R1721" s="1034"/>
      <c r="S1721" s="1033"/>
      <c r="T1721" s="1035"/>
      <c r="U1721" s="1034"/>
      <c r="V1721" s="1035"/>
      <c r="W1721" s="1035"/>
      <c r="X1721" s="1037"/>
      <c r="Y1721" s="1035"/>
      <c r="Z1721" s="1035">
        <f t="shared" si="380"/>
        <v>6</v>
      </c>
      <c r="AA1721" s="1035"/>
      <c r="AB1721" s="1033"/>
      <c r="AC1721" s="1021">
        <v>614006</v>
      </c>
      <c r="AD1721" s="1021" t="s">
        <v>650</v>
      </c>
      <c r="AE1721" s="1022">
        <v>0</v>
      </c>
      <c r="AF1721" s="1022"/>
      <c r="AG1721" s="1022">
        <f t="shared" si="381"/>
        <v>0</v>
      </c>
      <c r="AH1721" s="1022">
        <f t="shared" si="382"/>
        <v>0</v>
      </c>
      <c r="AK1721" s="448"/>
      <c r="AL1721" s="445"/>
    </row>
    <row r="1722" spans="1:38" s="467" customFormat="1" ht="12.75" customHeight="1">
      <c r="A1722" s="1033">
        <v>5315100</v>
      </c>
      <c r="B1722" s="1033" t="s">
        <v>1172</v>
      </c>
      <c r="C1722" s="1034"/>
      <c r="D1722" s="1033"/>
      <c r="E1722" s="1033"/>
      <c r="F1722" s="1034"/>
      <c r="G1722" s="1033"/>
      <c r="H1722" s="1033"/>
      <c r="I1722" s="1034"/>
      <c r="J1722" s="1033"/>
      <c r="K1722" s="1033"/>
      <c r="L1722" s="1034"/>
      <c r="M1722" s="1035"/>
      <c r="N1722" s="1035"/>
      <c r="O1722" s="1036"/>
      <c r="P1722" s="1033"/>
      <c r="Q1722" s="1033"/>
      <c r="R1722" s="1034"/>
      <c r="S1722" s="1033"/>
      <c r="T1722" s="1035"/>
      <c r="U1722" s="1034"/>
      <c r="V1722" s="1035"/>
      <c r="W1722" s="1035"/>
      <c r="X1722" s="1037"/>
      <c r="Y1722" s="1035"/>
      <c r="Z1722" s="1035">
        <f t="shared" si="380"/>
        <v>6</v>
      </c>
      <c r="AA1722" s="1033">
        <v>36</v>
      </c>
      <c r="AB1722" s="1033"/>
      <c r="AC1722" s="1021">
        <v>614007</v>
      </c>
      <c r="AD1722" s="1021" t="s">
        <v>1295</v>
      </c>
      <c r="AE1722" s="1022">
        <f>VLOOKUP(AC1722,[5]Hoja1!$A$10:$K$1393,11,0)</f>
        <v>0</v>
      </c>
      <c r="AF1722" s="1022"/>
      <c r="AG1722" s="1022">
        <f t="shared" si="381"/>
        <v>0</v>
      </c>
      <c r="AH1722" s="1022">
        <f t="shared" si="382"/>
        <v>0</v>
      </c>
      <c r="AK1722" s="448"/>
      <c r="AL1722" s="445"/>
    </row>
    <row r="1723" spans="1:38" s="467" customFormat="1" ht="12.75" customHeight="1">
      <c r="A1723" s="1033"/>
      <c r="B1723" s="1033"/>
      <c r="C1723" s="1034"/>
      <c r="D1723" s="1033"/>
      <c r="E1723" s="1033"/>
      <c r="F1723" s="1034"/>
      <c r="G1723" s="1033"/>
      <c r="H1723" s="1033"/>
      <c r="I1723" s="1034"/>
      <c r="J1723" s="1033"/>
      <c r="K1723" s="1033"/>
      <c r="L1723" s="1034"/>
      <c r="M1723" s="1035"/>
      <c r="N1723" s="1035"/>
      <c r="O1723" s="1036"/>
      <c r="P1723" s="1033"/>
      <c r="Q1723" s="1033"/>
      <c r="R1723" s="1034"/>
      <c r="S1723" s="1033"/>
      <c r="T1723" s="1035"/>
      <c r="U1723" s="1034"/>
      <c r="V1723" s="1035"/>
      <c r="W1723" s="1035"/>
      <c r="X1723" s="1037"/>
      <c r="Y1723" s="1035"/>
      <c r="Z1723" s="1035">
        <f t="shared" si="380"/>
        <v>6</v>
      </c>
      <c r="AA1723" s="1035"/>
      <c r="AB1723" s="1033"/>
      <c r="AC1723" s="1021">
        <v>614008</v>
      </c>
      <c r="AD1723" s="1021" t="s">
        <v>1296</v>
      </c>
      <c r="AE1723" s="1022">
        <v>0</v>
      </c>
      <c r="AF1723" s="1022"/>
      <c r="AG1723" s="1022">
        <f t="shared" si="381"/>
        <v>0</v>
      </c>
      <c r="AH1723" s="1022">
        <f t="shared" si="382"/>
        <v>0</v>
      </c>
      <c r="AK1723" s="448"/>
      <c r="AL1723" s="445"/>
    </row>
    <row r="1724" spans="1:38" s="467" customFormat="1" ht="12.75" customHeight="1">
      <c r="A1724" s="1033"/>
      <c r="B1724" s="1033"/>
      <c r="C1724" s="1034"/>
      <c r="D1724" s="1033"/>
      <c r="E1724" s="1033"/>
      <c r="F1724" s="1034"/>
      <c r="G1724" s="1033"/>
      <c r="H1724" s="1033"/>
      <c r="I1724" s="1034"/>
      <c r="J1724" s="1033"/>
      <c r="K1724" s="1033"/>
      <c r="L1724" s="1034"/>
      <c r="M1724" s="1035"/>
      <c r="N1724" s="1035"/>
      <c r="O1724" s="1036"/>
      <c r="P1724" s="1033"/>
      <c r="Q1724" s="1033"/>
      <c r="R1724" s="1034"/>
      <c r="S1724" s="1033"/>
      <c r="T1724" s="1035"/>
      <c r="U1724" s="1034"/>
      <c r="V1724" s="1035"/>
      <c r="W1724" s="1035"/>
      <c r="X1724" s="1037"/>
      <c r="Y1724" s="1035"/>
      <c r="Z1724" s="1035">
        <f t="shared" si="380"/>
        <v>6</v>
      </c>
      <c r="AA1724" s="1035"/>
      <c r="AB1724" s="1033"/>
      <c r="AC1724" s="1021">
        <v>614009</v>
      </c>
      <c r="AD1724" s="1021" t="s">
        <v>1297</v>
      </c>
      <c r="AE1724" s="1022">
        <v>0</v>
      </c>
      <c r="AF1724" s="1022"/>
      <c r="AG1724" s="1022">
        <f t="shared" si="381"/>
        <v>0</v>
      </c>
      <c r="AH1724" s="1022">
        <f t="shared" si="382"/>
        <v>0</v>
      </c>
      <c r="AK1724" s="448"/>
      <c r="AL1724" s="445"/>
    </row>
    <row r="1725" spans="1:38" s="467" customFormat="1" ht="12.75" customHeight="1">
      <c r="A1725" s="1033">
        <v>5315100</v>
      </c>
      <c r="B1725" s="1033" t="s">
        <v>1172</v>
      </c>
      <c r="C1725" s="1034"/>
      <c r="D1725" s="1033"/>
      <c r="E1725" s="1033"/>
      <c r="F1725" s="1034"/>
      <c r="G1725" s="1033"/>
      <c r="H1725" s="1033"/>
      <c r="I1725" s="1034"/>
      <c r="J1725" s="1033"/>
      <c r="K1725" s="1033"/>
      <c r="L1725" s="1034"/>
      <c r="M1725" s="1035"/>
      <c r="N1725" s="1035"/>
      <c r="O1725" s="1036"/>
      <c r="P1725" s="1033"/>
      <c r="Q1725" s="1033"/>
      <c r="R1725" s="1034"/>
      <c r="S1725" s="1033"/>
      <c r="T1725" s="1035"/>
      <c r="U1725" s="1034"/>
      <c r="V1725" s="1035"/>
      <c r="W1725" s="1035"/>
      <c r="X1725" s="1037"/>
      <c r="Y1725" s="1035"/>
      <c r="Z1725" s="1035">
        <f t="shared" si="380"/>
        <v>6</v>
      </c>
      <c r="AA1725" s="1033">
        <v>36</v>
      </c>
      <c r="AB1725" s="1033"/>
      <c r="AC1725" s="1021">
        <v>614010</v>
      </c>
      <c r="AD1725" s="1021" t="s">
        <v>132</v>
      </c>
      <c r="AE1725" s="1022">
        <f>VLOOKUP(AC1725,[5]Hoja1!$A$10:$K$1393,11,0)</f>
        <v>0</v>
      </c>
      <c r="AF1725" s="1022"/>
      <c r="AG1725" s="1022">
        <f t="shared" si="381"/>
        <v>0</v>
      </c>
      <c r="AH1725" s="1022">
        <f t="shared" si="382"/>
        <v>0</v>
      </c>
      <c r="AK1725" s="448"/>
      <c r="AL1725" s="445"/>
    </row>
    <row r="1726" spans="1:38" s="467" customFormat="1" ht="12.75" customHeight="1">
      <c r="A1726" s="1033"/>
      <c r="B1726" s="1033"/>
      <c r="C1726" s="1034"/>
      <c r="D1726" s="1033"/>
      <c r="E1726" s="1033"/>
      <c r="F1726" s="1034"/>
      <c r="G1726" s="1033"/>
      <c r="H1726" s="1033"/>
      <c r="I1726" s="1034"/>
      <c r="J1726" s="1033"/>
      <c r="K1726" s="1033"/>
      <c r="L1726" s="1034"/>
      <c r="M1726" s="1035"/>
      <c r="N1726" s="1035"/>
      <c r="O1726" s="1036"/>
      <c r="P1726" s="1033"/>
      <c r="Q1726" s="1033"/>
      <c r="R1726" s="1034"/>
      <c r="S1726" s="1033"/>
      <c r="T1726" s="1035"/>
      <c r="U1726" s="1034"/>
      <c r="V1726" s="1035"/>
      <c r="W1726" s="1035"/>
      <c r="X1726" s="1037"/>
      <c r="Y1726" s="1035"/>
      <c r="Z1726" s="1035">
        <f t="shared" si="380"/>
        <v>6</v>
      </c>
      <c r="AA1726" s="1035"/>
      <c r="AB1726" s="1033"/>
      <c r="AC1726" s="1021">
        <v>614011</v>
      </c>
      <c r="AD1726" s="1021" t="s">
        <v>1221</v>
      </c>
      <c r="AE1726" s="1022">
        <v>0</v>
      </c>
      <c r="AF1726" s="1022"/>
      <c r="AG1726" s="1022">
        <f t="shared" si="381"/>
        <v>0</v>
      </c>
      <c r="AH1726" s="1022">
        <f t="shared" si="382"/>
        <v>0</v>
      </c>
      <c r="AK1726" s="448"/>
      <c r="AL1726" s="445"/>
    </row>
    <row r="1727" spans="1:38" s="467" customFormat="1" ht="12.75" customHeight="1">
      <c r="A1727" s="1033"/>
      <c r="B1727" s="1033"/>
      <c r="C1727" s="1034"/>
      <c r="D1727" s="1033"/>
      <c r="E1727" s="1033"/>
      <c r="F1727" s="1034"/>
      <c r="G1727" s="1033"/>
      <c r="H1727" s="1033"/>
      <c r="I1727" s="1034"/>
      <c r="J1727" s="1033"/>
      <c r="K1727" s="1033"/>
      <c r="L1727" s="1034"/>
      <c r="M1727" s="1035"/>
      <c r="N1727" s="1035"/>
      <c r="O1727" s="1036"/>
      <c r="P1727" s="1033"/>
      <c r="Q1727" s="1033"/>
      <c r="R1727" s="1034"/>
      <c r="S1727" s="1033"/>
      <c r="T1727" s="1035"/>
      <c r="U1727" s="1034"/>
      <c r="V1727" s="1035"/>
      <c r="W1727" s="1035"/>
      <c r="X1727" s="1037"/>
      <c r="Y1727" s="1035"/>
      <c r="Z1727" s="1035">
        <f t="shared" si="380"/>
        <v>6</v>
      </c>
      <c r="AA1727" s="1035"/>
      <c r="AB1727" s="1033"/>
      <c r="AC1727" s="1021">
        <v>614012</v>
      </c>
      <c r="AD1727" s="1021" t="s">
        <v>2515</v>
      </c>
      <c r="AE1727" s="1022">
        <v>0</v>
      </c>
      <c r="AF1727" s="1022"/>
      <c r="AG1727" s="1022">
        <f t="shared" si="381"/>
        <v>0</v>
      </c>
      <c r="AH1727" s="1022">
        <f t="shared" si="382"/>
        <v>0</v>
      </c>
      <c r="AK1727" s="448"/>
      <c r="AL1727" s="445"/>
    </row>
    <row r="1728" spans="1:38" s="467" customFormat="1" ht="12.75" customHeight="1">
      <c r="A1728" s="1033"/>
      <c r="B1728" s="1033"/>
      <c r="C1728" s="1034"/>
      <c r="D1728" s="1033"/>
      <c r="E1728" s="1033"/>
      <c r="F1728" s="1034"/>
      <c r="G1728" s="1033"/>
      <c r="H1728" s="1033"/>
      <c r="I1728" s="1034"/>
      <c r="J1728" s="1033"/>
      <c r="K1728" s="1033"/>
      <c r="L1728" s="1034"/>
      <c r="M1728" s="1035"/>
      <c r="N1728" s="1035"/>
      <c r="O1728" s="1036"/>
      <c r="P1728" s="1033"/>
      <c r="Q1728" s="1033"/>
      <c r="R1728" s="1034"/>
      <c r="S1728" s="1033"/>
      <c r="T1728" s="1035"/>
      <c r="U1728" s="1034"/>
      <c r="V1728" s="1035"/>
      <c r="W1728" s="1035"/>
      <c r="X1728" s="1037"/>
      <c r="Y1728" s="1035"/>
      <c r="Z1728" s="1035">
        <f t="shared" si="380"/>
        <v>6</v>
      </c>
      <c r="AA1728" s="1035"/>
      <c r="AB1728" s="1033"/>
      <c r="AC1728" s="1021">
        <v>614013</v>
      </c>
      <c r="AD1728" s="1021" t="s">
        <v>2516</v>
      </c>
      <c r="AE1728" s="1022">
        <v>0</v>
      </c>
      <c r="AF1728" s="1022"/>
      <c r="AG1728" s="1022">
        <f t="shared" si="381"/>
        <v>0</v>
      </c>
      <c r="AH1728" s="1022">
        <f t="shared" si="382"/>
        <v>0</v>
      </c>
      <c r="AK1728" s="448"/>
      <c r="AL1728" s="445"/>
    </row>
    <row r="1729" spans="1:38" s="467" customFormat="1" ht="12.75" customHeight="1">
      <c r="A1729" s="1033">
        <v>5315100</v>
      </c>
      <c r="B1729" s="1033" t="s">
        <v>1172</v>
      </c>
      <c r="C1729" s="1034"/>
      <c r="D1729" s="1033"/>
      <c r="E1729" s="1033"/>
      <c r="F1729" s="1034"/>
      <c r="G1729" s="1033"/>
      <c r="H1729" s="1033"/>
      <c r="I1729" s="1034"/>
      <c r="J1729" s="1033"/>
      <c r="K1729" s="1033"/>
      <c r="L1729" s="1034"/>
      <c r="M1729" s="1035"/>
      <c r="N1729" s="1035"/>
      <c r="O1729" s="1036"/>
      <c r="P1729" s="1033"/>
      <c r="Q1729" s="1033"/>
      <c r="R1729" s="1034"/>
      <c r="S1729" s="1033"/>
      <c r="T1729" s="1035"/>
      <c r="U1729" s="1034"/>
      <c r="V1729" s="1035"/>
      <c r="W1729" s="1035"/>
      <c r="X1729" s="1037"/>
      <c r="Y1729" s="1035"/>
      <c r="Z1729" s="1035">
        <f t="shared" si="380"/>
        <v>6</v>
      </c>
      <c r="AA1729" s="1033">
        <v>36</v>
      </c>
      <c r="AB1729" s="1033"/>
      <c r="AC1729" s="1021">
        <v>615001</v>
      </c>
      <c r="AD1729" s="1021" t="s">
        <v>2517</v>
      </c>
      <c r="AE1729" s="1022">
        <f>VLOOKUP(AC1729,[5]Hoja1!$A$10:$K$1393,11,0)</f>
        <v>0</v>
      </c>
      <c r="AF1729" s="1022"/>
      <c r="AG1729" s="1022">
        <f t="shared" si="381"/>
        <v>0</v>
      </c>
      <c r="AH1729" s="1022">
        <f t="shared" si="382"/>
        <v>0</v>
      </c>
      <c r="AK1729" s="448"/>
      <c r="AL1729" s="445"/>
    </row>
    <row r="1730" spans="1:38" s="467" customFormat="1" ht="12.75" customHeight="1">
      <c r="A1730" s="1033"/>
      <c r="B1730" s="1033"/>
      <c r="C1730" s="1034"/>
      <c r="D1730" s="1033"/>
      <c r="E1730" s="1033"/>
      <c r="F1730" s="1034"/>
      <c r="G1730" s="1033"/>
      <c r="H1730" s="1033"/>
      <c r="I1730" s="1034"/>
      <c r="J1730" s="1033"/>
      <c r="K1730" s="1033"/>
      <c r="L1730" s="1034"/>
      <c r="M1730" s="1035"/>
      <c r="N1730" s="1035"/>
      <c r="O1730" s="1036"/>
      <c r="P1730" s="1033"/>
      <c r="Q1730" s="1033"/>
      <c r="R1730" s="1034"/>
      <c r="S1730" s="1033"/>
      <c r="T1730" s="1035"/>
      <c r="U1730" s="1034"/>
      <c r="V1730" s="1035"/>
      <c r="W1730" s="1035"/>
      <c r="X1730" s="1037"/>
      <c r="Y1730" s="1035"/>
      <c r="Z1730" s="1035">
        <f t="shared" si="380"/>
        <v>6</v>
      </c>
      <c r="AA1730" s="1035"/>
      <c r="AB1730" s="1033"/>
      <c r="AC1730" s="1021">
        <v>615002</v>
      </c>
      <c r="AD1730" s="1021" t="s">
        <v>1732</v>
      </c>
      <c r="AE1730" s="1022">
        <v>0</v>
      </c>
      <c r="AF1730" s="1022"/>
      <c r="AG1730" s="1022">
        <f t="shared" si="381"/>
        <v>0</v>
      </c>
      <c r="AH1730" s="1022">
        <f t="shared" si="382"/>
        <v>0</v>
      </c>
      <c r="AK1730" s="448"/>
      <c r="AL1730" s="445"/>
    </row>
    <row r="1731" spans="1:38" s="467" customFormat="1" ht="12.75" customHeight="1">
      <c r="A1731" s="1033"/>
      <c r="B1731" s="1033"/>
      <c r="C1731" s="1034"/>
      <c r="D1731" s="1033"/>
      <c r="E1731" s="1033"/>
      <c r="F1731" s="1034"/>
      <c r="G1731" s="1033"/>
      <c r="H1731" s="1033"/>
      <c r="I1731" s="1034"/>
      <c r="J1731" s="1033"/>
      <c r="K1731" s="1033"/>
      <c r="L1731" s="1034"/>
      <c r="M1731" s="1035"/>
      <c r="N1731" s="1035"/>
      <c r="O1731" s="1036"/>
      <c r="P1731" s="1033"/>
      <c r="Q1731" s="1033"/>
      <c r="R1731" s="1034"/>
      <c r="S1731" s="1033"/>
      <c r="T1731" s="1035"/>
      <c r="U1731" s="1034"/>
      <c r="V1731" s="1035"/>
      <c r="W1731" s="1035"/>
      <c r="X1731" s="1037"/>
      <c r="Y1731" s="1035"/>
      <c r="Z1731" s="1035">
        <f t="shared" si="380"/>
        <v>6</v>
      </c>
      <c r="AA1731" s="1035"/>
      <c r="AB1731" s="1033"/>
      <c r="AC1731" s="1021">
        <v>615003</v>
      </c>
      <c r="AD1731" s="1021" t="s">
        <v>1733</v>
      </c>
      <c r="AE1731" s="1022">
        <v>0</v>
      </c>
      <c r="AF1731" s="1022"/>
      <c r="AG1731" s="1022">
        <f t="shared" si="381"/>
        <v>0</v>
      </c>
      <c r="AH1731" s="1022">
        <f t="shared" si="382"/>
        <v>0</v>
      </c>
      <c r="AK1731" s="448"/>
      <c r="AL1731" s="445"/>
    </row>
    <row r="1732" spans="1:38" s="467" customFormat="1" ht="12.75" customHeight="1">
      <c r="A1732" s="1033">
        <v>5312200</v>
      </c>
      <c r="B1732" s="1033" t="s">
        <v>998</v>
      </c>
      <c r="C1732" s="1034"/>
      <c r="D1732" s="1033"/>
      <c r="E1732" s="1033"/>
      <c r="F1732" s="1034"/>
      <c r="G1732" s="1033"/>
      <c r="H1732" s="1033"/>
      <c r="I1732" s="1034"/>
      <c r="J1732" s="1033"/>
      <c r="K1732" s="1033"/>
      <c r="L1732" s="1034"/>
      <c r="M1732" s="1035"/>
      <c r="N1732" s="1035"/>
      <c r="O1732" s="1036"/>
      <c r="P1732" s="1033"/>
      <c r="Q1732" s="1033"/>
      <c r="R1732" s="1034"/>
      <c r="S1732" s="1033"/>
      <c r="T1732" s="1035"/>
      <c r="U1732" s="1034"/>
      <c r="V1732" s="1035"/>
      <c r="W1732" s="1035"/>
      <c r="X1732" s="1037"/>
      <c r="Y1732" s="1035"/>
      <c r="Z1732" s="1035">
        <f t="shared" si="380"/>
        <v>6</v>
      </c>
      <c r="AA1732" s="1035"/>
      <c r="AB1732" s="1033" t="s">
        <v>2991</v>
      </c>
      <c r="AC1732" s="1021">
        <v>615004</v>
      </c>
      <c r="AD1732" s="1021" t="s">
        <v>2518</v>
      </c>
      <c r="AE1732" s="1022">
        <f>VLOOKUP(AC1732,[5]Hoja1!$A$10:$K$1393,11,0)</f>
        <v>1436540</v>
      </c>
      <c r="AF1732" s="1022"/>
      <c r="AG1732" s="1022">
        <f t="shared" si="381"/>
        <v>1436540</v>
      </c>
      <c r="AH1732" s="1022">
        <f t="shared" si="382"/>
        <v>1437</v>
      </c>
      <c r="AK1732" s="448"/>
      <c r="AL1732" s="445"/>
    </row>
    <row r="1733" spans="1:38" s="467" customFormat="1" ht="12.75" customHeight="1">
      <c r="A1733" s="1033"/>
      <c r="B1733" s="1033"/>
      <c r="C1733" s="1034"/>
      <c r="D1733" s="1033"/>
      <c r="E1733" s="1033"/>
      <c r="F1733" s="1034"/>
      <c r="G1733" s="1033"/>
      <c r="H1733" s="1033"/>
      <c r="I1733" s="1034"/>
      <c r="J1733" s="1033"/>
      <c r="K1733" s="1033"/>
      <c r="L1733" s="1034"/>
      <c r="M1733" s="1035"/>
      <c r="N1733" s="1035"/>
      <c r="O1733" s="1036"/>
      <c r="P1733" s="1033"/>
      <c r="Q1733" s="1033"/>
      <c r="R1733" s="1034"/>
      <c r="S1733" s="1033"/>
      <c r="T1733" s="1035"/>
      <c r="U1733" s="1034"/>
      <c r="V1733" s="1035"/>
      <c r="W1733" s="1035"/>
      <c r="X1733" s="1037"/>
      <c r="Y1733" s="1035"/>
      <c r="Z1733" s="1035">
        <f t="shared" si="380"/>
        <v>6</v>
      </c>
      <c r="AA1733" s="1035"/>
      <c r="AB1733" s="1033"/>
      <c r="AC1733" s="1021">
        <v>615005</v>
      </c>
      <c r="AD1733" s="1021" t="s">
        <v>2519</v>
      </c>
      <c r="AE1733" s="1022">
        <v>0</v>
      </c>
      <c r="AF1733" s="1022"/>
      <c r="AG1733" s="1022">
        <f t="shared" si="381"/>
        <v>0</v>
      </c>
      <c r="AH1733" s="1022">
        <f t="shared" si="382"/>
        <v>0</v>
      </c>
      <c r="AK1733" s="448"/>
      <c r="AL1733" s="445"/>
    </row>
    <row r="1734" spans="1:38" s="467" customFormat="1" ht="12.75" customHeight="1">
      <c r="A1734" s="1033">
        <v>5315100</v>
      </c>
      <c r="B1734" s="1033" t="s">
        <v>1172</v>
      </c>
      <c r="C1734" s="1034" t="str">
        <f t="shared" ref="C1734:C1740" si="383">+D1734&amp;E1734</f>
        <v/>
      </c>
      <c r="D1734" s="1033"/>
      <c r="E1734" s="1033"/>
      <c r="F1734" s="1034" t="str">
        <f t="shared" ref="F1734:F1740" si="384">+G1734&amp;H1734</f>
        <v/>
      </c>
      <c r="G1734" s="1033"/>
      <c r="H1734" s="1033"/>
      <c r="I1734" s="1034" t="str">
        <f t="shared" ref="I1734:I1740" si="385">+J1734&amp;K1734</f>
        <v/>
      </c>
      <c r="J1734" s="1033"/>
      <c r="K1734" s="1033"/>
      <c r="L1734" s="1034" t="str">
        <f t="shared" ref="L1734:L1740" si="386">+M1734&amp;N1734</f>
        <v/>
      </c>
      <c r="M1734" s="1035"/>
      <c r="N1734" s="1035"/>
      <c r="O1734" s="1036" t="str">
        <f t="shared" ref="O1734:O1740" si="387">+P1734&amp;Q1734</f>
        <v/>
      </c>
      <c r="P1734" s="1033"/>
      <c r="Q1734" s="1033"/>
      <c r="R1734" s="1034" t="str">
        <f t="shared" ref="R1734:R1740" si="388">+S1734&amp;T1734</f>
        <v/>
      </c>
      <c r="S1734" s="1033"/>
      <c r="T1734" s="1035"/>
      <c r="U1734" s="1034" t="str">
        <f t="shared" ref="U1734:U1740" si="389">+V1734&amp;W1734</f>
        <v/>
      </c>
      <c r="V1734" s="1035"/>
      <c r="W1734" s="1035"/>
      <c r="X1734" s="1037" t="str">
        <f t="shared" ref="X1734:X1740" si="390">+Y1734&amp;Z1734</f>
        <v>7</v>
      </c>
      <c r="Y1734" s="1035"/>
      <c r="Z1734" s="1035">
        <f t="shared" si="380"/>
        <v>7</v>
      </c>
      <c r="AA1734" s="1033">
        <v>36</v>
      </c>
      <c r="AB1734" s="1033" t="s">
        <v>1172</v>
      </c>
      <c r="AC1734" s="1021">
        <v>710001</v>
      </c>
      <c r="AD1734" s="1021" t="s">
        <v>2520</v>
      </c>
      <c r="AE1734" s="1022">
        <f>VLOOKUP(AC1734,[5]Hoja1!$A$10:$K$1393,11,0)</f>
        <v>0</v>
      </c>
      <c r="AF1734" s="1022"/>
      <c r="AG1734" s="1022">
        <f t="shared" si="381"/>
        <v>0</v>
      </c>
      <c r="AH1734" s="1022">
        <f t="shared" si="382"/>
        <v>0</v>
      </c>
      <c r="AK1734" s="448"/>
      <c r="AL1734" s="445"/>
    </row>
    <row r="1735" spans="1:38" s="467" customFormat="1" ht="12.75" customHeight="1">
      <c r="A1735" s="1033">
        <v>5316200</v>
      </c>
      <c r="B1735" s="1033" t="s">
        <v>2843</v>
      </c>
      <c r="C1735" s="1034" t="str">
        <f t="shared" si="383"/>
        <v/>
      </c>
      <c r="D1735" s="1033"/>
      <c r="E1735" s="1033"/>
      <c r="F1735" s="1034" t="str">
        <f t="shared" si="384"/>
        <v/>
      </c>
      <c r="G1735" s="1033"/>
      <c r="H1735" s="1033"/>
      <c r="I1735" s="1034" t="str">
        <f t="shared" si="385"/>
        <v/>
      </c>
      <c r="J1735" s="1033"/>
      <c r="K1735" s="1033"/>
      <c r="L1735" s="1034" t="str">
        <f t="shared" si="386"/>
        <v/>
      </c>
      <c r="M1735" s="1035"/>
      <c r="N1735" s="1035"/>
      <c r="O1735" s="1036" t="str">
        <f t="shared" si="387"/>
        <v/>
      </c>
      <c r="P1735" s="1033"/>
      <c r="Q1735" s="1033"/>
      <c r="R1735" s="1034" t="str">
        <f t="shared" si="388"/>
        <v/>
      </c>
      <c r="S1735" s="1033"/>
      <c r="T1735" s="1035"/>
      <c r="U1735" s="1034" t="str">
        <f t="shared" si="389"/>
        <v/>
      </c>
      <c r="V1735" s="1035"/>
      <c r="W1735" s="1035"/>
      <c r="X1735" s="1037" t="str">
        <f t="shared" si="390"/>
        <v>7</v>
      </c>
      <c r="Y1735" s="1035"/>
      <c r="Z1735" s="1035">
        <f t="shared" si="380"/>
        <v>7</v>
      </c>
      <c r="AA1735" s="1033"/>
      <c r="AB1735" s="1033"/>
      <c r="AC1735" s="1021">
        <v>710002</v>
      </c>
      <c r="AD1735" s="1021" t="s">
        <v>1177</v>
      </c>
      <c r="AE1735" s="1022">
        <f>VLOOKUP(AC1735,[5]Hoja1!$A$10:$K$1393,11,0)</f>
        <v>430244430</v>
      </c>
      <c r="AF1735" s="1022"/>
      <c r="AG1735" s="1022">
        <f t="shared" si="381"/>
        <v>430244430</v>
      </c>
      <c r="AH1735" s="1022">
        <f t="shared" si="382"/>
        <v>430244</v>
      </c>
      <c r="AK1735" s="448"/>
      <c r="AL1735" s="445"/>
    </row>
    <row r="1736" spans="1:38" s="467" customFormat="1" ht="12.75" customHeight="1">
      <c r="A1736" s="1033">
        <v>5316100</v>
      </c>
      <c r="B1736" s="1033" t="s">
        <v>378</v>
      </c>
      <c r="C1736" s="1034" t="str">
        <f t="shared" si="383"/>
        <v/>
      </c>
      <c r="D1736" s="1033"/>
      <c r="E1736" s="1033"/>
      <c r="F1736" s="1034" t="str">
        <f t="shared" si="384"/>
        <v/>
      </c>
      <c r="G1736" s="1033"/>
      <c r="H1736" s="1033"/>
      <c r="I1736" s="1034" t="str">
        <f t="shared" si="385"/>
        <v/>
      </c>
      <c r="J1736" s="1033"/>
      <c r="K1736" s="1033"/>
      <c r="L1736" s="1034" t="str">
        <f t="shared" si="386"/>
        <v/>
      </c>
      <c r="M1736" s="1035"/>
      <c r="N1736" s="1035"/>
      <c r="O1736" s="1036" t="str">
        <f t="shared" si="387"/>
        <v/>
      </c>
      <c r="P1736" s="1033"/>
      <c r="Q1736" s="1033"/>
      <c r="R1736" s="1034" t="str">
        <f t="shared" si="388"/>
        <v/>
      </c>
      <c r="S1736" s="1033"/>
      <c r="T1736" s="1035"/>
      <c r="U1736" s="1034" t="str">
        <f t="shared" si="389"/>
        <v/>
      </c>
      <c r="V1736" s="1035"/>
      <c r="W1736" s="1035"/>
      <c r="X1736" s="1037" t="str">
        <f t="shared" si="390"/>
        <v>7</v>
      </c>
      <c r="Y1736" s="1035"/>
      <c r="Z1736" s="1035">
        <f t="shared" si="380"/>
        <v>7</v>
      </c>
      <c r="AA1736" s="1035">
        <v>38</v>
      </c>
      <c r="AB1736" s="1033" t="s">
        <v>1457</v>
      </c>
      <c r="AC1736" s="1021">
        <v>710003</v>
      </c>
      <c r="AD1736" s="1021" t="s">
        <v>1785</v>
      </c>
      <c r="AE1736" s="1022">
        <f>VLOOKUP(AC1736,[5]Hoja1!$A$10:$K$1393,11,0)</f>
        <v>-22506</v>
      </c>
      <c r="AF1736" s="1022"/>
      <c r="AG1736" s="1022">
        <f t="shared" si="381"/>
        <v>-22506</v>
      </c>
      <c r="AH1736" s="1022">
        <f t="shared" si="382"/>
        <v>-23</v>
      </c>
      <c r="AK1736" s="448"/>
      <c r="AL1736" s="445"/>
    </row>
    <row r="1737" spans="1:38" s="467" customFormat="1" ht="12.75" customHeight="1">
      <c r="A1737" s="1033">
        <v>5315100</v>
      </c>
      <c r="B1737" s="1033" t="s">
        <v>1172</v>
      </c>
      <c r="C1737" s="1034" t="str">
        <f t="shared" si="383"/>
        <v/>
      </c>
      <c r="D1737" s="1033"/>
      <c r="E1737" s="1033"/>
      <c r="F1737" s="1034" t="str">
        <f t="shared" si="384"/>
        <v/>
      </c>
      <c r="G1737" s="1033"/>
      <c r="H1737" s="1033"/>
      <c r="I1737" s="1034" t="str">
        <f t="shared" si="385"/>
        <v/>
      </c>
      <c r="J1737" s="1033"/>
      <c r="K1737" s="1033"/>
      <c r="L1737" s="1034" t="str">
        <f t="shared" si="386"/>
        <v/>
      </c>
      <c r="M1737" s="1035"/>
      <c r="N1737" s="1035"/>
      <c r="O1737" s="1036" t="str">
        <f t="shared" si="387"/>
        <v/>
      </c>
      <c r="P1737" s="1033"/>
      <c r="Q1737" s="1033"/>
      <c r="R1737" s="1034" t="str">
        <f t="shared" si="388"/>
        <v/>
      </c>
      <c r="S1737" s="1033"/>
      <c r="T1737" s="1035"/>
      <c r="U1737" s="1034" t="str">
        <f t="shared" si="389"/>
        <v/>
      </c>
      <c r="V1737" s="1035"/>
      <c r="W1737" s="1035"/>
      <c r="X1737" s="1037" t="str">
        <f t="shared" si="390"/>
        <v>7</v>
      </c>
      <c r="Y1737" s="1035"/>
      <c r="Z1737" s="1035">
        <f t="shared" si="380"/>
        <v>7</v>
      </c>
      <c r="AA1737" s="1033">
        <v>36</v>
      </c>
      <c r="AB1737" s="1033" t="s">
        <v>1172</v>
      </c>
      <c r="AC1737" s="1021">
        <v>710004</v>
      </c>
      <c r="AD1737" s="1021" t="s">
        <v>1014</v>
      </c>
      <c r="AE1737" s="1022">
        <f>VLOOKUP(AC1737,[5]Hoja1!$A$10:$K$1393,11,0)</f>
        <v>0</v>
      </c>
      <c r="AF1737" s="1022"/>
      <c r="AG1737" s="1022">
        <f t="shared" si="381"/>
        <v>0</v>
      </c>
      <c r="AH1737" s="1022">
        <f t="shared" si="382"/>
        <v>0</v>
      </c>
      <c r="AK1737" s="448"/>
      <c r="AL1737" s="445"/>
    </row>
    <row r="1738" spans="1:38" s="467" customFormat="1" ht="12.75" customHeight="1">
      <c r="A1738" s="1033">
        <v>5315100</v>
      </c>
      <c r="B1738" s="1033" t="s">
        <v>1172</v>
      </c>
      <c r="C1738" s="1034" t="str">
        <f t="shared" si="383"/>
        <v/>
      </c>
      <c r="D1738" s="1033"/>
      <c r="E1738" s="1033"/>
      <c r="F1738" s="1034" t="str">
        <f t="shared" si="384"/>
        <v/>
      </c>
      <c r="G1738" s="1033"/>
      <c r="H1738" s="1033"/>
      <c r="I1738" s="1034" t="str">
        <f t="shared" si="385"/>
        <v/>
      </c>
      <c r="J1738" s="1033"/>
      <c r="K1738" s="1033"/>
      <c r="L1738" s="1034" t="str">
        <f t="shared" si="386"/>
        <v/>
      </c>
      <c r="M1738" s="1035"/>
      <c r="N1738" s="1035"/>
      <c r="O1738" s="1036" t="str">
        <f t="shared" si="387"/>
        <v/>
      </c>
      <c r="P1738" s="1033"/>
      <c r="Q1738" s="1033"/>
      <c r="R1738" s="1034" t="str">
        <f t="shared" si="388"/>
        <v/>
      </c>
      <c r="S1738" s="1033"/>
      <c r="T1738" s="1035"/>
      <c r="U1738" s="1034" t="str">
        <f t="shared" si="389"/>
        <v/>
      </c>
      <c r="V1738" s="1035"/>
      <c r="W1738" s="1035"/>
      <c r="X1738" s="1037" t="str">
        <f t="shared" si="390"/>
        <v>7</v>
      </c>
      <c r="Y1738" s="1035"/>
      <c r="Z1738" s="1035">
        <f t="shared" si="380"/>
        <v>7</v>
      </c>
      <c r="AA1738" s="1033">
        <v>36</v>
      </c>
      <c r="AB1738" s="1033" t="s">
        <v>1172</v>
      </c>
      <c r="AC1738" s="1021">
        <v>710005</v>
      </c>
      <c r="AD1738" s="1021" t="s">
        <v>316</v>
      </c>
      <c r="AE1738" s="1022">
        <f>VLOOKUP(AC1738,[5]Hoja1!$A$10:$K$1393,11,0)</f>
        <v>-923765379</v>
      </c>
      <c r="AF1738" s="1022"/>
      <c r="AG1738" s="1022">
        <f t="shared" si="381"/>
        <v>-923765379</v>
      </c>
      <c r="AH1738" s="1022">
        <f t="shared" si="382"/>
        <v>-923765</v>
      </c>
      <c r="AK1738" s="448"/>
      <c r="AL1738" s="445"/>
    </row>
    <row r="1739" spans="1:38" s="467" customFormat="1" ht="12.75" customHeight="1">
      <c r="A1739" s="1033"/>
      <c r="B1739" s="1033"/>
      <c r="C1739" s="1034" t="str">
        <f t="shared" si="383"/>
        <v/>
      </c>
      <c r="D1739" s="1033"/>
      <c r="E1739" s="1033"/>
      <c r="F1739" s="1034" t="str">
        <f t="shared" si="384"/>
        <v/>
      </c>
      <c r="G1739" s="1033"/>
      <c r="H1739" s="1033"/>
      <c r="I1739" s="1034" t="str">
        <f t="shared" si="385"/>
        <v/>
      </c>
      <c r="J1739" s="1033"/>
      <c r="K1739" s="1033"/>
      <c r="L1739" s="1034" t="str">
        <f t="shared" si="386"/>
        <v/>
      </c>
      <c r="M1739" s="1035"/>
      <c r="N1739" s="1035"/>
      <c r="O1739" s="1036" t="str">
        <f t="shared" si="387"/>
        <v/>
      </c>
      <c r="P1739" s="1033"/>
      <c r="Q1739" s="1033"/>
      <c r="R1739" s="1034" t="str">
        <f t="shared" si="388"/>
        <v/>
      </c>
      <c r="S1739" s="1033"/>
      <c r="T1739" s="1035"/>
      <c r="U1739" s="1034" t="str">
        <f t="shared" si="389"/>
        <v/>
      </c>
      <c r="V1739" s="1035"/>
      <c r="W1739" s="1035"/>
      <c r="X1739" s="1037" t="str">
        <f t="shared" si="390"/>
        <v>7</v>
      </c>
      <c r="Y1739" s="1035"/>
      <c r="Z1739" s="1035">
        <f t="shared" si="380"/>
        <v>7</v>
      </c>
      <c r="AA1739" s="1035"/>
      <c r="AB1739" s="1033"/>
      <c r="AC1739" s="1021">
        <v>710006</v>
      </c>
      <c r="AD1739" s="1021" t="s">
        <v>2521</v>
      </c>
      <c r="AE1739" s="1022">
        <v>0</v>
      </c>
      <c r="AF1739" s="1022"/>
      <c r="AG1739" s="1022">
        <f t="shared" si="381"/>
        <v>0</v>
      </c>
      <c r="AH1739" s="1022">
        <f t="shared" si="382"/>
        <v>0</v>
      </c>
      <c r="AK1739" s="448"/>
      <c r="AL1739" s="445"/>
    </row>
    <row r="1740" spans="1:38" s="467" customFormat="1" ht="12.75" customHeight="1">
      <c r="A1740" s="1033">
        <v>5316100</v>
      </c>
      <c r="B1740" s="1033" t="s">
        <v>378</v>
      </c>
      <c r="C1740" s="1034" t="str">
        <f t="shared" si="383"/>
        <v/>
      </c>
      <c r="D1740" s="1033"/>
      <c r="E1740" s="1033"/>
      <c r="F1740" s="1034" t="str">
        <f t="shared" si="384"/>
        <v/>
      </c>
      <c r="G1740" s="1033"/>
      <c r="H1740" s="1033"/>
      <c r="I1740" s="1034" t="str">
        <f t="shared" si="385"/>
        <v/>
      </c>
      <c r="J1740" s="1033"/>
      <c r="K1740" s="1033"/>
      <c r="L1740" s="1034" t="str">
        <f t="shared" si="386"/>
        <v/>
      </c>
      <c r="M1740" s="1035"/>
      <c r="N1740" s="1035"/>
      <c r="O1740" s="1036" t="str">
        <f t="shared" si="387"/>
        <v/>
      </c>
      <c r="P1740" s="1033"/>
      <c r="Q1740" s="1033"/>
      <c r="R1740" s="1034" t="str">
        <f t="shared" si="388"/>
        <v/>
      </c>
      <c r="S1740" s="1033"/>
      <c r="T1740" s="1035"/>
      <c r="U1740" s="1034" t="str">
        <f t="shared" si="389"/>
        <v/>
      </c>
      <c r="V1740" s="1035"/>
      <c r="W1740" s="1035"/>
      <c r="X1740" s="1037" t="str">
        <f t="shared" si="390"/>
        <v>7</v>
      </c>
      <c r="Y1740" s="1035"/>
      <c r="Z1740" s="1035">
        <f t="shared" si="380"/>
        <v>7</v>
      </c>
      <c r="AA1740" s="1035">
        <v>38</v>
      </c>
      <c r="AB1740" s="1033" t="s">
        <v>3366</v>
      </c>
      <c r="AC1740" s="1021">
        <v>710007</v>
      </c>
      <c r="AD1740" s="1021" t="s">
        <v>2522</v>
      </c>
      <c r="AE1740" s="1022">
        <f>VLOOKUP(AC1740,[5]Hoja1!$A$10:$K$1393,11,0)</f>
        <v>-20590029889</v>
      </c>
      <c r="AF1740" s="1022"/>
      <c r="AG1740" s="1022">
        <f t="shared" si="381"/>
        <v>-20590029889</v>
      </c>
      <c r="AH1740" s="1022">
        <f t="shared" si="382"/>
        <v>-20590030</v>
      </c>
      <c r="AK1740" s="448"/>
      <c r="AL1740" s="445"/>
    </row>
    <row r="1741" spans="1:38" s="467" customFormat="1" ht="12.75" customHeight="1">
      <c r="A1741" s="1033">
        <v>5313210</v>
      </c>
      <c r="B1741" s="1033" t="s">
        <v>2833</v>
      </c>
      <c r="C1741" s="1034"/>
      <c r="D1741" s="1033"/>
      <c r="E1741" s="1033"/>
      <c r="F1741" s="1034"/>
      <c r="G1741" s="1033"/>
      <c r="H1741" s="1033"/>
      <c r="I1741" s="1034"/>
      <c r="J1741" s="1033"/>
      <c r="K1741" s="1033"/>
      <c r="L1741" s="1034"/>
      <c r="M1741" s="1035"/>
      <c r="N1741" s="1035"/>
      <c r="O1741" s="1036"/>
      <c r="P1741" s="1033"/>
      <c r="Q1741" s="1033"/>
      <c r="R1741" s="1034"/>
      <c r="S1741" s="1033"/>
      <c r="T1741" s="1035"/>
      <c r="U1741" s="1034"/>
      <c r="V1741" s="1035"/>
      <c r="W1741" s="1035"/>
      <c r="X1741" s="1037"/>
      <c r="Y1741" s="1035"/>
      <c r="Z1741" s="1035">
        <f t="shared" si="380"/>
        <v>7</v>
      </c>
      <c r="AA1741" s="1035"/>
      <c r="AB1741" s="1033"/>
      <c r="AC1741" s="1021">
        <v>710008</v>
      </c>
      <c r="AD1741" s="1021" t="s">
        <v>2523</v>
      </c>
      <c r="AE1741" s="1022">
        <f>VLOOKUP(AC1741,[5]Hoja1!$A$10:$K$1393,11,0)</f>
        <v>-514779592</v>
      </c>
      <c r="AF1741" s="1022"/>
      <c r="AG1741" s="1022">
        <f t="shared" si="381"/>
        <v>-514779592</v>
      </c>
      <c r="AH1741" s="1022">
        <f t="shared" si="382"/>
        <v>-514780</v>
      </c>
      <c r="AK1741" s="448"/>
      <c r="AL1741" s="445"/>
    </row>
    <row r="1742" spans="1:38" s="467" customFormat="1" ht="12.75" customHeight="1">
      <c r="A1742" s="1033">
        <v>5316100</v>
      </c>
      <c r="B1742" s="1033" t="s">
        <v>378</v>
      </c>
      <c r="C1742" s="1034"/>
      <c r="D1742" s="1033"/>
      <c r="E1742" s="1033"/>
      <c r="F1742" s="1034"/>
      <c r="G1742" s="1033"/>
      <c r="H1742" s="1033"/>
      <c r="I1742" s="1034"/>
      <c r="J1742" s="1033"/>
      <c r="K1742" s="1033"/>
      <c r="L1742" s="1034"/>
      <c r="M1742" s="1035"/>
      <c r="N1742" s="1035"/>
      <c r="O1742" s="1036"/>
      <c r="P1742" s="1033"/>
      <c r="Q1742" s="1033"/>
      <c r="R1742" s="1034"/>
      <c r="S1742" s="1033"/>
      <c r="T1742" s="1035"/>
      <c r="U1742" s="1034"/>
      <c r="V1742" s="1035"/>
      <c r="W1742" s="1035"/>
      <c r="X1742" s="1037"/>
      <c r="Y1742" s="1035"/>
      <c r="Z1742" s="1035">
        <f t="shared" si="380"/>
        <v>7</v>
      </c>
      <c r="AA1742" s="1035">
        <v>38</v>
      </c>
      <c r="AB1742" s="1033" t="s">
        <v>3366</v>
      </c>
      <c r="AC1742" s="1021">
        <v>710009</v>
      </c>
      <c r="AD1742" s="1021" t="s">
        <v>2524</v>
      </c>
      <c r="AE1742" s="1022">
        <f>VLOOKUP(AC1742,[5]Hoja1!$A$10:$K$1393,11,0)</f>
        <v>0</v>
      </c>
      <c r="AF1742" s="1022"/>
      <c r="AG1742" s="1022">
        <f t="shared" si="381"/>
        <v>0</v>
      </c>
      <c r="AH1742" s="1022">
        <f t="shared" si="382"/>
        <v>0</v>
      </c>
      <c r="AK1742" s="448"/>
      <c r="AL1742" s="445"/>
    </row>
    <row r="1743" spans="1:38" s="467" customFormat="1" ht="12.75" customHeight="1">
      <c r="A1743" s="1033">
        <v>5316100</v>
      </c>
      <c r="B1743" s="1033" t="s">
        <v>378</v>
      </c>
      <c r="C1743" s="1034"/>
      <c r="D1743" s="1033"/>
      <c r="E1743" s="1033"/>
      <c r="F1743" s="1034"/>
      <c r="G1743" s="1033"/>
      <c r="H1743" s="1033"/>
      <c r="I1743" s="1034"/>
      <c r="J1743" s="1033"/>
      <c r="K1743" s="1033"/>
      <c r="L1743" s="1034"/>
      <c r="M1743" s="1035"/>
      <c r="N1743" s="1035"/>
      <c r="O1743" s="1036"/>
      <c r="P1743" s="1033"/>
      <c r="Q1743" s="1033"/>
      <c r="R1743" s="1034"/>
      <c r="S1743" s="1033"/>
      <c r="T1743" s="1035"/>
      <c r="U1743" s="1034"/>
      <c r="V1743" s="1035"/>
      <c r="W1743" s="1035"/>
      <c r="X1743" s="1037"/>
      <c r="Y1743" s="1035"/>
      <c r="Z1743" s="1035">
        <f t="shared" si="380"/>
        <v>7</v>
      </c>
      <c r="AA1743" s="1035">
        <v>38</v>
      </c>
      <c r="AB1743" s="1033" t="s">
        <v>3366</v>
      </c>
      <c r="AC1743" s="1021">
        <v>710010</v>
      </c>
      <c r="AD1743" s="1021" t="s">
        <v>2525</v>
      </c>
      <c r="AE1743" s="1022">
        <f>VLOOKUP(AC1743,[5]Hoja1!$A$10:$K$1393,11,0)</f>
        <v>1466457527</v>
      </c>
      <c r="AF1743" s="1022"/>
      <c r="AG1743" s="1022">
        <f t="shared" si="381"/>
        <v>1466457527</v>
      </c>
      <c r="AH1743" s="1022">
        <f t="shared" si="382"/>
        <v>1466458</v>
      </c>
      <c r="AK1743" s="448"/>
      <c r="AL1743" s="445"/>
    </row>
    <row r="1744" spans="1:38" s="467" customFormat="1" ht="12.75" customHeight="1">
      <c r="A1744" s="1033">
        <v>5316100</v>
      </c>
      <c r="B1744" s="1033" t="s">
        <v>378</v>
      </c>
      <c r="C1744" s="1034"/>
      <c r="D1744" s="1033"/>
      <c r="E1744" s="1033"/>
      <c r="F1744" s="1034"/>
      <c r="G1744" s="1033"/>
      <c r="H1744" s="1033"/>
      <c r="I1744" s="1034"/>
      <c r="J1744" s="1033"/>
      <c r="K1744" s="1033"/>
      <c r="L1744" s="1034"/>
      <c r="M1744" s="1035"/>
      <c r="N1744" s="1035"/>
      <c r="O1744" s="1036"/>
      <c r="P1744" s="1033"/>
      <c r="Q1744" s="1033"/>
      <c r="R1744" s="1034"/>
      <c r="S1744" s="1033"/>
      <c r="T1744" s="1035"/>
      <c r="U1744" s="1034"/>
      <c r="V1744" s="1035"/>
      <c r="W1744" s="1035"/>
      <c r="X1744" s="1037"/>
      <c r="Y1744" s="1035"/>
      <c r="Z1744" s="1035">
        <f t="shared" si="380"/>
        <v>7</v>
      </c>
      <c r="AA1744" s="1035">
        <v>38</v>
      </c>
      <c r="AB1744" s="1033" t="s">
        <v>3365</v>
      </c>
      <c r="AC1744" s="1021">
        <v>710011</v>
      </c>
      <c r="AD1744" s="1021" t="s">
        <v>701</v>
      </c>
      <c r="AE1744" s="1022">
        <f>VLOOKUP(AC1744,[5]Hoja1!$A$10:$K$1393,11,0)</f>
        <v>4133458689</v>
      </c>
      <c r="AF1744" s="1022"/>
      <c r="AG1744" s="1022">
        <f t="shared" si="381"/>
        <v>4133458689</v>
      </c>
      <c r="AH1744" s="1022">
        <f t="shared" si="382"/>
        <v>4133459</v>
      </c>
      <c r="AK1744" s="448"/>
      <c r="AL1744" s="445"/>
    </row>
    <row r="1745" spans="1:38" s="467" customFormat="1" ht="12.75" customHeight="1">
      <c r="A1745" s="1033">
        <v>5315100</v>
      </c>
      <c r="B1745" s="1033" t="s">
        <v>1172</v>
      </c>
      <c r="C1745" s="1034"/>
      <c r="D1745" s="1033"/>
      <c r="E1745" s="1033"/>
      <c r="F1745" s="1034"/>
      <c r="G1745" s="1033"/>
      <c r="H1745" s="1033"/>
      <c r="I1745" s="1034"/>
      <c r="J1745" s="1033"/>
      <c r="K1745" s="1033"/>
      <c r="L1745" s="1034"/>
      <c r="M1745" s="1035"/>
      <c r="N1745" s="1035"/>
      <c r="O1745" s="1036"/>
      <c r="P1745" s="1033"/>
      <c r="Q1745" s="1033"/>
      <c r="R1745" s="1034"/>
      <c r="S1745" s="1033"/>
      <c r="T1745" s="1035"/>
      <c r="U1745" s="1034"/>
      <c r="V1745" s="1035"/>
      <c r="W1745" s="1035"/>
      <c r="X1745" s="1037"/>
      <c r="Y1745" s="1035"/>
      <c r="Z1745" s="1035">
        <f t="shared" si="380"/>
        <v>7</v>
      </c>
      <c r="AA1745" s="1033">
        <v>36</v>
      </c>
      <c r="AB1745" s="1033" t="s">
        <v>1172</v>
      </c>
      <c r="AC1745" s="1021">
        <v>710012</v>
      </c>
      <c r="AD1745" s="1021" t="s">
        <v>2526</v>
      </c>
      <c r="AE1745" s="1022">
        <f>VLOOKUP(AC1745,[5]Hoja1!$A$10:$K$1393,11,0)</f>
        <v>0</v>
      </c>
      <c r="AF1745" s="1022"/>
      <c r="AG1745" s="1022">
        <f t="shared" si="381"/>
        <v>0</v>
      </c>
      <c r="AH1745" s="1022">
        <f t="shared" si="382"/>
        <v>0</v>
      </c>
      <c r="AK1745" s="448"/>
      <c r="AL1745" s="445"/>
    </row>
    <row r="1746" spans="1:38" s="467" customFormat="1" ht="12.75" customHeight="1">
      <c r="A1746" s="1033">
        <v>5316100</v>
      </c>
      <c r="B1746" s="1033" t="s">
        <v>378</v>
      </c>
      <c r="C1746" s="1034"/>
      <c r="D1746" s="1033"/>
      <c r="E1746" s="1033"/>
      <c r="F1746" s="1034"/>
      <c r="G1746" s="1033"/>
      <c r="H1746" s="1033"/>
      <c r="I1746" s="1034"/>
      <c r="J1746" s="1033"/>
      <c r="K1746" s="1033"/>
      <c r="L1746" s="1034"/>
      <c r="M1746" s="1035"/>
      <c r="N1746" s="1035"/>
      <c r="O1746" s="1036"/>
      <c r="P1746" s="1033"/>
      <c r="Q1746" s="1033"/>
      <c r="R1746" s="1034"/>
      <c r="S1746" s="1033"/>
      <c r="T1746" s="1035"/>
      <c r="U1746" s="1034"/>
      <c r="V1746" s="1035"/>
      <c r="W1746" s="1035"/>
      <c r="X1746" s="1037"/>
      <c r="Y1746" s="1035"/>
      <c r="Z1746" s="1035">
        <f t="shared" si="380"/>
        <v>7</v>
      </c>
      <c r="AA1746" s="1035">
        <v>38</v>
      </c>
      <c r="AB1746" s="1033" t="s">
        <v>3366</v>
      </c>
      <c r="AC1746" s="1021">
        <v>710013</v>
      </c>
      <c r="AD1746" s="1021" t="s">
        <v>1595</v>
      </c>
      <c r="AE1746" s="1022">
        <f>VLOOKUP(AC1746,[5]Hoja1!$A$10:$K$1393,11,0)</f>
        <v>0</v>
      </c>
      <c r="AF1746" s="1022"/>
      <c r="AG1746" s="1022">
        <f t="shared" si="381"/>
        <v>0</v>
      </c>
      <c r="AH1746" s="1022">
        <f t="shared" si="382"/>
        <v>0</v>
      </c>
      <c r="AK1746" s="448"/>
      <c r="AL1746" s="445"/>
    </row>
    <row r="1747" spans="1:38" s="467" customFormat="1" ht="12.75" customHeight="1">
      <c r="A1747" s="1033">
        <v>5316100</v>
      </c>
      <c r="B1747" s="1033" t="s">
        <v>378</v>
      </c>
      <c r="C1747" s="1034"/>
      <c r="D1747" s="1033"/>
      <c r="E1747" s="1033"/>
      <c r="F1747" s="1034"/>
      <c r="G1747" s="1033"/>
      <c r="H1747" s="1033"/>
      <c r="I1747" s="1034"/>
      <c r="J1747" s="1033"/>
      <c r="K1747" s="1033"/>
      <c r="L1747" s="1034"/>
      <c r="M1747" s="1035"/>
      <c r="N1747" s="1035"/>
      <c r="O1747" s="1036"/>
      <c r="P1747" s="1033"/>
      <c r="Q1747" s="1033"/>
      <c r="R1747" s="1034"/>
      <c r="S1747" s="1033"/>
      <c r="T1747" s="1035"/>
      <c r="U1747" s="1034"/>
      <c r="V1747" s="1035"/>
      <c r="W1747" s="1035"/>
      <c r="X1747" s="1037"/>
      <c r="Y1747" s="1035"/>
      <c r="Z1747" s="1035">
        <f t="shared" si="380"/>
        <v>7</v>
      </c>
      <c r="AA1747" s="1035">
        <v>38</v>
      </c>
      <c r="AB1747" s="1033" t="s">
        <v>3366</v>
      </c>
      <c r="AC1747" s="1021">
        <v>710014</v>
      </c>
      <c r="AD1747" s="1021" t="s">
        <v>2527</v>
      </c>
      <c r="AE1747" s="1022">
        <f>VLOOKUP(AC1747,[5]Hoja1!$A$10:$K$1393,11,0)</f>
        <v>0</v>
      </c>
      <c r="AF1747" s="1022"/>
      <c r="AG1747" s="1022">
        <f t="shared" si="381"/>
        <v>0</v>
      </c>
      <c r="AH1747" s="1022">
        <f t="shared" si="382"/>
        <v>0</v>
      </c>
      <c r="AK1747" s="448"/>
      <c r="AL1747" s="445"/>
    </row>
    <row r="1748" spans="1:38" s="467" customFormat="1" ht="12.75" customHeight="1">
      <c r="A1748" s="1033">
        <v>5316100</v>
      </c>
      <c r="B1748" s="1033" t="s">
        <v>378</v>
      </c>
      <c r="C1748" s="1034"/>
      <c r="D1748" s="1033"/>
      <c r="E1748" s="1033"/>
      <c r="F1748" s="1034"/>
      <c r="G1748" s="1033"/>
      <c r="H1748" s="1033"/>
      <c r="I1748" s="1034"/>
      <c r="J1748" s="1033"/>
      <c r="K1748" s="1033"/>
      <c r="L1748" s="1034"/>
      <c r="M1748" s="1035"/>
      <c r="N1748" s="1035"/>
      <c r="O1748" s="1036"/>
      <c r="P1748" s="1033"/>
      <c r="Q1748" s="1033"/>
      <c r="R1748" s="1034"/>
      <c r="S1748" s="1033"/>
      <c r="T1748" s="1035"/>
      <c r="U1748" s="1034"/>
      <c r="V1748" s="1035"/>
      <c r="W1748" s="1035"/>
      <c r="X1748" s="1037"/>
      <c r="Y1748" s="1035"/>
      <c r="Z1748" s="1035">
        <f t="shared" si="380"/>
        <v>7</v>
      </c>
      <c r="AA1748" s="1035">
        <v>38</v>
      </c>
      <c r="AB1748" s="1033" t="s">
        <v>3366</v>
      </c>
      <c r="AC1748" s="1021">
        <v>710015</v>
      </c>
      <c r="AD1748" s="1021" t="s">
        <v>1596</v>
      </c>
      <c r="AE1748" s="1022">
        <f>VLOOKUP(AC1748,[5]Hoja1!$A$10:$K$1393,11,0)</f>
        <v>370283</v>
      </c>
      <c r="AF1748" s="1022"/>
      <c r="AG1748" s="1022">
        <f t="shared" si="381"/>
        <v>370283</v>
      </c>
      <c r="AH1748" s="1022">
        <f t="shared" si="382"/>
        <v>370</v>
      </c>
      <c r="AK1748" s="448"/>
      <c r="AL1748" s="445"/>
    </row>
    <row r="1749" spans="1:38" s="467" customFormat="1" ht="12.75" customHeight="1">
      <c r="A1749" s="1033">
        <v>5316200</v>
      </c>
      <c r="B1749" s="1033" t="s">
        <v>2843</v>
      </c>
      <c r="C1749" s="1034"/>
      <c r="D1749" s="1033"/>
      <c r="E1749" s="1033"/>
      <c r="F1749" s="1034"/>
      <c r="G1749" s="1033"/>
      <c r="H1749" s="1033"/>
      <c r="I1749" s="1034"/>
      <c r="J1749" s="1033"/>
      <c r="K1749" s="1033"/>
      <c r="L1749" s="1034"/>
      <c r="M1749" s="1035"/>
      <c r="N1749" s="1035"/>
      <c r="O1749" s="1036"/>
      <c r="P1749" s="1033"/>
      <c r="Q1749" s="1033"/>
      <c r="R1749" s="1034"/>
      <c r="S1749" s="1033"/>
      <c r="T1749" s="1035"/>
      <c r="U1749" s="1034"/>
      <c r="V1749" s="1035"/>
      <c r="W1749" s="1035"/>
      <c r="X1749" s="1037"/>
      <c r="Y1749" s="1035"/>
      <c r="Z1749" s="1035">
        <f t="shared" si="380"/>
        <v>7</v>
      </c>
      <c r="AA1749" s="1035"/>
      <c r="AB1749" s="1033"/>
      <c r="AC1749" s="1023">
        <v>710017</v>
      </c>
      <c r="AD1749" s="1021" t="s">
        <v>2303</v>
      </c>
      <c r="AE1749" s="1022">
        <f>VLOOKUP(AC1749,[5]Hoja1!$A$10:$K$1393,11,0)</f>
        <v>17447075</v>
      </c>
      <c r="AF1749" s="1022"/>
      <c r="AG1749" s="1022">
        <f t="shared" si="381"/>
        <v>17447075</v>
      </c>
      <c r="AH1749" s="1022">
        <f t="shared" si="382"/>
        <v>17447</v>
      </c>
      <c r="AK1749" s="448"/>
      <c r="AL1749" s="445"/>
    </row>
    <row r="1750" spans="1:38" s="467" customFormat="1" ht="12.75" customHeight="1">
      <c r="A1750" s="1033">
        <v>5313310</v>
      </c>
      <c r="B1750" s="1033" t="s">
        <v>2833</v>
      </c>
      <c r="C1750" s="1034"/>
      <c r="D1750" s="1033"/>
      <c r="E1750" s="1033"/>
      <c r="F1750" s="1034"/>
      <c r="G1750" s="1033"/>
      <c r="H1750" s="1033"/>
      <c r="I1750" s="1034"/>
      <c r="J1750" s="1033"/>
      <c r="K1750" s="1033"/>
      <c r="L1750" s="1034"/>
      <c r="M1750" s="1035"/>
      <c r="N1750" s="1035"/>
      <c r="O1750" s="1036"/>
      <c r="P1750" s="1033"/>
      <c r="Q1750" s="1033"/>
      <c r="R1750" s="1034"/>
      <c r="S1750" s="1033"/>
      <c r="T1750" s="1035"/>
      <c r="U1750" s="1034"/>
      <c r="V1750" s="1035"/>
      <c r="W1750" s="1035"/>
      <c r="X1750" s="1037"/>
      <c r="Y1750" s="1035"/>
      <c r="Z1750" s="1035">
        <f t="shared" si="380"/>
        <v>7</v>
      </c>
      <c r="AA1750" s="1035"/>
      <c r="AB1750" s="1033"/>
      <c r="AC1750" s="1021">
        <v>710018</v>
      </c>
      <c r="AD1750" s="1021" t="s">
        <v>2580</v>
      </c>
      <c r="AE1750" s="1022">
        <f>VLOOKUP(AC1750,[5]Hoja1!$A$10:$K$1393,11,0)</f>
        <v>-9554576</v>
      </c>
      <c r="AF1750" s="1022"/>
      <c r="AG1750" s="1022">
        <f t="shared" si="381"/>
        <v>-9554576</v>
      </c>
      <c r="AH1750" s="1022">
        <f t="shared" si="382"/>
        <v>-9555</v>
      </c>
      <c r="AK1750" s="448"/>
      <c r="AL1750" s="445"/>
    </row>
    <row r="1751" spans="1:38" s="467" customFormat="1" ht="12.75" customHeight="1">
      <c r="A1751" s="1033">
        <v>5316200</v>
      </c>
      <c r="B1751" s="1033" t="s">
        <v>2843</v>
      </c>
      <c r="C1751" s="1034"/>
      <c r="D1751" s="1033"/>
      <c r="E1751" s="1033"/>
      <c r="F1751" s="1034"/>
      <c r="G1751" s="1033"/>
      <c r="H1751" s="1033"/>
      <c r="I1751" s="1034"/>
      <c r="J1751" s="1033"/>
      <c r="K1751" s="1033"/>
      <c r="L1751" s="1034"/>
      <c r="M1751" s="1035"/>
      <c r="N1751" s="1035"/>
      <c r="O1751" s="1036"/>
      <c r="P1751" s="1033"/>
      <c r="Q1751" s="1033"/>
      <c r="R1751" s="1034"/>
      <c r="S1751" s="1033"/>
      <c r="T1751" s="1035"/>
      <c r="U1751" s="1034"/>
      <c r="V1751" s="1035"/>
      <c r="W1751" s="1035"/>
      <c r="X1751" s="1037"/>
      <c r="Y1751" s="1035"/>
      <c r="Z1751" s="1035">
        <f t="shared" si="380"/>
        <v>7</v>
      </c>
      <c r="AA1751" s="1035"/>
      <c r="AB1751" s="1033"/>
      <c r="AC1751" s="1023">
        <v>710019</v>
      </c>
      <c r="AD1751" s="1021" t="s">
        <v>2712</v>
      </c>
      <c r="AE1751" s="1022">
        <f>VLOOKUP(AC1751,[5]Hoja1!$A$10:$K$1393,11,0)</f>
        <v>21366224346</v>
      </c>
      <c r="AF1751" s="1022">
        <f>72792000-135009000-62675000+381684000-434530000+13902000+57952000+41338000</f>
        <v>-64546000</v>
      </c>
      <c r="AG1751" s="1022">
        <f t="shared" si="381"/>
        <v>21301678346</v>
      </c>
      <c r="AH1751" s="1022">
        <f t="shared" si="382"/>
        <v>21301678</v>
      </c>
      <c r="AK1751" s="448"/>
      <c r="AL1751" s="445"/>
    </row>
    <row r="1752" spans="1:38" s="467" customFormat="1" ht="12.75" customHeight="1">
      <c r="A1752" s="1033">
        <v>5316200</v>
      </c>
      <c r="B1752" s="1033" t="s">
        <v>2843</v>
      </c>
      <c r="C1752" s="1034"/>
      <c r="D1752" s="1033"/>
      <c r="E1752" s="1033"/>
      <c r="F1752" s="1034"/>
      <c r="G1752" s="1033"/>
      <c r="H1752" s="1033"/>
      <c r="I1752" s="1034"/>
      <c r="J1752" s="1033"/>
      <c r="K1752" s="1033"/>
      <c r="L1752" s="1034"/>
      <c r="M1752" s="1035"/>
      <c r="N1752" s="1035"/>
      <c r="O1752" s="1036"/>
      <c r="P1752" s="1033"/>
      <c r="Q1752" s="1033"/>
      <c r="R1752" s="1034"/>
      <c r="S1752" s="1033"/>
      <c r="T1752" s="1035"/>
      <c r="U1752" s="1034"/>
      <c r="V1752" s="1035"/>
      <c r="W1752" s="1035"/>
      <c r="X1752" s="1037"/>
      <c r="Y1752" s="1035"/>
      <c r="Z1752" s="1035">
        <f t="shared" si="380"/>
        <v>7</v>
      </c>
      <c r="AA1752" s="1035"/>
      <c r="AB1752" s="1033"/>
      <c r="AC1752" s="1023">
        <v>710020</v>
      </c>
      <c r="AD1752" s="1021" t="s">
        <v>2713</v>
      </c>
      <c r="AE1752" s="1022">
        <f>VLOOKUP(AC1752,[5]Hoja1!$A$10:$K$1393,11,0)</f>
        <v>-1587778</v>
      </c>
      <c r="AF1752" s="1022"/>
      <c r="AG1752" s="1022">
        <f t="shared" si="381"/>
        <v>-1587778</v>
      </c>
      <c r="AH1752" s="1022">
        <f t="shared" si="382"/>
        <v>-1588</v>
      </c>
      <c r="AK1752" s="448"/>
      <c r="AL1752" s="445"/>
    </row>
    <row r="1753" spans="1:38" s="467" customFormat="1" ht="12.75" customHeight="1">
      <c r="A1753" s="1033">
        <v>5316200</v>
      </c>
      <c r="B1753" s="1033" t="s">
        <v>2843</v>
      </c>
      <c r="C1753" s="1034"/>
      <c r="D1753" s="1033"/>
      <c r="E1753" s="1033"/>
      <c r="F1753" s="1034"/>
      <c r="G1753" s="1033"/>
      <c r="H1753" s="1033"/>
      <c r="I1753" s="1034"/>
      <c r="J1753" s="1033"/>
      <c r="K1753" s="1033"/>
      <c r="L1753" s="1034"/>
      <c r="M1753" s="1035"/>
      <c r="N1753" s="1035"/>
      <c r="O1753" s="1036"/>
      <c r="P1753" s="1033"/>
      <c r="Q1753" s="1033"/>
      <c r="R1753" s="1034"/>
      <c r="S1753" s="1033"/>
      <c r="T1753" s="1035"/>
      <c r="U1753" s="1034"/>
      <c r="V1753" s="1035"/>
      <c r="W1753" s="1035"/>
      <c r="X1753" s="1037"/>
      <c r="Y1753" s="1035"/>
      <c r="Z1753" s="1035">
        <f t="shared" si="380"/>
        <v>7</v>
      </c>
      <c r="AA1753" s="1035"/>
      <c r="AB1753" s="1033"/>
      <c r="AC1753" s="1023">
        <v>710021</v>
      </c>
      <c r="AD1753" s="1021" t="s">
        <v>2714</v>
      </c>
      <c r="AE1753" s="1022">
        <f>VLOOKUP(AC1753,[5]Hoja1!$A$10:$K$1393,11,0)</f>
        <v>22437298</v>
      </c>
      <c r="AF1753" s="1022"/>
      <c r="AG1753" s="1022">
        <f t="shared" si="381"/>
        <v>22437298</v>
      </c>
      <c r="AH1753" s="1022">
        <f t="shared" si="382"/>
        <v>22437</v>
      </c>
      <c r="AK1753" s="448"/>
      <c r="AL1753" s="445"/>
    </row>
    <row r="1754" spans="1:38" s="467" customFormat="1" ht="12.75" customHeight="1">
      <c r="A1754" s="1033">
        <v>5316100</v>
      </c>
      <c r="B1754" s="1033" t="s">
        <v>378</v>
      </c>
      <c r="C1754" s="1034"/>
      <c r="D1754" s="1033"/>
      <c r="E1754" s="1033"/>
      <c r="F1754" s="1034"/>
      <c r="G1754" s="1033"/>
      <c r="H1754" s="1033"/>
      <c r="I1754" s="1034"/>
      <c r="J1754" s="1033"/>
      <c r="K1754" s="1033"/>
      <c r="L1754" s="1034"/>
      <c r="M1754" s="1035"/>
      <c r="N1754" s="1035"/>
      <c r="O1754" s="1036"/>
      <c r="P1754" s="1033"/>
      <c r="Q1754" s="1033"/>
      <c r="R1754" s="1034"/>
      <c r="S1754" s="1033"/>
      <c r="T1754" s="1035"/>
      <c r="U1754" s="1034"/>
      <c r="V1754" s="1035"/>
      <c r="W1754" s="1035"/>
      <c r="X1754" s="1037"/>
      <c r="Y1754" s="1035"/>
      <c r="Z1754" s="1035">
        <f t="shared" si="380"/>
        <v>7</v>
      </c>
      <c r="AA1754" s="1035">
        <v>38</v>
      </c>
      <c r="AB1754" s="1033" t="s">
        <v>3366</v>
      </c>
      <c r="AC1754" s="927">
        <v>710022</v>
      </c>
      <c r="AD1754" s="27" t="s">
        <v>2947</v>
      </c>
      <c r="AE1754" s="1022">
        <f>VLOOKUP(AC1754,[5]Hoja1!$A$10:$K$1393,11,0)</f>
        <v>952108576</v>
      </c>
      <c r="AF1754" s="1022"/>
      <c r="AG1754" s="1022">
        <f t="shared" si="381"/>
        <v>952108576</v>
      </c>
      <c r="AH1754" s="1022">
        <f t="shared" si="382"/>
        <v>952109</v>
      </c>
      <c r="AK1754" s="448"/>
      <c r="AL1754" s="445"/>
    </row>
    <row r="1755" spans="1:38" s="467" customFormat="1" ht="12.75" customHeight="1">
      <c r="A1755" s="1033">
        <v>5316100</v>
      </c>
      <c r="B1755" s="1033" t="s">
        <v>378</v>
      </c>
      <c r="C1755" s="1034"/>
      <c r="D1755" s="1033"/>
      <c r="E1755" s="1033"/>
      <c r="F1755" s="1034"/>
      <c r="G1755" s="1033"/>
      <c r="H1755" s="1033"/>
      <c r="I1755" s="1034"/>
      <c r="J1755" s="1033"/>
      <c r="K1755" s="1033"/>
      <c r="L1755" s="1034"/>
      <c r="M1755" s="1035"/>
      <c r="N1755" s="1035"/>
      <c r="O1755" s="1036"/>
      <c r="P1755" s="1033"/>
      <c r="Q1755" s="1033"/>
      <c r="R1755" s="1034"/>
      <c r="S1755" s="1033"/>
      <c r="T1755" s="1035"/>
      <c r="U1755" s="1034"/>
      <c r="V1755" s="1035"/>
      <c r="W1755" s="1035"/>
      <c r="X1755" s="1037"/>
      <c r="Y1755" s="1035"/>
      <c r="Z1755" s="1035">
        <f t="shared" si="380"/>
        <v>7</v>
      </c>
      <c r="AA1755" s="1035">
        <v>38</v>
      </c>
      <c r="AB1755" s="1033" t="s">
        <v>3366</v>
      </c>
      <c r="AC1755" s="927">
        <v>710023</v>
      </c>
      <c r="AD1755" s="27" t="s">
        <v>2948</v>
      </c>
      <c r="AE1755" s="1022">
        <f>VLOOKUP(AC1755,[5]Hoja1!$A$10:$K$1393,11,0)</f>
        <v>18394714139</v>
      </c>
      <c r="AF1755" s="1022"/>
      <c r="AG1755" s="1022">
        <f t="shared" si="381"/>
        <v>18394714139</v>
      </c>
      <c r="AH1755" s="1022">
        <f t="shared" si="382"/>
        <v>18394714</v>
      </c>
      <c r="AK1755" s="448"/>
      <c r="AL1755" s="445"/>
    </row>
    <row r="1756" spans="1:38" s="467" customFormat="1" ht="12.75" customHeight="1">
      <c r="A1756" s="1033">
        <v>5316100</v>
      </c>
      <c r="B1756" s="1033" t="s">
        <v>378</v>
      </c>
      <c r="C1756" s="1034"/>
      <c r="D1756" s="1033"/>
      <c r="E1756" s="1033"/>
      <c r="F1756" s="1034"/>
      <c r="G1756" s="1033"/>
      <c r="H1756" s="1033"/>
      <c r="I1756" s="1034"/>
      <c r="J1756" s="1033"/>
      <c r="K1756" s="1033"/>
      <c r="L1756" s="1034"/>
      <c r="M1756" s="1035"/>
      <c r="N1756" s="1035"/>
      <c r="O1756" s="1036"/>
      <c r="P1756" s="1033"/>
      <c r="Q1756" s="1033"/>
      <c r="R1756" s="1034"/>
      <c r="S1756" s="1033"/>
      <c r="T1756" s="1035"/>
      <c r="U1756" s="1034"/>
      <c r="V1756" s="1035"/>
      <c r="W1756" s="1035"/>
      <c r="X1756" s="1037"/>
      <c r="Y1756" s="1035"/>
      <c r="Z1756" s="1035">
        <f t="shared" si="380"/>
        <v>7</v>
      </c>
      <c r="AA1756" s="1035">
        <v>38</v>
      </c>
      <c r="AB1756" s="1033" t="s">
        <v>1457</v>
      </c>
      <c r="AC1756" s="927">
        <v>710024</v>
      </c>
      <c r="AD1756" s="27" t="s">
        <v>2949</v>
      </c>
      <c r="AE1756" s="1022">
        <f>VLOOKUP(AC1756,[5]Hoja1!$A$10:$K$1393,11,0)</f>
        <v>29351632</v>
      </c>
      <c r="AF1756" s="1022"/>
      <c r="AG1756" s="1022">
        <f t="shared" si="381"/>
        <v>29351632</v>
      </c>
      <c r="AH1756" s="1022">
        <f t="shared" si="382"/>
        <v>29352</v>
      </c>
      <c r="AK1756" s="448"/>
      <c r="AL1756" s="445"/>
    </row>
    <row r="1757" spans="1:38" s="467" customFormat="1" ht="12.75" customHeight="1">
      <c r="A1757" s="1033">
        <v>5316200</v>
      </c>
      <c r="B1757" s="1033" t="s">
        <v>2843</v>
      </c>
      <c r="C1757" s="1034"/>
      <c r="D1757" s="1033"/>
      <c r="E1757" s="1033"/>
      <c r="F1757" s="1034"/>
      <c r="G1757" s="1033"/>
      <c r="H1757" s="1033"/>
      <c r="I1757" s="1034"/>
      <c r="J1757" s="1033"/>
      <c r="K1757" s="1033"/>
      <c r="L1757" s="1034"/>
      <c r="M1757" s="1035"/>
      <c r="N1757" s="1035"/>
      <c r="O1757" s="1036"/>
      <c r="P1757" s="1033"/>
      <c r="Q1757" s="1033"/>
      <c r="R1757" s="1034"/>
      <c r="S1757" s="1033"/>
      <c r="T1757" s="1035"/>
      <c r="U1757" s="1034"/>
      <c r="V1757" s="1035"/>
      <c r="W1757" s="1035"/>
      <c r="X1757" s="1037"/>
      <c r="Y1757" s="1035"/>
      <c r="Z1757" s="1035">
        <f t="shared" si="380"/>
        <v>7</v>
      </c>
      <c r="AA1757" s="1035"/>
      <c r="AB1757" s="1033"/>
      <c r="AC1757" s="927">
        <v>710025</v>
      </c>
      <c r="AD1757" s="27" t="s">
        <v>2950</v>
      </c>
      <c r="AE1757" s="1022">
        <f>VLOOKUP(AC1757,[5]Hoja1!$A$10:$K$1393,11,0)</f>
        <v>-176155678</v>
      </c>
      <c r="AF1757" s="1022"/>
      <c r="AG1757" s="1022">
        <f t="shared" si="381"/>
        <v>-176155678</v>
      </c>
      <c r="AH1757" s="1022">
        <f t="shared" si="382"/>
        <v>-176156</v>
      </c>
      <c r="AK1757" s="448"/>
      <c r="AL1757" s="445"/>
    </row>
    <row r="1758" spans="1:38" s="467" customFormat="1" ht="12.75" customHeight="1">
      <c r="A1758" s="1033">
        <v>5316200</v>
      </c>
      <c r="B1758" s="1033" t="s">
        <v>2843</v>
      </c>
      <c r="C1758" s="1034"/>
      <c r="D1758" s="1033"/>
      <c r="E1758" s="1033"/>
      <c r="F1758" s="1034"/>
      <c r="G1758" s="1033"/>
      <c r="H1758" s="1033"/>
      <c r="I1758" s="1034"/>
      <c r="J1758" s="1033"/>
      <c r="K1758" s="1033"/>
      <c r="L1758" s="1034"/>
      <c r="M1758" s="1035"/>
      <c r="N1758" s="1035"/>
      <c r="O1758" s="1036"/>
      <c r="P1758" s="1033"/>
      <c r="Q1758" s="1033"/>
      <c r="R1758" s="1034"/>
      <c r="S1758" s="1033"/>
      <c r="T1758" s="1035"/>
      <c r="U1758" s="1034"/>
      <c r="V1758" s="1035"/>
      <c r="W1758" s="1035"/>
      <c r="X1758" s="1037"/>
      <c r="Y1758" s="1035"/>
      <c r="Z1758" s="1035">
        <f t="shared" si="380"/>
        <v>7</v>
      </c>
      <c r="AA1758" s="1035"/>
      <c r="AB1758" s="1033"/>
      <c r="AC1758" s="927">
        <v>710026</v>
      </c>
      <c r="AD1758" s="27" t="s">
        <v>2951</v>
      </c>
      <c r="AE1758" s="1022">
        <f>VLOOKUP(AC1758,[5]Hoja1!$A$10:$K$1393,11,0)</f>
        <v>-30636916</v>
      </c>
      <c r="AF1758" s="1022"/>
      <c r="AG1758" s="1022">
        <f t="shared" si="381"/>
        <v>-30636916</v>
      </c>
      <c r="AH1758" s="1022">
        <f t="shared" si="382"/>
        <v>-30637</v>
      </c>
      <c r="AK1758" s="448"/>
      <c r="AL1758" s="445"/>
    </row>
    <row r="1759" spans="1:38" s="467" customFormat="1" ht="12.75" customHeight="1">
      <c r="A1759" s="1033">
        <v>5316200</v>
      </c>
      <c r="B1759" s="1033" t="s">
        <v>2843</v>
      </c>
      <c r="C1759" s="1034"/>
      <c r="D1759" s="1033"/>
      <c r="E1759" s="1033"/>
      <c r="F1759" s="1034"/>
      <c r="G1759" s="1033"/>
      <c r="H1759" s="1033"/>
      <c r="I1759" s="1034"/>
      <c r="J1759" s="1033"/>
      <c r="K1759" s="1033"/>
      <c r="L1759" s="1034"/>
      <c r="M1759" s="1035"/>
      <c r="N1759" s="1035"/>
      <c r="O1759" s="1036"/>
      <c r="P1759" s="1033"/>
      <c r="Q1759" s="1033"/>
      <c r="R1759" s="1034"/>
      <c r="S1759" s="1033"/>
      <c r="T1759" s="1035"/>
      <c r="U1759" s="1034"/>
      <c r="V1759" s="1035"/>
      <c r="W1759" s="1035"/>
      <c r="X1759" s="1037"/>
      <c r="Y1759" s="1035"/>
      <c r="Z1759" s="1035">
        <f t="shared" si="380"/>
        <v>7</v>
      </c>
      <c r="AA1759" s="1035"/>
      <c r="AB1759" s="1033"/>
      <c r="AC1759" s="927">
        <v>710027</v>
      </c>
      <c r="AD1759" s="27" t="s">
        <v>2952</v>
      </c>
      <c r="AE1759" s="1022">
        <f>VLOOKUP(AC1759,[5]Hoja1!$A$10:$K$1393,11,0)</f>
        <v>-134590100</v>
      </c>
      <c r="AF1759" s="1022"/>
      <c r="AG1759" s="1022">
        <f t="shared" si="381"/>
        <v>-134590100</v>
      </c>
      <c r="AH1759" s="1022">
        <f t="shared" si="382"/>
        <v>-134590</v>
      </c>
      <c r="AK1759" s="448"/>
      <c r="AL1759" s="445"/>
    </row>
    <row r="1760" spans="1:38" s="467" customFormat="1" ht="12.75" customHeight="1">
      <c r="A1760" s="1033">
        <v>5316200</v>
      </c>
      <c r="B1760" s="1033" t="s">
        <v>2843</v>
      </c>
      <c r="C1760" s="1034"/>
      <c r="D1760" s="1033"/>
      <c r="E1760" s="1033"/>
      <c r="F1760" s="1034"/>
      <c r="G1760" s="1033"/>
      <c r="H1760" s="1033"/>
      <c r="I1760" s="1034"/>
      <c r="J1760" s="1033"/>
      <c r="K1760" s="1033"/>
      <c r="L1760" s="1034"/>
      <c r="M1760" s="1035"/>
      <c r="N1760" s="1035"/>
      <c r="O1760" s="1036"/>
      <c r="P1760" s="1033"/>
      <c r="Q1760" s="1033"/>
      <c r="R1760" s="1034"/>
      <c r="S1760" s="1033"/>
      <c r="T1760" s="1035"/>
      <c r="U1760" s="1034"/>
      <c r="V1760" s="1035"/>
      <c r="W1760" s="1035"/>
      <c r="X1760" s="1037"/>
      <c r="Y1760" s="1035"/>
      <c r="Z1760" s="1035">
        <f t="shared" si="380"/>
        <v>7</v>
      </c>
      <c r="AA1760" s="1035"/>
      <c r="AB1760" s="1033"/>
      <c r="AC1760" s="927">
        <v>710029</v>
      </c>
      <c r="AD1760" s="27" t="s">
        <v>3090</v>
      </c>
      <c r="AE1760" s="1022">
        <f>VLOOKUP(AC1760,[5]Hoja1!$A$10:$K$1393,11,0)</f>
        <v>1216769</v>
      </c>
      <c r="AF1760" s="1022"/>
      <c r="AG1760" s="1022">
        <f t="shared" ref="AG1760" si="391">AE1760+AF1760</f>
        <v>1216769</v>
      </c>
      <c r="AH1760" s="1022">
        <f t="shared" ref="AH1760" si="392">ROUND((AE1760+AF1760)/$AH$2,0)</f>
        <v>1217</v>
      </c>
      <c r="AK1760" s="448"/>
      <c r="AL1760" s="445"/>
    </row>
    <row r="1761" spans="1:38" s="467" customFormat="1" ht="12.75" customHeight="1">
      <c r="A1761" s="1033">
        <v>5315200</v>
      </c>
      <c r="B1761" s="1033" t="s">
        <v>2842</v>
      </c>
      <c r="C1761" s="1034" t="str">
        <f t="shared" ref="C1761:C1766" si="393">+D1761&amp;E1761</f>
        <v/>
      </c>
      <c r="D1761" s="1033"/>
      <c r="E1761" s="1033"/>
      <c r="F1761" s="1034" t="str">
        <f t="shared" ref="F1761:F1766" si="394">+G1761&amp;H1761</f>
        <v/>
      </c>
      <c r="G1761" s="1033"/>
      <c r="H1761" s="1033"/>
      <c r="I1761" s="1034" t="str">
        <f t="shared" ref="I1761:I1766" si="395">+J1761&amp;K1761</f>
        <v/>
      </c>
      <c r="J1761" s="1033"/>
      <c r="K1761" s="1033"/>
      <c r="L1761" s="1034" t="str">
        <f t="shared" ref="L1761:L1766" si="396">+M1761&amp;N1761</f>
        <v/>
      </c>
      <c r="M1761" s="1035"/>
      <c r="N1761" s="1035"/>
      <c r="O1761" s="1036" t="str">
        <f t="shared" ref="O1761:O1766" si="397">+P1761&amp;Q1761</f>
        <v/>
      </c>
      <c r="P1761" s="1033"/>
      <c r="Q1761" s="1033"/>
      <c r="R1761" s="1034" t="str">
        <f t="shared" ref="R1761:R1766" si="398">+S1761&amp;T1761</f>
        <v/>
      </c>
      <c r="S1761" s="1033"/>
      <c r="T1761" s="1035"/>
      <c r="U1761" s="1034" t="str">
        <f t="shared" ref="U1761:U1766" si="399">+V1761&amp;W1761</f>
        <v/>
      </c>
      <c r="V1761" s="1035"/>
      <c r="W1761" s="1035"/>
      <c r="X1761" s="1037" t="str">
        <f t="shared" ref="X1761:X1766" si="400">+Y1761&amp;Z1761</f>
        <v>8</v>
      </c>
      <c r="Y1761" s="1035"/>
      <c r="Z1761" s="1035">
        <f t="shared" si="380"/>
        <v>8</v>
      </c>
      <c r="AA1761" s="1033">
        <v>37</v>
      </c>
      <c r="AB1761" s="1033" t="s">
        <v>2842</v>
      </c>
      <c r="AC1761" s="1021">
        <v>810001</v>
      </c>
      <c r="AD1761" s="1021" t="s">
        <v>275</v>
      </c>
      <c r="AE1761" s="1022">
        <f>VLOOKUP(AC1761,[5]Hoja1!$A$10:$K$1393,11,0)</f>
        <v>47813053</v>
      </c>
      <c r="AF1761" s="1022"/>
      <c r="AG1761" s="1022">
        <f t="shared" si="381"/>
        <v>47813053</v>
      </c>
      <c r="AH1761" s="1022">
        <f t="shared" si="382"/>
        <v>47813</v>
      </c>
      <c r="AK1761" s="448"/>
      <c r="AL1761" s="445"/>
    </row>
    <row r="1762" spans="1:38" s="467" customFormat="1" ht="12.75" customHeight="1">
      <c r="A1762" s="1033">
        <v>5319000</v>
      </c>
      <c r="B1762" s="1033" t="s">
        <v>2846</v>
      </c>
      <c r="C1762" s="1034" t="str">
        <f t="shared" si="393"/>
        <v/>
      </c>
      <c r="D1762" s="1033"/>
      <c r="E1762" s="1033"/>
      <c r="F1762" s="1034" t="str">
        <f t="shared" si="394"/>
        <v/>
      </c>
      <c r="G1762" s="1033"/>
      <c r="H1762" s="1033"/>
      <c r="I1762" s="1034" t="str">
        <f t="shared" si="395"/>
        <v/>
      </c>
      <c r="J1762" s="1033"/>
      <c r="K1762" s="1033"/>
      <c r="L1762" s="1034" t="str">
        <f t="shared" si="396"/>
        <v/>
      </c>
      <c r="M1762" s="1035"/>
      <c r="N1762" s="1035"/>
      <c r="O1762" s="1036" t="str">
        <f t="shared" si="397"/>
        <v/>
      </c>
      <c r="P1762" s="1033"/>
      <c r="Q1762" s="1033"/>
      <c r="R1762" s="1034" t="str">
        <f t="shared" si="398"/>
        <v/>
      </c>
      <c r="S1762" s="1033"/>
      <c r="T1762" s="1035"/>
      <c r="U1762" s="1034" t="str">
        <f t="shared" si="399"/>
        <v/>
      </c>
      <c r="V1762" s="1035"/>
      <c r="W1762" s="1035"/>
      <c r="X1762" s="1037" t="str">
        <f t="shared" si="400"/>
        <v>8</v>
      </c>
      <c r="Y1762" s="1035"/>
      <c r="Z1762" s="1035">
        <f t="shared" si="380"/>
        <v>8</v>
      </c>
      <c r="AA1762" s="1035" t="s">
        <v>2978</v>
      </c>
      <c r="AB1762" s="1033" t="s">
        <v>2979</v>
      </c>
      <c r="AC1762" s="1021">
        <v>810002</v>
      </c>
      <c r="AD1762" s="1021" t="s">
        <v>1786</v>
      </c>
      <c r="AE1762" s="1022">
        <f>VLOOKUP(AC1762,[5]Hoja1!$A$10:$K$1393,11,0)</f>
        <v>1376735420</v>
      </c>
      <c r="AF1762" s="1022"/>
      <c r="AG1762" s="1022">
        <f t="shared" si="381"/>
        <v>1376735420</v>
      </c>
      <c r="AH1762" s="1022">
        <f t="shared" si="382"/>
        <v>1376735</v>
      </c>
      <c r="AK1762" s="448"/>
      <c r="AL1762" s="445"/>
    </row>
    <row r="1763" spans="1:38" s="467" customFormat="1" ht="12.75" customHeight="1">
      <c r="A1763" s="1033">
        <v>5319000</v>
      </c>
      <c r="B1763" s="1033" t="s">
        <v>2846</v>
      </c>
      <c r="C1763" s="1034" t="str">
        <f t="shared" si="393"/>
        <v/>
      </c>
      <c r="D1763" s="1033"/>
      <c r="E1763" s="1033"/>
      <c r="F1763" s="1034" t="str">
        <f t="shared" si="394"/>
        <v/>
      </c>
      <c r="G1763" s="1033"/>
      <c r="H1763" s="1033"/>
      <c r="I1763" s="1034" t="str">
        <f t="shared" si="395"/>
        <v/>
      </c>
      <c r="J1763" s="1033"/>
      <c r="K1763" s="1033"/>
      <c r="L1763" s="1034" t="str">
        <f t="shared" si="396"/>
        <v/>
      </c>
      <c r="M1763" s="1035"/>
      <c r="N1763" s="1035"/>
      <c r="O1763" s="1036" t="str">
        <f t="shared" si="397"/>
        <v/>
      </c>
      <c r="P1763" s="1033"/>
      <c r="Q1763" s="1033"/>
      <c r="R1763" s="1034" t="str">
        <f t="shared" si="398"/>
        <v/>
      </c>
      <c r="S1763" s="1033"/>
      <c r="T1763" s="1035"/>
      <c r="U1763" s="1034" t="str">
        <f t="shared" si="399"/>
        <v/>
      </c>
      <c r="V1763" s="1035"/>
      <c r="W1763" s="1035"/>
      <c r="X1763" s="1037" t="str">
        <f t="shared" si="400"/>
        <v>8</v>
      </c>
      <c r="Y1763" s="1035"/>
      <c r="Z1763" s="1035">
        <f t="shared" si="380"/>
        <v>8</v>
      </c>
      <c r="AA1763" s="1035" t="s">
        <v>2978</v>
      </c>
      <c r="AB1763" s="1033" t="s">
        <v>2980</v>
      </c>
      <c r="AC1763" s="1021">
        <v>810003</v>
      </c>
      <c r="AD1763" s="1021" t="s">
        <v>2528</v>
      </c>
      <c r="AE1763" s="1022">
        <f>VLOOKUP(AC1763,[5]Hoja1!$A$10:$K$1393,11,0)</f>
        <v>157696138</v>
      </c>
      <c r="AF1763" s="1022">
        <v>0</v>
      </c>
      <c r="AG1763" s="1022">
        <f t="shared" si="381"/>
        <v>157696138</v>
      </c>
      <c r="AH1763" s="1022">
        <f t="shared" si="382"/>
        <v>157696</v>
      </c>
      <c r="AK1763" s="448"/>
      <c r="AL1763" s="445"/>
    </row>
    <row r="1764" spans="1:38" s="467" customFormat="1" ht="12.75" customHeight="1">
      <c r="A1764" s="1033">
        <v>5319000</v>
      </c>
      <c r="B1764" s="1033" t="s">
        <v>2846</v>
      </c>
      <c r="C1764" s="1034" t="str">
        <f t="shared" si="393"/>
        <v/>
      </c>
      <c r="D1764" s="1033"/>
      <c r="E1764" s="1033"/>
      <c r="F1764" s="1034" t="str">
        <f t="shared" si="394"/>
        <v/>
      </c>
      <c r="G1764" s="1033"/>
      <c r="H1764" s="1033"/>
      <c r="I1764" s="1034" t="str">
        <f t="shared" si="395"/>
        <v/>
      </c>
      <c r="J1764" s="1033"/>
      <c r="K1764" s="1033"/>
      <c r="L1764" s="1034" t="str">
        <f t="shared" si="396"/>
        <v/>
      </c>
      <c r="M1764" s="1035"/>
      <c r="N1764" s="1035"/>
      <c r="O1764" s="1036" t="str">
        <f t="shared" si="397"/>
        <v/>
      </c>
      <c r="P1764" s="1033"/>
      <c r="Q1764" s="1033"/>
      <c r="R1764" s="1034" t="str">
        <f t="shared" si="398"/>
        <v/>
      </c>
      <c r="S1764" s="1033"/>
      <c r="T1764" s="1035"/>
      <c r="U1764" s="1034" t="str">
        <f t="shared" si="399"/>
        <v/>
      </c>
      <c r="V1764" s="1035"/>
      <c r="W1764" s="1035"/>
      <c r="X1764" s="1037" t="str">
        <f t="shared" si="400"/>
        <v>8</v>
      </c>
      <c r="Y1764" s="1035"/>
      <c r="Z1764" s="1035">
        <f t="shared" si="380"/>
        <v>8</v>
      </c>
      <c r="AA1764" s="1035" t="s">
        <v>2978</v>
      </c>
      <c r="AB1764" s="1033" t="s">
        <v>2981</v>
      </c>
      <c r="AC1764" s="1021">
        <v>810004</v>
      </c>
      <c r="AD1764" s="1021" t="s">
        <v>2529</v>
      </c>
      <c r="AE1764" s="1022">
        <f>VLOOKUP(AC1764,[5]Hoja1!$A$10:$K$1393,11,0)</f>
        <v>-247578707</v>
      </c>
      <c r="AF1764" s="1022">
        <v>0</v>
      </c>
      <c r="AG1764" s="1022">
        <f t="shared" si="381"/>
        <v>-247578707</v>
      </c>
      <c r="AH1764" s="1022">
        <f t="shared" si="382"/>
        <v>-247579</v>
      </c>
      <c r="AK1764" s="448"/>
      <c r="AL1764" s="445"/>
    </row>
    <row r="1765" spans="1:38" s="467" customFormat="1" ht="12.75" customHeight="1">
      <c r="A1765" s="1033">
        <v>5315200</v>
      </c>
      <c r="B1765" s="1033" t="s">
        <v>2842</v>
      </c>
      <c r="C1765" s="1034" t="str">
        <f t="shared" si="393"/>
        <v/>
      </c>
      <c r="D1765" s="1042"/>
      <c r="E1765" s="1042"/>
      <c r="F1765" s="1034" t="str">
        <f t="shared" si="394"/>
        <v/>
      </c>
      <c r="G1765" s="1038"/>
      <c r="H1765" s="1038"/>
      <c r="I1765" s="1034" t="str">
        <f t="shared" si="395"/>
        <v/>
      </c>
      <c r="J1765" s="1038"/>
      <c r="K1765" s="1038"/>
      <c r="L1765" s="1034" t="str">
        <f t="shared" si="396"/>
        <v/>
      </c>
      <c r="M1765" s="1042"/>
      <c r="N1765" s="1042"/>
      <c r="O1765" s="1036" t="str">
        <f t="shared" si="397"/>
        <v/>
      </c>
      <c r="P1765" s="1042"/>
      <c r="Q1765" s="1042"/>
      <c r="R1765" s="1034" t="str">
        <f t="shared" si="398"/>
        <v/>
      </c>
      <c r="S1765" s="1042"/>
      <c r="T1765" s="1052"/>
      <c r="U1765" s="1034" t="str">
        <f t="shared" si="399"/>
        <v/>
      </c>
      <c r="V1765" s="1052"/>
      <c r="W1765" s="1052"/>
      <c r="X1765" s="1037" t="str">
        <f t="shared" si="400"/>
        <v>8</v>
      </c>
      <c r="Y1765" s="1052"/>
      <c r="Z1765" s="1035">
        <f t="shared" si="380"/>
        <v>8</v>
      </c>
      <c r="AA1765" s="1033">
        <v>37</v>
      </c>
      <c r="AB1765" s="1033" t="s">
        <v>2842</v>
      </c>
      <c r="AC1765" s="1021">
        <v>810005</v>
      </c>
      <c r="AD1765" s="1021" t="s">
        <v>1058</v>
      </c>
      <c r="AE1765" s="1022">
        <f>VLOOKUP(AC1765,[5]Hoja1!$A$10:$K$1393,11,0)</f>
        <v>22385216</v>
      </c>
      <c r="AF1765" s="1022">
        <v>0</v>
      </c>
      <c r="AG1765" s="1022">
        <f t="shared" si="381"/>
        <v>22385216</v>
      </c>
      <c r="AH1765" s="1022">
        <f t="shared" si="382"/>
        <v>22385</v>
      </c>
      <c r="AK1765" s="448"/>
      <c r="AL1765" s="445"/>
    </row>
    <row r="1766" spans="1:38" s="467" customFormat="1" ht="12.75" customHeight="1">
      <c r="A1766" s="1033">
        <v>5315200</v>
      </c>
      <c r="B1766" s="1033" t="s">
        <v>2842</v>
      </c>
      <c r="C1766" s="1034" t="str">
        <f t="shared" si="393"/>
        <v/>
      </c>
      <c r="D1766" s="1042"/>
      <c r="E1766" s="1042"/>
      <c r="F1766" s="1034" t="str">
        <f t="shared" si="394"/>
        <v/>
      </c>
      <c r="G1766" s="1038"/>
      <c r="H1766" s="1038"/>
      <c r="I1766" s="1034" t="str">
        <f t="shared" si="395"/>
        <v/>
      </c>
      <c r="J1766" s="1038"/>
      <c r="K1766" s="1038"/>
      <c r="L1766" s="1034" t="str">
        <f t="shared" si="396"/>
        <v/>
      </c>
      <c r="M1766" s="1042"/>
      <c r="N1766" s="1042"/>
      <c r="O1766" s="1036" t="str">
        <f t="shared" si="397"/>
        <v/>
      </c>
      <c r="P1766" s="1042"/>
      <c r="Q1766" s="1042"/>
      <c r="R1766" s="1034" t="str">
        <f t="shared" si="398"/>
        <v/>
      </c>
      <c r="S1766" s="1042"/>
      <c r="T1766" s="1052"/>
      <c r="U1766" s="1034" t="str">
        <f t="shared" si="399"/>
        <v/>
      </c>
      <c r="V1766" s="1052"/>
      <c r="W1766" s="1052"/>
      <c r="X1766" s="1037" t="str">
        <f t="shared" si="400"/>
        <v>8</v>
      </c>
      <c r="Y1766" s="1052"/>
      <c r="Z1766" s="1035">
        <f t="shared" si="380"/>
        <v>8</v>
      </c>
      <c r="AA1766" s="1033">
        <v>37</v>
      </c>
      <c r="AB1766" s="1033" t="s">
        <v>2842</v>
      </c>
      <c r="AC1766" s="1021">
        <v>810006</v>
      </c>
      <c r="AD1766" s="1021" t="s">
        <v>2530</v>
      </c>
      <c r="AE1766" s="1022">
        <f>VLOOKUP(AC1766,[5]Hoja1!$A$10:$K$1393,11,0)</f>
        <v>0</v>
      </c>
      <c r="AF1766" s="1022"/>
      <c r="AG1766" s="1022">
        <f t="shared" si="381"/>
        <v>0</v>
      </c>
      <c r="AH1766" s="1022">
        <f t="shared" si="382"/>
        <v>0</v>
      </c>
      <c r="AI1766" s="501"/>
      <c r="AJ1766" s="501"/>
      <c r="AK1766" s="448"/>
      <c r="AL1766" s="445"/>
    </row>
    <row r="1767" spans="1:38" ht="11.25" customHeight="1">
      <c r="A1767" s="25"/>
      <c r="B1767" s="25"/>
      <c r="C1767" s="10"/>
      <c r="F1767" s="10"/>
      <c r="G1767" s="10"/>
      <c r="H1767" s="10"/>
      <c r="I1767" s="10"/>
      <c r="J1767" s="10"/>
      <c r="K1767" s="10"/>
      <c r="L1767" s="10"/>
      <c r="AC1767" s="32"/>
      <c r="AD1767" s="27"/>
      <c r="AE1767" s="1022" t="s">
        <v>1805</v>
      </c>
      <c r="AF1767" s="432"/>
      <c r="AG1767" s="432"/>
      <c r="AI1767" s="34"/>
      <c r="AJ1767" s="34"/>
      <c r="AK1767" s="448"/>
      <c r="AL1767" s="445"/>
    </row>
    <row r="1768" spans="1:38" ht="11.25" customHeight="1">
      <c r="AD1768" s="12" t="s">
        <v>1787</v>
      </c>
      <c r="AE1768" s="670">
        <f>SUM(AE7:AE1767)</f>
        <v>0</v>
      </c>
      <c r="AF1768" s="670">
        <f>SUM(AF7:AF1767)</f>
        <v>0</v>
      </c>
      <c r="AG1768" s="670">
        <f>SUM(AG7:AG1767)</f>
        <v>0</v>
      </c>
      <c r="AH1768" s="670">
        <f>SUM(AH7:AH1767)</f>
        <v>0</v>
      </c>
      <c r="AI1768" s="29">
        <f>+AH1768-AH992-AH872-AH864-AH836-AH121</f>
        <v>599401</v>
      </c>
      <c r="AJ1768" s="33">
        <v>1101948958051</v>
      </c>
      <c r="AK1768" s="448"/>
      <c r="AL1768" s="445"/>
    </row>
    <row r="1769" spans="1:38" ht="11.25" customHeight="1">
      <c r="Z1769" s="7" t="str">
        <f>+LEFT(AC1769,1)</f>
        <v>1</v>
      </c>
      <c r="AC1769" s="10">
        <v>100000</v>
      </c>
      <c r="AD1769" s="10" t="s">
        <v>1382</v>
      </c>
      <c r="AE1769" s="31"/>
      <c r="AF1769" s="473"/>
      <c r="AG1769" s="473"/>
      <c r="AH1769" s="29">
        <f>SUMIF($Z$7:$Z$1766,Z1769,$AH$7:$AH$1766)</f>
        <v>2011930731</v>
      </c>
      <c r="AI1769" s="29"/>
      <c r="AJ1769" s="10">
        <v>17496485424</v>
      </c>
      <c r="AK1769" s="448"/>
      <c r="AL1769" s="445"/>
    </row>
    <row r="1770" spans="1:38" ht="11.25" customHeight="1">
      <c r="Z1770" s="7" t="str">
        <f>+LEFT(AC1770,1)</f>
        <v>2</v>
      </c>
      <c r="AC1770" s="10">
        <v>200000</v>
      </c>
      <c r="AD1770" s="10" t="s">
        <v>1383</v>
      </c>
      <c r="AH1770" s="29">
        <f>SUMIF($Z$7:$Z$1766,Z1770,$AH$7:$AH$1766)</f>
        <v>-1793874539</v>
      </c>
      <c r="AI1770" s="10"/>
      <c r="AJ1770" s="29">
        <f>+AJ1768+AJ1769</f>
        <v>1119445443475</v>
      </c>
      <c r="AK1770" s="448"/>
      <c r="AL1770" s="445"/>
    </row>
    <row r="1771" spans="1:38" ht="11.25" customHeight="1">
      <c r="Z1771" s="7" t="str">
        <f>+LEFT(AC1771,1)</f>
        <v>3</v>
      </c>
      <c r="AC1771" s="10">
        <v>300000</v>
      </c>
      <c r="AD1771" s="10" t="s">
        <v>1788</v>
      </c>
      <c r="AE1771" s="31">
        <f>+AE348+AE351+AE353+AE357</f>
        <v>35243157477</v>
      </c>
      <c r="AH1771" s="29">
        <f>SUMIF($Z$7:$Z$1766,Z1771,$AH$7:$AH$1766)</f>
        <v>-203164950</v>
      </c>
      <c r="AI1771" s="10"/>
      <c r="AJ1771" s="10">
        <v>36916998292</v>
      </c>
      <c r="AK1771" s="448"/>
      <c r="AL1771" s="445"/>
    </row>
    <row r="1772" spans="1:38" ht="11.25" customHeight="1">
      <c r="AD1772" s="32" t="s">
        <v>1789</v>
      </c>
      <c r="AE1772" s="486">
        <f>-AE354-AE359</f>
        <v>2518478780</v>
      </c>
      <c r="AF1772" s="418"/>
      <c r="AG1772" s="418"/>
      <c r="AH1772" s="669">
        <f>SUM(AH1769:AH1771)</f>
        <v>14891242</v>
      </c>
      <c r="AI1772" s="29">
        <v>-43842953404</v>
      </c>
      <c r="AJ1772" s="10">
        <v>239368431</v>
      </c>
      <c r="AK1772" s="448"/>
      <c r="AL1772" s="445"/>
    </row>
    <row r="1773" spans="1:38" ht="11.25" customHeight="1">
      <c r="AD1773" s="32"/>
      <c r="AE1773" s="560">
        <f>+AE1771+AE1772</f>
        <v>37761636257</v>
      </c>
      <c r="AF1773" s="472"/>
      <c r="AG1773" s="472"/>
      <c r="AH1773" s="30"/>
      <c r="AI1773" s="29">
        <f>+AI1772/1000</f>
        <v>-43842953.403999999</v>
      </c>
      <c r="AJ1773" s="29">
        <f>+AJ1770-AJ1771-AJ1772</f>
        <v>1082289076752</v>
      </c>
      <c r="AK1773" s="448"/>
      <c r="AL1773" s="445"/>
    </row>
    <row r="1774" spans="1:38" ht="11.25" customHeight="1">
      <c r="Z1774" s="7" t="str">
        <f>+LEFT(AC1774,1)</f>
        <v>4</v>
      </c>
      <c r="AC1774" s="10">
        <v>400000</v>
      </c>
      <c r="AD1774" s="10" t="s">
        <v>1790</v>
      </c>
      <c r="AH1774" s="29">
        <f>SUMIF($Z$7:$Z$1766,Z1774,$AH$7:$AH$1766)</f>
        <v>-214702718</v>
      </c>
      <c r="AI1774" s="29">
        <f>+AH1772+AI1773</f>
        <v>-28951711.403999999</v>
      </c>
      <c r="AJ1774" s="29">
        <f>+AE1768+AJ1773</f>
        <v>1082289076752</v>
      </c>
      <c r="AK1774" s="448"/>
      <c r="AL1774" s="445"/>
    </row>
    <row r="1775" spans="1:38" ht="11.25" customHeight="1">
      <c r="Z1775" s="7" t="str">
        <f>+LEFT(AC1775,1)</f>
        <v>5</v>
      </c>
      <c r="AC1775" s="10">
        <v>500000</v>
      </c>
      <c r="AD1775" s="10" t="s">
        <v>1517</v>
      </c>
      <c r="AE1775" s="31">
        <f>+AE1771-AE1772</f>
        <v>32724678697</v>
      </c>
      <c r="AH1775" s="29">
        <f>SUMIF($Z$7:$Z$1766,Z1775,$AH$7:$AH$1766)</f>
        <v>154444639</v>
      </c>
      <c r="AI1775" s="10">
        <f>+AI1774*1000</f>
        <v>-28951711404</v>
      </c>
      <c r="AJ1775" s="10">
        <v>8632535266</v>
      </c>
      <c r="AK1775" s="448"/>
      <c r="AL1775" s="445"/>
    </row>
    <row r="1776" spans="1:38" ht="11.25" customHeight="1">
      <c r="Z1776" s="7" t="str">
        <f>+LEFT(AC1776,1)</f>
        <v>6</v>
      </c>
      <c r="AC1776" s="10">
        <v>600000</v>
      </c>
      <c r="AD1776" s="10" t="s">
        <v>1198</v>
      </c>
      <c r="AH1776" s="29">
        <f>SUMIF($Z$7:$Z$1766,Z1776,$AH$7:$AH$1766)</f>
        <v>19641426</v>
      </c>
      <c r="AI1776" s="10"/>
      <c r="AJ1776" s="10">
        <f>+AJ1771+AJ1772-AJ1775</f>
        <v>28523831457</v>
      </c>
      <c r="AK1776" s="448"/>
      <c r="AL1776" s="445"/>
    </row>
    <row r="1777" spans="1:38" ht="11.25" customHeight="1">
      <c r="A1777" s="10"/>
      <c r="B1777" s="10"/>
      <c r="C1777" s="10"/>
      <c r="D1777" s="10"/>
      <c r="E1777" s="10"/>
      <c r="F1777" s="10"/>
      <c r="G1777" s="10"/>
      <c r="H1777" s="10"/>
      <c r="I1777" s="10"/>
      <c r="J1777" s="10"/>
      <c r="K1777" s="10"/>
      <c r="L1777" s="10"/>
      <c r="M1777" s="10"/>
      <c r="N1777" s="10"/>
      <c r="O1777" s="10"/>
      <c r="P1777" s="10"/>
      <c r="Q1777" s="10"/>
      <c r="R1777" s="10"/>
      <c r="S1777" s="10"/>
      <c r="T1777" s="10"/>
      <c r="U1777" s="10"/>
      <c r="V1777" s="10"/>
      <c r="W1777" s="10"/>
      <c r="Z1777" s="7" t="str">
        <f>+LEFT(AC1777,1)</f>
        <v>7</v>
      </c>
      <c r="AC1777" s="10">
        <v>700000</v>
      </c>
      <c r="AD1777" s="10" t="s">
        <v>1172</v>
      </c>
      <c r="AH1777" s="29">
        <f>SUMIF($Z$7:$Z$1766,Z1777,$AH$7:$AH$1766)</f>
        <v>24368361</v>
      </c>
      <c r="AI1777" s="10"/>
      <c r="AK1777" s="448"/>
      <c r="AL1777" s="445"/>
    </row>
    <row r="1778" spans="1:38" ht="11.25" customHeight="1">
      <c r="A1778" s="10"/>
      <c r="B1778" s="10"/>
      <c r="C1778" s="10"/>
      <c r="D1778" s="10"/>
      <c r="E1778" s="10"/>
      <c r="F1778" s="10"/>
      <c r="G1778" s="10"/>
      <c r="H1778" s="10"/>
      <c r="I1778" s="10"/>
      <c r="J1778" s="10"/>
      <c r="K1778" s="10"/>
      <c r="L1778" s="10"/>
      <c r="M1778" s="10"/>
      <c r="N1778" s="10"/>
      <c r="O1778" s="10"/>
      <c r="P1778" s="10"/>
      <c r="Q1778" s="10"/>
      <c r="R1778" s="10"/>
      <c r="S1778" s="10"/>
      <c r="T1778" s="10"/>
      <c r="U1778" s="10"/>
      <c r="V1778" s="10"/>
      <c r="W1778" s="10"/>
      <c r="Z1778" s="7" t="str">
        <f>+LEFT(AC1778,1)</f>
        <v>8</v>
      </c>
      <c r="AC1778" s="10">
        <v>800000</v>
      </c>
      <c r="AD1778" s="10" t="s">
        <v>1173</v>
      </c>
      <c r="AH1778" s="29">
        <f>SUMIF($Z$7:$Z$1766,Z1778,$AH$7:$AH$1766)</f>
        <v>1357050</v>
      </c>
      <c r="AI1778" s="10"/>
      <c r="AK1778" s="448"/>
      <c r="AL1778" s="445"/>
    </row>
    <row r="1779" spans="1:38" ht="11.25" customHeight="1">
      <c r="A1779" s="10"/>
      <c r="B1779" s="10"/>
      <c r="C1779" s="10"/>
      <c r="D1779" s="10"/>
      <c r="E1779" s="10"/>
      <c r="F1779" s="10"/>
      <c r="G1779" s="10"/>
      <c r="H1779" s="10"/>
      <c r="I1779" s="10"/>
      <c r="J1779" s="10"/>
      <c r="K1779" s="10"/>
      <c r="L1779" s="10"/>
      <c r="M1779" s="10"/>
      <c r="N1779" s="10"/>
      <c r="O1779" s="10"/>
      <c r="P1779" s="10"/>
      <c r="Q1779" s="10"/>
      <c r="R1779" s="10"/>
      <c r="S1779" s="10"/>
      <c r="T1779" s="10"/>
      <c r="U1779" s="10"/>
      <c r="V1779" s="10"/>
      <c r="W1779" s="10"/>
      <c r="X1779" s="26" t="str">
        <f>+Y1779&amp;Z1779</f>
        <v>124</v>
      </c>
      <c r="Y1779" s="7">
        <v>1</v>
      </c>
      <c r="Z1779" s="7">
        <v>24</v>
      </c>
      <c r="AD1779" s="32" t="s">
        <v>628</v>
      </c>
      <c r="AE1779" s="32"/>
      <c r="AF1779" s="418"/>
      <c r="AG1779" s="418"/>
      <c r="AH1779" s="669">
        <f>SUM(AH1774:AH1778)</f>
        <v>-14891242</v>
      </c>
      <c r="AI1779" s="29">
        <v>-19873284.342999998</v>
      </c>
      <c r="AJ1779" s="10">
        <v>2319302516</v>
      </c>
      <c r="AK1779" s="448"/>
      <c r="AL1779" s="445"/>
    </row>
    <row r="1780" spans="1:38" ht="11.25" customHeight="1">
      <c r="A1780" s="10"/>
      <c r="B1780" s="10"/>
      <c r="C1780" s="10"/>
      <c r="D1780" s="10"/>
      <c r="E1780" s="10"/>
      <c r="F1780" s="10"/>
      <c r="G1780" s="10"/>
      <c r="H1780" s="10"/>
      <c r="I1780" s="10"/>
      <c r="J1780" s="10"/>
      <c r="K1780" s="10"/>
      <c r="L1780" s="10"/>
      <c r="M1780" s="10"/>
      <c r="N1780" s="10"/>
      <c r="O1780" s="10"/>
      <c r="P1780" s="10"/>
      <c r="Q1780" s="10"/>
      <c r="R1780" s="10"/>
      <c r="S1780" s="10"/>
      <c r="T1780" s="10"/>
      <c r="U1780" s="10"/>
      <c r="V1780" s="10"/>
      <c r="W1780" s="10"/>
      <c r="AD1780" s="32" t="s">
        <v>629</v>
      </c>
      <c r="AH1780" s="670">
        <f>+AH1779+AH1772</f>
        <v>0</v>
      </c>
      <c r="AI1780" s="29">
        <f>+AH1779-AI1779</f>
        <v>4982042.3429999985</v>
      </c>
      <c r="AJ1780" s="10">
        <f>+AJ1779/1000</f>
        <v>2319302.5159999998</v>
      </c>
      <c r="AK1780" s="448"/>
      <c r="AL1780" s="445"/>
    </row>
    <row r="1781" spans="1:38" ht="11.25" customHeight="1">
      <c r="AI1781" s="10"/>
      <c r="AJ1781" s="29">
        <f>+AH1779+AJ1780</f>
        <v>-12571939.484000001</v>
      </c>
      <c r="AK1781" s="448"/>
      <c r="AL1781" s="445"/>
    </row>
    <row r="1782" spans="1:38" ht="11.25" customHeight="1">
      <c r="A1782" s="10"/>
      <c r="B1782" s="10"/>
      <c r="C1782" s="10"/>
      <c r="D1782" s="10"/>
      <c r="E1782" s="10"/>
      <c r="F1782" s="10"/>
      <c r="G1782" s="10"/>
      <c r="H1782" s="10"/>
      <c r="I1782" s="10"/>
      <c r="J1782" s="10"/>
      <c r="K1782" s="10"/>
      <c r="L1782" s="10"/>
      <c r="M1782" s="10"/>
      <c r="N1782" s="10"/>
      <c r="O1782" s="10"/>
      <c r="P1782" s="10"/>
      <c r="Q1782" s="10"/>
      <c r="R1782" s="10"/>
      <c r="S1782" s="10"/>
      <c r="T1782" s="10"/>
      <c r="U1782" s="10"/>
      <c r="V1782" s="10"/>
      <c r="W1782" s="10"/>
      <c r="AH1782" s="29">
        <v>13413020</v>
      </c>
      <c r="AI1782" s="10"/>
      <c r="AK1782" s="448"/>
      <c r="AL1782" s="445"/>
    </row>
    <row r="1783" spans="1:38" ht="11.25" customHeight="1">
      <c r="A1783" s="10"/>
      <c r="B1783" s="10"/>
      <c r="C1783" s="10"/>
      <c r="D1783" s="10"/>
      <c r="E1783" s="10"/>
      <c r="F1783" s="10"/>
      <c r="G1783" s="10"/>
      <c r="H1783" s="10"/>
      <c r="I1783" s="10"/>
      <c r="J1783" s="10"/>
      <c r="K1783" s="10"/>
      <c r="L1783" s="10"/>
      <c r="M1783" s="10"/>
      <c r="N1783" s="10"/>
      <c r="O1783" s="10"/>
      <c r="P1783" s="10"/>
      <c r="Q1783" s="10"/>
      <c r="R1783" s="10"/>
      <c r="S1783" s="10"/>
      <c r="T1783" s="10"/>
      <c r="U1783" s="10"/>
      <c r="V1783" s="10"/>
      <c r="W1783" s="10"/>
      <c r="AH1783" s="29">
        <f>+AH1779+AH1782</f>
        <v>-1478222</v>
      </c>
      <c r="AI1783" s="29"/>
      <c r="AJ1783" s="29"/>
      <c r="AK1783" s="448"/>
      <c r="AL1783" s="445"/>
    </row>
    <row r="1784" spans="1:38" ht="11.25" customHeight="1">
      <c r="A1784" s="10"/>
      <c r="B1784" s="10"/>
      <c r="C1784" s="10"/>
      <c r="D1784" s="10"/>
      <c r="E1784" s="10"/>
      <c r="F1784" s="10"/>
      <c r="G1784" s="10"/>
      <c r="H1784" s="10"/>
      <c r="I1784" s="10"/>
      <c r="J1784" s="10"/>
      <c r="K1784" s="10"/>
      <c r="L1784" s="10"/>
      <c r="M1784" s="10"/>
      <c r="N1784" s="10"/>
      <c r="O1784" s="10"/>
      <c r="P1784" s="10"/>
      <c r="Q1784" s="10"/>
      <c r="R1784" s="10"/>
      <c r="S1784" s="10"/>
      <c r="T1784" s="10"/>
      <c r="U1784" s="10"/>
      <c r="V1784" s="10"/>
      <c r="W1784" s="10"/>
      <c r="AH1784" s="29"/>
      <c r="AI1784" s="10"/>
      <c r="AJ1784" s="29"/>
      <c r="AK1784" s="448"/>
      <c r="AL1784" s="445"/>
    </row>
    <row r="1785" spans="1:38" ht="11.25" customHeight="1">
      <c r="A1785" s="10"/>
      <c r="B1785" s="10"/>
      <c r="C1785" s="10"/>
      <c r="D1785" s="10"/>
      <c r="E1785" s="10"/>
      <c r="F1785" s="10"/>
      <c r="G1785" s="10"/>
      <c r="H1785" s="10"/>
      <c r="I1785" s="10"/>
      <c r="J1785" s="10"/>
      <c r="K1785" s="10"/>
      <c r="L1785" s="10"/>
      <c r="M1785" s="10"/>
      <c r="N1785" s="10"/>
      <c r="O1785" s="10"/>
      <c r="P1785" s="10"/>
      <c r="Q1785" s="10"/>
      <c r="R1785" s="10"/>
      <c r="S1785" s="10"/>
      <c r="T1785" s="10"/>
      <c r="U1785" s="10"/>
      <c r="V1785" s="10"/>
      <c r="W1785" s="10"/>
      <c r="AH1785" s="29"/>
      <c r="AI1785" s="10"/>
      <c r="AK1785" s="448"/>
      <c r="AL1785" s="445"/>
    </row>
    <row r="1786" spans="1:38" ht="11.25" customHeight="1">
      <c r="AI1786" s="10"/>
      <c r="AK1786" s="448"/>
      <c r="AL1786" s="445"/>
    </row>
    <row r="1787" spans="1:38" ht="11.25" customHeight="1">
      <c r="A1787" s="10"/>
      <c r="B1787" s="10"/>
      <c r="C1787" s="10"/>
      <c r="D1787" s="10"/>
      <c r="E1787" s="10"/>
      <c r="F1787" s="10"/>
      <c r="G1787" s="10"/>
      <c r="H1787" s="10"/>
      <c r="I1787" s="10"/>
      <c r="J1787" s="10"/>
      <c r="K1787" s="10"/>
      <c r="L1787" s="10"/>
      <c r="M1787" s="10"/>
      <c r="N1787" s="10"/>
      <c r="O1787" s="10"/>
      <c r="P1787" s="10"/>
      <c r="Q1787" s="10"/>
      <c r="R1787" s="10"/>
      <c r="S1787" s="10"/>
      <c r="T1787" s="10"/>
      <c r="U1787" s="10"/>
      <c r="V1787" s="10"/>
      <c r="W1787" s="10"/>
      <c r="AH1787" s="29"/>
      <c r="AI1787" s="10"/>
      <c r="AK1787" s="448"/>
      <c r="AL1787" s="445"/>
    </row>
    <row r="1788" spans="1:38" ht="11.25" customHeight="1">
      <c r="AI1788" s="10"/>
      <c r="AK1788" s="448"/>
      <c r="AL1788" s="445"/>
    </row>
    <row r="1789" spans="1:38" ht="11.25" customHeight="1">
      <c r="AI1789" s="10"/>
      <c r="AK1789" s="448"/>
      <c r="AL1789" s="445"/>
    </row>
    <row r="1790" spans="1:38" ht="11.25" customHeight="1">
      <c r="AI1790" s="10"/>
      <c r="AK1790" s="448"/>
      <c r="AL1790" s="445"/>
    </row>
    <row r="1791" spans="1:38" ht="11.25" customHeight="1">
      <c r="AI1791" s="10"/>
      <c r="AK1791" s="448"/>
      <c r="AL1791" s="445"/>
    </row>
    <row r="1792" spans="1:38" ht="11.25" customHeight="1">
      <c r="AI1792" s="10"/>
      <c r="AK1792" s="448"/>
      <c r="AL1792" s="445"/>
    </row>
    <row r="1793" spans="1:38" ht="11.25" customHeight="1">
      <c r="A1793" s="10"/>
      <c r="B1793" s="10"/>
      <c r="C1793" s="10"/>
      <c r="D1793" s="10"/>
      <c r="E1793" s="10"/>
      <c r="F1793" s="10"/>
      <c r="G1793" s="10"/>
      <c r="H1793" s="10"/>
      <c r="I1793" s="10"/>
      <c r="J1793" s="10"/>
      <c r="K1793" s="10"/>
      <c r="L1793" s="10"/>
      <c r="M1793" s="10"/>
      <c r="N1793" s="10"/>
      <c r="O1793" s="10"/>
      <c r="P1793" s="10"/>
      <c r="Q1793" s="10"/>
      <c r="R1793" s="10"/>
      <c r="S1793" s="10"/>
      <c r="T1793" s="10"/>
      <c r="U1793" s="10"/>
      <c r="V1793" s="10"/>
      <c r="W1793" s="10"/>
      <c r="X1793" s="10"/>
      <c r="Y1793" s="10"/>
      <c r="Z1793" s="10"/>
      <c r="AA1793" s="10"/>
      <c r="AB1793" s="10"/>
      <c r="AF1793" s="10"/>
      <c r="AG1793" s="10"/>
      <c r="AI1793" s="10"/>
      <c r="AK1793" s="448"/>
      <c r="AL1793" s="445"/>
    </row>
    <row r="1794" spans="1:38" ht="11.25" customHeight="1">
      <c r="A1794" s="10"/>
      <c r="B1794" s="10"/>
      <c r="C1794" s="10"/>
      <c r="D1794" s="10"/>
      <c r="E1794" s="10"/>
      <c r="F1794" s="10"/>
      <c r="G1794" s="10"/>
      <c r="H1794" s="10"/>
      <c r="I1794" s="10"/>
      <c r="J1794" s="10"/>
      <c r="K1794" s="10"/>
      <c r="L1794" s="10"/>
      <c r="M1794" s="10"/>
      <c r="N1794" s="10"/>
      <c r="O1794" s="10"/>
      <c r="P1794" s="10"/>
      <c r="Q1794" s="10"/>
      <c r="R1794" s="10"/>
      <c r="S1794" s="10"/>
      <c r="T1794" s="10"/>
      <c r="U1794" s="10"/>
      <c r="V1794" s="10"/>
      <c r="W1794" s="10"/>
      <c r="X1794" s="10"/>
      <c r="Y1794" s="10"/>
      <c r="Z1794" s="10"/>
      <c r="AA1794" s="10"/>
      <c r="AB1794" s="10"/>
      <c r="AF1794" s="10"/>
      <c r="AG1794" s="10"/>
      <c r="AI1794" s="10"/>
      <c r="AK1794" s="448"/>
      <c r="AL1794" s="445"/>
    </row>
    <row r="1795" spans="1:38" ht="11.25" customHeight="1">
      <c r="A1795" s="10"/>
      <c r="B1795" s="10"/>
      <c r="C1795" s="10"/>
      <c r="D1795" s="10"/>
      <c r="E1795" s="10"/>
      <c r="F1795" s="10"/>
      <c r="G1795" s="10"/>
      <c r="H1795" s="10"/>
      <c r="I1795" s="10"/>
      <c r="J1795" s="10"/>
      <c r="K1795" s="10"/>
      <c r="L1795" s="10"/>
      <c r="M1795" s="10"/>
      <c r="N1795" s="10"/>
      <c r="O1795" s="10"/>
      <c r="P1795" s="10"/>
      <c r="Q1795" s="10"/>
      <c r="R1795" s="10"/>
      <c r="S1795" s="10"/>
      <c r="T1795" s="10"/>
      <c r="U1795" s="10"/>
      <c r="V1795" s="10"/>
      <c r="W1795" s="10"/>
      <c r="X1795" s="10"/>
      <c r="Y1795" s="10"/>
      <c r="Z1795" s="10"/>
      <c r="AA1795" s="10"/>
      <c r="AB1795" s="10"/>
      <c r="AF1795" s="10"/>
      <c r="AG1795" s="10"/>
      <c r="AI1795" s="10"/>
      <c r="AK1795" s="448"/>
      <c r="AL1795" s="445"/>
    </row>
    <row r="1796" spans="1:38" ht="11.25" customHeight="1">
      <c r="A1796" s="10"/>
      <c r="B1796" s="10"/>
      <c r="C1796" s="10"/>
      <c r="D1796" s="10"/>
      <c r="E1796" s="10"/>
      <c r="F1796" s="10"/>
      <c r="G1796" s="10"/>
      <c r="H1796" s="10"/>
      <c r="I1796" s="10"/>
      <c r="J1796" s="10"/>
      <c r="K1796" s="10"/>
      <c r="L1796" s="10"/>
      <c r="M1796" s="10"/>
      <c r="N1796" s="10"/>
      <c r="O1796" s="10"/>
      <c r="P1796" s="10"/>
      <c r="Q1796" s="10"/>
      <c r="R1796" s="10"/>
      <c r="S1796" s="10"/>
      <c r="T1796" s="10"/>
      <c r="U1796" s="10"/>
      <c r="V1796" s="10"/>
      <c r="W1796" s="10"/>
      <c r="X1796" s="10"/>
      <c r="Y1796" s="10"/>
      <c r="Z1796" s="10"/>
      <c r="AA1796" s="10"/>
      <c r="AB1796" s="10"/>
      <c r="AF1796" s="10"/>
      <c r="AG1796" s="10"/>
      <c r="AI1796" s="10"/>
      <c r="AK1796" s="448"/>
      <c r="AL1796" s="445"/>
    </row>
    <row r="1797" spans="1:38" ht="11.25" customHeight="1">
      <c r="A1797" s="10"/>
      <c r="B1797" s="10"/>
      <c r="C1797" s="10"/>
      <c r="D1797" s="10"/>
      <c r="E1797" s="10"/>
      <c r="F1797" s="10"/>
      <c r="G1797" s="10"/>
      <c r="H1797" s="10"/>
      <c r="I1797" s="10"/>
      <c r="J1797" s="10"/>
      <c r="K1797" s="10"/>
      <c r="L1797" s="10"/>
      <c r="M1797" s="10"/>
      <c r="N1797" s="10"/>
      <c r="O1797" s="10"/>
      <c r="P1797" s="10"/>
      <c r="Q1797" s="10"/>
      <c r="R1797" s="10"/>
      <c r="S1797" s="10"/>
      <c r="T1797" s="10"/>
      <c r="U1797" s="10"/>
      <c r="V1797" s="10"/>
      <c r="W1797" s="10"/>
      <c r="X1797" s="10"/>
      <c r="Y1797" s="10"/>
      <c r="Z1797" s="10"/>
      <c r="AA1797" s="10"/>
      <c r="AB1797" s="10"/>
      <c r="AF1797" s="10"/>
      <c r="AG1797" s="10"/>
      <c r="AI1797" s="10"/>
      <c r="AK1797" s="448"/>
      <c r="AL1797" s="445"/>
    </row>
    <row r="1798" spans="1:38" ht="11.25" customHeight="1">
      <c r="A1798" s="10"/>
      <c r="B1798" s="10"/>
      <c r="C1798" s="10"/>
      <c r="D1798" s="10"/>
      <c r="E1798" s="10"/>
      <c r="F1798" s="10"/>
      <c r="G1798" s="10"/>
      <c r="H1798" s="10"/>
      <c r="I1798" s="10"/>
      <c r="J1798" s="10"/>
      <c r="K1798" s="10"/>
      <c r="L1798" s="10"/>
      <c r="M1798" s="10"/>
      <c r="N1798" s="10"/>
      <c r="O1798" s="10"/>
      <c r="P1798" s="10"/>
      <c r="Q1798" s="10"/>
      <c r="R1798" s="10"/>
      <c r="S1798" s="10"/>
      <c r="T1798" s="10"/>
      <c r="U1798" s="10"/>
      <c r="V1798" s="10"/>
      <c r="W1798" s="10"/>
      <c r="X1798" s="10"/>
      <c r="Y1798" s="10"/>
      <c r="Z1798" s="10"/>
      <c r="AA1798" s="10"/>
      <c r="AB1798" s="10"/>
      <c r="AF1798" s="10"/>
      <c r="AG1798" s="10"/>
      <c r="AI1798" s="10"/>
      <c r="AK1798" s="448"/>
      <c r="AL1798" s="445"/>
    </row>
    <row r="1799" spans="1:38" ht="11.25" customHeight="1">
      <c r="A1799" s="10"/>
      <c r="B1799" s="10"/>
      <c r="C1799" s="10"/>
      <c r="D1799" s="10"/>
      <c r="E1799" s="10"/>
      <c r="F1799" s="10"/>
      <c r="G1799" s="10"/>
      <c r="H1799" s="10"/>
      <c r="I1799" s="10"/>
      <c r="J1799" s="10"/>
      <c r="K1799" s="10"/>
      <c r="L1799" s="10"/>
      <c r="M1799" s="10"/>
      <c r="N1799" s="10"/>
      <c r="O1799" s="10"/>
      <c r="P1799" s="10"/>
      <c r="Q1799" s="10"/>
      <c r="R1799" s="10"/>
      <c r="S1799" s="10"/>
      <c r="T1799" s="10"/>
      <c r="U1799" s="10"/>
      <c r="V1799" s="10"/>
      <c r="W1799" s="10"/>
      <c r="X1799" s="10"/>
      <c r="Y1799" s="10"/>
      <c r="Z1799" s="10"/>
      <c r="AA1799" s="10"/>
      <c r="AB1799" s="10"/>
      <c r="AF1799" s="10"/>
      <c r="AG1799" s="10"/>
      <c r="AI1799" s="10"/>
      <c r="AK1799" s="448"/>
      <c r="AL1799" s="445"/>
    </row>
    <row r="1800" spans="1:38" ht="11.25" customHeight="1">
      <c r="A1800" s="10"/>
      <c r="B1800" s="10"/>
      <c r="C1800" s="10"/>
      <c r="D1800" s="10"/>
      <c r="E1800" s="10"/>
      <c r="F1800" s="10"/>
      <c r="G1800" s="10"/>
      <c r="H1800" s="10"/>
      <c r="I1800" s="10"/>
      <c r="J1800" s="10"/>
      <c r="K1800" s="10"/>
      <c r="L1800" s="10"/>
      <c r="M1800" s="10"/>
      <c r="N1800" s="10"/>
      <c r="O1800" s="10"/>
      <c r="P1800" s="10"/>
      <c r="Q1800" s="10"/>
      <c r="R1800" s="10"/>
      <c r="S1800" s="10"/>
      <c r="T1800" s="10"/>
      <c r="U1800" s="10"/>
      <c r="V1800" s="10"/>
      <c r="W1800" s="10"/>
      <c r="X1800" s="10"/>
      <c r="Y1800" s="10"/>
      <c r="Z1800" s="10"/>
      <c r="AA1800" s="10"/>
      <c r="AB1800" s="10"/>
      <c r="AF1800" s="10"/>
      <c r="AG1800" s="10"/>
      <c r="AI1800" s="10"/>
      <c r="AK1800" s="448"/>
      <c r="AL1800" s="445"/>
    </row>
    <row r="1801" spans="1:38" ht="11.25" customHeight="1">
      <c r="A1801" s="10"/>
      <c r="B1801" s="10"/>
      <c r="C1801" s="10"/>
      <c r="D1801" s="10"/>
      <c r="E1801" s="10"/>
      <c r="F1801" s="10"/>
      <c r="G1801" s="10"/>
      <c r="H1801" s="10"/>
      <c r="I1801" s="10"/>
      <c r="J1801" s="10"/>
      <c r="K1801" s="10"/>
      <c r="L1801" s="10"/>
      <c r="M1801" s="10"/>
      <c r="N1801" s="10"/>
      <c r="O1801" s="10"/>
      <c r="P1801" s="10"/>
      <c r="Q1801" s="10"/>
      <c r="R1801" s="10"/>
      <c r="S1801" s="10"/>
      <c r="T1801" s="10"/>
      <c r="U1801" s="10"/>
      <c r="V1801" s="10"/>
      <c r="W1801" s="10"/>
      <c r="X1801" s="10"/>
      <c r="Y1801" s="10"/>
      <c r="Z1801" s="10"/>
      <c r="AA1801" s="10"/>
      <c r="AB1801" s="10"/>
      <c r="AF1801" s="10"/>
      <c r="AG1801" s="10"/>
      <c r="AI1801" s="10"/>
      <c r="AK1801" s="448"/>
      <c r="AL1801" s="445"/>
    </row>
    <row r="1802" spans="1:38" ht="11.25" customHeight="1">
      <c r="A1802" s="10"/>
      <c r="B1802" s="10"/>
      <c r="C1802" s="10"/>
      <c r="D1802" s="10"/>
      <c r="E1802" s="10"/>
      <c r="F1802" s="10"/>
      <c r="G1802" s="10"/>
      <c r="H1802" s="10"/>
      <c r="I1802" s="10"/>
      <c r="J1802" s="10"/>
      <c r="K1802" s="10"/>
      <c r="L1802" s="10"/>
      <c r="M1802" s="10"/>
      <c r="N1802" s="10"/>
      <c r="O1802" s="10"/>
      <c r="P1802" s="10"/>
      <c r="Q1802" s="10"/>
      <c r="R1802" s="10"/>
      <c r="S1802" s="10"/>
      <c r="T1802" s="10"/>
      <c r="U1802" s="10"/>
      <c r="V1802" s="10"/>
      <c r="W1802" s="10"/>
      <c r="X1802" s="10"/>
      <c r="Y1802" s="10"/>
      <c r="Z1802" s="10"/>
      <c r="AA1802" s="10"/>
      <c r="AB1802" s="10"/>
      <c r="AF1802" s="10"/>
      <c r="AG1802" s="10"/>
      <c r="AI1802" s="10"/>
      <c r="AK1802" s="448"/>
      <c r="AL1802" s="445"/>
    </row>
    <row r="1803" spans="1:38" ht="11.25" customHeight="1">
      <c r="A1803" s="10"/>
      <c r="B1803" s="10"/>
      <c r="C1803" s="10"/>
      <c r="D1803" s="10"/>
      <c r="E1803" s="10"/>
      <c r="F1803" s="10"/>
      <c r="G1803" s="10"/>
      <c r="H1803" s="10"/>
      <c r="I1803" s="10"/>
      <c r="J1803" s="10"/>
      <c r="K1803" s="10"/>
      <c r="L1803" s="10"/>
      <c r="M1803" s="10"/>
      <c r="N1803" s="10"/>
      <c r="O1803" s="10"/>
      <c r="P1803" s="10"/>
      <c r="Q1803" s="10"/>
      <c r="R1803" s="10"/>
      <c r="S1803" s="10"/>
      <c r="T1803" s="10"/>
      <c r="U1803" s="10"/>
      <c r="V1803" s="10"/>
      <c r="W1803" s="10"/>
      <c r="X1803" s="10"/>
      <c r="Y1803" s="10"/>
      <c r="Z1803" s="10"/>
      <c r="AA1803" s="10"/>
      <c r="AB1803" s="10"/>
      <c r="AF1803" s="10"/>
      <c r="AG1803" s="10"/>
      <c r="AI1803" s="10"/>
      <c r="AK1803" s="448"/>
      <c r="AL1803" s="445"/>
    </row>
    <row r="1804" spans="1:38" ht="11.25" customHeight="1">
      <c r="A1804" s="10"/>
      <c r="B1804" s="10"/>
      <c r="C1804" s="10"/>
      <c r="D1804" s="10"/>
      <c r="E1804" s="10"/>
      <c r="F1804" s="10"/>
      <c r="G1804" s="10"/>
      <c r="H1804" s="10"/>
      <c r="I1804" s="10"/>
      <c r="J1804" s="10"/>
      <c r="K1804" s="10"/>
      <c r="L1804" s="10"/>
      <c r="M1804" s="10"/>
      <c r="N1804" s="10"/>
      <c r="O1804" s="10"/>
      <c r="P1804" s="10"/>
      <c r="Q1804" s="10"/>
      <c r="R1804" s="10"/>
      <c r="S1804" s="10"/>
      <c r="T1804" s="10"/>
      <c r="U1804" s="10"/>
      <c r="V1804" s="10"/>
      <c r="W1804" s="10"/>
      <c r="X1804" s="10"/>
      <c r="Y1804" s="10"/>
      <c r="Z1804" s="10"/>
      <c r="AA1804" s="10"/>
      <c r="AB1804" s="10"/>
      <c r="AF1804" s="10"/>
      <c r="AG1804" s="10"/>
      <c r="AI1804" s="10"/>
      <c r="AK1804" s="448"/>
      <c r="AL1804" s="445"/>
    </row>
    <row r="1805" spans="1:38" ht="11.25" customHeight="1">
      <c r="A1805" s="10"/>
      <c r="B1805" s="10"/>
      <c r="C1805" s="10"/>
      <c r="D1805" s="10"/>
      <c r="E1805" s="10"/>
      <c r="F1805" s="10"/>
      <c r="G1805" s="10"/>
      <c r="H1805" s="10"/>
      <c r="I1805" s="10"/>
      <c r="J1805" s="10"/>
      <c r="K1805" s="10"/>
      <c r="L1805" s="10"/>
      <c r="M1805" s="10"/>
      <c r="N1805" s="10"/>
      <c r="O1805" s="10"/>
      <c r="P1805" s="10"/>
      <c r="Q1805" s="10"/>
      <c r="R1805" s="10"/>
      <c r="S1805" s="10"/>
      <c r="T1805" s="10"/>
      <c r="U1805" s="10"/>
      <c r="V1805" s="10"/>
      <c r="W1805" s="10"/>
      <c r="X1805" s="10"/>
      <c r="Y1805" s="10"/>
      <c r="Z1805" s="10"/>
      <c r="AA1805" s="10"/>
      <c r="AB1805" s="10"/>
      <c r="AF1805" s="10"/>
      <c r="AG1805" s="10"/>
      <c r="AI1805" s="10"/>
      <c r="AK1805" s="448"/>
      <c r="AL1805" s="445"/>
    </row>
    <row r="1806" spans="1:38" ht="11.25" customHeight="1">
      <c r="A1806" s="10"/>
      <c r="B1806" s="10"/>
      <c r="C1806" s="10"/>
      <c r="D1806" s="10"/>
      <c r="E1806" s="10"/>
      <c r="F1806" s="10"/>
      <c r="G1806" s="10"/>
      <c r="H1806" s="10"/>
      <c r="I1806" s="10"/>
      <c r="J1806" s="10"/>
      <c r="K1806" s="10"/>
      <c r="L1806" s="10"/>
      <c r="M1806" s="10"/>
      <c r="N1806" s="10"/>
      <c r="O1806" s="10"/>
      <c r="P1806" s="10"/>
      <c r="Q1806" s="10"/>
      <c r="R1806" s="10"/>
      <c r="S1806" s="10"/>
      <c r="T1806" s="10"/>
      <c r="U1806" s="10"/>
      <c r="V1806" s="10"/>
      <c r="W1806" s="10"/>
      <c r="X1806" s="10"/>
      <c r="Y1806" s="10"/>
      <c r="Z1806" s="10"/>
      <c r="AA1806" s="10"/>
      <c r="AB1806" s="10"/>
      <c r="AF1806" s="10"/>
      <c r="AG1806" s="10"/>
      <c r="AI1806" s="10"/>
      <c r="AK1806" s="448"/>
      <c r="AL1806" s="445"/>
    </row>
    <row r="1807" spans="1:38" ht="11.25" customHeight="1">
      <c r="A1807" s="10"/>
      <c r="B1807" s="10"/>
      <c r="C1807" s="10"/>
      <c r="D1807" s="10"/>
      <c r="E1807" s="10"/>
      <c r="F1807" s="10"/>
      <c r="G1807" s="10"/>
      <c r="H1807" s="10"/>
      <c r="I1807" s="10"/>
      <c r="J1807" s="10"/>
      <c r="K1807" s="10"/>
      <c r="L1807" s="10"/>
      <c r="M1807" s="10"/>
      <c r="N1807" s="10"/>
      <c r="O1807" s="10"/>
      <c r="P1807" s="10"/>
      <c r="Q1807" s="10"/>
      <c r="R1807" s="10"/>
      <c r="S1807" s="10"/>
      <c r="T1807" s="10"/>
      <c r="U1807" s="10"/>
      <c r="V1807" s="10"/>
      <c r="W1807" s="10"/>
      <c r="X1807" s="10"/>
      <c r="Y1807" s="10"/>
      <c r="Z1807" s="10"/>
      <c r="AA1807" s="10"/>
      <c r="AB1807" s="10"/>
      <c r="AF1807" s="10"/>
      <c r="AG1807" s="10"/>
      <c r="AI1807" s="10"/>
      <c r="AK1807" s="448"/>
      <c r="AL1807" s="445"/>
    </row>
    <row r="1808" spans="1:38" ht="11.25" customHeight="1">
      <c r="A1808" s="10"/>
      <c r="B1808" s="10"/>
      <c r="C1808" s="10"/>
      <c r="D1808" s="10"/>
      <c r="E1808" s="10"/>
      <c r="F1808" s="10"/>
      <c r="G1808" s="10"/>
      <c r="H1808" s="10"/>
      <c r="I1808" s="10"/>
      <c r="J1808" s="10"/>
      <c r="K1808" s="10"/>
      <c r="L1808" s="10"/>
      <c r="M1808" s="10"/>
      <c r="N1808" s="10"/>
      <c r="O1808" s="10"/>
      <c r="P1808" s="10"/>
      <c r="Q1808" s="10"/>
      <c r="R1808" s="10"/>
      <c r="S1808" s="10"/>
      <c r="T1808" s="10"/>
      <c r="U1808" s="10"/>
      <c r="V1808" s="10"/>
      <c r="W1808" s="10"/>
      <c r="X1808" s="10"/>
      <c r="Y1808" s="10"/>
      <c r="Z1808" s="10"/>
      <c r="AA1808" s="10"/>
      <c r="AB1808" s="10"/>
      <c r="AF1808" s="10"/>
      <c r="AG1808" s="10"/>
      <c r="AI1808" s="10"/>
      <c r="AK1808" s="448"/>
      <c r="AL1808" s="445"/>
    </row>
    <row r="1809" spans="1:38" ht="11.25" customHeight="1">
      <c r="A1809" s="10"/>
      <c r="B1809" s="10"/>
      <c r="C1809" s="10"/>
      <c r="D1809" s="10"/>
      <c r="E1809" s="10"/>
      <c r="F1809" s="10"/>
      <c r="G1809" s="10"/>
      <c r="H1809" s="10"/>
      <c r="I1809" s="10"/>
      <c r="J1809" s="10"/>
      <c r="K1809" s="10"/>
      <c r="L1809" s="10"/>
      <c r="M1809" s="10"/>
      <c r="N1809" s="10"/>
      <c r="O1809" s="10"/>
      <c r="P1809" s="10"/>
      <c r="Q1809" s="10"/>
      <c r="R1809" s="10"/>
      <c r="S1809" s="10"/>
      <c r="T1809" s="10"/>
      <c r="U1809" s="10"/>
      <c r="V1809" s="10"/>
      <c r="W1809" s="10"/>
      <c r="X1809" s="10"/>
      <c r="Y1809" s="10"/>
      <c r="Z1809" s="10"/>
      <c r="AA1809" s="10"/>
      <c r="AB1809" s="10"/>
      <c r="AF1809" s="10"/>
      <c r="AG1809" s="10"/>
      <c r="AI1809" s="10"/>
      <c r="AK1809" s="448"/>
      <c r="AL1809" s="445"/>
    </row>
    <row r="1810" spans="1:38" ht="11.25" customHeight="1">
      <c r="A1810" s="10"/>
      <c r="B1810" s="10"/>
      <c r="C1810" s="10"/>
      <c r="D1810" s="10"/>
      <c r="E1810" s="10"/>
      <c r="F1810" s="10"/>
      <c r="G1810" s="10"/>
      <c r="H1810" s="10"/>
      <c r="I1810" s="10"/>
      <c r="J1810" s="10"/>
      <c r="K1810" s="10"/>
      <c r="L1810" s="10"/>
      <c r="M1810" s="10"/>
      <c r="N1810" s="10"/>
      <c r="O1810" s="10"/>
      <c r="P1810" s="10"/>
      <c r="Q1810" s="10"/>
      <c r="R1810" s="10"/>
      <c r="S1810" s="10"/>
      <c r="T1810" s="10"/>
      <c r="U1810" s="10"/>
      <c r="V1810" s="10"/>
      <c r="W1810" s="10"/>
      <c r="X1810" s="10"/>
      <c r="Y1810" s="10"/>
      <c r="Z1810" s="10"/>
      <c r="AA1810" s="10"/>
      <c r="AB1810" s="10"/>
      <c r="AF1810" s="10"/>
      <c r="AG1810" s="10"/>
      <c r="AI1810" s="10"/>
      <c r="AK1810" s="448"/>
      <c r="AL1810" s="445"/>
    </row>
    <row r="1811" spans="1:38" ht="11.25" customHeight="1">
      <c r="A1811" s="10"/>
      <c r="B1811" s="10"/>
      <c r="C1811" s="10"/>
      <c r="D1811" s="10"/>
      <c r="E1811" s="10"/>
      <c r="F1811" s="10"/>
      <c r="G1811" s="10"/>
      <c r="H1811" s="10"/>
      <c r="I1811" s="10"/>
      <c r="J1811" s="10"/>
      <c r="K1811" s="10"/>
      <c r="L1811" s="10"/>
      <c r="M1811" s="10"/>
      <c r="N1811" s="10"/>
      <c r="O1811" s="10"/>
      <c r="P1811" s="10"/>
      <c r="Q1811" s="10"/>
      <c r="R1811" s="10"/>
      <c r="S1811" s="10"/>
      <c r="T1811" s="10"/>
      <c r="U1811" s="10"/>
      <c r="V1811" s="10"/>
      <c r="W1811" s="10"/>
      <c r="X1811" s="10"/>
      <c r="Y1811" s="10"/>
      <c r="Z1811" s="10"/>
      <c r="AA1811" s="10"/>
      <c r="AB1811" s="10"/>
      <c r="AF1811" s="10"/>
      <c r="AG1811" s="10"/>
      <c r="AI1811" s="10"/>
      <c r="AK1811" s="448"/>
      <c r="AL1811" s="445"/>
    </row>
    <row r="1812" spans="1:38" ht="11.25" customHeight="1">
      <c r="A1812" s="10"/>
      <c r="B1812" s="10"/>
      <c r="C1812" s="10"/>
      <c r="D1812" s="10"/>
      <c r="E1812" s="10"/>
      <c r="F1812" s="10"/>
      <c r="G1812" s="10"/>
      <c r="H1812" s="10"/>
      <c r="I1812" s="10"/>
      <c r="J1812" s="10"/>
      <c r="K1812" s="10"/>
      <c r="L1812" s="10"/>
      <c r="M1812" s="10"/>
      <c r="N1812" s="10"/>
      <c r="O1812" s="10"/>
      <c r="P1812" s="10"/>
      <c r="Q1812" s="10"/>
      <c r="R1812" s="10"/>
      <c r="S1812" s="10"/>
      <c r="T1812" s="10"/>
      <c r="U1812" s="10"/>
      <c r="V1812" s="10"/>
      <c r="W1812" s="10"/>
      <c r="X1812" s="10"/>
      <c r="Y1812" s="10"/>
      <c r="Z1812" s="10"/>
      <c r="AA1812" s="10"/>
      <c r="AB1812" s="10"/>
      <c r="AF1812" s="10"/>
      <c r="AG1812" s="10"/>
      <c r="AI1812" s="10"/>
      <c r="AK1812" s="448"/>
      <c r="AL1812" s="445"/>
    </row>
    <row r="1813" spans="1:38" ht="11.25" customHeight="1">
      <c r="A1813" s="10"/>
      <c r="B1813" s="10"/>
      <c r="C1813" s="10"/>
      <c r="D1813" s="10"/>
      <c r="E1813" s="10"/>
      <c r="F1813" s="10"/>
      <c r="G1813" s="10"/>
      <c r="H1813" s="10"/>
      <c r="I1813" s="10"/>
      <c r="J1813" s="10"/>
      <c r="K1813" s="10"/>
      <c r="L1813" s="10"/>
      <c r="M1813" s="10"/>
      <c r="N1813" s="10"/>
      <c r="O1813" s="10"/>
      <c r="P1813" s="10"/>
      <c r="Q1813" s="10"/>
      <c r="R1813" s="10"/>
      <c r="S1813" s="10"/>
      <c r="T1813" s="10"/>
      <c r="U1813" s="10"/>
      <c r="V1813" s="10"/>
      <c r="W1813" s="10"/>
      <c r="X1813" s="10"/>
      <c r="Y1813" s="10"/>
      <c r="Z1813" s="10"/>
      <c r="AA1813" s="10"/>
      <c r="AB1813" s="10"/>
      <c r="AF1813" s="10"/>
      <c r="AG1813" s="10"/>
      <c r="AI1813" s="10"/>
      <c r="AK1813" s="448"/>
      <c r="AL1813" s="445"/>
    </row>
    <row r="1814" spans="1:38" ht="11.25" customHeight="1">
      <c r="A1814" s="10"/>
      <c r="B1814" s="10"/>
      <c r="C1814" s="10"/>
      <c r="D1814" s="10"/>
      <c r="E1814" s="10"/>
      <c r="F1814" s="10"/>
      <c r="G1814" s="10"/>
      <c r="H1814" s="10"/>
      <c r="I1814" s="10"/>
      <c r="J1814" s="10"/>
      <c r="K1814" s="10"/>
      <c r="L1814" s="10"/>
      <c r="M1814" s="10"/>
      <c r="N1814" s="10"/>
      <c r="O1814" s="10"/>
      <c r="P1814" s="10"/>
      <c r="Q1814" s="10"/>
      <c r="R1814" s="10"/>
      <c r="S1814" s="10"/>
      <c r="T1814" s="10"/>
      <c r="U1814" s="10"/>
      <c r="V1814" s="10"/>
      <c r="W1814" s="10"/>
      <c r="X1814" s="10"/>
      <c r="Y1814" s="10"/>
      <c r="Z1814" s="10"/>
      <c r="AA1814" s="10"/>
      <c r="AB1814" s="10"/>
      <c r="AF1814" s="10"/>
      <c r="AG1814" s="10"/>
      <c r="AI1814" s="10"/>
      <c r="AK1814" s="448"/>
      <c r="AL1814" s="445"/>
    </row>
    <row r="1815" spans="1:38" ht="11.25" customHeight="1">
      <c r="A1815" s="10"/>
      <c r="B1815" s="10"/>
      <c r="C1815" s="10"/>
      <c r="D1815" s="10"/>
      <c r="E1815" s="10"/>
      <c r="F1815" s="10"/>
      <c r="G1815" s="10"/>
      <c r="H1815" s="10"/>
      <c r="I1815" s="10"/>
      <c r="J1815" s="10"/>
      <c r="K1815" s="10"/>
      <c r="L1815" s="10"/>
      <c r="M1815" s="10"/>
      <c r="N1815" s="10"/>
      <c r="O1815" s="10"/>
      <c r="P1815" s="10"/>
      <c r="Q1815" s="10"/>
      <c r="R1815" s="10"/>
      <c r="S1815" s="10"/>
      <c r="T1815" s="10"/>
      <c r="U1815" s="10"/>
      <c r="V1815" s="10"/>
      <c r="W1815" s="10"/>
      <c r="X1815" s="10"/>
      <c r="Y1815" s="10"/>
      <c r="Z1815" s="10"/>
      <c r="AA1815" s="10"/>
      <c r="AB1815" s="10"/>
      <c r="AF1815" s="10"/>
      <c r="AG1815" s="10"/>
      <c r="AI1815" s="10"/>
      <c r="AK1815" s="448"/>
      <c r="AL1815" s="445"/>
    </row>
    <row r="1816" spans="1:38" ht="11.25" customHeight="1">
      <c r="A1816" s="10"/>
      <c r="B1816" s="10"/>
      <c r="C1816" s="10"/>
      <c r="D1816" s="10"/>
      <c r="E1816" s="10"/>
      <c r="F1816" s="10"/>
      <c r="G1816" s="10"/>
      <c r="H1816" s="10"/>
      <c r="I1816" s="10"/>
      <c r="J1816" s="10"/>
      <c r="K1816" s="10"/>
      <c r="L1816" s="10"/>
      <c r="M1816" s="10"/>
      <c r="N1816" s="10"/>
      <c r="O1816" s="10"/>
      <c r="P1816" s="10"/>
      <c r="Q1816" s="10"/>
      <c r="R1816" s="10"/>
      <c r="S1816" s="10"/>
      <c r="T1816" s="10"/>
      <c r="U1816" s="10"/>
      <c r="V1816" s="10"/>
      <c r="W1816" s="10"/>
      <c r="X1816" s="10"/>
      <c r="Y1816" s="10"/>
      <c r="Z1816" s="10"/>
      <c r="AA1816" s="10"/>
      <c r="AB1816" s="10"/>
      <c r="AF1816" s="10"/>
      <c r="AG1816" s="10"/>
      <c r="AI1816" s="10"/>
      <c r="AK1816" s="448"/>
      <c r="AL1816" s="445"/>
    </row>
    <row r="1817" spans="1:38" ht="11.25" customHeight="1">
      <c r="A1817" s="10"/>
      <c r="B1817" s="10"/>
      <c r="C1817" s="10"/>
      <c r="D1817" s="10"/>
      <c r="E1817" s="10"/>
      <c r="F1817" s="10"/>
      <c r="G1817" s="10"/>
      <c r="H1817" s="10"/>
      <c r="I1817" s="10"/>
      <c r="J1817" s="10"/>
      <c r="K1817" s="10"/>
      <c r="L1817" s="10"/>
      <c r="M1817" s="10"/>
      <c r="N1817" s="10"/>
      <c r="O1817" s="10"/>
      <c r="P1817" s="10"/>
      <c r="Q1817" s="10"/>
      <c r="R1817" s="10"/>
      <c r="S1817" s="10"/>
      <c r="T1817" s="10"/>
      <c r="U1817" s="10"/>
      <c r="V1817" s="10"/>
      <c r="W1817" s="10"/>
      <c r="X1817" s="10"/>
      <c r="Y1817" s="10"/>
      <c r="Z1817" s="10"/>
      <c r="AA1817" s="10"/>
      <c r="AB1817" s="10"/>
      <c r="AF1817" s="10"/>
      <c r="AG1817" s="10"/>
      <c r="AI1817" s="10"/>
      <c r="AK1817" s="448"/>
      <c r="AL1817" s="445"/>
    </row>
    <row r="1818" spans="1:38" ht="11.25" customHeight="1">
      <c r="A1818" s="10"/>
      <c r="B1818" s="10"/>
      <c r="C1818" s="10"/>
      <c r="D1818" s="10"/>
      <c r="E1818" s="10"/>
      <c r="F1818" s="10"/>
      <c r="G1818" s="10"/>
      <c r="H1818" s="10"/>
      <c r="I1818" s="10"/>
      <c r="J1818" s="10"/>
      <c r="K1818" s="10"/>
      <c r="L1818" s="10"/>
      <c r="M1818" s="10"/>
      <c r="N1818" s="10"/>
      <c r="O1818" s="10"/>
      <c r="P1818" s="10"/>
      <c r="Q1818" s="10"/>
      <c r="R1818" s="10"/>
      <c r="S1818" s="10"/>
      <c r="T1818" s="10"/>
      <c r="U1818" s="10"/>
      <c r="V1818" s="10"/>
      <c r="W1818" s="10"/>
      <c r="X1818" s="10"/>
      <c r="Y1818" s="10"/>
      <c r="Z1818" s="10"/>
      <c r="AA1818" s="10"/>
      <c r="AB1818" s="10"/>
      <c r="AF1818" s="10"/>
      <c r="AG1818" s="10"/>
      <c r="AI1818" s="10"/>
      <c r="AK1818" s="448"/>
      <c r="AL1818" s="445"/>
    </row>
    <row r="1819" spans="1:38" ht="11.25" customHeight="1">
      <c r="A1819" s="10"/>
      <c r="B1819" s="10"/>
      <c r="C1819" s="10"/>
      <c r="D1819" s="10"/>
      <c r="E1819" s="10"/>
      <c r="F1819" s="10"/>
      <c r="G1819" s="10"/>
      <c r="H1819" s="10"/>
      <c r="I1819" s="10"/>
      <c r="J1819" s="10"/>
      <c r="K1819" s="10"/>
      <c r="L1819" s="10"/>
      <c r="M1819" s="10"/>
      <c r="N1819" s="10"/>
      <c r="O1819" s="10"/>
      <c r="P1819" s="10"/>
      <c r="Q1819" s="10"/>
      <c r="R1819" s="10"/>
      <c r="S1819" s="10"/>
      <c r="T1819" s="10"/>
      <c r="U1819" s="10"/>
      <c r="V1819" s="10"/>
      <c r="W1819" s="10"/>
      <c r="X1819" s="10"/>
      <c r="Y1819" s="10"/>
      <c r="Z1819" s="10"/>
      <c r="AA1819" s="10"/>
      <c r="AB1819" s="10"/>
      <c r="AF1819" s="10"/>
      <c r="AG1819" s="10"/>
      <c r="AI1819" s="10"/>
      <c r="AK1819" s="448"/>
      <c r="AL1819" s="445"/>
    </row>
    <row r="1820" spans="1:38" ht="11.25" customHeight="1">
      <c r="A1820" s="10"/>
      <c r="B1820" s="10"/>
      <c r="C1820" s="10"/>
      <c r="D1820" s="10"/>
      <c r="E1820" s="10"/>
      <c r="F1820" s="10"/>
      <c r="G1820" s="10"/>
      <c r="H1820" s="10"/>
      <c r="I1820" s="10"/>
      <c r="J1820" s="10"/>
      <c r="K1820" s="10"/>
      <c r="L1820" s="10"/>
      <c r="M1820" s="10"/>
      <c r="N1820" s="10"/>
      <c r="O1820" s="10"/>
      <c r="P1820" s="10"/>
      <c r="Q1820" s="10"/>
      <c r="R1820" s="10"/>
      <c r="S1820" s="10"/>
      <c r="T1820" s="10"/>
      <c r="U1820" s="10"/>
      <c r="V1820" s="10"/>
      <c r="W1820" s="10"/>
      <c r="X1820" s="10"/>
      <c r="Y1820" s="10"/>
      <c r="Z1820" s="10"/>
      <c r="AA1820" s="10"/>
      <c r="AB1820" s="10"/>
      <c r="AF1820" s="10"/>
      <c r="AG1820" s="10"/>
      <c r="AI1820" s="10"/>
      <c r="AK1820" s="448"/>
      <c r="AL1820" s="445"/>
    </row>
    <row r="1821" spans="1:38" ht="11.25" customHeight="1">
      <c r="A1821" s="10"/>
      <c r="B1821" s="10"/>
      <c r="C1821" s="10"/>
      <c r="D1821" s="10"/>
      <c r="E1821" s="10"/>
      <c r="F1821" s="10"/>
      <c r="G1821" s="10"/>
      <c r="H1821" s="10"/>
      <c r="I1821" s="10"/>
      <c r="J1821" s="10"/>
      <c r="K1821" s="10"/>
      <c r="L1821" s="10"/>
      <c r="M1821" s="10"/>
      <c r="N1821" s="10"/>
      <c r="O1821" s="10"/>
      <c r="P1821" s="10"/>
      <c r="Q1821" s="10"/>
      <c r="R1821" s="10"/>
      <c r="S1821" s="10"/>
      <c r="T1821" s="10"/>
      <c r="U1821" s="10"/>
      <c r="V1821" s="10"/>
      <c r="W1821" s="10"/>
      <c r="X1821" s="10"/>
      <c r="Y1821" s="10"/>
      <c r="Z1821" s="10"/>
      <c r="AA1821" s="10"/>
      <c r="AB1821" s="10"/>
      <c r="AF1821" s="10"/>
      <c r="AG1821" s="10"/>
      <c r="AI1821" s="10"/>
      <c r="AK1821" s="448"/>
      <c r="AL1821" s="445"/>
    </row>
    <row r="1822" spans="1:38" ht="11.25" customHeight="1">
      <c r="A1822" s="10"/>
      <c r="B1822" s="10"/>
      <c r="C1822" s="10"/>
      <c r="D1822" s="10"/>
      <c r="E1822" s="10"/>
      <c r="F1822" s="10"/>
      <c r="G1822" s="10"/>
      <c r="H1822" s="10"/>
      <c r="I1822" s="10"/>
      <c r="J1822" s="10"/>
      <c r="K1822" s="10"/>
      <c r="L1822" s="10"/>
      <c r="M1822" s="10"/>
      <c r="N1822" s="10"/>
      <c r="O1822" s="10"/>
      <c r="P1822" s="10"/>
      <c r="Q1822" s="10"/>
      <c r="R1822" s="10"/>
      <c r="S1822" s="10"/>
      <c r="T1822" s="10"/>
      <c r="U1822" s="10"/>
      <c r="V1822" s="10"/>
      <c r="W1822" s="10"/>
      <c r="X1822" s="10"/>
      <c r="Y1822" s="10"/>
      <c r="Z1822" s="10"/>
      <c r="AA1822" s="10"/>
      <c r="AB1822" s="10"/>
      <c r="AF1822" s="10"/>
      <c r="AG1822" s="10"/>
      <c r="AI1822" s="10"/>
      <c r="AK1822" s="448"/>
      <c r="AL1822" s="445"/>
    </row>
    <row r="1823" spans="1:38" ht="11.25" customHeight="1">
      <c r="A1823" s="10"/>
      <c r="B1823" s="10"/>
      <c r="C1823" s="10"/>
      <c r="D1823" s="10"/>
      <c r="E1823" s="10"/>
      <c r="F1823" s="10"/>
      <c r="G1823" s="10"/>
      <c r="H1823" s="10"/>
      <c r="I1823" s="10"/>
      <c r="J1823" s="10"/>
      <c r="K1823" s="10"/>
      <c r="L1823" s="10"/>
      <c r="M1823" s="10"/>
      <c r="N1823" s="10"/>
      <c r="O1823" s="10"/>
      <c r="P1823" s="10"/>
      <c r="Q1823" s="10"/>
      <c r="R1823" s="10"/>
      <c r="S1823" s="10"/>
      <c r="T1823" s="10"/>
      <c r="U1823" s="10"/>
      <c r="V1823" s="10"/>
      <c r="W1823" s="10"/>
      <c r="X1823" s="10"/>
      <c r="Y1823" s="10"/>
      <c r="Z1823" s="10"/>
      <c r="AA1823" s="10"/>
      <c r="AB1823" s="10"/>
      <c r="AF1823" s="10"/>
      <c r="AG1823" s="10"/>
      <c r="AI1823" s="10"/>
      <c r="AK1823" s="448"/>
      <c r="AL1823" s="445"/>
    </row>
    <row r="1824" spans="1:38" ht="11.25" customHeight="1">
      <c r="A1824" s="10"/>
      <c r="B1824" s="10"/>
      <c r="C1824" s="10"/>
      <c r="D1824" s="10"/>
      <c r="E1824" s="10"/>
      <c r="F1824" s="10"/>
      <c r="G1824" s="10"/>
      <c r="H1824" s="10"/>
      <c r="I1824" s="10"/>
      <c r="J1824" s="10"/>
      <c r="K1824" s="10"/>
      <c r="L1824" s="10"/>
      <c r="M1824" s="10"/>
      <c r="N1824" s="10"/>
      <c r="O1824" s="10"/>
      <c r="P1824" s="10"/>
      <c r="Q1824" s="10"/>
      <c r="R1824" s="10"/>
      <c r="S1824" s="10"/>
      <c r="T1824" s="10"/>
      <c r="U1824" s="10"/>
      <c r="V1824" s="10"/>
      <c r="W1824" s="10"/>
      <c r="X1824" s="10"/>
      <c r="Y1824" s="10"/>
      <c r="Z1824" s="10"/>
      <c r="AA1824" s="10"/>
      <c r="AB1824" s="10"/>
      <c r="AF1824" s="10"/>
      <c r="AG1824" s="10"/>
      <c r="AI1824" s="10"/>
      <c r="AK1824" s="448"/>
      <c r="AL1824" s="445"/>
    </row>
    <row r="1825" spans="1:38" ht="11.25" customHeight="1">
      <c r="AI1825" s="10"/>
      <c r="AK1825" s="448"/>
      <c r="AL1825" s="445"/>
    </row>
    <row r="1826" spans="1:38" ht="11.25" customHeight="1">
      <c r="AI1826" s="10"/>
      <c r="AK1826" s="448"/>
      <c r="AL1826" s="445"/>
    </row>
    <row r="1827" spans="1:38" ht="11.25" customHeight="1">
      <c r="AI1827" s="10"/>
      <c r="AK1827" s="448"/>
      <c r="AL1827" s="445"/>
    </row>
    <row r="1828" spans="1:38" ht="11.25" customHeight="1">
      <c r="A1828" s="10"/>
      <c r="B1828" s="10"/>
      <c r="C1828" s="10"/>
      <c r="D1828" s="10"/>
      <c r="E1828" s="10"/>
      <c r="F1828" s="10"/>
      <c r="G1828" s="10"/>
      <c r="H1828" s="10"/>
      <c r="I1828" s="10"/>
      <c r="J1828" s="10"/>
      <c r="K1828" s="10"/>
      <c r="L1828" s="10"/>
      <c r="M1828" s="10"/>
      <c r="N1828" s="10"/>
      <c r="O1828" s="10"/>
      <c r="P1828" s="10"/>
      <c r="Q1828" s="10"/>
      <c r="R1828" s="10"/>
      <c r="S1828" s="10"/>
      <c r="T1828" s="10"/>
      <c r="U1828" s="10"/>
      <c r="V1828" s="10"/>
      <c r="W1828" s="10"/>
      <c r="X1828" s="10"/>
      <c r="Y1828" s="10"/>
      <c r="Z1828" s="10"/>
      <c r="AA1828" s="10"/>
      <c r="AB1828" s="10"/>
      <c r="AF1828" s="467"/>
      <c r="AG1828" s="467"/>
      <c r="AH1828" s="6"/>
      <c r="AI1828" s="10"/>
      <c r="AK1828" s="448"/>
      <c r="AL1828" s="445"/>
    </row>
    <row r="1829" spans="1:38" ht="11.25" customHeight="1">
      <c r="A1829" s="10"/>
      <c r="B1829" s="10"/>
      <c r="C1829" s="10"/>
      <c r="D1829" s="10"/>
      <c r="E1829" s="10"/>
      <c r="F1829" s="10"/>
      <c r="G1829" s="10"/>
      <c r="H1829" s="10"/>
      <c r="I1829" s="10"/>
      <c r="J1829" s="10"/>
      <c r="K1829" s="10"/>
      <c r="L1829" s="10"/>
      <c r="M1829" s="10"/>
      <c r="N1829" s="10"/>
      <c r="O1829" s="10"/>
      <c r="P1829" s="10"/>
      <c r="Q1829" s="10"/>
      <c r="R1829" s="10"/>
      <c r="S1829" s="10"/>
      <c r="T1829" s="10"/>
      <c r="U1829" s="10"/>
      <c r="V1829" s="10"/>
      <c r="W1829" s="10"/>
      <c r="X1829" s="10"/>
      <c r="Y1829" s="10"/>
      <c r="Z1829" s="10"/>
      <c r="AA1829" s="10"/>
      <c r="AB1829" s="10"/>
      <c r="AF1829" s="467"/>
      <c r="AG1829" s="467"/>
      <c r="AH1829" s="6"/>
      <c r="AI1829" s="10"/>
      <c r="AK1829" s="448"/>
      <c r="AL1829" s="445"/>
    </row>
    <row r="1830" spans="1:38" ht="11.25" customHeight="1">
      <c r="A1830" s="10"/>
      <c r="B1830" s="10"/>
      <c r="C1830" s="10"/>
      <c r="D1830" s="10"/>
      <c r="E1830" s="10"/>
      <c r="F1830" s="10"/>
      <c r="G1830" s="10"/>
      <c r="H1830" s="10"/>
      <c r="I1830" s="10"/>
      <c r="J1830" s="10"/>
      <c r="K1830" s="10"/>
      <c r="L1830" s="10"/>
      <c r="M1830" s="10"/>
      <c r="N1830" s="10"/>
      <c r="O1830" s="10"/>
      <c r="P1830" s="10"/>
      <c r="Q1830" s="10"/>
      <c r="R1830" s="10"/>
      <c r="S1830" s="10"/>
      <c r="T1830" s="10"/>
      <c r="U1830" s="10"/>
      <c r="V1830" s="10"/>
      <c r="W1830" s="10"/>
      <c r="X1830" s="10"/>
      <c r="Y1830" s="10"/>
      <c r="Z1830" s="10"/>
      <c r="AA1830" s="10"/>
      <c r="AB1830" s="10"/>
      <c r="AF1830" s="467"/>
      <c r="AG1830" s="467"/>
      <c r="AH1830" s="6"/>
      <c r="AI1830" s="10"/>
      <c r="AK1830" s="448"/>
      <c r="AL1830" s="445"/>
    </row>
    <row r="1831" spans="1:38" ht="11.25" customHeight="1">
      <c r="A1831" s="10"/>
      <c r="B1831" s="10"/>
      <c r="C1831" s="10"/>
      <c r="D1831" s="10"/>
      <c r="E1831" s="10"/>
      <c r="F1831" s="10"/>
      <c r="G1831" s="10"/>
      <c r="H1831" s="10"/>
      <c r="I1831" s="10"/>
      <c r="J1831" s="10"/>
      <c r="K1831" s="10"/>
      <c r="L1831" s="10"/>
      <c r="M1831" s="10"/>
      <c r="N1831" s="10"/>
      <c r="O1831" s="10"/>
      <c r="P1831" s="10"/>
      <c r="Q1831" s="10"/>
      <c r="R1831" s="10"/>
      <c r="S1831" s="10"/>
      <c r="T1831" s="10"/>
      <c r="U1831" s="10"/>
      <c r="V1831" s="10"/>
      <c r="W1831" s="10"/>
      <c r="X1831" s="10"/>
      <c r="Y1831" s="10"/>
      <c r="Z1831" s="10"/>
      <c r="AA1831" s="10"/>
      <c r="AB1831" s="10"/>
      <c r="AF1831" s="467"/>
      <c r="AG1831" s="467"/>
      <c r="AH1831" s="6"/>
      <c r="AI1831" s="10"/>
      <c r="AK1831" s="448"/>
      <c r="AL1831" s="445"/>
    </row>
    <row r="1832" spans="1:38" ht="11.25" customHeight="1">
      <c r="A1832" s="10"/>
      <c r="B1832" s="10"/>
      <c r="C1832" s="10"/>
      <c r="D1832" s="10"/>
      <c r="E1832" s="10"/>
      <c r="F1832" s="10"/>
      <c r="G1832" s="10"/>
      <c r="H1832" s="10"/>
      <c r="I1832" s="10"/>
      <c r="J1832" s="10"/>
      <c r="K1832" s="10"/>
      <c r="L1832" s="10"/>
      <c r="M1832" s="10"/>
      <c r="N1832" s="10"/>
      <c r="O1832" s="10"/>
      <c r="P1832" s="10"/>
      <c r="Q1832" s="10"/>
      <c r="R1832" s="10"/>
      <c r="S1832" s="10"/>
      <c r="T1832" s="10"/>
      <c r="U1832" s="10"/>
      <c r="V1832" s="10"/>
      <c r="W1832" s="10"/>
      <c r="X1832" s="10"/>
      <c r="Y1832" s="10"/>
      <c r="Z1832" s="10"/>
      <c r="AA1832" s="10"/>
      <c r="AB1832" s="10"/>
      <c r="AF1832" s="467"/>
      <c r="AG1832" s="467"/>
      <c r="AH1832" s="6"/>
      <c r="AI1832" s="10"/>
      <c r="AK1832" s="448"/>
      <c r="AL1832" s="445"/>
    </row>
    <row r="1833" spans="1:38" ht="11.25" customHeight="1">
      <c r="A1833" s="10"/>
      <c r="B1833" s="10"/>
      <c r="C1833" s="10"/>
      <c r="D1833" s="10"/>
      <c r="E1833" s="10"/>
      <c r="F1833" s="10"/>
      <c r="G1833" s="10"/>
      <c r="H1833" s="10"/>
      <c r="I1833" s="10"/>
      <c r="J1833" s="10"/>
      <c r="K1833" s="10"/>
      <c r="L1833" s="10"/>
      <c r="M1833" s="10"/>
      <c r="N1833" s="10"/>
      <c r="O1833" s="10"/>
      <c r="P1833" s="10"/>
      <c r="Q1833" s="10"/>
      <c r="R1833" s="10"/>
      <c r="S1833" s="10"/>
      <c r="T1833" s="10"/>
      <c r="U1833" s="10"/>
      <c r="V1833" s="10"/>
      <c r="W1833" s="10"/>
      <c r="X1833" s="10"/>
      <c r="Y1833" s="10"/>
      <c r="Z1833" s="10"/>
      <c r="AA1833" s="10"/>
      <c r="AB1833" s="10"/>
      <c r="AF1833" s="467"/>
      <c r="AG1833" s="467"/>
      <c r="AH1833" s="6"/>
      <c r="AI1833" s="10"/>
      <c r="AK1833" s="448"/>
      <c r="AL1833" s="445"/>
    </row>
    <row r="1834" spans="1:38" ht="11.25" customHeight="1">
      <c r="A1834" s="10"/>
      <c r="B1834" s="10"/>
      <c r="C1834" s="10"/>
      <c r="D1834" s="10"/>
      <c r="E1834" s="10"/>
      <c r="F1834" s="10"/>
      <c r="G1834" s="10"/>
      <c r="H1834" s="10"/>
      <c r="I1834" s="10"/>
      <c r="J1834" s="10"/>
      <c r="K1834" s="10"/>
      <c r="L1834" s="10"/>
      <c r="M1834" s="10"/>
      <c r="N1834" s="10"/>
      <c r="O1834" s="10"/>
      <c r="P1834" s="10"/>
      <c r="Q1834" s="10"/>
      <c r="R1834" s="10"/>
      <c r="S1834" s="10"/>
      <c r="T1834" s="10"/>
      <c r="U1834" s="10"/>
      <c r="V1834" s="10"/>
      <c r="W1834" s="10"/>
      <c r="X1834" s="10"/>
      <c r="Y1834" s="10"/>
      <c r="Z1834" s="10"/>
      <c r="AA1834" s="10"/>
      <c r="AB1834" s="10"/>
      <c r="AF1834" s="467"/>
      <c r="AG1834" s="467"/>
      <c r="AH1834" s="6"/>
      <c r="AI1834" s="10"/>
      <c r="AK1834" s="448"/>
      <c r="AL1834" s="445"/>
    </row>
    <row r="1835" spans="1:38" ht="11.25" customHeight="1">
      <c r="A1835" s="10"/>
      <c r="B1835" s="10"/>
      <c r="C1835" s="10"/>
      <c r="D1835" s="10"/>
      <c r="E1835" s="10"/>
      <c r="F1835" s="10"/>
      <c r="G1835" s="10"/>
      <c r="H1835" s="10"/>
      <c r="I1835" s="10"/>
      <c r="J1835" s="10"/>
      <c r="K1835" s="10"/>
      <c r="L1835" s="10"/>
      <c r="M1835" s="10"/>
      <c r="N1835" s="10"/>
      <c r="O1835" s="10"/>
      <c r="P1835" s="10"/>
      <c r="Q1835" s="10"/>
      <c r="R1835" s="10"/>
      <c r="S1835" s="10"/>
      <c r="T1835" s="10"/>
      <c r="U1835" s="10"/>
      <c r="V1835" s="10"/>
      <c r="W1835" s="10"/>
      <c r="X1835" s="10"/>
      <c r="Y1835" s="10"/>
      <c r="Z1835" s="10"/>
      <c r="AA1835" s="10"/>
      <c r="AB1835" s="10"/>
      <c r="AF1835" s="467"/>
      <c r="AG1835" s="467"/>
      <c r="AH1835" s="6"/>
      <c r="AI1835" s="10"/>
      <c r="AK1835" s="448"/>
      <c r="AL1835" s="445"/>
    </row>
    <row r="1836" spans="1:38" ht="11.25" customHeight="1">
      <c r="A1836" s="10"/>
      <c r="B1836" s="10"/>
      <c r="C1836" s="10"/>
      <c r="D1836" s="10"/>
      <c r="E1836" s="10"/>
      <c r="F1836" s="10"/>
      <c r="G1836" s="10"/>
      <c r="H1836" s="10"/>
      <c r="I1836" s="10"/>
      <c r="J1836" s="10"/>
      <c r="K1836" s="10"/>
      <c r="L1836" s="10"/>
      <c r="M1836" s="10"/>
      <c r="N1836" s="10"/>
      <c r="O1836" s="10"/>
      <c r="P1836" s="10"/>
      <c r="Q1836" s="10"/>
      <c r="R1836" s="10"/>
      <c r="S1836" s="10"/>
      <c r="T1836" s="10"/>
      <c r="U1836" s="10"/>
      <c r="V1836" s="10"/>
      <c r="W1836" s="10"/>
      <c r="X1836" s="10"/>
      <c r="Y1836" s="10"/>
      <c r="Z1836" s="10"/>
      <c r="AA1836" s="10"/>
      <c r="AB1836" s="10"/>
      <c r="AF1836" s="467"/>
      <c r="AG1836" s="467"/>
      <c r="AH1836" s="6"/>
      <c r="AI1836" s="10"/>
      <c r="AK1836" s="448"/>
      <c r="AL1836" s="445"/>
    </row>
    <row r="1837" spans="1:38" ht="11.25" customHeight="1">
      <c r="A1837" s="10"/>
      <c r="B1837" s="10"/>
      <c r="C1837" s="10"/>
      <c r="D1837" s="10"/>
      <c r="E1837" s="10"/>
      <c r="F1837" s="10"/>
      <c r="G1837" s="10"/>
      <c r="H1837" s="10"/>
      <c r="I1837" s="10"/>
      <c r="J1837" s="10"/>
      <c r="K1837" s="10"/>
      <c r="L1837" s="10"/>
      <c r="M1837" s="10"/>
      <c r="N1837" s="10"/>
      <c r="O1837" s="10"/>
      <c r="P1837" s="10"/>
      <c r="Q1837" s="10"/>
      <c r="R1837" s="10"/>
      <c r="S1837" s="10"/>
      <c r="T1837" s="10"/>
      <c r="U1837" s="10"/>
      <c r="V1837" s="10"/>
      <c r="W1837" s="10"/>
      <c r="X1837" s="10"/>
      <c r="Y1837" s="10"/>
      <c r="Z1837" s="10"/>
      <c r="AA1837" s="10"/>
      <c r="AB1837" s="10"/>
      <c r="AF1837" s="467"/>
      <c r="AG1837" s="467"/>
      <c r="AH1837" s="6"/>
      <c r="AI1837" s="10"/>
      <c r="AK1837" s="448"/>
      <c r="AL1837" s="445"/>
    </row>
    <row r="1838" spans="1:38" ht="11.25" customHeight="1">
      <c r="A1838" s="10"/>
      <c r="B1838" s="10"/>
      <c r="C1838" s="10"/>
      <c r="D1838" s="10"/>
      <c r="E1838" s="10"/>
      <c r="F1838" s="10"/>
      <c r="G1838" s="10"/>
      <c r="H1838" s="10"/>
      <c r="I1838" s="10"/>
      <c r="J1838" s="10"/>
      <c r="K1838" s="10"/>
      <c r="L1838" s="10"/>
      <c r="M1838" s="10"/>
      <c r="N1838" s="10"/>
      <c r="O1838" s="10"/>
      <c r="P1838" s="10"/>
      <c r="Q1838" s="10"/>
      <c r="R1838" s="10"/>
      <c r="S1838" s="10"/>
      <c r="T1838" s="10"/>
      <c r="U1838" s="10"/>
      <c r="V1838" s="10"/>
      <c r="W1838" s="10"/>
      <c r="X1838" s="10"/>
      <c r="Y1838" s="10"/>
      <c r="Z1838" s="10"/>
      <c r="AA1838" s="10"/>
      <c r="AB1838" s="10"/>
      <c r="AF1838" s="467"/>
      <c r="AG1838" s="467"/>
      <c r="AH1838" s="6"/>
      <c r="AI1838" s="10"/>
      <c r="AK1838" s="448"/>
      <c r="AL1838" s="445"/>
    </row>
    <row r="1839" spans="1:38" ht="11.25" customHeight="1">
      <c r="A1839" s="10"/>
      <c r="B1839" s="10"/>
      <c r="C1839" s="10"/>
      <c r="D1839" s="10"/>
      <c r="E1839" s="10"/>
      <c r="F1839" s="10"/>
      <c r="G1839" s="10"/>
      <c r="H1839" s="10"/>
      <c r="I1839" s="10"/>
      <c r="J1839" s="10"/>
      <c r="K1839" s="10"/>
      <c r="L1839" s="10"/>
      <c r="M1839" s="10"/>
      <c r="N1839" s="10"/>
      <c r="O1839" s="10"/>
      <c r="P1839" s="10"/>
      <c r="Q1839" s="10"/>
      <c r="R1839" s="10"/>
      <c r="S1839" s="10"/>
      <c r="T1839" s="10"/>
      <c r="U1839" s="10"/>
      <c r="V1839" s="10"/>
      <c r="W1839" s="10"/>
      <c r="X1839" s="10"/>
      <c r="Y1839" s="10"/>
      <c r="Z1839" s="10"/>
      <c r="AA1839" s="10"/>
      <c r="AB1839" s="10"/>
      <c r="AF1839" s="467"/>
      <c r="AG1839" s="467"/>
      <c r="AH1839" s="6"/>
      <c r="AI1839" s="10"/>
      <c r="AK1839" s="448"/>
      <c r="AL1839" s="445"/>
    </row>
    <row r="1840" spans="1:38" ht="11.25" customHeight="1">
      <c r="A1840" s="10"/>
      <c r="B1840" s="10"/>
      <c r="C1840" s="10"/>
      <c r="D1840" s="10"/>
      <c r="E1840" s="10"/>
      <c r="F1840" s="10"/>
      <c r="G1840" s="10"/>
      <c r="H1840" s="10"/>
      <c r="I1840" s="10"/>
      <c r="J1840" s="10"/>
      <c r="K1840" s="10"/>
      <c r="L1840" s="10"/>
      <c r="M1840" s="10"/>
      <c r="N1840" s="10"/>
      <c r="O1840" s="10"/>
      <c r="P1840" s="10"/>
      <c r="Q1840" s="10"/>
      <c r="R1840" s="10"/>
      <c r="S1840" s="10"/>
      <c r="T1840" s="10"/>
      <c r="U1840" s="10"/>
      <c r="V1840" s="10"/>
      <c r="W1840" s="10"/>
      <c r="X1840" s="10"/>
      <c r="Y1840" s="10"/>
      <c r="Z1840" s="10"/>
      <c r="AA1840" s="10"/>
      <c r="AB1840" s="10"/>
      <c r="AF1840" s="467"/>
      <c r="AG1840" s="467"/>
      <c r="AH1840" s="6"/>
      <c r="AI1840" s="10"/>
      <c r="AK1840" s="448"/>
      <c r="AL1840" s="445"/>
    </row>
    <row r="1841" spans="1:38" ht="11.25" customHeight="1">
      <c r="A1841" s="10"/>
      <c r="B1841" s="10"/>
      <c r="C1841" s="10"/>
      <c r="D1841" s="10"/>
      <c r="E1841" s="10"/>
      <c r="F1841" s="10"/>
      <c r="G1841" s="10"/>
      <c r="H1841" s="10"/>
      <c r="I1841" s="10"/>
      <c r="J1841" s="10"/>
      <c r="K1841" s="10"/>
      <c r="L1841" s="10"/>
      <c r="M1841" s="10"/>
      <c r="N1841" s="10"/>
      <c r="O1841" s="10"/>
      <c r="P1841" s="10"/>
      <c r="Q1841" s="10"/>
      <c r="R1841" s="10"/>
      <c r="S1841" s="10"/>
      <c r="T1841" s="10"/>
      <c r="U1841" s="10"/>
      <c r="V1841" s="10"/>
      <c r="W1841" s="10"/>
      <c r="X1841" s="10"/>
      <c r="Y1841" s="10"/>
      <c r="Z1841" s="10"/>
      <c r="AA1841" s="10"/>
      <c r="AB1841" s="10"/>
      <c r="AF1841" s="467"/>
      <c r="AG1841" s="467"/>
      <c r="AH1841" s="6"/>
      <c r="AI1841" s="10"/>
      <c r="AK1841" s="448"/>
      <c r="AL1841" s="445"/>
    </row>
    <row r="1842" spans="1:38" ht="11.25" customHeight="1">
      <c r="A1842" s="10"/>
      <c r="B1842" s="10"/>
      <c r="C1842" s="10"/>
      <c r="D1842" s="10"/>
      <c r="E1842" s="10"/>
      <c r="F1842" s="10"/>
      <c r="G1842" s="10"/>
      <c r="H1842" s="10"/>
      <c r="I1842" s="10"/>
      <c r="J1842" s="10"/>
      <c r="K1842" s="10"/>
      <c r="L1842" s="10"/>
      <c r="M1842" s="10"/>
      <c r="N1842" s="10"/>
      <c r="O1842" s="10"/>
      <c r="P1842" s="10"/>
      <c r="Q1842" s="10"/>
      <c r="R1842" s="10"/>
      <c r="S1842" s="10"/>
      <c r="T1842" s="10"/>
      <c r="U1842" s="10"/>
      <c r="V1842" s="10"/>
      <c r="W1842" s="10"/>
      <c r="X1842" s="10"/>
      <c r="Y1842" s="10"/>
      <c r="Z1842" s="10"/>
      <c r="AA1842" s="10"/>
      <c r="AB1842" s="10"/>
      <c r="AF1842" s="467"/>
      <c r="AG1842" s="467"/>
      <c r="AH1842" s="6"/>
      <c r="AI1842" s="10"/>
      <c r="AK1842" s="448"/>
      <c r="AL1842" s="445"/>
    </row>
    <row r="1843" spans="1:38" ht="11.25" customHeight="1">
      <c r="A1843" s="10"/>
      <c r="B1843" s="10"/>
      <c r="C1843" s="10"/>
      <c r="D1843" s="10"/>
      <c r="E1843" s="10"/>
      <c r="F1843" s="10"/>
      <c r="G1843" s="10"/>
      <c r="H1843" s="10"/>
      <c r="I1843" s="10"/>
      <c r="J1843" s="10"/>
      <c r="K1843" s="10"/>
      <c r="L1843" s="10"/>
      <c r="M1843" s="10"/>
      <c r="N1843" s="10"/>
      <c r="O1843" s="10"/>
      <c r="P1843" s="10"/>
      <c r="Q1843" s="10"/>
      <c r="R1843" s="10"/>
      <c r="S1843" s="10"/>
      <c r="T1843" s="10"/>
      <c r="U1843" s="10"/>
      <c r="V1843" s="10"/>
      <c r="W1843" s="10"/>
      <c r="X1843" s="10"/>
      <c r="Y1843" s="10"/>
      <c r="Z1843" s="10"/>
      <c r="AA1843" s="10"/>
      <c r="AB1843" s="10"/>
      <c r="AF1843" s="467"/>
      <c r="AG1843" s="467"/>
      <c r="AH1843" s="6"/>
      <c r="AI1843" s="10"/>
      <c r="AK1843" s="448"/>
      <c r="AL1843" s="445"/>
    </row>
    <row r="1844" spans="1:38" ht="11.25" customHeight="1">
      <c r="A1844" s="10"/>
      <c r="B1844" s="10"/>
      <c r="C1844" s="10"/>
      <c r="D1844" s="10"/>
      <c r="E1844" s="10"/>
      <c r="F1844" s="10"/>
      <c r="G1844" s="10"/>
      <c r="H1844" s="10"/>
      <c r="I1844" s="10"/>
      <c r="J1844" s="10"/>
      <c r="K1844" s="10"/>
      <c r="L1844" s="10"/>
      <c r="M1844" s="10"/>
      <c r="N1844" s="10"/>
      <c r="O1844" s="10"/>
      <c r="P1844" s="10"/>
      <c r="Q1844" s="10"/>
      <c r="R1844" s="10"/>
      <c r="S1844" s="10"/>
      <c r="T1844" s="10"/>
      <c r="U1844" s="10"/>
      <c r="V1844" s="10"/>
      <c r="W1844" s="10"/>
      <c r="X1844" s="10"/>
      <c r="Y1844" s="10"/>
      <c r="Z1844" s="10"/>
      <c r="AA1844" s="10"/>
      <c r="AB1844" s="10"/>
      <c r="AF1844" s="467"/>
      <c r="AG1844" s="467"/>
      <c r="AH1844" s="6"/>
      <c r="AI1844" s="10"/>
      <c r="AK1844" s="448"/>
      <c r="AL1844" s="445"/>
    </row>
    <row r="1845" spans="1:38" ht="11.25" customHeight="1">
      <c r="A1845" s="10"/>
      <c r="B1845" s="10"/>
      <c r="C1845" s="10"/>
      <c r="D1845" s="10"/>
      <c r="E1845" s="10"/>
      <c r="F1845" s="10"/>
      <c r="G1845" s="10"/>
      <c r="H1845" s="10"/>
      <c r="I1845" s="10"/>
      <c r="J1845" s="10"/>
      <c r="K1845" s="10"/>
      <c r="L1845" s="10"/>
      <c r="M1845" s="10"/>
      <c r="N1845" s="10"/>
      <c r="O1845" s="10"/>
      <c r="P1845" s="10"/>
      <c r="Q1845" s="10"/>
      <c r="R1845" s="10"/>
      <c r="S1845" s="10"/>
      <c r="T1845" s="10"/>
      <c r="U1845" s="10"/>
      <c r="V1845" s="10"/>
      <c r="W1845" s="10"/>
      <c r="X1845" s="10"/>
      <c r="Y1845" s="10"/>
      <c r="Z1845" s="10"/>
      <c r="AA1845" s="10"/>
      <c r="AB1845" s="10"/>
      <c r="AF1845" s="467"/>
      <c r="AG1845" s="467"/>
      <c r="AH1845" s="6"/>
      <c r="AI1845" s="10"/>
      <c r="AK1845" s="448"/>
      <c r="AL1845" s="445"/>
    </row>
    <row r="1846" spans="1:38" ht="11.25" customHeight="1">
      <c r="A1846" s="10"/>
      <c r="B1846" s="10"/>
      <c r="C1846" s="10"/>
      <c r="D1846" s="10"/>
      <c r="E1846" s="10"/>
      <c r="F1846" s="10"/>
      <c r="G1846" s="10"/>
      <c r="H1846" s="10"/>
      <c r="I1846" s="10"/>
      <c r="J1846" s="10"/>
      <c r="K1846" s="10"/>
      <c r="L1846" s="10"/>
      <c r="M1846" s="10"/>
      <c r="N1846" s="10"/>
      <c r="O1846" s="10"/>
      <c r="P1846" s="10"/>
      <c r="Q1846" s="10"/>
      <c r="R1846" s="10"/>
      <c r="S1846" s="10"/>
      <c r="T1846" s="10"/>
      <c r="U1846" s="10"/>
      <c r="V1846" s="10"/>
      <c r="W1846" s="10"/>
      <c r="X1846" s="10"/>
      <c r="Y1846" s="10"/>
      <c r="Z1846" s="10"/>
      <c r="AA1846" s="10"/>
      <c r="AB1846" s="10"/>
      <c r="AF1846" s="467"/>
      <c r="AG1846" s="467"/>
      <c r="AH1846" s="6"/>
      <c r="AI1846" s="10"/>
      <c r="AK1846" s="448"/>
      <c r="AL1846" s="445"/>
    </row>
    <row r="1847" spans="1:38" ht="11.25" customHeight="1">
      <c r="A1847" s="10"/>
      <c r="B1847" s="10"/>
      <c r="C1847" s="10"/>
      <c r="D1847" s="10"/>
      <c r="E1847" s="10"/>
      <c r="F1847" s="10"/>
      <c r="G1847" s="10"/>
      <c r="H1847" s="10"/>
      <c r="I1847" s="10"/>
      <c r="J1847" s="10"/>
      <c r="K1847" s="10"/>
      <c r="L1847" s="10"/>
      <c r="M1847" s="10"/>
      <c r="N1847" s="10"/>
      <c r="O1847" s="10"/>
      <c r="P1847" s="10"/>
      <c r="Q1847" s="10"/>
      <c r="R1847" s="10"/>
      <c r="S1847" s="10"/>
      <c r="T1847" s="10"/>
      <c r="U1847" s="10"/>
      <c r="V1847" s="10"/>
      <c r="W1847" s="10"/>
      <c r="X1847" s="10"/>
      <c r="Y1847" s="10"/>
      <c r="Z1847" s="10"/>
      <c r="AA1847" s="10"/>
      <c r="AB1847" s="10"/>
      <c r="AF1847" s="467"/>
      <c r="AG1847" s="467"/>
      <c r="AH1847" s="6"/>
      <c r="AI1847" s="10"/>
      <c r="AK1847" s="448"/>
      <c r="AL1847" s="445"/>
    </row>
    <row r="1848" spans="1:38" ht="11.25" customHeight="1">
      <c r="A1848" s="10"/>
      <c r="B1848" s="10"/>
      <c r="C1848" s="10"/>
      <c r="D1848" s="10"/>
      <c r="E1848" s="10"/>
      <c r="F1848" s="10"/>
      <c r="G1848" s="10"/>
      <c r="H1848" s="10"/>
      <c r="I1848" s="10"/>
      <c r="J1848" s="10"/>
      <c r="K1848" s="10"/>
      <c r="L1848" s="10"/>
      <c r="M1848" s="10"/>
      <c r="N1848" s="10"/>
      <c r="O1848" s="10"/>
      <c r="P1848" s="10"/>
      <c r="Q1848" s="10"/>
      <c r="R1848" s="10"/>
      <c r="S1848" s="10"/>
      <c r="T1848" s="10"/>
      <c r="U1848" s="10"/>
      <c r="V1848" s="10"/>
      <c r="W1848" s="10"/>
      <c r="X1848" s="10"/>
      <c r="Y1848" s="10"/>
      <c r="Z1848" s="10"/>
      <c r="AA1848" s="10"/>
      <c r="AB1848" s="10"/>
      <c r="AF1848" s="467"/>
      <c r="AG1848" s="467"/>
      <c r="AH1848" s="6"/>
      <c r="AI1848" s="10"/>
      <c r="AK1848" s="448"/>
      <c r="AL1848" s="445"/>
    </row>
    <row r="1849" spans="1:38" ht="11.25" customHeight="1">
      <c r="A1849" s="10"/>
      <c r="B1849" s="10"/>
      <c r="C1849" s="10"/>
      <c r="D1849" s="10"/>
      <c r="E1849" s="10"/>
      <c r="F1849" s="10"/>
      <c r="G1849" s="10"/>
      <c r="H1849" s="10"/>
      <c r="I1849" s="10"/>
      <c r="J1849" s="10"/>
      <c r="K1849" s="10"/>
      <c r="L1849" s="10"/>
      <c r="M1849" s="10"/>
      <c r="N1849" s="10"/>
      <c r="O1849" s="10"/>
      <c r="P1849" s="10"/>
      <c r="Q1849" s="10"/>
      <c r="R1849" s="10"/>
      <c r="S1849" s="10"/>
      <c r="T1849" s="10"/>
      <c r="U1849" s="10"/>
      <c r="V1849" s="10"/>
      <c r="W1849" s="10"/>
      <c r="X1849" s="10"/>
      <c r="Y1849" s="10"/>
      <c r="Z1849" s="10"/>
      <c r="AA1849" s="10"/>
      <c r="AB1849" s="10"/>
      <c r="AF1849" s="467"/>
      <c r="AG1849" s="467"/>
      <c r="AH1849" s="6"/>
      <c r="AI1849" s="10"/>
      <c r="AK1849" s="448"/>
      <c r="AL1849" s="445"/>
    </row>
    <row r="1850" spans="1:38" ht="11.25" customHeight="1">
      <c r="A1850" s="10"/>
      <c r="B1850" s="10"/>
      <c r="C1850" s="10"/>
      <c r="D1850" s="10"/>
      <c r="E1850" s="10"/>
      <c r="F1850" s="10"/>
      <c r="G1850" s="10"/>
      <c r="H1850" s="10"/>
      <c r="I1850" s="10"/>
      <c r="J1850" s="10"/>
      <c r="K1850" s="10"/>
      <c r="L1850" s="10"/>
      <c r="M1850" s="10"/>
      <c r="N1850" s="10"/>
      <c r="O1850" s="10"/>
      <c r="P1850" s="10"/>
      <c r="Q1850" s="10"/>
      <c r="R1850" s="10"/>
      <c r="S1850" s="10"/>
      <c r="T1850" s="10"/>
      <c r="U1850" s="10"/>
      <c r="V1850" s="10"/>
      <c r="W1850" s="10"/>
      <c r="X1850" s="10"/>
      <c r="Y1850" s="10"/>
      <c r="Z1850" s="10"/>
      <c r="AA1850" s="10"/>
      <c r="AB1850" s="10"/>
      <c r="AF1850" s="467"/>
      <c r="AG1850" s="467"/>
      <c r="AH1850" s="6"/>
      <c r="AI1850" s="10"/>
      <c r="AK1850" s="448"/>
      <c r="AL1850" s="445"/>
    </row>
    <row r="1851" spans="1:38" ht="11.25" customHeight="1">
      <c r="A1851" s="10"/>
      <c r="B1851" s="10"/>
      <c r="C1851" s="10"/>
      <c r="D1851" s="10"/>
      <c r="E1851" s="10"/>
      <c r="F1851" s="10"/>
      <c r="G1851" s="10"/>
      <c r="H1851" s="10"/>
      <c r="I1851" s="10"/>
      <c r="J1851" s="10"/>
      <c r="K1851" s="10"/>
      <c r="L1851" s="10"/>
      <c r="M1851" s="10"/>
      <c r="N1851" s="10"/>
      <c r="O1851" s="10"/>
      <c r="P1851" s="10"/>
      <c r="Q1851" s="10"/>
      <c r="R1851" s="10"/>
      <c r="S1851" s="10"/>
      <c r="T1851" s="10"/>
      <c r="U1851" s="10"/>
      <c r="V1851" s="10"/>
      <c r="W1851" s="10"/>
      <c r="X1851" s="10"/>
      <c r="Y1851" s="10"/>
      <c r="Z1851" s="10"/>
      <c r="AA1851" s="10"/>
      <c r="AB1851" s="10"/>
      <c r="AF1851" s="467"/>
      <c r="AG1851" s="467"/>
      <c r="AH1851" s="6"/>
      <c r="AI1851" s="10"/>
      <c r="AK1851" s="448"/>
      <c r="AL1851" s="445"/>
    </row>
    <row r="1852" spans="1:38" ht="11.25" customHeight="1">
      <c r="A1852" s="10"/>
      <c r="B1852" s="10"/>
      <c r="C1852" s="10"/>
      <c r="D1852" s="10"/>
      <c r="E1852" s="10"/>
      <c r="F1852" s="10"/>
      <c r="G1852" s="10"/>
      <c r="H1852" s="10"/>
      <c r="I1852" s="10"/>
      <c r="J1852" s="10"/>
      <c r="K1852" s="10"/>
      <c r="L1852" s="10"/>
      <c r="M1852" s="10"/>
      <c r="N1852" s="10"/>
      <c r="O1852" s="10"/>
      <c r="P1852" s="10"/>
      <c r="Q1852" s="10"/>
      <c r="R1852" s="10"/>
      <c r="S1852" s="10"/>
      <c r="T1852" s="10"/>
      <c r="U1852" s="10"/>
      <c r="V1852" s="10"/>
      <c r="W1852" s="10"/>
      <c r="X1852" s="10"/>
      <c r="Y1852" s="10"/>
      <c r="Z1852" s="10"/>
      <c r="AA1852" s="10"/>
      <c r="AB1852" s="10"/>
      <c r="AF1852" s="467"/>
      <c r="AG1852" s="467"/>
      <c r="AH1852" s="6"/>
      <c r="AI1852" s="10"/>
      <c r="AK1852" s="448"/>
      <c r="AL1852" s="445"/>
    </row>
    <row r="1853" spans="1:38" ht="11.25" customHeight="1">
      <c r="A1853" s="10"/>
      <c r="B1853" s="10"/>
      <c r="C1853" s="10"/>
      <c r="D1853" s="10"/>
      <c r="E1853" s="10"/>
      <c r="F1853" s="10"/>
      <c r="G1853" s="10"/>
      <c r="H1853" s="10"/>
      <c r="I1853" s="10"/>
      <c r="J1853" s="10"/>
      <c r="K1853" s="10"/>
      <c r="L1853" s="10"/>
      <c r="M1853" s="10"/>
      <c r="N1853" s="10"/>
      <c r="O1853" s="10"/>
      <c r="P1853" s="10"/>
      <c r="Q1853" s="10"/>
      <c r="R1853" s="10"/>
      <c r="S1853" s="10"/>
      <c r="T1853" s="10"/>
      <c r="U1853" s="10"/>
      <c r="V1853" s="10"/>
      <c r="W1853" s="10"/>
      <c r="X1853" s="10"/>
      <c r="Y1853" s="10"/>
      <c r="Z1853" s="10"/>
      <c r="AA1853" s="10"/>
      <c r="AB1853" s="10"/>
      <c r="AF1853" s="467"/>
      <c r="AG1853" s="467"/>
      <c r="AH1853" s="6"/>
      <c r="AI1853" s="10"/>
      <c r="AK1853" s="448"/>
      <c r="AL1853" s="445"/>
    </row>
    <row r="1854" spans="1:38" ht="11.25" customHeight="1">
      <c r="A1854" s="10"/>
      <c r="B1854" s="10"/>
      <c r="C1854" s="10"/>
      <c r="D1854" s="10"/>
      <c r="E1854" s="10"/>
      <c r="F1854" s="10"/>
      <c r="G1854" s="10"/>
      <c r="H1854" s="10"/>
      <c r="I1854" s="10"/>
      <c r="J1854" s="10"/>
      <c r="K1854" s="10"/>
      <c r="L1854" s="10"/>
      <c r="M1854" s="10"/>
      <c r="N1854" s="10"/>
      <c r="O1854" s="10"/>
      <c r="P1854" s="10"/>
      <c r="Q1854" s="10"/>
      <c r="R1854" s="10"/>
      <c r="S1854" s="10"/>
      <c r="T1854" s="10"/>
      <c r="U1854" s="10"/>
      <c r="V1854" s="10"/>
      <c r="W1854" s="10"/>
      <c r="X1854" s="10"/>
      <c r="Y1854" s="10"/>
      <c r="Z1854" s="10"/>
      <c r="AA1854" s="10"/>
      <c r="AB1854" s="10"/>
      <c r="AF1854" s="467"/>
      <c r="AG1854" s="467"/>
      <c r="AH1854" s="6"/>
      <c r="AI1854" s="10"/>
      <c r="AK1854" s="448"/>
      <c r="AL1854" s="445"/>
    </row>
    <row r="1855" spans="1:38" ht="11.25" customHeight="1">
      <c r="A1855" s="10"/>
      <c r="B1855" s="10"/>
      <c r="C1855" s="10"/>
      <c r="D1855" s="10"/>
      <c r="E1855" s="10"/>
      <c r="F1855" s="10"/>
      <c r="G1855" s="10"/>
      <c r="H1855" s="10"/>
      <c r="I1855" s="10"/>
      <c r="J1855" s="10"/>
      <c r="K1855" s="10"/>
      <c r="L1855" s="10"/>
      <c r="M1855" s="10"/>
      <c r="N1855" s="10"/>
      <c r="O1855" s="10"/>
      <c r="P1855" s="10"/>
      <c r="Q1855" s="10"/>
      <c r="R1855" s="10"/>
      <c r="S1855" s="10"/>
      <c r="T1855" s="10"/>
      <c r="U1855" s="10"/>
      <c r="V1855" s="10"/>
      <c r="W1855" s="10"/>
      <c r="X1855" s="10"/>
      <c r="Y1855" s="10"/>
      <c r="Z1855" s="10"/>
      <c r="AA1855" s="10"/>
      <c r="AB1855" s="10"/>
      <c r="AF1855" s="467"/>
      <c r="AG1855" s="467"/>
      <c r="AH1855" s="6"/>
      <c r="AI1855" s="10"/>
      <c r="AK1855" s="448"/>
      <c r="AL1855" s="445"/>
    </row>
    <row r="1856" spans="1:38" ht="11.25" customHeight="1">
      <c r="A1856" s="10"/>
      <c r="B1856" s="10"/>
      <c r="C1856" s="10"/>
      <c r="D1856" s="10"/>
      <c r="E1856" s="10"/>
      <c r="F1856" s="10"/>
      <c r="G1856" s="10"/>
      <c r="H1856" s="10"/>
      <c r="I1856" s="10"/>
      <c r="J1856" s="10"/>
      <c r="K1856" s="10"/>
      <c r="L1856" s="10"/>
      <c r="M1856" s="10"/>
      <c r="N1856" s="10"/>
      <c r="O1856" s="10"/>
      <c r="P1856" s="10"/>
      <c r="Q1856" s="10"/>
      <c r="R1856" s="10"/>
      <c r="S1856" s="10"/>
      <c r="T1856" s="10"/>
      <c r="U1856" s="10"/>
      <c r="V1856" s="10"/>
      <c r="W1856" s="10"/>
      <c r="X1856" s="10"/>
      <c r="Y1856" s="10"/>
      <c r="Z1856" s="10"/>
      <c r="AA1856" s="10"/>
      <c r="AB1856" s="10"/>
      <c r="AF1856" s="467"/>
      <c r="AG1856" s="467"/>
      <c r="AH1856" s="6"/>
      <c r="AI1856" s="10"/>
      <c r="AK1856" s="448"/>
      <c r="AL1856" s="445"/>
    </row>
    <row r="1857" spans="1:38" ht="11.25" customHeight="1">
      <c r="A1857" s="10"/>
      <c r="B1857" s="10"/>
      <c r="C1857" s="10"/>
      <c r="D1857" s="10"/>
      <c r="E1857" s="10"/>
      <c r="F1857" s="10"/>
      <c r="G1857" s="10"/>
      <c r="H1857" s="10"/>
      <c r="I1857" s="10"/>
      <c r="J1857" s="10"/>
      <c r="K1857" s="10"/>
      <c r="L1857" s="10"/>
      <c r="M1857" s="10"/>
      <c r="N1857" s="10"/>
      <c r="O1857" s="10"/>
      <c r="P1857" s="10"/>
      <c r="Q1857" s="10"/>
      <c r="R1857" s="10"/>
      <c r="S1857" s="10"/>
      <c r="T1857" s="10"/>
      <c r="U1857" s="10"/>
      <c r="V1857" s="10"/>
      <c r="W1857" s="10"/>
      <c r="X1857" s="10"/>
      <c r="Y1857" s="10"/>
      <c r="Z1857" s="10"/>
      <c r="AA1857" s="10"/>
      <c r="AB1857" s="10"/>
      <c r="AF1857" s="467"/>
      <c r="AG1857" s="467"/>
      <c r="AH1857" s="6"/>
      <c r="AI1857" s="10"/>
      <c r="AK1857" s="448"/>
      <c r="AL1857" s="445"/>
    </row>
    <row r="1858" spans="1:38" ht="11.25" customHeight="1">
      <c r="A1858" s="10"/>
      <c r="B1858" s="10"/>
      <c r="C1858" s="10"/>
      <c r="D1858" s="10"/>
      <c r="E1858" s="10"/>
      <c r="F1858" s="10"/>
      <c r="G1858" s="10"/>
      <c r="H1858" s="10"/>
      <c r="I1858" s="10"/>
      <c r="J1858" s="10"/>
      <c r="K1858" s="10"/>
      <c r="L1858" s="10"/>
      <c r="M1858" s="10"/>
      <c r="N1858" s="10"/>
      <c r="O1858" s="10"/>
      <c r="P1858" s="10"/>
      <c r="Q1858" s="10"/>
      <c r="R1858" s="10"/>
      <c r="S1858" s="10"/>
      <c r="T1858" s="10"/>
      <c r="U1858" s="10"/>
      <c r="V1858" s="10"/>
      <c r="W1858" s="10"/>
      <c r="X1858" s="10"/>
      <c r="Y1858" s="10"/>
      <c r="Z1858" s="10"/>
      <c r="AA1858" s="10"/>
      <c r="AB1858" s="10"/>
      <c r="AF1858" s="467"/>
      <c r="AG1858" s="467"/>
      <c r="AH1858" s="6"/>
      <c r="AI1858" s="10"/>
      <c r="AK1858" s="448"/>
      <c r="AL1858" s="445"/>
    </row>
    <row r="1859" spans="1:38" ht="11.25" customHeight="1">
      <c r="A1859" s="10"/>
      <c r="B1859" s="10"/>
      <c r="C1859" s="10"/>
      <c r="D1859" s="10"/>
      <c r="E1859" s="10"/>
      <c r="F1859" s="10"/>
      <c r="G1859" s="10"/>
      <c r="H1859" s="10"/>
      <c r="I1859" s="10"/>
      <c r="J1859" s="10"/>
      <c r="K1859" s="10"/>
      <c r="L1859" s="10"/>
      <c r="M1859" s="10"/>
      <c r="N1859" s="10"/>
      <c r="O1859" s="10"/>
      <c r="P1859" s="10"/>
      <c r="Q1859" s="10"/>
      <c r="R1859" s="10"/>
      <c r="S1859" s="10"/>
      <c r="T1859" s="10"/>
      <c r="U1859" s="10"/>
      <c r="V1859" s="10"/>
      <c r="W1859" s="10"/>
      <c r="X1859" s="10"/>
      <c r="Y1859" s="10"/>
      <c r="Z1859" s="10"/>
      <c r="AA1859" s="10"/>
      <c r="AB1859" s="10"/>
      <c r="AF1859" s="467"/>
      <c r="AG1859" s="467"/>
      <c r="AH1859" s="6"/>
      <c r="AI1859" s="10"/>
      <c r="AK1859" s="448"/>
      <c r="AL1859" s="445"/>
    </row>
    <row r="1860" spans="1:38" ht="11.25" customHeight="1">
      <c r="A1860" s="10"/>
      <c r="B1860" s="10"/>
      <c r="C1860" s="10"/>
      <c r="D1860" s="10"/>
      <c r="E1860" s="10"/>
      <c r="F1860" s="10"/>
      <c r="G1860" s="10"/>
      <c r="H1860" s="10"/>
      <c r="I1860" s="10"/>
      <c r="J1860" s="10"/>
      <c r="K1860" s="10"/>
      <c r="L1860" s="10"/>
      <c r="M1860" s="10"/>
      <c r="N1860" s="10"/>
      <c r="O1860" s="10"/>
      <c r="P1860" s="10"/>
      <c r="Q1860" s="10"/>
      <c r="R1860" s="10"/>
      <c r="S1860" s="10"/>
      <c r="T1860" s="10"/>
      <c r="U1860" s="10"/>
      <c r="V1860" s="10"/>
      <c r="W1860" s="10"/>
      <c r="X1860" s="10"/>
      <c r="Y1860" s="10"/>
      <c r="Z1860" s="10"/>
      <c r="AA1860" s="10"/>
      <c r="AB1860" s="10"/>
      <c r="AF1860" s="467"/>
      <c r="AG1860" s="467"/>
      <c r="AH1860" s="6"/>
      <c r="AI1860" s="10"/>
      <c r="AK1860" s="448"/>
      <c r="AL1860" s="445"/>
    </row>
    <row r="1861" spans="1:38" ht="11.25" customHeight="1">
      <c r="A1861" s="10"/>
      <c r="B1861" s="10"/>
      <c r="C1861" s="10"/>
      <c r="D1861" s="10"/>
      <c r="E1861" s="10"/>
      <c r="F1861" s="10"/>
      <c r="G1861" s="10"/>
      <c r="H1861" s="10"/>
      <c r="I1861" s="10"/>
      <c r="J1861" s="10"/>
      <c r="K1861" s="10"/>
      <c r="L1861" s="10"/>
      <c r="M1861" s="10"/>
      <c r="N1861" s="10"/>
      <c r="O1861" s="10"/>
      <c r="P1861" s="10"/>
      <c r="Q1861" s="10"/>
      <c r="R1861" s="10"/>
      <c r="S1861" s="10"/>
      <c r="T1861" s="10"/>
      <c r="U1861" s="10"/>
      <c r="V1861" s="10"/>
      <c r="W1861" s="10"/>
      <c r="X1861" s="10"/>
      <c r="Y1861" s="10"/>
      <c r="Z1861" s="10"/>
      <c r="AA1861" s="10"/>
      <c r="AB1861" s="10"/>
      <c r="AF1861" s="467"/>
      <c r="AG1861" s="467"/>
      <c r="AH1861" s="6"/>
      <c r="AI1861" s="10"/>
      <c r="AK1861" s="448"/>
      <c r="AL1861" s="445"/>
    </row>
    <row r="1862" spans="1:38" ht="11.25" customHeight="1">
      <c r="A1862" s="10"/>
      <c r="B1862" s="10"/>
      <c r="C1862" s="10"/>
      <c r="D1862" s="10"/>
      <c r="E1862" s="10"/>
      <c r="F1862" s="10"/>
      <c r="G1862" s="10"/>
      <c r="H1862" s="10"/>
      <c r="I1862" s="10"/>
      <c r="J1862" s="10"/>
      <c r="K1862" s="10"/>
      <c r="L1862" s="10"/>
      <c r="M1862" s="10"/>
      <c r="N1862" s="10"/>
      <c r="O1862" s="10"/>
      <c r="P1862" s="10"/>
      <c r="Q1862" s="10"/>
      <c r="R1862" s="10"/>
      <c r="S1862" s="10"/>
      <c r="T1862" s="10"/>
      <c r="U1862" s="10"/>
      <c r="V1862" s="10"/>
      <c r="W1862" s="10"/>
      <c r="X1862" s="10"/>
      <c r="Y1862" s="10"/>
      <c r="Z1862" s="10"/>
      <c r="AA1862" s="10"/>
      <c r="AB1862" s="10"/>
      <c r="AF1862" s="467"/>
      <c r="AG1862" s="467"/>
      <c r="AH1862" s="6"/>
      <c r="AI1862" s="10"/>
      <c r="AK1862" s="448"/>
      <c r="AL1862" s="445"/>
    </row>
    <row r="1863" spans="1:38" ht="11.25" customHeight="1">
      <c r="A1863" s="10"/>
      <c r="B1863" s="10"/>
      <c r="C1863" s="10"/>
      <c r="D1863" s="10"/>
      <c r="E1863" s="10"/>
      <c r="F1863" s="10"/>
      <c r="G1863" s="10"/>
      <c r="H1863" s="10"/>
      <c r="I1863" s="10"/>
      <c r="J1863" s="10"/>
      <c r="K1863" s="10"/>
      <c r="L1863" s="10"/>
      <c r="M1863" s="10"/>
      <c r="N1863" s="10"/>
      <c r="O1863" s="10"/>
      <c r="P1863" s="10"/>
      <c r="Q1863" s="10"/>
      <c r="R1863" s="10"/>
      <c r="S1863" s="10"/>
      <c r="T1863" s="10"/>
      <c r="U1863" s="10"/>
      <c r="V1863" s="10"/>
      <c r="W1863" s="10"/>
      <c r="X1863" s="10"/>
      <c r="Y1863" s="10"/>
      <c r="Z1863" s="10"/>
      <c r="AA1863" s="10"/>
      <c r="AB1863" s="10"/>
      <c r="AF1863" s="467"/>
      <c r="AG1863" s="467"/>
      <c r="AH1863" s="6"/>
      <c r="AI1863" s="10"/>
      <c r="AK1863" s="448"/>
      <c r="AL1863" s="445"/>
    </row>
    <row r="1864" spans="1:38" ht="11.25" customHeight="1">
      <c r="A1864" s="10"/>
      <c r="B1864" s="10"/>
      <c r="C1864" s="10"/>
      <c r="D1864" s="10"/>
      <c r="E1864" s="10"/>
      <c r="F1864" s="10"/>
      <c r="G1864" s="10"/>
      <c r="H1864" s="10"/>
      <c r="I1864" s="10"/>
      <c r="J1864" s="10"/>
      <c r="K1864" s="10"/>
      <c r="L1864" s="10"/>
      <c r="M1864" s="10"/>
      <c r="N1864" s="10"/>
      <c r="O1864" s="10"/>
      <c r="P1864" s="10"/>
      <c r="Q1864" s="10"/>
      <c r="R1864" s="10"/>
      <c r="S1864" s="10"/>
      <c r="T1864" s="10"/>
      <c r="U1864" s="10"/>
      <c r="V1864" s="10"/>
      <c r="W1864" s="10"/>
      <c r="X1864" s="10"/>
      <c r="Y1864" s="10"/>
      <c r="Z1864" s="10"/>
      <c r="AA1864" s="10"/>
      <c r="AB1864" s="10"/>
      <c r="AF1864" s="467"/>
      <c r="AG1864" s="467"/>
      <c r="AH1864" s="6"/>
      <c r="AI1864" s="10"/>
      <c r="AK1864" s="448"/>
      <c r="AL1864" s="445"/>
    </row>
    <row r="1865" spans="1:38" ht="11.25" customHeight="1">
      <c r="A1865" s="10"/>
      <c r="B1865" s="10"/>
      <c r="C1865" s="10"/>
      <c r="D1865" s="10"/>
      <c r="E1865" s="10"/>
      <c r="F1865" s="10"/>
      <c r="G1865" s="10"/>
      <c r="H1865" s="10"/>
      <c r="I1865" s="10"/>
      <c r="J1865" s="10"/>
      <c r="K1865" s="10"/>
      <c r="L1865" s="10"/>
      <c r="M1865" s="10"/>
      <c r="N1865" s="10"/>
      <c r="O1865" s="10"/>
      <c r="P1865" s="10"/>
      <c r="Q1865" s="10"/>
      <c r="R1865" s="10"/>
      <c r="S1865" s="10"/>
      <c r="T1865" s="10"/>
      <c r="U1865" s="10"/>
      <c r="V1865" s="10"/>
      <c r="W1865" s="10"/>
      <c r="X1865" s="10"/>
      <c r="Y1865" s="10"/>
      <c r="Z1865" s="10"/>
      <c r="AA1865" s="10"/>
      <c r="AB1865" s="10"/>
      <c r="AF1865" s="467"/>
      <c r="AG1865" s="467"/>
      <c r="AH1865" s="6"/>
      <c r="AI1865" s="10"/>
      <c r="AK1865" s="448"/>
      <c r="AL1865" s="445"/>
    </row>
    <row r="1866" spans="1:38" ht="11.25" customHeight="1">
      <c r="A1866" s="10"/>
      <c r="B1866" s="10"/>
      <c r="C1866" s="10"/>
      <c r="D1866" s="10"/>
      <c r="E1866" s="10"/>
      <c r="F1866" s="10"/>
      <c r="G1866" s="10"/>
      <c r="H1866" s="10"/>
      <c r="I1866" s="10"/>
      <c r="J1866" s="10"/>
      <c r="K1866" s="10"/>
      <c r="L1866" s="10"/>
      <c r="M1866" s="10"/>
      <c r="N1866" s="10"/>
      <c r="O1866" s="10"/>
      <c r="P1866" s="10"/>
      <c r="Q1866" s="10"/>
      <c r="R1866" s="10"/>
      <c r="S1866" s="10"/>
      <c r="T1866" s="10"/>
      <c r="U1866" s="10"/>
      <c r="V1866" s="10"/>
      <c r="W1866" s="10"/>
      <c r="X1866" s="10"/>
      <c r="Y1866" s="10"/>
      <c r="Z1866" s="10"/>
      <c r="AA1866" s="10"/>
      <c r="AB1866" s="10"/>
      <c r="AF1866" s="467"/>
      <c r="AG1866" s="467"/>
      <c r="AH1866" s="6"/>
      <c r="AI1866" s="10"/>
      <c r="AK1866" s="448"/>
      <c r="AL1866" s="445"/>
    </row>
    <row r="1867" spans="1:38" ht="11.25" customHeight="1">
      <c r="A1867" s="10"/>
      <c r="B1867" s="10"/>
      <c r="C1867" s="10"/>
      <c r="D1867" s="10"/>
      <c r="E1867" s="10"/>
      <c r="F1867" s="10"/>
      <c r="G1867" s="10"/>
      <c r="H1867" s="10"/>
      <c r="I1867" s="10"/>
      <c r="J1867" s="10"/>
      <c r="K1867" s="10"/>
      <c r="L1867" s="10"/>
      <c r="M1867" s="10"/>
      <c r="N1867" s="10"/>
      <c r="O1867" s="10"/>
      <c r="P1867" s="10"/>
      <c r="Q1867" s="10"/>
      <c r="R1867" s="10"/>
      <c r="S1867" s="10"/>
      <c r="T1867" s="10"/>
      <c r="U1867" s="10"/>
      <c r="V1867" s="10"/>
      <c r="W1867" s="10"/>
      <c r="X1867" s="10"/>
      <c r="Y1867" s="10"/>
      <c r="Z1867" s="10"/>
      <c r="AA1867" s="10"/>
      <c r="AB1867" s="10"/>
      <c r="AF1867" s="467"/>
      <c r="AG1867" s="467"/>
      <c r="AH1867" s="6"/>
      <c r="AI1867" s="10"/>
      <c r="AK1867" s="448"/>
      <c r="AL1867" s="445"/>
    </row>
    <row r="1868" spans="1:38" ht="11.25" customHeight="1">
      <c r="A1868" s="10"/>
      <c r="B1868" s="10"/>
      <c r="C1868" s="10"/>
      <c r="D1868" s="10"/>
      <c r="E1868" s="10"/>
      <c r="F1868" s="10"/>
      <c r="G1868" s="10"/>
      <c r="H1868" s="10"/>
      <c r="I1868" s="10"/>
      <c r="J1868" s="10"/>
      <c r="K1868" s="10"/>
      <c r="L1868" s="10"/>
      <c r="M1868" s="10"/>
      <c r="N1868" s="10"/>
      <c r="O1868" s="10"/>
      <c r="P1868" s="10"/>
      <c r="Q1868" s="10"/>
      <c r="R1868" s="10"/>
      <c r="S1868" s="10"/>
      <c r="T1868" s="10"/>
      <c r="U1868" s="10"/>
      <c r="V1868" s="10"/>
      <c r="W1868" s="10"/>
      <c r="X1868" s="10"/>
      <c r="Y1868" s="10"/>
      <c r="Z1868" s="10"/>
      <c r="AA1868" s="10"/>
      <c r="AB1868" s="10"/>
      <c r="AF1868" s="467"/>
      <c r="AG1868" s="467"/>
      <c r="AH1868" s="6"/>
      <c r="AI1868" s="10"/>
      <c r="AK1868" s="448"/>
      <c r="AL1868" s="445"/>
    </row>
    <row r="1869" spans="1:38" ht="11.25" customHeight="1">
      <c r="A1869" s="10"/>
      <c r="B1869" s="10"/>
      <c r="C1869" s="10"/>
      <c r="D1869" s="10"/>
      <c r="E1869" s="10"/>
      <c r="F1869" s="10"/>
      <c r="G1869" s="10"/>
      <c r="H1869" s="10"/>
      <c r="I1869" s="10"/>
      <c r="J1869" s="10"/>
      <c r="K1869" s="10"/>
      <c r="L1869" s="10"/>
      <c r="M1869" s="10"/>
      <c r="N1869" s="10"/>
      <c r="O1869" s="10"/>
      <c r="P1869" s="10"/>
      <c r="Q1869" s="10"/>
      <c r="R1869" s="10"/>
      <c r="S1869" s="10"/>
      <c r="T1869" s="10"/>
      <c r="U1869" s="10"/>
      <c r="V1869" s="10"/>
      <c r="W1869" s="10"/>
      <c r="X1869" s="10"/>
      <c r="Y1869" s="10"/>
      <c r="Z1869" s="10"/>
      <c r="AA1869" s="10"/>
      <c r="AB1869" s="10"/>
      <c r="AF1869" s="467"/>
      <c r="AG1869" s="467"/>
      <c r="AH1869" s="6"/>
      <c r="AI1869" s="10"/>
      <c r="AK1869" s="448"/>
      <c r="AL1869" s="445"/>
    </row>
    <row r="1870" spans="1:38" ht="11.25" customHeight="1">
      <c r="A1870" s="10"/>
      <c r="B1870" s="10"/>
      <c r="C1870" s="10"/>
      <c r="D1870" s="10"/>
      <c r="E1870" s="10"/>
      <c r="F1870" s="10"/>
      <c r="G1870" s="10"/>
      <c r="H1870" s="10"/>
      <c r="I1870" s="10"/>
      <c r="J1870" s="10"/>
      <c r="K1870" s="10"/>
      <c r="L1870" s="10"/>
      <c r="M1870" s="10"/>
      <c r="N1870" s="10"/>
      <c r="O1870" s="10"/>
      <c r="P1870" s="10"/>
      <c r="Q1870" s="10"/>
      <c r="R1870" s="10"/>
      <c r="S1870" s="10"/>
      <c r="T1870" s="10"/>
      <c r="U1870" s="10"/>
      <c r="V1870" s="10"/>
      <c r="W1870" s="10"/>
      <c r="X1870" s="10"/>
      <c r="Y1870" s="10"/>
      <c r="Z1870" s="10"/>
      <c r="AA1870" s="10"/>
      <c r="AB1870" s="10"/>
      <c r="AF1870" s="467"/>
      <c r="AG1870" s="467"/>
      <c r="AH1870" s="6"/>
      <c r="AI1870" s="10"/>
      <c r="AK1870" s="448"/>
      <c r="AL1870" s="445"/>
    </row>
    <row r="1871" spans="1:38" ht="11.25" customHeight="1">
      <c r="A1871" s="10"/>
      <c r="B1871" s="10"/>
      <c r="C1871" s="10"/>
      <c r="D1871" s="10"/>
      <c r="E1871" s="10"/>
      <c r="F1871" s="10"/>
      <c r="G1871" s="10"/>
      <c r="H1871" s="10"/>
      <c r="I1871" s="10"/>
      <c r="J1871" s="10"/>
      <c r="K1871" s="10"/>
      <c r="L1871" s="10"/>
      <c r="M1871" s="10"/>
      <c r="N1871" s="10"/>
      <c r="O1871" s="10"/>
      <c r="P1871" s="10"/>
      <c r="Q1871" s="10"/>
      <c r="R1871" s="10"/>
      <c r="S1871" s="10"/>
      <c r="T1871" s="10"/>
      <c r="U1871" s="10"/>
      <c r="V1871" s="10"/>
      <c r="W1871" s="10"/>
      <c r="X1871" s="10"/>
      <c r="Y1871" s="10"/>
      <c r="Z1871" s="10"/>
      <c r="AA1871" s="10"/>
      <c r="AB1871" s="10"/>
      <c r="AF1871" s="467"/>
      <c r="AG1871" s="467"/>
      <c r="AH1871" s="6"/>
      <c r="AI1871" s="10"/>
      <c r="AK1871" s="448"/>
      <c r="AL1871" s="445"/>
    </row>
    <row r="1872" spans="1:38" ht="11.25" customHeight="1">
      <c r="A1872" s="10"/>
      <c r="B1872" s="10"/>
      <c r="C1872" s="10"/>
      <c r="D1872" s="10"/>
      <c r="E1872" s="10"/>
      <c r="F1872" s="10"/>
      <c r="G1872" s="10"/>
      <c r="H1872" s="10"/>
      <c r="I1872" s="10"/>
      <c r="J1872" s="10"/>
      <c r="K1872" s="10"/>
      <c r="L1872" s="10"/>
      <c r="M1872" s="10"/>
      <c r="N1872" s="10"/>
      <c r="O1872" s="10"/>
      <c r="P1872" s="10"/>
      <c r="Q1872" s="10"/>
      <c r="R1872" s="10"/>
      <c r="S1872" s="10"/>
      <c r="T1872" s="10"/>
      <c r="U1872" s="10"/>
      <c r="V1872" s="10"/>
      <c r="W1872" s="10"/>
      <c r="X1872" s="10"/>
      <c r="Y1872" s="10"/>
      <c r="Z1872" s="10"/>
      <c r="AA1872" s="10"/>
      <c r="AB1872" s="10"/>
      <c r="AF1872" s="467"/>
      <c r="AG1872" s="467"/>
      <c r="AH1872" s="6"/>
      <c r="AI1872" s="10"/>
      <c r="AK1872" s="448"/>
      <c r="AL1872" s="445"/>
    </row>
    <row r="1873" spans="1:38" ht="11.25" customHeight="1">
      <c r="A1873" s="10"/>
      <c r="B1873" s="10"/>
      <c r="C1873" s="10"/>
      <c r="D1873" s="10"/>
      <c r="E1873" s="10"/>
      <c r="F1873" s="10"/>
      <c r="G1873" s="10"/>
      <c r="H1873" s="10"/>
      <c r="I1873" s="10"/>
      <c r="J1873" s="10"/>
      <c r="K1873" s="10"/>
      <c r="L1873" s="10"/>
      <c r="M1873" s="10"/>
      <c r="N1873" s="10"/>
      <c r="O1873" s="10"/>
      <c r="P1873" s="10"/>
      <c r="Q1873" s="10"/>
      <c r="R1873" s="10"/>
      <c r="S1873" s="10"/>
      <c r="T1873" s="10"/>
      <c r="U1873" s="10"/>
      <c r="V1873" s="10"/>
      <c r="W1873" s="10"/>
      <c r="X1873" s="10"/>
      <c r="Y1873" s="10"/>
      <c r="Z1873" s="10"/>
      <c r="AA1873" s="10"/>
      <c r="AB1873" s="10"/>
      <c r="AF1873" s="467"/>
      <c r="AG1873" s="467"/>
      <c r="AH1873" s="6"/>
      <c r="AI1873" s="10"/>
      <c r="AK1873" s="448"/>
      <c r="AL1873" s="445"/>
    </row>
    <row r="1874" spans="1:38" ht="11.25" customHeight="1">
      <c r="A1874" s="10"/>
      <c r="B1874" s="10"/>
      <c r="C1874" s="10"/>
      <c r="D1874" s="10"/>
      <c r="E1874" s="10"/>
      <c r="F1874" s="10"/>
      <c r="G1874" s="10"/>
      <c r="H1874" s="10"/>
      <c r="I1874" s="10"/>
      <c r="J1874" s="10"/>
      <c r="K1874" s="10"/>
      <c r="L1874" s="10"/>
      <c r="M1874" s="10"/>
      <c r="N1874" s="10"/>
      <c r="O1874" s="10"/>
      <c r="P1874" s="10"/>
      <c r="Q1874" s="10"/>
      <c r="R1874" s="10"/>
      <c r="S1874" s="10"/>
      <c r="T1874" s="10"/>
      <c r="U1874" s="10"/>
      <c r="V1874" s="10"/>
      <c r="W1874" s="10"/>
      <c r="X1874" s="10"/>
      <c r="Y1874" s="10"/>
      <c r="Z1874" s="10"/>
      <c r="AA1874" s="10"/>
      <c r="AB1874" s="10"/>
      <c r="AF1874" s="467"/>
      <c r="AG1874" s="467"/>
      <c r="AH1874" s="6"/>
      <c r="AI1874" s="10"/>
      <c r="AK1874" s="448"/>
      <c r="AL1874" s="445"/>
    </row>
    <row r="1875" spans="1:38" ht="11.25" customHeight="1">
      <c r="A1875" s="10"/>
      <c r="B1875" s="10"/>
      <c r="C1875" s="10"/>
      <c r="D1875" s="10"/>
      <c r="E1875" s="10"/>
      <c r="F1875" s="10"/>
      <c r="G1875" s="10"/>
      <c r="H1875" s="10"/>
      <c r="I1875" s="10"/>
      <c r="J1875" s="10"/>
      <c r="K1875" s="10"/>
      <c r="L1875" s="10"/>
      <c r="M1875" s="10"/>
      <c r="N1875" s="10"/>
      <c r="O1875" s="10"/>
      <c r="P1875" s="10"/>
      <c r="Q1875" s="10"/>
      <c r="R1875" s="10"/>
      <c r="S1875" s="10"/>
      <c r="T1875" s="10"/>
      <c r="U1875" s="10"/>
      <c r="V1875" s="10"/>
      <c r="W1875" s="10"/>
      <c r="X1875" s="10"/>
      <c r="Y1875" s="10"/>
      <c r="Z1875" s="10"/>
      <c r="AA1875" s="10"/>
      <c r="AB1875" s="10"/>
      <c r="AF1875" s="467"/>
      <c r="AG1875" s="467"/>
      <c r="AH1875" s="6"/>
      <c r="AI1875" s="10"/>
      <c r="AK1875" s="448"/>
      <c r="AL1875" s="445"/>
    </row>
    <row r="1876" spans="1:38" ht="11.25" customHeight="1">
      <c r="A1876" s="10"/>
      <c r="B1876" s="10"/>
      <c r="C1876" s="10"/>
      <c r="D1876" s="10"/>
      <c r="E1876" s="10"/>
      <c r="F1876" s="10"/>
      <c r="G1876" s="10"/>
      <c r="H1876" s="10"/>
      <c r="I1876" s="10"/>
      <c r="J1876" s="10"/>
      <c r="K1876" s="10"/>
      <c r="L1876" s="10"/>
      <c r="M1876" s="10"/>
      <c r="N1876" s="10"/>
      <c r="O1876" s="10"/>
      <c r="P1876" s="10"/>
      <c r="Q1876" s="10"/>
      <c r="R1876" s="10"/>
      <c r="S1876" s="10"/>
      <c r="T1876" s="10"/>
      <c r="U1876" s="10"/>
      <c r="V1876" s="10"/>
      <c r="W1876" s="10"/>
      <c r="X1876" s="10"/>
      <c r="Y1876" s="10"/>
      <c r="Z1876" s="10"/>
      <c r="AA1876" s="10"/>
      <c r="AB1876" s="10"/>
      <c r="AF1876" s="467"/>
      <c r="AG1876" s="467"/>
      <c r="AH1876" s="6"/>
      <c r="AI1876" s="10"/>
      <c r="AK1876" s="448"/>
      <c r="AL1876" s="445"/>
    </row>
    <row r="1877" spans="1:38" ht="11.25" customHeight="1">
      <c r="A1877" s="10"/>
      <c r="B1877" s="10"/>
      <c r="C1877" s="10"/>
      <c r="D1877" s="10"/>
      <c r="E1877" s="10"/>
      <c r="F1877" s="10"/>
      <c r="G1877" s="10"/>
      <c r="H1877" s="10"/>
      <c r="I1877" s="10"/>
      <c r="J1877" s="10"/>
      <c r="K1877" s="10"/>
      <c r="L1877" s="10"/>
      <c r="M1877" s="10"/>
      <c r="N1877" s="10"/>
      <c r="O1877" s="10"/>
      <c r="P1877" s="10"/>
      <c r="Q1877" s="10"/>
      <c r="R1877" s="10"/>
      <c r="S1877" s="10"/>
      <c r="T1877" s="10"/>
      <c r="U1877" s="10"/>
      <c r="V1877" s="10"/>
      <c r="W1877" s="10"/>
      <c r="X1877" s="10"/>
      <c r="Y1877" s="10"/>
      <c r="Z1877" s="10"/>
      <c r="AA1877" s="10"/>
      <c r="AB1877" s="10"/>
      <c r="AF1877" s="467"/>
      <c r="AG1877" s="467"/>
      <c r="AH1877" s="6"/>
      <c r="AI1877" s="10"/>
      <c r="AK1877" s="448"/>
      <c r="AL1877" s="445"/>
    </row>
    <row r="1878" spans="1:38" ht="11.25" customHeight="1">
      <c r="A1878" s="10"/>
      <c r="B1878" s="10"/>
      <c r="C1878" s="10"/>
      <c r="D1878" s="10"/>
      <c r="E1878" s="10"/>
      <c r="F1878" s="10"/>
      <c r="G1878" s="10"/>
      <c r="H1878" s="10"/>
      <c r="I1878" s="10"/>
      <c r="J1878" s="10"/>
      <c r="K1878" s="10"/>
      <c r="L1878" s="10"/>
      <c r="M1878" s="10"/>
      <c r="N1878" s="10"/>
      <c r="O1878" s="10"/>
      <c r="P1878" s="10"/>
      <c r="Q1878" s="10"/>
      <c r="R1878" s="10"/>
      <c r="S1878" s="10"/>
      <c r="T1878" s="10"/>
      <c r="U1878" s="10"/>
      <c r="V1878" s="10"/>
      <c r="W1878" s="10"/>
      <c r="X1878" s="10"/>
      <c r="Y1878" s="10"/>
      <c r="Z1878" s="10"/>
      <c r="AA1878" s="10"/>
      <c r="AB1878" s="10"/>
      <c r="AF1878" s="467"/>
      <c r="AG1878" s="467"/>
      <c r="AH1878" s="6"/>
      <c r="AI1878" s="10"/>
      <c r="AK1878" s="448"/>
      <c r="AL1878" s="445"/>
    </row>
    <row r="1879" spans="1:38" ht="11.25" customHeight="1">
      <c r="A1879" s="10"/>
      <c r="B1879" s="10"/>
      <c r="C1879" s="10"/>
      <c r="D1879" s="10"/>
      <c r="E1879" s="10"/>
      <c r="F1879" s="10"/>
      <c r="G1879" s="10"/>
      <c r="H1879" s="10"/>
      <c r="I1879" s="10"/>
      <c r="J1879" s="10"/>
      <c r="K1879" s="10"/>
      <c r="L1879" s="10"/>
      <c r="M1879" s="10"/>
      <c r="N1879" s="10"/>
      <c r="O1879" s="10"/>
      <c r="P1879" s="10"/>
      <c r="Q1879" s="10"/>
      <c r="R1879" s="10"/>
      <c r="S1879" s="10"/>
      <c r="T1879" s="10"/>
      <c r="U1879" s="10"/>
      <c r="V1879" s="10"/>
      <c r="W1879" s="10"/>
      <c r="X1879" s="10"/>
      <c r="Y1879" s="10"/>
      <c r="Z1879" s="10"/>
      <c r="AA1879" s="10"/>
      <c r="AB1879" s="10"/>
      <c r="AF1879" s="467"/>
      <c r="AG1879" s="467"/>
      <c r="AH1879" s="6"/>
      <c r="AI1879" s="10"/>
      <c r="AK1879" s="448"/>
      <c r="AL1879" s="445"/>
    </row>
    <row r="1880" spans="1:38" ht="11.25" customHeight="1">
      <c r="A1880" s="10"/>
      <c r="B1880" s="10"/>
      <c r="C1880" s="10"/>
      <c r="D1880" s="10"/>
      <c r="E1880" s="10"/>
      <c r="F1880" s="10"/>
      <c r="G1880" s="10"/>
      <c r="H1880" s="10"/>
      <c r="I1880" s="10"/>
      <c r="J1880" s="10"/>
      <c r="K1880" s="10"/>
      <c r="L1880" s="10"/>
      <c r="M1880" s="10"/>
      <c r="N1880" s="10"/>
      <c r="O1880" s="10"/>
      <c r="P1880" s="10"/>
      <c r="Q1880" s="10"/>
      <c r="R1880" s="10"/>
      <c r="S1880" s="10"/>
      <c r="T1880" s="10"/>
      <c r="U1880" s="10"/>
      <c r="V1880" s="10"/>
      <c r="W1880" s="10"/>
      <c r="X1880" s="10"/>
      <c r="Y1880" s="10"/>
      <c r="Z1880" s="10"/>
      <c r="AA1880" s="10"/>
      <c r="AB1880" s="10"/>
      <c r="AF1880" s="467"/>
      <c r="AG1880" s="467"/>
      <c r="AH1880" s="6"/>
      <c r="AI1880" s="10"/>
      <c r="AK1880" s="448"/>
      <c r="AL1880" s="445"/>
    </row>
    <row r="1881" spans="1:38" ht="11.25" customHeight="1">
      <c r="A1881" s="10"/>
      <c r="B1881" s="10"/>
      <c r="C1881" s="10"/>
      <c r="D1881" s="10"/>
      <c r="E1881" s="10"/>
      <c r="F1881" s="10"/>
      <c r="G1881" s="10"/>
      <c r="H1881" s="10"/>
      <c r="I1881" s="10"/>
      <c r="J1881" s="10"/>
      <c r="K1881" s="10"/>
      <c r="L1881" s="10"/>
      <c r="M1881" s="10"/>
      <c r="N1881" s="10"/>
      <c r="O1881" s="10"/>
      <c r="P1881" s="10"/>
      <c r="Q1881" s="10"/>
      <c r="R1881" s="10"/>
      <c r="S1881" s="10"/>
      <c r="T1881" s="10"/>
      <c r="U1881" s="10"/>
      <c r="V1881" s="10"/>
      <c r="W1881" s="10"/>
      <c r="X1881" s="10"/>
      <c r="Y1881" s="10"/>
      <c r="Z1881" s="10"/>
      <c r="AA1881" s="10"/>
      <c r="AB1881" s="10"/>
      <c r="AF1881" s="467"/>
      <c r="AG1881" s="467"/>
      <c r="AH1881" s="6"/>
      <c r="AI1881" s="10"/>
      <c r="AK1881" s="448"/>
      <c r="AL1881" s="445"/>
    </row>
    <row r="1882" spans="1:38" ht="11.25" customHeight="1">
      <c r="A1882" s="10"/>
      <c r="B1882" s="10"/>
      <c r="C1882" s="10"/>
      <c r="D1882" s="10"/>
      <c r="E1882" s="10"/>
      <c r="F1882" s="10"/>
      <c r="G1882" s="10"/>
      <c r="H1882" s="10"/>
      <c r="I1882" s="10"/>
      <c r="J1882" s="10"/>
      <c r="K1882" s="10"/>
      <c r="L1882" s="10"/>
      <c r="M1882" s="10"/>
      <c r="N1882" s="10"/>
      <c r="O1882" s="10"/>
      <c r="P1882" s="10"/>
      <c r="Q1882" s="10"/>
      <c r="R1882" s="10"/>
      <c r="S1882" s="10"/>
      <c r="T1882" s="10"/>
      <c r="U1882" s="10"/>
      <c r="V1882" s="10"/>
      <c r="W1882" s="10"/>
      <c r="X1882" s="10"/>
      <c r="Y1882" s="10"/>
      <c r="Z1882" s="10"/>
      <c r="AA1882" s="10"/>
      <c r="AB1882" s="10"/>
      <c r="AF1882" s="467"/>
      <c r="AG1882" s="467"/>
      <c r="AH1882" s="6"/>
      <c r="AI1882" s="10"/>
      <c r="AK1882" s="448"/>
      <c r="AL1882" s="445"/>
    </row>
    <row r="1883" spans="1:38" ht="11.25" customHeight="1">
      <c r="A1883" s="10"/>
      <c r="B1883" s="10"/>
      <c r="C1883" s="10"/>
      <c r="D1883" s="10"/>
      <c r="E1883" s="10"/>
      <c r="F1883" s="10"/>
      <c r="G1883" s="10"/>
      <c r="H1883" s="10"/>
      <c r="I1883" s="10"/>
      <c r="J1883" s="10"/>
      <c r="K1883" s="10"/>
      <c r="L1883" s="10"/>
      <c r="M1883" s="10"/>
      <c r="N1883" s="10"/>
      <c r="O1883" s="10"/>
      <c r="P1883" s="10"/>
      <c r="Q1883" s="10"/>
      <c r="R1883" s="10"/>
      <c r="S1883" s="10"/>
      <c r="T1883" s="10"/>
      <c r="U1883" s="10"/>
      <c r="V1883" s="10"/>
      <c r="W1883" s="10"/>
      <c r="X1883" s="10"/>
      <c r="Y1883" s="10"/>
      <c r="Z1883" s="10"/>
      <c r="AA1883" s="10"/>
      <c r="AB1883" s="10"/>
      <c r="AF1883" s="467"/>
      <c r="AG1883" s="467"/>
      <c r="AH1883" s="6"/>
      <c r="AI1883" s="10"/>
      <c r="AK1883" s="448"/>
      <c r="AL1883" s="445"/>
    </row>
    <row r="1884" spans="1:38" ht="11.25" customHeight="1">
      <c r="A1884" s="10"/>
      <c r="B1884" s="10"/>
      <c r="C1884" s="10"/>
      <c r="D1884" s="10"/>
      <c r="E1884" s="10"/>
      <c r="F1884" s="10"/>
      <c r="G1884" s="10"/>
      <c r="H1884" s="10"/>
      <c r="I1884" s="10"/>
      <c r="J1884" s="10"/>
      <c r="K1884" s="10"/>
      <c r="L1884" s="10"/>
      <c r="M1884" s="10"/>
      <c r="N1884" s="10"/>
      <c r="O1884" s="10"/>
      <c r="P1884" s="10"/>
      <c r="Q1884" s="10"/>
      <c r="R1884" s="10"/>
      <c r="S1884" s="10"/>
      <c r="T1884" s="10"/>
      <c r="U1884" s="10"/>
      <c r="V1884" s="10"/>
      <c r="W1884" s="10"/>
      <c r="X1884" s="10"/>
      <c r="Y1884" s="10"/>
      <c r="Z1884" s="10"/>
      <c r="AA1884" s="10"/>
      <c r="AB1884" s="10"/>
      <c r="AF1884" s="467"/>
      <c r="AG1884" s="467"/>
      <c r="AH1884" s="6"/>
      <c r="AI1884" s="10"/>
      <c r="AK1884" s="448"/>
      <c r="AL1884" s="445"/>
    </row>
    <row r="1885" spans="1:38" ht="11.25" customHeight="1">
      <c r="A1885" s="10"/>
      <c r="B1885" s="10"/>
      <c r="C1885" s="10"/>
      <c r="D1885" s="10"/>
      <c r="E1885" s="10"/>
      <c r="F1885" s="10"/>
      <c r="G1885" s="10"/>
      <c r="H1885" s="10"/>
      <c r="I1885" s="10"/>
      <c r="J1885" s="10"/>
      <c r="K1885" s="10"/>
      <c r="L1885" s="10"/>
      <c r="M1885" s="10"/>
      <c r="N1885" s="10"/>
      <c r="O1885" s="10"/>
      <c r="P1885" s="10"/>
      <c r="Q1885" s="10"/>
      <c r="R1885" s="10"/>
      <c r="S1885" s="10"/>
      <c r="T1885" s="10"/>
      <c r="U1885" s="10"/>
      <c r="V1885" s="10"/>
      <c r="W1885" s="10"/>
      <c r="X1885" s="10"/>
      <c r="Y1885" s="10"/>
      <c r="Z1885" s="10"/>
      <c r="AA1885" s="10"/>
      <c r="AB1885" s="10"/>
      <c r="AF1885" s="467"/>
      <c r="AG1885" s="467"/>
      <c r="AH1885" s="6"/>
      <c r="AI1885" s="10"/>
      <c r="AK1885" s="448"/>
      <c r="AL1885" s="445"/>
    </row>
    <row r="1886" spans="1:38" ht="11.25" customHeight="1">
      <c r="A1886" s="10"/>
      <c r="B1886" s="10"/>
      <c r="C1886" s="10"/>
      <c r="D1886" s="10"/>
      <c r="E1886" s="10"/>
      <c r="F1886" s="10"/>
      <c r="G1886" s="10"/>
      <c r="H1886" s="10"/>
      <c r="I1886" s="10"/>
      <c r="J1886" s="10"/>
      <c r="K1886" s="10"/>
      <c r="L1886" s="10"/>
      <c r="M1886" s="10"/>
      <c r="N1886" s="10"/>
      <c r="O1886" s="10"/>
      <c r="P1886" s="10"/>
      <c r="Q1886" s="10"/>
      <c r="R1886" s="10"/>
      <c r="S1886" s="10"/>
      <c r="T1886" s="10"/>
      <c r="U1886" s="10"/>
      <c r="V1886" s="10"/>
      <c r="W1886" s="10"/>
      <c r="X1886" s="10"/>
      <c r="Y1886" s="10"/>
      <c r="Z1886" s="10"/>
      <c r="AA1886" s="10"/>
      <c r="AB1886" s="10"/>
      <c r="AF1886" s="467"/>
      <c r="AG1886" s="467"/>
      <c r="AH1886" s="6"/>
      <c r="AI1886" s="10"/>
      <c r="AK1886" s="448"/>
      <c r="AL1886" s="445"/>
    </row>
    <row r="1887" spans="1:38" ht="11.25" customHeight="1">
      <c r="A1887" s="10"/>
      <c r="B1887" s="10"/>
      <c r="C1887" s="10"/>
      <c r="D1887" s="10"/>
      <c r="E1887" s="10"/>
      <c r="F1887" s="10"/>
      <c r="G1887" s="10"/>
      <c r="H1887" s="10"/>
      <c r="I1887" s="10"/>
      <c r="J1887" s="10"/>
      <c r="K1887" s="10"/>
      <c r="L1887" s="10"/>
      <c r="M1887" s="10"/>
      <c r="N1887" s="10"/>
      <c r="O1887" s="10"/>
      <c r="P1887" s="10"/>
      <c r="Q1887" s="10"/>
      <c r="R1887" s="10"/>
      <c r="S1887" s="10"/>
      <c r="T1887" s="10"/>
      <c r="U1887" s="10"/>
      <c r="V1887" s="10"/>
      <c r="W1887" s="10"/>
      <c r="X1887" s="10"/>
      <c r="Y1887" s="10"/>
      <c r="Z1887" s="10"/>
      <c r="AA1887" s="10"/>
      <c r="AB1887" s="10"/>
      <c r="AF1887" s="467"/>
      <c r="AG1887" s="467"/>
      <c r="AH1887" s="6"/>
      <c r="AI1887" s="10"/>
      <c r="AK1887" s="448"/>
      <c r="AL1887" s="445"/>
    </row>
    <row r="1888" spans="1:38" ht="11.25" customHeight="1">
      <c r="A1888" s="10"/>
      <c r="B1888" s="10"/>
      <c r="C1888" s="10"/>
      <c r="D1888" s="10"/>
      <c r="E1888" s="10"/>
      <c r="F1888" s="10"/>
      <c r="G1888" s="10"/>
      <c r="H1888" s="10"/>
      <c r="I1888" s="10"/>
      <c r="J1888" s="10"/>
      <c r="K1888" s="10"/>
      <c r="L1888" s="10"/>
      <c r="M1888" s="10"/>
      <c r="N1888" s="10"/>
      <c r="O1888" s="10"/>
      <c r="P1888" s="10"/>
      <c r="Q1888" s="10"/>
      <c r="R1888" s="10"/>
      <c r="S1888" s="10"/>
      <c r="T1888" s="10"/>
      <c r="U1888" s="10"/>
      <c r="V1888" s="10"/>
      <c r="W1888" s="10"/>
      <c r="X1888" s="10"/>
      <c r="Y1888" s="10"/>
      <c r="Z1888" s="10"/>
      <c r="AA1888" s="10"/>
      <c r="AB1888" s="10"/>
      <c r="AF1888" s="467"/>
      <c r="AG1888" s="467"/>
      <c r="AH1888" s="6"/>
      <c r="AI1888" s="10"/>
      <c r="AK1888" s="448"/>
      <c r="AL1888" s="445"/>
    </row>
    <row r="1889" spans="1:38" ht="11.25" customHeight="1">
      <c r="A1889" s="10"/>
      <c r="B1889" s="10"/>
      <c r="C1889" s="10"/>
      <c r="D1889" s="10"/>
      <c r="E1889" s="10"/>
      <c r="F1889" s="10"/>
      <c r="G1889" s="10"/>
      <c r="H1889" s="10"/>
      <c r="I1889" s="10"/>
      <c r="J1889" s="10"/>
      <c r="K1889" s="10"/>
      <c r="L1889" s="10"/>
      <c r="M1889" s="10"/>
      <c r="N1889" s="10"/>
      <c r="O1889" s="10"/>
      <c r="P1889" s="10"/>
      <c r="Q1889" s="10"/>
      <c r="R1889" s="10"/>
      <c r="S1889" s="10"/>
      <c r="T1889" s="10"/>
      <c r="U1889" s="10"/>
      <c r="V1889" s="10"/>
      <c r="W1889" s="10"/>
      <c r="X1889" s="10"/>
      <c r="Y1889" s="10"/>
      <c r="Z1889" s="10"/>
      <c r="AA1889" s="10"/>
      <c r="AB1889" s="10"/>
      <c r="AF1889" s="467"/>
      <c r="AG1889" s="467"/>
      <c r="AH1889" s="6"/>
      <c r="AI1889" s="10"/>
      <c r="AK1889" s="448"/>
      <c r="AL1889" s="445"/>
    </row>
    <row r="1890" spans="1:38" ht="11.25" customHeight="1">
      <c r="A1890" s="10"/>
      <c r="B1890" s="10"/>
      <c r="C1890" s="10"/>
      <c r="D1890" s="10"/>
      <c r="E1890" s="10"/>
      <c r="F1890" s="10"/>
      <c r="G1890" s="10"/>
      <c r="H1890" s="10"/>
      <c r="I1890" s="10"/>
      <c r="J1890" s="10"/>
      <c r="K1890" s="10"/>
      <c r="L1890" s="10"/>
      <c r="M1890" s="10"/>
      <c r="N1890" s="10"/>
      <c r="O1890" s="10"/>
      <c r="P1890" s="10"/>
      <c r="Q1890" s="10"/>
      <c r="R1890" s="10"/>
      <c r="S1890" s="10"/>
      <c r="T1890" s="10"/>
      <c r="U1890" s="10"/>
      <c r="V1890" s="10"/>
      <c r="W1890" s="10"/>
      <c r="X1890" s="10"/>
      <c r="Y1890" s="10"/>
      <c r="Z1890" s="10"/>
      <c r="AA1890" s="10"/>
      <c r="AB1890" s="10"/>
      <c r="AF1890" s="467"/>
      <c r="AG1890" s="467"/>
      <c r="AH1890" s="6"/>
      <c r="AI1890" s="10"/>
      <c r="AK1890" s="448"/>
      <c r="AL1890" s="445"/>
    </row>
    <row r="1891" spans="1:38" ht="11.25" customHeight="1">
      <c r="A1891" s="10"/>
      <c r="B1891" s="10"/>
      <c r="C1891" s="10"/>
      <c r="D1891" s="10"/>
      <c r="E1891" s="10"/>
      <c r="F1891" s="10"/>
      <c r="G1891" s="10"/>
      <c r="H1891" s="10"/>
      <c r="I1891" s="10"/>
      <c r="J1891" s="10"/>
      <c r="K1891" s="10"/>
      <c r="L1891" s="10"/>
      <c r="M1891" s="10"/>
      <c r="N1891" s="10"/>
      <c r="O1891" s="10"/>
      <c r="P1891" s="10"/>
      <c r="Q1891" s="10"/>
      <c r="R1891" s="10"/>
      <c r="S1891" s="10"/>
      <c r="T1891" s="10"/>
      <c r="U1891" s="10"/>
      <c r="V1891" s="10"/>
      <c r="W1891" s="10"/>
      <c r="X1891" s="10"/>
      <c r="Y1891" s="10"/>
      <c r="Z1891" s="10"/>
      <c r="AA1891" s="10"/>
      <c r="AB1891" s="10"/>
      <c r="AF1891" s="467"/>
      <c r="AG1891" s="467"/>
      <c r="AH1891" s="6"/>
      <c r="AI1891" s="10"/>
      <c r="AK1891" s="448"/>
      <c r="AL1891" s="445"/>
    </row>
    <row r="1892" spans="1:38" ht="11.25" customHeight="1">
      <c r="A1892" s="10"/>
      <c r="B1892" s="10"/>
      <c r="C1892" s="10"/>
      <c r="D1892" s="10"/>
      <c r="E1892" s="10"/>
      <c r="F1892" s="10"/>
      <c r="G1892" s="10"/>
      <c r="H1892" s="10"/>
      <c r="I1892" s="10"/>
      <c r="J1892" s="10"/>
      <c r="K1892" s="10"/>
      <c r="L1892" s="10"/>
      <c r="M1892" s="10"/>
      <c r="N1892" s="10"/>
      <c r="O1892" s="10"/>
      <c r="P1892" s="10"/>
      <c r="Q1892" s="10"/>
      <c r="R1892" s="10"/>
      <c r="S1892" s="10"/>
      <c r="T1892" s="10"/>
      <c r="U1892" s="10"/>
      <c r="V1892" s="10"/>
      <c r="W1892" s="10"/>
      <c r="X1892" s="10"/>
      <c r="Y1892" s="10"/>
      <c r="Z1892" s="10"/>
      <c r="AA1892" s="10"/>
      <c r="AB1892" s="10"/>
      <c r="AF1892" s="467"/>
      <c r="AG1892" s="467"/>
      <c r="AH1892" s="6"/>
      <c r="AI1892" s="10"/>
      <c r="AK1892" s="448"/>
      <c r="AL1892" s="445"/>
    </row>
    <row r="1893" spans="1:38" ht="11.25" customHeight="1">
      <c r="A1893" s="10"/>
      <c r="B1893" s="10"/>
      <c r="C1893" s="10"/>
      <c r="D1893" s="10"/>
      <c r="E1893" s="10"/>
      <c r="F1893" s="10"/>
      <c r="G1893" s="10"/>
      <c r="H1893" s="10"/>
      <c r="I1893" s="10"/>
      <c r="J1893" s="10"/>
      <c r="K1893" s="10"/>
      <c r="L1893" s="10"/>
      <c r="M1893" s="10"/>
      <c r="N1893" s="10"/>
      <c r="O1893" s="10"/>
      <c r="P1893" s="10"/>
      <c r="Q1893" s="10"/>
      <c r="R1893" s="10"/>
      <c r="S1893" s="10"/>
      <c r="T1893" s="10"/>
      <c r="U1893" s="10"/>
      <c r="V1893" s="10"/>
      <c r="W1893" s="10"/>
      <c r="X1893" s="10"/>
      <c r="Y1893" s="10"/>
      <c r="Z1893" s="10"/>
      <c r="AA1893" s="10"/>
      <c r="AB1893" s="10"/>
      <c r="AF1893" s="467"/>
      <c r="AG1893" s="467"/>
      <c r="AH1893" s="6"/>
      <c r="AI1893" s="10"/>
      <c r="AK1893" s="448"/>
      <c r="AL1893" s="445"/>
    </row>
    <row r="1894" spans="1:38" ht="11.25" customHeight="1">
      <c r="A1894" s="10"/>
      <c r="B1894" s="10"/>
      <c r="C1894" s="10"/>
      <c r="D1894" s="10"/>
      <c r="E1894" s="10"/>
      <c r="F1894" s="10"/>
      <c r="G1894" s="10"/>
      <c r="H1894" s="10"/>
      <c r="I1894" s="10"/>
      <c r="J1894" s="10"/>
      <c r="K1894" s="10"/>
      <c r="L1894" s="10"/>
      <c r="M1894" s="10"/>
      <c r="N1894" s="10"/>
      <c r="O1894" s="10"/>
      <c r="P1894" s="10"/>
      <c r="Q1894" s="10"/>
      <c r="R1894" s="10"/>
      <c r="S1894" s="10"/>
      <c r="T1894" s="10"/>
      <c r="U1894" s="10"/>
      <c r="V1894" s="10"/>
      <c r="W1894" s="10"/>
      <c r="X1894" s="10"/>
      <c r="Y1894" s="10"/>
      <c r="Z1894" s="10"/>
      <c r="AA1894" s="10"/>
      <c r="AB1894" s="10"/>
      <c r="AF1894" s="467"/>
      <c r="AG1894" s="467"/>
      <c r="AH1894" s="6"/>
      <c r="AI1894" s="10"/>
      <c r="AK1894" s="448"/>
      <c r="AL1894" s="445"/>
    </row>
    <row r="1895" spans="1:38" ht="11.25" customHeight="1">
      <c r="A1895" s="10"/>
      <c r="B1895" s="10"/>
      <c r="C1895" s="10"/>
      <c r="D1895" s="10"/>
      <c r="E1895" s="10"/>
      <c r="F1895" s="10"/>
      <c r="G1895" s="10"/>
      <c r="H1895" s="10"/>
      <c r="I1895" s="10"/>
      <c r="J1895" s="10"/>
      <c r="K1895" s="10"/>
      <c r="L1895" s="10"/>
      <c r="M1895" s="10"/>
      <c r="N1895" s="10"/>
      <c r="O1895" s="10"/>
      <c r="P1895" s="10"/>
      <c r="Q1895" s="10"/>
      <c r="R1895" s="10"/>
      <c r="S1895" s="10"/>
      <c r="T1895" s="10"/>
      <c r="U1895" s="10"/>
      <c r="V1895" s="10"/>
      <c r="W1895" s="10"/>
      <c r="X1895" s="10"/>
      <c r="Y1895" s="10"/>
      <c r="Z1895" s="10"/>
      <c r="AA1895" s="10"/>
      <c r="AB1895" s="10"/>
      <c r="AF1895" s="467"/>
      <c r="AG1895" s="467"/>
      <c r="AH1895" s="6"/>
      <c r="AI1895" s="10"/>
      <c r="AK1895" s="448"/>
      <c r="AL1895" s="445"/>
    </row>
    <row r="1896" spans="1:38" ht="11.25" customHeight="1">
      <c r="A1896" s="10"/>
      <c r="B1896" s="10"/>
      <c r="C1896" s="10"/>
      <c r="D1896" s="10"/>
      <c r="E1896" s="10"/>
      <c r="F1896" s="10"/>
      <c r="G1896" s="10"/>
      <c r="H1896" s="10"/>
      <c r="I1896" s="10"/>
      <c r="J1896" s="10"/>
      <c r="K1896" s="10"/>
      <c r="L1896" s="10"/>
      <c r="M1896" s="10"/>
      <c r="N1896" s="10"/>
      <c r="O1896" s="10"/>
      <c r="P1896" s="10"/>
      <c r="Q1896" s="10"/>
      <c r="R1896" s="10"/>
      <c r="S1896" s="10"/>
      <c r="T1896" s="10"/>
      <c r="U1896" s="10"/>
      <c r="V1896" s="10"/>
      <c r="W1896" s="10"/>
      <c r="X1896" s="10"/>
      <c r="Y1896" s="10"/>
      <c r="Z1896" s="10"/>
      <c r="AA1896" s="10"/>
      <c r="AB1896" s="10"/>
      <c r="AF1896" s="467"/>
      <c r="AG1896" s="467"/>
      <c r="AH1896" s="6"/>
      <c r="AI1896" s="10"/>
      <c r="AK1896" s="448"/>
      <c r="AL1896" s="445"/>
    </row>
    <row r="1897" spans="1:38" ht="11.25" customHeight="1">
      <c r="A1897" s="10"/>
      <c r="B1897" s="10"/>
      <c r="C1897" s="10"/>
      <c r="D1897" s="10"/>
      <c r="E1897" s="10"/>
      <c r="F1897" s="10"/>
      <c r="G1897" s="10"/>
      <c r="H1897" s="10"/>
      <c r="I1897" s="10"/>
      <c r="J1897" s="10"/>
      <c r="K1897" s="10"/>
      <c r="L1897" s="10"/>
      <c r="M1897" s="10"/>
      <c r="N1897" s="10"/>
      <c r="O1897" s="10"/>
      <c r="P1897" s="10"/>
      <c r="Q1897" s="10"/>
      <c r="R1897" s="10"/>
      <c r="S1897" s="10"/>
      <c r="T1897" s="10"/>
      <c r="U1897" s="10"/>
      <c r="V1897" s="10"/>
      <c r="W1897" s="10"/>
      <c r="X1897" s="10"/>
      <c r="Y1897" s="10"/>
      <c r="Z1897" s="10"/>
      <c r="AA1897" s="10"/>
      <c r="AB1897" s="10"/>
      <c r="AF1897" s="467"/>
      <c r="AG1897" s="467"/>
      <c r="AH1897" s="6"/>
      <c r="AI1897" s="10"/>
      <c r="AK1897" s="448"/>
      <c r="AL1897" s="445"/>
    </row>
    <row r="1898" spans="1:38" ht="11.25" customHeight="1">
      <c r="A1898" s="10"/>
      <c r="B1898" s="10"/>
      <c r="C1898" s="10"/>
      <c r="D1898" s="10"/>
      <c r="E1898" s="10"/>
      <c r="F1898" s="10"/>
      <c r="G1898" s="10"/>
      <c r="H1898" s="10"/>
      <c r="I1898" s="10"/>
      <c r="J1898" s="10"/>
      <c r="K1898" s="10"/>
      <c r="L1898" s="10"/>
      <c r="M1898" s="10"/>
      <c r="N1898" s="10"/>
      <c r="O1898" s="10"/>
      <c r="P1898" s="10"/>
      <c r="Q1898" s="10"/>
      <c r="R1898" s="10"/>
      <c r="S1898" s="10"/>
      <c r="T1898" s="10"/>
      <c r="U1898" s="10"/>
      <c r="V1898" s="10"/>
      <c r="W1898" s="10"/>
      <c r="X1898" s="10"/>
      <c r="Y1898" s="10"/>
      <c r="Z1898" s="10"/>
      <c r="AA1898" s="10"/>
      <c r="AB1898" s="10"/>
      <c r="AF1898" s="467"/>
      <c r="AG1898" s="467"/>
      <c r="AH1898" s="6"/>
      <c r="AI1898" s="10"/>
      <c r="AK1898" s="448"/>
      <c r="AL1898" s="445"/>
    </row>
    <row r="1899" spans="1:38" ht="11.25" customHeight="1">
      <c r="A1899" s="10"/>
      <c r="B1899" s="10"/>
      <c r="C1899" s="10"/>
      <c r="D1899" s="10"/>
      <c r="E1899" s="10"/>
      <c r="F1899" s="10"/>
      <c r="G1899" s="10"/>
      <c r="H1899" s="10"/>
      <c r="I1899" s="10"/>
      <c r="J1899" s="10"/>
      <c r="K1899" s="10"/>
      <c r="L1899" s="10"/>
      <c r="M1899" s="10"/>
      <c r="N1899" s="10"/>
      <c r="O1899" s="10"/>
      <c r="P1899" s="10"/>
      <c r="Q1899" s="10"/>
      <c r="R1899" s="10"/>
      <c r="S1899" s="10"/>
      <c r="T1899" s="10"/>
      <c r="U1899" s="10"/>
      <c r="V1899" s="10"/>
      <c r="W1899" s="10"/>
      <c r="X1899" s="10"/>
      <c r="Y1899" s="10"/>
      <c r="Z1899" s="10"/>
      <c r="AA1899" s="10"/>
      <c r="AB1899" s="10"/>
      <c r="AF1899" s="467"/>
      <c r="AG1899" s="467"/>
      <c r="AH1899" s="6"/>
      <c r="AI1899" s="10"/>
      <c r="AK1899" s="448"/>
      <c r="AL1899" s="445"/>
    </row>
    <row r="1900" spans="1:38" ht="11.25" customHeight="1">
      <c r="A1900" s="10"/>
      <c r="B1900" s="10"/>
      <c r="C1900" s="10"/>
      <c r="D1900" s="10"/>
      <c r="E1900" s="10"/>
      <c r="F1900" s="10"/>
      <c r="G1900" s="10"/>
      <c r="H1900" s="10"/>
      <c r="I1900" s="10"/>
      <c r="J1900" s="10"/>
      <c r="K1900" s="10"/>
      <c r="L1900" s="10"/>
      <c r="M1900" s="10"/>
      <c r="N1900" s="10"/>
      <c r="O1900" s="10"/>
      <c r="P1900" s="10"/>
      <c r="Q1900" s="10"/>
      <c r="R1900" s="10"/>
      <c r="S1900" s="10"/>
      <c r="T1900" s="10"/>
      <c r="U1900" s="10"/>
      <c r="V1900" s="10"/>
      <c r="W1900" s="10"/>
      <c r="X1900" s="10"/>
      <c r="Y1900" s="10"/>
      <c r="Z1900" s="10"/>
      <c r="AA1900" s="10"/>
      <c r="AB1900" s="10"/>
      <c r="AF1900" s="467"/>
      <c r="AG1900" s="467"/>
      <c r="AH1900" s="6"/>
      <c r="AI1900" s="10"/>
      <c r="AK1900" s="448"/>
      <c r="AL1900" s="445"/>
    </row>
    <row r="1901" spans="1:38" ht="11.25" customHeight="1">
      <c r="A1901" s="10"/>
      <c r="B1901" s="10"/>
      <c r="C1901" s="10"/>
      <c r="D1901" s="10"/>
      <c r="E1901" s="10"/>
      <c r="F1901" s="10"/>
      <c r="G1901" s="10"/>
      <c r="H1901" s="10"/>
      <c r="I1901" s="10"/>
      <c r="J1901" s="10"/>
      <c r="K1901" s="10"/>
      <c r="L1901" s="10"/>
      <c r="M1901" s="10"/>
      <c r="N1901" s="10"/>
      <c r="O1901" s="10"/>
      <c r="P1901" s="10"/>
      <c r="Q1901" s="10"/>
      <c r="R1901" s="10"/>
      <c r="S1901" s="10"/>
      <c r="T1901" s="10"/>
      <c r="U1901" s="10"/>
      <c r="V1901" s="10"/>
      <c r="W1901" s="10"/>
      <c r="X1901" s="10"/>
      <c r="Y1901" s="10"/>
      <c r="Z1901" s="10"/>
      <c r="AA1901" s="10"/>
      <c r="AB1901" s="10"/>
      <c r="AF1901" s="467"/>
      <c r="AG1901" s="467"/>
      <c r="AH1901" s="6"/>
      <c r="AI1901" s="10"/>
      <c r="AK1901" s="448"/>
      <c r="AL1901" s="445"/>
    </row>
    <row r="1902" spans="1:38" ht="11.25" customHeight="1">
      <c r="A1902" s="10"/>
      <c r="B1902" s="10"/>
      <c r="C1902" s="10"/>
      <c r="D1902" s="10"/>
      <c r="E1902" s="10"/>
      <c r="F1902" s="10"/>
      <c r="G1902" s="10"/>
      <c r="H1902" s="10"/>
      <c r="I1902" s="10"/>
      <c r="J1902" s="10"/>
      <c r="K1902" s="10"/>
      <c r="L1902" s="10"/>
      <c r="M1902" s="10"/>
      <c r="N1902" s="10"/>
      <c r="O1902" s="10"/>
      <c r="P1902" s="10"/>
      <c r="Q1902" s="10"/>
      <c r="R1902" s="10"/>
      <c r="S1902" s="10"/>
      <c r="T1902" s="10"/>
      <c r="U1902" s="10"/>
      <c r="V1902" s="10"/>
      <c r="W1902" s="10"/>
      <c r="X1902" s="10"/>
      <c r="Y1902" s="10"/>
      <c r="Z1902" s="10"/>
      <c r="AA1902" s="10"/>
      <c r="AB1902" s="10"/>
      <c r="AF1902" s="467"/>
      <c r="AG1902" s="467"/>
      <c r="AH1902" s="6"/>
      <c r="AI1902" s="10"/>
      <c r="AK1902" s="448"/>
      <c r="AL1902" s="445"/>
    </row>
    <row r="1903" spans="1:38" ht="11.25" customHeight="1">
      <c r="A1903" s="10"/>
      <c r="B1903" s="10"/>
      <c r="C1903" s="10"/>
      <c r="D1903" s="10"/>
      <c r="E1903" s="10"/>
      <c r="F1903" s="10"/>
      <c r="G1903" s="10"/>
      <c r="H1903" s="10"/>
      <c r="I1903" s="10"/>
      <c r="J1903" s="10"/>
      <c r="K1903" s="10"/>
      <c r="L1903" s="10"/>
      <c r="M1903" s="10"/>
      <c r="N1903" s="10"/>
      <c r="O1903" s="10"/>
      <c r="P1903" s="10"/>
      <c r="Q1903" s="10"/>
      <c r="R1903" s="10"/>
      <c r="S1903" s="10"/>
      <c r="T1903" s="10"/>
      <c r="U1903" s="10"/>
      <c r="V1903" s="10"/>
      <c r="W1903" s="10"/>
      <c r="X1903" s="10"/>
      <c r="Y1903" s="10"/>
      <c r="Z1903" s="10"/>
      <c r="AA1903" s="10"/>
      <c r="AB1903" s="10"/>
      <c r="AF1903" s="467"/>
      <c r="AG1903" s="467"/>
      <c r="AH1903" s="6"/>
      <c r="AI1903" s="10"/>
      <c r="AK1903" s="448"/>
      <c r="AL1903" s="445"/>
    </row>
    <row r="1904" spans="1:38" ht="11.25" customHeight="1">
      <c r="A1904" s="10"/>
      <c r="B1904" s="10"/>
      <c r="C1904" s="10"/>
      <c r="D1904" s="10"/>
      <c r="E1904" s="10"/>
      <c r="F1904" s="10"/>
      <c r="G1904" s="10"/>
      <c r="H1904" s="10"/>
      <c r="I1904" s="10"/>
      <c r="J1904" s="10"/>
      <c r="K1904" s="10"/>
      <c r="L1904" s="10"/>
      <c r="M1904" s="10"/>
      <c r="N1904" s="10"/>
      <c r="O1904" s="10"/>
      <c r="P1904" s="10"/>
      <c r="Q1904" s="10"/>
      <c r="R1904" s="10"/>
      <c r="S1904" s="10"/>
      <c r="T1904" s="10"/>
      <c r="U1904" s="10"/>
      <c r="V1904" s="10"/>
      <c r="W1904" s="10"/>
      <c r="X1904" s="10"/>
      <c r="Y1904" s="10"/>
      <c r="Z1904" s="10"/>
      <c r="AA1904" s="10"/>
      <c r="AB1904" s="10"/>
      <c r="AF1904" s="467"/>
      <c r="AG1904" s="467"/>
      <c r="AH1904" s="6"/>
      <c r="AI1904" s="10"/>
      <c r="AK1904" s="448"/>
      <c r="AL1904" s="445"/>
    </row>
    <row r="1905" spans="1:38" ht="11.25" customHeight="1">
      <c r="A1905" s="10"/>
      <c r="B1905" s="10"/>
      <c r="C1905" s="10"/>
      <c r="D1905" s="10"/>
      <c r="E1905" s="10"/>
      <c r="F1905" s="10"/>
      <c r="G1905" s="10"/>
      <c r="H1905" s="10"/>
      <c r="I1905" s="10"/>
      <c r="J1905" s="10"/>
      <c r="K1905" s="10"/>
      <c r="L1905" s="10"/>
      <c r="M1905" s="10"/>
      <c r="N1905" s="10"/>
      <c r="O1905" s="10"/>
      <c r="P1905" s="10"/>
      <c r="Q1905" s="10"/>
      <c r="R1905" s="10"/>
      <c r="S1905" s="10"/>
      <c r="T1905" s="10"/>
      <c r="U1905" s="10"/>
      <c r="V1905" s="10"/>
      <c r="W1905" s="10"/>
      <c r="X1905" s="10"/>
      <c r="Y1905" s="10"/>
      <c r="Z1905" s="10"/>
      <c r="AA1905" s="10"/>
      <c r="AB1905" s="10"/>
      <c r="AF1905" s="467"/>
      <c r="AG1905" s="467"/>
      <c r="AH1905" s="6"/>
      <c r="AI1905" s="10"/>
      <c r="AK1905" s="448"/>
      <c r="AL1905" s="445"/>
    </row>
    <row r="1906" spans="1:38" ht="11.25" customHeight="1">
      <c r="A1906" s="10"/>
      <c r="B1906" s="10"/>
      <c r="C1906" s="10"/>
      <c r="D1906" s="10"/>
      <c r="E1906" s="10"/>
      <c r="F1906" s="10"/>
      <c r="G1906" s="10"/>
      <c r="H1906" s="10"/>
      <c r="I1906" s="10"/>
      <c r="J1906" s="10"/>
      <c r="K1906" s="10"/>
      <c r="L1906" s="10"/>
      <c r="M1906" s="10"/>
      <c r="N1906" s="10"/>
      <c r="O1906" s="10"/>
      <c r="P1906" s="10"/>
      <c r="Q1906" s="10"/>
      <c r="R1906" s="10"/>
      <c r="S1906" s="10"/>
      <c r="T1906" s="10"/>
      <c r="U1906" s="10"/>
      <c r="V1906" s="10"/>
      <c r="W1906" s="10"/>
      <c r="X1906" s="10"/>
      <c r="Y1906" s="10"/>
      <c r="Z1906" s="10"/>
      <c r="AA1906" s="10"/>
      <c r="AB1906" s="10"/>
      <c r="AF1906" s="467"/>
      <c r="AG1906" s="467"/>
      <c r="AH1906" s="6"/>
      <c r="AI1906" s="10"/>
      <c r="AK1906" s="448"/>
      <c r="AL1906" s="445"/>
    </row>
    <row r="1907" spans="1:38" ht="11.25" customHeight="1">
      <c r="A1907" s="10"/>
      <c r="B1907" s="10"/>
      <c r="C1907" s="10"/>
      <c r="D1907" s="10"/>
      <c r="E1907" s="10"/>
      <c r="F1907" s="10"/>
      <c r="G1907" s="10"/>
      <c r="H1907" s="10"/>
      <c r="I1907" s="10"/>
      <c r="J1907" s="10"/>
      <c r="K1907" s="10"/>
      <c r="L1907" s="10"/>
      <c r="M1907" s="10"/>
      <c r="N1907" s="10"/>
      <c r="O1907" s="10"/>
      <c r="P1907" s="10"/>
      <c r="Q1907" s="10"/>
      <c r="R1907" s="10"/>
      <c r="S1907" s="10"/>
      <c r="T1907" s="10"/>
      <c r="U1907" s="10"/>
      <c r="V1907" s="10"/>
      <c r="W1907" s="10"/>
      <c r="X1907" s="10"/>
      <c r="Y1907" s="10"/>
      <c r="Z1907" s="10"/>
      <c r="AA1907" s="10"/>
      <c r="AB1907" s="10"/>
      <c r="AF1907" s="467"/>
      <c r="AG1907" s="467"/>
      <c r="AH1907" s="6"/>
      <c r="AI1907" s="10"/>
      <c r="AK1907" s="448"/>
      <c r="AL1907" s="445"/>
    </row>
    <row r="1908" spans="1:38" ht="11.25" customHeight="1">
      <c r="A1908" s="10"/>
      <c r="B1908" s="10"/>
      <c r="C1908" s="10"/>
      <c r="D1908" s="10"/>
      <c r="E1908" s="10"/>
      <c r="F1908" s="10"/>
      <c r="G1908" s="10"/>
      <c r="H1908" s="10"/>
      <c r="I1908" s="10"/>
      <c r="J1908" s="10"/>
      <c r="K1908" s="10"/>
      <c r="L1908" s="10"/>
      <c r="M1908" s="10"/>
      <c r="N1908" s="10"/>
      <c r="O1908" s="10"/>
      <c r="P1908" s="10"/>
      <c r="Q1908" s="10"/>
      <c r="R1908" s="10"/>
      <c r="S1908" s="10"/>
      <c r="T1908" s="10"/>
      <c r="U1908" s="10"/>
      <c r="V1908" s="10"/>
      <c r="W1908" s="10"/>
      <c r="X1908" s="10"/>
      <c r="Y1908" s="10"/>
      <c r="Z1908" s="10"/>
      <c r="AA1908" s="10"/>
      <c r="AB1908" s="10"/>
      <c r="AF1908" s="467"/>
      <c r="AG1908" s="467"/>
      <c r="AH1908" s="6"/>
      <c r="AI1908" s="10"/>
      <c r="AK1908" s="448"/>
      <c r="AL1908" s="445"/>
    </row>
    <row r="1909" spans="1:38" ht="11.25" customHeight="1">
      <c r="A1909" s="10"/>
      <c r="B1909" s="10"/>
      <c r="C1909" s="10"/>
      <c r="D1909" s="10"/>
      <c r="E1909" s="10"/>
      <c r="F1909" s="10"/>
      <c r="G1909" s="10"/>
      <c r="H1909" s="10"/>
      <c r="I1909" s="10"/>
      <c r="J1909" s="10"/>
      <c r="K1909" s="10"/>
      <c r="L1909" s="10"/>
      <c r="M1909" s="10"/>
      <c r="N1909" s="10"/>
      <c r="O1909" s="10"/>
      <c r="P1909" s="10"/>
      <c r="Q1909" s="10"/>
      <c r="R1909" s="10"/>
      <c r="S1909" s="10"/>
      <c r="T1909" s="10"/>
      <c r="U1909" s="10"/>
      <c r="V1909" s="10"/>
      <c r="W1909" s="10"/>
      <c r="X1909" s="10"/>
      <c r="Y1909" s="10"/>
      <c r="Z1909" s="10"/>
      <c r="AA1909" s="10"/>
      <c r="AB1909" s="10"/>
      <c r="AF1909" s="467"/>
      <c r="AG1909" s="467"/>
      <c r="AH1909" s="6"/>
      <c r="AI1909" s="10"/>
      <c r="AK1909" s="448"/>
      <c r="AL1909" s="445"/>
    </row>
    <row r="1910" spans="1:38" ht="11.25" customHeight="1">
      <c r="A1910" s="10"/>
      <c r="B1910" s="10"/>
      <c r="C1910" s="10"/>
      <c r="D1910" s="10"/>
      <c r="E1910" s="10"/>
      <c r="F1910" s="10"/>
      <c r="G1910" s="10"/>
      <c r="H1910" s="10"/>
      <c r="I1910" s="10"/>
      <c r="J1910" s="10"/>
      <c r="K1910" s="10"/>
      <c r="L1910" s="10"/>
      <c r="M1910" s="10"/>
      <c r="N1910" s="10"/>
      <c r="O1910" s="10"/>
      <c r="P1910" s="10"/>
      <c r="Q1910" s="10"/>
      <c r="R1910" s="10"/>
      <c r="S1910" s="10"/>
      <c r="T1910" s="10"/>
      <c r="U1910" s="10"/>
      <c r="V1910" s="10"/>
      <c r="W1910" s="10"/>
      <c r="X1910" s="10"/>
      <c r="Y1910" s="10"/>
      <c r="Z1910" s="10"/>
      <c r="AA1910" s="10"/>
      <c r="AB1910" s="10"/>
      <c r="AF1910" s="467"/>
      <c r="AG1910" s="467"/>
      <c r="AH1910" s="6"/>
      <c r="AI1910" s="10"/>
      <c r="AK1910" s="448"/>
      <c r="AL1910" s="445"/>
    </row>
    <row r="1911" spans="1:38" ht="11.25" customHeight="1">
      <c r="A1911" s="10"/>
      <c r="B1911" s="10"/>
      <c r="C1911" s="10"/>
      <c r="D1911" s="10"/>
      <c r="E1911" s="10"/>
      <c r="F1911" s="10"/>
      <c r="G1911" s="10"/>
      <c r="H1911" s="10"/>
      <c r="I1911" s="10"/>
      <c r="J1911" s="10"/>
      <c r="K1911" s="10"/>
      <c r="L1911" s="10"/>
      <c r="M1911" s="10"/>
      <c r="N1911" s="10"/>
      <c r="O1911" s="10"/>
      <c r="P1911" s="10"/>
      <c r="Q1911" s="10"/>
      <c r="R1911" s="10"/>
      <c r="S1911" s="10"/>
      <c r="T1911" s="10"/>
      <c r="U1911" s="10"/>
      <c r="V1911" s="10"/>
      <c r="W1911" s="10"/>
      <c r="X1911" s="10"/>
      <c r="Y1911" s="10"/>
      <c r="Z1911" s="10"/>
      <c r="AA1911" s="10"/>
      <c r="AB1911" s="10"/>
      <c r="AF1911" s="467"/>
      <c r="AG1911" s="467"/>
      <c r="AH1911" s="6"/>
      <c r="AI1911" s="10"/>
      <c r="AK1911" s="448"/>
      <c r="AL1911" s="445"/>
    </row>
    <row r="1912" spans="1:38" ht="11.25" customHeight="1">
      <c r="A1912" s="10"/>
      <c r="B1912" s="10"/>
      <c r="C1912" s="10"/>
      <c r="D1912" s="10"/>
      <c r="E1912" s="10"/>
      <c r="F1912" s="10"/>
      <c r="G1912" s="10"/>
      <c r="H1912" s="10"/>
      <c r="I1912" s="10"/>
      <c r="J1912" s="10"/>
      <c r="K1912" s="10"/>
      <c r="L1912" s="10"/>
      <c r="M1912" s="10"/>
      <c r="N1912" s="10"/>
      <c r="O1912" s="10"/>
      <c r="P1912" s="10"/>
      <c r="Q1912" s="10"/>
      <c r="R1912" s="10"/>
      <c r="S1912" s="10"/>
      <c r="T1912" s="10"/>
      <c r="U1912" s="10"/>
      <c r="V1912" s="10"/>
      <c r="W1912" s="10"/>
      <c r="X1912" s="10"/>
      <c r="Y1912" s="10"/>
      <c r="Z1912" s="10"/>
      <c r="AA1912" s="10"/>
      <c r="AB1912" s="10"/>
      <c r="AF1912" s="467"/>
      <c r="AG1912" s="467"/>
      <c r="AH1912" s="6"/>
      <c r="AI1912" s="10"/>
      <c r="AK1912" s="448"/>
      <c r="AL1912" s="445"/>
    </row>
    <row r="1913" spans="1:38" ht="11.25" customHeight="1">
      <c r="A1913" s="10"/>
      <c r="B1913" s="10"/>
      <c r="C1913" s="10"/>
      <c r="D1913" s="10"/>
      <c r="E1913" s="10"/>
      <c r="F1913" s="10"/>
      <c r="G1913" s="10"/>
      <c r="H1913" s="10"/>
      <c r="I1913" s="10"/>
      <c r="J1913" s="10"/>
      <c r="K1913" s="10"/>
      <c r="L1913" s="10"/>
      <c r="M1913" s="10"/>
      <c r="N1913" s="10"/>
      <c r="O1913" s="10"/>
      <c r="P1913" s="10"/>
      <c r="Q1913" s="10"/>
      <c r="R1913" s="10"/>
      <c r="S1913" s="10"/>
      <c r="T1913" s="10"/>
      <c r="U1913" s="10"/>
      <c r="V1913" s="10"/>
      <c r="W1913" s="10"/>
      <c r="X1913" s="10"/>
      <c r="Y1913" s="10"/>
      <c r="Z1913" s="10"/>
      <c r="AA1913" s="10"/>
      <c r="AB1913" s="10"/>
      <c r="AF1913" s="467"/>
      <c r="AG1913" s="467"/>
      <c r="AH1913" s="6"/>
      <c r="AI1913" s="10"/>
      <c r="AK1913" s="448"/>
      <c r="AL1913" s="445"/>
    </row>
    <row r="1914" spans="1:38" ht="11.25" customHeight="1">
      <c r="A1914" s="10"/>
      <c r="B1914" s="10"/>
      <c r="C1914" s="10"/>
      <c r="D1914" s="10"/>
      <c r="E1914" s="10"/>
      <c r="F1914" s="10"/>
      <c r="G1914" s="10"/>
      <c r="H1914" s="10"/>
      <c r="I1914" s="10"/>
      <c r="J1914" s="10"/>
      <c r="K1914" s="10"/>
      <c r="L1914" s="10"/>
      <c r="M1914" s="10"/>
      <c r="N1914" s="10"/>
      <c r="O1914" s="10"/>
      <c r="P1914" s="10"/>
      <c r="Q1914" s="10"/>
      <c r="R1914" s="10"/>
      <c r="S1914" s="10"/>
      <c r="T1914" s="10"/>
      <c r="U1914" s="10"/>
      <c r="V1914" s="10"/>
      <c r="W1914" s="10"/>
      <c r="X1914" s="10"/>
      <c r="Y1914" s="10"/>
      <c r="Z1914" s="10"/>
      <c r="AA1914" s="10"/>
      <c r="AB1914" s="10"/>
      <c r="AF1914" s="467"/>
      <c r="AG1914" s="467"/>
      <c r="AH1914" s="6"/>
      <c r="AI1914" s="10"/>
      <c r="AK1914" s="448"/>
      <c r="AL1914" s="445"/>
    </row>
    <row r="1915" spans="1:38" ht="11.25" customHeight="1">
      <c r="A1915" s="10"/>
      <c r="B1915" s="10"/>
      <c r="C1915" s="10"/>
      <c r="D1915" s="10"/>
      <c r="E1915" s="10"/>
      <c r="F1915" s="10"/>
      <c r="G1915" s="10"/>
      <c r="H1915" s="10"/>
      <c r="I1915" s="10"/>
      <c r="J1915" s="10"/>
      <c r="K1915" s="10"/>
      <c r="L1915" s="10"/>
      <c r="M1915" s="10"/>
      <c r="N1915" s="10"/>
      <c r="O1915" s="10"/>
      <c r="P1915" s="10"/>
      <c r="Q1915" s="10"/>
      <c r="R1915" s="10"/>
      <c r="S1915" s="10"/>
      <c r="T1915" s="10"/>
      <c r="U1915" s="10"/>
      <c r="V1915" s="10"/>
      <c r="W1915" s="10"/>
      <c r="X1915" s="10"/>
      <c r="Y1915" s="10"/>
      <c r="Z1915" s="10"/>
      <c r="AA1915" s="10"/>
      <c r="AB1915" s="10"/>
      <c r="AF1915" s="467"/>
      <c r="AG1915" s="467"/>
      <c r="AH1915" s="6"/>
      <c r="AI1915" s="10"/>
      <c r="AK1915" s="448"/>
      <c r="AL1915" s="445"/>
    </row>
    <row r="1916" spans="1:38" ht="11.25" customHeight="1">
      <c r="A1916" s="10"/>
      <c r="B1916" s="10"/>
      <c r="C1916" s="10"/>
      <c r="D1916" s="10"/>
      <c r="E1916" s="10"/>
      <c r="F1916" s="10"/>
      <c r="G1916" s="10"/>
      <c r="H1916" s="10"/>
      <c r="I1916" s="10"/>
      <c r="J1916" s="10"/>
      <c r="K1916" s="10"/>
      <c r="L1916" s="10"/>
      <c r="M1916" s="10"/>
      <c r="N1916" s="10"/>
      <c r="O1916" s="10"/>
      <c r="P1916" s="10"/>
      <c r="Q1916" s="10"/>
      <c r="R1916" s="10"/>
      <c r="S1916" s="10"/>
      <c r="T1916" s="10"/>
      <c r="U1916" s="10"/>
      <c r="V1916" s="10"/>
      <c r="W1916" s="10"/>
      <c r="X1916" s="10"/>
      <c r="Y1916" s="10"/>
      <c r="Z1916" s="10"/>
      <c r="AA1916" s="10"/>
      <c r="AB1916" s="10"/>
      <c r="AF1916" s="467"/>
      <c r="AG1916" s="467"/>
      <c r="AH1916" s="6"/>
      <c r="AI1916" s="10"/>
      <c r="AK1916" s="448"/>
      <c r="AL1916" s="445"/>
    </row>
    <row r="1917" spans="1:38" ht="11.25" customHeight="1">
      <c r="A1917" s="10"/>
      <c r="B1917" s="10"/>
      <c r="C1917" s="10"/>
      <c r="D1917" s="10"/>
      <c r="E1917" s="10"/>
      <c r="F1917" s="10"/>
      <c r="G1917" s="10"/>
      <c r="H1917" s="10"/>
      <c r="I1917" s="10"/>
      <c r="J1917" s="10"/>
      <c r="K1917" s="10"/>
      <c r="L1917" s="10"/>
      <c r="M1917" s="10"/>
      <c r="N1917" s="10"/>
      <c r="O1917" s="10"/>
      <c r="P1917" s="10"/>
      <c r="Q1917" s="10"/>
      <c r="R1917" s="10"/>
      <c r="S1917" s="10"/>
      <c r="T1917" s="10"/>
      <c r="U1917" s="10"/>
      <c r="V1917" s="10"/>
      <c r="W1917" s="10"/>
      <c r="X1917" s="10"/>
      <c r="Y1917" s="10"/>
      <c r="Z1917" s="10"/>
      <c r="AA1917" s="10"/>
      <c r="AB1917" s="10"/>
      <c r="AF1917" s="467"/>
      <c r="AG1917" s="467"/>
      <c r="AH1917" s="6"/>
      <c r="AI1917" s="10"/>
      <c r="AK1917" s="448"/>
      <c r="AL1917" s="445"/>
    </row>
    <row r="1918" spans="1:38" ht="11.25" customHeight="1">
      <c r="A1918" s="10"/>
      <c r="B1918" s="10"/>
      <c r="C1918" s="10"/>
      <c r="D1918" s="10"/>
      <c r="E1918" s="10"/>
      <c r="F1918" s="10"/>
      <c r="G1918" s="10"/>
      <c r="H1918" s="10"/>
      <c r="I1918" s="10"/>
      <c r="J1918" s="10"/>
      <c r="K1918" s="10"/>
      <c r="L1918" s="10"/>
      <c r="M1918" s="10"/>
      <c r="N1918" s="10"/>
      <c r="O1918" s="10"/>
      <c r="P1918" s="10"/>
      <c r="Q1918" s="10"/>
      <c r="R1918" s="10"/>
      <c r="S1918" s="10"/>
      <c r="T1918" s="10"/>
      <c r="U1918" s="10"/>
      <c r="V1918" s="10"/>
      <c r="W1918" s="10"/>
      <c r="X1918" s="10"/>
      <c r="Y1918" s="10"/>
      <c r="Z1918" s="10"/>
      <c r="AA1918" s="10"/>
      <c r="AB1918" s="10"/>
      <c r="AF1918" s="467"/>
      <c r="AG1918" s="467"/>
      <c r="AH1918" s="6"/>
      <c r="AI1918" s="10"/>
      <c r="AK1918" s="448"/>
      <c r="AL1918" s="445"/>
    </row>
    <row r="1919" spans="1:38" ht="11.25" customHeight="1">
      <c r="A1919" s="10"/>
      <c r="B1919" s="10"/>
      <c r="C1919" s="10"/>
      <c r="D1919" s="10"/>
      <c r="E1919" s="10"/>
      <c r="F1919" s="10"/>
      <c r="G1919" s="10"/>
      <c r="H1919" s="10"/>
      <c r="I1919" s="10"/>
      <c r="J1919" s="10"/>
      <c r="K1919" s="10"/>
      <c r="L1919" s="10"/>
      <c r="M1919" s="10"/>
      <c r="N1919" s="10"/>
      <c r="O1919" s="10"/>
      <c r="P1919" s="10"/>
      <c r="Q1919" s="10"/>
      <c r="R1919" s="10"/>
      <c r="S1919" s="10"/>
      <c r="T1919" s="10"/>
      <c r="U1919" s="10"/>
      <c r="V1919" s="10"/>
      <c r="W1919" s="10"/>
      <c r="X1919" s="10"/>
      <c r="Y1919" s="10"/>
      <c r="Z1919" s="10"/>
      <c r="AA1919" s="10"/>
      <c r="AB1919" s="10"/>
      <c r="AF1919" s="467"/>
      <c r="AG1919" s="467"/>
      <c r="AH1919" s="6"/>
      <c r="AI1919" s="10"/>
      <c r="AK1919" s="448"/>
      <c r="AL1919" s="445"/>
    </row>
    <row r="1920" spans="1:38" ht="11.25" customHeight="1">
      <c r="A1920" s="10"/>
      <c r="B1920" s="10"/>
      <c r="C1920" s="10"/>
      <c r="D1920" s="10"/>
      <c r="E1920" s="10"/>
      <c r="F1920" s="10"/>
      <c r="G1920" s="10"/>
      <c r="H1920" s="10"/>
      <c r="I1920" s="10"/>
      <c r="J1920" s="10"/>
      <c r="K1920" s="10"/>
      <c r="L1920" s="10"/>
      <c r="M1920" s="10"/>
      <c r="N1920" s="10"/>
      <c r="O1920" s="10"/>
      <c r="P1920" s="10"/>
      <c r="Q1920" s="10"/>
      <c r="R1920" s="10"/>
      <c r="S1920" s="10"/>
      <c r="T1920" s="10"/>
      <c r="U1920" s="10"/>
      <c r="V1920" s="10"/>
      <c r="W1920" s="10"/>
      <c r="X1920" s="10"/>
      <c r="Y1920" s="10"/>
      <c r="Z1920" s="10"/>
      <c r="AA1920" s="10"/>
      <c r="AB1920" s="10"/>
      <c r="AF1920" s="467"/>
      <c r="AG1920" s="467"/>
      <c r="AH1920" s="6"/>
      <c r="AI1920" s="10"/>
      <c r="AK1920" s="448"/>
      <c r="AL1920" s="445"/>
    </row>
    <row r="1921" spans="1:38" ht="11.25" customHeight="1">
      <c r="A1921" s="10"/>
      <c r="B1921" s="10"/>
      <c r="C1921" s="10"/>
      <c r="D1921" s="10"/>
      <c r="E1921" s="10"/>
      <c r="F1921" s="10"/>
      <c r="G1921" s="10"/>
      <c r="H1921" s="10"/>
      <c r="I1921" s="10"/>
      <c r="J1921" s="10"/>
      <c r="K1921" s="10"/>
      <c r="L1921" s="10"/>
      <c r="M1921" s="10"/>
      <c r="N1921" s="10"/>
      <c r="O1921" s="10"/>
      <c r="P1921" s="10"/>
      <c r="Q1921" s="10"/>
      <c r="R1921" s="10"/>
      <c r="S1921" s="10"/>
      <c r="T1921" s="10"/>
      <c r="U1921" s="10"/>
      <c r="V1921" s="10"/>
      <c r="W1921" s="10"/>
      <c r="X1921" s="10"/>
      <c r="Y1921" s="10"/>
      <c r="Z1921" s="10"/>
      <c r="AA1921" s="10"/>
      <c r="AB1921" s="10"/>
      <c r="AF1921" s="467"/>
      <c r="AG1921" s="467"/>
      <c r="AH1921" s="6"/>
      <c r="AI1921" s="10"/>
      <c r="AK1921" s="448"/>
      <c r="AL1921" s="445"/>
    </row>
    <row r="1922" spans="1:38" ht="11.25" customHeight="1">
      <c r="A1922" s="10"/>
      <c r="B1922" s="10"/>
      <c r="C1922" s="10"/>
      <c r="D1922" s="10"/>
      <c r="E1922" s="10"/>
      <c r="F1922" s="10"/>
      <c r="G1922" s="10"/>
      <c r="H1922" s="10"/>
      <c r="I1922" s="10"/>
      <c r="J1922" s="10"/>
      <c r="K1922" s="10"/>
      <c r="L1922" s="10"/>
      <c r="M1922" s="10"/>
      <c r="N1922" s="10"/>
      <c r="O1922" s="10"/>
      <c r="P1922" s="10"/>
      <c r="Q1922" s="10"/>
      <c r="R1922" s="10"/>
      <c r="S1922" s="10"/>
      <c r="T1922" s="10"/>
      <c r="U1922" s="10"/>
      <c r="V1922" s="10"/>
      <c r="W1922" s="10"/>
      <c r="X1922" s="10"/>
      <c r="Y1922" s="10"/>
      <c r="Z1922" s="10"/>
      <c r="AA1922" s="10"/>
      <c r="AB1922" s="10"/>
      <c r="AF1922" s="467"/>
      <c r="AG1922" s="467"/>
      <c r="AH1922" s="6"/>
      <c r="AI1922" s="10"/>
      <c r="AK1922" s="448"/>
      <c r="AL1922" s="445"/>
    </row>
    <row r="1923" spans="1:38" ht="11.25" customHeight="1">
      <c r="A1923" s="10"/>
      <c r="B1923" s="10"/>
      <c r="C1923" s="10"/>
      <c r="D1923" s="10"/>
      <c r="E1923" s="10"/>
      <c r="F1923" s="10"/>
      <c r="G1923" s="10"/>
      <c r="H1923" s="10"/>
      <c r="I1923" s="10"/>
      <c r="J1923" s="10"/>
      <c r="K1923" s="10"/>
      <c r="L1923" s="10"/>
      <c r="M1923" s="10"/>
      <c r="N1923" s="10"/>
      <c r="O1923" s="10"/>
      <c r="P1923" s="10"/>
      <c r="Q1923" s="10"/>
      <c r="R1923" s="10"/>
      <c r="S1923" s="10"/>
      <c r="T1923" s="10"/>
      <c r="U1923" s="10"/>
      <c r="V1923" s="10"/>
      <c r="W1923" s="10"/>
      <c r="X1923" s="10"/>
      <c r="Y1923" s="10"/>
      <c r="Z1923" s="10"/>
      <c r="AA1923" s="10"/>
      <c r="AB1923" s="10"/>
      <c r="AF1923" s="467"/>
      <c r="AG1923" s="467"/>
      <c r="AH1923" s="6"/>
      <c r="AI1923" s="10"/>
      <c r="AK1923" s="448"/>
      <c r="AL1923" s="445"/>
    </row>
    <row r="1924" spans="1:38" ht="11.25" customHeight="1">
      <c r="A1924" s="10"/>
      <c r="B1924" s="10"/>
      <c r="C1924" s="10"/>
      <c r="D1924" s="10"/>
      <c r="E1924" s="10"/>
      <c r="F1924" s="10"/>
      <c r="G1924" s="10"/>
      <c r="H1924" s="10"/>
      <c r="I1924" s="10"/>
      <c r="J1924" s="10"/>
      <c r="K1924" s="10"/>
      <c r="L1924" s="10"/>
      <c r="M1924" s="10"/>
      <c r="N1924" s="10"/>
      <c r="O1924" s="10"/>
      <c r="P1924" s="10"/>
      <c r="Q1924" s="10"/>
      <c r="R1924" s="10"/>
      <c r="S1924" s="10"/>
      <c r="T1924" s="10"/>
      <c r="U1924" s="10"/>
      <c r="V1924" s="10"/>
      <c r="W1924" s="10"/>
      <c r="X1924" s="10"/>
      <c r="Y1924" s="10"/>
      <c r="Z1924" s="10"/>
      <c r="AA1924" s="10"/>
      <c r="AB1924" s="10"/>
      <c r="AF1924" s="467"/>
      <c r="AG1924" s="467"/>
      <c r="AH1924" s="6"/>
      <c r="AI1924" s="10"/>
      <c r="AK1924" s="448"/>
      <c r="AL1924" s="445"/>
    </row>
    <row r="1925" spans="1:38" ht="11.25" customHeight="1">
      <c r="A1925" s="10"/>
      <c r="B1925" s="10"/>
      <c r="C1925" s="10"/>
      <c r="D1925" s="10"/>
      <c r="E1925" s="10"/>
      <c r="F1925" s="10"/>
      <c r="G1925" s="10"/>
      <c r="H1925" s="10"/>
      <c r="I1925" s="10"/>
      <c r="J1925" s="10"/>
      <c r="K1925" s="10"/>
      <c r="L1925" s="10"/>
      <c r="M1925" s="10"/>
      <c r="N1925" s="10"/>
      <c r="O1925" s="10"/>
      <c r="P1925" s="10"/>
      <c r="Q1925" s="10"/>
      <c r="R1925" s="10"/>
      <c r="S1925" s="10"/>
      <c r="T1925" s="10"/>
      <c r="U1925" s="10"/>
      <c r="V1925" s="10"/>
      <c r="W1925" s="10"/>
      <c r="X1925" s="10"/>
      <c r="Y1925" s="10"/>
      <c r="Z1925" s="10"/>
      <c r="AA1925" s="10"/>
      <c r="AB1925" s="10"/>
      <c r="AF1925" s="467"/>
      <c r="AG1925" s="467"/>
      <c r="AH1925" s="6"/>
      <c r="AI1925" s="10"/>
      <c r="AK1925" s="448"/>
      <c r="AL1925" s="445"/>
    </row>
    <row r="1926" spans="1:38" ht="11.25" customHeight="1">
      <c r="A1926" s="10"/>
      <c r="B1926" s="10"/>
      <c r="C1926" s="10"/>
      <c r="D1926" s="10"/>
      <c r="E1926" s="10"/>
      <c r="F1926" s="10"/>
      <c r="G1926" s="10"/>
      <c r="H1926" s="10"/>
      <c r="I1926" s="10"/>
      <c r="J1926" s="10"/>
      <c r="K1926" s="10"/>
      <c r="L1926" s="10"/>
      <c r="M1926" s="10"/>
      <c r="N1926" s="10"/>
      <c r="O1926" s="10"/>
      <c r="P1926" s="10"/>
      <c r="Q1926" s="10"/>
      <c r="R1926" s="10"/>
      <c r="S1926" s="10"/>
      <c r="T1926" s="10"/>
      <c r="U1926" s="10"/>
      <c r="V1926" s="10"/>
      <c r="W1926" s="10"/>
      <c r="X1926" s="10"/>
      <c r="Y1926" s="10"/>
      <c r="Z1926" s="10"/>
      <c r="AA1926" s="10"/>
      <c r="AB1926" s="10"/>
      <c r="AF1926" s="467"/>
      <c r="AG1926" s="467"/>
      <c r="AH1926" s="6"/>
      <c r="AI1926" s="10"/>
      <c r="AK1926" s="448"/>
      <c r="AL1926" s="445"/>
    </row>
    <row r="1927" spans="1:38" ht="11.25" customHeight="1">
      <c r="A1927" s="10"/>
      <c r="B1927" s="10"/>
      <c r="C1927" s="10"/>
      <c r="D1927" s="10"/>
      <c r="E1927" s="10"/>
      <c r="F1927" s="10"/>
      <c r="G1927" s="10"/>
      <c r="H1927" s="10"/>
      <c r="I1927" s="10"/>
      <c r="J1927" s="10"/>
      <c r="K1927" s="10"/>
      <c r="L1927" s="10"/>
      <c r="M1927" s="10"/>
      <c r="N1927" s="10"/>
      <c r="O1927" s="10"/>
      <c r="P1927" s="10"/>
      <c r="Q1927" s="10"/>
      <c r="R1927" s="10"/>
      <c r="S1927" s="10"/>
      <c r="T1927" s="10"/>
      <c r="U1927" s="10"/>
      <c r="V1927" s="10"/>
      <c r="W1927" s="10"/>
      <c r="X1927" s="10"/>
      <c r="Y1927" s="10"/>
      <c r="Z1927" s="10"/>
      <c r="AA1927" s="10"/>
      <c r="AB1927" s="10"/>
      <c r="AF1927" s="467"/>
      <c r="AG1927" s="467"/>
      <c r="AH1927" s="6"/>
      <c r="AI1927" s="10"/>
      <c r="AK1927" s="448"/>
      <c r="AL1927" s="445"/>
    </row>
    <row r="1928" spans="1:38" ht="11.25" customHeight="1">
      <c r="A1928" s="10"/>
      <c r="B1928" s="10"/>
      <c r="C1928" s="10"/>
      <c r="D1928" s="10"/>
      <c r="E1928" s="10"/>
      <c r="F1928" s="10"/>
      <c r="G1928" s="10"/>
      <c r="H1928" s="10"/>
      <c r="I1928" s="10"/>
      <c r="J1928" s="10"/>
      <c r="K1928" s="10"/>
      <c r="L1928" s="10"/>
      <c r="M1928" s="10"/>
      <c r="N1928" s="10"/>
      <c r="O1928" s="10"/>
      <c r="P1928" s="10"/>
      <c r="Q1928" s="10"/>
      <c r="R1928" s="10"/>
      <c r="S1928" s="10"/>
      <c r="T1928" s="10"/>
      <c r="U1928" s="10"/>
      <c r="V1928" s="10"/>
      <c r="W1928" s="10"/>
      <c r="X1928" s="10"/>
      <c r="Y1928" s="10"/>
      <c r="Z1928" s="10"/>
      <c r="AA1928" s="10"/>
      <c r="AB1928" s="10"/>
      <c r="AF1928" s="467"/>
      <c r="AG1928" s="467"/>
      <c r="AH1928" s="6"/>
      <c r="AI1928" s="10"/>
      <c r="AK1928" s="448"/>
      <c r="AL1928" s="445"/>
    </row>
    <row r="1929" spans="1:38" ht="11.25" customHeight="1">
      <c r="A1929" s="10"/>
      <c r="B1929" s="10"/>
      <c r="C1929" s="10"/>
      <c r="D1929" s="10"/>
      <c r="E1929" s="10"/>
      <c r="F1929" s="10"/>
      <c r="G1929" s="10"/>
      <c r="H1929" s="10"/>
      <c r="I1929" s="10"/>
      <c r="J1929" s="10"/>
      <c r="K1929" s="10"/>
      <c r="L1929" s="10"/>
      <c r="M1929" s="10"/>
      <c r="N1929" s="10"/>
      <c r="O1929" s="10"/>
      <c r="P1929" s="10"/>
      <c r="Q1929" s="10"/>
      <c r="R1929" s="10"/>
      <c r="S1929" s="10"/>
      <c r="T1929" s="10"/>
      <c r="U1929" s="10"/>
      <c r="V1929" s="10"/>
      <c r="W1929" s="10"/>
      <c r="X1929" s="10"/>
      <c r="Y1929" s="10"/>
      <c r="Z1929" s="10"/>
      <c r="AA1929" s="10"/>
      <c r="AB1929" s="10"/>
      <c r="AF1929" s="467"/>
      <c r="AG1929" s="467"/>
      <c r="AH1929" s="6"/>
      <c r="AI1929" s="10"/>
      <c r="AK1929" s="448"/>
      <c r="AL1929" s="445"/>
    </row>
    <row r="1930" spans="1:38" ht="11.25" customHeight="1">
      <c r="A1930" s="10"/>
      <c r="B1930" s="10"/>
      <c r="C1930" s="10"/>
      <c r="D1930" s="10"/>
      <c r="E1930" s="10"/>
      <c r="F1930" s="10"/>
      <c r="G1930" s="10"/>
      <c r="H1930" s="10"/>
      <c r="I1930" s="10"/>
      <c r="J1930" s="10"/>
      <c r="K1930" s="10"/>
      <c r="L1930" s="10"/>
      <c r="M1930" s="10"/>
      <c r="N1930" s="10"/>
      <c r="O1930" s="10"/>
      <c r="P1930" s="10"/>
      <c r="Q1930" s="10"/>
      <c r="R1930" s="10"/>
      <c r="S1930" s="10"/>
      <c r="T1930" s="10"/>
      <c r="U1930" s="10"/>
      <c r="V1930" s="10"/>
      <c r="W1930" s="10"/>
      <c r="X1930" s="10"/>
      <c r="Y1930" s="10"/>
      <c r="Z1930" s="10"/>
      <c r="AA1930" s="10"/>
      <c r="AB1930" s="10"/>
      <c r="AF1930" s="467"/>
      <c r="AG1930" s="467"/>
      <c r="AH1930" s="6"/>
      <c r="AI1930" s="10"/>
      <c r="AK1930" s="448"/>
      <c r="AL1930" s="445"/>
    </row>
    <row r="1931" spans="1:38" ht="11.25" customHeight="1">
      <c r="A1931" s="10"/>
      <c r="B1931" s="10"/>
      <c r="C1931" s="10"/>
      <c r="D1931" s="10"/>
      <c r="E1931" s="10"/>
      <c r="F1931" s="10"/>
      <c r="G1931" s="10"/>
      <c r="H1931" s="10"/>
      <c r="I1931" s="10"/>
      <c r="J1931" s="10"/>
      <c r="K1931" s="10"/>
      <c r="L1931" s="10"/>
      <c r="M1931" s="10"/>
      <c r="N1931" s="10"/>
      <c r="O1931" s="10"/>
      <c r="P1931" s="10"/>
      <c r="Q1931" s="10"/>
      <c r="R1931" s="10"/>
      <c r="S1931" s="10"/>
      <c r="T1931" s="10"/>
      <c r="U1931" s="10"/>
      <c r="V1931" s="10"/>
      <c r="W1931" s="10"/>
      <c r="X1931" s="10"/>
      <c r="Y1931" s="10"/>
      <c r="Z1931" s="10"/>
      <c r="AA1931" s="10"/>
      <c r="AB1931" s="10"/>
      <c r="AF1931" s="467"/>
      <c r="AG1931" s="467"/>
      <c r="AH1931" s="6"/>
      <c r="AI1931" s="10"/>
      <c r="AK1931" s="448"/>
      <c r="AL1931" s="445"/>
    </row>
    <row r="1932" spans="1:38" ht="11.25" customHeight="1">
      <c r="A1932" s="10"/>
      <c r="B1932" s="10"/>
      <c r="C1932" s="10"/>
      <c r="D1932" s="10"/>
      <c r="E1932" s="10"/>
      <c r="F1932" s="10"/>
      <c r="G1932" s="10"/>
      <c r="H1932" s="10"/>
      <c r="I1932" s="10"/>
      <c r="J1932" s="10"/>
      <c r="K1932" s="10"/>
      <c r="L1932" s="10"/>
      <c r="M1932" s="10"/>
      <c r="N1932" s="10"/>
      <c r="O1932" s="10"/>
      <c r="P1932" s="10"/>
      <c r="Q1932" s="10"/>
      <c r="R1932" s="10"/>
      <c r="S1932" s="10"/>
      <c r="T1932" s="10"/>
      <c r="U1932" s="10"/>
      <c r="V1932" s="10"/>
      <c r="W1932" s="10"/>
      <c r="X1932" s="10"/>
      <c r="Y1932" s="10"/>
      <c r="Z1932" s="10"/>
      <c r="AA1932" s="10"/>
      <c r="AB1932" s="10"/>
      <c r="AF1932" s="467"/>
      <c r="AG1932" s="467"/>
      <c r="AH1932" s="6"/>
      <c r="AI1932" s="10"/>
      <c r="AK1932" s="448"/>
      <c r="AL1932" s="445"/>
    </row>
    <row r="1933" spans="1:38" ht="11.25" customHeight="1">
      <c r="A1933" s="10"/>
      <c r="B1933" s="10"/>
      <c r="C1933" s="10"/>
      <c r="D1933" s="10"/>
      <c r="E1933" s="10"/>
      <c r="F1933" s="10"/>
      <c r="G1933" s="10"/>
      <c r="H1933" s="10"/>
      <c r="I1933" s="10"/>
      <c r="J1933" s="10"/>
      <c r="K1933" s="10"/>
      <c r="L1933" s="10"/>
      <c r="M1933" s="10"/>
      <c r="N1933" s="10"/>
      <c r="O1933" s="10"/>
      <c r="P1933" s="10"/>
      <c r="Q1933" s="10"/>
      <c r="R1933" s="10"/>
      <c r="S1933" s="10"/>
      <c r="T1933" s="10"/>
      <c r="U1933" s="10"/>
      <c r="V1933" s="10"/>
      <c r="W1933" s="10"/>
      <c r="X1933" s="10"/>
      <c r="Y1933" s="10"/>
      <c r="Z1933" s="10"/>
      <c r="AA1933" s="10"/>
      <c r="AB1933" s="10"/>
      <c r="AF1933" s="467"/>
      <c r="AG1933" s="467"/>
      <c r="AH1933" s="6"/>
      <c r="AI1933" s="10"/>
      <c r="AK1933" s="448"/>
      <c r="AL1933" s="445"/>
    </row>
    <row r="1934" spans="1:38" ht="11.25" customHeight="1">
      <c r="A1934" s="10"/>
      <c r="B1934" s="10"/>
      <c r="C1934" s="10"/>
      <c r="D1934" s="10"/>
      <c r="E1934" s="10"/>
      <c r="F1934" s="10"/>
      <c r="G1934" s="10"/>
      <c r="H1934" s="10"/>
      <c r="I1934" s="10"/>
      <c r="J1934" s="10"/>
      <c r="K1934" s="10"/>
      <c r="L1934" s="10"/>
      <c r="M1934" s="10"/>
      <c r="N1934" s="10"/>
      <c r="O1934" s="10"/>
      <c r="P1934" s="10"/>
      <c r="Q1934" s="10"/>
      <c r="R1934" s="10"/>
      <c r="S1934" s="10"/>
      <c r="T1934" s="10"/>
      <c r="U1934" s="10"/>
      <c r="V1934" s="10"/>
      <c r="W1934" s="10"/>
      <c r="X1934" s="10"/>
      <c r="Y1934" s="10"/>
      <c r="Z1934" s="10"/>
      <c r="AA1934" s="10"/>
      <c r="AB1934" s="10"/>
      <c r="AF1934" s="467"/>
      <c r="AG1934" s="467"/>
      <c r="AH1934" s="6"/>
      <c r="AI1934" s="10"/>
      <c r="AK1934" s="448"/>
      <c r="AL1934" s="445"/>
    </row>
    <row r="1935" spans="1:38" ht="11.25" customHeight="1">
      <c r="A1935" s="10"/>
      <c r="B1935" s="10"/>
      <c r="C1935" s="10"/>
      <c r="D1935" s="10"/>
      <c r="E1935" s="10"/>
      <c r="F1935" s="10"/>
      <c r="G1935" s="10"/>
      <c r="H1935" s="10"/>
      <c r="I1935" s="10"/>
      <c r="J1935" s="10"/>
      <c r="K1935" s="10"/>
      <c r="L1935" s="10"/>
      <c r="M1935" s="10"/>
      <c r="N1935" s="10"/>
      <c r="O1935" s="10"/>
      <c r="P1935" s="10"/>
      <c r="Q1935" s="10"/>
      <c r="R1935" s="10"/>
      <c r="S1935" s="10"/>
      <c r="T1935" s="10"/>
      <c r="U1935" s="10"/>
      <c r="V1935" s="10"/>
      <c r="W1935" s="10"/>
      <c r="X1935" s="10"/>
      <c r="Y1935" s="10"/>
      <c r="Z1935" s="10"/>
      <c r="AA1935" s="10"/>
      <c r="AB1935" s="10"/>
      <c r="AF1935" s="467"/>
      <c r="AG1935" s="467"/>
      <c r="AH1935" s="6"/>
      <c r="AI1935" s="10"/>
      <c r="AK1935" s="448"/>
      <c r="AL1935" s="445"/>
    </row>
    <row r="1936" spans="1:38" ht="11.25" customHeight="1">
      <c r="A1936" s="10"/>
      <c r="B1936" s="10"/>
      <c r="C1936" s="10"/>
      <c r="D1936" s="10"/>
      <c r="E1936" s="10"/>
      <c r="F1936" s="10"/>
      <c r="G1936" s="10"/>
      <c r="H1936" s="10"/>
      <c r="I1936" s="10"/>
      <c r="J1936" s="10"/>
      <c r="K1936" s="10"/>
      <c r="L1936" s="10"/>
      <c r="M1936" s="10"/>
      <c r="N1936" s="10"/>
      <c r="O1936" s="10"/>
      <c r="P1936" s="10"/>
      <c r="Q1936" s="10"/>
      <c r="R1936" s="10"/>
      <c r="S1936" s="10"/>
      <c r="T1936" s="10"/>
      <c r="U1936" s="10"/>
      <c r="V1936" s="10"/>
      <c r="W1936" s="10"/>
      <c r="X1936" s="10"/>
      <c r="Y1936" s="10"/>
      <c r="Z1936" s="10"/>
      <c r="AA1936" s="10"/>
      <c r="AB1936" s="10"/>
      <c r="AF1936" s="467"/>
      <c r="AG1936" s="467"/>
      <c r="AH1936" s="6"/>
      <c r="AI1936" s="10"/>
      <c r="AK1936" s="448"/>
      <c r="AL1936" s="445"/>
    </row>
    <row r="1937" spans="1:38" ht="11.25" customHeight="1">
      <c r="A1937" s="10"/>
      <c r="B1937" s="10"/>
      <c r="C1937" s="10"/>
      <c r="D1937" s="10"/>
      <c r="E1937" s="10"/>
      <c r="F1937" s="10"/>
      <c r="G1937" s="10"/>
      <c r="H1937" s="10"/>
      <c r="I1937" s="10"/>
      <c r="J1937" s="10"/>
      <c r="K1937" s="10"/>
      <c r="L1937" s="10"/>
      <c r="M1937" s="10"/>
      <c r="N1937" s="10"/>
      <c r="O1937" s="10"/>
      <c r="P1937" s="10"/>
      <c r="Q1937" s="10"/>
      <c r="R1937" s="10"/>
      <c r="S1937" s="10"/>
      <c r="T1937" s="10"/>
      <c r="U1937" s="10"/>
      <c r="V1937" s="10"/>
      <c r="W1937" s="10"/>
      <c r="X1937" s="10"/>
      <c r="Y1937" s="10"/>
      <c r="Z1937" s="10"/>
      <c r="AA1937" s="10"/>
      <c r="AB1937" s="10"/>
      <c r="AF1937" s="467"/>
      <c r="AG1937" s="467"/>
      <c r="AH1937" s="6"/>
      <c r="AI1937" s="10"/>
      <c r="AK1937" s="448"/>
      <c r="AL1937" s="445"/>
    </row>
    <row r="1938" spans="1:38" ht="11.25" customHeight="1">
      <c r="A1938" s="10"/>
      <c r="B1938" s="10"/>
      <c r="C1938" s="10"/>
      <c r="D1938" s="10"/>
      <c r="E1938" s="10"/>
      <c r="F1938" s="10"/>
      <c r="G1938" s="10"/>
      <c r="H1938" s="10"/>
      <c r="I1938" s="10"/>
      <c r="J1938" s="10"/>
      <c r="K1938" s="10"/>
      <c r="L1938" s="10"/>
      <c r="M1938" s="10"/>
      <c r="N1938" s="10"/>
      <c r="O1938" s="10"/>
      <c r="P1938" s="10"/>
      <c r="Q1938" s="10"/>
      <c r="R1938" s="10"/>
      <c r="S1938" s="10"/>
      <c r="T1938" s="10"/>
      <c r="U1938" s="10"/>
      <c r="V1938" s="10"/>
      <c r="W1938" s="10"/>
      <c r="X1938" s="10"/>
      <c r="Y1938" s="10"/>
      <c r="Z1938" s="10"/>
      <c r="AA1938" s="10"/>
      <c r="AB1938" s="10"/>
      <c r="AF1938" s="467"/>
      <c r="AG1938" s="467"/>
      <c r="AH1938" s="6"/>
      <c r="AI1938" s="10"/>
      <c r="AK1938" s="448"/>
      <c r="AL1938" s="445"/>
    </row>
    <row r="1939" spans="1:38" ht="11.25" customHeight="1">
      <c r="A1939" s="10"/>
      <c r="B1939" s="10"/>
      <c r="C1939" s="10"/>
      <c r="D1939" s="10"/>
      <c r="E1939" s="10"/>
      <c r="F1939" s="10"/>
      <c r="G1939" s="10"/>
      <c r="H1939" s="10"/>
      <c r="I1939" s="10"/>
      <c r="J1939" s="10"/>
      <c r="K1939" s="10"/>
      <c r="L1939" s="10"/>
      <c r="M1939" s="10"/>
      <c r="N1939" s="10"/>
      <c r="O1939" s="10"/>
      <c r="P1939" s="10"/>
      <c r="Q1939" s="10"/>
      <c r="R1939" s="10"/>
      <c r="S1939" s="10"/>
      <c r="T1939" s="10"/>
      <c r="U1939" s="10"/>
      <c r="V1939" s="10"/>
      <c r="W1939" s="10"/>
      <c r="X1939" s="10"/>
      <c r="Y1939" s="10"/>
      <c r="Z1939" s="10"/>
      <c r="AA1939" s="10"/>
      <c r="AB1939" s="10"/>
      <c r="AF1939" s="467"/>
      <c r="AG1939" s="467"/>
      <c r="AH1939" s="6"/>
      <c r="AI1939" s="10"/>
      <c r="AK1939" s="448"/>
      <c r="AL1939" s="445"/>
    </row>
    <row r="1940" spans="1:38" ht="11.25" customHeight="1">
      <c r="A1940" s="10"/>
      <c r="B1940" s="10"/>
      <c r="C1940" s="10"/>
      <c r="D1940" s="10"/>
      <c r="E1940" s="10"/>
      <c r="F1940" s="10"/>
      <c r="G1940" s="10"/>
      <c r="H1940" s="10"/>
      <c r="I1940" s="10"/>
      <c r="J1940" s="10"/>
      <c r="K1940" s="10"/>
      <c r="L1940" s="10"/>
      <c r="M1940" s="10"/>
      <c r="N1940" s="10"/>
      <c r="O1940" s="10"/>
      <c r="P1940" s="10"/>
      <c r="Q1940" s="10"/>
      <c r="R1940" s="10"/>
      <c r="S1940" s="10"/>
      <c r="T1940" s="10"/>
      <c r="U1940" s="10"/>
      <c r="V1940" s="10"/>
      <c r="W1940" s="10"/>
      <c r="X1940" s="10"/>
      <c r="Y1940" s="10"/>
      <c r="Z1940" s="10"/>
      <c r="AA1940" s="10"/>
      <c r="AB1940" s="10"/>
      <c r="AF1940" s="467"/>
      <c r="AG1940" s="467"/>
      <c r="AH1940" s="6"/>
      <c r="AI1940" s="10"/>
      <c r="AK1940" s="448"/>
      <c r="AL1940" s="445"/>
    </row>
    <row r="1941" spans="1:38" ht="11.25" customHeight="1">
      <c r="A1941" s="10"/>
      <c r="B1941" s="10"/>
      <c r="C1941" s="10"/>
      <c r="D1941" s="10"/>
      <c r="E1941" s="10"/>
      <c r="F1941" s="10"/>
      <c r="G1941" s="10"/>
      <c r="H1941" s="10"/>
      <c r="I1941" s="10"/>
      <c r="J1941" s="10"/>
      <c r="K1941" s="10"/>
      <c r="L1941" s="10"/>
      <c r="M1941" s="10"/>
      <c r="N1941" s="10"/>
      <c r="O1941" s="10"/>
      <c r="P1941" s="10"/>
      <c r="Q1941" s="10"/>
      <c r="R1941" s="10"/>
      <c r="S1941" s="10"/>
      <c r="T1941" s="10"/>
      <c r="U1941" s="10"/>
      <c r="V1941" s="10"/>
      <c r="W1941" s="10"/>
      <c r="X1941" s="10"/>
      <c r="Y1941" s="10"/>
      <c r="Z1941" s="10"/>
      <c r="AA1941" s="10"/>
      <c r="AB1941" s="10"/>
      <c r="AF1941" s="467"/>
      <c r="AG1941" s="467"/>
      <c r="AH1941" s="6"/>
      <c r="AI1941" s="10"/>
      <c r="AK1941" s="448"/>
      <c r="AL1941" s="445"/>
    </row>
    <row r="1942" spans="1:38" ht="11.25" customHeight="1">
      <c r="A1942" s="10"/>
      <c r="B1942" s="10"/>
      <c r="C1942" s="10"/>
      <c r="D1942" s="10"/>
      <c r="E1942" s="10"/>
      <c r="F1942" s="10"/>
      <c r="G1942" s="10"/>
      <c r="H1942" s="10"/>
      <c r="I1942" s="10"/>
      <c r="J1942" s="10"/>
      <c r="K1942" s="10"/>
      <c r="L1942" s="10"/>
      <c r="M1942" s="10"/>
      <c r="N1942" s="10"/>
      <c r="O1942" s="10"/>
      <c r="P1942" s="10"/>
      <c r="Q1942" s="10"/>
      <c r="R1942" s="10"/>
      <c r="S1942" s="10"/>
      <c r="T1942" s="10"/>
      <c r="U1942" s="10"/>
      <c r="V1942" s="10"/>
      <c r="W1942" s="10"/>
      <c r="X1942" s="10"/>
      <c r="Y1942" s="10"/>
      <c r="Z1942" s="10"/>
      <c r="AA1942" s="10"/>
      <c r="AB1942" s="10"/>
      <c r="AF1942" s="467"/>
      <c r="AG1942" s="467"/>
      <c r="AH1942" s="6"/>
      <c r="AI1942" s="10"/>
      <c r="AK1942" s="448"/>
      <c r="AL1942" s="445"/>
    </row>
    <row r="1943" spans="1:38" ht="11.25" customHeight="1">
      <c r="A1943" s="10"/>
      <c r="B1943" s="10"/>
      <c r="C1943" s="10"/>
      <c r="D1943" s="10"/>
      <c r="E1943" s="10"/>
      <c r="F1943" s="10"/>
      <c r="G1943" s="10"/>
      <c r="H1943" s="10"/>
      <c r="I1943" s="10"/>
      <c r="J1943" s="10"/>
      <c r="K1943" s="10"/>
      <c r="L1943" s="10"/>
      <c r="M1943" s="10"/>
      <c r="N1943" s="10"/>
      <c r="O1943" s="10"/>
      <c r="P1943" s="10"/>
      <c r="Q1943" s="10"/>
      <c r="R1943" s="10"/>
      <c r="S1943" s="10"/>
      <c r="T1943" s="10"/>
      <c r="U1943" s="10"/>
      <c r="V1943" s="10"/>
      <c r="W1943" s="10"/>
      <c r="X1943" s="10"/>
      <c r="Y1943" s="10"/>
      <c r="Z1943" s="10"/>
      <c r="AA1943" s="10"/>
      <c r="AB1943" s="10"/>
      <c r="AF1943" s="467"/>
      <c r="AG1943" s="467"/>
      <c r="AH1943" s="6"/>
      <c r="AI1943" s="10"/>
      <c r="AK1943" s="448"/>
      <c r="AL1943" s="445"/>
    </row>
    <row r="1944" spans="1:38" ht="11.25" customHeight="1">
      <c r="A1944" s="10"/>
      <c r="B1944" s="10"/>
      <c r="C1944" s="10"/>
      <c r="D1944" s="10"/>
      <c r="E1944" s="10"/>
      <c r="F1944" s="10"/>
      <c r="G1944" s="10"/>
      <c r="H1944" s="10"/>
      <c r="I1944" s="10"/>
      <c r="J1944" s="10"/>
      <c r="K1944" s="10"/>
      <c r="L1944" s="10"/>
      <c r="M1944" s="10"/>
      <c r="N1944" s="10"/>
      <c r="O1944" s="10"/>
      <c r="P1944" s="10"/>
      <c r="Q1944" s="10"/>
      <c r="R1944" s="10"/>
      <c r="S1944" s="10"/>
      <c r="T1944" s="10"/>
      <c r="U1944" s="10"/>
      <c r="V1944" s="10"/>
      <c r="W1944" s="10"/>
      <c r="X1944" s="10"/>
      <c r="Y1944" s="10"/>
      <c r="Z1944" s="10"/>
      <c r="AA1944" s="10"/>
      <c r="AB1944" s="10"/>
      <c r="AF1944" s="467"/>
      <c r="AG1944" s="467"/>
      <c r="AH1944" s="6"/>
      <c r="AI1944" s="10"/>
      <c r="AK1944" s="448"/>
      <c r="AL1944" s="445"/>
    </row>
    <row r="1945" spans="1:38" ht="11.25" customHeight="1">
      <c r="A1945" s="10"/>
      <c r="B1945" s="10"/>
      <c r="C1945" s="10"/>
      <c r="D1945" s="10"/>
      <c r="E1945" s="10"/>
      <c r="F1945" s="10"/>
      <c r="G1945" s="10"/>
      <c r="H1945" s="10"/>
      <c r="I1945" s="10"/>
      <c r="J1945" s="10"/>
      <c r="K1945" s="10"/>
      <c r="L1945" s="10"/>
      <c r="M1945" s="10"/>
      <c r="N1945" s="10"/>
      <c r="O1945" s="10"/>
      <c r="P1945" s="10"/>
      <c r="Q1945" s="10"/>
      <c r="R1945" s="10"/>
      <c r="S1945" s="10"/>
      <c r="T1945" s="10"/>
      <c r="U1945" s="10"/>
      <c r="V1945" s="10"/>
      <c r="W1945" s="10"/>
      <c r="X1945" s="10"/>
      <c r="Y1945" s="10"/>
      <c r="Z1945" s="10"/>
      <c r="AA1945" s="10"/>
      <c r="AB1945" s="10"/>
      <c r="AF1945" s="467"/>
      <c r="AG1945" s="467"/>
      <c r="AH1945" s="6"/>
      <c r="AI1945" s="10"/>
      <c r="AK1945" s="448"/>
      <c r="AL1945" s="445"/>
    </row>
    <row r="1946" spans="1:38">
      <c r="A1946" s="10"/>
      <c r="B1946" s="10"/>
      <c r="C1946" s="10"/>
      <c r="D1946" s="10"/>
      <c r="E1946" s="10"/>
      <c r="F1946" s="10"/>
      <c r="G1946" s="10"/>
      <c r="H1946" s="10"/>
      <c r="I1946" s="10"/>
      <c r="J1946" s="10"/>
      <c r="K1946" s="10"/>
      <c r="L1946" s="10"/>
      <c r="M1946" s="10"/>
      <c r="N1946" s="10"/>
      <c r="O1946" s="10"/>
      <c r="P1946" s="10"/>
      <c r="Q1946" s="10"/>
      <c r="R1946" s="10"/>
      <c r="S1946" s="10"/>
      <c r="T1946" s="10"/>
      <c r="U1946" s="10"/>
      <c r="V1946" s="10"/>
      <c r="W1946" s="10"/>
      <c r="X1946" s="10"/>
      <c r="Y1946" s="10"/>
      <c r="Z1946" s="10"/>
      <c r="AA1946" s="10"/>
      <c r="AB1946" s="1003"/>
      <c r="AF1946" s="467"/>
      <c r="AG1946" s="467"/>
      <c r="AH1946" s="6">
        <f>SUBTOTAL(9,AH1216:AH1732)</f>
        <v>146249844</v>
      </c>
      <c r="AK1946" s="31"/>
      <c r="AL1946" s="445"/>
    </row>
    <row r="1947" spans="1:38">
      <c r="A1947" s="10"/>
      <c r="B1947" s="10"/>
      <c r="C1947" s="10"/>
      <c r="D1947" s="10"/>
      <c r="E1947" s="10"/>
      <c r="F1947" s="10"/>
      <c r="G1947" s="10"/>
      <c r="H1947" s="10"/>
      <c r="I1947" s="10"/>
      <c r="J1947" s="10"/>
      <c r="K1947" s="10"/>
      <c r="L1947" s="10"/>
      <c r="M1947" s="10"/>
      <c r="N1947" s="10"/>
      <c r="O1947" s="10"/>
      <c r="P1947" s="10"/>
      <c r="Q1947" s="10"/>
      <c r="R1947" s="10"/>
      <c r="S1947" s="10"/>
      <c r="T1947" s="10"/>
      <c r="U1947" s="10"/>
      <c r="V1947" s="10"/>
      <c r="W1947" s="10"/>
      <c r="X1947" s="10"/>
      <c r="Y1947" s="10"/>
      <c r="Z1947" s="10"/>
      <c r="AA1947" s="10"/>
      <c r="AB1947" s="1003"/>
      <c r="AF1947" s="467"/>
      <c r="AG1947" s="467"/>
      <c r="AH1947" s="1464">
        <f>SUBTOTAL(9,AH7:AH567)</f>
        <v>1889127494</v>
      </c>
      <c r="AI1947" s="593">
        <f>SUBTOTAL(9,AI490:AI631)</f>
        <v>16969408</v>
      </c>
      <c r="AJ1947" s="1513">
        <f>+AI1947-AH1947</f>
        <v>-1872158086</v>
      </c>
      <c r="AL1947" s="445"/>
    </row>
    <row r="1948" spans="1:38">
      <c r="A1948" s="10"/>
      <c r="B1948" s="10"/>
      <c r="C1948" s="10"/>
      <c r="D1948" s="10"/>
      <c r="E1948" s="10"/>
      <c r="F1948" s="10"/>
      <c r="G1948" s="10"/>
      <c r="H1948" s="10"/>
      <c r="I1948" s="10"/>
      <c r="J1948" s="10"/>
      <c r="K1948" s="10"/>
      <c r="L1948" s="10"/>
      <c r="M1948" s="10"/>
      <c r="N1948" s="10"/>
      <c r="O1948" s="10"/>
      <c r="P1948" s="10"/>
      <c r="Q1948" s="10"/>
      <c r="R1948" s="10"/>
      <c r="S1948" s="10"/>
      <c r="T1948" s="10"/>
      <c r="U1948" s="10"/>
      <c r="V1948" s="10"/>
      <c r="W1948" s="10"/>
      <c r="X1948" s="10"/>
      <c r="Y1948" s="10"/>
      <c r="Z1948" s="10"/>
      <c r="AA1948" s="10"/>
      <c r="AB1948" s="1003"/>
      <c r="AF1948" s="467"/>
      <c r="AG1948" s="467"/>
      <c r="AH1948" s="1464">
        <v>1273085320</v>
      </c>
      <c r="AL1948" s="445"/>
    </row>
    <row r="1949" spans="1:38">
      <c r="A1949" s="10"/>
      <c r="B1949" s="10"/>
      <c r="C1949" s="10"/>
      <c r="D1949" s="10"/>
      <c r="E1949" s="10"/>
      <c r="F1949" s="10"/>
      <c r="G1949" s="10"/>
      <c r="H1949" s="10"/>
      <c r="I1949" s="10"/>
      <c r="J1949" s="10"/>
      <c r="K1949" s="10"/>
      <c r="L1949" s="10"/>
      <c r="M1949" s="10"/>
      <c r="N1949" s="10"/>
      <c r="O1949" s="10"/>
      <c r="P1949" s="10"/>
      <c r="Q1949" s="10"/>
      <c r="R1949" s="10"/>
      <c r="S1949" s="10"/>
      <c r="T1949" s="10"/>
      <c r="U1949" s="10"/>
      <c r="V1949" s="10"/>
      <c r="W1949" s="10"/>
      <c r="X1949" s="10"/>
      <c r="Y1949" s="10"/>
      <c r="Z1949" s="10"/>
      <c r="AA1949" s="10"/>
      <c r="AB1949" s="10"/>
      <c r="AF1949" s="1221"/>
      <c r="AH1949" s="1464">
        <f>+AH1947-AH1948</f>
        <v>616042174</v>
      </c>
      <c r="AL1949" s="445"/>
    </row>
    <row r="1950" spans="1:38">
      <c r="A1950" s="10"/>
      <c r="B1950" s="10"/>
      <c r="C1950" s="10"/>
      <c r="D1950" s="10"/>
      <c r="E1950" s="10"/>
      <c r="F1950" s="10"/>
      <c r="G1950" s="10"/>
      <c r="H1950" s="10"/>
      <c r="I1950" s="10"/>
      <c r="J1950" s="10"/>
      <c r="K1950" s="10"/>
      <c r="L1950" s="10"/>
      <c r="M1950" s="10"/>
      <c r="N1950" s="10"/>
      <c r="O1950" s="10"/>
      <c r="P1950" s="10"/>
      <c r="Q1950" s="10"/>
      <c r="R1950" s="10"/>
      <c r="S1950" s="10"/>
      <c r="T1950" s="10"/>
      <c r="U1950" s="10"/>
      <c r="V1950" s="10"/>
      <c r="W1950" s="10"/>
      <c r="X1950" s="10"/>
      <c r="Y1950" s="10"/>
      <c r="Z1950" s="10"/>
      <c r="AA1950" s="10"/>
      <c r="AB1950" s="10"/>
      <c r="AF1950" s="1221"/>
      <c r="AG1950" s="467"/>
      <c r="AH1950" s="1504">
        <f>+AH1949-AH105</f>
        <v>527508062</v>
      </c>
      <c r="AL1950" s="445"/>
    </row>
    <row r="1951" spans="1:38">
      <c r="A1951" s="10"/>
      <c r="B1951" s="10"/>
      <c r="C1951" s="10"/>
      <c r="D1951" s="10"/>
      <c r="E1951" s="10"/>
      <c r="F1951" s="10"/>
      <c r="G1951" s="10"/>
      <c r="H1951" s="10"/>
      <c r="I1951" s="10"/>
      <c r="J1951" s="10"/>
      <c r="K1951" s="10"/>
      <c r="L1951" s="10"/>
      <c r="M1951" s="10"/>
      <c r="N1951" s="10"/>
      <c r="O1951" s="10"/>
      <c r="P1951" s="10"/>
      <c r="Q1951" s="10"/>
      <c r="R1951" s="10"/>
      <c r="S1951" s="10"/>
      <c r="T1951" s="10"/>
      <c r="U1951" s="10"/>
      <c r="V1951" s="10"/>
      <c r="W1951" s="10"/>
      <c r="X1951" s="10"/>
      <c r="Y1951" s="10"/>
      <c r="Z1951" s="10"/>
      <c r="AA1951" s="10"/>
      <c r="AB1951" s="10"/>
      <c r="AF1951" s="467"/>
      <c r="AG1951" s="467"/>
      <c r="AH1951" s="1504">
        <f>+AH1950-AH110</f>
        <v>478441718</v>
      </c>
      <c r="AL1951" s="445"/>
    </row>
    <row r="1952" spans="1:38">
      <c r="A1952" s="10"/>
      <c r="B1952" s="10"/>
      <c r="C1952" s="10"/>
      <c r="D1952" s="10"/>
      <c r="E1952" s="10"/>
      <c r="F1952" s="10"/>
      <c r="G1952" s="10"/>
      <c r="H1952" s="10"/>
      <c r="I1952" s="10"/>
      <c r="J1952" s="10"/>
      <c r="K1952" s="10"/>
      <c r="L1952" s="10"/>
      <c r="M1952" s="10"/>
      <c r="N1952" s="10"/>
      <c r="O1952" s="10"/>
      <c r="P1952" s="10"/>
      <c r="Q1952" s="10"/>
      <c r="R1952" s="10"/>
      <c r="S1952" s="10"/>
      <c r="T1952" s="10"/>
      <c r="U1952" s="10"/>
      <c r="V1952" s="10"/>
      <c r="W1952" s="10"/>
      <c r="X1952" s="10"/>
      <c r="Y1952" s="10"/>
      <c r="Z1952" s="10"/>
      <c r="AA1952" s="10"/>
      <c r="AB1952" s="10"/>
      <c r="AF1952" s="467"/>
      <c r="AG1952" s="467"/>
      <c r="AH1952" s="1504">
        <f>+AH1951-AH119</f>
        <v>471882546</v>
      </c>
      <c r="AL1952" s="445"/>
    </row>
    <row r="1953" spans="1:38">
      <c r="A1953" s="10"/>
      <c r="B1953" s="10"/>
      <c r="C1953" s="10"/>
      <c r="D1953" s="10"/>
      <c r="E1953" s="10"/>
      <c r="F1953" s="10"/>
      <c r="G1953" s="10"/>
      <c r="H1953" s="10"/>
      <c r="I1953" s="10"/>
      <c r="J1953" s="10"/>
      <c r="K1953" s="10"/>
      <c r="L1953" s="10"/>
      <c r="M1953" s="10"/>
      <c r="N1953" s="10"/>
      <c r="O1953" s="10"/>
      <c r="P1953" s="10"/>
      <c r="Q1953" s="10"/>
      <c r="R1953" s="10"/>
      <c r="S1953" s="10"/>
      <c r="T1953" s="10"/>
      <c r="U1953" s="10"/>
      <c r="V1953" s="10"/>
      <c r="W1953" s="10"/>
      <c r="X1953" s="10"/>
      <c r="Y1953" s="10"/>
      <c r="Z1953" s="10"/>
      <c r="AA1953" s="10"/>
      <c r="AB1953" s="10"/>
      <c r="AF1953" s="467"/>
      <c r="AG1953" s="467"/>
      <c r="AH1953" s="1504">
        <f>+AH1952-AH130</f>
        <v>455483913</v>
      </c>
      <c r="AL1953" s="445"/>
    </row>
    <row r="1954" spans="1:38">
      <c r="A1954" s="10"/>
      <c r="B1954" s="10"/>
      <c r="C1954" s="10"/>
      <c r="D1954" s="10"/>
      <c r="E1954" s="10"/>
      <c r="F1954" s="10"/>
      <c r="G1954" s="10"/>
      <c r="H1954" s="10"/>
      <c r="I1954" s="10"/>
      <c r="J1954" s="10"/>
      <c r="K1954" s="10"/>
      <c r="L1954" s="10"/>
      <c r="M1954" s="10"/>
      <c r="N1954" s="10"/>
      <c r="O1954" s="10"/>
      <c r="P1954" s="10"/>
      <c r="Q1954" s="10"/>
      <c r="R1954" s="10"/>
      <c r="S1954" s="10"/>
      <c r="T1954" s="10"/>
      <c r="U1954" s="10"/>
      <c r="V1954" s="10"/>
      <c r="W1954" s="10"/>
      <c r="X1954" s="10"/>
      <c r="Y1954" s="10"/>
      <c r="Z1954" s="10"/>
      <c r="AA1954" s="10"/>
      <c r="AB1954" s="10"/>
      <c r="AF1954" s="467"/>
      <c r="AG1954" s="467"/>
      <c r="AH1954" s="1504">
        <f>+AH1953-AI129</f>
        <v>447350048</v>
      </c>
      <c r="AL1954" s="445"/>
    </row>
    <row r="1955" spans="1:38">
      <c r="A1955" s="10"/>
      <c r="B1955" s="10"/>
      <c r="C1955" s="10"/>
      <c r="D1955" s="10"/>
      <c r="E1955" s="10"/>
      <c r="F1955" s="10"/>
      <c r="G1955" s="10"/>
      <c r="H1955" s="10"/>
      <c r="I1955" s="10"/>
      <c r="J1955" s="10"/>
      <c r="K1955" s="10"/>
      <c r="L1955" s="10"/>
      <c r="M1955" s="10"/>
      <c r="N1955" s="10"/>
      <c r="O1955" s="10"/>
      <c r="P1955" s="10"/>
      <c r="Q1955" s="10"/>
      <c r="R1955" s="10"/>
      <c r="S1955" s="10"/>
      <c r="T1955" s="10"/>
      <c r="U1955" s="10"/>
      <c r="V1955" s="10"/>
      <c r="W1955" s="10"/>
      <c r="X1955" s="10"/>
      <c r="Y1955" s="10"/>
      <c r="Z1955" s="10"/>
      <c r="AA1955" s="10"/>
      <c r="AB1955" s="10"/>
      <c r="AF1955" s="467"/>
      <c r="AG1955" s="467"/>
      <c r="AH1955" s="6"/>
    </row>
    <row r="1956" spans="1:38">
      <c r="A1956" s="10"/>
      <c r="B1956" s="10"/>
      <c r="C1956" s="10"/>
      <c r="D1956" s="10"/>
      <c r="E1956" s="10"/>
      <c r="F1956" s="10"/>
      <c r="G1956" s="10"/>
      <c r="H1956" s="10"/>
      <c r="I1956" s="10"/>
      <c r="J1956" s="10"/>
      <c r="K1956" s="10"/>
      <c r="L1956" s="10"/>
      <c r="M1956" s="10"/>
      <c r="N1956" s="10"/>
      <c r="O1956" s="10"/>
      <c r="P1956" s="10"/>
      <c r="Q1956" s="10"/>
      <c r="R1956" s="10"/>
      <c r="S1956" s="10"/>
      <c r="T1956" s="10"/>
      <c r="U1956" s="10"/>
      <c r="V1956" s="10"/>
      <c r="W1956" s="10"/>
      <c r="X1956" s="10"/>
      <c r="Y1956" s="10"/>
      <c r="Z1956" s="10"/>
      <c r="AA1956" s="10"/>
      <c r="AB1956" s="10"/>
      <c r="AF1956" s="467"/>
      <c r="AG1956" s="467"/>
      <c r="AH1956" s="6"/>
    </row>
    <row r="1957" spans="1:38">
      <c r="A1957" s="10"/>
      <c r="B1957" s="10"/>
      <c r="C1957" s="10"/>
      <c r="D1957" s="10"/>
      <c r="E1957" s="10"/>
      <c r="F1957" s="10"/>
      <c r="G1957" s="10"/>
      <c r="H1957" s="10"/>
      <c r="I1957" s="10"/>
      <c r="J1957" s="10"/>
      <c r="K1957" s="10"/>
      <c r="L1957" s="10"/>
      <c r="M1957" s="10"/>
      <c r="N1957" s="10"/>
      <c r="O1957" s="10"/>
      <c r="P1957" s="10"/>
      <c r="Q1957" s="10"/>
      <c r="R1957" s="10"/>
      <c r="S1957" s="10"/>
      <c r="T1957" s="10"/>
      <c r="U1957" s="10"/>
      <c r="V1957" s="10"/>
      <c r="W1957" s="10"/>
      <c r="X1957" s="10"/>
      <c r="Y1957" s="10"/>
      <c r="Z1957" s="10"/>
      <c r="AA1957" s="10"/>
      <c r="AB1957" s="10"/>
      <c r="AF1957" s="467"/>
      <c r="AG1957" s="467"/>
      <c r="AH1957" s="6"/>
    </row>
    <row r="1958" spans="1:38">
      <c r="A1958" s="10"/>
      <c r="B1958" s="10"/>
      <c r="C1958" s="10"/>
      <c r="D1958" s="10"/>
      <c r="E1958" s="10"/>
      <c r="F1958" s="10"/>
      <c r="G1958" s="10"/>
      <c r="H1958" s="10"/>
      <c r="I1958" s="10"/>
      <c r="J1958" s="10"/>
      <c r="K1958" s="10"/>
      <c r="L1958" s="10"/>
      <c r="M1958" s="10"/>
      <c r="N1958" s="10"/>
      <c r="O1958" s="10"/>
      <c r="P1958" s="10"/>
      <c r="Q1958" s="10"/>
      <c r="R1958" s="10"/>
      <c r="S1958" s="10"/>
      <c r="T1958" s="10"/>
      <c r="U1958" s="10"/>
      <c r="V1958" s="10"/>
      <c r="W1958" s="10"/>
      <c r="X1958" s="10"/>
      <c r="Y1958" s="10"/>
      <c r="Z1958" s="10"/>
      <c r="AA1958" s="10"/>
      <c r="AB1958" s="10"/>
      <c r="AF1958" s="467"/>
      <c r="AG1958" s="467"/>
      <c r="AH1958" s="6"/>
    </row>
    <row r="1959" spans="1:38">
      <c r="A1959" s="10"/>
      <c r="B1959" s="10"/>
      <c r="C1959" s="10"/>
      <c r="D1959" s="10"/>
      <c r="E1959" s="10"/>
      <c r="F1959" s="10"/>
      <c r="G1959" s="10"/>
      <c r="H1959" s="10"/>
      <c r="I1959" s="10"/>
      <c r="J1959" s="10"/>
      <c r="K1959" s="10"/>
      <c r="L1959" s="10"/>
      <c r="M1959" s="10"/>
      <c r="N1959" s="10"/>
      <c r="O1959" s="10"/>
      <c r="P1959" s="10"/>
      <c r="Q1959" s="10"/>
      <c r="R1959" s="10"/>
      <c r="S1959" s="10"/>
      <c r="T1959" s="10"/>
      <c r="U1959" s="10"/>
      <c r="V1959" s="10"/>
      <c r="W1959" s="10"/>
      <c r="X1959" s="10"/>
      <c r="Y1959" s="10"/>
      <c r="Z1959" s="10"/>
      <c r="AA1959" s="10"/>
      <c r="AB1959" s="10"/>
      <c r="AF1959" s="467"/>
      <c r="AG1959" s="467"/>
      <c r="AH1959" s="6"/>
    </row>
    <row r="1960" spans="1:38">
      <c r="A1960" s="10"/>
      <c r="B1960" s="10"/>
      <c r="C1960" s="10"/>
      <c r="D1960" s="10"/>
      <c r="E1960" s="10"/>
      <c r="F1960" s="10"/>
      <c r="G1960" s="10"/>
      <c r="H1960" s="10"/>
      <c r="I1960" s="10"/>
      <c r="J1960" s="10"/>
      <c r="K1960" s="10"/>
      <c r="L1960" s="10"/>
      <c r="M1960" s="10"/>
      <c r="N1960" s="10"/>
      <c r="O1960" s="10"/>
      <c r="P1960" s="10"/>
      <c r="Q1960" s="10"/>
      <c r="R1960" s="10"/>
      <c r="S1960" s="10"/>
      <c r="T1960" s="10"/>
      <c r="U1960" s="10"/>
      <c r="V1960" s="10"/>
      <c r="W1960" s="10"/>
      <c r="X1960" s="10"/>
      <c r="Y1960" s="10"/>
      <c r="Z1960" s="10"/>
      <c r="AA1960" s="10"/>
      <c r="AB1960" s="10"/>
      <c r="AF1960" s="467"/>
      <c r="AG1960" s="467"/>
      <c r="AH1960" s="6"/>
    </row>
    <row r="1961" spans="1:38">
      <c r="A1961" s="10"/>
      <c r="B1961" s="10"/>
      <c r="C1961" s="10"/>
      <c r="D1961" s="10"/>
      <c r="E1961" s="10"/>
      <c r="F1961" s="10"/>
      <c r="G1961" s="10"/>
      <c r="H1961" s="10"/>
      <c r="I1961" s="10"/>
      <c r="J1961" s="10"/>
      <c r="K1961" s="10"/>
      <c r="L1961" s="10"/>
      <c r="M1961" s="10"/>
      <c r="N1961" s="10"/>
      <c r="O1961" s="10"/>
      <c r="P1961" s="10"/>
      <c r="Q1961" s="10"/>
      <c r="R1961" s="10"/>
      <c r="S1961" s="10"/>
      <c r="T1961" s="10"/>
      <c r="U1961" s="10"/>
      <c r="V1961" s="10"/>
      <c r="W1961" s="10"/>
      <c r="X1961" s="10"/>
      <c r="Y1961" s="10"/>
      <c r="Z1961" s="10"/>
      <c r="AA1961" s="10"/>
      <c r="AB1961" s="10"/>
      <c r="AF1961" s="467"/>
      <c r="AG1961" s="467"/>
      <c r="AH1961" s="6"/>
    </row>
    <row r="1962" spans="1:38">
      <c r="A1962" s="10"/>
      <c r="B1962" s="10"/>
      <c r="C1962" s="10"/>
      <c r="D1962" s="10"/>
      <c r="E1962" s="10"/>
      <c r="F1962" s="10"/>
      <c r="G1962" s="10"/>
      <c r="H1962" s="10"/>
      <c r="I1962" s="10"/>
      <c r="J1962" s="10"/>
      <c r="K1962" s="10"/>
      <c r="L1962" s="10"/>
      <c r="M1962" s="10"/>
      <c r="N1962" s="10"/>
      <c r="O1962" s="10"/>
      <c r="P1962" s="10"/>
      <c r="Q1962" s="10"/>
      <c r="R1962" s="10"/>
      <c r="S1962" s="10"/>
      <c r="T1962" s="10"/>
      <c r="U1962" s="10"/>
      <c r="V1962" s="10"/>
      <c r="W1962" s="10"/>
      <c r="X1962" s="10"/>
      <c r="Y1962" s="10"/>
      <c r="Z1962" s="10"/>
      <c r="AA1962" s="10"/>
      <c r="AB1962" s="10"/>
      <c r="AF1962" s="467"/>
      <c r="AG1962" s="467"/>
      <c r="AH1962" s="6"/>
    </row>
    <row r="1963" spans="1:38">
      <c r="A1963" s="10"/>
      <c r="B1963" s="10"/>
      <c r="C1963" s="10"/>
      <c r="D1963" s="10"/>
      <c r="E1963" s="10"/>
      <c r="F1963" s="10"/>
      <c r="G1963" s="10"/>
      <c r="H1963" s="10"/>
      <c r="I1963" s="10"/>
      <c r="J1963" s="10"/>
      <c r="K1963" s="10"/>
      <c r="L1963" s="10"/>
      <c r="M1963" s="10"/>
      <c r="N1963" s="10"/>
      <c r="O1963" s="10"/>
      <c r="P1963" s="10"/>
      <c r="Q1963" s="10"/>
      <c r="R1963" s="10"/>
      <c r="S1963" s="10"/>
      <c r="T1963" s="10"/>
      <c r="U1963" s="10"/>
      <c r="V1963" s="10"/>
      <c r="W1963" s="10"/>
      <c r="X1963" s="10"/>
      <c r="Y1963" s="10"/>
      <c r="Z1963" s="10"/>
      <c r="AA1963" s="10"/>
      <c r="AB1963" s="10"/>
      <c r="AF1963" s="467"/>
      <c r="AG1963" s="467"/>
      <c r="AH1963" s="6"/>
    </row>
    <row r="1964" spans="1:38">
      <c r="A1964" s="10"/>
      <c r="B1964" s="10"/>
      <c r="C1964" s="10"/>
      <c r="D1964" s="10"/>
      <c r="E1964" s="10"/>
      <c r="F1964" s="10"/>
      <c r="G1964" s="10"/>
      <c r="H1964" s="10"/>
      <c r="I1964" s="10"/>
      <c r="J1964" s="10"/>
      <c r="K1964" s="10"/>
      <c r="L1964" s="10"/>
      <c r="M1964" s="10"/>
      <c r="N1964" s="10"/>
      <c r="O1964" s="10"/>
      <c r="P1964" s="10"/>
      <c r="Q1964" s="10"/>
      <c r="R1964" s="10"/>
      <c r="S1964" s="10"/>
      <c r="T1964" s="10"/>
      <c r="U1964" s="10"/>
      <c r="V1964" s="10"/>
      <c r="W1964" s="10"/>
      <c r="X1964" s="10"/>
      <c r="Y1964" s="10"/>
      <c r="Z1964" s="10"/>
      <c r="AA1964" s="10"/>
      <c r="AB1964" s="10"/>
      <c r="AF1964" s="467"/>
      <c r="AG1964" s="467"/>
      <c r="AH1964" s="6"/>
    </row>
    <row r="1965" spans="1:38">
      <c r="A1965" s="10"/>
      <c r="B1965" s="10"/>
      <c r="C1965" s="10"/>
      <c r="D1965" s="10"/>
      <c r="E1965" s="10"/>
      <c r="F1965" s="10"/>
      <c r="G1965" s="10"/>
      <c r="H1965" s="10"/>
      <c r="I1965" s="10"/>
      <c r="J1965" s="10"/>
      <c r="K1965" s="10"/>
      <c r="L1965" s="10"/>
      <c r="M1965" s="10"/>
      <c r="N1965" s="10"/>
      <c r="O1965" s="10"/>
      <c r="P1965" s="10"/>
      <c r="Q1965" s="10"/>
      <c r="R1965" s="10"/>
      <c r="S1965" s="10"/>
      <c r="T1965" s="10"/>
      <c r="U1965" s="10"/>
      <c r="V1965" s="10"/>
      <c r="W1965" s="10"/>
      <c r="X1965" s="10"/>
      <c r="Y1965" s="10"/>
      <c r="Z1965" s="10"/>
      <c r="AA1965" s="10"/>
      <c r="AB1965" s="10"/>
      <c r="AF1965" s="467"/>
      <c r="AG1965" s="467"/>
      <c r="AH1965" s="6"/>
    </row>
    <row r="1966" spans="1:38">
      <c r="A1966" s="10"/>
      <c r="B1966" s="10"/>
      <c r="C1966" s="10"/>
      <c r="D1966" s="10"/>
      <c r="E1966" s="10"/>
      <c r="F1966" s="10"/>
      <c r="G1966" s="10"/>
      <c r="H1966" s="10"/>
      <c r="I1966" s="10"/>
      <c r="J1966" s="10"/>
      <c r="K1966" s="10"/>
      <c r="L1966" s="10"/>
      <c r="M1966" s="10"/>
      <c r="N1966" s="10"/>
      <c r="O1966" s="10"/>
      <c r="P1966" s="10"/>
      <c r="Q1966" s="10"/>
      <c r="R1966" s="10"/>
      <c r="S1966" s="10"/>
      <c r="T1966" s="10"/>
      <c r="U1966" s="10"/>
      <c r="V1966" s="10"/>
      <c r="W1966" s="10"/>
      <c r="X1966" s="10"/>
      <c r="Y1966" s="10"/>
      <c r="Z1966" s="10"/>
      <c r="AA1966" s="10"/>
      <c r="AB1966" s="10"/>
      <c r="AF1966" s="467"/>
      <c r="AG1966" s="467"/>
      <c r="AH1966" s="6"/>
    </row>
    <row r="1967" spans="1:38">
      <c r="A1967" s="10"/>
      <c r="B1967" s="10"/>
      <c r="C1967" s="10"/>
      <c r="D1967" s="10"/>
      <c r="E1967" s="10"/>
      <c r="F1967" s="10"/>
      <c r="G1967" s="10"/>
      <c r="H1967" s="10"/>
      <c r="I1967" s="10"/>
      <c r="J1967" s="10"/>
      <c r="K1967" s="10"/>
      <c r="L1967" s="10"/>
      <c r="M1967" s="10"/>
      <c r="N1967" s="10"/>
      <c r="O1967" s="10"/>
      <c r="P1967" s="10"/>
      <c r="Q1967" s="10"/>
      <c r="R1967" s="10"/>
      <c r="S1967" s="10"/>
      <c r="T1967" s="10"/>
      <c r="U1967" s="10"/>
      <c r="V1967" s="10"/>
      <c r="W1967" s="10"/>
      <c r="X1967" s="10"/>
      <c r="Y1967" s="10"/>
      <c r="Z1967" s="10"/>
      <c r="AA1967" s="10"/>
      <c r="AB1967" s="10"/>
      <c r="AF1967" s="467"/>
      <c r="AG1967" s="467"/>
      <c r="AH1967" s="6"/>
    </row>
    <row r="1968" spans="1:38">
      <c r="A1968" s="10"/>
      <c r="B1968" s="10"/>
      <c r="C1968" s="10"/>
      <c r="D1968" s="10"/>
      <c r="E1968" s="10"/>
      <c r="F1968" s="10"/>
      <c r="G1968" s="10"/>
      <c r="H1968" s="10"/>
      <c r="I1968" s="10"/>
      <c r="J1968" s="10"/>
      <c r="K1968" s="10"/>
      <c r="L1968" s="10"/>
      <c r="M1968" s="10"/>
      <c r="N1968" s="10"/>
      <c r="O1968" s="10"/>
      <c r="P1968" s="10"/>
      <c r="Q1968" s="10"/>
      <c r="R1968" s="10"/>
      <c r="S1968" s="10"/>
      <c r="T1968" s="10"/>
      <c r="U1968" s="10"/>
      <c r="V1968" s="10"/>
      <c r="W1968" s="10"/>
      <c r="X1968" s="10"/>
      <c r="Y1968" s="10"/>
      <c r="Z1968" s="10"/>
      <c r="AA1968" s="10"/>
      <c r="AB1968" s="10"/>
      <c r="AF1968" s="467"/>
      <c r="AG1968" s="467"/>
      <c r="AH1968" s="6"/>
    </row>
    <row r="1969" spans="32:34" s="10" customFormat="1">
      <c r="AF1969" s="467"/>
      <c r="AG1969" s="467"/>
      <c r="AH1969" s="6"/>
    </row>
    <row r="1970" spans="32:34" s="10" customFormat="1">
      <c r="AF1970" s="467"/>
      <c r="AG1970" s="467"/>
      <c r="AH1970" s="6"/>
    </row>
    <row r="1971" spans="32:34" s="10" customFormat="1">
      <c r="AF1971" s="467"/>
      <c r="AG1971" s="467"/>
      <c r="AH1971" s="6"/>
    </row>
    <row r="1972" spans="32:34" s="10" customFormat="1">
      <c r="AF1972" s="467"/>
      <c r="AG1972" s="467"/>
      <c r="AH1972" s="6"/>
    </row>
    <row r="1973" spans="32:34" s="10" customFormat="1">
      <c r="AF1973" s="467"/>
      <c r="AG1973" s="467"/>
      <c r="AH1973" s="6"/>
    </row>
    <row r="1974" spans="32:34" s="10" customFormat="1">
      <c r="AF1974" s="467"/>
      <c r="AG1974" s="467"/>
      <c r="AH1974" s="6"/>
    </row>
    <row r="1975" spans="32:34" s="10" customFormat="1">
      <c r="AF1975" s="467"/>
      <c r="AG1975" s="467"/>
      <c r="AH1975" s="6"/>
    </row>
    <row r="1976" spans="32:34" s="10" customFormat="1">
      <c r="AF1976" s="467"/>
      <c r="AG1976" s="467"/>
      <c r="AH1976" s="6"/>
    </row>
    <row r="1977" spans="32:34" s="10" customFormat="1">
      <c r="AF1977" s="467"/>
      <c r="AG1977" s="467"/>
      <c r="AH1977" s="6"/>
    </row>
    <row r="1978" spans="32:34" s="10" customFormat="1">
      <c r="AF1978" s="467"/>
      <c r="AG1978" s="467"/>
      <c r="AH1978" s="6"/>
    </row>
    <row r="1979" spans="32:34" s="10" customFormat="1">
      <c r="AF1979" s="467"/>
      <c r="AG1979" s="467"/>
      <c r="AH1979" s="6"/>
    </row>
    <row r="1980" spans="32:34" s="10" customFormat="1">
      <c r="AF1980" s="467"/>
      <c r="AG1980" s="467"/>
      <c r="AH1980" s="6"/>
    </row>
    <row r="1981" spans="32:34" s="10" customFormat="1">
      <c r="AF1981" s="467"/>
      <c r="AG1981" s="467"/>
      <c r="AH1981" s="6"/>
    </row>
    <row r="1982" spans="32:34" s="10" customFormat="1">
      <c r="AF1982" s="467"/>
      <c r="AG1982" s="467"/>
      <c r="AH1982" s="6"/>
    </row>
    <row r="1983" spans="32:34" s="10" customFormat="1">
      <c r="AF1983" s="467"/>
      <c r="AG1983" s="467"/>
      <c r="AH1983" s="6"/>
    </row>
    <row r="1984" spans="32:34" s="10" customFormat="1">
      <c r="AF1984" s="467"/>
      <c r="AG1984" s="467"/>
      <c r="AH1984" s="6"/>
    </row>
    <row r="1985" spans="32:34" s="10" customFormat="1">
      <c r="AF1985" s="467"/>
      <c r="AG1985" s="467"/>
      <c r="AH1985" s="6"/>
    </row>
    <row r="1986" spans="32:34" s="10" customFormat="1">
      <c r="AF1986" s="467"/>
      <c r="AG1986" s="467"/>
      <c r="AH1986" s="6"/>
    </row>
    <row r="1987" spans="32:34" s="10" customFormat="1">
      <c r="AF1987" s="467"/>
      <c r="AG1987" s="467"/>
      <c r="AH1987" s="6"/>
    </row>
    <row r="1988" spans="32:34" s="10" customFormat="1">
      <c r="AF1988" s="467"/>
      <c r="AG1988" s="467"/>
      <c r="AH1988" s="6"/>
    </row>
    <row r="1989" spans="32:34" s="10" customFormat="1">
      <c r="AF1989" s="467"/>
      <c r="AG1989" s="467"/>
      <c r="AH1989" s="6"/>
    </row>
    <row r="1990" spans="32:34" s="10" customFormat="1">
      <c r="AF1990" s="467"/>
      <c r="AG1990" s="467"/>
      <c r="AH1990" s="6"/>
    </row>
    <row r="1991" spans="32:34" s="10" customFormat="1">
      <c r="AF1991" s="467"/>
      <c r="AG1991" s="467"/>
      <c r="AH1991" s="6"/>
    </row>
    <row r="1992" spans="32:34" s="10" customFormat="1">
      <c r="AF1992" s="467"/>
      <c r="AG1992" s="467"/>
      <c r="AH1992" s="6"/>
    </row>
    <row r="1993" spans="32:34" s="10" customFormat="1">
      <c r="AF1993" s="467"/>
      <c r="AG1993" s="467"/>
      <c r="AH1993" s="6"/>
    </row>
    <row r="1994" spans="32:34" s="10" customFormat="1">
      <c r="AF1994" s="467"/>
      <c r="AG1994" s="467"/>
      <c r="AH1994" s="6"/>
    </row>
    <row r="1995" spans="32:34" s="10" customFormat="1">
      <c r="AF1995" s="467"/>
      <c r="AG1995" s="467"/>
      <c r="AH1995" s="6"/>
    </row>
    <row r="1996" spans="32:34" s="10" customFormat="1">
      <c r="AF1996" s="467"/>
      <c r="AG1996" s="467"/>
      <c r="AH1996" s="6"/>
    </row>
    <row r="1997" spans="32:34" s="10" customFormat="1">
      <c r="AF1997" s="467"/>
      <c r="AG1997" s="467"/>
      <c r="AH1997" s="6"/>
    </row>
    <row r="1998" spans="32:34" s="10" customFormat="1">
      <c r="AF1998" s="467"/>
      <c r="AG1998" s="467"/>
      <c r="AH1998" s="6"/>
    </row>
    <row r="1999" spans="32:34" s="10" customFormat="1">
      <c r="AF1999" s="467"/>
      <c r="AG1999" s="467"/>
      <c r="AH1999" s="6"/>
    </row>
    <row r="2000" spans="32:34" s="10" customFormat="1">
      <c r="AF2000" s="467"/>
      <c r="AG2000" s="467"/>
      <c r="AH2000" s="6"/>
    </row>
    <row r="2001" spans="32:34" s="10" customFormat="1">
      <c r="AF2001" s="467"/>
      <c r="AG2001" s="467"/>
      <c r="AH2001" s="6"/>
    </row>
    <row r="2002" spans="32:34" s="10" customFormat="1">
      <c r="AF2002" s="467"/>
      <c r="AG2002" s="467"/>
      <c r="AH2002" s="6"/>
    </row>
    <row r="2003" spans="32:34" s="10" customFormat="1">
      <c r="AF2003" s="467"/>
      <c r="AG2003" s="467"/>
      <c r="AH2003" s="6"/>
    </row>
    <row r="2004" spans="32:34" s="10" customFormat="1">
      <c r="AF2004" s="467"/>
      <c r="AG2004" s="467"/>
      <c r="AH2004" s="6"/>
    </row>
    <row r="2005" spans="32:34" s="10" customFormat="1">
      <c r="AF2005" s="467"/>
      <c r="AG2005" s="467"/>
      <c r="AH2005" s="6"/>
    </row>
    <row r="2006" spans="32:34" s="10" customFormat="1">
      <c r="AF2006" s="467"/>
      <c r="AG2006" s="467"/>
      <c r="AH2006" s="6"/>
    </row>
    <row r="2007" spans="32:34" s="10" customFormat="1">
      <c r="AF2007" s="467"/>
      <c r="AG2007" s="467"/>
      <c r="AH2007" s="6"/>
    </row>
    <row r="2008" spans="32:34" s="10" customFormat="1">
      <c r="AF2008" s="467"/>
      <c r="AG2008" s="467"/>
      <c r="AH2008" s="6"/>
    </row>
    <row r="2009" spans="32:34" s="10" customFormat="1">
      <c r="AF2009" s="467"/>
      <c r="AG2009" s="467"/>
      <c r="AH2009" s="6"/>
    </row>
    <row r="2010" spans="32:34" s="10" customFormat="1">
      <c r="AF2010" s="467"/>
      <c r="AG2010" s="467"/>
      <c r="AH2010" s="6"/>
    </row>
    <row r="2011" spans="32:34" s="10" customFormat="1">
      <c r="AF2011" s="467"/>
      <c r="AG2011" s="467"/>
      <c r="AH2011" s="6"/>
    </row>
    <row r="2012" spans="32:34" s="10" customFormat="1">
      <c r="AF2012" s="467"/>
      <c r="AG2012" s="467"/>
      <c r="AH2012" s="6"/>
    </row>
    <row r="2013" spans="32:34" s="10" customFormat="1">
      <c r="AF2013" s="467"/>
      <c r="AG2013" s="467"/>
      <c r="AH2013" s="6"/>
    </row>
    <row r="2014" spans="32:34" s="10" customFormat="1">
      <c r="AF2014" s="467"/>
      <c r="AG2014" s="467"/>
      <c r="AH2014" s="6"/>
    </row>
    <row r="2015" spans="32:34" s="10" customFormat="1">
      <c r="AF2015" s="467"/>
      <c r="AG2015" s="467"/>
      <c r="AH2015" s="6"/>
    </row>
    <row r="2016" spans="32:34" s="10" customFormat="1">
      <c r="AF2016" s="467"/>
      <c r="AG2016" s="467"/>
      <c r="AH2016" s="6"/>
    </row>
    <row r="2017" spans="32:34" s="10" customFormat="1">
      <c r="AF2017" s="467"/>
      <c r="AG2017" s="467"/>
      <c r="AH2017" s="6"/>
    </row>
    <row r="2018" spans="32:34" s="10" customFormat="1">
      <c r="AF2018" s="467"/>
      <c r="AG2018" s="467"/>
      <c r="AH2018" s="6"/>
    </row>
    <row r="2019" spans="32:34" s="10" customFormat="1">
      <c r="AF2019" s="467"/>
      <c r="AG2019" s="467"/>
      <c r="AH2019" s="6"/>
    </row>
    <row r="2020" spans="32:34" s="10" customFormat="1">
      <c r="AF2020" s="467"/>
      <c r="AG2020" s="467"/>
      <c r="AH2020" s="6"/>
    </row>
    <row r="2021" spans="32:34" s="10" customFormat="1">
      <c r="AF2021" s="467"/>
      <c r="AG2021" s="467"/>
      <c r="AH2021" s="6"/>
    </row>
    <row r="2022" spans="32:34" s="10" customFormat="1">
      <c r="AF2022" s="467"/>
      <c r="AG2022" s="467"/>
      <c r="AH2022" s="6"/>
    </row>
    <row r="2023" spans="32:34" s="10" customFormat="1">
      <c r="AF2023" s="467"/>
      <c r="AG2023" s="467"/>
      <c r="AH2023" s="6"/>
    </row>
    <row r="2024" spans="32:34" s="10" customFormat="1">
      <c r="AF2024" s="467"/>
      <c r="AG2024" s="467"/>
      <c r="AH2024" s="6"/>
    </row>
    <row r="2025" spans="32:34" s="10" customFormat="1">
      <c r="AF2025" s="467"/>
      <c r="AG2025" s="467"/>
      <c r="AH2025" s="6"/>
    </row>
    <row r="2026" spans="32:34" s="10" customFormat="1">
      <c r="AF2026" s="467"/>
      <c r="AG2026" s="467"/>
      <c r="AH2026" s="6"/>
    </row>
    <row r="2027" spans="32:34" s="10" customFormat="1">
      <c r="AF2027" s="467"/>
      <c r="AG2027" s="467"/>
      <c r="AH2027" s="6"/>
    </row>
    <row r="2028" spans="32:34" s="10" customFormat="1">
      <c r="AF2028" s="467"/>
      <c r="AG2028" s="467"/>
      <c r="AH2028" s="6"/>
    </row>
    <row r="2029" spans="32:34" s="10" customFormat="1">
      <c r="AF2029" s="467"/>
      <c r="AG2029" s="467"/>
      <c r="AH2029" s="6"/>
    </row>
    <row r="2030" spans="32:34" s="10" customFormat="1">
      <c r="AF2030" s="467"/>
      <c r="AG2030" s="467"/>
      <c r="AH2030" s="6"/>
    </row>
    <row r="2031" spans="32:34" s="10" customFormat="1">
      <c r="AF2031" s="467"/>
      <c r="AG2031" s="467"/>
      <c r="AH2031" s="6"/>
    </row>
    <row r="2032" spans="32:34" s="10" customFormat="1">
      <c r="AF2032" s="467"/>
      <c r="AG2032" s="467"/>
      <c r="AH2032" s="6"/>
    </row>
    <row r="2033" spans="32:34" s="10" customFormat="1">
      <c r="AF2033" s="467"/>
      <c r="AG2033" s="467"/>
      <c r="AH2033" s="6"/>
    </row>
    <row r="2034" spans="32:34" s="10" customFormat="1">
      <c r="AF2034" s="467"/>
      <c r="AG2034" s="467"/>
      <c r="AH2034" s="6"/>
    </row>
    <row r="2035" spans="32:34" s="10" customFormat="1">
      <c r="AF2035" s="467"/>
      <c r="AG2035" s="467"/>
      <c r="AH2035" s="6"/>
    </row>
    <row r="2036" spans="32:34" s="10" customFormat="1">
      <c r="AF2036" s="467"/>
      <c r="AG2036" s="467"/>
      <c r="AH2036" s="6"/>
    </row>
    <row r="2037" spans="32:34" s="10" customFormat="1">
      <c r="AF2037" s="467"/>
      <c r="AG2037" s="467"/>
      <c r="AH2037" s="6"/>
    </row>
    <row r="2038" spans="32:34" s="10" customFormat="1">
      <c r="AF2038" s="467"/>
      <c r="AG2038" s="467"/>
      <c r="AH2038" s="6"/>
    </row>
    <row r="2039" spans="32:34" s="10" customFormat="1">
      <c r="AF2039" s="467"/>
      <c r="AG2039" s="467"/>
      <c r="AH2039" s="6"/>
    </row>
    <row r="2040" spans="32:34" s="10" customFormat="1">
      <c r="AF2040" s="467"/>
      <c r="AG2040" s="467"/>
      <c r="AH2040" s="6"/>
    </row>
    <row r="2041" spans="32:34" s="10" customFormat="1">
      <c r="AF2041" s="467"/>
      <c r="AG2041" s="467"/>
      <c r="AH2041" s="6"/>
    </row>
    <row r="2042" spans="32:34" s="10" customFormat="1">
      <c r="AF2042" s="467"/>
      <c r="AG2042" s="467"/>
      <c r="AH2042" s="6"/>
    </row>
    <row r="2043" spans="32:34" s="10" customFormat="1">
      <c r="AF2043" s="467"/>
      <c r="AG2043" s="467"/>
      <c r="AH2043" s="6"/>
    </row>
    <row r="2044" spans="32:34" s="10" customFormat="1">
      <c r="AF2044" s="467"/>
      <c r="AG2044" s="467"/>
      <c r="AH2044" s="6"/>
    </row>
    <row r="2045" spans="32:34" s="10" customFormat="1">
      <c r="AF2045" s="467"/>
      <c r="AG2045" s="467"/>
      <c r="AH2045" s="6"/>
    </row>
    <row r="2046" spans="32:34" s="10" customFormat="1">
      <c r="AF2046" s="467"/>
      <c r="AG2046" s="467"/>
      <c r="AH2046" s="6"/>
    </row>
    <row r="2047" spans="32:34" s="10" customFormat="1">
      <c r="AF2047" s="467"/>
      <c r="AG2047" s="467"/>
      <c r="AH2047" s="6"/>
    </row>
    <row r="2048" spans="32:34" s="10" customFormat="1">
      <c r="AF2048" s="467"/>
      <c r="AG2048" s="467"/>
      <c r="AH2048" s="6"/>
    </row>
    <row r="2049" spans="32:34" s="10" customFormat="1">
      <c r="AF2049" s="467"/>
      <c r="AG2049" s="467"/>
      <c r="AH2049" s="6"/>
    </row>
    <row r="2050" spans="32:34" s="10" customFormat="1">
      <c r="AF2050" s="467"/>
      <c r="AG2050" s="467"/>
      <c r="AH2050" s="6"/>
    </row>
    <row r="2051" spans="32:34" s="10" customFormat="1">
      <c r="AF2051" s="467"/>
      <c r="AG2051" s="467"/>
      <c r="AH2051" s="6"/>
    </row>
    <row r="2052" spans="32:34" s="10" customFormat="1">
      <c r="AF2052" s="467"/>
      <c r="AG2052" s="467"/>
      <c r="AH2052" s="6"/>
    </row>
    <row r="2053" spans="32:34" s="10" customFormat="1">
      <c r="AF2053" s="467"/>
      <c r="AG2053" s="467"/>
      <c r="AH2053" s="6"/>
    </row>
    <row r="2054" spans="32:34" s="10" customFormat="1">
      <c r="AF2054" s="467"/>
      <c r="AG2054" s="467"/>
      <c r="AH2054" s="6"/>
    </row>
    <row r="2055" spans="32:34" s="10" customFormat="1">
      <c r="AF2055" s="467"/>
      <c r="AG2055" s="467"/>
      <c r="AH2055" s="6"/>
    </row>
    <row r="2056" spans="32:34" s="10" customFormat="1">
      <c r="AF2056" s="467"/>
      <c r="AG2056" s="467"/>
      <c r="AH2056" s="6"/>
    </row>
    <row r="2057" spans="32:34" s="10" customFormat="1">
      <c r="AF2057" s="467"/>
      <c r="AG2057" s="467"/>
      <c r="AH2057" s="6"/>
    </row>
    <row r="2058" spans="32:34" s="10" customFormat="1">
      <c r="AF2058" s="467"/>
      <c r="AG2058" s="467"/>
      <c r="AH2058" s="6"/>
    </row>
    <row r="2059" spans="32:34" s="10" customFormat="1">
      <c r="AF2059" s="467"/>
      <c r="AG2059" s="467"/>
      <c r="AH2059" s="6"/>
    </row>
    <row r="2060" spans="32:34" s="10" customFormat="1">
      <c r="AF2060" s="467"/>
      <c r="AG2060" s="467"/>
      <c r="AH2060" s="6"/>
    </row>
    <row r="2061" spans="32:34" s="10" customFormat="1">
      <c r="AF2061" s="467"/>
      <c r="AG2061" s="467"/>
      <c r="AH2061" s="6"/>
    </row>
    <row r="2062" spans="32:34" s="10" customFormat="1">
      <c r="AF2062" s="467"/>
      <c r="AG2062" s="467"/>
      <c r="AH2062" s="6"/>
    </row>
    <row r="2063" spans="32:34" s="10" customFormat="1">
      <c r="AF2063" s="467"/>
      <c r="AG2063" s="467"/>
      <c r="AH2063" s="6"/>
    </row>
    <row r="2064" spans="32:34" s="10" customFormat="1">
      <c r="AF2064" s="467"/>
      <c r="AG2064" s="467"/>
      <c r="AH2064" s="6"/>
    </row>
    <row r="2065" spans="32:34" s="10" customFormat="1">
      <c r="AF2065" s="467"/>
      <c r="AG2065" s="467"/>
      <c r="AH2065" s="6"/>
    </row>
    <row r="2066" spans="32:34" s="10" customFormat="1">
      <c r="AF2066" s="467"/>
      <c r="AG2066" s="467"/>
      <c r="AH2066" s="6"/>
    </row>
    <row r="2067" spans="32:34" s="10" customFormat="1">
      <c r="AF2067" s="467"/>
      <c r="AG2067" s="467"/>
      <c r="AH2067" s="6"/>
    </row>
    <row r="2068" spans="32:34" s="10" customFormat="1">
      <c r="AF2068" s="467"/>
      <c r="AG2068" s="467"/>
      <c r="AH2068" s="6"/>
    </row>
    <row r="2069" spans="32:34" s="10" customFormat="1">
      <c r="AF2069" s="467"/>
      <c r="AG2069" s="467"/>
      <c r="AH2069" s="6"/>
    </row>
    <row r="2070" spans="32:34" s="10" customFormat="1">
      <c r="AF2070" s="467"/>
      <c r="AG2070" s="467"/>
      <c r="AH2070" s="6"/>
    </row>
    <row r="2071" spans="32:34" s="10" customFormat="1">
      <c r="AF2071" s="467"/>
      <c r="AG2071" s="467"/>
      <c r="AH2071" s="6"/>
    </row>
    <row r="2072" spans="32:34" s="10" customFormat="1">
      <c r="AF2072" s="467"/>
      <c r="AG2072" s="467"/>
      <c r="AH2072" s="6"/>
    </row>
    <row r="2073" spans="32:34" s="10" customFormat="1">
      <c r="AF2073" s="467"/>
      <c r="AG2073" s="467"/>
      <c r="AH2073" s="6"/>
    </row>
    <row r="2074" spans="32:34" s="10" customFormat="1">
      <c r="AF2074" s="467"/>
      <c r="AG2074" s="467"/>
      <c r="AH2074" s="6"/>
    </row>
    <row r="2075" spans="32:34" s="10" customFormat="1">
      <c r="AF2075" s="467"/>
      <c r="AG2075" s="467"/>
      <c r="AH2075" s="6"/>
    </row>
    <row r="2076" spans="32:34" s="10" customFormat="1">
      <c r="AF2076" s="467"/>
      <c r="AG2076" s="467"/>
      <c r="AH2076" s="6"/>
    </row>
    <row r="2077" spans="32:34" s="10" customFormat="1">
      <c r="AF2077" s="467"/>
      <c r="AG2077" s="467"/>
      <c r="AH2077" s="6"/>
    </row>
    <row r="2078" spans="32:34" s="10" customFormat="1">
      <c r="AF2078" s="467"/>
      <c r="AG2078" s="467"/>
      <c r="AH2078" s="6"/>
    </row>
    <row r="2079" spans="32:34" s="10" customFormat="1">
      <c r="AF2079" s="467"/>
      <c r="AG2079" s="467"/>
      <c r="AH2079" s="6"/>
    </row>
    <row r="2080" spans="32:34" s="10" customFormat="1">
      <c r="AF2080" s="467"/>
      <c r="AG2080" s="467"/>
      <c r="AH2080" s="6"/>
    </row>
    <row r="2081" spans="32:34" s="10" customFormat="1">
      <c r="AF2081" s="467"/>
      <c r="AG2081" s="467"/>
      <c r="AH2081" s="6"/>
    </row>
    <row r="2082" spans="32:34" s="10" customFormat="1">
      <c r="AF2082" s="467"/>
      <c r="AG2082" s="467"/>
      <c r="AH2082" s="6"/>
    </row>
    <row r="2083" spans="32:34" s="10" customFormat="1">
      <c r="AF2083" s="467"/>
      <c r="AG2083" s="467"/>
      <c r="AH2083" s="6"/>
    </row>
    <row r="2084" spans="32:34" s="10" customFormat="1">
      <c r="AF2084" s="467"/>
      <c r="AG2084" s="467"/>
      <c r="AH2084" s="6"/>
    </row>
    <row r="2085" spans="32:34" s="10" customFormat="1">
      <c r="AF2085" s="467"/>
      <c r="AG2085" s="467"/>
      <c r="AH2085" s="6"/>
    </row>
    <row r="2086" spans="32:34" s="10" customFormat="1">
      <c r="AF2086" s="467"/>
      <c r="AG2086" s="467"/>
      <c r="AH2086" s="6"/>
    </row>
    <row r="2087" spans="32:34" s="10" customFormat="1">
      <c r="AF2087" s="467"/>
      <c r="AG2087" s="467"/>
      <c r="AH2087" s="6"/>
    </row>
    <row r="2088" spans="32:34" s="10" customFormat="1">
      <c r="AF2088" s="467"/>
      <c r="AG2088" s="467"/>
      <c r="AH2088" s="6"/>
    </row>
    <row r="2089" spans="32:34" s="10" customFormat="1">
      <c r="AF2089" s="467"/>
      <c r="AG2089" s="467"/>
      <c r="AH2089" s="6"/>
    </row>
    <row r="2090" spans="32:34" s="10" customFormat="1">
      <c r="AF2090" s="467"/>
      <c r="AG2090" s="467"/>
      <c r="AH2090" s="6"/>
    </row>
    <row r="2091" spans="32:34" s="10" customFormat="1">
      <c r="AF2091" s="467"/>
      <c r="AG2091" s="467"/>
      <c r="AH2091" s="6"/>
    </row>
    <row r="2092" spans="32:34" s="10" customFormat="1">
      <c r="AF2092" s="467"/>
      <c r="AG2092" s="467"/>
      <c r="AH2092" s="6"/>
    </row>
    <row r="2093" spans="32:34" s="10" customFormat="1">
      <c r="AF2093" s="467"/>
      <c r="AG2093" s="467"/>
      <c r="AH2093" s="6"/>
    </row>
    <row r="2094" spans="32:34" s="10" customFormat="1">
      <c r="AF2094" s="467"/>
      <c r="AG2094" s="467"/>
      <c r="AH2094" s="6"/>
    </row>
    <row r="2095" spans="32:34" s="10" customFormat="1">
      <c r="AF2095" s="467"/>
      <c r="AG2095" s="467"/>
      <c r="AH2095" s="6"/>
    </row>
    <row r="2096" spans="32:34" s="10" customFormat="1">
      <c r="AF2096" s="467"/>
      <c r="AG2096" s="467"/>
      <c r="AH2096" s="6"/>
    </row>
    <row r="2097" spans="32:34" s="10" customFormat="1">
      <c r="AF2097" s="467"/>
      <c r="AG2097" s="467"/>
      <c r="AH2097" s="6"/>
    </row>
    <row r="2098" spans="32:34" s="10" customFormat="1">
      <c r="AF2098" s="467"/>
      <c r="AG2098" s="467"/>
      <c r="AH2098" s="6"/>
    </row>
    <row r="2099" spans="32:34" s="10" customFormat="1">
      <c r="AF2099" s="467"/>
      <c r="AG2099" s="467"/>
      <c r="AH2099" s="6"/>
    </row>
    <row r="2100" spans="32:34" s="10" customFormat="1">
      <c r="AF2100" s="467"/>
      <c r="AG2100" s="467"/>
      <c r="AH2100" s="6"/>
    </row>
    <row r="2101" spans="32:34" s="10" customFormat="1">
      <c r="AF2101" s="467"/>
      <c r="AG2101" s="467"/>
      <c r="AH2101" s="6"/>
    </row>
    <row r="2102" spans="32:34" s="10" customFormat="1">
      <c r="AF2102" s="467"/>
      <c r="AG2102" s="467"/>
      <c r="AH2102" s="6"/>
    </row>
    <row r="2103" spans="32:34" s="10" customFormat="1">
      <c r="AF2103" s="467"/>
      <c r="AG2103" s="467"/>
      <c r="AH2103" s="6"/>
    </row>
    <row r="2104" spans="32:34" s="10" customFormat="1">
      <c r="AF2104" s="467"/>
      <c r="AG2104" s="467"/>
      <c r="AH2104" s="6"/>
    </row>
    <row r="2105" spans="32:34" s="10" customFormat="1">
      <c r="AF2105" s="467"/>
      <c r="AG2105" s="467"/>
      <c r="AH2105" s="6"/>
    </row>
    <row r="2106" spans="32:34" s="10" customFormat="1">
      <c r="AF2106" s="467"/>
      <c r="AG2106" s="467"/>
      <c r="AH2106" s="6"/>
    </row>
    <row r="2107" spans="32:34" s="10" customFormat="1">
      <c r="AF2107" s="467"/>
      <c r="AG2107" s="467"/>
      <c r="AH2107" s="6"/>
    </row>
    <row r="2108" spans="32:34" s="10" customFormat="1">
      <c r="AF2108" s="467"/>
      <c r="AG2108" s="467"/>
      <c r="AH2108" s="6"/>
    </row>
    <row r="2109" spans="32:34" s="10" customFormat="1">
      <c r="AF2109" s="467"/>
      <c r="AG2109" s="467"/>
      <c r="AH2109" s="6"/>
    </row>
    <row r="2110" spans="32:34" s="10" customFormat="1">
      <c r="AF2110" s="467"/>
      <c r="AG2110" s="467"/>
      <c r="AH2110" s="6"/>
    </row>
    <row r="2111" spans="32:34" s="10" customFormat="1">
      <c r="AF2111" s="467"/>
      <c r="AG2111" s="467"/>
      <c r="AH2111" s="6"/>
    </row>
    <row r="2112" spans="32:34" s="10" customFormat="1">
      <c r="AF2112" s="467"/>
      <c r="AG2112" s="467"/>
      <c r="AH2112" s="6"/>
    </row>
    <row r="2113" spans="32:34" s="10" customFormat="1">
      <c r="AF2113" s="467"/>
      <c r="AG2113" s="467"/>
      <c r="AH2113" s="6"/>
    </row>
    <row r="2114" spans="32:34" s="10" customFormat="1">
      <c r="AF2114" s="467"/>
      <c r="AG2114" s="467"/>
      <c r="AH2114" s="6"/>
    </row>
    <row r="2115" spans="32:34" s="10" customFormat="1">
      <c r="AF2115" s="467"/>
      <c r="AG2115" s="467"/>
      <c r="AH2115" s="6"/>
    </row>
    <row r="2116" spans="32:34" s="10" customFormat="1">
      <c r="AF2116" s="467"/>
      <c r="AG2116" s="467"/>
      <c r="AH2116" s="6"/>
    </row>
    <row r="2117" spans="32:34" s="10" customFormat="1">
      <c r="AF2117" s="467"/>
      <c r="AG2117" s="467"/>
      <c r="AH2117" s="6"/>
    </row>
    <row r="2118" spans="32:34" s="10" customFormat="1">
      <c r="AF2118" s="467"/>
      <c r="AG2118" s="467"/>
      <c r="AH2118" s="6"/>
    </row>
    <row r="2119" spans="32:34" s="10" customFormat="1">
      <c r="AF2119" s="467"/>
      <c r="AG2119" s="467"/>
      <c r="AH2119" s="6"/>
    </row>
    <row r="2120" spans="32:34" s="10" customFormat="1">
      <c r="AF2120" s="467"/>
      <c r="AG2120" s="467"/>
      <c r="AH2120" s="6"/>
    </row>
    <row r="2121" spans="32:34" s="10" customFormat="1">
      <c r="AF2121" s="467"/>
      <c r="AG2121" s="467"/>
      <c r="AH2121" s="6"/>
    </row>
    <row r="2122" spans="32:34" s="10" customFormat="1">
      <c r="AF2122" s="467"/>
      <c r="AG2122" s="467"/>
      <c r="AH2122" s="6"/>
    </row>
    <row r="2123" spans="32:34" s="10" customFormat="1">
      <c r="AF2123" s="467"/>
      <c r="AG2123" s="467"/>
      <c r="AH2123" s="6"/>
    </row>
    <row r="2124" spans="32:34" s="10" customFormat="1">
      <c r="AF2124" s="467"/>
      <c r="AG2124" s="467"/>
      <c r="AH2124" s="6"/>
    </row>
    <row r="2125" spans="32:34" s="10" customFormat="1">
      <c r="AF2125" s="467"/>
      <c r="AG2125" s="467"/>
      <c r="AH2125" s="6"/>
    </row>
    <row r="2126" spans="32:34" s="10" customFormat="1">
      <c r="AF2126" s="467"/>
      <c r="AG2126" s="467"/>
      <c r="AH2126" s="6"/>
    </row>
    <row r="2127" spans="32:34" s="10" customFormat="1">
      <c r="AF2127" s="467"/>
      <c r="AG2127" s="467"/>
      <c r="AH2127" s="6"/>
    </row>
    <row r="2128" spans="32:34" s="10" customFormat="1">
      <c r="AF2128" s="467"/>
      <c r="AG2128" s="467"/>
      <c r="AH2128" s="6"/>
    </row>
    <row r="2129" spans="32:34" s="10" customFormat="1">
      <c r="AF2129" s="467"/>
      <c r="AG2129" s="467"/>
      <c r="AH2129" s="6"/>
    </row>
    <row r="2130" spans="32:34" s="10" customFormat="1">
      <c r="AF2130" s="467"/>
      <c r="AG2130" s="467"/>
      <c r="AH2130" s="6"/>
    </row>
    <row r="2131" spans="32:34" s="10" customFormat="1">
      <c r="AF2131" s="467"/>
      <c r="AG2131" s="467"/>
      <c r="AH2131" s="6"/>
    </row>
    <row r="2132" spans="32:34" s="10" customFormat="1">
      <c r="AF2132" s="467"/>
      <c r="AG2132" s="467"/>
      <c r="AH2132" s="6"/>
    </row>
    <row r="2133" spans="32:34" s="10" customFormat="1">
      <c r="AF2133" s="467"/>
      <c r="AG2133" s="467"/>
      <c r="AH2133" s="6"/>
    </row>
    <row r="2134" spans="32:34" s="10" customFormat="1">
      <c r="AF2134" s="467"/>
      <c r="AG2134" s="467"/>
      <c r="AH2134" s="6"/>
    </row>
    <row r="2135" spans="32:34" s="10" customFormat="1">
      <c r="AF2135" s="467"/>
      <c r="AG2135" s="467"/>
      <c r="AH2135" s="6"/>
    </row>
    <row r="2136" spans="32:34" s="10" customFormat="1">
      <c r="AF2136" s="467"/>
      <c r="AG2136" s="467"/>
      <c r="AH2136" s="6"/>
    </row>
    <row r="2137" spans="32:34" s="10" customFormat="1">
      <c r="AF2137" s="467"/>
      <c r="AG2137" s="467"/>
      <c r="AH2137" s="6"/>
    </row>
    <row r="2138" spans="32:34" s="10" customFormat="1">
      <c r="AF2138" s="467"/>
      <c r="AG2138" s="467"/>
      <c r="AH2138" s="6"/>
    </row>
    <row r="2139" spans="32:34" s="10" customFormat="1">
      <c r="AF2139" s="467"/>
      <c r="AG2139" s="467"/>
      <c r="AH2139" s="6"/>
    </row>
    <row r="2140" spans="32:34" s="10" customFormat="1">
      <c r="AF2140" s="467"/>
      <c r="AG2140" s="467"/>
      <c r="AH2140" s="6"/>
    </row>
    <row r="2141" spans="32:34" s="10" customFormat="1">
      <c r="AF2141" s="467"/>
      <c r="AG2141" s="467"/>
      <c r="AH2141" s="6"/>
    </row>
    <row r="2142" spans="32:34" s="10" customFormat="1">
      <c r="AF2142" s="467"/>
      <c r="AG2142" s="467"/>
      <c r="AH2142" s="6"/>
    </row>
    <row r="2143" spans="32:34" s="10" customFormat="1">
      <c r="AF2143" s="467"/>
      <c r="AG2143" s="467"/>
      <c r="AH2143" s="6"/>
    </row>
    <row r="2144" spans="32:34" s="10" customFormat="1">
      <c r="AF2144" s="467"/>
      <c r="AG2144" s="467"/>
      <c r="AH2144" s="6"/>
    </row>
    <row r="2145" spans="32:34" s="10" customFormat="1">
      <c r="AF2145" s="467"/>
      <c r="AG2145" s="467"/>
      <c r="AH2145" s="6"/>
    </row>
    <row r="2146" spans="32:34" s="10" customFormat="1">
      <c r="AF2146" s="467"/>
      <c r="AG2146" s="467"/>
      <c r="AH2146" s="6"/>
    </row>
    <row r="2147" spans="32:34" s="10" customFormat="1">
      <c r="AF2147" s="467"/>
      <c r="AG2147" s="467"/>
      <c r="AH2147" s="6"/>
    </row>
    <row r="2148" spans="32:34" s="10" customFormat="1">
      <c r="AF2148" s="467"/>
      <c r="AG2148" s="467"/>
      <c r="AH2148" s="6"/>
    </row>
    <row r="2149" spans="32:34" s="10" customFormat="1">
      <c r="AF2149" s="467"/>
      <c r="AG2149" s="467"/>
      <c r="AH2149" s="6"/>
    </row>
    <row r="2150" spans="32:34" s="10" customFormat="1">
      <c r="AF2150" s="467"/>
      <c r="AG2150" s="467"/>
      <c r="AH2150" s="6"/>
    </row>
    <row r="2151" spans="32:34" s="10" customFormat="1">
      <c r="AF2151" s="467"/>
      <c r="AG2151" s="467"/>
      <c r="AH2151" s="6"/>
    </row>
    <row r="2152" spans="32:34" s="10" customFormat="1">
      <c r="AF2152" s="467"/>
      <c r="AG2152" s="467"/>
      <c r="AH2152" s="6"/>
    </row>
    <row r="2153" spans="32:34" s="10" customFormat="1">
      <c r="AF2153" s="467"/>
      <c r="AG2153" s="467"/>
      <c r="AH2153" s="6"/>
    </row>
    <row r="2154" spans="32:34" s="10" customFormat="1">
      <c r="AF2154" s="467"/>
      <c r="AG2154" s="467"/>
      <c r="AH2154" s="6"/>
    </row>
    <row r="2155" spans="32:34" s="10" customFormat="1">
      <c r="AF2155" s="467"/>
      <c r="AG2155" s="467"/>
      <c r="AH2155" s="6"/>
    </row>
    <row r="2156" spans="32:34" s="10" customFormat="1">
      <c r="AF2156" s="467"/>
      <c r="AG2156" s="467"/>
      <c r="AH2156" s="6"/>
    </row>
    <row r="2157" spans="32:34" s="10" customFormat="1">
      <c r="AF2157" s="467"/>
      <c r="AG2157" s="467"/>
      <c r="AH2157" s="6"/>
    </row>
    <row r="2158" spans="32:34" s="10" customFormat="1">
      <c r="AF2158" s="467"/>
      <c r="AG2158" s="467"/>
      <c r="AH2158" s="6"/>
    </row>
    <row r="2159" spans="32:34" s="10" customFormat="1">
      <c r="AF2159" s="467"/>
      <c r="AG2159" s="467"/>
      <c r="AH2159" s="6"/>
    </row>
    <row r="2160" spans="32:34" s="10" customFormat="1">
      <c r="AF2160" s="467"/>
      <c r="AG2160" s="467"/>
      <c r="AH2160" s="6"/>
    </row>
    <row r="2161" spans="32:34" s="10" customFormat="1">
      <c r="AF2161" s="467"/>
      <c r="AG2161" s="467"/>
      <c r="AH2161" s="6"/>
    </row>
    <row r="2162" spans="32:34" s="10" customFormat="1">
      <c r="AF2162" s="467"/>
      <c r="AG2162" s="467"/>
      <c r="AH2162" s="6"/>
    </row>
    <row r="2163" spans="32:34" s="10" customFormat="1">
      <c r="AF2163" s="467"/>
      <c r="AG2163" s="467"/>
      <c r="AH2163" s="6"/>
    </row>
    <row r="2164" spans="32:34" s="10" customFormat="1">
      <c r="AF2164" s="467"/>
      <c r="AG2164" s="467"/>
      <c r="AH2164" s="6"/>
    </row>
    <row r="2165" spans="32:34" s="10" customFormat="1">
      <c r="AF2165" s="467"/>
      <c r="AG2165" s="467"/>
      <c r="AH2165" s="6"/>
    </row>
    <row r="2166" spans="32:34" s="10" customFormat="1">
      <c r="AF2166" s="467"/>
      <c r="AG2166" s="467"/>
      <c r="AH2166" s="6"/>
    </row>
    <row r="2167" spans="32:34" s="10" customFormat="1">
      <c r="AF2167" s="467"/>
      <c r="AG2167" s="467"/>
      <c r="AH2167" s="6"/>
    </row>
    <row r="2168" spans="32:34" s="10" customFormat="1">
      <c r="AF2168" s="467"/>
      <c r="AG2168" s="467"/>
      <c r="AH2168" s="6"/>
    </row>
    <row r="2169" spans="32:34" s="10" customFormat="1">
      <c r="AF2169" s="467"/>
      <c r="AG2169" s="467"/>
      <c r="AH2169" s="6"/>
    </row>
    <row r="2170" spans="32:34" s="10" customFormat="1">
      <c r="AF2170" s="467"/>
      <c r="AG2170" s="467"/>
      <c r="AH2170" s="6"/>
    </row>
    <row r="2171" spans="32:34" s="10" customFormat="1">
      <c r="AF2171" s="467"/>
      <c r="AG2171" s="467"/>
      <c r="AH2171" s="6"/>
    </row>
    <row r="2172" spans="32:34" s="10" customFormat="1">
      <c r="AF2172" s="467"/>
      <c r="AG2172" s="467"/>
      <c r="AH2172" s="6"/>
    </row>
    <row r="2173" spans="32:34" s="10" customFormat="1">
      <c r="AF2173" s="467"/>
      <c r="AG2173" s="467"/>
      <c r="AH2173" s="6"/>
    </row>
    <row r="2174" spans="32:34" s="10" customFormat="1">
      <c r="AF2174" s="467"/>
      <c r="AG2174" s="467"/>
      <c r="AH2174" s="6"/>
    </row>
    <row r="2175" spans="32:34" s="10" customFormat="1">
      <c r="AF2175" s="467"/>
      <c r="AG2175" s="467"/>
      <c r="AH2175" s="6"/>
    </row>
    <row r="2176" spans="32:34" s="10" customFormat="1">
      <c r="AF2176" s="467"/>
      <c r="AG2176" s="467"/>
      <c r="AH2176" s="6"/>
    </row>
    <row r="2177" spans="32:34" s="10" customFormat="1">
      <c r="AF2177" s="467"/>
      <c r="AG2177" s="467"/>
      <c r="AH2177" s="6"/>
    </row>
    <row r="2178" spans="32:34" s="10" customFormat="1">
      <c r="AF2178" s="467"/>
      <c r="AG2178" s="467"/>
      <c r="AH2178" s="6"/>
    </row>
    <row r="2179" spans="32:34" s="10" customFormat="1">
      <c r="AF2179" s="467"/>
      <c r="AG2179" s="467"/>
      <c r="AH2179" s="6"/>
    </row>
    <row r="2180" spans="32:34" s="10" customFormat="1">
      <c r="AF2180" s="467"/>
      <c r="AG2180" s="467"/>
      <c r="AH2180" s="6"/>
    </row>
    <row r="2181" spans="32:34" s="10" customFormat="1">
      <c r="AF2181" s="467"/>
      <c r="AG2181" s="467"/>
      <c r="AH2181" s="6"/>
    </row>
    <row r="2182" spans="32:34" s="10" customFormat="1">
      <c r="AF2182" s="467"/>
      <c r="AG2182" s="467"/>
      <c r="AH2182" s="6"/>
    </row>
    <row r="2183" spans="32:34" s="10" customFormat="1">
      <c r="AF2183" s="467"/>
      <c r="AG2183" s="467"/>
      <c r="AH2183" s="6"/>
    </row>
    <row r="2184" spans="32:34" s="10" customFormat="1">
      <c r="AF2184" s="467"/>
      <c r="AG2184" s="467"/>
      <c r="AH2184" s="6"/>
    </row>
    <row r="2185" spans="32:34" s="10" customFormat="1">
      <c r="AF2185" s="467"/>
      <c r="AG2185" s="467"/>
      <c r="AH2185" s="6"/>
    </row>
    <row r="2186" spans="32:34" s="10" customFormat="1">
      <c r="AF2186" s="467"/>
      <c r="AG2186" s="467"/>
      <c r="AH2186" s="6"/>
    </row>
    <row r="2187" spans="32:34" s="10" customFormat="1">
      <c r="AF2187" s="467"/>
      <c r="AG2187" s="467"/>
      <c r="AH2187" s="6"/>
    </row>
    <row r="2188" spans="32:34" s="10" customFormat="1">
      <c r="AF2188" s="467"/>
      <c r="AG2188" s="467"/>
      <c r="AH2188" s="6"/>
    </row>
    <row r="2189" spans="32:34" s="10" customFormat="1">
      <c r="AF2189" s="467"/>
      <c r="AG2189" s="467"/>
      <c r="AH2189" s="6"/>
    </row>
    <row r="2190" spans="32:34" s="10" customFormat="1">
      <c r="AF2190" s="467"/>
      <c r="AG2190" s="467"/>
      <c r="AH2190" s="6"/>
    </row>
    <row r="2191" spans="32:34" s="10" customFormat="1">
      <c r="AF2191" s="467"/>
      <c r="AG2191" s="467"/>
      <c r="AH2191" s="6"/>
    </row>
    <row r="2192" spans="32:34" s="10" customFormat="1">
      <c r="AF2192" s="467"/>
      <c r="AG2192" s="467"/>
      <c r="AH2192" s="6"/>
    </row>
    <row r="2193" spans="32:34" s="10" customFormat="1">
      <c r="AF2193" s="467"/>
      <c r="AG2193" s="467"/>
      <c r="AH2193" s="6"/>
    </row>
    <row r="2194" spans="32:34" s="10" customFormat="1">
      <c r="AF2194" s="467"/>
      <c r="AG2194" s="467"/>
      <c r="AH2194" s="6"/>
    </row>
    <row r="2195" spans="32:34" s="10" customFormat="1">
      <c r="AF2195" s="467"/>
      <c r="AG2195" s="467"/>
      <c r="AH2195" s="6"/>
    </row>
    <row r="2196" spans="32:34" s="10" customFormat="1">
      <c r="AF2196" s="467"/>
      <c r="AG2196" s="467"/>
      <c r="AH2196" s="6"/>
    </row>
    <row r="2197" spans="32:34" s="10" customFormat="1">
      <c r="AF2197" s="467"/>
      <c r="AG2197" s="467"/>
      <c r="AH2197" s="6"/>
    </row>
    <row r="2198" spans="32:34" s="10" customFormat="1">
      <c r="AF2198" s="467"/>
      <c r="AG2198" s="467"/>
      <c r="AH2198" s="6"/>
    </row>
    <row r="2199" spans="32:34" s="10" customFormat="1">
      <c r="AF2199" s="467"/>
      <c r="AG2199" s="467"/>
      <c r="AH2199" s="6"/>
    </row>
    <row r="2200" spans="32:34" s="10" customFormat="1">
      <c r="AF2200" s="467"/>
      <c r="AG2200" s="467"/>
      <c r="AH2200" s="6"/>
    </row>
    <row r="2201" spans="32:34" s="10" customFormat="1">
      <c r="AF2201" s="467"/>
      <c r="AG2201" s="467"/>
      <c r="AH2201" s="6"/>
    </row>
    <row r="2202" spans="32:34" s="10" customFormat="1">
      <c r="AF2202" s="467"/>
      <c r="AG2202" s="467"/>
      <c r="AH2202" s="6"/>
    </row>
    <row r="2203" spans="32:34" s="10" customFormat="1">
      <c r="AF2203" s="467"/>
      <c r="AG2203" s="467"/>
      <c r="AH2203" s="6"/>
    </row>
    <row r="2204" spans="32:34" s="10" customFormat="1">
      <c r="AF2204" s="467"/>
      <c r="AG2204" s="467"/>
      <c r="AH2204" s="6"/>
    </row>
    <row r="2205" spans="32:34" s="10" customFormat="1">
      <c r="AF2205" s="467"/>
      <c r="AG2205" s="467"/>
      <c r="AH2205" s="6"/>
    </row>
    <row r="2206" spans="32:34" s="10" customFormat="1">
      <c r="AF2206" s="467"/>
      <c r="AG2206" s="467"/>
      <c r="AH2206" s="6"/>
    </row>
    <row r="2207" spans="32:34" s="10" customFormat="1">
      <c r="AF2207" s="467"/>
      <c r="AG2207" s="467"/>
      <c r="AH2207" s="6"/>
    </row>
    <row r="2208" spans="32:34" s="10" customFormat="1">
      <c r="AF2208" s="467"/>
      <c r="AG2208" s="467"/>
      <c r="AH2208" s="6"/>
    </row>
    <row r="2209" spans="32:34" s="10" customFormat="1">
      <c r="AF2209" s="467"/>
      <c r="AG2209" s="467"/>
      <c r="AH2209" s="6"/>
    </row>
    <row r="2210" spans="32:34" s="10" customFormat="1">
      <c r="AF2210" s="467"/>
      <c r="AG2210" s="467"/>
      <c r="AH2210" s="6"/>
    </row>
    <row r="2211" spans="32:34" s="10" customFormat="1">
      <c r="AF2211" s="467"/>
      <c r="AG2211" s="467"/>
      <c r="AH2211" s="6"/>
    </row>
    <row r="2212" spans="32:34" s="10" customFormat="1">
      <c r="AF2212" s="467"/>
      <c r="AG2212" s="467"/>
      <c r="AH2212" s="6"/>
    </row>
    <row r="2213" spans="32:34" s="10" customFormat="1">
      <c r="AF2213" s="467"/>
      <c r="AG2213" s="467"/>
      <c r="AH2213" s="6"/>
    </row>
    <row r="2214" spans="32:34" s="10" customFormat="1">
      <c r="AF2214" s="467"/>
      <c r="AG2214" s="467"/>
      <c r="AH2214" s="6"/>
    </row>
    <row r="2215" spans="32:34" s="10" customFormat="1">
      <c r="AF2215" s="467"/>
      <c r="AG2215" s="467"/>
      <c r="AH2215" s="6"/>
    </row>
    <row r="2216" spans="32:34" s="10" customFormat="1">
      <c r="AF2216" s="467"/>
      <c r="AG2216" s="467"/>
      <c r="AH2216" s="6"/>
    </row>
    <row r="2217" spans="32:34" s="10" customFormat="1">
      <c r="AF2217" s="467"/>
      <c r="AG2217" s="467"/>
      <c r="AH2217" s="6"/>
    </row>
    <row r="2218" spans="32:34" s="10" customFormat="1">
      <c r="AF2218" s="467"/>
      <c r="AG2218" s="467"/>
      <c r="AH2218" s="6"/>
    </row>
    <row r="2219" spans="32:34" s="10" customFormat="1">
      <c r="AF2219" s="467"/>
      <c r="AG2219" s="467"/>
      <c r="AH2219" s="6"/>
    </row>
    <row r="2220" spans="32:34" s="10" customFormat="1">
      <c r="AF2220" s="467"/>
      <c r="AG2220" s="467"/>
      <c r="AH2220" s="6"/>
    </row>
    <row r="2221" spans="32:34" s="10" customFormat="1">
      <c r="AF2221" s="467"/>
      <c r="AG2221" s="467"/>
      <c r="AH2221" s="6"/>
    </row>
    <row r="2222" spans="32:34" s="10" customFormat="1">
      <c r="AF2222" s="467"/>
      <c r="AG2222" s="467"/>
      <c r="AH2222" s="6"/>
    </row>
    <row r="2223" spans="32:34" s="10" customFormat="1">
      <c r="AF2223" s="467"/>
      <c r="AG2223" s="467"/>
      <c r="AH2223" s="6"/>
    </row>
    <row r="2224" spans="32:34" s="10" customFormat="1">
      <c r="AF2224" s="467"/>
      <c r="AG2224" s="467"/>
      <c r="AH2224" s="6"/>
    </row>
    <row r="2225" spans="32:34" s="10" customFormat="1">
      <c r="AF2225" s="467"/>
      <c r="AG2225" s="467"/>
      <c r="AH2225" s="6"/>
    </row>
    <row r="2226" spans="32:34" s="10" customFormat="1">
      <c r="AF2226" s="467"/>
      <c r="AG2226" s="467"/>
      <c r="AH2226" s="6"/>
    </row>
    <row r="2227" spans="32:34" s="10" customFormat="1">
      <c r="AF2227" s="467"/>
      <c r="AG2227" s="467"/>
      <c r="AH2227" s="6"/>
    </row>
    <row r="2228" spans="32:34" s="10" customFormat="1">
      <c r="AF2228" s="467"/>
      <c r="AG2228" s="467"/>
      <c r="AH2228" s="6"/>
    </row>
    <row r="2229" spans="32:34" s="10" customFormat="1">
      <c r="AF2229" s="467"/>
      <c r="AG2229" s="467"/>
      <c r="AH2229" s="6"/>
    </row>
    <row r="2230" spans="32:34" s="10" customFormat="1">
      <c r="AF2230" s="467"/>
      <c r="AG2230" s="467"/>
      <c r="AH2230" s="6"/>
    </row>
    <row r="2231" spans="32:34" s="10" customFormat="1">
      <c r="AF2231" s="467"/>
      <c r="AG2231" s="467"/>
      <c r="AH2231" s="6"/>
    </row>
    <row r="2232" spans="32:34" s="10" customFormat="1">
      <c r="AF2232" s="467"/>
      <c r="AG2232" s="467"/>
      <c r="AH2232" s="6"/>
    </row>
    <row r="2233" spans="32:34" s="10" customFormat="1">
      <c r="AF2233" s="467"/>
      <c r="AG2233" s="467"/>
      <c r="AH2233" s="6"/>
    </row>
    <row r="2234" spans="32:34" s="10" customFormat="1">
      <c r="AF2234" s="467"/>
      <c r="AG2234" s="467"/>
      <c r="AH2234" s="6"/>
    </row>
    <row r="2235" spans="32:34" s="10" customFormat="1">
      <c r="AF2235" s="467"/>
      <c r="AG2235" s="467"/>
      <c r="AH2235" s="6"/>
    </row>
    <row r="2236" spans="32:34" s="10" customFormat="1">
      <c r="AF2236" s="467"/>
      <c r="AG2236" s="467"/>
      <c r="AH2236" s="6"/>
    </row>
    <row r="2237" spans="32:34" s="10" customFormat="1">
      <c r="AF2237" s="467"/>
      <c r="AG2237" s="467"/>
      <c r="AH2237" s="6"/>
    </row>
    <row r="2238" spans="32:34" s="10" customFormat="1">
      <c r="AF2238" s="467"/>
      <c r="AG2238" s="467"/>
      <c r="AH2238" s="6"/>
    </row>
    <row r="2239" spans="32:34" s="10" customFormat="1">
      <c r="AF2239" s="467"/>
      <c r="AG2239" s="467"/>
      <c r="AH2239" s="6"/>
    </row>
    <row r="2240" spans="32:34" s="10" customFormat="1">
      <c r="AF2240" s="467"/>
      <c r="AG2240" s="467"/>
      <c r="AH2240" s="6"/>
    </row>
    <row r="2241" spans="32:34" s="10" customFormat="1">
      <c r="AF2241" s="467"/>
      <c r="AG2241" s="467"/>
      <c r="AH2241" s="6"/>
    </row>
    <row r="2242" spans="32:34" s="10" customFormat="1">
      <c r="AF2242" s="467"/>
      <c r="AG2242" s="467"/>
      <c r="AH2242" s="6"/>
    </row>
    <row r="2243" spans="32:34" s="10" customFormat="1">
      <c r="AF2243" s="467"/>
      <c r="AG2243" s="467"/>
      <c r="AH2243" s="6"/>
    </row>
    <row r="2244" spans="32:34" s="10" customFormat="1">
      <c r="AF2244" s="467"/>
      <c r="AG2244" s="467"/>
      <c r="AH2244" s="6"/>
    </row>
    <row r="2245" spans="32:34" s="10" customFormat="1">
      <c r="AF2245" s="467"/>
      <c r="AG2245" s="467"/>
      <c r="AH2245" s="6"/>
    </row>
    <row r="2246" spans="32:34" s="10" customFormat="1">
      <c r="AF2246" s="467"/>
      <c r="AG2246" s="467"/>
      <c r="AH2246" s="6"/>
    </row>
    <row r="2247" spans="32:34" s="10" customFormat="1">
      <c r="AF2247" s="467"/>
      <c r="AG2247" s="467"/>
      <c r="AH2247" s="6"/>
    </row>
    <row r="2248" spans="32:34" s="10" customFormat="1">
      <c r="AF2248" s="467"/>
      <c r="AG2248" s="467"/>
      <c r="AH2248" s="6"/>
    </row>
    <row r="2249" spans="32:34" s="10" customFormat="1">
      <c r="AF2249" s="467"/>
      <c r="AG2249" s="467"/>
      <c r="AH2249" s="6"/>
    </row>
    <row r="2250" spans="32:34" s="10" customFormat="1">
      <c r="AF2250" s="467"/>
      <c r="AG2250" s="467"/>
      <c r="AH2250" s="6"/>
    </row>
    <row r="2251" spans="32:34" s="10" customFormat="1">
      <c r="AF2251" s="467"/>
      <c r="AG2251" s="467"/>
      <c r="AH2251" s="6"/>
    </row>
    <row r="2252" spans="32:34" s="10" customFormat="1">
      <c r="AF2252" s="467"/>
      <c r="AG2252" s="467"/>
      <c r="AH2252" s="6"/>
    </row>
    <row r="2253" spans="32:34" s="10" customFormat="1">
      <c r="AF2253" s="467"/>
      <c r="AG2253" s="467"/>
      <c r="AH2253" s="6"/>
    </row>
    <row r="2254" spans="32:34" s="10" customFormat="1">
      <c r="AF2254" s="467"/>
      <c r="AG2254" s="467"/>
      <c r="AH2254" s="6"/>
    </row>
    <row r="2255" spans="32:34" s="10" customFormat="1">
      <c r="AF2255" s="467"/>
      <c r="AG2255" s="467"/>
      <c r="AH2255" s="6"/>
    </row>
    <row r="2256" spans="32:34" s="10" customFormat="1">
      <c r="AF2256" s="467"/>
      <c r="AG2256" s="467"/>
      <c r="AH2256" s="6"/>
    </row>
    <row r="2257" spans="32:34" s="10" customFormat="1">
      <c r="AF2257" s="467"/>
      <c r="AG2257" s="467"/>
      <c r="AH2257" s="6"/>
    </row>
    <row r="2258" spans="32:34" s="10" customFormat="1">
      <c r="AF2258" s="467"/>
      <c r="AG2258" s="467"/>
      <c r="AH2258" s="6"/>
    </row>
    <row r="2259" spans="32:34" s="10" customFormat="1">
      <c r="AF2259" s="467"/>
      <c r="AG2259" s="467"/>
      <c r="AH2259" s="6"/>
    </row>
    <row r="2260" spans="32:34" s="10" customFormat="1">
      <c r="AF2260" s="467"/>
      <c r="AG2260" s="467"/>
      <c r="AH2260" s="6"/>
    </row>
    <row r="2261" spans="32:34" s="10" customFormat="1">
      <c r="AF2261" s="467"/>
      <c r="AG2261" s="467"/>
      <c r="AH2261" s="6"/>
    </row>
    <row r="2262" spans="32:34" s="10" customFormat="1">
      <c r="AF2262" s="467"/>
      <c r="AG2262" s="467"/>
      <c r="AH2262" s="6"/>
    </row>
    <row r="2263" spans="32:34" s="10" customFormat="1">
      <c r="AF2263" s="467"/>
      <c r="AG2263" s="467"/>
      <c r="AH2263" s="6"/>
    </row>
    <row r="2264" spans="32:34" s="10" customFormat="1">
      <c r="AF2264" s="467"/>
      <c r="AG2264" s="467"/>
      <c r="AH2264" s="6"/>
    </row>
    <row r="2265" spans="32:34" s="10" customFormat="1">
      <c r="AF2265" s="467"/>
      <c r="AG2265" s="467"/>
      <c r="AH2265" s="6"/>
    </row>
    <row r="2266" spans="32:34" s="10" customFormat="1">
      <c r="AF2266" s="467"/>
      <c r="AG2266" s="467"/>
      <c r="AH2266" s="6"/>
    </row>
    <row r="2267" spans="32:34" s="10" customFormat="1">
      <c r="AF2267" s="467"/>
      <c r="AG2267" s="467"/>
      <c r="AH2267" s="6"/>
    </row>
    <row r="2268" spans="32:34" s="10" customFormat="1">
      <c r="AF2268" s="467"/>
      <c r="AG2268" s="467"/>
      <c r="AH2268" s="6"/>
    </row>
    <row r="2269" spans="32:34" s="10" customFormat="1">
      <c r="AF2269" s="467"/>
      <c r="AG2269" s="467"/>
      <c r="AH2269" s="6"/>
    </row>
    <row r="2270" spans="32:34" s="10" customFormat="1">
      <c r="AF2270" s="467"/>
      <c r="AG2270" s="467"/>
      <c r="AH2270" s="6"/>
    </row>
    <row r="2271" spans="32:34" s="10" customFormat="1">
      <c r="AF2271" s="467"/>
      <c r="AG2271" s="467"/>
      <c r="AH2271" s="6"/>
    </row>
    <row r="2272" spans="32:34" s="10" customFormat="1">
      <c r="AF2272" s="467"/>
      <c r="AG2272" s="467"/>
      <c r="AH2272" s="6"/>
    </row>
    <row r="2273" spans="32:34" s="10" customFormat="1">
      <c r="AF2273" s="467"/>
      <c r="AG2273" s="467"/>
      <c r="AH2273" s="6"/>
    </row>
    <row r="2274" spans="32:34" s="10" customFormat="1">
      <c r="AF2274" s="467"/>
      <c r="AG2274" s="467"/>
      <c r="AH2274" s="6"/>
    </row>
    <row r="2275" spans="32:34" s="10" customFormat="1">
      <c r="AF2275" s="467"/>
      <c r="AG2275" s="467"/>
      <c r="AH2275" s="6"/>
    </row>
    <row r="2276" spans="32:34" s="10" customFormat="1">
      <c r="AF2276" s="467"/>
      <c r="AG2276" s="467"/>
      <c r="AH2276" s="6"/>
    </row>
    <row r="2277" spans="32:34" s="10" customFormat="1">
      <c r="AF2277" s="467"/>
      <c r="AG2277" s="467"/>
      <c r="AH2277" s="6"/>
    </row>
    <row r="2278" spans="32:34" s="10" customFormat="1">
      <c r="AF2278" s="467"/>
      <c r="AG2278" s="467"/>
      <c r="AH2278" s="6"/>
    </row>
    <row r="2279" spans="32:34" s="10" customFormat="1">
      <c r="AF2279" s="467"/>
      <c r="AG2279" s="467"/>
      <c r="AH2279" s="6"/>
    </row>
    <row r="2280" spans="32:34" s="10" customFormat="1">
      <c r="AF2280" s="467"/>
      <c r="AG2280" s="467"/>
      <c r="AH2280" s="6"/>
    </row>
    <row r="2281" spans="32:34" s="10" customFormat="1">
      <c r="AF2281" s="467"/>
      <c r="AG2281" s="467"/>
      <c r="AH2281" s="6"/>
    </row>
    <row r="2282" spans="32:34" s="10" customFormat="1">
      <c r="AF2282" s="467"/>
      <c r="AG2282" s="467"/>
      <c r="AH2282" s="6"/>
    </row>
    <row r="2283" spans="32:34" s="10" customFormat="1">
      <c r="AF2283" s="467"/>
      <c r="AG2283" s="467"/>
      <c r="AH2283" s="6"/>
    </row>
    <row r="2284" spans="32:34" s="10" customFormat="1">
      <c r="AF2284" s="467"/>
      <c r="AG2284" s="467"/>
      <c r="AH2284" s="6"/>
    </row>
    <row r="2285" spans="32:34" s="10" customFormat="1">
      <c r="AF2285" s="467"/>
      <c r="AG2285" s="467"/>
      <c r="AH2285" s="6"/>
    </row>
    <row r="2286" spans="32:34" s="10" customFormat="1">
      <c r="AF2286" s="467"/>
      <c r="AG2286" s="467"/>
      <c r="AH2286" s="6"/>
    </row>
    <row r="2287" spans="32:34" s="10" customFormat="1">
      <c r="AF2287" s="467"/>
      <c r="AG2287" s="467"/>
      <c r="AH2287" s="6"/>
    </row>
    <row r="2288" spans="32:34" s="10" customFormat="1">
      <c r="AF2288" s="467"/>
      <c r="AG2288" s="467"/>
      <c r="AH2288" s="6"/>
    </row>
    <row r="2289" spans="32:34" s="10" customFormat="1">
      <c r="AF2289" s="467"/>
      <c r="AG2289" s="467"/>
      <c r="AH2289" s="6"/>
    </row>
    <row r="2290" spans="32:34" s="10" customFormat="1">
      <c r="AF2290" s="467"/>
      <c r="AG2290" s="467"/>
      <c r="AH2290" s="6"/>
    </row>
    <row r="2291" spans="32:34" s="10" customFormat="1">
      <c r="AF2291" s="467"/>
      <c r="AG2291" s="467"/>
      <c r="AH2291" s="6"/>
    </row>
    <row r="2292" spans="32:34" s="10" customFormat="1">
      <c r="AF2292" s="467"/>
      <c r="AG2292" s="467"/>
      <c r="AH2292" s="6"/>
    </row>
    <row r="2293" spans="32:34" s="10" customFormat="1">
      <c r="AF2293" s="467"/>
      <c r="AG2293" s="467"/>
      <c r="AH2293" s="6"/>
    </row>
    <row r="2294" spans="32:34" s="10" customFormat="1">
      <c r="AF2294" s="467"/>
      <c r="AG2294" s="467"/>
      <c r="AH2294" s="6"/>
    </row>
    <row r="2295" spans="32:34" s="10" customFormat="1">
      <c r="AF2295" s="467"/>
      <c r="AG2295" s="467"/>
      <c r="AH2295" s="6"/>
    </row>
    <row r="2296" spans="32:34" s="10" customFormat="1">
      <c r="AF2296" s="467"/>
      <c r="AG2296" s="467"/>
      <c r="AH2296" s="6"/>
    </row>
    <row r="2297" spans="32:34" s="10" customFormat="1">
      <c r="AF2297" s="467"/>
      <c r="AG2297" s="467"/>
      <c r="AH2297" s="6"/>
    </row>
    <row r="2298" spans="32:34" s="10" customFormat="1">
      <c r="AF2298" s="467"/>
      <c r="AG2298" s="467"/>
      <c r="AH2298" s="6"/>
    </row>
    <row r="2299" spans="32:34" s="10" customFormat="1">
      <c r="AF2299" s="467"/>
      <c r="AG2299" s="467"/>
      <c r="AH2299" s="6"/>
    </row>
    <row r="2300" spans="32:34" s="10" customFormat="1">
      <c r="AF2300" s="467"/>
      <c r="AG2300" s="467"/>
      <c r="AH2300" s="6"/>
    </row>
    <row r="2301" spans="32:34" s="10" customFormat="1">
      <c r="AF2301" s="467"/>
      <c r="AG2301" s="467"/>
      <c r="AH2301" s="6"/>
    </row>
    <row r="2302" spans="32:34" s="10" customFormat="1">
      <c r="AF2302" s="467"/>
      <c r="AG2302" s="467"/>
      <c r="AH2302" s="6"/>
    </row>
    <row r="2303" spans="32:34" s="10" customFormat="1">
      <c r="AF2303" s="467"/>
      <c r="AG2303" s="467"/>
      <c r="AH2303" s="6"/>
    </row>
    <row r="2304" spans="32:34" s="10" customFormat="1">
      <c r="AF2304" s="467"/>
      <c r="AG2304" s="467"/>
      <c r="AH2304" s="6"/>
    </row>
    <row r="2305" spans="32:34" s="10" customFormat="1">
      <c r="AF2305" s="467"/>
      <c r="AG2305" s="467"/>
      <c r="AH2305" s="6"/>
    </row>
    <row r="2306" spans="32:34" s="10" customFormat="1">
      <c r="AF2306" s="467"/>
      <c r="AG2306" s="467"/>
      <c r="AH2306" s="6"/>
    </row>
    <row r="2307" spans="32:34" s="10" customFormat="1">
      <c r="AF2307" s="467"/>
      <c r="AG2307" s="467"/>
      <c r="AH2307" s="6"/>
    </row>
    <row r="2308" spans="32:34" s="10" customFormat="1">
      <c r="AF2308" s="467"/>
      <c r="AG2308" s="467"/>
      <c r="AH2308" s="6"/>
    </row>
    <row r="2309" spans="32:34" s="10" customFormat="1">
      <c r="AF2309" s="467"/>
      <c r="AG2309" s="467"/>
      <c r="AH2309" s="6"/>
    </row>
    <row r="2310" spans="32:34" s="10" customFormat="1">
      <c r="AF2310" s="467"/>
      <c r="AG2310" s="467"/>
      <c r="AH2310" s="6"/>
    </row>
    <row r="2311" spans="32:34" s="10" customFormat="1">
      <c r="AF2311" s="467"/>
      <c r="AG2311" s="467"/>
      <c r="AH2311" s="6"/>
    </row>
    <row r="2312" spans="32:34" s="10" customFormat="1">
      <c r="AF2312" s="467"/>
      <c r="AG2312" s="467"/>
      <c r="AH2312" s="6"/>
    </row>
    <row r="2313" spans="32:34" s="10" customFormat="1">
      <c r="AF2313" s="467"/>
      <c r="AG2313" s="467"/>
      <c r="AH2313" s="6"/>
    </row>
    <row r="2314" spans="32:34" s="10" customFormat="1">
      <c r="AF2314" s="467"/>
      <c r="AG2314" s="467"/>
      <c r="AH2314" s="6"/>
    </row>
    <row r="2315" spans="32:34" s="10" customFormat="1">
      <c r="AF2315" s="467"/>
      <c r="AG2315" s="467"/>
      <c r="AH2315" s="6"/>
    </row>
    <row r="2316" spans="32:34" s="10" customFormat="1">
      <c r="AF2316" s="467"/>
      <c r="AG2316" s="467"/>
      <c r="AH2316" s="6"/>
    </row>
    <row r="2317" spans="32:34" s="10" customFormat="1">
      <c r="AF2317" s="467"/>
      <c r="AG2317" s="467"/>
      <c r="AH2317" s="6"/>
    </row>
    <row r="2318" spans="32:34" s="10" customFormat="1">
      <c r="AF2318" s="467"/>
      <c r="AG2318" s="467"/>
      <c r="AH2318" s="6"/>
    </row>
    <row r="2319" spans="32:34" s="10" customFormat="1">
      <c r="AF2319" s="467"/>
      <c r="AG2319" s="467"/>
      <c r="AH2319" s="6"/>
    </row>
    <row r="2320" spans="32:34" s="10" customFormat="1">
      <c r="AF2320" s="467"/>
      <c r="AG2320" s="467"/>
      <c r="AH2320" s="6"/>
    </row>
    <row r="2321" spans="32:34" s="10" customFormat="1">
      <c r="AF2321" s="467"/>
      <c r="AG2321" s="467"/>
      <c r="AH2321" s="6"/>
    </row>
    <row r="2322" spans="32:34" s="10" customFormat="1">
      <c r="AF2322" s="467"/>
      <c r="AG2322" s="467"/>
      <c r="AH2322" s="6"/>
    </row>
    <row r="2323" spans="32:34" s="10" customFormat="1">
      <c r="AF2323" s="467"/>
      <c r="AG2323" s="467"/>
      <c r="AH2323" s="6"/>
    </row>
  </sheetData>
  <autoFilter ref="A6:AO1945"/>
  <hyperlinks>
    <hyperlink ref="B364" location="'5153500'!A1" display="Otros Activos"/>
    <hyperlink ref="B61" location="'5111000'!A1" display="Efectivo y Efectivo Equivalente"/>
    <hyperlink ref="B63" location="'5111000'!A1" display="Efectivo y Efectivo Equivalente"/>
  </hyperlinks>
  <printOptions horizontalCentered="1" gridLines="1"/>
  <pageMargins left="0" right="0" top="0" bottom="0" header="0.31496062992125984" footer="0.31496062992125984"/>
  <pageSetup paperSize="119" fitToHeight="100" orientation="landscape" r:id="rId1"/>
  <headerFooter alignWithMargins="0"/>
  <ignoredErrors>
    <ignoredError sqref="AF70:AH93 AF1628:AH1750 AF704:AG704 AF7:AH9 AF705:AH729 AG999:AH1000 AF1001:AH1009 AG1388:AH1389 AF1406:AH1624 AF14:AH16 AG13:AH13 AF46:AH64 AG45:AH45 AF66:AH68 AG65:AH65 AF226:AH228 AG225:AH225 AF106:AH107 AF315:AH391 AG314:AH314 AF1059:AH1377 AG1012:AH1012 AF110:AH121 AF836:AH860 AG835:AH835 AF979:AH997 AG978:AH978 AF393:AH394 AG392:AH392 AF588:AH589 AG587:AH587 AF752:AH834 AF732:AH732 AF734:AH734 AG733:AH733 AF736:AH736 AG735:AH735 AG738:AH747 AG730:AH731 AF905:AH951 AG904:AH904 AF1011:AH1011 AG1010:AH1010 AF396:AH399 AG395:AH395 AF431:AH431 AG419:AH419 AF442:AH586 AG432:AH432 AF631:AH634 AG630:AH630 AG108:AH109 AF97:AH101 AG102:AH105 AF148:AH224 AG147:AH147 AF401:AH418 AG400 AF1626:AH1626 AF1625:AG1625 AF1402:AH1402 AG1401:AH1401 AF1381:AH1383 AG1378:AH1380 AG1384:AH1387 AG1391:AH1392 AG1390:AH1390 AF1394:AH1394 AG1393:AH1393 AF1752:AH1766 AG1751:AH1751 AG1405:AH1405 AF1398:AH1398 AG1397:AH1397 AF1400:AH1400 AG1399:AH1399 AF591:AH621 AG590:AH590 AF133:AH135 AF95:AH95 AF94 AF955:AH977 AG952:AH954 AF896:AH903 AG895:AH895 AF862:AH894 AG861:AH861 AF128:AH131 AG127:AH127 AF144:AH146 AG143:AH143 AF294:AH313 AG229:AH229 AF124:AH126 AF636:AH650 AG635:AH635 AF652:AH703 AG651:AH651 AF623:AH629 AG622:AH622 AG122:AH123 AF230:AH261 AF263:AH292 AF420:AH429 AF433:AH438 AG439:AH441 AF748:AH749 AG750:AH751 AG998:AH998 AF1013:AH1057 AG1395:AH1395 AF1391:AF1392 AF1388:AF1389 AF1387 AF1390 AF1393 AG1396:AH1396 AG1403:AH1403 AG1404:AH1404 AF11:AH12 AG10:AH10 AF18:AH44 AG17:AH17 AF137:AH142 AG136:AH136 AE7:AE1765 AG737:AH737" unlockedFormula="1"/>
  </ignoredErrors>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tabColor rgb="FF7030A0"/>
    <pageSetUpPr fitToPage="1"/>
  </sheetPr>
  <dimension ref="A1:I251"/>
  <sheetViews>
    <sheetView showGridLines="0" topLeftCell="A49" zoomScaleNormal="100" workbookViewId="0">
      <selection activeCell="B77" sqref="B77:C77"/>
    </sheetView>
  </sheetViews>
  <sheetFormatPr baseColWidth="10" defaultColWidth="67.5" defaultRowHeight="11.25"/>
  <cols>
    <col min="1" max="1" width="12.33203125" style="943" customWidth="1"/>
    <col min="2" max="2" width="14.1640625" style="964" bestFit="1" customWidth="1"/>
    <col min="3" max="3" width="90.33203125" style="965" customWidth="1"/>
    <col min="4" max="4" width="18.83203125" style="966" customWidth="1"/>
    <col min="5" max="5" width="16.1640625" style="943" customWidth="1"/>
    <col min="6" max="6" width="12.5" style="943" customWidth="1"/>
    <col min="7" max="7" width="13.1640625" style="943" customWidth="1"/>
    <col min="8" max="16384" width="67.5" style="943"/>
  </cols>
  <sheetData>
    <row r="1" spans="1:9" s="106" customFormat="1" ht="29.25">
      <c r="A1" s="35" t="s">
        <v>1739</v>
      </c>
      <c r="B1" s="36"/>
      <c r="C1" s="523"/>
      <c r="D1" s="36"/>
      <c r="E1" s="537"/>
      <c r="F1" s="537"/>
      <c r="G1" s="537"/>
      <c r="H1" s="36"/>
      <c r="I1" s="36"/>
    </row>
    <row r="2" spans="1:9" s="986" customFormat="1" ht="18.75" thickBot="1">
      <c r="A2" s="37" t="s">
        <v>1814</v>
      </c>
      <c r="B2" s="38"/>
      <c r="C2" s="524"/>
      <c r="D2" s="38"/>
      <c r="E2" s="549"/>
      <c r="F2" s="549"/>
      <c r="G2" s="549"/>
      <c r="H2" s="82"/>
      <c r="I2" s="82"/>
    </row>
    <row r="5" spans="1:9">
      <c r="A5" s="987" t="s">
        <v>2721</v>
      </c>
      <c r="B5" s="988"/>
      <c r="C5" s="989"/>
      <c r="D5" s="990">
        <v>41121</v>
      </c>
    </row>
    <row r="6" spans="1:9">
      <c r="A6" s="944"/>
      <c r="B6" s="945"/>
      <c r="C6" s="946"/>
      <c r="D6" s="947"/>
    </row>
    <row r="7" spans="1:9">
      <c r="A7" s="948" t="str">
        <f>MID(B7,1,1)&amp;"."&amp;MID(B7,2,2)&amp;"."&amp;MID(B7,4,2)&amp;"."&amp;MID(B7,6,2)</f>
        <v>5.10.00.00</v>
      </c>
      <c r="B7" s="949">
        <v>5100000</v>
      </c>
      <c r="C7" s="950" t="s">
        <v>2722</v>
      </c>
      <c r="D7" s="951">
        <f>D9+D27+D35+D37+D62</f>
        <v>2012264937</v>
      </c>
    </row>
    <row r="8" spans="1:9">
      <c r="A8" s="948"/>
      <c r="B8" s="949"/>
      <c r="C8" s="952"/>
      <c r="D8" s="953"/>
    </row>
    <row r="9" spans="1:9">
      <c r="A9" s="948" t="str">
        <f t="shared" ref="A9:A73" si="0">MID(B9,1,1)&amp;"."&amp;MID(B9,2,2)&amp;"."&amp;MID(B9,4,2)&amp;"."&amp;MID(B9,6,2)</f>
        <v>5.11.00.00</v>
      </c>
      <c r="B9" s="949">
        <v>5110000</v>
      </c>
      <c r="C9" s="950" t="s">
        <v>2723</v>
      </c>
      <c r="D9" s="954">
        <f>D11+D13+D17+D21+D23+D15</f>
        <v>1720896396</v>
      </c>
      <c r="E9" s="957" t="s">
        <v>1805</v>
      </c>
    </row>
    <row r="10" spans="1:9">
      <c r="A10" s="948"/>
      <c r="B10" s="949"/>
      <c r="C10" s="952"/>
      <c r="D10" s="953"/>
      <c r="E10" s="1174"/>
    </row>
    <row r="11" spans="1:9">
      <c r="A11" s="948" t="str">
        <f t="shared" si="0"/>
        <v>5.11.10.00</v>
      </c>
      <c r="B11" s="949">
        <v>5111000</v>
      </c>
      <c r="C11" s="952" t="s">
        <v>2724</v>
      </c>
      <c r="D11" s="953">
        <f>SUMIF(MATRIZCTAS!$A$7:$A$1766,'FECU 2012 (M$)'!B11,MATRIZCTAS!$AH$7:$AH$1766)</f>
        <v>2197352</v>
      </c>
      <c r="E11" s="957"/>
    </row>
    <row r="12" spans="1:9">
      <c r="A12" s="948"/>
      <c r="B12" s="949"/>
      <c r="C12" s="952"/>
      <c r="D12" s="953"/>
      <c r="E12" s="957"/>
    </row>
    <row r="13" spans="1:9">
      <c r="A13" s="948" t="str">
        <f t="shared" si="0"/>
        <v>5.11.20.00</v>
      </c>
      <c r="B13" s="949">
        <v>5112000</v>
      </c>
      <c r="C13" s="952" t="s">
        <v>2725</v>
      </c>
      <c r="D13" s="953">
        <f>SUMIF(MATRIZCTAS!$A$7:$A$1766,'FECU 2012 (M$)'!B13,MATRIZCTAS!$AH$7:$AH$1766)</f>
        <v>162858394</v>
      </c>
      <c r="E13" s="957"/>
    </row>
    <row r="14" spans="1:9">
      <c r="A14" s="948"/>
      <c r="B14" s="949"/>
      <c r="C14" s="952"/>
      <c r="D14" s="953"/>
    </row>
    <row r="15" spans="1:9">
      <c r="A15" s="948" t="str">
        <f t="shared" si="0"/>
        <v>5.11.30.00</v>
      </c>
      <c r="B15" s="949">
        <v>5113000</v>
      </c>
      <c r="C15" s="952" t="s">
        <v>2726</v>
      </c>
      <c r="D15" s="953">
        <f>SUMIF(MATRIZCTAS!$A$7:$A$1766,'FECU 2012 (M$)'!B15,MATRIZCTAS!$AH$7:$AH$1766)</f>
        <v>1466442589</v>
      </c>
    </row>
    <row r="16" spans="1:9">
      <c r="A16" s="948"/>
      <c r="B16" s="949"/>
      <c r="C16" s="955"/>
      <c r="D16" s="953"/>
      <c r="E16" s="957"/>
    </row>
    <row r="17" spans="1:6">
      <c r="A17" s="948" t="str">
        <f t="shared" si="0"/>
        <v>5.11.40.00</v>
      </c>
      <c r="B17" s="949">
        <v>5114000</v>
      </c>
      <c r="C17" s="955" t="s">
        <v>73</v>
      </c>
      <c r="D17" s="951">
        <f>SUM(D18:D19)</f>
        <v>36255063</v>
      </c>
      <c r="E17" s="943" t="s">
        <v>1805</v>
      </c>
      <c r="F17" s="957" t="s">
        <v>1805</v>
      </c>
    </row>
    <row r="18" spans="1:6">
      <c r="A18" s="948" t="str">
        <f t="shared" si="0"/>
        <v>5.11.41.00</v>
      </c>
      <c r="B18" s="949">
        <v>5114100</v>
      </c>
      <c r="C18" s="956" t="s">
        <v>2727</v>
      </c>
      <c r="D18" s="953">
        <f>SUMIF(MATRIZCTAS!$A$7:$A$1766,'FECU 2012 (M$)'!B18,MATRIZCTAS!$AH$7:$AH$1766)</f>
        <v>3332717</v>
      </c>
    </row>
    <row r="19" spans="1:6">
      <c r="A19" s="948" t="str">
        <f t="shared" si="0"/>
        <v>5.11.42.00</v>
      </c>
      <c r="B19" s="949">
        <v>5114200</v>
      </c>
      <c r="C19" s="956" t="s">
        <v>2728</v>
      </c>
      <c r="D19" s="953">
        <f>SUMIF(MATRIZCTAS!$A$7:$A$1766,'FECU 2012 (M$)'!B19,MATRIZCTAS!$AH$7:$AH$1766)</f>
        <v>32922346</v>
      </c>
      <c r="E19" s="957"/>
    </row>
    <row r="20" spans="1:6">
      <c r="A20" s="948"/>
      <c r="B20" s="949"/>
      <c r="C20" s="956"/>
      <c r="D20" s="953"/>
    </row>
    <row r="21" spans="1:6">
      <c r="A21" s="948" t="str">
        <f t="shared" si="0"/>
        <v>5.11.50.00</v>
      </c>
      <c r="B21" s="958">
        <v>5115000</v>
      </c>
      <c r="C21" s="959" t="s">
        <v>2729</v>
      </c>
      <c r="D21" s="951">
        <f>SUMIF(MATRIZCTAS!$A$7:$A$1766,'FECU 2012 (M$)'!B21,MATRIZCTAS!$AH$7:$AH$1766)</f>
        <v>33581900</v>
      </c>
      <c r="E21" s="960"/>
    </row>
    <row r="22" spans="1:6">
      <c r="A22" s="948"/>
      <c r="B22" s="949"/>
      <c r="C22" s="956"/>
      <c r="D22" s="953"/>
    </row>
    <row r="23" spans="1:6">
      <c r="A23" s="948" t="str">
        <f t="shared" si="0"/>
        <v>5.11.60.00</v>
      </c>
      <c r="B23" s="949">
        <v>5116000</v>
      </c>
      <c r="C23" s="956" t="s">
        <v>2730</v>
      </c>
      <c r="D23" s="951">
        <f>SUM(D24:D25)</f>
        <v>19561098</v>
      </c>
    </row>
    <row r="24" spans="1:6">
      <c r="A24" s="948" t="str">
        <f t="shared" si="0"/>
        <v>5.11.61.00</v>
      </c>
      <c r="B24" s="949">
        <v>5116100</v>
      </c>
      <c r="C24" s="956" t="s">
        <v>2731</v>
      </c>
      <c r="D24" s="953">
        <f>SUMIF(MATRIZCTAS!$A$7:$A$1766,'FECU 2012 (M$)'!B24,MATRIZCTAS!$AH$7:$AH$1766)</f>
        <v>3448999</v>
      </c>
    </row>
    <row r="25" spans="1:6">
      <c r="A25" s="948" t="str">
        <f t="shared" si="0"/>
        <v>5.11.62.00</v>
      </c>
      <c r="B25" s="949">
        <v>5116200</v>
      </c>
      <c r="C25" s="956" t="s">
        <v>2732</v>
      </c>
      <c r="D25" s="953">
        <f>SUMIF(MATRIZCTAS!$A$7:$A$1766,'FECU 2012 (M$)'!B25,MATRIZCTAS!$AH$7:$AH$1766)</f>
        <v>16112099</v>
      </c>
      <c r="F25" s="957"/>
    </row>
    <row r="26" spans="1:6">
      <c r="A26" s="948"/>
      <c r="B26" s="949"/>
      <c r="C26" s="956"/>
      <c r="D26" s="953"/>
    </row>
    <row r="27" spans="1:6">
      <c r="A27" s="948" t="str">
        <f t="shared" si="0"/>
        <v>5.12.00.00</v>
      </c>
      <c r="B27" s="949">
        <v>5120000</v>
      </c>
      <c r="C27" s="959" t="s">
        <v>2733</v>
      </c>
      <c r="D27" s="954">
        <f>D29+D30+D31</f>
        <v>228873653</v>
      </c>
    </row>
    <row r="28" spans="1:6">
      <c r="A28" s="948"/>
      <c r="B28" s="949"/>
      <c r="C28" s="956"/>
      <c r="D28" s="953"/>
    </row>
    <row r="29" spans="1:6">
      <c r="A29" s="948" t="str">
        <f t="shared" si="0"/>
        <v>5.12.10.00</v>
      </c>
      <c r="B29" s="949">
        <v>5121000</v>
      </c>
      <c r="C29" s="956" t="s">
        <v>2734</v>
      </c>
      <c r="D29" s="953">
        <f>SUMIF(MATRIZCTAS!$A$7:$A$1766,'FECU 2012 (M$)'!B29,MATRIZCTAS!$AH$7:$AH$1766)</f>
        <v>104719212</v>
      </c>
      <c r="E29" s="1202"/>
    </row>
    <row r="30" spans="1:6">
      <c r="A30" s="948" t="str">
        <f t="shared" si="0"/>
        <v>5.12.20.00</v>
      </c>
      <c r="B30" s="949">
        <v>5122000</v>
      </c>
      <c r="C30" s="956" t="s">
        <v>2735</v>
      </c>
      <c r="D30" s="953">
        <f>SUMIF(MATRIZCTAS!$A$7:$A$1766,'FECU 2012 (M$)'!B30,MATRIZCTAS!$AH$7:$AH$1766)</f>
        <v>114691456</v>
      </c>
      <c r="E30" s="960"/>
    </row>
    <row r="31" spans="1:6">
      <c r="A31" s="948" t="str">
        <f t="shared" si="0"/>
        <v>5.12.30.00</v>
      </c>
      <c r="B31" s="949">
        <v>5123000</v>
      </c>
      <c r="C31" s="956" t="s">
        <v>2736</v>
      </c>
      <c r="D31" s="951">
        <f>SUM(D32:D33)</f>
        <v>9462985</v>
      </c>
    </row>
    <row r="32" spans="1:6">
      <c r="A32" s="948" t="str">
        <f t="shared" si="0"/>
        <v>5.12.31.00</v>
      </c>
      <c r="B32" s="949">
        <v>5123100</v>
      </c>
      <c r="C32" s="956" t="s">
        <v>2737</v>
      </c>
      <c r="D32" s="953">
        <f>SUMIF(MATRIZCTAS!$A$7:$A$1766,'FECU 2012 (M$)'!B32,MATRIZCTAS!$AH$7:$AH$1766)</f>
        <v>8913845</v>
      </c>
    </row>
    <row r="33" spans="1:5">
      <c r="A33" s="948" t="str">
        <f t="shared" si="0"/>
        <v>5.12.32.00</v>
      </c>
      <c r="B33" s="949">
        <v>5123200</v>
      </c>
      <c r="C33" s="956" t="s">
        <v>2738</v>
      </c>
      <c r="D33" s="953">
        <f>SUMIF(MATRIZCTAS!$A$7:$A$1766,'FECU 2012 (M$)'!B33,MATRIZCTAS!$AH$7:$AH$1766)</f>
        <v>549140</v>
      </c>
    </row>
    <row r="34" spans="1:5">
      <c r="A34" s="948"/>
      <c r="B34" s="949"/>
      <c r="C34" s="959"/>
      <c r="D34" s="953"/>
    </row>
    <row r="35" spans="1:5">
      <c r="A35" s="948" t="str">
        <f t="shared" si="0"/>
        <v>5.13.00.00</v>
      </c>
      <c r="B35" s="949">
        <v>5130000</v>
      </c>
      <c r="C35" s="959" t="s">
        <v>3226</v>
      </c>
      <c r="D35" s="954">
        <f>SUMIF(MATRIZCTAS!$A$7:$A$1766,'FECU 2012 (M$)'!B35,MATRIZCTAS!$AH$7:$AH$1766)</f>
        <v>0</v>
      </c>
    </row>
    <row r="36" spans="1:5">
      <c r="A36" s="948"/>
      <c r="B36" s="949"/>
      <c r="C36" s="952"/>
      <c r="D36" s="953"/>
    </row>
    <row r="37" spans="1:5">
      <c r="A37" s="948" t="str">
        <f t="shared" si="0"/>
        <v>5.14.00.00</v>
      </c>
      <c r="B37" s="949">
        <v>5140000</v>
      </c>
      <c r="C37" s="950" t="s">
        <v>2740</v>
      </c>
      <c r="D37" s="954">
        <f>D50+D39</f>
        <v>20223783</v>
      </c>
      <c r="E37" s="957" t="s">
        <v>1805</v>
      </c>
    </row>
    <row r="38" spans="1:5">
      <c r="A38" s="948"/>
      <c r="B38" s="949"/>
      <c r="C38" s="952"/>
      <c r="D38" s="953"/>
    </row>
    <row r="39" spans="1:5">
      <c r="A39" s="948" t="str">
        <f t="shared" si="0"/>
        <v>5.14.10.00</v>
      </c>
      <c r="B39" s="949">
        <v>5141000</v>
      </c>
      <c r="C39" s="952" t="s">
        <v>2741</v>
      </c>
      <c r="D39" s="951">
        <f>D40+D41+D46</f>
        <v>12477452</v>
      </c>
    </row>
    <row r="40" spans="1:5">
      <c r="A40" s="948" t="str">
        <f t="shared" si="0"/>
        <v>5.14.11.00</v>
      </c>
      <c r="B40" s="949">
        <v>5141100</v>
      </c>
      <c r="C40" s="952" t="s">
        <v>2742</v>
      </c>
      <c r="D40" s="953">
        <f>SUMIF(MATRIZCTAS!$A$7:$A$1766,'FECU 2012 (M$)'!B40,MATRIZCTAS!$AH$7:$AH$1766)</f>
        <v>10489198</v>
      </c>
    </row>
    <row r="41" spans="1:5">
      <c r="A41" s="948" t="str">
        <f t="shared" si="0"/>
        <v>5.14.12.00</v>
      </c>
      <c r="B41" s="949">
        <v>5141200</v>
      </c>
      <c r="C41" s="952" t="s">
        <v>2743</v>
      </c>
      <c r="D41" s="951">
        <f>SUM(D42:D45)</f>
        <v>1988254</v>
      </c>
    </row>
    <row r="42" spans="1:5">
      <c r="A42" s="948" t="str">
        <f t="shared" si="0"/>
        <v>5.14.12.10</v>
      </c>
      <c r="B42" s="949">
        <v>5141210</v>
      </c>
      <c r="C42" s="956" t="s">
        <v>2744</v>
      </c>
      <c r="D42" s="953">
        <f>SUMIF(MATRIZCTAS!$A$7:$A$1766,'FECU 2012 (M$)'!B42,MATRIZCTAS!$AH$7:$AH$1766)</f>
        <v>1292931</v>
      </c>
    </row>
    <row r="43" spans="1:5">
      <c r="A43" s="948" t="str">
        <f t="shared" si="0"/>
        <v>5.14.12.20</v>
      </c>
      <c r="B43" s="949">
        <v>5141220</v>
      </c>
      <c r="C43" s="956" t="s">
        <v>2745</v>
      </c>
      <c r="D43" s="953">
        <f>SUMIF(MATRIZCTAS!$A$7:$A$1766,'FECU 2012 (M$)'!B43,MATRIZCTAS!$AH$7:$AH$1766)</f>
        <v>0</v>
      </c>
    </row>
    <row r="44" spans="1:5">
      <c r="A44" s="948" t="str">
        <f t="shared" si="0"/>
        <v>5.14.12.30</v>
      </c>
      <c r="B44" s="949">
        <v>5141230</v>
      </c>
      <c r="C44" s="956" t="s">
        <v>2746</v>
      </c>
      <c r="D44" s="953">
        <f>SUMIF(MATRIZCTAS!$A$7:$A$1766,'FECU 2012 (M$)'!B44,MATRIZCTAS!$AH$7:$AH$1766)</f>
        <v>0</v>
      </c>
    </row>
    <row r="45" spans="1:5">
      <c r="A45" s="948" t="str">
        <f t="shared" si="0"/>
        <v>5.14.12.40</v>
      </c>
      <c r="B45" s="949">
        <v>5141240</v>
      </c>
      <c r="C45" s="956" t="s">
        <v>2747</v>
      </c>
      <c r="D45" s="953">
        <f>SUMIF(MATRIZCTAS!$A$7:$A$1766,'FECU 2012 (M$)'!B45,MATRIZCTAS!$AH$7:$AH$1766)</f>
        <v>695323</v>
      </c>
    </row>
    <row r="46" spans="1:5">
      <c r="A46" s="948" t="str">
        <f t="shared" si="0"/>
        <v>5.14.13.00</v>
      </c>
      <c r="B46" s="949">
        <v>5141300</v>
      </c>
      <c r="C46" s="952" t="s">
        <v>2748</v>
      </c>
      <c r="D46" s="953">
        <f>SUM(D47:D48)</f>
        <v>0</v>
      </c>
    </row>
    <row r="47" spans="1:5">
      <c r="A47" s="948" t="str">
        <f t="shared" si="0"/>
        <v>5.14.13.10</v>
      </c>
      <c r="B47" s="949">
        <v>5141310</v>
      </c>
      <c r="C47" s="956" t="s">
        <v>2749</v>
      </c>
      <c r="D47" s="953">
        <f>SUMIF(MATRIZCTAS!$A$7:$A$1766,'FECU 2012 (M$)'!B47,MATRIZCTAS!$AH$7:$AH$1766)</f>
        <v>0</v>
      </c>
    </row>
    <row r="48" spans="1:5">
      <c r="A48" s="948" t="str">
        <f t="shared" si="0"/>
        <v>5.14.13.20</v>
      </c>
      <c r="B48" s="949">
        <v>5141320</v>
      </c>
      <c r="C48" s="956" t="s">
        <v>2750</v>
      </c>
      <c r="D48" s="953">
        <f>SUMIF(MATRIZCTAS!$A$7:$A$1766,'FECU 2012 (M$)'!B48,MATRIZCTAS!$AH$7:$AH$1766)</f>
        <v>0</v>
      </c>
    </row>
    <row r="49" spans="1:5">
      <c r="A49" s="948"/>
      <c r="B49" s="949"/>
      <c r="C49" s="952"/>
      <c r="D49" s="953"/>
    </row>
    <row r="50" spans="1:5">
      <c r="A50" s="948" t="str">
        <f t="shared" si="0"/>
        <v>5.14.20.00</v>
      </c>
      <c r="B50" s="949">
        <v>5142000</v>
      </c>
      <c r="C50" s="950" t="s">
        <v>2751</v>
      </c>
      <c r="D50" s="951">
        <f>D51+D52+D55+D56+D57+D58</f>
        <v>7746331</v>
      </c>
    </row>
    <row r="51" spans="1:5">
      <c r="A51" s="948" t="str">
        <f t="shared" si="0"/>
        <v>5.14.21.00</v>
      </c>
      <c r="B51" s="949">
        <v>5142100</v>
      </c>
      <c r="C51" s="952" t="s">
        <v>2752</v>
      </c>
      <c r="D51" s="953">
        <f>SUMIF(MATRIZCTAS!$A$7:$A$1766,'FECU 2012 (M$)'!B51,MATRIZCTAS!$AH$7:$AH$1766)</f>
        <v>175727</v>
      </c>
    </row>
    <row r="52" spans="1:5">
      <c r="A52" s="948" t="str">
        <f t="shared" si="0"/>
        <v>5.14.22.00</v>
      </c>
      <c r="B52" s="949">
        <v>5142200</v>
      </c>
      <c r="C52" s="952" t="s">
        <v>2753</v>
      </c>
      <c r="D52" s="951">
        <f>SUM(D53:D54)</f>
        <v>6096550</v>
      </c>
    </row>
    <row r="53" spans="1:5">
      <c r="A53" s="948" t="str">
        <f t="shared" si="0"/>
        <v>5.14.22.10</v>
      </c>
      <c r="B53" s="949">
        <v>5142210</v>
      </c>
      <c r="C53" s="956" t="s">
        <v>2754</v>
      </c>
      <c r="D53" s="953">
        <f>SUMIF(MATRIZCTAS!$A$7:$A$1766,'FECU 2012 (M$)'!B53,MATRIZCTAS!$AH$7:$AH$1766)</f>
        <v>6096550</v>
      </c>
    </row>
    <row r="54" spans="1:5">
      <c r="A54" s="948" t="str">
        <f t="shared" si="0"/>
        <v>5.14.22.20</v>
      </c>
      <c r="B54" s="949">
        <v>5142220</v>
      </c>
      <c r="C54" s="956" t="s">
        <v>2755</v>
      </c>
      <c r="D54" s="953">
        <f>SUMIF(MATRIZCTAS!$A$7:$A$1766,'FECU 2012 (M$)'!B54,MATRIZCTAS!$AH$7:$AH$1766)</f>
        <v>0</v>
      </c>
    </row>
    <row r="55" spans="1:5">
      <c r="A55" s="948" t="str">
        <f t="shared" si="0"/>
        <v>5.14.23.00</v>
      </c>
      <c r="B55" s="949">
        <v>5142300</v>
      </c>
      <c r="C55" s="952" t="s">
        <v>2756</v>
      </c>
      <c r="D55" s="953">
        <f>SUMIF(MATRIZCTAS!$A$7:$A$1766,'FECU 2012 (M$)'!B55,MATRIZCTAS!$AH$7:$AH$1766)</f>
        <v>534364</v>
      </c>
    </row>
    <row r="56" spans="1:5">
      <c r="A56" s="948" t="str">
        <f t="shared" si="0"/>
        <v>5.14.24.00</v>
      </c>
      <c r="B56" s="949">
        <v>5142400</v>
      </c>
      <c r="C56" s="952" t="s">
        <v>2757</v>
      </c>
      <c r="D56" s="953">
        <f>SUMIF(MATRIZCTAS!$A$7:$A$1766,'FECU 2012 (M$)'!B56,MATRIZCTAS!$AH$7:$AH$1766)</f>
        <v>0</v>
      </c>
    </row>
    <row r="57" spans="1:5">
      <c r="A57" s="948" t="str">
        <f t="shared" si="0"/>
        <v>5.14.25.00</v>
      </c>
      <c r="B57" s="949">
        <v>5142500</v>
      </c>
      <c r="C57" s="952" t="s">
        <v>2758</v>
      </c>
      <c r="D57" s="953">
        <f>SUMIF(MATRIZCTAS!$A$7:$A$1766,'FECU 2012 (M$)'!B57,MATRIZCTAS!$AH$7:$AH$1766)</f>
        <v>939690</v>
      </c>
    </row>
    <row r="58" spans="1:5">
      <c r="A58" s="948" t="str">
        <f t="shared" si="0"/>
        <v>5.14.26.00</v>
      </c>
      <c r="B58" s="949">
        <v>5142600</v>
      </c>
      <c r="C58" s="952" t="s">
        <v>2759</v>
      </c>
      <c r="D58" s="953">
        <f>SUMIF(MATRIZCTAS!$A$7:$A$1766,'FECU 2012 (M$)'!B58,MATRIZCTAS!$AH$7:$AH$1766)</f>
        <v>0</v>
      </c>
    </row>
    <row r="59" spans="1:5">
      <c r="A59" s="948" t="str">
        <f t="shared" si="0"/>
        <v>5.14.27.00</v>
      </c>
      <c r="B59" s="949">
        <v>5142700</v>
      </c>
      <c r="C59" s="952" t="s">
        <v>2760</v>
      </c>
      <c r="D59" s="953">
        <f>SUMIF(MATRIZCTAS!$A$7:$A$1766,'FECU 2012 (M$)'!B59,MATRIZCTAS!$AH$7:$AH$1766)</f>
        <v>0</v>
      </c>
    </row>
    <row r="60" spans="1:5">
      <c r="A60" s="948" t="str">
        <f t="shared" si="0"/>
        <v>5.14.28.00</v>
      </c>
      <c r="B60" s="949">
        <v>5142800</v>
      </c>
      <c r="C60" s="952" t="s">
        <v>2761</v>
      </c>
      <c r="D60" s="953">
        <f>SUMIF(MATRIZCTAS!$A$7:$A$1766,'FECU 2012 (M$)'!B60,MATRIZCTAS!$AH$7:$AH$1766)</f>
        <v>0</v>
      </c>
    </row>
    <row r="61" spans="1:5">
      <c r="A61" s="948"/>
      <c r="B61" s="949"/>
      <c r="C61" s="956"/>
      <c r="D61" s="953"/>
    </row>
    <row r="62" spans="1:5">
      <c r="A62" s="948" t="str">
        <f t="shared" si="0"/>
        <v>5.15.00.00</v>
      </c>
      <c r="B62" s="949">
        <v>5150000</v>
      </c>
      <c r="C62" s="959" t="s">
        <v>85</v>
      </c>
      <c r="D62" s="954">
        <f>D64+D68+D72</f>
        <v>42271105</v>
      </c>
      <c r="E62" s="957"/>
    </row>
    <row r="63" spans="1:5">
      <c r="A63" s="948"/>
      <c r="B63" s="949"/>
      <c r="C63" s="956"/>
      <c r="D63" s="953"/>
    </row>
    <row r="64" spans="1:5">
      <c r="A64" s="948" t="str">
        <f t="shared" si="0"/>
        <v>5.15.10.00</v>
      </c>
      <c r="B64" s="949">
        <v>5151000</v>
      </c>
      <c r="C64" s="959" t="s">
        <v>871</v>
      </c>
      <c r="D64" s="951">
        <f>SUM(D65:D66)</f>
        <v>63808</v>
      </c>
    </row>
    <row r="65" spans="1:8">
      <c r="A65" s="948" t="str">
        <f t="shared" si="0"/>
        <v>5.15.11.00</v>
      </c>
      <c r="B65" s="949">
        <v>5151100</v>
      </c>
      <c r="C65" s="956" t="s">
        <v>2762</v>
      </c>
      <c r="D65" s="953">
        <f>SUMIF(MATRIZCTAS!$A$7:$A$1766,'FECU 2012 (M$)'!B65,MATRIZCTAS!$AH$7:$AH$1766)</f>
        <v>0</v>
      </c>
    </row>
    <row r="66" spans="1:8">
      <c r="A66" s="948" t="str">
        <f t="shared" si="0"/>
        <v>5.15.12.00</v>
      </c>
      <c r="B66" s="949">
        <v>5151200</v>
      </c>
      <c r="C66" s="956" t="s">
        <v>2763</v>
      </c>
      <c r="D66" s="953">
        <f>SUMIF(MATRIZCTAS!$A$7:$A$1766,'FECU 2012 (M$)'!B66,MATRIZCTAS!$AH$7:$AH$1766)</f>
        <v>63808</v>
      </c>
    </row>
    <row r="67" spans="1:8">
      <c r="A67" s="948"/>
      <c r="B67" s="949"/>
      <c r="C67" s="956"/>
      <c r="D67" s="953"/>
    </row>
    <row r="68" spans="1:8">
      <c r="A68" s="948" t="str">
        <f t="shared" si="0"/>
        <v>5.15.20.00</v>
      </c>
      <c r="B68" s="949">
        <v>5152000</v>
      </c>
      <c r="C68" s="959" t="s">
        <v>2764</v>
      </c>
      <c r="D68" s="951">
        <f>SUM(D69:D70)</f>
        <v>8506469</v>
      </c>
    </row>
    <row r="69" spans="1:8">
      <c r="A69" s="948" t="str">
        <f t="shared" si="0"/>
        <v>5.15.21.00</v>
      </c>
      <c r="B69" s="949">
        <v>5152100</v>
      </c>
      <c r="C69" s="956" t="s">
        <v>2765</v>
      </c>
      <c r="D69" s="953">
        <f>SUMIF(MATRIZCTAS!$A$7:$A$1766,'FECU 2012 (M$)'!B69,MATRIZCTAS!$AH$7:$AH$1766)</f>
        <v>1239879</v>
      </c>
    </row>
    <row r="70" spans="1:8">
      <c r="A70" s="948" t="str">
        <f t="shared" si="0"/>
        <v>5.15.22.00</v>
      </c>
      <c r="B70" s="949">
        <v>5152200</v>
      </c>
      <c r="C70" s="956" t="s">
        <v>2766</v>
      </c>
      <c r="D70" s="953">
        <f>SUMIF(MATRIZCTAS!$A$7:$A$1766,'FECU 2012 (M$)'!B70,MATRIZCTAS!$AH$7:$AH$1766)</f>
        <v>7266590</v>
      </c>
    </row>
    <row r="71" spans="1:8">
      <c r="A71" s="948"/>
      <c r="B71" s="949"/>
      <c r="C71" s="956"/>
      <c r="D71" s="953"/>
    </row>
    <row r="72" spans="1:8">
      <c r="A72" s="948" t="str">
        <f t="shared" si="0"/>
        <v>5.15.30.00</v>
      </c>
      <c r="B72" s="949">
        <v>5153000</v>
      </c>
      <c r="C72" s="959" t="s">
        <v>1457</v>
      </c>
      <c r="D72" s="951">
        <f>SUM(D73:D77)</f>
        <v>33700828</v>
      </c>
    </row>
    <row r="73" spans="1:8">
      <c r="A73" s="948" t="str">
        <f t="shared" si="0"/>
        <v>5.15.31.00</v>
      </c>
      <c r="B73" s="949">
        <v>5153100</v>
      </c>
      <c r="C73" s="956" t="s">
        <v>869</v>
      </c>
      <c r="D73" s="953">
        <f>SUMIF(MATRIZCTAS!$A$7:$A$1766,'FECU 2012 (M$)'!B73,MATRIZCTAS!$AH$7:$AH$1766)</f>
        <v>390395</v>
      </c>
    </row>
    <row r="74" spans="1:8">
      <c r="A74" s="948" t="str">
        <f t="shared" ref="A74:A77" si="1">MID(B74,1,1)&amp;"."&amp;MID(B74,2,2)&amp;"."&amp;MID(B74,4,2)&amp;"."&amp;MID(B74,6,2)</f>
        <v>5.15.32.00</v>
      </c>
      <c r="B74" s="949">
        <v>5153200</v>
      </c>
      <c r="C74" s="956" t="s">
        <v>2767</v>
      </c>
      <c r="D74" s="953">
        <f>SUMIF(MATRIZCTAS!$A$7:$A$1766,'FECU 2012 (M$)'!B74,MATRIZCTAS!$AH$7:$AH$1766)</f>
        <v>76380</v>
      </c>
    </row>
    <row r="75" spans="1:8">
      <c r="A75" s="948" t="str">
        <f t="shared" si="1"/>
        <v>5.15.33.00</v>
      </c>
      <c r="B75" s="949">
        <v>5153300</v>
      </c>
      <c r="C75" s="956" t="s">
        <v>599</v>
      </c>
      <c r="D75" s="953">
        <f>SUMIF(MATRIZCTAS!$A$7:$A$1766,'FECU 2012 (M$)'!B75,MATRIZCTAS!$AH$7:$AH$1766)</f>
        <v>11329294</v>
      </c>
    </row>
    <row r="76" spans="1:8">
      <c r="A76" s="948" t="str">
        <f t="shared" si="1"/>
        <v>5.15.34.00</v>
      </c>
      <c r="B76" s="949">
        <v>5153400</v>
      </c>
      <c r="C76" s="956" t="s">
        <v>870</v>
      </c>
      <c r="D76" s="953">
        <f>SUMIF(MATRIZCTAS!$A$7:$A$1766,'FECU 2012 (M$)'!B76,MATRIZCTAS!$AH$7:$AH$1766)</f>
        <v>100137</v>
      </c>
    </row>
    <row r="77" spans="1:8">
      <c r="A77" s="961" t="str">
        <f t="shared" si="1"/>
        <v>5.15.35.00</v>
      </c>
      <c r="B77" s="962">
        <v>5153500</v>
      </c>
      <c r="C77" s="963" t="s">
        <v>1457</v>
      </c>
      <c r="D77" s="953">
        <f>SUMIF(MATRIZCTAS!$A$7:$A$1766,'FECU 2012 (M$)'!B77,MATRIZCTAS!$AH$7:$AH$1766)</f>
        <v>21804622</v>
      </c>
    </row>
    <row r="79" spans="1:8">
      <c r="E79" s="957">
        <f>D7-D83</f>
        <v>0</v>
      </c>
    </row>
    <row r="80" spans="1:8">
      <c r="E80" s="957" t="s">
        <v>1805</v>
      </c>
      <c r="F80" s="957"/>
      <c r="G80" s="957"/>
      <c r="H80" s="967"/>
    </row>
    <row r="81" spans="1:5">
      <c r="A81" s="939" t="s">
        <v>2721</v>
      </c>
      <c r="B81" s="940"/>
      <c r="C81" s="941"/>
      <c r="D81" s="942">
        <f>D5</f>
        <v>41121</v>
      </c>
    </row>
    <row r="82" spans="1:5">
      <c r="A82" s="944"/>
      <c r="B82" s="945"/>
      <c r="C82" s="946"/>
      <c r="D82" s="968"/>
    </row>
    <row r="83" spans="1:5">
      <c r="A83" s="948" t="str">
        <f>MID(B83,1,1)&amp;"."&amp;MID(B83,2,2)&amp;"."&amp;MID(B83,4,2)&amp;"."&amp;MID(B83,6,2)</f>
        <v>5.20.00.00</v>
      </c>
      <c r="B83" s="949">
        <v>5200000</v>
      </c>
      <c r="C83" s="950" t="s">
        <v>2768</v>
      </c>
      <c r="D83" s="954">
        <f>D85+D129</f>
        <v>2012264937</v>
      </c>
      <c r="E83" s="957"/>
    </row>
    <row r="84" spans="1:5">
      <c r="A84" s="948"/>
      <c r="B84" s="949"/>
      <c r="C84" s="952"/>
      <c r="D84" s="947"/>
      <c r="E84" s="957" t="s">
        <v>1805</v>
      </c>
    </row>
    <row r="85" spans="1:5">
      <c r="A85" s="948" t="str">
        <f t="shared" ref="A85:A140" si="2">MID(B85,1,1)&amp;"."&amp;MID(B85,2,2)&amp;"."&amp;MID(B85,4,2)&amp;"."&amp;MID(B85,6,2)</f>
        <v>5.21.00.00</v>
      </c>
      <c r="B85" s="949">
        <v>5210000</v>
      </c>
      <c r="C85" s="950" t="s">
        <v>1559</v>
      </c>
      <c r="D85" s="951">
        <f>D87+D89+D91+D114</f>
        <v>1794208745</v>
      </c>
    </row>
    <row r="86" spans="1:5">
      <c r="A86" s="948"/>
      <c r="B86" s="949"/>
      <c r="C86" s="952"/>
      <c r="D86" s="953"/>
    </row>
    <row r="87" spans="1:5">
      <c r="A87" s="948" t="str">
        <f t="shared" si="2"/>
        <v>5.21.10.00</v>
      </c>
      <c r="B87" s="949">
        <v>5211000</v>
      </c>
      <c r="C87" s="950" t="s">
        <v>2769</v>
      </c>
      <c r="D87" s="954">
        <f>SUMIF(MATRIZCTAS!$A$7:$A$1766,'FECU 2012 (M$)'!B87,MATRIZCTAS!$AH$7:$AH$1766)*-1</f>
        <v>32514085</v>
      </c>
      <c r="E87" s="957"/>
    </row>
    <row r="88" spans="1:5">
      <c r="A88" s="948"/>
      <c r="B88" s="949"/>
      <c r="C88" s="952"/>
      <c r="D88" s="953"/>
    </row>
    <row r="89" spans="1:5">
      <c r="A89" s="948" t="str">
        <f t="shared" si="2"/>
        <v>5.21.20.00</v>
      </c>
      <c r="B89" s="949">
        <v>5212000</v>
      </c>
      <c r="C89" s="950" t="s">
        <v>2770</v>
      </c>
      <c r="D89" s="954">
        <f>SUMIF(MATRIZCTAS!$A$7:$A$1766,'FECU 2012 (M$)'!B89,MATRIZCTAS!$AH$7:$AH$1766)*-1</f>
        <v>0</v>
      </c>
    </row>
    <row r="90" spans="1:5">
      <c r="A90" s="948"/>
      <c r="B90" s="949"/>
      <c r="C90" s="952"/>
      <c r="D90" s="953"/>
    </row>
    <row r="91" spans="1:5">
      <c r="A91" s="948" t="str">
        <f t="shared" si="2"/>
        <v>5.21.30.00</v>
      </c>
      <c r="B91" s="949">
        <v>5213000</v>
      </c>
      <c r="C91" s="950" t="s">
        <v>2771</v>
      </c>
      <c r="D91" s="954">
        <f>D93+D106</f>
        <v>1721851636</v>
      </c>
      <c r="E91" s="957" t="s">
        <v>1805</v>
      </c>
    </row>
    <row r="92" spans="1:5">
      <c r="A92" s="948"/>
      <c r="B92" s="949"/>
      <c r="C92" s="955"/>
      <c r="D92" s="953"/>
    </row>
    <row r="93" spans="1:5">
      <c r="A93" s="948" t="str">
        <f t="shared" si="2"/>
        <v>5.21.31.00</v>
      </c>
      <c r="B93" s="949">
        <v>5213100</v>
      </c>
      <c r="C93" s="969" t="s">
        <v>379</v>
      </c>
      <c r="D93" s="951">
        <f>D94+D95+D98+D99+D100+D101+D102+D103+D104</f>
        <v>1716951844</v>
      </c>
      <c r="E93" s="957" t="s">
        <v>1805</v>
      </c>
    </row>
    <row r="94" spans="1:5">
      <c r="A94" s="948" t="str">
        <f t="shared" si="2"/>
        <v>5.21.31.10</v>
      </c>
      <c r="B94" s="949">
        <v>5213110</v>
      </c>
      <c r="C94" s="956" t="s">
        <v>2772</v>
      </c>
      <c r="D94" s="953">
        <f>SUMIF(MATRIZCTAS!$A$7:$A$1766,'FECU 2012 (M$)'!B94,MATRIZCTAS!$AH$7:$AH$1766)*-1</f>
        <v>7089999</v>
      </c>
      <c r="E94" s="957"/>
    </row>
    <row r="95" spans="1:5">
      <c r="A95" s="948" t="str">
        <f t="shared" si="2"/>
        <v>5.21.31.20</v>
      </c>
      <c r="B95" s="949">
        <v>5213120</v>
      </c>
      <c r="C95" s="956" t="s">
        <v>2773</v>
      </c>
      <c r="D95" s="951">
        <f>SUM(D96:D97)</f>
        <v>1625356222</v>
      </c>
      <c r="E95" s="943" t="s">
        <v>1805</v>
      </c>
    </row>
    <row r="96" spans="1:5">
      <c r="A96" s="948" t="str">
        <f t="shared" si="2"/>
        <v>5.21.31.21</v>
      </c>
      <c r="B96" s="949">
        <v>5213121</v>
      </c>
      <c r="C96" s="956" t="s">
        <v>2774</v>
      </c>
      <c r="D96" s="953">
        <f>SUMIF(MATRIZCTAS!$A$7:$A$1766,'FECU 2012 (M$)'!B96,MATRIZCTAS!$AH$7:$AH$1766)*-1</f>
        <v>1618193694</v>
      </c>
      <c r="E96" s="957" t="s">
        <v>1805</v>
      </c>
    </row>
    <row r="97" spans="1:6">
      <c r="A97" s="948" t="str">
        <f t="shared" si="2"/>
        <v>5.21.31.22</v>
      </c>
      <c r="B97" s="958">
        <v>5213122</v>
      </c>
      <c r="C97" s="956" t="s">
        <v>2775</v>
      </c>
      <c r="D97" s="953">
        <f>SUMIF(MATRIZCTAS!$A$7:$A$1766,'FECU 2012 (M$)'!B97,MATRIZCTAS!$AH$7:$AH$1766)*-1</f>
        <v>7162528</v>
      </c>
      <c r="E97" s="943" t="s">
        <v>1805</v>
      </c>
    </row>
    <row r="98" spans="1:6">
      <c r="A98" s="948" t="str">
        <f t="shared" si="2"/>
        <v>5.21.31.30</v>
      </c>
      <c r="B98" s="949">
        <v>5213130</v>
      </c>
      <c r="C98" s="956" t="s">
        <v>906</v>
      </c>
      <c r="D98" s="953">
        <f>SUMIF(MATRIZCTAS!$A$7:$A$1766,'FECU 2012 (M$)'!B98,MATRIZCTAS!$AH$7:$AH$1766)*-1</f>
        <v>21960737</v>
      </c>
      <c r="E98" s="957" t="s">
        <v>1805</v>
      </c>
      <c r="F98" s="957"/>
    </row>
    <row r="99" spans="1:6">
      <c r="A99" s="948" t="str">
        <f t="shared" si="2"/>
        <v>5.21.31.40</v>
      </c>
      <c r="B99" s="949">
        <v>5213140</v>
      </c>
      <c r="C99" s="956" t="s">
        <v>907</v>
      </c>
      <c r="D99" s="953">
        <f>SUMIF(MATRIZCTAS!$A$7:$A$1766,'FECU 2012 (M$)'!B99,MATRIZCTAS!$AH$7:$AH$1766)*-1</f>
        <v>32860266</v>
      </c>
      <c r="E99" s="943" t="s">
        <v>1805</v>
      </c>
    </row>
    <row r="100" spans="1:6">
      <c r="A100" s="948" t="str">
        <f t="shared" si="2"/>
        <v>5.21.31.50</v>
      </c>
      <c r="B100" s="949">
        <v>5213150</v>
      </c>
      <c r="C100" s="956" t="s">
        <v>2776</v>
      </c>
      <c r="D100" s="953">
        <f>SUMIF(MATRIZCTAS!$A$7:$A$1766,'FECU 2012 (M$)'!B100,MATRIZCTAS!$AH$7:$AH$1766)*-1</f>
        <v>19494660</v>
      </c>
    </row>
    <row r="101" spans="1:6">
      <c r="A101" s="948" t="str">
        <f t="shared" si="2"/>
        <v>5.21.31.60</v>
      </c>
      <c r="B101" s="949">
        <v>5213160</v>
      </c>
      <c r="C101" s="956" t="s">
        <v>2777</v>
      </c>
      <c r="D101" s="953">
        <f>SUMIF(MATRIZCTAS!$A$7:$A$1766,'FECU 2012 (M$)'!B101,MATRIZCTAS!$AH$7:$AH$1766)*-1</f>
        <v>10189960</v>
      </c>
    </row>
    <row r="102" spans="1:6">
      <c r="A102" s="948" t="str">
        <f t="shared" si="2"/>
        <v>5.21.31.70</v>
      </c>
      <c r="B102" s="949">
        <v>5213170</v>
      </c>
      <c r="C102" s="956" t="s">
        <v>2778</v>
      </c>
      <c r="D102" s="953">
        <f>SUMIF(MATRIZCTAS!$A$7:$A$1766,'FECU 2012 (M$)'!B102,MATRIZCTAS!$AH$7:$AH$1766)*-1</f>
        <v>0</v>
      </c>
    </row>
    <row r="103" spans="1:6">
      <c r="A103" s="948" t="str">
        <f t="shared" si="2"/>
        <v>5.21.31.80</v>
      </c>
      <c r="B103" s="949">
        <v>5213180</v>
      </c>
      <c r="C103" s="956" t="s">
        <v>2779</v>
      </c>
      <c r="D103" s="953">
        <f>SUMIF(MATRIZCTAS!$A$7:$A$1766,'FECU 2012 (M$)'!B103,MATRIZCTAS!$AH$7:$AH$1766)*-1</f>
        <v>0</v>
      </c>
    </row>
    <row r="104" spans="1:6">
      <c r="A104" s="948" t="str">
        <f t="shared" si="2"/>
        <v>5.21.31.90</v>
      </c>
      <c r="B104" s="949">
        <v>5213190</v>
      </c>
      <c r="C104" s="956" t="s">
        <v>2780</v>
      </c>
      <c r="D104" s="953">
        <f>SUMIF(MATRIZCTAS!$A$7:$A$1766,'FECU 2012 (M$)'!B104,MATRIZCTAS!$AH$7:$AH$1766)*-1</f>
        <v>0</v>
      </c>
    </row>
    <row r="105" spans="1:6">
      <c r="A105" s="948"/>
      <c r="B105" s="949"/>
      <c r="C105" s="956"/>
      <c r="D105" s="953"/>
    </row>
    <row r="106" spans="1:6">
      <c r="A106" s="948" t="str">
        <f t="shared" si="2"/>
        <v>5.21.32.00</v>
      </c>
      <c r="B106" s="949">
        <v>5213200</v>
      </c>
      <c r="C106" s="959" t="s">
        <v>2781</v>
      </c>
      <c r="D106" s="951">
        <f>D107+D108+D109+D112</f>
        <v>4899792</v>
      </c>
    </row>
    <row r="107" spans="1:6">
      <c r="A107" s="948" t="str">
        <f t="shared" si="2"/>
        <v>5.21.32.10</v>
      </c>
      <c r="B107" s="949">
        <v>5213210</v>
      </c>
      <c r="C107" s="956" t="s">
        <v>2782</v>
      </c>
      <c r="D107" s="953">
        <f>SUMIF(MATRIZCTAS!$A$7:$A$1766,'FECU 2012 (M$)'!B107,MATRIZCTAS!$AH$7:$AH$1766)*-1</f>
        <v>1913536</v>
      </c>
    </row>
    <row r="108" spans="1:6">
      <c r="A108" s="948" t="str">
        <f t="shared" si="2"/>
        <v>5.21.32.20</v>
      </c>
      <c r="B108" s="949">
        <v>5213220</v>
      </c>
      <c r="C108" s="956" t="s">
        <v>3225</v>
      </c>
      <c r="D108" s="953">
        <f>SUMIF(MATRIZCTAS!$A$7:$A$1766,'FECU 2012 (M$)'!B108,MATRIZCTAS!$AH$7:$AH$1766)*-1</f>
        <v>2986256</v>
      </c>
    </row>
    <row r="109" spans="1:6">
      <c r="A109" s="948" t="str">
        <f t="shared" si="2"/>
        <v>5.21.32.30</v>
      </c>
      <c r="B109" s="949">
        <v>5213230</v>
      </c>
      <c r="C109" s="956" t="s">
        <v>2784</v>
      </c>
      <c r="D109" s="951">
        <f>SUM(D110:D111)</f>
        <v>0</v>
      </c>
    </row>
    <row r="110" spans="1:6">
      <c r="A110" s="948" t="str">
        <f t="shared" si="2"/>
        <v>5.21.32.31</v>
      </c>
      <c r="B110" s="949">
        <v>5213231</v>
      </c>
      <c r="C110" s="956" t="s">
        <v>2785</v>
      </c>
      <c r="D110" s="953">
        <f>SUMIF(MATRIZCTAS!$A$7:$A$1766,'FECU 2012 (M$)'!B110,MATRIZCTAS!$AH$7:$AH$1766)*-1</f>
        <v>0</v>
      </c>
    </row>
    <row r="111" spans="1:6">
      <c r="A111" s="948" t="str">
        <f t="shared" si="2"/>
        <v>5.21.32.32</v>
      </c>
      <c r="B111" s="949">
        <v>5213232</v>
      </c>
      <c r="C111" s="956" t="s">
        <v>2786</v>
      </c>
      <c r="D111" s="953">
        <f>SUMIF(MATRIZCTAS!$A$7:$A$1766,'FECU 2012 (M$)'!B111,MATRIZCTAS!$AH$7:$AH$1766)*-1</f>
        <v>0</v>
      </c>
    </row>
    <row r="112" spans="1:6">
      <c r="A112" s="948" t="str">
        <f t="shared" si="2"/>
        <v>5.21.32.40</v>
      </c>
      <c r="B112" s="949">
        <v>5213240</v>
      </c>
      <c r="C112" s="956" t="s">
        <v>2787</v>
      </c>
      <c r="D112" s="953">
        <f>SUMIF(MATRIZCTAS!$A$7:$A$1766,'FECU 2012 (M$)'!B112,MATRIZCTAS!$AH$7:$AH$1766)*-1</f>
        <v>0</v>
      </c>
    </row>
    <row r="113" spans="1:4">
      <c r="A113" s="948"/>
      <c r="B113" s="949"/>
      <c r="C113" s="952"/>
      <c r="D113" s="953"/>
    </row>
    <row r="114" spans="1:4">
      <c r="A114" s="948" t="str">
        <f t="shared" si="2"/>
        <v>5.21.40.00</v>
      </c>
      <c r="B114" s="949">
        <v>5214000</v>
      </c>
      <c r="C114" s="950" t="s">
        <v>649</v>
      </c>
      <c r="D114" s="954">
        <f>D116+D118</f>
        <v>39843024</v>
      </c>
    </row>
    <row r="115" spans="1:4">
      <c r="A115" s="948"/>
      <c r="B115" s="949"/>
      <c r="C115" s="952"/>
      <c r="D115" s="953"/>
    </row>
    <row r="116" spans="1:4">
      <c r="A116" s="948" t="str">
        <f t="shared" si="2"/>
        <v>5.21.41.00</v>
      </c>
      <c r="B116" s="949">
        <v>5214100</v>
      </c>
      <c r="C116" s="956" t="s">
        <v>2788</v>
      </c>
      <c r="D116" s="953">
        <f>SUMIF(MATRIZCTAS!$A$7:$A$1766,'FECU 2012 (M$)'!B116,MATRIZCTAS!$AH$7:$AH$1766)*-1</f>
        <v>14533</v>
      </c>
    </row>
    <row r="117" spans="1:4">
      <c r="A117" s="948"/>
      <c r="B117" s="949"/>
      <c r="C117" s="952"/>
      <c r="D117" s="953"/>
    </row>
    <row r="118" spans="1:4">
      <c r="A118" s="948" t="str">
        <f t="shared" si="2"/>
        <v>5.21.42.00</v>
      </c>
      <c r="B118" s="949">
        <v>5214200</v>
      </c>
      <c r="C118" s="950" t="s">
        <v>1558</v>
      </c>
      <c r="D118" s="951">
        <f>D120+D123+D124+D125+D126+D127</f>
        <v>39828491</v>
      </c>
    </row>
    <row r="119" spans="1:4">
      <c r="A119" s="948"/>
      <c r="B119" s="949"/>
      <c r="C119" s="956"/>
      <c r="D119" s="953"/>
    </row>
    <row r="120" spans="1:4">
      <c r="A120" s="948" t="str">
        <f t="shared" si="2"/>
        <v>5.21.42.10</v>
      </c>
      <c r="B120" s="949">
        <v>5214210</v>
      </c>
      <c r="C120" s="959" t="s">
        <v>2789</v>
      </c>
      <c r="D120" s="951">
        <f>SUM(D121:D122)</f>
        <v>4897981</v>
      </c>
    </row>
    <row r="121" spans="1:4">
      <c r="A121" s="948" t="str">
        <f t="shared" si="2"/>
        <v>5.21.42.11</v>
      </c>
      <c r="B121" s="949">
        <v>5214211</v>
      </c>
      <c r="C121" s="956" t="s">
        <v>2790</v>
      </c>
      <c r="D121" s="953">
        <f>SUMIF(MATRIZCTAS!$A$7:$A$1766,'FECU 2012 (M$)'!B121,MATRIZCTAS!$AH$7:$AH$1766)*-1</f>
        <v>1889708</v>
      </c>
    </row>
    <row r="122" spans="1:4">
      <c r="A122" s="948" t="str">
        <f t="shared" si="2"/>
        <v>5.21.42.12</v>
      </c>
      <c r="B122" s="949">
        <v>5214212</v>
      </c>
      <c r="C122" s="956" t="s">
        <v>2791</v>
      </c>
      <c r="D122" s="953">
        <f>SUMIF(MATRIZCTAS!$A$7:$A$1766,'FECU 2012 (M$)'!B122,MATRIZCTAS!$AH$7:$AH$1766)*-1</f>
        <v>3008273</v>
      </c>
    </row>
    <row r="123" spans="1:4">
      <c r="A123" s="948" t="str">
        <f t="shared" si="2"/>
        <v>5.21.42.20</v>
      </c>
      <c r="B123" s="949">
        <v>5214220</v>
      </c>
      <c r="C123" s="952" t="s">
        <v>2792</v>
      </c>
      <c r="D123" s="953">
        <f>SUMIF(MATRIZCTAS!$A$7:$A$1766,'FECU 2012 (M$)'!B123,MATRIZCTAS!$AH$7:$AH$1766)*-1</f>
        <v>776628</v>
      </c>
    </row>
    <row r="124" spans="1:4">
      <c r="A124" s="948" t="str">
        <f t="shared" si="2"/>
        <v>5.21.42.30</v>
      </c>
      <c r="B124" s="949">
        <v>5214230</v>
      </c>
      <c r="C124" s="956" t="s">
        <v>337</v>
      </c>
      <c r="D124" s="953">
        <f>SUMIF(MATRIZCTAS!$A$7:$A$1766,'FECU 2012 (M$)'!B124,MATRIZCTAS!$AH$7:$AH$1766)*-1</f>
        <v>1289782</v>
      </c>
    </row>
    <row r="125" spans="1:4">
      <c r="A125" s="948" t="str">
        <f t="shared" si="2"/>
        <v>5.21.42.40</v>
      </c>
      <c r="B125" s="949">
        <v>5214240</v>
      </c>
      <c r="C125" s="956" t="s">
        <v>664</v>
      </c>
      <c r="D125" s="953">
        <f>SUMIF(MATRIZCTAS!$A$7:$A$1766,'FECU 2012 (M$)'!B125,MATRIZCTAS!$AH$7:$AH$1766)*-1</f>
        <v>244874</v>
      </c>
    </row>
    <row r="126" spans="1:4">
      <c r="A126" s="948" t="str">
        <f t="shared" si="2"/>
        <v>5.21.42.50</v>
      </c>
      <c r="B126" s="949">
        <v>5214250</v>
      </c>
      <c r="C126" s="952" t="s">
        <v>2793</v>
      </c>
      <c r="D126" s="953">
        <f>SUMIF(MATRIZCTAS!$A$7:$A$1766,'FECU 2012 (M$)'!B126,MATRIZCTAS!$AH$7:$AH$1766)*-1</f>
        <v>0</v>
      </c>
    </row>
    <row r="127" spans="1:4">
      <c r="A127" s="948" t="str">
        <f t="shared" si="2"/>
        <v>5.21.42.60</v>
      </c>
      <c r="B127" s="949">
        <v>5214260</v>
      </c>
      <c r="C127" s="956" t="s">
        <v>2794</v>
      </c>
      <c r="D127" s="953">
        <f>SUMIF(MATRIZCTAS!$A$7:$A$1766,'FECU 2012 (M$)'!B127,MATRIZCTAS!$AH$7:$AH$1766)*-1</f>
        <v>32619226</v>
      </c>
    </row>
    <row r="128" spans="1:4">
      <c r="A128" s="948"/>
      <c r="B128" s="949"/>
      <c r="C128" s="952"/>
      <c r="D128" s="953"/>
    </row>
    <row r="129" spans="1:4">
      <c r="A129" s="948" t="str">
        <f t="shared" si="2"/>
        <v>5.22.00.00</v>
      </c>
      <c r="B129" s="949">
        <v>5220000</v>
      </c>
      <c r="C129" s="950" t="s">
        <v>2795</v>
      </c>
      <c r="D129" s="954">
        <f>D131+D133+D135+D140</f>
        <v>218056192</v>
      </c>
    </row>
    <row r="130" spans="1:4">
      <c r="A130" s="948"/>
      <c r="B130" s="949"/>
      <c r="C130" s="956"/>
      <c r="D130" s="953"/>
    </row>
    <row r="131" spans="1:4">
      <c r="A131" s="948" t="str">
        <f t="shared" si="2"/>
        <v>5.22.10.00</v>
      </c>
      <c r="B131" s="949">
        <v>5221000</v>
      </c>
      <c r="C131" s="956" t="s">
        <v>1123</v>
      </c>
      <c r="D131" s="954">
        <f>SUMIF(MATRIZCTAS!$A$7:$A$1766,'FECU 2012 (M$)'!B131,MATRIZCTAS!$AH$7:$AH$1766)*-1</f>
        <v>159350293</v>
      </c>
    </row>
    <row r="132" spans="1:4">
      <c r="A132" s="948"/>
      <c r="B132" s="949"/>
      <c r="C132" s="952"/>
      <c r="D132" s="953"/>
    </row>
    <row r="133" spans="1:4">
      <c r="A133" s="948" t="str">
        <f t="shared" si="2"/>
        <v>5.22.20.00</v>
      </c>
      <c r="B133" s="949">
        <v>5222000</v>
      </c>
      <c r="C133" s="952" t="s">
        <v>2796</v>
      </c>
      <c r="D133" s="954">
        <f>SUMIF(MATRIZCTAS!$A$7:$A$1766,'FECU 2012 (M$)'!B133,MATRIZCTAS!$AH$7:$AH$1766)*-1</f>
        <v>6360755</v>
      </c>
    </row>
    <row r="134" spans="1:4">
      <c r="A134" s="948"/>
      <c r="B134" s="949"/>
      <c r="C134" s="952"/>
      <c r="D134" s="953"/>
    </row>
    <row r="135" spans="1:4">
      <c r="A135" s="948" t="str">
        <f t="shared" si="2"/>
        <v>5.22.30.00</v>
      </c>
      <c r="B135" s="949">
        <v>5223000</v>
      </c>
      <c r="C135" s="952" t="s">
        <v>2797</v>
      </c>
      <c r="D135" s="954">
        <f>SUM(D136:D138)</f>
        <v>52345144</v>
      </c>
    </row>
    <row r="136" spans="1:4">
      <c r="A136" s="948" t="str">
        <f t="shared" si="2"/>
        <v>5.22.31.00</v>
      </c>
      <c r="B136" s="949">
        <v>5223100</v>
      </c>
      <c r="C136" s="956" t="s">
        <v>2798</v>
      </c>
      <c r="D136" s="953">
        <f>SUMIF(MATRIZCTAS!$A$7:$A$1766,'FECU 2012 (M$)'!B136,MATRIZCTAS!$AH$7:$AH$1766)*-1</f>
        <v>37453902</v>
      </c>
    </row>
    <row r="137" spans="1:4">
      <c r="A137" s="948" t="str">
        <f t="shared" si="2"/>
        <v>5.22.32.00</v>
      </c>
      <c r="B137" s="949">
        <v>5223200</v>
      </c>
      <c r="C137" s="956" t="s">
        <v>2799</v>
      </c>
      <c r="D137" s="953">
        <f>D228</f>
        <v>14891242</v>
      </c>
    </row>
    <row r="138" spans="1:4">
      <c r="A138" s="948" t="str">
        <f t="shared" si="2"/>
        <v>5.22.33.00</v>
      </c>
      <c r="B138" s="949">
        <v>5223300</v>
      </c>
      <c r="C138" s="956" t="s">
        <v>2800</v>
      </c>
      <c r="D138" s="953">
        <f>SUMIF(MATRIZCTAS!$A$7:$A$1766,'FECU 2012 (M$)'!B138,MATRIZCTAS!$AH$7:$AH$1766)*-1</f>
        <v>0</v>
      </c>
    </row>
    <row r="139" spans="1:4">
      <c r="A139" s="948"/>
      <c r="B139" s="949"/>
      <c r="C139" s="959"/>
      <c r="D139" s="953"/>
    </row>
    <row r="140" spans="1:4">
      <c r="A140" s="948" t="str">
        <f t="shared" si="2"/>
        <v>5.22.40.00</v>
      </c>
      <c r="B140" s="949">
        <v>5224000</v>
      </c>
      <c r="C140" s="956" t="s">
        <v>2801</v>
      </c>
      <c r="D140" s="953">
        <f>SUMIF(MATRIZCTAS!$A$7:$A$1766,'FECU 2012 (M$)'!B140,MATRIZCTAS!$AH$7:$AH$1766)*-1</f>
        <v>0</v>
      </c>
    </row>
    <row r="141" spans="1:4">
      <c r="A141" s="961"/>
      <c r="B141" s="962"/>
      <c r="C141" s="970"/>
      <c r="D141" s="953"/>
    </row>
    <row r="145" spans="1:4">
      <c r="A145" s="987" t="s">
        <v>2802</v>
      </c>
      <c r="B145" s="988"/>
      <c r="C145" s="989"/>
      <c r="D145" s="990">
        <f>D81</f>
        <v>41121</v>
      </c>
    </row>
    <row r="146" spans="1:4">
      <c r="A146" s="944"/>
      <c r="B146" s="945"/>
      <c r="C146" s="946"/>
      <c r="D146" s="968"/>
    </row>
    <row r="147" spans="1:4">
      <c r="A147" s="971" t="s">
        <v>2803</v>
      </c>
      <c r="B147" s="949"/>
      <c r="C147" s="950"/>
      <c r="D147" s="991"/>
    </row>
    <row r="148" spans="1:4">
      <c r="A148" s="948"/>
      <c r="B148" s="949"/>
      <c r="C148" s="950"/>
      <c r="D148" s="972"/>
    </row>
    <row r="149" spans="1:4">
      <c r="A149" s="973" t="str">
        <f t="shared" ref="A149" si="3">MID(B149,1,1)&amp;"."&amp;MID(B149,2,2)&amp;"."&amp;MID(B149,4,2)&amp;"."&amp;MID(B149,6,2)</f>
        <v>5.31.10.00</v>
      </c>
      <c r="B149" s="974">
        <v>5311000</v>
      </c>
      <c r="C149" s="975" t="s">
        <v>2804</v>
      </c>
      <c r="D149" s="954">
        <f>D151+D156+D164+D169+D174+D180+D182+D184</f>
        <v>-32476248</v>
      </c>
    </row>
    <row r="150" spans="1:4">
      <c r="A150" s="948"/>
      <c r="B150" s="949"/>
      <c r="C150" s="950"/>
      <c r="D150" s="976"/>
    </row>
    <row r="151" spans="1:4">
      <c r="A151" s="948" t="str">
        <f t="shared" ref="A151:A228" si="4">MID(B151,1,1)&amp;"."&amp;MID(B151,2,2)&amp;"."&amp;MID(B151,4,2)&amp;"."&amp;MID(B151,6,2)</f>
        <v>5.31.11.00</v>
      </c>
      <c r="B151" s="949">
        <v>5311100</v>
      </c>
      <c r="C151" s="952" t="s">
        <v>2805</v>
      </c>
      <c r="D151" s="951">
        <f>SUM(D152:D154)</f>
        <v>123109774</v>
      </c>
    </row>
    <row r="152" spans="1:4">
      <c r="A152" s="948" t="str">
        <f t="shared" si="4"/>
        <v>5.31.11.10</v>
      </c>
      <c r="B152" s="949">
        <v>5311110</v>
      </c>
      <c r="C152" s="952" t="s">
        <v>2806</v>
      </c>
      <c r="D152" s="953">
        <f>SUMIF(MATRIZCTAS!$A$7:$A$1766,'FECU 2012 (M$)'!B152,MATRIZCTAS!$AH$7:$AH$1766)*-1</f>
        <v>124711650</v>
      </c>
    </row>
    <row r="153" spans="1:4">
      <c r="A153" s="948" t="str">
        <f t="shared" si="4"/>
        <v>5.31.11.20</v>
      </c>
      <c r="B153" s="949">
        <v>5311120</v>
      </c>
      <c r="C153" s="952" t="s">
        <v>2807</v>
      </c>
      <c r="D153" s="953">
        <f>SUMIF(MATRIZCTAS!$A$7:$A$1766,'FECU 2012 (M$)'!B153,MATRIZCTAS!$AH$7:$AH$1766)*-1</f>
        <v>0</v>
      </c>
    </row>
    <row r="154" spans="1:4">
      <c r="A154" s="948" t="str">
        <f t="shared" si="4"/>
        <v>5.31.11.30</v>
      </c>
      <c r="B154" s="949">
        <v>5311130</v>
      </c>
      <c r="C154" s="952" t="s">
        <v>2808</v>
      </c>
      <c r="D154" s="953">
        <f>SUMIF(MATRIZCTAS!$A$7:$A$1766,'FECU 2012 (M$)'!B154,MATRIZCTAS!$AH$7:$AH$1766)*-1</f>
        <v>-1601876</v>
      </c>
    </row>
    <row r="155" spans="1:4">
      <c r="A155" s="948"/>
      <c r="B155" s="949"/>
      <c r="C155" s="950"/>
      <c r="D155" s="953"/>
    </row>
    <row r="156" spans="1:4">
      <c r="A156" s="948" t="str">
        <f t="shared" si="4"/>
        <v>5.31.12.00</v>
      </c>
      <c r="B156" s="949">
        <v>5311200</v>
      </c>
      <c r="C156" s="952" t="s">
        <v>2809</v>
      </c>
      <c r="D156" s="951">
        <f>SUM(D157:D162)</f>
        <v>-2410685</v>
      </c>
    </row>
    <row r="157" spans="1:4">
      <c r="A157" s="948" t="str">
        <f t="shared" si="4"/>
        <v>5.31.12.10</v>
      </c>
      <c r="B157" s="949">
        <v>5311210</v>
      </c>
      <c r="C157" s="952" t="s">
        <v>2810</v>
      </c>
      <c r="D157" s="953">
        <f>SUMIF(MATRIZCTAS!$A$7:$A$1766,'FECU 2012 (M$)'!B157,MATRIZCTAS!$AH$7:$AH$1766)*-1</f>
        <v>301636</v>
      </c>
    </row>
    <row r="158" spans="1:4">
      <c r="A158" s="948" t="str">
        <f t="shared" si="4"/>
        <v>5.31.12.20</v>
      </c>
      <c r="B158" s="949">
        <v>5311220</v>
      </c>
      <c r="C158" s="952" t="s">
        <v>2811</v>
      </c>
      <c r="D158" s="953">
        <f>SUMIF(MATRIZCTAS!$A$7:$A$1766,'FECU 2012 (M$)'!B158,MATRIZCTAS!$AH$7:$AH$1766)*-1</f>
        <v>-241471</v>
      </c>
    </row>
    <row r="159" spans="1:4">
      <c r="A159" s="948" t="str">
        <f t="shared" si="4"/>
        <v>5.31.12.30</v>
      </c>
      <c r="B159" s="949">
        <v>5311230</v>
      </c>
      <c r="C159" s="952" t="s">
        <v>2812</v>
      </c>
      <c r="D159" s="953">
        <f>SUMIF(MATRIZCTAS!$A$7:$A$1766,'FECU 2012 (M$)'!B159,MATRIZCTAS!$AH$7:$AH$1766)*-1</f>
        <v>-2470850</v>
      </c>
    </row>
    <row r="160" spans="1:4">
      <c r="A160" s="948" t="str">
        <f t="shared" si="4"/>
        <v>5.31.12.40</v>
      </c>
      <c r="B160" s="949">
        <v>5311240</v>
      </c>
      <c r="C160" s="952" t="s">
        <v>2813</v>
      </c>
      <c r="D160" s="953">
        <f>SUMIF(MATRIZCTAS!$A$7:$A$1766,'FECU 2012 (M$)'!B160,MATRIZCTAS!$AH$7:$AH$1766)*-1</f>
        <v>0</v>
      </c>
    </row>
    <row r="161" spans="1:4">
      <c r="A161" s="948" t="str">
        <f t="shared" si="4"/>
        <v>5.31.12.50</v>
      </c>
      <c r="B161" s="949">
        <v>5311250</v>
      </c>
      <c r="C161" s="952" t="s">
        <v>2814</v>
      </c>
      <c r="D161" s="953">
        <f>SUMIF(MATRIZCTAS!$A$7:$A$1766,'FECU 2012 (M$)'!B161,MATRIZCTAS!$AH$7:$AH$1766)*-1</f>
        <v>0</v>
      </c>
    </row>
    <row r="162" spans="1:4">
      <c r="A162" s="948" t="str">
        <f t="shared" si="4"/>
        <v>5.31.12.60</v>
      </c>
      <c r="B162" s="949">
        <v>5311260</v>
      </c>
      <c r="C162" s="952" t="s">
        <v>2815</v>
      </c>
      <c r="D162" s="953">
        <f>SUMIF(MATRIZCTAS!$A$7:$A$1766,'FECU 2012 (M$)'!B162,MATRIZCTAS!$AH$7:$AH$1766)*-1</f>
        <v>0</v>
      </c>
    </row>
    <row r="163" spans="1:4">
      <c r="A163" s="948"/>
      <c r="B163" s="958"/>
      <c r="C163" s="956"/>
      <c r="D163" s="953"/>
    </row>
    <row r="164" spans="1:4">
      <c r="A164" s="948" t="str">
        <f t="shared" si="4"/>
        <v>5.31.13.00</v>
      </c>
      <c r="B164" s="949">
        <v>5311300</v>
      </c>
      <c r="C164" s="956" t="s">
        <v>2816</v>
      </c>
      <c r="D164" s="951">
        <f>SUM(D165:D167)</f>
        <v>-24589765</v>
      </c>
    </row>
    <row r="165" spans="1:4">
      <c r="A165" s="948" t="str">
        <f t="shared" si="4"/>
        <v>5.31.13.10</v>
      </c>
      <c r="B165" s="949">
        <v>5311310</v>
      </c>
      <c r="C165" s="952" t="s">
        <v>2817</v>
      </c>
      <c r="D165" s="953">
        <f>SUMIF(MATRIZCTAS!$A$7:$A$1766,'FECU 2012 (M$)'!B165,MATRIZCTAS!$AH$7:$AH$1766)*-1</f>
        <v>-26093855</v>
      </c>
    </row>
    <row r="166" spans="1:4">
      <c r="A166" s="948" t="str">
        <f t="shared" si="4"/>
        <v>5.31.13.20</v>
      </c>
      <c r="B166" s="949">
        <v>5311320</v>
      </c>
      <c r="C166" s="952" t="s">
        <v>2818</v>
      </c>
      <c r="D166" s="953">
        <f>SUMIF(MATRIZCTAS!$A$7:$A$1766,'FECU 2012 (M$)'!B166,MATRIZCTAS!$AH$7:$AH$1766)*-1</f>
        <v>1504090</v>
      </c>
    </row>
    <row r="167" spans="1:4">
      <c r="A167" s="948" t="str">
        <f t="shared" si="4"/>
        <v>5.31.13.30</v>
      </c>
      <c r="B167" s="949">
        <v>5311330</v>
      </c>
      <c r="C167" s="952" t="s">
        <v>2819</v>
      </c>
      <c r="D167" s="953">
        <f>SUMIF(MATRIZCTAS!$A$7:$A$1766,'FECU 2012 (M$)'!B167,MATRIZCTAS!$AH$7:$AH$1766)*-1</f>
        <v>0</v>
      </c>
    </row>
    <row r="168" spans="1:4">
      <c r="A168" s="948"/>
      <c r="B168" s="949"/>
      <c r="C168" s="956"/>
      <c r="D168" s="953"/>
    </row>
    <row r="169" spans="1:4">
      <c r="A169" s="948" t="str">
        <f t="shared" si="4"/>
        <v>5.31.14.00</v>
      </c>
      <c r="B169" s="949">
        <v>5311400</v>
      </c>
      <c r="C169" s="956" t="s">
        <v>2820</v>
      </c>
      <c r="D169" s="951">
        <f>SUM(D170:D172)</f>
        <v>-121804431</v>
      </c>
    </row>
    <row r="170" spans="1:4">
      <c r="A170" s="948" t="str">
        <f t="shared" si="4"/>
        <v>5.31.14.10</v>
      </c>
      <c r="B170" s="949">
        <v>5311410</v>
      </c>
      <c r="C170" s="952" t="s">
        <v>2821</v>
      </c>
      <c r="D170" s="953">
        <f>SUMIF(MATRIZCTAS!$A$7:$A$1766,'FECU 2012 (M$)'!B170,MATRIZCTAS!$AH$7:$AH$1766)*-1</f>
        <v>-121804431</v>
      </c>
    </row>
    <row r="171" spans="1:4">
      <c r="A171" s="948" t="str">
        <f t="shared" si="4"/>
        <v>5.31.14.20</v>
      </c>
      <c r="B171" s="949">
        <v>5311420</v>
      </c>
      <c r="C171" s="952" t="s">
        <v>2822</v>
      </c>
      <c r="D171" s="953">
        <f>SUMIF(MATRIZCTAS!$A$7:$A$1766,'FECU 2012 (M$)'!B171,MATRIZCTAS!$AH$7:$AH$1766)*-1</f>
        <v>0</v>
      </c>
    </row>
    <row r="172" spans="1:4">
      <c r="A172" s="948" t="str">
        <f t="shared" si="4"/>
        <v>5.31.14.30</v>
      </c>
      <c r="B172" s="949">
        <v>5311430</v>
      </c>
      <c r="C172" s="952" t="s">
        <v>2823</v>
      </c>
      <c r="D172" s="953">
        <f>SUMIF(MATRIZCTAS!$A$7:$A$1766,'FECU 2012 (M$)'!B172,MATRIZCTAS!$AH$7:$AH$1766)*-1</f>
        <v>0</v>
      </c>
    </row>
    <row r="173" spans="1:4">
      <c r="A173" s="948"/>
      <c r="B173" s="949"/>
      <c r="C173" s="956"/>
      <c r="D173" s="953"/>
    </row>
    <row r="174" spans="1:4">
      <c r="A174" s="948" t="str">
        <f t="shared" si="4"/>
        <v>5.31.15.00</v>
      </c>
      <c r="B174" s="949">
        <v>5311500</v>
      </c>
      <c r="C174" s="956" t="s">
        <v>20</v>
      </c>
      <c r="D174" s="951">
        <f>SUM(D175:D178)</f>
        <v>-6258994</v>
      </c>
    </row>
    <row r="175" spans="1:4">
      <c r="A175" s="948" t="str">
        <f t="shared" si="4"/>
        <v>5.31.15.10</v>
      </c>
      <c r="B175" s="949">
        <v>5311510</v>
      </c>
      <c r="C175" s="952" t="s">
        <v>2824</v>
      </c>
      <c r="D175" s="953">
        <f>SUMIF(MATRIZCTAS!$A$7:$A$1766,'FECU 2012 (M$)'!B175,MATRIZCTAS!$AH$7:$AH$1766)*-1</f>
        <v>-1578608</v>
      </c>
    </row>
    <row r="176" spans="1:4">
      <c r="A176" s="948" t="str">
        <f t="shared" si="4"/>
        <v>5.31.15.20</v>
      </c>
      <c r="B176" s="949">
        <v>5311520</v>
      </c>
      <c r="C176" s="952" t="s">
        <v>2825</v>
      </c>
      <c r="D176" s="953">
        <f>SUMIF(MATRIZCTAS!$A$7:$A$1766,'FECU 2012 (M$)'!B176,MATRIZCTAS!$AH$7:$AH$1766)*-1</f>
        <v>-4680386</v>
      </c>
    </row>
    <row r="177" spans="1:4">
      <c r="A177" s="948" t="str">
        <f t="shared" si="4"/>
        <v>5.31.15.30</v>
      </c>
      <c r="B177" s="949">
        <v>5311530</v>
      </c>
      <c r="C177" s="952" t="s">
        <v>2826</v>
      </c>
      <c r="D177" s="953">
        <f>SUMIF(MATRIZCTAS!$A$7:$A$1766,'FECU 2012 (M$)'!B177,MATRIZCTAS!$AH$7:$AH$1766)*-1</f>
        <v>0</v>
      </c>
    </row>
    <row r="178" spans="1:4">
      <c r="A178" s="948" t="str">
        <f t="shared" si="4"/>
        <v>5.31.15.40</v>
      </c>
      <c r="B178" s="949">
        <v>5311540</v>
      </c>
      <c r="C178" s="952" t="s">
        <v>2827</v>
      </c>
      <c r="D178" s="953">
        <f>SUMIF(MATRIZCTAS!$A$7:$A$1766,'FECU 2012 (M$)'!B178,MATRIZCTAS!$AH$7:$AH$1766)*-1</f>
        <v>0</v>
      </c>
    </row>
    <row r="179" spans="1:4">
      <c r="A179" s="948"/>
      <c r="B179" s="949"/>
      <c r="C179" s="952"/>
      <c r="D179" s="953"/>
    </row>
    <row r="180" spans="1:4">
      <c r="A180" s="948" t="str">
        <f t="shared" si="4"/>
        <v>5.31.16.00</v>
      </c>
      <c r="B180" s="949">
        <v>5311600</v>
      </c>
      <c r="C180" s="952" t="s">
        <v>2828</v>
      </c>
      <c r="D180" s="953">
        <f>SUMIF(MATRIZCTAS!$A$7:$A$1766,'FECU 2012 (M$)'!B180,MATRIZCTAS!$AH$7:$AH$1766)*-1</f>
        <v>-229560</v>
      </c>
    </row>
    <row r="181" spans="1:4">
      <c r="A181" s="948"/>
      <c r="B181" s="949"/>
      <c r="C181" s="952"/>
      <c r="D181" s="953"/>
    </row>
    <row r="182" spans="1:4">
      <c r="A182" s="948" t="str">
        <f t="shared" si="4"/>
        <v>5.31.17.00</v>
      </c>
      <c r="B182" s="949">
        <v>5311700</v>
      </c>
      <c r="C182" s="952" t="s">
        <v>129</v>
      </c>
      <c r="D182" s="953">
        <f>SUMIF(MATRIZCTAS!$A$7:$A$1766,'FECU 2012 (M$)'!B182,MATRIZCTAS!$AH$7:$AH$1766)*-1</f>
        <v>-86939</v>
      </c>
    </row>
    <row r="183" spans="1:4">
      <c r="A183" s="948"/>
      <c r="B183" s="949"/>
      <c r="C183" s="952"/>
      <c r="D183" s="953"/>
    </row>
    <row r="184" spans="1:4">
      <c r="A184" s="948" t="str">
        <f t="shared" si="4"/>
        <v>5.31.18.00</v>
      </c>
      <c r="B184" s="949">
        <v>5311800</v>
      </c>
      <c r="C184" s="952" t="s">
        <v>2829</v>
      </c>
      <c r="D184" s="953">
        <f>SUMIF(MATRIZCTAS!$A$7:$A$1766,'FECU 2012 (M$)'!B184,MATRIZCTAS!$AH$7:$AH$1766)*-1</f>
        <v>-205648</v>
      </c>
    </row>
    <row r="185" spans="1:4">
      <c r="A185" s="948"/>
      <c r="B185" s="949"/>
      <c r="C185" s="952"/>
      <c r="D185" s="953"/>
    </row>
    <row r="186" spans="1:4">
      <c r="A186" s="977" t="str">
        <f t="shared" si="4"/>
        <v>5.31.20.00</v>
      </c>
      <c r="B186" s="974">
        <v>5312000</v>
      </c>
      <c r="C186" s="975" t="s">
        <v>2830</v>
      </c>
      <c r="D186" s="954">
        <f>SUM(D187:D188)</f>
        <v>-15442241</v>
      </c>
    </row>
    <row r="187" spans="1:4">
      <c r="A187" s="948" t="str">
        <f t="shared" si="4"/>
        <v>5.31.21.00</v>
      </c>
      <c r="B187" s="949">
        <v>5312100</v>
      </c>
      <c r="C187" s="956" t="s">
        <v>25</v>
      </c>
      <c r="D187" s="953">
        <f>SUMIF(MATRIZCTAS!$A$7:$A$1766,'FECU 2012 (M$)'!B187,MATRIZCTAS!$AH$7:$AH$1766)*-1</f>
        <v>-7255568</v>
      </c>
    </row>
    <row r="188" spans="1:4">
      <c r="A188" s="948" t="str">
        <f t="shared" si="4"/>
        <v>5.31.22.00</v>
      </c>
      <c r="B188" s="949">
        <v>5312200</v>
      </c>
      <c r="C188" s="956" t="s">
        <v>998</v>
      </c>
      <c r="D188" s="953">
        <f>SUMIF(MATRIZCTAS!$A$7:$A$1766,'FECU 2012 (M$)'!B188,MATRIZCTAS!$AH$7:$AH$1766)*-1</f>
        <v>-8186673</v>
      </c>
    </row>
    <row r="189" spans="1:4">
      <c r="A189" s="949"/>
      <c r="B189" s="949"/>
      <c r="C189" s="956"/>
      <c r="D189" s="953"/>
    </row>
    <row r="190" spans="1:4">
      <c r="A190" s="973" t="str">
        <f t="shared" si="4"/>
        <v>5.31.30.00</v>
      </c>
      <c r="B190" s="974">
        <v>5313000</v>
      </c>
      <c r="C190" s="975" t="s">
        <v>2831</v>
      </c>
      <c r="D190" s="954">
        <f>D192+D196+D200+D206+D208</f>
        <v>66705649</v>
      </c>
    </row>
    <row r="191" spans="1:4">
      <c r="A191" s="948"/>
      <c r="B191" s="949"/>
      <c r="C191" s="956"/>
      <c r="D191" s="953"/>
    </row>
    <row r="192" spans="1:4">
      <c r="A192" s="948" t="str">
        <f t="shared" si="4"/>
        <v>5.31.31.00</v>
      </c>
      <c r="B192" s="949">
        <v>5313100</v>
      </c>
      <c r="C192" s="952" t="s">
        <v>2832</v>
      </c>
      <c r="D192" s="951">
        <f>SUM(D193:D194)</f>
        <v>10795392</v>
      </c>
    </row>
    <row r="193" spans="1:4">
      <c r="A193" s="948" t="str">
        <f t="shared" si="4"/>
        <v>5.31.31.10</v>
      </c>
      <c r="B193" s="949">
        <v>5313110</v>
      </c>
      <c r="C193" s="952" t="s">
        <v>2833</v>
      </c>
      <c r="D193" s="953">
        <f>SUMIF(MATRIZCTAS!$A$7:$A$1766,'FECU 2012 (M$)'!B193,MATRIZCTAS!$AH$7:$AH$1766)*-1</f>
        <v>256057</v>
      </c>
    </row>
    <row r="194" spans="1:4">
      <c r="A194" s="948" t="str">
        <f t="shared" si="4"/>
        <v>5.31.31.20</v>
      </c>
      <c r="B194" s="949">
        <v>5313120</v>
      </c>
      <c r="C194" s="952" t="s">
        <v>2834</v>
      </c>
      <c r="D194" s="953">
        <f>SUMIF(MATRIZCTAS!$A$7:$A$1766,'FECU 2012 (M$)'!B194,MATRIZCTAS!$AH$7:$AH$1766)*-1</f>
        <v>10539335</v>
      </c>
    </row>
    <row r="195" spans="1:4">
      <c r="A195" s="948"/>
      <c r="B195" s="949"/>
      <c r="C195" s="952"/>
      <c r="D195" s="953"/>
    </row>
    <row r="196" spans="1:4">
      <c r="A196" s="948" t="str">
        <f t="shared" si="4"/>
        <v>5.31.32.00</v>
      </c>
      <c r="B196" s="949">
        <v>5313200</v>
      </c>
      <c r="C196" s="952" t="s">
        <v>2835</v>
      </c>
      <c r="D196" s="951">
        <f>SUM(D197:D198)</f>
        <v>2135810</v>
      </c>
    </row>
    <row r="197" spans="1:4">
      <c r="A197" s="948" t="str">
        <f t="shared" si="4"/>
        <v>5.31.32.10</v>
      </c>
      <c r="B197" s="949">
        <v>5313210</v>
      </c>
      <c r="C197" s="952" t="s">
        <v>2833</v>
      </c>
      <c r="D197" s="953">
        <f>SUMIF(MATRIZCTAS!$A$7:$A$1766,'FECU 2012 (M$)'!B197,MATRIZCTAS!$AH$7:$AH$1766)*-1</f>
        <v>121085</v>
      </c>
    </row>
    <row r="198" spans="1:4">
      <c r="A198" s="948" t="str">
        <f t="shared" si="4"/>
        <v>5.31.32.20</v>
      </c>
      <c r="B198" s="949">
        <v>5313220</v>
      </c>
      <c r="C198" s="952" t="s">
        <v>2834</v>
      </c>
      <c r="D198" s="953">
        <f>SUMIF(MATRIZCTAS!$A$7:$A$1766,'FECU 2012 (M$)'!B198,MATRIZCTAS!$AH$7:$AH$1766)*-1</f>
        <v>2014725</v>
      </c>
    </row>
    <row r="199" spans="1:4">
      <c r="A199" s="948"/>
      <c r="B199" s="949"/>
      <c r="C199" s="956"/>
      <c r="D199" s="953"/>
    </row>
    <row r="200" spans="1:4">
      <c r="A200" s="948" t="str">
        <f t="shared" si="4"/>
        <v>5.31.33.00</v>
      </c>
      <c r="B200" s="949">
        <v>5313300</v>
      </c>
      <c r="C200" s="952" t="s">
        <v>2836</v>
      </c>
      <c r="D200" s="951">
        <f>SUM(D201:D204)</f>
        <v>54134067</v>
      </c>
    </row>
    <row r="201" spans="1:4">
      <c r="A201" s="948" t="str">
        <f t="shared" si="4"/>
        <v>5.31.33.10</v>
      </c>
      <c r="B201" s="949">
        <v>5313310</v>
      </c>
      <c r="C201" s="952" t="s">
        <v>2833</v>
      </c>
      <c r="D201" s="953">
        <f>SUMIF(MATRIZCTAS!$A$7:$A$1766,'FECU 2012 (M$)'!B201,MATRIZCTAS!$AH$7:$AH$1766)*-1</f>
        <v>11609428</v>
      </c>
    </row>
    <row r="202" spans="1:4">
      <c r="A202" s="948" t="str">
        <f t="shared" si="4"/>
        <v>5.31.33.20</v>
      </c>
      <c r="B202" s="949">
        <v>5313320</v>
      </c>
      <c r="C202" s="952" t="s">
        <v>2834</v>
      </c>
      <c r="D202" s="953">
        <f>SUMIF(MATRIZCTAS!$A$7:$A$1766,'FECU 2012 (M$)'!B202,MATRIZCTAS!$AH$7:$AH$1766)*-1</f>
        <v>44832161</v>
      </c>
    </row>
    <row r="203" spans="1:4">
      <c r="A203" s="948" t="str">
        <f t="shared" si="4"/>
        <v>5.31.33.30</v>
      </c>
      <c r="B203" s="949">
        <v>5313330</v>
      </c>
      <c r="C203" s="952" t="s">
        <v>2837</v>
      </c>
      <c r="D203" s="953">
        <f>SUMIF(MATRIZCTAS!$A$7:$A$1766,'FECU 2012 (M$)'!B203,MATRIZCTAS!$AH$7:$AH$1766)*-1</f>
        <v>-553282</v>
      </c>
    </row>
    <row r="204" spans="1:4">
      <c r="A204" s="948" t="str">
        <f t="shared" si="4"/>
        <v>5.31.33.40</v>
      </c>
      <c r="B204" s="949">
        <v>5313340</v>
      </c>
      <c r="C204" s="952" t="s">
        <v>2838</v>
      </c>
      <c r="D204" s="953">
        <f>SUMIF(MATRIZCTAS!$A$7:$A$1766,'FECU 2012 (M$)'!B204,MATRIZCTAS!$AH$7:$AH$1766)*-1</f>
        <v>-1754240</v>
      </c>
    </row>
    <row r="205" spans="1:4">
      <c r="A205" s="948"/>
      <c r="B205" s="949"/>
      <c r="C205" s="956"/>
      <c r="D205" s="953"/>
    </row>
    <row r="206" spans="1:4">
      <c r="A206" s="948" t="str">
        <f t="shared" si="4"/>
        <v>5.31.34.00</v>
      </c>
      <c r="B206" s="949">
        <v>5313400</v>
      </c>
      <c r="C206" s="956" t="s">
        <v>2839</v>
      </c>
      <c r="D206" s="953">
        <f>SUMIF(MATRIZCTAS!$A$7:$A$1766,'FECU 2012 (M$)'!B206,MATRIZCTAS!$AH$7:$AH$1766)*-1</f>
        <v>0</v>
      </c>
    </row>
    <row r="207" spans="1:4">
      <c r="A207" s="948"/>
      <c r="B207" s="949"/>
      <c r="C207" s="956"/>
      <c r="D207" s="953"/>
    </row>
    <row r="208" spans="1:4">
      <c r="A208" s="948" t="str">
        <f t="shared" si="4"/>
        <v>5.31.35.00</v>
      </c>
      <c r="B208" s="949">
        <v>5313500</v>
      </c>
      <c r="C208" s="956" t="s">
        <v>2840</v>
      </c>
      <c r="D208" s="953">
        <f>SUMIF(MATRIZCTAS!$A$7:$A$1766,'FECU 2012 (M$)'!B208,MATRIZCTAS!$AH$7:$AH$1766)*-1</f>
        <v>-359620</v>
      </c>
    </row>
    <row r="209" spans="1:4">
      <c r="A209" s="948"/>
      <c r="B209" s="949"/>
      <c r="C209" s="956"/>
      <c r="D209" s="953"/>
    </row>
    <row r="210" spans="1:4">
      <c r="A210" s="973" t="str">
        <f t="shared" si="4"/>
        <v>5.31.40.00</v>
      </c>
      <c r="B210" s="974">
        <v>5314000</v>
      </c>
      <c r="C210" s="975" t="s">
        <v>2841</v>
      </c>
      <c r="D210" s="954">
        <f>D149+D186+D190</f>
        <v>18787160</v>
      </c>
    </row>
    <row r="211" spans="1:4">
      <c r="A211" s="948"/>
      <c r="B211" s="949"/>
      <c r="C211" s="956"/>
      <c r="D211" s="953"/>
    </row>
    <row r="212" spans="1:4">
      <c r="A212" s="973" t="str">
        <f t="shared" si="4"/>
        <v>5.31.50.00</v>
      </c>
      <c r="B212" s="974">
        <v>5315000</v>
      </c>
      <c r="C212" s="975" t="s">
        <v>421</v>
      </c>
      <c r="D212" s="954">
        <f>D214+D216</f>
        <v>1670888</v>
      </c>
    </row>
    <row r="213" spans="1:4">
      <c r="A213" s="948"/>
      <c r="B213" s="949"/>
      <c r="C213" s="956"/>
      <c r="D213" s="953"/>
    </row>
    <row r="214" spans="1:4">
      <c r="A214" s="948" t="str">
        <f t="shared" si="4"/>
        <v>5.31.51.00</v>
      </c>
      <c r="B214" s="949">
        <v>5315100</v>
      </c>
      <c r="C214" s="956" t="s">
        <v>1172</v>
      </c>
      <c r="D214" s="953">
        <f>SUMIF(MATRIZCTAS!$A$7:$A$1766,'FECU 2012 (M$)'!B214,MATRIZCTAS!$AH$7:$AH$1766)*-1</f>
        <v>1913324</v>
      </c>
    </row>
    <row r="215" spans="1:4">
      <c r="A215" s="948"/>
      <c r="B215" s="949"/>
      <c r="C215" s="956"/>
      <c r="D215" s="953"/>
    </row>
    <row r="216" spans="1:4">
      <c r="A216" s="948" t="str">
        <f t="shared" si="4"/>
        <v>5.31.52.00</v>
      </c>
      <c r="B216" s="949">
        <v>5315200</v>
      </c>
      <c r="C216" s="956" t="s">
        <v>2842</v>
      </c>
      <c r="D216" s="953">
        <f>SUMIF(MATRIZCTAS!$A$7:$A$1766,'FECU 2012 (M$)'!B216,MATRIZCTAS!$AH$7:$AH$1766)*-1</f>
        <v>-242436</v>
      </c>
    </row>
    <row r="217" spans="1:4">
      <c r="A217" s="948"/>
      <c r="B217" s="949"/>
      <c r="C217" s="956"/>
      <c r="D217" s="953"/>
    </row>
    <row r="218" spans="1:4">
      <c r="A218" s="973" t="str">
        <f t="shared" si="4"/>
        <v>5.31.61.00</v>
      </c>
      <c r="B218" s="974">
        <v>5316100</v>
      </c>
      <c r="C218" s="975" t="s">
        <v>378</v>
      </c>
      <c r="D218" s="954">
        <f>SUMIF(MATRIZCTAS!$A$7:$A$1766,'FECU 2012 (M$)'!B218,MATRIZCTAS!$AH$7:$AH$1766)*-1</f>
        <v>-4386409</v>
      </c>
    </row>
    <row r="219" spans="1:4">
      <c r="A219" s="948"/>
      <c r="B219" s="949"/>
      <c r="C219" s="956"/>
      <c r="D219" s="953"/>
    </row>
    <row r="220" spans="1:4">
      <c r="A220" s="973" t="str">
        <f t="shared" si="4"/>
        <v>5.31.62.00</v>
      </c>
      <c r="B220" s="974">
        <v>5316200</v>
      </c>
      <c r="C220" s="975" t="s">
        <v>2843</v>
      </c>
      <c r="D220" s="954">
        <f>SUMIF(MATRIZCTAS!$A$7:$A$1766,'FECU 2012 (M$)'!B220,MATRIZCTAS!$AH$7:$AH$1766)*-1</f>
        <v>106455</v>
      </c>
    </row>
    <row r="221" spans="1:4">
      <c r="A221" s="948"/>
      <c r="B221" s="949"/>
      <c r="C221" s="956"/>
      <c r="D221" s="953"/>
    </row>
    <row r="222" spans="1:4">
      <c r="A222" s="973" t="str">
        <f t="shared" si="4"/>
        <v>5.31.70.00</v>
      </c>
      <c r="B222" s="974">
        <v>5317000</v>
      </c>
      <c r="C222" s="975" t="s">
        <v>2844</v>
      </c>
      <c r="D222" s="954">
        <f>D210+D212+D218+D220</f>
        <v>16178094</v>
      </c>
    </row>
    <row r="223" spans="1:4">
      <c r="A223" s="948"/>
      <c r="B223" s="949"/>
      <c r="C223" s="956"/>
      <c r="D223" s="953"/>
    </row>
    <row r="224" spans="1:4">
      <c r="A224" s="973" t="str">
        <f t="shared" si="4"/>
        <v>5.31.80.00</v>
      </c>
      <c r="B224" s="974">
        <v>5318000</v>
      </c>
      <c r="C224" s="975" t="s">
        <v>2845</v>
      </c>
      <c r="D224" s="954">
        <f>SUMIF(MATRIZCTAS!$A$7:$A$1766,'FECU 2012 (M$)'!B224,MATRIZCTAS!$AH$7:$AH$1766)*-1</f>
        <v>0</v>
      </c>
    </row>
    <row r="225" spans="1:4">
      <c r="A225" s="948"/>
      <c r="B225" s="949"/>
      <c r="C225" s="956"/>
      <c r="D225" s="953"/>
    </row>
    <row r="226" spans="1:4">
      <c r="A226" s="973" t="str">
        <f t="shared" si="4"/>
        <v>5.31.90.00</v>
      </c>
      <c r="B226" s="974">
        <v>5319000</v>
      </c>
      <c r="C226" s="975" t="s">
        <v>2846</v>
      </c>
      <c r="D226" s="954">
        <f>SUMIF(MATRIZCTAS!$A$7:$A$1766,'FECU 2012 (M$)'!B226,MATRIZCTAS!$AH$7:$AH$1766)*-1</f>
        <v>-1286852</v>
      </c>
    </row>
    <row r="227" spans="1:4">
      <c r="A227" s="948"/>
      <c r="B227" s="949"/>
      <c r="C227" s="956"/>
      <c r="D227" s="953"/>
    </row>
    <row r="228" spans="1:4">
      <c r="A228" s="973" t="str">
        <f t="shared" si="4"/>
        <v>5.31.00.00</v>
      </c>
      <c r="B228" s="974">
        <v>5310000</v>
      </c>
      <c r="C228" s="975" t="s">
        <v>2847</v>
      </c>
      <c r="D228" s="954">
        <f>D222+D224+D226</f>
        <v>14891242</v>
      </c>
    </row>
    <row r="229" spans="1:4">
      <c r="A229" s="948"/>
      <c r="B229" s="949"/>
      <c r="C229" s="956"/>
      <c r="D229" s="978"/>
    </row>
    <row r="230" spans="1:4">
      <c r="A230" s="979"/>
      <c r="B230" s="980"/>
      <c r="C230" s="981"/>
      <c r="D230" s="982"/>
    </row>
    <row r="231" spans="1:4">
      <c r="A231" s="983" t="s">
        <v>2848</v>
      </c>
      <c r="B231" s="949"/>
      <c r="C231" s="956"/>
      <c r="D231" s="984"/>
    </row>
    <row r="232" spans="1:4" ht="12" customHeight="1">
      <c r="A232" s="948"/>
      <c r="B232" s="949"/>
      <c r="C232" s="956"/>
      <c r="D232" s="953"/>
    </row>
    <row r="233" spans="1:4" ht="12" customHeight="1">
      <c r="A233" s="948" t="str">
        <f t="shared" ref="A233:A241" si="5">MID(B233,1,1)&amp;"."&amp;MID(B233,2,2)&amp;"."&amp;MID(B233,4,2)&amp;"."&amp;MID(B233,6,2)</f>
        <v>5.32.10.00</v>
      </c>
      <c r="B233" s="949">
        <v>5321000</v>
      </c>
      <c r="C233" s="956" t="s">
        <v>2849</v>
      </c>
      <c r="D233" s="953"/>
    </row>
    <row r="234" spans="1:4" ht="12" customHeight="1">
      <c r="A234" s="948"/>
      <c r="B234" s="949"/>
      <c r="C234" s="956"/>
      <c r="D234" s="953"/>
    </row>
    <row r="235" spans="1:4" ht="12" customHeight="1">
      <c r="A235" s="948" t="str">
        <f t="shared" si="5"/>
        <v>5.32.20.00</v>
      </c>
      <c r="B235" s="949">
        <v>5322000</v>
      </c>
      <c r="C235" s="956" t="s">
        <v>2850</v>
      </c>
      <c r="D235" s="953"/>
    </row>
    <row r="236" spans="1:4" ht="12" customHeight="1">
      <c r="A236" s="948"/>
      <c r="B236" s="949"/>
      <c r="C236" s="956"/>
      <c r="D236" s="953"/>
    </row>
    <row r="237" spans="1:4" ht="12" customHeight="1">
      <c r="A237" s="948" t="str">
        <f t="shared" si="5"/>
        <v>5.32.30.00</v>
      </c>
      <c r="B237" s="949">
        <v>5323000</v>
      </c>
      <c r="C237" s="956" t="s">
        <v>2851</v>
      </c>
      <c r="D237" s="953"/>
    </row>
    <row r="238" spans="1:4" ht="12" customHeight="1">
      <c r="A238" s="948"/>
      <c r="B238" s="949"/>
      <c r="C238" s="956"/>
      <c r="D238" s="953"/>
    </row>
    <row r="239" spans="1:4" ht="12" customHeight="1">
      <c r="A239" s="948" t="str">
        <f t="shared" si="5"/>
        <v>5.32.40.00</v>
      </c>
      <c r="B239" s="949">
        <v>5324000</v>
      </c>
      <c r="C239" s="956" t="s">
        <v>2852</v>
      </c>
      <c r="D239" s="953"/>
    </row>
    <row r="240" spans="1:4" ht="12" customHeight="1">
      <c r="A240" s="948"/>
      <c r="B240" s="949"/>
      <c r="C240" s="956"/>
      <c r="D240" s="953"/>
    </row>
    <row r="241" spans="1:4" ht="12" customHeight="1">
      <c r="A241" s="948" t="str">
        <f t="shared" si="5"/>
        <v>5.32.50.00</v>
      </c>
      <c r="B241" s="949">
        <v>5325000</v>
      </c>
      <c r="C241" s="956" t="s">
        <v>872</v>
      </c>
      <c r="D241" s="953"/>
    </row>
    <row r="242" spans="1:4" ht="12" customHeight="1">
      <c r="A242" s="948"/>
      <c r="B242" s="949"/>
      <c r="C242" s="956"/>
      <c r="D242" s="953"/>
    </row>
    <row r="243" spans="1:4" ht="12" customHeight="1">
      <c r="A243" s="973" t="str">
        <f t="shared" ref="A243" si="6">MID(B243,1,1)&amp;"."&amp;MID(B243,2,2)&amp;"."&amp;MID(B243,4,2)&amp;"."&amp;MID(B243,6,2)</f>
        <v>5.32.00.00</v>
      </c>
      <c r="B243" s="974">
        <v>5320000</v>
      </c>
      <c r="C243" s="975" t="s">
        <v>2853</v>
      </c>
      <c r="D243" s="978"/>
    </row>
    <row r="244" spans="1:4" ht="12" customHeight="1">
      <c r="A244" s="948"/>
      <c r="B244" s="949"/>
      <c r="C244" s="956"/>
      <c r="D244" s="972"/>
    </row>
    <row r="245" spans="1:4" ht="12" customHeight="1">
      <c r="A245" s="948"/>
      <c r="B245" s="949"/>
      <c r="C245" s="956"/>
      <c r="D245" s="976"/>
    </row>
    <row r="246" spans="1:4" ht="12" customHeight="1">
      <c r="A246" s="973" t="str">
        <f t="shared" ref="A246" si="7">MID(B246,1,1)&amp;"."&amp;MID(B246,2,2)&amp;"."&amp;MID(B246,4,2)&amp;"."&amp;MID(B246,6,2)</f>
        <v>5.30.00.00</v>
      </c>
      <c r="B246" s="974">
        <v>5300000</v>
      </c>
      <c r="C246" s="975" t="s">
        <v>2854</v>
      </c>
      <c r="D246" s="954"/>
    </row>
    <row r="247" spans="1:4">
      <c r="A247" s="961"/>
      <c r="B247" s="962"/>
      <c r="C247" s="970"/>
      <c r="D247" s="953"/>
    </row>
    <row r="249" spans="1:4">
      <c r="C249" s="985" t="s">
        <v>3533</v>
      </c>
      <c r="D249" s="966">
        <v>14891242</v>
      </c>
    </row>
    <row r="251" spans="1:4">
      <c r="D251" s="966">
        <f>D228-D249</f>
        <v>0</v>
      </c>
    </row>
  </sheetData>
  <hyperlinks>
    <hyperlink ref="C11" location="'5111000'!A1" display="Efectivo y Efectivo Equivalente"/>
    <hyperlink ref="C40" location="'5141100'!A1" display="Cuentas por Cobrar Asegurados"/>
    <hyperlink ref="C65" location="'5151100'!A1" display="Goodwill"/>
    <hyperlink ref="C75" location="'5153300'!A1" display="Deudores Relacionados"/>
    <hyperlink ref="C77" location="'5153500'!A1" display="Otros Activos"/>
    <hyperlink ref="C116" location="Provisiones!A1" display="Provisiones"/>
    <hyperlink ref="C127" location="'5214260'!A1" display="Otros Pasivos no Financieros"/>
    <hyperlink ref="C13" location="'5112000'!A1" display="Activos Financieros a Valor Razonable"/>
    <hyperlink ref="C186" location="'5312000'!A1" display="COSTOS DE ADMINISTRACIÓN (CA)"/>
    <hyperlink ref="C220" location="'5316200'!A1" display="Utilidad (Pérdida) por Unidades Reajustables "/>
  </hyperlinks>
  <printOptions horizontalCentered="1" verticalCentered="1"/>
  <pageMargins left="0.70866141732283472" right="0.70866141732283472" top="0.55118110236220474" bottom="0.74803149606299213" header="0.31496062992125984" footer="0.31496062992125984"/>
  <pageSetup paperSize="119" scale="84" fitToHeight="100" orientation="portrait" r:id="rId1"/>
  <headerFooter>
    <oddFooter>&amp;CPreparación y Presentación Estados Financieros de acuerdo a Clasificación Circular Nº 2022</oddFooter>
  </headerFooter>
  <ignoredErrors>
    <ignoredError sqref="D7:D8 D10:D148 D247 D150:D245" unlocked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tabColor rgb="FF7030A0"/>
    <pageSetUpPr fitToPage="1"/>
  </sheetPr>
  <dimension ref="A1:I251"/>
  <sheetViews>
    <sheetView showGridLines="0" topLeftCell="A232" zoomScaleNormal="100" workbookViewId="0">
      <selection activeCell="C249" sqref="C249"/>
    </sheetView>
  </sheetViews>
  <sheetFormatPr baseColWidth="10" defaultColWidth="67.5" defaultRowHeight="11.25"/>
  <cols>
    <col min="1" max="1" width="12.33203125" style="943" customWidth="1"/>
    <col min="2" max="2" width="14.1640625" style="964" bestFit="1" customWidth="1"/>
    <col min="3" max="3" width="90.33203125" style="965" customWidth="1"/>
    <col min="4" max="4" width="18.83203125" style="966" customWidth="1"/>
    <col min="5" max="5" width="16.1640625" style="943" customWidth="1"/>
    <col min="6" max="6" width="12.5" style="943" customWidth="1"/>
    <col min="7" max="7" width="13.1640625" style="943" customWidth="1"/>
    <col min="8" max="16384" width="67.5" style="943"/>
  </cols>
  <sheetData>
    <row r="1" spans="1:9" s="106" customFormat="1" ht="29.25">
      <c r="A1" s="35" t="s">
        <v>1739</v>
      </c>
      <c r="B1" s="36"/>
      <c r="C1" s="523"/>
      <c r="D1" s="36"/>
      <c r="E1" s="537"/>
      <c r="F1" s="537"/>
      <c r="G1" s="537"/>
      <c r="H1" s="36"/>
      <c r="I1" s="36"/>
    </row>
    <row r="2" spans="1:9" s="986" customFormat="1" ht="18.75" thickBot="1">
      <c r="A2" s="37" t="s">
        <v>1814</v>
      </c>
      <c r="B2" s="38"/>
      <c r="C2" s="524"/>
      <c r="D2" s="38"/>
      <c r="E2" s="549"/>
      <c r="F2" s="549"/>
      <c r="G2" s="549"/>
      <c r="H2" s="82"/>
      <c r="I2" s="82"/>
    </row>
    <row r="5" spans="1:9">
      <c r="A5" s="987" t="s">
        <v>2721</v>
      </c>
      <c r="B5" s="988"/>
      <c r="C5" s="989"/>
      <c r="D5" s="990">
        <v>41029</v>
      </c>
    </row>
    <row r="6" spans="1:9">
      <c r="A6" s="944"/>
      <c r="B6" s="945"/>
      <c r="C6" s="946"/>
      <c r="D6" s="947"/>
    </row>
    <row r="7" spans="1:9">
      <c r="A7" s="948" t="str">
        <f>MID(B7,1,1)&amp;"."&amp;MID(B7,2,2)&amp;"."&amp;MID(B7,4,2)&amp;"."&amp;MID(B7,6,2)</f>
        <v>5.10.00.00</v>
      </c>
      <c r="B7" s="949">
        <v>5100000</v>
      </c>
      <c r="C7" s="950" t="s">
        <v>2722</v>
      </c>
      <c r="D7" s="951">
        <f>D9+D27+D35+D37+D62</f>
        <v>2012264943180</v>
      </c>
    </row>
    <row r="8" spans="1:9">
      <c r="A8" s="948"/>
      <c r="B8" s="949"/>
      <c r="C8" s="952"/>
      <c r="D8" s="953"/>
    </row>
    <row r="9" spans="1:9">
      <c r="A9" s="948" t="str">
        <f t="shared" ref="A9:A73" si="0">MID(B9,1,1)&amp;"."&amp;MID(B9,2,2)&amp;"."&amp;MID(B9,4,2)&amp;"."&amp;MID(B9,6,2)</f>
        <v>5.11.00.00</v>
      </c>
      <c r="B9" s="949">
        <v>5110000</v>
      </c>
      <c r="C9" s="950" t="s">
        <v>2723</v>
      </c>
      <c r="D9" s="954">
        <f>D11+D13+D17+D21+D23+D15</f>
        <v>1720896390796</v>
      </c>
    </row>
    <row r="10" spans="1:9">
      <c r="A10" s="948"/>
      <c r="B10" s="949"/>
      <c r="C10" s="952"/>
      <c r="D10" s="953"/>
    </row>
    <row r="11" spans="1:9">
      <c r="A11" s="948" t="str">
        <f t="shared" si="0"/>
        <v>5.11.10.00</v>
      </c>
      <c r="B11" s="949">
        <v>5111000</v>
      </c>
      <c r="C11" s="952" t="s">
        <v>2724</v>
      </c>
      <c r="D11" s="953">
        <f>SUMIF(MATRIZCTAS!$A$7:$A$1766,'FECU 2012 ($)'!B11,MATRIZCTAS!$AG$7:$AG$1766)</f>
        <v>2197350830</v>
      </c>
    </row>
    <row r="12" spans="1:9">
      <c r="A12" s="948"/>
      <c r="B12" s="949"/>
      <c r="C12" s="952"/>
      <c r="D12" s="953"/>
    </row>
    <row r="13" spans="1:9">
      <c r="A13" s="948" t="str">
        <f t="shared" si="0"/>
        <v>5.11.20.00</v>
      </c>
      <c r="B13" s="949">
        <v>5112000</v>
      </c>
      <c r="C13" s="952" t="s">
        <v>2725</v>
      </c>
      <c r="D13" s="953">
        <f>SUMIF(MATRIZCTAS!$A$7:$A$1766,'FECU 2012 ($)'!B13,MATRIZCTAS!$AG$7:$AG$1766)</f>
        <v>162858393525</v>
      </c>
    </row>
    <row r="14" spans="1:9">
      <c r="A14" s="948"/>
      <c r="B14" s="949"/>
      <c r="C14" s="952"/>
      <c r="D14" s="953"/>
    </row>
    <row r="15" spans="1:9">
      <c r="A15" s="948" t="str">
        <f t="shared" si="0"/>
        <v>5.11.30.00</v>
      </c>
      <c r="B15" s="949">
        <v>5113000</v>
      </c>
      <c r="C15" s="952" t="s">
        <v>2726</v>
      </c>
      <c r="D15" s="953">
        <f>SUMIF(MATRIZCTAS!$A$7:$A$1766,'FECU 2012 ($)'!B15,MATRIZCTAS!$AG$7:$AG$1766)</f>
        <v>1466442588160</v>
      </c>
    </row>
    <row r="16" spans="1:9">
      <c r="A16" s="948"/>
      <c r="B16" s="949"/>
      <c r="C16" s="955"/>
      <c r="D16" s="953"/>
    </row>
    <row r="17" spans="1:5">
      <c r="A17" s="948" t="str">
        <f t="shared" si="0"/>
        <v>5.11.40.00</v>
      </c>
      <c r="B17" s="949">
        <v>5114000</v>
      </c>
      <c r="C17" s="955" t="s">
        <v>73</v>
      </c>
      <c r="D17" s="951">
        <f>SUM(D18:D19)</f>
        <v>36255061723</v>
      </c>
    </row>
    <row r="18" spans="1:5">
      <c r="A18" s="948" t="str">
        <f t="shared" si="0"/>
        <v>5.11.41.00</v>
      </c>
      <c r="B18" s="949">
        <v>5114100</v>
      </c>
      <c r="C18" s="956" t="s">
        <v>2727</v>
      </c>
      <c r="D18" s="953">
        <f>SUMIF(MATRIZCTAS!$A$7:$A$1766,'FECU 2012 ($)'!B18,MATRIZCTAS!$AG$7:$AG$1766)</f>
        <v>3332716513</v>
      </c>
    </row>
    <row r="19" spans="1:5">
      <c r="A19" s="948" t="str">
        <f t="shared" si="0"/>
        <v>5.11.42.00</v>
      </c>
      <c r="B19" s="949">
        <v>5114200</v>
      </c>
      <c r="C19" s="956" t="s">
        <v>2728</v>
      </c>
      <c r="D19" s="953">
        <f>SUMIF(MATRIZCTAS!$A$7:$A$1766,'FECU 2012 ($)'!B19,MATRIZCTAS!$AG$7:$AG$1766)</f>
        <v>32922345210</v>
      </c>
      <c r="E19" s="957"/>
    </row>
    <row r="20" spans="1:5">
      <c r="A20" s="948"/>
      <c r="B20" s="949"/>
      <c r="C20" s="956"/>
      <c r="D20" s="953"/>
    </row>
    <row r="21" spans="1:5">
      <c r="A21" s="948" t="str">
        <f t="shared" si="0"/>
        <v>5.11.50.00</v>
      </c>
      <c r="B21" s="958">
        <v>5115000</v>
      </c>
      <c r="C21" s="959" t="s">
        <v>2729</v>
      </c>
      <c r="D21" s="951">
        <f>SUMIF(MATRIZCTAS!$A$7:$A$1766,'FECU 2012 ($)'!B21,MATRIZCTAS!$AG$7:$AG$1766)</f>
        <v>33581900387</v>
      </c>
      <c r="E21" s="960"/>
    </row>
    <row r="22" spans="1:5">
      <c r="A22" s="948"/>
      <c r="B22" s="949"/>
      <c r="C22" s="956"/>
      <c r="D22" s="953"/>
    </row>
    <row r="23" spans="1:5">
      <c r="A23" s="948" t="str">
        <f t="shared" si="0"/>
        <v>5.11.60.00</v>
      </c>
      <c r="B23" s="949">
        <v>5116000</v>
      </c>
      <c r="C23" s="956" t="s">
        <v>2730</v>
      </c>
      <c r="D23" s="951">
        <f>SUM(D24:D25)</f>
        <v>19561096171</v>
      </c>
    </row>
    <row r="24" spans="1:5">
      <c r="A24" s="948" t="str">
        <f t="shared" si="0"/>
        <v>5.11.61.00</v>
      </c>
      <c r="B24" s="949">
        <v>5116100</v>
      </c>
      <c r="C24" s="956" t="s">
        <v>2731</v>
      </c>
      <c r="D24" s="953">
        <f>SUMIF(MATRIZCTAS!$A$7:$A$1766,'FECU 2012 ($)'!B24,MATRIZCTAS!$AG$7:$AG$1766)</f>
        <v>3448998669</v>
      </c>
    </row>
    <row r="25" spans="1:5">
      <c r="A25" s="948" t="str">
        <f t="shared" si="0"/>
        <v>5.11.62.00</v>
      </c>
      <c r="B25" s="949">
        <v>5116200</v>
      </c>
      <c r="C25" s="956" t="s">
        <v>2732</v>
      </c>
      <c r="D25" s="953">
        <f>SUMIF(MATRIZCTAS!$A$7:$A$1766,'FECU 2012 ($)'!B25,MATRIZCTAS!$AG$7:$AG$1766)</f>
        <v>16112097502</v>
      </c>
    </row>
    <row r="26" spans="1:5">
      <c r="A26" s="948"/>
      <c r="B26" s="949"/>
      <c r="C26" s="956"/>
      <c r="D26" s="953"/>
    </row>
    <row r="27" spans="1:5">
      <c r="A27" s="948" t="str">
        <f t="shared" si="0"/>
        <v>5.12.00.00</v>
      </c>
      <c r="B27" s="949">
        <v>5120000</v>
      </c>
      <c r="C27" s="959" t="s">
        <v>2733</v>
      </c>
      <c r="D27" s="954">
        <f>D29+D30+D31</f>
        <v>228873651422</v>
      </c>
    </row>
    <row r="28" spans="1:5">
      <c r="A28" s="948"/>
      <c r="B28" s="949"/>
      <c r="C28" s="956"/>
      <c r="D28" s="953"/>
    </row>
    <row r="29" spans="1:5">
      <c r="A29" s="948" t="str">
        <f t="shared" si="0"/>
        <v>5.12.10.00</v>
      </c>
      <c r="B29" s="949">
        <v>5121000</v>
      </c>
      <c r="C29" s="956" t="s">
        <v>2734</v>
      </c>
      <c r="D29" s="953">
        <f>SUMIF(MATRIZCTAS!$A$7:$A$1766,'FECU 2012 ($)'!B29,MATRIZCTAS!$AG$7:$AG$1766)</f>
        <v>104719212165</v>
      </c>
      <c r="E29" s="960"/>
    </row>
    <row r="30" spans="1:5">
      <c r="A30" s="948" t="str">
        <f t="shared" si="0"/>
        <v>5.12.20.00</v>
      </c>
      <c r="B30" s="949">
        <v>5122000</v>
      </c>
      <c r="C30" s="956" t="s">
        <v>2735</v>
      </c>
      <c r="D30" s="953">
        <f>SUMIF(MATRIZCTAS!$A$7:$A$1766,'FECU 2012 ($)'!B30,MATRIZCTAS!$AG$7:$AG$1766)</f>
        <v>114691455052</v>
      </c>
      <c r="E30" s="960"/>
    </row>
    <row r="31" spans="1:5">
      <c r="A31" s="948" t="str">
        <f t="shared" si="0"/>
        <v>5.12.30.00</v>
      </c>
      <c r="B31" s="949">
        <v>5123000</v>
      </c>
      <c r="C31" s="956" t="s">
        <v>2736</v>
      </c>
      <c r="D31" s="951">
        <f>SUM(D32:D33)</f>
        <v>9462984205</v>
      </c>
    </row>
    <row r="32" spans="1:5">
      <c r="A32" s="948" t="str">
        <f t="shared" si="0"/>
        <v>5.12.31.00</v>
      </c>
      <c r="B32" s="949">
        <v>5123100</v>
      </c>
      <c r="C32" s="956" t="s">
        <v>2737</v>
      </c>
      <c r="D32" s="953">
        <f>SUMIF(MATRIZCTAS!$A$7:$A$1766,'FECU 2012 ($)'!B32,MATRIZCTAS!$AG$7:$AG$1766)</f>
        <v>8913844358</v>
      </c>
    </row>
    <row r="33" spans="1:4">
      <c r="A33" s="948" t="str">
        <f t="shared" si="0"/>
        <v>5.12.32.00</v>
      </c>
      <c r="B33" s="949">
        <v>5123200</v>
      </c>
      <c r="C33" s="956" t="s">
        <v>2738</v>
      </c>
      <c r="D33" s="953">
        <f>SUMIF(MATRIZCTAS!$A$7:$A$1766,'FECU 2012 ($)'!B33,MATRIZCTAS!$AG$7:$AG$1766)</f>
        <v>549139847</v>
      </c>
    </row>
    <row r="34" spans="1:4">
      <c r="A34" s="948"/>
      <c r="B34" s="949"/>
      <c r="C34" s="959"/>
      <c r="D34" s="953"/>
    </row>
    <row r="35" spans="1:4">
      <c r="A35" s="948" t="str">
        <f t="shared" si="0"/>
        <v>5.13.00.00</v>
      </c>
      <c r="B35" s="949">
        <v>5130000</v>
      </c>
      <c r="C35" s="959" t="s">
        <v>2739</v>
      </c>
      <c r="D35" s="954">
        <f>SUMIF(MATRIZCTAS!$A$7:$A$1766,'FECU 2012 ($)'!B35,MATRIZCTAS!$AG$7:$AG$1766)</f>
        <v>0</v>
      </c>
    </row>
    <row r="36" spans="1:4">
      <c r="A36" s="948"/>
      <c r="B36" s="949"/>
      <c r="C36" s="952"/>
      <c r="D36" s="953"/>
    </row>
    <row r="37" spans="1:4">
      <c r="A37" s="948" t="str">
        <f t="shared" si="0"/>
        <v>5.14.00.00</v>
      </c>
      <c r="B37" s="949">
        <v>5140000</v>
      </c>
      <c r="C37" s="950" t="s">
        <v>2740</v>
      </c>
      <c r="D37" s="954">
        <f>D50+D39</f>
        <v>20223783755</v>
      </c>
    </row>
    <row r="38" spans="1:4">
      <c r="A38" s="948"/>
      <c r="B38" s="949"/>
      <c r="C38" s="952"/>
      <c r="D38" s="953"/>
    </row>
    <row r="39" spans="1:4">
      <c r="A39" s="948" t="str">
        <f t="shared" si="0"/>
        <v>5.14.10.00</v>
      </c>
      <c r="B39" s="949">
        <v>5141000</v>
      </c>
      <c r="C39" s="952" t="s">
        <v>2741</v>
      </c>
      <c r="D39" s="951">
        <f>D40+D41+D46</f>
        <v>12477452191</v>
      </c>
    </row>
    <row r="40" spans="1:4">
      <c r="A40" s="948" t="str">
        <f t="shared" si="0"/>
        <v>5.14.11.00</v>
      </c>
      <c r="B40" s="949">
        <v>5141100</v>
      </c>
      <c r="C40" s="952" t="s">
        <v>2742</v>
      </c>
      <c r="D40" s="953">
        <f>SUMIF(MATRIZCTAS!$A$7:$A$1766,'FECU 2012 ($)'!B40,MATRIZCTAS!$AG$7:$AG$1766)</f>
        <v>10489197661</v>
      </c>
    </row>
    <row r="41" spans="1:4">
      <c r="A41" s="948" t="str">
        <f t="shared" si="0"/>
        <v>5.14.12.00</v>
      </c>
      <c r="B41" s="949">
        <v>5141200</v>
      </c>
      <c r="C41" s="952" t="s">
        <v>2743</v>
      </c>
      <c r="D41" s="951">
        <f>SUM(D42:D45)</f>
        <v>1988254530</v>
      </c>
    </row>
    <row r="42" spans="1:4">
      <c r="A42" s="948" t="str">
        <f t="shared" si="0"/>
        <v>5.14.12.10</v>
      </c>
      <c r="B42" s="949">
        <v>5141210</v>
      </c>
      <c r="C42" s="956" t="s">
        <v>2744</v>
      </c>
      <c r="D42" s="953">
        <f>SUMIF(MATRIZCTAS!$A$7:$A$1766,'FECU 2012 ($)'!B42,MATRIZCTAS!$AG$7:$AG$1766)</f>
        <v>1292930653</v>
      </c>
    </row>
    <row r="43" spans="1:4">
      <c r="A43" s="948" t="str">
        <f t="shared" si="0"/>
        <v>5.14.12.20</v>
      </c>
      <c r="B43" s="949">
        <v>5141220</v>
      </c>
      <c r="C43" s="956" t="s">
        <v>2745</v>
      </c>
      <c r="D43" s="953">
        <f>SUMIF(MATRIZCTAS!$A$7:$A$1766,'FECU 2012 ($)'!B43,MATRIZCTAS!$AG$7:$AG$1766)</f>
        <v>0</v>
      </c>
    </row>
    <row r="44" spans="1:4">
      <c r="A44" s="948" t="str">
        <f t="shared" si="0"/>
        <v>5.14.12.30</v>
      </c>
      <c r="B44" s="949">
        <v>5141230</v>
      </c>
      <c r="C44" s="956" t="s">
        <v>2746</v>
      </c>
      <c r="D44" s="953">
        <f>SUMIF(MATRIZCTAS!$A$7:$A$1766,'FECU 2012 ($)'!B44,MATRIZCTAS!$AG$7:$AG$1766)</f>
        <v>0</v>
      </c>
    </row>
    <row r="45" spans="1:4">
      <c r="A45" s="948" t="str">
        <f t="shared" si="0"/>
        <v>5.14.12.40</v>
      </c>
      <c r="B45" s="949">
        <v>5141240</v>
      </c>
      <c r="C45" s="956" t="s">
        <v>2747</v>
      </c>
      <c r="D45" s="953">
        <f>SUMIF(MATRIZCTAS!$A$7:$A$1766,'FECU 2012 ($)'!B45,MATRIZCTAS!$AG$7:$AG$1766)</f>
        <v>695323877</v>
      </c>
    </row>
    <row r="46" spans="1:4">
      <c r="A46" s="948" t="str">
        <f t="shared" si="0"/>
        <v>5.14.13.00</v>
      </c>
      <c r="B46" s="949">
        <v>5141300</v>
      </c>
      <c r="C46" s="952" t="s">
        <v>2748</v>
      </c>
      <c r="D46" s="953">
        <f>SUM(D47:D48)</f>
        <v>0</v>
      </c>
    </row>
    <row r="47" spans="1:4">
      <c r="A47" s="948" t="str">
        <f t="shared" si="0"/>
        <v>5.14.13.10</v>
      </c>
      <c r="B47" s="949">
        <v>5141310</v>
      </c>
      <c r="C47" s="956" t="s">
        <v>2749</v>
      </c>
      <c r="D47" s="953">
        <f>SUMIF(MATRIZCTAS!$A$7:$A$1766,'FECU 2012 ($)'!B47,MATRIZCTAS!$AG$7:$AG$1766)</f>
        <v>0</v>
      </c>
    </row>
    <row r="48" spans="1:4">
      <c r="A48" s="948" t="str">
        <f t="shared" si="0"/>
        <v>5.14.13.20</v>
      </c>
      <c r="B48" s="949">
        <v>5141320</v>
      </c>
      <c r="C48" s="956" t="s">
        <v>2750</v>
      </c>
      <c r="D48" s="953">
        <f>SUMIF(MATRIZCTAS!$A$7:$A$1766,'FECU 2012 ($)'!B48,MATRIZCTAS!$AG$7:$AG$1766)</f>
        <v>0</v>
      </c>
    </row>
    <row r="49" spans="1:4">
      <c r="A49" s="948"/>
      <c r="B49" s="949"/>
      <c r="C49" s="952"/>
      <c r="D49" s="953"/>
    </row>
    <row r="50" spans="1:4">
      <c r="A50" s="948" t="str">
        <f t="shared" si="0"/>
        <v>5.14.20.00</v>
      </c>
      <c r="B50" s="949">
        <v>5142000</v>
      </c>
      <c r="C50" s="950" t="s">
        <v>2751</v>
      </c>
      <c r="D50" s="951">
        <f>D51+D52+D55+D56+D57+D58</f>
        <v>7746331564</v>
      </c>
    </row>
    <row r="51" spans="1:4">
      <c r="A51" s="948" t="str">
        <f t="shared" si="0"/>
        <v>5.14.21.00</v>
      </c>
      <c r="B51" s="949">
        <v>5142100</v>
      </c>
      <c r="C51" s="952" t="s">
        <v>2752</v>
      </c>
      <c r="D51" s="953">
        <f>SUMIF(MATRIZCTAS!$A$7:$A$1766,'FECU 2012 ($)'!B51,MATRIZCTAS!$AG$7:$AG$1766)</f>
        <v>175727266</v>
      </c>
    </row>
    <row r="52" spans="1:4">
      <c r="A52" s="948" t="str">
        <f t="shared" si="0"/>
        <v>5.14.22.00</v>
      </c>
      <c r="B52" s="949">
        <v>5142200</v>
      </c>
      <c r="C52" s="952" t="s">
        <v>2753</v>
      </c>
      <c r="D52" s="951">
        <f>SUM(D53:D54)</f>
        <v>6096550216</v>
      </c>
    </row>
    <row r="53" spans="1:4">
      <c r="A53" s="948" t="str">
        <f t="shared" si="0"/>
        <v>5.14.22.10</v>
      </c>
      <c r="B53" s="949">
        <v>5142210</v>
      </c>
      <c r="C53" s="956" t="s">
        <v>2754</v>
      </c>
      <c r="D53" s="953">
        <f>SUMIF(MATRIZCTAS!$A$7:$A$1766,'FECU 2012 ($)'!B53,MATRIZCTAS!$AG$7:$AG$1766)</f>
        <v>6096550216</v>
      </c>
    </row>
    <row r="54" spans="1:4">
      <c r="A54" s="948" t="str">
        <f t="shared" si="0"/>
        <v>5.14.22.20</v>
      </c>
      <c r="B54" s="949">
        <v>5142220</v>
      </c>
      <c r="C54" s="956" t="s">
        <v>2755</v>
      </c>
      <c r="D54" s="953">
        <f>SUMIF(MATRIZCTAS!$A$7:$A$1766,'FECU 2012 ($)'!B54,MATRIZCTAS!$AG$7:$AG$1766)</f>
        <v>0</v>
      </c>
    </row>
    <row r="55" spans="1:4">
      <c r="A55" s="948" t="str">
        <f t="shared" si="0"/>
        <v>5.14.23.00</v>
      </c>
      <c r="B55" s="949">
        <v>5142300</v>
      </c>
      <c r="C55" s="952" t="s">
        <v>2756</v>
      </c>
      <c r="D55" s="953">
        <f>SUMIF(MATRIZCTAS!$A$7:$A$1766,'FECU 2012 ($)'!B55,MATRIZCTAS!$AG$7:$AG$1766)</f>
        <v>534363755</v>
      </c>
    </row>
    <row r="56" spans="1:4">
      <c r="A56" s="948" t="str">
        <f t="shared" si="0"/>
        <v>5.14.24.00</v>
      </c>
      <c r="B56" s="949">
        <v>5142400</v>
      </c>
      <c r="C56" s="952" t="s">
        <v>2757</v>
      </c>
      <c r="D56" s="953">
        <f>SUMIF(MATRIZCTAS!$A$7:$A$1766,'FECU 2012 ($)'!B56,MATRIZCTAS!$AG$7:$AG$1766)</f>
        <v>0</v>
      </c>
    </row>
    <row r="57" spans="1:4">
      <c r="A57" s="948" t="str">
        <f t="shared" si="0"/>
        <v>5.14.25.00</v>
      </c>
      <c r="B57" s="949">
        <v>5142500</v>
      </c>
      <c r="C57" s="952" t="s">
        <v>2758</v>
      </c>
      <c r="D57" s="953">
        <f>SUMIF(MATRIZCTAS!$A$7:$A$1766,'FECU 2012 ($)'!B57,MATRIZCTAS!$AG$7:$AG$1766)</f>
        <v>939690327</v>
      </c>
    </row>
    <row r="58" spans="1:4">
      <c r="A58" s="948" t="str">
        <f t="shared" si="0"/>
        <v>5.14.26.00</v>
      </c>
      <c r="B58" s="949">
        <v>5142600</v>
      </c>
      <c r="C58" s="952" t="s">
        <v>2759</v>
      </c>
      <c r="D58" s="953">
        <f>SUMIF(MATRIZCTAS!$A$7:$A$1766,'FECU 2012 ($)'!B58,MATRIZCTAS!$AG$7:$AG$1766)</f>
        <v>0</v>
      </c>
    </row>
    <row r="59" spans="1:4">
      <c r="A59" s="948" t="str">
        <f t="shared" si="0"/>
        <v>5.14.27.00</v>
      </c>
      <c r="B59" s="949">
        <v>5142700</v>
      </c>
      <c r="C59" s="952" t="s">
        <v>2760</v>
      </c>
      <c r="D59" s="953">
        <f>SUMIF(MATRIZCTAS!$A$7:$A$1766,'FECU 2012 ($)'!B59,MATRIZCTAS!$AG$7:$AG$1766)</f>
        <v>0</v>
      </c>
    </row>
    <row r="60" spans="1:4">
      <c r="A60" s="948" t="str">
        <f t="shared" si="0"/>
        <v>5.14.28.00</v>
      </c>
      <c r="B60" s="949">
        <v>5142800</v>
      </c>
      <c r="C60" s="952" t="s">
        <v>2761</v>
      </c>
      <c r="D60" s="953">
        <f>SUMIF(MATRIZCTAS!$A$7:$A$1766,'FECU 2012 ($)'!B60,MATRIZCTAS!$AG$7:$AG$1766)</f>
        <v>0</v>
      </c>
    </row>
    <row r="61" spans="1:4">
      <c r="A61" s="948"/>
      <c r="B61" s="949"/>
      <c r="C61" s="956"/>
      <c r="D61" s="953"/>
    </row>
    <row r="62" spans="1:4">
      <c r="A62" s="948" t="str">
        <f t="shared" si="0"/>
        <v>5.15.00.00</v>
      </c>
      <c r="B62" s="949">
        <v>5150000</v>
      </c>
      <c r="C62" s="959" t="s">
        <v>85</v>
      </c>
      <c r="D62" s="954">
        <f>D64+D68+D72</f>
        <v>42271117207</v>
      </c>
    </row>
    <row r="63" spans="1:4">
      <c r="A63" s="948"/>
      <c r="B63" s="949"/>
      <c r="C63" s="956"/>
      <c r="D63" s="953"/>
    </row>
    <row r="64" spans="1:4">
      <c r="A64" s="948" t="str">
        <f t="shared" si="0"/>
        <v>5.15.10.00</v>
      </c>
      <c r="B64" s="949">
        <v>5151000</v>
      </c>
      <c r="C64" s="959" t="s">
        <v>871</v>
      </c>
      <c r="D64" s="951">
        <f>SUM(D65:D66)</f>
        <v>63807736</v>
      </c>
    </row>
    <row r="65" spans="1:8">
      <c r="A65" s="948" t="str">
        <f t="shared" si="0"/>
        <v>5.15.11.00</v>
      </c>
      <c r="B65" s="949">
        <v>5151100</v>
      </c>
      <c r="C65" s="956" t="s">
        <v>2762</v>
      </c>
      <c r="D65" s="953">
        <f>SUMIF(MATRIZCTAS!$A$7:$A$1766,'FECU 2012 ($)'!B65,MATRIZCTAS!$AG$7:$AG$1766)</f>
        <v>0</v>
      </c>
    </row>
    <row r="66" spans="1:8">
      <c r="A66" s="948" t="str">
        <f t="shared" si="0"/>
        <v>5.15.12.00</v>
      </c>
      <c r="B66" s="949">
        <v>5151200</v>
      </c>
      <c r="C66" s="956" t="s">
        <v>2763</v>
      </c>
      <c r="D66" s="953">
        <f>SUMIF(MATRIZCTAS!$A$7:$A$1766,'FECU 2012 ($)'!B66,MATRIZCTAS!$AG$7:$AG$1766)</f>
        <v>63807736</v>
      </c>
    </row>
    <row r="67" spans="1:8">
      <c r="A67" s="948"/>
      <c r="B67" s="949"/>
      <c r="C67" s="956"/>
      <c r="D67" s="953"/>
    </row>
    <row r="68" spans="1:8">
      <c r="A68" s="948" t="str">
        <f t="shared" si="0"/>
        <v>5.15.20.00</v>
      </c>
      <c r="B68" s="949">
        <v>5152000</v>
      </c>
      <c r="C68" s="959" t="s">
        <v>2764</v>
      </c>
      <c r="D68" s="951">
        <f>SUM(D69:D70)</f>
        <v>8506468639</v>
      </c>
    </row>
    <row r="69" spans="1:8">
      <c r="A69" s="948" t="str">
        <f t="shared" si="0"/>
        <v>5.15.21.00</v>
      </c>
      <c r="B69" s="949">
        <v>5152100</v>
      </c>
      <c r="C69" s="956" t="s">
        <v>2765</v>
      </c>
      <c r="D69" s="953">
        <f>SUMIF(MATRIZCTAS!$A$7:$A$1766,'FECU 2012 ($)'!B69,MATRIZCTAS!$AG$7:$AG$1766)</f>
        <v>1239879029</v>
      </c>
    </row>
    <row r="70" spans="1:8">
      <c r="A70" s="948" t="str">
        <f t="shared" si="0"/>
        <v>5.15.22.00</v>
      </c>
      <c r="B70" s="949">
        <v>5152200</v>
      </c>
      <c r="C70" s="956" t="s">
        <v>2766</v>
      </c>
      <c r="D70" s="953">
        <f>SUMIF(MATRIZCTAS!$A$7:$A$1766,'FECU 2012 ($)'!B70,MATRIZCTAS!$AG$7:$AG$1766)</f>
        <v>7266589610</v>
      </c>
    </row>
    <row r="71" spans="1:8">
      <c r="A71" s="948"/>
      <c r="B71" s="949"/>
      <c r="C71" s="956"/>
      <c r="D71" s="953"/>
    </row>
    <row r="72" spans="1:8">
      <c r="A72" s="948" t="str">
        <f t="shared" si="0"/>
        <v>5.15.30.00</v>
      </c>
      <c r="B72" s="949">
        <v>5153000</v>
      </c>
      <c r="C72" s="959" t="s">
        <v>1457</v>
      </c>
      <c r="D72" s="951">
        <f>SUM(D73:D77)</f>
        <v>33700840832</v>
      </c>
    </row>
    <row r="73" spans="1:8">
      <c r="A73" s="948" t="str">
        <f t="shared" si="0"/>
        <v>5.15.31.00</v>
      </c>
      <c r="B73" s="949">
        <v>5153100</v>
      </c>
      <c r="C73" s="956" t="s">
        <v>869</v>
      </c>
      <c r="D73" s="953">
        <f>SUMIF(MATRIZCTAS!$A$7:$A$1766,'FECU 2012 ($)'!B73,MATRIZCTAS!$AG$7:$AG$1766)</f>
        <v>390394916</v>
      </c>
    </row>
    <row r="74" spans="1:8">
      <c r="A74" s="948" t="str">
        <f t="shared" ref="A74:A77" si="1">MID(B74,1,1)&amp;"."&amp;MID(B74,2,2)&amp;"."&amp;MID(B74,4,2)&amp;"."&amp;MID(B74,6,2)</f>
        <v>5.15.32.00</v>
      </c>
      <c r="B74" s="949">
        <v>5153200</v>
      </c>
      <c r="C74" s="956" t="s">
        <v>2767</v>
      </c>
      <c r="D74" s="953">
        <f>SUMIF(MATRIZCTAS!$A$7:$A$1766,'FECU 2012 ($)'!B74,MATRIZCTAS!$AG$7:$AG$1766)</f>
        <v>76380121</v>
      </c>
    </row>
    <row r="75" spans="1:8">
      <c r="A75" s="948" t="str">
        <f t="shared" si="1"/>
        <v>5.15.33.00</v>
      </c>
      <c r="B75" s="949">
        <v>5153300</v>
      </c>
      <c r="C75" s="956" t="s">
        <v>599</v>
      </c>
      <c r="D75" s="953">
        <f>SUMIF(MATRIZCTAS!$A$7:$A$1766,'FECU 2012 ($)'!B75,MATRIZCTAS!$AG$7:$AG$1766)</f>
        <v>11329293891</v>
      </c>
    </row>
    <row r="76" spans="1:8">
      <c r="A76" s="948" t="str">
        <f t="shared" si="1"/>
        <v>5.15.34.00</v>
      </c>
      <c r="B76" s="949">
        <v>5153400</v>
      </c>
      <c r="C76" s="956" t="s">
        <v>870</v>
      </c>
      <c r="D76" s="953">
        <f>SUMIF(MATRIZCTAS!$A$7:$A$1766,'FECU 2012 ($)'!B76,MATRIZCTAS!$AG$7:$AG$1766)</f>
        <v>100136102</v>
      </c>
    </row>
    <row r="77" spans="1:8">
      <c r="A77" s="961" t="str">
        <f t="shared" si="1"/>
        <v>5.15.35.00</v>
      </c>
      <c r="B77" s="962">
        <v>5153500</v>
      </c>
      <c r="C77" s="963" t="s">
        <v>1457</v>
      </c>
      <c r="D77" s="953">
        <f>SUMIF(MATRIZCTAS!$A$7:$A$1766,'FECU 2012 ($)'!B77,MATRIZCTAS!$AG$7:$AG$1766)</f>
        <v>21804635802</v>
      </c>
    </row>
    <row r="80" spans="1:8">
      <c r="E80" s="957">
        <f>D7-D83</f>
        <v>0</v>
      </c>
      <c r="F80" s="957"/>
      <c r="G80" s="957"/>
      <c r="H80" s="967"/>
    </row>
    <row r="81" spans="1:4">
      <c r="A81" s="939" t="s">
        <v>2721</v>
      </c>
      <c r="B81" s="940"/>
      <c r="C81" s="941"/>
      <c r="D81" s="942">
        <f>D5</f>
        <v>41029</v>
      </c>
    </row>
    <row r="82" spans="1:4">
      <c r="A82" s="944"/>
      <c r="B82" s="945"/>
      <c r="C82" s="946"/>
      <c r="D82" s="968"/>
    </row>
    <row r="83" spans="1:4">
      <c r="A83" s="948" t="str">
        <f>MID(B83,1,1)&amp;"."&amp;MID(B83,2,2)&amp;"."&amp;MID(B83,4,2)&amp;"."&amp;MID(B83,6,2)</f>
        <v>5.20.00.00</v>
      </c>
      <c r="B83" s="949">
        <v>5200000</v>
      </c>
      <c r="C83" s="950" t="s">
        <v>2768</v>
      </c>
      <c r="D83" s="954">
        <f>D85+D129</f>
        <v>2012264943180</v>
      </c>
    </row>
    <row r="84" spans="1:4">
      <c r="A84" s="948"/>
      <c r="B84" s="949"/>
      <c r="C84" s="952"/>
      <c r="D84" s="947"/>
    </row>
    <row r="85" spans="1:4">
      <c r="A85" s="948" t="str">
        <f t="shared" ref="A85:A140" si="2">MID(B85,1,1)&amp;"."&amp;MID(B85,2,2)&amp;"."&amp;MID(B85,4,2)&amp;"."&amp;MID(B85,6,2)</f>
        <v>5.21.00.00</v>
      </c>
      <c r="B85" s="949">
        <v>5210000</v>
      </c>
      <c r="C85" s="950" t="s">
        <v>1559</v>
      </c>
      <c r="D85" s="951">
        <f>D87+D89+D91+D114</f>
        <v>1794208750872</v>
      </c>
    </row>
    <row r="86" spans="1:4">
      <c r="A86" s="948"/>
      <c r="B86" s="949"/>
      <c r="C86" s="952"/>
      <c r="D86" s="953"/>
    </row>
    <row r="87" spans="1:4">
      <c r="A87" s="948" t="str">
        <f t="shared" si="2"/>
        <v>5.21.10.00</v>
      </c>
      <c r="B87" s="949">
        <v>5211000</v>
      </c>
      <c r="C87" s="950" t="s">
        <v>2769</v>
      </c>
      <c r="D87" s="954">
        <f>SUMIF(MATRIZCTAS!$A$7:$A$1766,'FECU 2012 ($)'!B87,MATRIZCTAS!$AG$7:$AG$1766)*-1</f>
        <v>32514085193</v>
      </c>
    </row>
    <row r="88" spans="1:4">
      <c r="A88" s="948"/>
      <c r="B88" s="949"/>
      <c r="C88" s="952"/>
      <c r="D88" s="953"/>
    </row>
    <row r="89" spans="1:4">
      <c r="A89" s="948" t="str">
        <f t="shared" si="2"/>
        <v>5.21.20.00</v>
      </c>
      <c r="B89" s="949">
        <v>5212000</v>
      </c>
      <c r="C89" s="950" t="s">
        <v>2770</v>
      </c>
      <c r="D89" s="954">
        <f>SUMIF(MATRIZCTAS!$A$7:$A$1766,'FECU 2012 ($)'!B89,MATRIZCTAS!$AG$7:$AG$1766)*-1</f>
        <v>0</v>
      </c>
    </row>
    <row r="90" spans="1:4">
      <c r="A90" s="948"/>
      <c r="B90" s="949"/>
      <c r="C90" s="952"/>
      <c r="D90" s="953"/>
    </row>
    <row r="91" spans="1:4">
      <c r="A91" s="948" t="str">
        <f t="shared" si="2"/>
        <v>5.21.30.00</v>
      </c>
      <c r="B91" s="949">
        <v>5213000</v>
      </c>
      <c r="C91" s="950" t="s">
        <v>2771</v>
      </c>
      <c r="D91" s="954">
        <f>D93+D106</f>
        <v>1721851639871</v>
      </c>
    </row>
    <row r="92" spans="1:4">
      <c r="A92" s="948"/>
      <c r="B92" s="949"/>
      <c r="C92" s="955"/>
      <c r="D92" s="953"/>
    </row>
    <row r="93" spans="1:4">
      <c r="A93" s="948" t="str">
        <f t="shared" si="2"/>
        <v>5.21.31.00</v>
      </c>
      <c r="B93" s="949">
        <v>5213100</v>
      </c>
      <c r="C93" s="969" t="s">
        <v>379</v>
      </c>
      <c r="D93" s="951">
        <f>D94+D95+D98+D99+D100+D101+D102+D103+D104</f>
        <v>1716951847767</v>
      </c>
    </row>
    <row r="94" spans="1:4">
      <c r="A94" s="948" t="str">
        <f t="shared" si="2"/>
        <v>5.21.31.10</v>
      </c>
      <c r="B94" s="949">
        <v>5213110</v>
      </c>
      <c r="C94" s="956" t="s">
        <v>2772</v>
      </c>
      <c r="D94" s="953">
        <f>SUMIF(MATRIZCTAS!$A$7:$A$1766,'FECU 2012 ($)'!B94,MATRIZCTAS!$AG$7:$AG$1766)*-1</f>
        <v>7089998149</v>
      </c>
    </row>
    <row r="95" spans="1:4">
      <c r="A95" s="948" t="str">
        <f t="shared" si="2"/>
        <v>5.21.31.20</v>
      </c>
      <c r="B95" s="949">
        <v>5213120</v>
      </c>
      <c r="C95" s="956" t="s">
        <v>2773</v>
      </c>
      <c r="D95" s="951">
        <f>SUM(D96:D97)</f>
        <v>1625356222443</v>
      </c>
    </row>
    <row r="96" spans="1:4">
      <c r="A96" s="948" t="str">
        <f t="shared" si="2"/>
        <v>5.21.31.21</v>
      </c>
      <c r="B96" s="949">
        <v>5213121</v>
      </c>
      <c r="C96" s="956" t="s">
        <v>2774</v>
      </c>
      <c r="D96" s="953">
        <f>SUMIF(MATRIZCTAS!$A$7:$A$1766,'FECU 2012 ($)'!B96,MATRIZCTAS!$AG$7:$AG$1766)*-1</f>
        <v>1618193693992</v>
      </c>
    </row>
    <row r="97" spans="1:4">
      <c r="A97" s="948" t="str">
        <f t="shared" si="2"/>
        <v>5.21.31.22</v>
      </c>
      <c r="B97" s="958">
        <v>5213122</v>
      </c>
      <c r="C97" s="956" t="s">
        <v>2775</v>
      </c>
      <c r="D97" s="953">
        <f>SUMIF(MATRIZCTAS!$A$7:$A$1766,'FECU 2012 ($)'!B97,MATRIZCTAS!$AG$7:$AG$1766)*-1</f>
        <v>7162528451</v>
      </c>
    </row>
    <row r="98" spans="1:4">
      <c r="A98" s="948" t="str">
        <f t="shared" si="2"/>
        <v>5.21.31.30</v>
      </c>
      <c r="B98" s="949">
        <v>5213130</v>
      </c>
      <c r="C98" s="956" t="s">
        <v>906</v>
      </c>
      <c r="D98" s="953">
        <f>SUMIF(MATRIZCTAS!$A$7:$A$1766,'FECU 2012 ($)'!B98,MATRIZCTAS!$AG$7:$AG$1766)*-1</f>
        <v>21960736844</v>
      </c>
    </row>
    <row r="99" spans="1:4">
      <c r="A99" s="948" t="str">
        <f t="shared" si="2"/>
        <v>5.21.31.40</v>
      </c>
      <c r="B99" s="949">
        <v>5213140</v>
      </c>
      <c r="C99" s="956" t="s">
        <v>907</v>
      </c>
      <c r="D99" s="953">
        <f>SUMIF(MATRIZCTAS!$A$7:$A$1766,'FECU 2012 ($)'!B99,MATRIZCTAS!$AG$7:$AG$1766)*-1</f>
        <v>32860266092</v>
      </c>
    </row>
    <row r="100" spans="1:4">
      <c r="A100" s="948" t="str">
        <f t="shared" si="2"/>
        <v>5.21.31.50</v>
      </c>
      <c r="B100" s="949">
        <v>5213150</v>
      </c>
      <c r="C100" s="956" t="s">
        <v>2776</v>
      </c>
      <c r="D100" s="953">
        <f>SUMIF(MATRIZCTAS!$A$7:$A$1766,'FECU 2012 ($)'!B100,MATRIZCTAS!$AG$7:$AG$1766)*-1</f>
        <v>19494660692</v>
      </c>
    </row>
    <row r="101" spans="1:4">
      <c r="A101" s="948" t="str">
        <f t="shared" si="2"/>
        <v>5.21.31.60</v>
      </c>
      <c r="B101" s="949">
        <v>5213160</v>
      </c>
      <c r="C101" s="956" t="s">
        <v>2777</v>
      </c>
      <c r="D101" s="953">
        <f>SUMIF(MATRIZCTAS!$A$7:$A$1766,'FECU 2012 ($)'!B101,MATRIZCTAS!$AG$7:$AG$1766)*-1</f>
        <v>10189963547</v>
      </c>
    </row>
    <row r="102" spans="1:4">
      <c r="A102" s="948" t="str">
        <f t="shared" si="2"/>
        <v>5.21.31.70</v>
      </c>
      <c r="B102" s="949">
        <v>5213170</v>
      </c>
      <c r="C102" s="956" t="s">
        <v>2778</v>
      </c>
      <c r="D102" s="953">
        <f>SUMIF(MATRIZCTAS!$A$7:$A$1766,'FECU 2012 ($)'!B102,MATRIZCTAS!$AG$7:$AG$1766)*-1</f>
        <v>0</v>
      </c>
    </row>
    <row r="103" spans="1:4">
      <c r="A103" s="948" t="str">
        <f t="shared" si="2"/>
        <v>5.21.31.80</v>
      </c>
      <c r="B103" s="949">
        <v>5213180</v>
      </c>
      <c r="C103" s="956" t="s">
        <v>2779</v>
      </c>
      <c r="D103" s="953">
        <f>SUMIF(MATRIZCTAS!$A$7:$A$1766,'FECU 2012 ($)'!B103,MATRIZCTAS!$AG$7:$AG$1766)*-1</f>
        <v>0</v>
      </c>
    </row>
    <row r="104" spans="1:4">
      <c r="A104" s="948" t="str">
        <f t="shared" si="2"/>
        <v>5.21.31.90</v>
      </c>
      <c r="B104" s="949">
        <v>5213190</v>
      </c>
      <c r="C104" s="956" t="s">
        <v>2780</v>
      </c>
      <c r="D104" s="953">
        <f>SUMIF(MATRIZCTAS!$A$7:$A$1766,'FECU 2012 ($)'!B104,MATRIZCTAS!$AG$7:$AG$1766)*-1</f>
        <v>0</v>
      </c>
    </row>
    <row r="105" spans="1:4">
      <c r="A105" s="948"/>
      <c r="B105" s="949"/>
      <c r="C105" s="956"/>
      <c r="D105" s="953"/>
    </row>
    <row r="106" spans="1:4">
      <c r="A106" s="948" t="str">
        <f t="shared" si="2"/>
        <v>5.21.32.00</v>
      </c>
      <c r="B106" s="949">
        <v>5213200</v>
      </c>
      <c r="C106" s="959" t="s">
        <v>2781</v>
      </c>
      <c r="D106" s="951">
        <f>D107+D108+D109+D112</f>
        <v>4899792104</v>
      </c>
    </row>
    <row r="107" spans="1:4">
      <c r="A107" s="948" t="str">
        <f t="shared" si="2"/>
        <v>5.21.32.10</v>
      </c>
      <c r="B107" s="949">
        <v>5213210</v>
      </c>
      <c r="C107" s="956" t="s">
        <v>2782</v>
      </c>
      <c r="D107" s="953">
        <f>SUMIF(MATRIZCTAS!$A$7:$A$1766,'FECU 2012 ($)'!B107,MATRIZCTAS!$AG$7:$AG$1766)*-1</f>
        <v>1913535638</v>
      </c>
    </row>
    <row r="108" spans="1:4">
      <c r="A108" s="948" t="str">
        <f t="shared" si="2"/>
        <v>5.21.32.20</v>
      </c>
      <c r="B108" s="949">
        <v>5213220</v>
      </c>
      <c r="C108" s="956" t="s">
        <v>2783</v>
      </c>
      <c r="D108" s="953">
        <f>SUMIF(MATRIZCTAS!$A$7:$A$1766,'FECU 2012 ($)'!B108,MATRIZCTAS!$AG$7:$AG$1766)*-1</f>
        <v>2986256466</v>
      </c>
    </row>
    <row r="109" spans="1:4">
      <c r="A109" s="948" t="str">
        <f t="shared" si="2"/>
        <v>5.21.32.30</v>
      </c>
      <c r="B109" s="949">
        <v>5213230</v>
      </c>
      <c r="C109" s="956" t="s">
        <v>2784</v>
      </c>
      <c r="D109" s="951">
        <f>SUM(D110:D111)</f>
        <v>0</v>
      </c>
    </row>
    <row r="110" spans="1:4">
      <c r="A110" s="948" t="str">
        <f t="shared" si="2"/>
        <v>5.21.32.31</v>
      </c>
      <c r="B110" s="949">
        <v>5213231</v>
      </c>
      <c r="C110" s="956" t="s">
        <v>2785</v>
      </c>
      <c r="D110" s="953">
        <f>SUMIF(MATRIZCTAS!$A$7:$A$1766,'FECU 2012 ($)'!B110,MATRIZCTAS!$AG$7:$AG$1766)*-1</f>
        <v>0</v>
      </c>
    </row>
    <row r="111" spans="1:4">
      <c r="A111" s="948" t="str">
        <f t="shared" si="2"/>
        <v>5.21.32.32</v>
      </c>
      <c r="B111" s="949">
        <v>5213232</v>
      </c>
      <c r="C111" s="956" t="s">
        <v>2786</v>
      </c>
      <c r="D111" s="953">
        <f>SUMIF(MATRIZCTAS!$A$7:$A$1766,'FECU 2012 ($)'!B111,MATRIZCTAS!$AG$7:$AG$1766)*-1</f>
        <v>0</v>
      </c>
    </row>
    <row r="112" spans="1:4">
      <c r="A112" s="948" t="str">
        <f t="shared" si="2"/>
        <v>5.21.32.40</v>
      </c>
      <c r="B112" s="949">
        <v>5213240</v>
      </c>
      <c r="C112" s="956" t="s">
        <v>2787</v>
      </c>
      <c r="D112" s="953">
        <f>SUMIF(MATRIZCTAS!$A$7:$A$1766,'FECU 2012 ($)'!B112,MATRIZCTAS!$AG$7:$AG$1766)*-1</f>
        <v>0</v>
      </c>
    </row>
    <row r="113" spans="1:4">
      <c r="A113" s="948"/>
      <c r="B113" s="949"/>
      <c r="C113" s="952"/>
      <c r="D113" s="953"/>
    </row>
    <row r="114" spans="1:4">
      <c r="A114" s="948" t="str">
        <f t="shared" si="2"/>
        <v>5.21.40.00</v>
      </c>
      <c r="B114" s="949">
        <v>5214000</v>
      </c>
      <c r="C114" s="950" t="s">
        <v>649</v>
      </c>
      <c r="D114" s="954">
        <f>D116+D118</f>
        <v>39843025808</v>
      </c>
    </row>
    <row r="115" spans="1:4">
      <c r="A115" s="948"/>
      <c r="B115" s="949"/>
      <c r="C115" s="952"/>
      <c r="D115" s="953"/>
    </row>
    <row r="116" spans="1:4">
      <c r="A116" s="948" t="str">
        <f t="shared" si="2"/>
        <v>5.21.41.00</v>
      </c>
      <c r="B116" s="949">
        <v>5214100</v>
      </c>
      <c r="C116" s="956" t="s">
        <v>2788</v>
      </c>
      <c r="D116" s="953">
        <f>SUMIF(MATRIZCTAS!$A$7:$A$1766,'FECU 2012 ($)'!B116,MATRIZCTAS!$AG$7:$AG$1766)*-1</f>
        <v>14533121</v>
      </c>
    </row>
    <row r="117" spans="1:4">
      <c r="A117" s="948"/>
      <c r="B117" s="949"/>
      <c r="C117" s="952"/>
      <c r="D117" s="953"/>
    </row>
    <row r="118" spans="1:4">
      <c r="A118" s="948" t="str">
        <f t="shared" si="2"/>
        <v>5.21.42.00</v>
      </c>
      <c r="B118" s="949">
        <v>5214200</v>
      </c>
      <c r="C118" s="950" t="s">
        <v>1558</v>
      </c>
      <c r="D118" s="951">
        <f>D120+D123+D124+D125+D126+D127</f>
        <v>39828492687</v>
      </c>
    </row>
    <row r="119" spans="1:4">
      <c r="A119" s="948"/>
      <c r="B119" s="949"/>
      <c r="C119" s="956"/>
      <c r="D119" s="953"/>
    </row>
    <row r="120" spans="1:4">
      <c r="A120" s="948" t="str">
        <f t="shared" si="2"/>
        <v>5.21.42.10</v>
      </c>
      <c r="B120" s="949">
        <v>5214210</v>
      </c>
      <c r="C120" s="959" t="s">
        <v>2789</v>
      </c>
      <c r="D120" s="951">
        <f>SUM(D121:D122)</f>
        <v>4897983008</v>
      </c>
    </row>
    <row r="121" spans="1:4">
      <c r="A121" s="948" t="str">
        <f t="shared" si="2"/>
        <v>5.21.42.11</v>
      </c>
      <c r="B121" s="949">
        <v>5214211</v>
      </c>
      <c r="C121" s="956" t="s">
        <v>2790</v>
      </c>
      <c r="D121" s="953">
        <f>SUMIF(MATRIZCTAS!$A$7:$A$1766,'FECU 2012 ($)'!B121,MATRIZCTAS!$AG$7:$AG$1766)*-1</f>
        <v>1889709439</v>
      </c>
    </row>
    <row r="122" spans="1:4">
      <c r="A122" s="948" t="str">
        <f t="shared" si="2"/>
        <v>5.21.42.12</v>
      </c>
      <c r="B122" s="949">
        <v>5214212</v>
      </c>
      <c r="C122" s="956" t="s">
        <v>2791</v>
      </c>
      <c r="D122" s="953">
        <f>SUMIF(MATRIZCTAS!$A$7:$A$1766,'FECU 2012 ($)'!B122,MATRIZCTAS!$AG$7:$AG$1766)*-1</f>
        <v>3008273569</v>
      </c>
    </row>
    <row r="123" spans="1:4">
      <c r="A123" s="948" t="str">
        <f t="shared" si="2"/>
        <v>5.21.42.20</v>
      </c>
      <c r="B123" s="949">
        <v>5214220</v>
      </c>
      <c r="C123" s="952" t="s">
        <v>2792</v>
      </c>
      <c r="D123" s="953">
        <f>SUMIF(MATRIZCTAS!$A$7:$A$1766,'FECU 2012 ($)'!B123,MATRIZCTAS!$AG$7:$AG$1766)*-1</f>
        <v>776628058</v>
      </c>
    </row>
    <row r="124" spans="1:4">
      <c r="A124" s="948" t="str">
        <f t="shared" si="2"/>
        <v>5.21.42.30</v>
      </c>
      <c r="B124" s="949">
        <v>5214230</v>
      </c>
      <c r="C124" s="956" t="s">
        <v>337</v>
      </c>
      <c r="D124" s="953">
        <f>SUMIF(MATRIZCTAS!$A$7:$A$1766,'FECU 2012 ($)'!B124,MATRIZCTAS!$AG$7:$AG$1766)*-1</f>
        <v>1289781983</v>
      </c>
    </row>
    <row r="125" spans="1:4">
      <c r="A125" s="948" t="str">
        <f t="shared" si="2"/>
        <v>5.21.42.40</v>
      </c>
      <c r="B125" s="949">
        <v>5214240</v>
      </c>
      <c r="C125" s="956" t="s">
        <v>664</v>
      </c>
      <c r="D125" s="953">
        <f>SUMIF(MATRIZCTAS!$A$7:$A$1766,'FECU 2012 ($)'!B125,MATRIZCTAS!$AG$7:$AG$1766)*-1</f>
        <v>244875524</v>
      </c>
    </row>
    <row r="126" spans="1:4">
      <c r="A126" s="948" t="str">
        <f t="shared" si="2"/>
        <v>5.21.42.50</v>
      </c>
      <c r="B126" s="949">
        <v>5214250</v>
      </c>
      <c r="C126" s="952" t="s">
        <v>2793</v>
      </c>
      <c r="D126" s="953">
        <f>SUMIF(MATRIZCTAS!$A$7:$A$1766,'FECU 2012 ($)'!B126,MATRIZCTAS!$AG$7:$AG$1766)*-1</f>
        <v>0</v>
      </c>
    </row>
    <row r="127" spans="1:4">
      <c r="A127" s="948" t="str">
        <f t="shared" si="2"/>
        <v>5.21.42.60</v>
      </c>
      <c r="B127" s="949">
        <v>5214260</v>
      </c>
      <c r="C127" s="956" t="s">
        <v>2794</v>
      </c>
      <c r="D127" s="953">
        <f>SUMIF(MATRIZCTAS!$A$7:$A$1766,'FECU 2012 ($)'!B127,MATRIZCTAS!$AG$7:$AG$1766)*-1</f>
        <v>32619224114</v>
      </c>
    </row>
    <row r="128" spans="1:4">
      <c r="A128" s="948"/>
      <c r="B128" s="949"/>
      <c r="C128" s="952"/>
      <c r="D128" s="953"/>
    </row>
    <row r="129" spans="1:4">
      <c r="A129" s="948" t="str">
        <f t="shared" si="2"/>
        <v>5.22.00.00</v>
      </c>
      <c r="B129" s="949">
        <v>5220000</v>
      </c>
      <c r="C129" s="950" t="s">
        <v>2795</v>
      </c>
      <c r="D129" s="954">
        <f>D131+D133+D135+D140</f>
        <v>218056192308</v>
      </c>
    </row>
    <row r="130" spans="1:4">
      <c r="A130" s="948"/>
      <c r="B130" s="949"/>
      <c r="C130" s="956"/>
      <c r="D130" s="953"/>
    </row>
    <row r="131" spans="1:4">
      <c r="A131" s="948" t="str">
        <f t="shared" si="2"/>
        <v>5.22.10.00</v>
      </c>
      <c r="B131" s="949">
        <v>5221000</v>
      </c>
      <c r="C131" s="956" t="s">
        <v>1123</v>
      </c>
      <c r="D131" s="954">
        <f>SUMIF(MATRIZCTAS!$A$7:$A$1766,'FECU 2012 ($)'!B131,MATRIZCTAS!$AG$7:$AG$1766)*-1</f>
        <v>159350293730</v>
      </c>
    </row>
    <row r="132" spans="1:4">
      <c r="A132" s="948"/>
      <c r="B132" s="949"/>
      <c r="C132" s="952"/>
      <c r="D132" s="953"/>
    </row>
    <row r="133" spans="1:4">
      <c r="A133" s="948" t="str">
        <f t="shared" si="2"/>
        <v>5.22.20.00</v>
      </c>
      <c r="B133" s="949">
        <v>5222000</v>
      </c>
      <c r="C133" s="952" t="s">
        <v>2796</v>
      </c>
      <c r="D133" s="954">
        <f>SUMIF(MATRIZCTAS!$A$7:$A$1766,'FECU 2012 ($)'!B133,MATRIZCTAS!$AG$7:$AG$1766)*-1</f>
        <v>6360755598</v>
      </c>
    </row>
    <row r="134" spans="1:4">
      <c r="A134" s="948"/>
      <c r="B134" s="949"/>
      <c r="C134" s="952"/>
      <c r="D134" s="953"/>
    </row>
    <row r="135" spans="1:4">
      <c r="A135" s="948" t="str">
        <f t="shared" si="2"/>
        <v>5.22.30.00</v>
      </c>
      <c r="B135" s="949">
        <v>5223000</v>
      </c>
      <c r="C135" s="952" t="s">
        <v>2797</v>
      </c>
      <c r="D135" s="954">
        <f>SUM(D136:D138)</f>
        <v>52345142980</v>
      </c>
    </row>
    <row r="136" spans="1:4">
      <c r="A136" s="948" t="str">
        <f t="shared" si="2"/>
        <v>5.22.31.00</v>
      </c>
      <c r="B136" s="949">
        <v>5223100</v>
      </c>
      <c r="C136" s="956" t="s">
        <v>2798</v>
      </c>
      <c r="D136" s="953">
        <f>SUMIF(MATRIZCTAS!$A$7:$A$1766,'FECU 2012 ($)'!B136,MATRIZCTAS!$AG$7:$AG$1766)*-1</f>
        <v>37453902146</v>
      </c>
    </row>
    <row r="137" spans="1:4">
      <c r="A137" s="948" t="str">
        <f t="shared" si="2"/>
        <v>5.22.32.00</v>
      </c>
      <c r="B137" s="949">
        <v>5223200</v>
      </c>
      <c r="C137" s="956" t="s">
        <v>2799</v>
      </c>
      <c r="D137" s="953">
        <f>D228</f>
        <v>14891240834</v>
      </c>
    </row>
    <row r="138" spans="1:4">
      <c r="A138" s="948" t="str">
        <f t="shared" si="2"/>
        <v>5.22.33.00</v>
      </c>
      <c r="B138" s="949">
        <v>5223300</v>
      </c>
      <c r="C138" s="956" t="s">
        <v>2800</v>
      </c>
      <c r="D138" s="953">
        <f>SUMIF(MATRIZCTAS!$A$7:$A$1766,'FECU 2012 ($)'!B138,MATRIZCTAS!$AG$7:$AG$1766)*-1</f>
        <v>0</v>
      </c>
    </row>
    <row r="139" spans="1:4">
      <c r="A139" s="948"/>
      <c r="B139" s="949"/>
      <c r="C139" s="959"/>
      <c r="D139" s="953"/>
    </row>
    <row r="140" spans="1:4">
      <c r="A140" s="948" t="str">
        <f t="shared" si="2"/>
        <v>5.22.40.00</v>
      </c>
      <c r="B140" s="949">
        <v>5224000</v>
      </c>
      <c r="C140" s="956" t="s">
        <v>2801</v>
      </c>
      <c r="D140" s="953">
        <f>SUMIF(MATRIZCTAS!$A$7:$A$1766,'FECU 2012 ($)'!B140,MATRIZCTAS!$AG$7:$AG$1766)*-1</f>
        <v>0</v>
      </c>
    </row>
    <row r="141" spans="1:4">
      <c r="A141" s="961"/>
      <c r="B141" s="962"/>
      <c r="C141" s="970"/>
      <c r="D141" s="953"/>
    </row>
    <row r="145" spans="1:4">
      <c r="A145" s="987" t="s">
        <v>2802</v>
      </c>
      <c r="B145" s="988"/>
      <c r="C145" s="989"/>
      <c r="D145" s="990">
        <f>D81</f>
        <v>41029</v>
      </c>
    </row>
    <row r="146" spans="1:4">
      <c r="A146" s="944"/>
      <c r="B146" s="945"/>
      <c r="C146" s="946"/>
      <c r="D146" s="968"/>
    </row>
    <row r="147" spans="1:4">
      <c r="A147" s="971" t="s">
        <v>2803</v>
      </c>
      <c r="B147" s="949"/>
      <c r="C147" s="950"/>
      <c r="D147" s="991"/>
    </row>
    <row r="148" spans="1:4">
      <c r="A148" s="948"/>
      <c r="B148" s="949"/>
      <c r="C148" s="950"/>
      <c r="D148" s="972"/>
    </row>
    <row r="149" spans="1:4">
      <c r="A149" s="973" t="str">
        <f t="shared" ref="A149" si="3">MID(B149,1,1)&amp;"."&amp;MID(B149,2,2)&amp;"."&amp;MID(B149,4,2)&amp;"."&amp;MID(B149,6,2)</f>
        <v>5.31.10.00</v>
      </c>
      <c r="B149" s="974">
        <v>5311000</v>
      </c>
      <c r="C149" s="975" t="s">
        <v>2804</v>
      </c>
      <c r="D149" s="954">
        <f>D151+D156+D164+D169+D174+D180+D182+D184</f>
        <v>-32476249282</v>
      </c>
    </row>
    <row r="150" spans="1:4">
      <c r="A150" s="948"/>
      <c r="B150" s="949"/>
      <c r="C150" s="950"/>
      <c r="D150" s="976"/>
    </row>
    <row r="151" spans="1:4">
      <c r="A151" s="948" t="str">
        <f t="shared" ref="A151:A228" si="4">MID(B151,1,1)&amp;"."&amp;MID(B151,2,2)&amp;"."&amp;MID(B151,4,2)&amp;"."&amp;MID(B151,6,2)</f>
        <v>5.31.11.00</v>
      </c>
      <c r="B151" s="949">
        <v>5311100</v>
      </c>
      <c r="C151" s="952" t="s">
        <v>2805</v>
      </c>
      <c r="D151" s="951">
        <f>SUM(D152:D154)</f>
        <v>123109773891</v>
      </c>
    </row>
    <row r="152" spans="1:4">
      <c r="A152" s="948" t="str">
        <f t="shared" si="4"/>
        <v>5.31.11.10</v>
      </c>
      <c r="B152" s="949">
        <v>5311110</v>
      </c>
      <c r="C152" s="952" t="s">
        <v>2806</v>
      </c>
      <c r="D152" s="953">
        <f>SUMIF(MATRIZCTAS!$A$7:$A$1766,'FECU 2012 ($)'!B152,MATRIZCTAS!$AG$7:$AG$1766)*-1</f>
        <v>124711649329</v>
      </c>
    </row>
    <row r="153" spans="1:4">
      <c r="A153" s="948" t="str">
        <f t="shared" si="4"/>
        <v>5.31.11.20</v>
      </c>
      <c r="B153" s="949">
        <v>5311120</v>
      </c>
      <c r="C153" s="952" t="s">
        <v>2807</v>
      </c>
      <c r="D153" s="953">
        <f>SUMIF(MATRIZCTAS!$A$7:$A$1766,'FECU 2012 ($)'!B153,MATRIZCTAS!$AG$7:$AG$1766)*-1</f>
        <v>0</v>
      </c>
    </row>
    <row r="154" spans="1:4">
      <c r="A154" s="948" t="str">
        <f t="shared" si="4"/>
        <v>5.31.11.30</v>
      </c>
      <c r="B154" s="949">
        <v>5311130</v>
      </c>
      <c r="C154" s="952" t="s">
        <v>2808</v>
      </c>
      <c r="D154" s="953">
        <f>SUMIF(MATRIZCTAS!$A$7:$A$1766,'FECU 2012 ($)'!B154,MATRIZCTAS!$AG$7:$AG$1766)*-1</f>
        <v>-1601875438</v>
      </c>
    </row>
    <row r="155" spans="1:4">
      <c r="A155" s="948"/>
      <c r="B155" s="949"/>
      <c r="C155" s="950"/>
      <c r="D155" s="953"/>
    </row>
    <row r="156" spans="1:4">
      <c r="A156" s="948" t="str">
        <f t="shared" si="4"/>
        <v>5.31.12.00</v>
      </c>
      <c r="B156" s="949">
        <v>5311200</v>
      </c>
      <c r="C156" s="952" t="s">
        <v>2809</v>
      </c>
      <c r="D156" s="951">
        <f>SUM(D157:D162)</f>
        <v>-2410685463</v>
      </c>
    </row>
    <row r="157" spans="1:4">
      <c r="A157" s="948" t="str">
        <f t="shared" si="4"/>
        <v>5.31.12.10</v>
      </c>
      <c r="B157" s="949">
        <v>5311210</v>
      </c>
      <c r="C157" s="952" t="s">
        <v>2810</v>
      </c>
      <c r="D157" s="953">
        <f>SUMIF(MATRIZCTAS!$A$7:$A$1766,'FECU 2012 ($)'!B157,MATRIZCTAS!$AG$7:$AG$1766)*-1</f>
        <v>301635877</v>
      </c>
    </row>
    <row r="158" spans="1:4">
      <c r="A158" s="948" t="str">
        <f t="shared" si="4"/>
        <v>5.31.12.20</v>
      </c>
      <c r="B158" s="949">
        <v>5311220</v>
      </c>
      <c r="C158" s="952" t="s">
        <v>2811</v>
      </c>
      <c r="D158" s="953">
        <f>SUMIF(MATRIZCTAS!$A$7:$A$1766,'FECU 2012 ($)'!B158,MATRIZCTAS!$AG$7:$AG$1766)*-1</f>
        <v>-241471424</v>
      </c>
    </row>
    <row r="159" spans="1:4">
      <c r="A159" s="948" t="str">
        <f t="shared" si="4"/>
        <v>5.31.12.30</v>
      </c>
      <c r="B159" s="949">
        <v>5311230</v>
      </c>
      <c r="C159" s="952" t="s">
        <v>2812</v>
      </c>
      <c r="D159" s="953">
        <f>SUMIF(MATRIZCTAS!$A$7:$A$1766,'FECU 2012 ($)'!B159,MATRIZCTAS!$AG$7:$AG$1766)*-1</f>
        <v>-2470849916</v>
      </c>
    </row>
    <row r="160" spans="1:4">
      <c r="A160" s="948" t="str">
        <f t="shared" si="4"/>
        <v>5.31.12.40</v>
      </c>
      <c r="B160" s="949">
        <v>5311240</v>
      </c>
      <c r="C160" s="952" t="s">
        <v>2813</v>
      </c>
      <c r="D160" s="953">
        <f>SUMIF(MATRIZCTAS!$A$7:$A$1766,'FECU 2012 ($)'!B160,MATRIZCTAS!$AG$7:$AG$1766)*-1</f>
        <v>0</v>
      </c>
    </row>
    <row r="161" spans="1:4">
      <c r="A161" s="948" t="str">
        <f t="shared" si="4"/>
        <v>5.31.12.50</v>
      </c>
      <c r="B161" s="949">
        <v>5311250</v>
      </c>
      <c r="C161" s="952" t="s">
        <v>2814</v>
      </c>
      <c r="D161" s="953">
        <f>SUMIF(MATRIZCTAS!$A$7:$A$1766,'FECU 2012 ($)'!B161,MATRIZCTAS!$AG$7:$AG$1766)*-1</f>
        <v>0</v>
      </c>
    </row>
    <row r="162" spans="1:4">
      <c r="A162" s="948" t="str">
        <f t="shared" si="4"/>
        <v>5.31.12.60</v>
      </c>
      <c r="B162" s="949">
        <v>5311260</v>
      </c>
      <c r="C162" s="952" t="s">
        <v>2815</v>
      </c>
      <c r="D162" s="953">
        <f>SUMIF(MATRIZCTAS!$A$7:$A$1766,'FECU 2012 ($)'!B162,MATRIZCTAS!$AG$7:$AG$1766)*-1</f>
        <v>0</v>
      </c>
    </row>
    <row r="163" spans="1:4">
      <c r="A163" s="948"/>
      <c r="B163" s="958"/>
      <c r="C163" s="956"/>
      <c r="D163" s="953"/>
    </row>
    <row r="164" spans="1:4">
      <c r="A164" s="948" t="str">
        <f t="shared" si="4"/>
        <v>5.31.13.00</v>
      </c>
      <c r="B164" s="949">
        <v>5311300</v>
      </c>
      <c r="C164" s="956" t="s">
        <v>2816</v>
      </c>
      <c r="D164" s="951">
        <f>SUM(D165:D167)</f>
        <v>-24589764795</v>
      </c>
    </row>
    <row r="165" spans="1:4">
      <c r="A165" s="948" t="str">
        <f t="shared" si="4"/>
        <v>5.31.13.10</v>
      </c>
      <c r="B165" s="949">
        <v>5311310</v>
      </c>
      <c r="C165" s="952" t="s">
        <v>2817</v>
      </c>
      <c r="D165" s="953">
        <f>SUMIF(MATRIZCTAS!$A$7:$A$1766,'FECU 2012 ($)'!B165,MATRIZCTAS!$AG$7:$AG$1766)*-1</f>
        <v>-26093855032</v>
      </c>
    </row>
    <row r="166" spans="1:4">
      <c r="A166" s="948" t="str">
        <f t="shared" si="4"/>
        <v>5.31.13.20</v>
      </c>
      <c r="B166" s="949">
        <v>5311320</v>
      </c>
      <c r="C166" s="952" t="s">
        <v>2818</v>
      </c>
      <c r="D166" s="953">
        <f>SUMIF(MATRIZCTAS!$A$7:$A$1766,'FECU 2012 ($)'!B166,MATRIZCTAS!$AG$7:$AG$1766)*-1</f>
        <v>1504090237</v>
      </c>
    </row>
    <row r="167" spans="1:4">
      <c r="A167" s="948" t="str">
        <f t="shared" si="4"/>
        <v>5.31.13.30</v>
      </c>
      <c r="B167" s="949">
        <v>5311330</v>
      </c>
      <c r="C167" s="952" t="s">
        <v>2819</v>
      </c>
      <c r="D167" s="953">
        <f>SUMIF(MATRIZCTAS!$A$7:$A$1766,'FECU 2012 ($)'!B167,MATRIZCTAS!$AG$7:$AG$1766)*-1</f>
        <v>0</v>
      </c>
    </row>
    <row r="168" spans="1:4">
      <c r="A168" s="948"/>
      <c r="B168" s="949"/>
      <c r="C168" s="956"/>
      <c r="D168" s="953"/>
    </row>
    <row r="169" spans="1:4">
      <c r="A169" s="948" t="str">
        <f t="shared" si="4"/>
        <v>5.31.14.00</v>
      </c>
      <c r="B169" s="949">
        <v>5311400</v>
      </c>
      <c r="C169" s="956" t="s">
        <v>2820</v>
      </c>
      <c r="D169" s="951">
        <f>SUM(D170:D172)</f>
        <v>-121804430767</v>
      </c>
    </row>
    <row r="170" spans="1:4">
      <c r="A170" s="948" t="str">
        <f t="shared" si="4"/>
        <v>5.31.14.10</v>
      </c>
      <c r="B170" s="949">
        <v>5311410</v>
      </c>
      <c r="C170" s="952" t="s">
        <v>2821</v>
      </c>
      <c r="D170" s="953">
        <f>SUMIF(MATRIZCTAS!$A$7:$A$1766,'FECU 2012 ($)'!B170,MATRIZCTAS!$AG$7:$AG$1766)*-1</f>
        <v>-121804430767</v>
      </c>
    </row>
    <row r="171" spans="1:4">
      <c r="A171" s="948" t="str">
        <f t="shared" si="4"/>
        <v>5.31.14.20</v>
      </c>
      <c r="B171" s="949">
        <v>5311420</v>
      </c>
      <c r="C171" s="952" t="s">
        <v>2822</v>
      </c>
      <c r="D171" s="953">
        <f>SUMIF(MATRIZCTAS!$A$7:$A$1766,'FECU 2012 ($)'!B171,MATRIZCTAS!$AG$7:$AG$1766)*-1</f>
        <v>0</v>
      </c>
    </row>
    <row r="172" spans="1:4">
      <c r="A172" s="948" t="str">
        <f t="shared" si="4"/>
        <v>5.31.14.30</v>
      </c>
      <c r="B172" s="949">
        <v>5311430</v>
      </c>
      <c r="C172" s="952" t="s">
        <v>2823</v>
      </c>
      <c r="D172" s="953">
        <f>SUMIF(MATRIZCTAS!$A$7:$A$1766,'FECU 2012 ($)'!B172,MATRIZCTAS!$AG$7:$AG$1766)*-1</f>
        <v>0</v>
      </c>
    </row>
    <row r="173" spans="1:4">
      <c r="A173" s="948"/>
      <c r="B173" s="949"/>
      <c r="C173" s="956"/>
      <c r="D173" s="953"/>
    </row>
    <row r="174" spans="1:4">
      <c r="A174" s="948" t="str">
        <f t="shared" si="4"/>
        <v>5.31.15.00</v>
      </c>
      <c r="B174" s="949">
        <v>5311500</v>
      </c>
      <c r="C174" s="956" t="s">
        <v>20</v>
      </c>
      <c r="D174" s="951">
        <f>SUM(D175:D178)</f>
        <v>-6258994351</v>
      </c>
    </row>
    <row r="175" spans="1:4">
      <c r="A175" s="948" t="str">
        <f t="shared" si="4"/>
        <v>5.31.15.10</v>
      </c>
      <c r="B175" s="949">
        <v>5311510</v>
      </c>
      <c r="C175" s="952" t="s">
        <v>2824</v>
      </c>
      <c r="D175" s="953">
        <f>SUMIF(MATRIZCTAS!$A$7:$A$1766,'FECU 2012 ($)'!B175,MATRIZCTAS!$AG$7:$AG$1766)*-1</f>
        <v>-1578608266</v>
      </c>
    </row>
    <row r="176" spans="1:4">
      <c r="A176" s="948" t="str">
        <f t="shared" si="4"/>
        <v>5.31.15.20</v>
      </c>
      <c r="B176" s="949">
        <v>5311520</v>
      </c>
      <c r="C176" s="952" t="s">
        <v>2825</v>
      </c>
      <c r="D176" s="953">
        <f>SUMIF(MATRIZCTAS!$A$7:$A$1766,'FECU 2012 ($)'!B176,MATRIZCTAS!$AG$7:$AG$1766)*-1</f>
        <v>-4680386085</v>
      </c>
    </row>
    <row r="177" spans="1:4">
      <c r="A177" s="948" t="str">
        <f t="shared" si="4"/>
        <v>5.31.15.30</v>
      </c>
      <c r="B177" s="949">
        <v>5311530</v>
      </c>
      <c r="C177" s="952" t="s">
        <v>2826</v>
      </c>
      <c r="D177" s="953">
        <f>SUMIF(MATRIZCTAS!$A$7:$A$1766,'FECU 2012 ($)'!B177,MATRIZCTAS!$AG$7:$AG$1766)*-1</f>
        <v>0</v>
      </c>
    </row>
    <row r="178" spans="1:4">
      <c r="A178" s="948" t="str">
        <f t="shared" si="4"/>
        <v>5.31.15.40</v>
      </c>
      <c r="B178" s="949">
        <v>5311540</v>
      </c>
      <c r="C178" s="952" t="s">
        <v>2827</v>
      </c>
      <c r="D178" s="953">
        <f>SUMIF(MATRIZCTAS!$A$7:$A$1766,'FECU 2012 ($)'!B178,MATRIZCTAS!$AG$7:$AG$1766)*-1</f>
        <v>0</v>
      </c>
    </row>
    <row r="179" spans="1:4">
      <c r="A179" s="948"/>
      <c r="B179" s="949"/>
      <c r="C179" s="952"/>
      <c r="D179" s="953"/>
    </row>
    <row r="180" spans="1:4">
      <c r="A180" s="948" t="str">
        <f t="shared" si="4"/>
        <v>5.31.16.00</v>
      </c>
      <c r="B180" s="949">
        <v>5311600</v>
      </c>
      <c r="C180" s="952" t="s">
        <v>2828</v>
      </c>
      <c r="D180" s="953">
        <f>SUMIF(MATRIZCTAS!$A$7:$A$1766,'FECU 2012 ($)'!B180,MATRIZCTAS!$AG$7:$AG$1766)*-1</f>
        <v>-229560456</v>
      </c>
    </row>
    <row r="181" spans="1:4">
      <c r="A181" s="948"/>
      <c r="B181" s="949"/>
      <c r="C181" s="952"/>
      <c r="D181" s="953"/>
    </row>
    <row r="182" spans="1:4">
      <c r="A182" s="948" t="str">
        <f t="shared" si="4"/>
        <v>5.31.17.00</v>
      </c>
      <c r="B182" s="949">
        <v>5311700</v>
      </c>
      <c r="C182" s="952" t="s">
        <v>129</v>
      </c>
      <c r="D182" s="953">
        <f>SUMIF(MATRIZCTAS!$A$7:$A$1766,'FECU 2012 ($)'!B182,MATRIZCTAS!$AG$7:$AG$1766)*-1</f>
        <v>-86938961</v>
      </c>
    </row>
    <row r="183" spans="1:4">
      <c r="A183" s="948"/>
      <c r="B183" s="949"/>
      <c r="C183" s="952"/>
      <c r="D183" s="953"/>
    </row>
    <row r="184" spans="1:4">
      <c r="A184" s="948" t="str">
        <f t="shared" si="4"/>
        <v>5.31.18.00</v>
      </c>
      <c r="B184" s="949">
        <v>5311800</v>
      </c>
      <c r="C184" s="952" t="s">
        <v>2829</v>
      </c>
      <c r="D184" s="953">
        <f>SUMIF(MATRIZCTAS!$A$7:$A$1766,'FECU 2012 ($)'!B184,MATRIZCTAS!$AG$7:$AG$1766)*-1</f>
        <v>-205648380</v>
      </c>
    </row>
    <row r="185" spans="1:4">
      <c r="A185" s="948"/>
      <c r="B185" s="949"/>
      <c r="C185" s="952"/>
      <c r="D185" s="953"/>
    </row>
    <row r="186" spans="1:4">
      <c r="A186" s="977" t="str">
        <f t="shared" si="4"/>
        <v>5.31.20.00</v>
      </c>
      <c r="B186" s="974">
        <v>5312000</v>
      </c>
      <c r="C186" s="975" t="s">
        <v>2830</v>
      </c>
      <c r="D186" s="954">
        <f>SUM(D187:D188)</f>
        <v>-15442241588</v>
      </c>
    </row>
    <row r="187" spans="1:4">
      <c r="A187" s="948" t="str">
        <f t="shared" si="4"/>
        <v>5.31.21.00</v>
      </c>
      <c r="B187" s="949">
        <v>5312100</v>
      </c>
      <c r="C187" s="956" t="s">
        <v>25</v>
      </c>
      <c r="D187" s="953">
        <f>SUMIF(MATRIZCTAS!$A$7:$A$1766,'FECU 2012 ($)'!B187,MATRIZCTAS!$AG$7:$AG$1766)*-1</f>
        <v>-7255566705</v>
      </c>
    </row>
    <row r="188" spans="1:4">
      <c r="A188" s="948" t="str">
        <f t="shared" si="4"/>
        <v>5.31.22.00</v>
      </c>
      <c r="B188" s="949">
        <v>5312200</v>
      </c>
      <c r="C188" s="956" t="s">
        <v>998</v>
      </c>
      <c r="D188" s="953">
        <f>SUMIF(MATRIZCTAS!$A$7:$A$1766,'FECU 2012 ($)'!B188,MATRIZCTAS!$AG$7:$AG$1766)*-1</f>
        <v>-8186674883</v>
      </c>
    </row>
    <row r="189" spans="1:4">
      <c r="A189" s="949"/>
      <c r="B189" s="949"/>
      <c r="C189" s="956"/>
      <c r="D189" s="953"/>
    </row>
    <row r="190" spans="1:4">
      <c r="A190" s="973" t="str">
        <f t="shared" si="4"/>
        <v>5.31.30.00</v>
      </c>
      <c r="B190" s="974">
        <v>5313000</v>
      </c>
      <c r="C190" s="975" t="s">
        <v>2831</v>
      </c>
      <c r="D190" s="954">
        <f>D192+D196+D200+D206+D208</f>
        <v>66705652224</v>
      </c>
    </row>
    <row r="191" spans="1:4">
      <c r="A191" s="948"/>
      <c r="B191" s="949"/>
      <c r="C191" s="956"/>
      <c r="D191" s="953"/>
    </row>
    <row r="192" spans="1:4">
      <c r="A192" s="948" t="str">
        <f t="shared" si="4"/>
        <v>5.31.31.00</v>
      </c>
      <c r="B192" s="949">
        <v>5313100</v>
      </c>
      <c r="C192" s="952" t="s">
        <v>2832</v>
      </c>
      <c r="D192" s="951">
        <f>SUM(D193:D194)</f>
        <v>10795391676</v>
      </c>
    </row>
    <row r="193" spans="1:4">
      <c r="A193" s="948" t="str">
        <f t="shared" si="4"/>
        <v>5.31.31.10</v>
      </c>
      <c r="B193" s="949">
        <v>5313110</v>
      </c>
      <c r="C193" s="952" t="s">
        <v>2833</v>
      </c>
      <c r="D193" s="953">
        <f>SUMIF(MATRIZCTAS!$A$7:$A$1766,'FECU 2012 ($)'!B193,MATRIZCTAS!$AG$7:$AG$1766)*-1</f>
        <v>256057617</v>
      </c>
    </row>
    <row r="194" spans="1:4">
      <c r="A194" s="948" t="str">
        <f t="shared" si="4"/>
        <v>5.31.31.20</v>
      </c>
      <c r="B194" s="949">
        <v>5313120</v>
      </c>
      <c r="C194" s="952" t="s">
        <v>2834</v>
      </c>
      <c r="D194" s="953">
        <f>SUMIF(MATRIZCTAS!$A$7:$A$1766,'FECU 2012 ($)'!B194,MATRIZCTAS!$AG$7:$AG$1766)*-1</f>
        <v>10539334059</v>
      </c>
    </row>
    <row r="195" spans="1:4">
      <c r="A195" s="948"/>
      <c r="B195" s="949"/>
      <c r="C195" s="952"/>
      <c r="D195" s="953"/>
    </row>
    <row r="196" spans="1:4">
      <c r="A196" s="948" t="str">
        <f t="shared" si="4"/>
        <v>5.31.32.00</v>
      </c>
      <c r="B196" s="949">
        <v>5313200</v>
      </c>
      <c r="C196" s="952" t="s">
        <v>2835</v>
      </c>
      <c r="D196" s="951">
        <f>SUM(D197:D198)</f>
        <v>2135810027</v>
      </c>
    </row>
    <row r="197" spans="1:4">
      <c r="A197" s="948" t="str">
        <f t="shared" si="4"/>
        <v>5.31.32.10</v>
      </c>
      <c r="B197" s="949">
        <v>5313210</v>
      </c>
      <c r="C197" s="952" t="s">
        <v>2833</v>
      </c>
      <c r="D197" s="953">
        <f>SUMIF(MATRIZCTAS!$A$7:$A$1766,'FECU 2012 ($)'!B197,MATRIZCTAS!$AG$7:$AG$1766)*-1</f>
        <v>121084249</v>
      </c>
    </row>
    <row r="198" spans="1:4">
      <c r="A198" s="948" t="str">
        <f t="shared" si="4"/>
        <v>5.31.32.20</v>
      </c>
      <c r="B198" s="949">
        <v>5313220</v>
      </c>
      <c r="C198" s="952" t="s">
        <v>2834</v>
      </c>
      <c r="D198" s="953">
        <f>SUMIF(MATRIZCTAS!$A$7:$A$1766,'FECU 2012 ($)'!B198,MATRIZCTAS!$AG$7:$AG$1766)*-1</f>
        <v>2014725778</v>
      </c>
    </row>
    <row r="199" spans="1:4">
      <c r="A199" s="948"/>
      <c r="B199" s="949"/>
      <c r="C199" s="956"/>
      <c r="D199" s="953"/>
    </row>
    <row r="200" spans="1:4">
      <c r="A200" s="948" t="str">
        <f t="shared" si="4"/>
        <v>5.31.33.00</v>
      </c>
      <c r="B200" s="949">
        <v>5313300</v>
      </c>
      <c r="C200" s="956" t="s">
        <v>2836</v>
      </c>
      <c r="D200" s="951">
        <f>SUM(D201:D204)</f>
        <v>54134070717</v>
      </c>
    </row>
    <row r="201" spans="1:4">
      <c r="A201" s="948" t="str">
        <f t="shared" si="4"/>
        <v>5.31.33.10</v>
      </c>
      <c r="B201" s="949">
        <v>5313310</v>
      </c>
      <c r="C201" s="952" t="s">
        <v>2833</v>
      </c>
      <c r="D201" s="953">
        <f>SUMIF(MATRIZCTAS!$A$7:$A$1766,'FECU 2012 ($)'!B201,MATRIZCTAS!$AG$7:$AG$1766)*-1</f>
        <v>11609427857</v>
      </c>
    </row>
    <row r="202" spans="1:4">
      <c r="A202" s="948" t="str">
        <f t="shared" si="4"/>
        <v>5.31.33.20</v>
      </c>
      <c r="B202" s="949">
        <v>5313320</v>
      </c>
      <c r="C202" s="952" t="s">
        <v>2834</v>
      </c>
      <c r="D202" s="953">
        <f>SUMIF(MATRIZCTAS!$A$7:$A$1766,'FECU 2012 ($)'!B202,MATRIZCTAS!$AG$7:$AG$1766)*-1</f>
        <v>44832163908</v>
      </c>
    </row>
    <row r="203" spans="1:4">
      <c r="A203" s="948" t="str">
        <f t="shared" si="4"/>
        <v>5.31.33.30</v>
      </c>
      <c r="B203" s="949">
        <v>5313330</v>
      </c>
      <c r="C203" s="952" t="s">
        <v>2837</v>
      </c>
      <c r="D203" s="953">
        <f>SUMIF(MATRIZCTAS!$A$7:$A$1766,'FECU 2012 ($)'!B203,MATRIZCTAS!$AG$7:$AG$1766)*-1</f>
        <v>-553281850</v>
      </c>
    </row>
    <row r="204" spans="1:4">
      <c r="A204" s="948" t="str">
        <f t="shared" si="4"/>
        <v>5.31.33.40</v>
      </c>
      <c r="B204" s="949">
        <v>5313340</v>
      </c>
      <c r="C204" s="952" t="s">
        <v>2838</v>
      </c>
      <c r="D204" s="953">
        <f>SUMIF(MATRIZCTAS!$A$7:$A$1766,'FECU 2012 ($)'!B204,MATRIZCTAS!$AG$7:$AG$1766)*-1</f>
        <v>-1754239198</v>
      </c>
    </row>
    <row r="205" spans="1:4">
      <c r="A205" s="948"/>
      <c r="B205" s="949"/>
      <c r="C205" s="956"/>
      <c r="D205" s="953"/>
    </row>
    <row r="206" spans="1:4">
      <c r="A206" s="948" t="str">
        <f t="shared" si="4"/>
        <v>5.31.34.00</v>
      </c>
      <c r="B206" s="949">
        <v>5313400</v>
      </c>
      <c r="C206" s="956" t="s">
        <v>2839</v>
      </c>
      <c r="D206" s="953">
        <f>SUMIF(MATRIZCTAS!$A$7:$A$1766,'FECU 2012 ($)'!B206,MATRIZCTAS!$AG$7:$AG$1766)*-1</f>
        <v>0</v>
      </c>
    </row>
    <row r="207" spans="1:4">
      <c r="A207" s="948"/>
      <c r="B207" s="949"/>
      <c r="C207" s="956"/>
      <c r="D207" s="953"/>
    </row>
    <row r="208" spans="1:4">
      <c r="A208" s="948" t="str">
        <f t="shared" si="4"/>
        <v>5.31.35.00</v>
      </c>
      <c r="B208" s="949">
        <v>5313500</v>
      </c>
      <c r="C208" s="956" t="s">
        <v>2840</v>
      </c>
      <c r="D208" s="953">
        <f>SUMIF(MATRIZCTAS!$A$7:$A$1766,'FECU 2012 ($)'!B208,MATRIZCTAS!$AG$7:$AG$1766)*-1</f>
        <v>-359620196</v>
      </c>
    </row>
    <row r="209" spans="1:4">
      <c r="A209" s="948"/>
      <c r="B209" s="949"/>
      <c r="C209" s="956"/>
      <c r="D209" s="953"/>
    </row>
    <row r="210" spans="1:4">
      <c r="A210" s="973" t="str">
        <f t="shared" si="4"/>
        <v>5.31.40.00</v>
      </c>
      <c r="B210" s="974">
        <v>5314000</v>
      </c>
      <c r="C210" s="975" t="s">
        <v>2841</v>
      </c>
      <c r="D210" s="954">
        <f>D149+D186+D190</f>
        <v>18787161354</v>
      </c>
    </row>
    <row r="211" spans="1:4">
      <c r="A211" s="948"/>
      <c r="B211" s="949"/>
      <c r="C211" s="956"/>
      <c r="D211" s="953"/>
    </row>
    <row r="212" spans="1:4">
      <c r="A212" s="973" t="str">
        <f t="shared" si="4"/>
        <v>5.31.50.00</v>
      </c>
      <c r="B212" s="974">
        <v>5315000</v>
      </c>
      <c r="C212" s="975" t="s">
        <v>421</v>
      </c>
      <c r="D212" s="954">
        <f>D214+D216</f>
        <v>1670887332</v>
      </c>
    </row>
    <row r="213" spans="1:4">
      <c r="A213" s="948"/>
      <c r="B213" s="949"/>
      <c r="C213" s="956"/>
      <c r="D213" s="953"/>
    </row>
    <row r="214" spans="1:4">
      <c r="A214" s="948" t="str">
        <f t="shared" si="4"/>
        <v>5.31.51.00</v>
      </c>
      <c r="B214" s="949">
        <v>5315100</v>
      </c>
      <c r="C214" s="956" t="s">
        <v>1172</v>
      </c>
      <c r="D214" s="953">
        <f>SUMIF(MATRIZCTAS!$A$7:$A$1766,'FECU 2012 ($)'!B214,MATRIZCTAS!$AG$7:$AG$1766)*-1</f>
        <v>1913323980</v>
      </c>
    </row>
    <row r="215" spans="1:4">
      <c r="A215" s="948"/>
      <c r="B215" s="949"/>
      <c r="C215" s="956"/>
      <c r="D215" s="953"/>
    </row>
    <row r="216" spans="1:4">
      <c r="A216" s="948" t="str">
        <f t="shared" si="4"/>
        <v>5.31.52.00</v>
      </c>
      <c r="B216" s="949">
        <v>5315200</v>
      </c>
      <c r="C216" s="956" t="s">
        <v>2842</v>
      </c>
      <c r="D216" s="953">
        <f>SUMIF(MATRIZCTAS!$A$7:$A$1766,'FECU 2012 ($)'!B216,MATRIZCTAS!$AG$7:$AG$1766)*-1</f>
        <v>-242436648</v>
      </c>
    </row>
    <row r="217" spans="1:4">
      <c r="A217" s="948"/>
      <c r="B217" s="949"/>
      <c r="C217" s="956"/>
      <c r="D217" s="953"/>
    </row>
    <row r="218" spans="1:4">
      <c r="A218" s="973" t="str">
        <f t="shared" si="4"/>
        <v>5.31.61.00</v>
      </c>
      <c r="B218" s="974">
        <v>5316100</v>
      </c>
      <c r="C218" s="975" t="s">
        <v>378</v>
      </c>
      <c r="D218" s="954">
        <f>SUMIF(MATRIZCTAS!$A$7:$A$1766,'FECU 2012 ($)'!B218,MATRIZCTAS!$AG$7:$AG$1766)*-1</f>
        <v>-4386408451</v>
      </c>
    </row>
    <row r="219" spans="1:4">
      <c r="A219" s="948"/>
      <c r="B219" s="949"/>
      <c r="C219" s="956"/>
      <c r="D219" s="953"/>
    </row>
    <row r="220" spans="1:4">
      <c r="A220" s="973" t="str">
        <f t="shared" si="4"/>
        <v>5.31.62.00</v>
      </c>
      <c r="B220" s="974">
        <v>5316200</v>
      </c>
      <c r="C220" s="975" t="s">
        <v>2843</v>
      </c>
      <c r="D220" s="954">
        <f>SUMIF(MATRIZCTAS!$A$7:$A$1766,'FECU 2012 ($)'!B220,MATRIZCTAS!$AG$7:$AG$1766)*-1</f>
        <v>106453450</v>
      </c>
    </row>
    <row r="221" spans="1:4">
      <c r="A221" s="948"/>
      <c r="B221" s="949"/>
      <c r="C221" s="956"/>
      <c r="D221" s="953"/>
    </row>
    <row r="222" spans="1:4">
      <c r="A222" s="973" t="str">
        <f t="shared" si="4"/>
        <v>5.31.70.00</v>
      </c>
      <c r="B222" s="974">
        <v>5317000</v>
      </c>
      <c r="C222" s="975" t="s">
        <v>2844</v>
      </c>
      <c r="D222" s="954">
        <f>D210+D212+D218+D220</f>
        <v>16178093685</v>
      </c>
    </row>
    <row r="223" spans="1:4">
      <c r="A223" s="948"/>
      <c r="B223" s="949"/>
      <c r="C223" s="956"/>
      <c r="D223" s="953"/>
    </row>
    <row r="224" spans="1:4">
      <c r="A224" s="973" t="str">
        <f t="shared" si="4"/>
        <v>5.31.80.00</v>
      </c>
      <c r="B224" s="974">
        <v>5318000</v>
      </c>
      <c r="C224" s="975" t="s">
        <v>2845</v>
      </c>
      <c r="D224" s="954">
        <f>SUMIF(MATRIZCTAS!$A$7:$A$1766,'FECU 2012 ($)'!B224,MATRIZCTAS!$AG$7:$AG$1766)*-1</f>
        <v>0</v>
      </c>
    </row>
    <row r="225" spans="1:4">
      <c r="A225" s="948"/>
      <c r="B225" s="949"/>
      <c r="C225" s="956"/>
      <c r="D225" s="953"/>
    </row>
    <row r="226" spans="1:4">
      <c r="A226" s="973" t="str">
        <f t="shared" si="4"/>
        <v>5.31.90.00</v>
      </c>
      <c r="B226" s="974">
        <v>5319000</v>
      </c>
      <c r="C226" s="975" t="s">
        <v>2846</v>
      </c>
      <c r="D226" s="954">
        <f>SUMIF(MATRIZCTAS!$A$7:$A$1766,'FECU 2012 ($)'!B226,MATRIZCTAS!$AG$7:$AG$1766)*-1</f>
        <v>-1286852851</v>
      </c>
    </row>
    <row r="227" spans="1:4">
      <c r="A227" s="948"/>
      <c r="B227" s="949"/>
      <c r="C227" s="956"/>
      <c r="D227" s="953"/>
    </row>
    <row r="228" spans="1:4">
      <c r="A228" s="973" t="str">
        <f t="shared" si="4"/>
        <v>5.31.00.00</v>
      </c>
      <c r="B228" s="974">
        <v>5310000</v>
      </c>
      <c r="C228" s="975" t="s">
        <v>2847</v>
      </c>
      <c r="D228" s="954">
        <f>D222+D224+D226</f>
        <v>14891240834</v>
      </c>
    </row>
    <row r="229" spans="1:4">
      <c r="A229" s="948"/>
      <c r="B229" s="949"/>
      <c r="C229" s="956"/>
      <c r="D229" s="978"/>
    </row>
    <row r="230" spans="1:4">
      <c r="A230" s="979"/>
      <c r="B230" s="980"/>
      <c r="C230" s="981"/>
      <c r="D230" s="982"/>
    </row>
    <row r="231" spans="1:4">
      <c r="A231" s="983" t="s">
        <v>2848</v>
      </c>
      <c r="B231" s="949"/>
      <c r="C231" s="956"/>
      <c r="D231" s="984"/>
    </row>
    <row r="232" spans="1:4" ht="12" customHeight="1">
      <c r="A232" s="948"/>
      <c r="B232" s="949"/>
      <c r="C232" s="956"/>
      <c r="D232" s="953"/>
    </row>
    <row r="233" spans="1:4" ht="12" customHeight="1">
      <c r="A233" s="948" t="str">
        <f t="shared" ref="A233:A241" si="5">MID(B233,1,1)&amp;"."&amp;MID(B233,2,2)&amp;"."&amp;MID(B233,4,2)&amp;"."&amp;MID(B233,6,2)</f>
        <v>5.32.10.00</v>
      </c>
      <c r="B233" s="949">
        <v>5321000</v>
      </c>
      <c r="C233" s="956" t="s">
        <v>2849</v>
      </c>
      <c r="D233" s="953"/>
    </row>
    <row r="234" spans="1:4" ht="12" customHeight="1">
      <c r="A234" s="948"/>
      <c r="B234" s="949"/>
      <c r="C234" s="956"/>
      <c r="D234" s="953"/>
    </row>
    <row r="235" spans="1:4" ht="12" customHeight="1">
      <c r="A235" s="948" t="str">
        <f t="shared" si="5"/>
        <v>5.32.20.00</v>
      </c>
      <c r="B235" s="949">
        <v>5322000</v>
      </c>
      <c r="C235" s="956" t="s">
        <v>2850</v>
      </c>
      <c r="D235" s="953"/>
    </row>
    <row r="236" spans="1:4" ht="12" customHeight="1">
      <c r="A236" s="948"/>
      <c r="B236" s="949"/>
      <c r="C236" s="956"/>
      <c r="D236" s="953"/>
    </row>
    <row r="237" spans="1:4" ht="12" customHeight="1">
      <c r="A237" s="948" t="str">
        <f t="shared" si="5"/>
        <v>5.32.30.00</v>
      </c>
      <c r="B237" s="949">
        <v>5323000</v>
      </c>
      <c r="C237" s="956" t="s">
        <v>2851</v>
      </c>
      <c r="D237" s="953"/>
    </row>
    <row r="238" spans="1:4" ht="12" customHeight="1">
      <c r="A238" s="948"/>
      <c r="B238" s="949"/>
      <c r="C238" s="956"/>
      <c r="D238" s="953"/>
    </row>
    <row r="239" spans="1:4" ht="12" customHeight="1">
      <c r="A239" s="948" t="str">
        <f t="shared" si="5"/>
        <v>5.32.40.00</v>
      </c>
      <c r="B239" s="949">
        <v>5324000</v>
      </c>
      <c r="C239" s="956" t="s">
        <v>2852</v>
      </c>
      <c r="D239" s="953"/>
    </row>
    <row r="240" spans="1:4" ht="12" customHeight="1">
      <c r="A240" s="948"/>
      <c r="B240" s="949"/>
      <c r="C240" s="956"/>
      <c r="D240" s="953"/>
    </row>
    <row r="241" spans="1:4" ht="12" customHeight="1">
      <c r="A241" s="948" t="str">
        <f t="shared" si="5"/>
        <v>5.32.50.00</v>
      </c>
      <c r="B241" s="949">
        <v>5325000</v>
      </c>
      <c r="C241" s="956" t="s">
        <v>872</v>
      </c>
      <c r="D241" s="953"/>
    </row>
    <row r="242" spans="1:4" ht="12" customHeight="1">
      <c r="A242" s="948"/>
      <c r="B242" s="949"/>
      <c r="C242" s="956"/>
      <c r="D242" s="953"/>
    </row>
    <row r="243" spans="1:4" ht="12" customHeight="1">
      <c r="A243" s="973" t="str">
        <f t="shared" ref="A243" si="6">MID(B243,1,1)&amp;"."&amp;MID(B243,2,2)&amp;"."&amp;MID(B243,4,2)&amp;"."&amp;MID(B243,6,2)</f>
        <v>5.32.00.00</v>
      </c>
      <c r="B243" s="974">
        <v>5320000</v>
      </c>
      <c r="C243" s="975" t="s">
        <v>2853</v>
      </c>
      <c r="D243" s="978"/>
    </row>
    <row r="244" spans="1:4" ht="12" customHeight="1">
      <c r="A244" s="948"/>
      <c r="B244" s="949"/>
      <c r="C244" s="956"/>
      <c r="D244" s="972"/>
    </row>
    <row r="245" spans="1:4" ht="12" customHeight="1">
      <c r="A245" s="948"/>
      <c r="B245" s="949"/>
      <c r="C245" s="956"/>
      <c r="D245" s="976"/>
    </row>
    <row r="246" spans="1:4" ht="12" customHeight="1">
      <c r="A246" s="973" t="str">
        <f t="shared" ref="A246" si="7">MID(B246,1,1)&amp;"."&amp;MID(B246,2,2)&amp;"."&amp;MID(B246,4,2)&amp;"."&amp;MID(B246,6,2)</f>
        <v>5.30.00.00</v>
      </c>
      <c r="B246" s="974">
        <v>5300000</v>
      </c>
      <c r="C246" s="975" t="s">
        <v>2854</v>
      </c>
      <c r="D246" s="954">
        <f>D243+D228</f>
        <v>14891240834</v>
      </c>
    </row>
    <row r="247" spans="1:4">
      <c r="A247" s="961"/>
      <c r="B247" s="962"/>
      <c r="C247" s="970"/>
      <c r="D247" s="953"/>
    </row>
    <row r="249" spans="1:4">
      <c r="C249" s="985" t="s">
        <v>3533</v>
      </c>
      <c r="D249" s="966">
        <v>14891241834</v>
      </c>
    </row>
    <row r="251" spans="1:4">
      <c r="D251" s="966">
        <f>D228-D249</f>
        <v>-1000</v>
      </c>
    </row>
  </sheetData>
  <hyperlinks>
    <hyperlink ref="C11" location="'5111000'!A1" display="Efectivo y Efectivo Equivalente"/>
    <hyperlink ref="C40" location="'5141100'!A1" display="Cuentas por Cobrar Asegurados"/>
    <hyperlink ref="C65" location="'5151100'!A1" display="Goodwill"/>
    <hyperlink ref="C75" location="'5153300'!A1" display="Deudores Relacionados"/>
    <hyperlink ref="C77" location="'5153500'!A1" display="Otros Activos"/>
    <hyperlink ref="C116" location="Provisiones!A1" display="Provisiones"/>
    <hyperlink ref="C127" location="'5214260'!A1" display="Otros Pasivos no Financieros"/>
    <hyperlink ref="C13" location="'5112000'!A1" display="Activos Financieros a Valor Razonable"/>
    <hyperlink ref="C186" location="'5312000'!A1" display="COSTOS DE ADMINISTRACIÓN (CA)"/>
    <hyperlink ref="C192" location="'5313100'!A1" display="Resultado Neto Inversiones Realizadas"/>
    <hyperlink ref="C196" location="'5313200'!A1" display="Resultado Neto Inversiones No Realizadas"/>
    <hyperlink ref="C200" location="'5313300'!A1" display="Resultado Neto Inversiones Devengadas"/>
    <hyperlink ref="C220" location="'5316200'!A1" display="Utilidad (Pérdida) por Unidades Reajustables "/>
  </hyperlinks>
  <printOptions horizontalCentered="1" verticalCentered="1"/>
  <pageMargins left="0.70866141732283472" right="0.70866141732283472" top="0.55118110236220474" bottom="0.74803149606299213" header="0.31496062992125984" footer="0.31496062992125984"/>
  <pageSetup paperSize="119" scale="84" fitToHeight="100" orientation="portrait" r:id="rId1"/>
  <headerFooter>
    <oddFooter>&amp;CPreparación y Presentación Estados Financieros de acuerdo a Clasificación Circular Nº 2022</oddFooter>
  </headerFooter>
  <ignoredErrors>
    <ignoredError sqref="D7:D24 D25:D55 D56:D77 D85:D247" unlocked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tabColor rgb="FF7030A0"/>
    <pageSetUpPr fitToPage="1"/>
  </sheetPr>
  <dimension ref="B2:W29"/>
  <sheetViews>
    <sheetView topLeftCell="C1" workbookViewId="0">
      <selection activeCell="Q15" sqref="Q15"/>
    </sheetView>
  </sheetViews>
  <sheetFormatPr baseColWidth="10" defaultRowHeight="11.25"/>
  <cols>
    <col min="7" max="7" width="22.33203125" customWidth="1"/>
    <col min="8" max="8" width="14" bestFit="1" customWidth="1"/>
    <col min="9" max="9" width="13.1640625" bestFit="1" customWidth="1"/>
    <col min="10" max="11" width="12.33203125" bestFit="1" customWidth="1"/>
    <col min="12" max="12" width="12.1640625" bestFit="1" customWidth="1"/>
    <col min="13" max="13" width="3.1640625" customWidth="1"/>
    <col min="14" max="14" width="14.83203125" customWidth="1"/>
    <col min="15" max="15" width="14.1640625" bestFit="1" customWidth="1"/>
    <col min="16" max="16" width="3" customWidth="1"/>
    <col min="17" max="17" width="21.33203125" customWidth="1"/>
    <col min="18" max="18" width="13.33203125" customWidth="1"/>
    <col min="19" max="19" width="16.83203125" customWidth="1"/>
    <col min="20" max="20" width="17" customWidth="1"/>
    <col min="21" max="21" width="3.1640625" customWidth="1"/>
    <col min="22" max="22" width="15.1640625" bestFit="1" customWidth="1"/>
    <col min="23" max="23" width="12.5" bestFit="1" customWidth="1"/>
  </cols>
  <sheetData>
    <row r="2" spans="2:23" ht="12.75">
      <c r="B2" s="1186" t="s">
        <v>3001</v>
      </c>
    </row>
    <row r="4" spans="2:23" ht="12.75">
      <c r="B4" s="1535" t="s">
        <v>3001</v>
      </c>
      <c r="C4" s="1536"/>
      <c r="D4" s="1536"/>
      <c r="E4" s="1536"/>
      <c r="F4" s="1536"/>
      <c r="G4" s="1537"/>
      <c r="H4" s="1181" t="s">
        <v>3002</v>
      </c>
      <c r="I4" s="1544" t="s">
        <v>2796</v>
      </c>
      <c r="J4" s="1545"/>
      <c r="K4" s="1545"/>
      <c r="L4" s="1546"/>
      <c r="M4" s="1547"/>
      <c r="N4" s="1544" t="s">
        <v>2797</v>
      </c>
      <c r="O4" s="1545"/>
      <c r="P4" s="1546"/>
      <c r="Q4" s="1544" t="s">
        <v>2801</v>
      </c>
      <c r="R4" s="1545"/>
      <c r="S4" s="1545"/>
      <c r="T4" s="1545"/>
      <c r="U4" s="1546"/>
      <c r="V4" s="1553" t="s">
        <v>1333</v>
      </c>
    </row>
    <row r="5" spans="2:23" ht="11.25" customHeight="1">
      <c r="B5" s="1538"/>
      <c r="C5" s="1539"/>
      <c r="D5" s="1539"/>
      <c r="E5" s="1539"/>
      <c r="F5" s="1539"/>
      <c r="G5" s="1540"/>
      <c r="H5" s="1535" t="s">
        <v>3003</v>
      </c>
      <c r="I5" s="1529" t="s">
        <v>3004</v>
      </c>
      <c r="J5" s="1529" t="s">
        <v>3005</v>
      </c>
      <c r="K5" s="1529" t="s">
        <v>3006</v>
      </c>
      <c r="L5" s="1523" t="s">
        <v>3007</v>
      </c>
      <c r="M5" s="1548"/>
      <c r="N5" s="1526" t="s">
        <v>3008</v>
      </c>
      <c r="O5" s="1529" t="s">
        <v>2799</v>
      </c>
      <c r="P5" s="1532"/>
      <c r="Q5" s="1526" t="s">
        <v>3009</v>
      </c>
      <c r="R5" s="1529" t="s">
        <v>3010</v>
      </c>
      <c r="S5" s="1529" t="s">
        <v>3011</v>
      </c>
      <c r="T5" s="1529" t="s">
        <v>2852</v>
      </c>
      <c r="U5" s="1532"/>
      <c r="V5" s="1554"/>
    </row>
    <row r="6" spans="2:23" ht="11.25" customHeight="1">
      <c r="B6" s="1538"/>
      <c r="C6" s="1539"/>
      <c r="D6" s="1539"/>
      <c r="E6" s="1539"/>
      <c r="F6" s="1539"/>
      <c r="G6" s="1540"/>
      <c r="H6" s="1538"/>
      <c r="I6" s="1530"/>
      <c r="J6" s="1530"/>
      <c r="K6" s="1530"/>
      <c r="L6" s="1524"/>
      <c r="M6" s="1548"/>
      <c r="N6" s="1527"/>
      <c r="O6" s="1530"/>
      <c r="P6" s="1533"/>
      <c r="Q6" s="1527"/>
      <c r="R6" s="1530"/>
      <c r="S6" s="1530"/>
      <c r="T6" s="1530"/>
      <c r="U6" s="1533"/>
      <c r="V6" s="1554"/>
    </row>
    <row r="7" spans="2:23" ht="11.25" customHeight="1">
      <c r="B7" s="1538"/>
      <c r="C7" s="1539"/>
      <c r="D7" s="1539"/>
      <c r="E7" s="1539"/>
      <c r="F7" s="1539"/>
      <c r="G7" s="1540"/>
      <c r="H7" s="1538"/>
      <c r="I7" s="1530"/>
      <c r="J7" s="1530"/>
      <c r="K7" s="1530"/>
      <c r="L7" s="1524"/>
      <c r="M7" s="1548"/>
      <c r="N7" s="1527"/>
      <c r="O7" s="1530"/>
      <c r="P7" s="1533"/>
      <c r="Q7" s="1527"/>
      <c r="R7" s="1530"/>
      <c r="S7" s="1530"/>
      <c r="T7" s="1530"/>
      <c r="U7" s="1533"/>
      <c r="V7" s="1554"/>
    </row>
    <row r="8" spans="2:23" ht="11.25" customHeight="1">
      <c r="B8" s="1538"/>
      <c r="C8" s="1539"/>
      <c r="D8" s="1539"/>
      <c r="E8" s="1539"/>
      <c r="F8" s="1539"/>
      <c r="G8" s="1540"/>
      <c r="H8" s="1538"/>
      <c r="I8" s="1530"/>
      <c r="J8" s="1530"/>
      <c r="K8" s="1530"/>
      <c r="L8" s="1524"/>
      <c r="M8" s="1548"/>
      <c r="N8" s="1527"/>
      <c r="O8" s="1530"/>
      <c r="P8" s="1533"/>
      <c r="Q8" s="1527"/>
      <c r="R8" s="1530"/>
      <c r="S8" s="1530"/>
      <c r="T8" s="1530"/>
      <c r="U8" s="1533"/>
      <c r="V8" s="1554"/>
    </row>
    <row r="9" spans="2:23" ht="11.25" customHeight="1">
      <c r="B9" s="1541"/>
      <c r="C9" s="1542"/>
      <c r="D9" s="1542"/>
      <c r="E9" s="1542"/>
      <c r="F9" s="1542"/>
      <c r="G9" s="1543"/>
      <c r="H9" s="1541"/>
      <c r="I9" s="1531"/>
      <c r="J9" s="1531"/>
      <c r="K9" s="1531"/>
      <c r="L9" s="1525"/>
      <c r="M9" s="1549"/>
      <c r="N9" s="1528"/>
      <c r="O9" s="1531"/>
      <c r="P9" s="1534"/>
      <c r="Q9" s="1528"/>
      <c r="R9" s="1531"/>
      <c r="S9" s="1531"/>
      <c r="T9" s="1531"/>
      <c r="U9" s="1534"/>
      <c r="V9" s="1555"/>
    </row>
    <row r="10" spans="2:23" ht="12">
      <c r="B10" s="1182" t="s">
        <v>3012</v>
      </c>
      <c r="C10" s="1550" t="s">
        <v>3013</v>
      </c>
      <c r="D10" s="1551"/>
      <c r="E10" s="1551"/>
      <c r="F10" s="1551"/>
      <c r="G10" s="1552"/>
      <c r="H10" s="1472">
        <v>159350293</v>
      </c>
      <c r="I10" s="1473">
        <f>3323097+1</f>
        <v>3323098</v>
      </c>
      <c r="J10" s="1474">
        <v>966050</v>
      </c>
      <c r="K10" s="1473">
        <v>-132695</v>
      </c>
      <c r="L10" s="1474">
        <v>2273284</v>
      </c>
      <c r="M10" s="1475"/>
      <c r="N10" s="1474">
        <f>42236103-2273284</f>
        <v>39962819</v>
      </c>
      <c r="O10" s="1473">
        <v>17635063</v>
      </c>
      <c r="P10" s="1476"/>
      <c r="Q10" s="1475"/>
      <c r="R10" s="1476"/>
      <c r="S10" s="1475"/>
      <c r="T10" s="1476"/>
      <c r="U10" s="1475"/>
      <c r="V10" s="1477"/>
    </row>
    <row r="11" spans="2:23" ht="12">
      <c r="B11" s="1183" t="s">
        <v>3014</v>
      </c>
      <c r="C11" s="1517" t="s">
        <v>3015</v>
      </c>
      <c r="D11" s="1518"/>
      <c r="E11" s="1518"/>
      <c r="F11" s="1518"/>
      <c r="G11" s="1519"/>
      <c r="H11" s="1478"/>
      <c r="I11" s="1479"/>
      <c r="J11" s="1480"/>
      <c r="K11" s="1479"/>
      <c r="L11" s="1480"/>
      <c r="M11" s="1481"/>
      <c r="N11" s="1480">
        <v>5610026</v>
      </c>
      <c r="O11" s="1479"/>
      <c r="P11" s="1482"/>
      <c r="Q11" s="1481"/>
      <c r="R11" s="1482"/>
      <c r="S11" s="1481"/>
      <c r="T11" s="1482"/>
      <c r="U11" s="1481"/>
      <c r="V11" s="1483"/>
    </row>
    <row r="12" spans="2:23" ht="12">
      <c r="B12" s="1183" t="s">
        <v>3016</v>
      </c>
      <c r="C12" s="1517" t="s">
        <v>3017</v>
      </c>
      <c r="D12" s="1518"/>
      <c r="E12" s="1518"/>
      <c r="F12" s="1518"/>
      <c r="G12" s="1519"/>
      <c r="H12" s="1484">
        <f>+H10+H11</f>
        <v>159350293</v>
      </c>
      <c r="I12" s="1471">
        <f t="shared" ref="I12:L12" si="0">+I10+I11</f>
        <v>3323098</v>
      </c>
      <c r="J12" s="1485">
        <f t="shared" si="0"/>
        <v>966050</v>
      </c>
      <c r="K12" s="1471">
        <f t="shared" si="0"/>
        <v>-132695</v>
      </c>
      <c r="L12" s="1485">
        <f t="shared" si="0"/>
        <v>2273284</v>
      </c>
      <c r="M12" s="1486"/>
      <c r="N12" s="1485">
        <f t="shared" ref="N12:O12" si="1">+N10+N11</f>
        <v>45572845</v>
      </c>
      <c r="O12" s="1471">
        <f t="shared" si="1"/>
        <v>17635063</v>
      </c>
      <c r="P12" s="1487"/>
      <c r="Q12" s="1471">
        <f t="shared" ref="Q12:T12" si="2">+Q10+Q11</f>
        <v>0</v>
      </c>
      <c r="R12" s="1485">
        <f t="shared" si="2"/>
        <v>0</v>
      </c>
      <c r="S12" s="1471">
        <f t="shared" si="2"/>
        <v>0</v>
      </c>
      <c r="T12" s="1485">
        <f t="shared" si="2"/>
        <v>0</v>
      </c>
      <c r="U12" s="1486"/>
      <c r="V12" s="1488">
        <f>SUM(H12:T12)</f>
        <v>228987938</v>
      </c>
      <c r="W12" s="1470"/>
    </row>
    <row r="13" spans="2:23" ht="12">
      <c r="B13" s="1183" t="s">
        <v>3018</v>
      </c>
      <c r="C13" s="1517" t="s">
        <v>3019</v>
      </c>
      <c r="D13" s="1518"/>
      <c r="E13" s="1518"/>
      <c r="F13" s="1518"/>
      <c r="G13" s="1519"/>
      <c r="H13" s="1484">
        <f>+H14+H15+H16</f>
        <v>0</v>
      </c>
      <c r="I13" s="1471">
        <f t="shared" ref="I13:L13" si="3">+I14+I15+I16</f>
        <v>0</v>
      </c>
      <c r="J13" s="1485">
        <f t="shared" si="3"/>
        <v>0</v>
      </c>
      <c r="K13" s="1471">
        <f t="shared" si="3"/>
        <v>0</v>
      </c>
      <c r="L13" s="1485">
        <f t="shared" si="3"/>
        <v>-69366</v>
      </c>
      <c r="M13" s="1486"/>
      <c r="N13" s="1485">
        <f t="shared" ref="N13:O13" si="4">+N14+N15+N16</f>
        <v>0</v>
      </c>
      <c r="O13" s="1471">
        <f t="shared" si="4"/>
        <v>12964093</v>
      </c>
      <c r="P13" s="1487"/>
      <c r="Q13" s="1471">
        <f t="shared" ref="Q13:T13" si="5">+Q14+Q15+Q16</f>
        <v>0</v>
      </c>
      <c r="R13" s="1485">
        <f t="shared" si="5"/>
        <v>0</v>
      </c>
      <c r="S13" s="1471">
        <f t="shared" si="5"/>
        <v>0</v>
      </c>
      <c r="T13" s="1485">
        <f t="shared" si="5"/>
        <v>0</v>
      </c>
      <c r="U13" s="1486"/>
      <c r="V13" s="1488">
        <f>SUM(H13:T13)</f>
        <v>12894727</v>
      </c>
      <c r="W13" s="1470"/>
    </row>
    <row r="14" spans="2:23" ht="12">
      <c r="B14" s="1183" t="s">
        <v>3020</v>
      </c>
      <c r="C14" s="1517" t="s">
        <v>3021</v>
      </c>
      <c r="D14" s="1518"/>
      <c r="E14" s="1518"/>
      <c r="F14" s="1518"/>
      <c r="G14" s="1519"/>
      <c r="H14" s="1472"/>
      <c r="I14" s="1473"/>
      <c r="J14" s="1474"/>
      <c r="K14" s="1473"/>
      <c r="L14" s="1474"/>
      <c r="M14" s="1475"/>
      <c r="N14" s="1474">
        <v>0</v>
      </c>
      <c r="O14" s="1473">
        <v>12964093</v>
      </c>
      <c r="P14" s="1476"/>
      <c r="Q14" s="1473"/>
      <c r="R14" s="1474"/>
      <c r="S14" s="1473"/>
      <c r="T14" s="1474"/>
      <c r="U14" s="1475"/>
      <c r="V14" s="1489"/>
    </row>
    <row r="15" spans="2:23" ht="12">
      <c r="B15" s="1183" t="s">
        <v>3022</v>
      </c>
      <c r="C15" s="1520" t="s">
        <v>3023</v>
      </c>
      <c r="D15" s="1521"/>
      <c r="E15" s="1521"/>
      <c r="F15" s="1521"/>
      <c r="G15" s="1522"/>
      <c r="H15" s="1478"/>
      <c r="I15" s="1479"/>
      <c r="J15" s="1480"/>
      <c r="K15" s="1479"/>
      <c r="L15" s="1480"/>
      <c r="M15" s="1481"/>
      <c r="N15" s="1480"/>
      <c r="O15" s="1479"/>
      <c r="P15" s="1482"/>
      <c r="Q15" s="1479"/>
      <c r="R15" s="1480"/>
      <c r="S15" s="1479"/>
      <c r="T15" s="1480"/>
      <c r="U15" s="1481"/>
      <c r="V15" s="1490"/>
    </row>
    <row r="16" spans="2:23" ht="12">
      <c r="B16" s="1183" t="s">
        <v>3024</v>
      </c>
      <c r="C16" s="1517" t="s">
        <v>3025</v>
      </c>
      <c r="D16" s="1518"/>
      <c r="E16" s="1518"/>
      <c r="F16" s="1518"/>
      <c r="G16" s="1519"/>
      <c r="H16" s="1478"/>
      <c r="I16" s="1479"/>
      <c r="J16" s="1480"/>
      <c r="K16" s="1479"/>
      <c r="L16" s="1480">
        <v>-69366</v>
      </c>
      <c r="M16" s="1481"/>
      <c r="N16" s="1480"/>
      <c r="O16" s="1479"/>
      <c r="P16" s="1482"/>
      <c r="Q16" s="1479"/>
      <c r="R16" s="1480"/>
      <c r="S16" s="1479"/>
      <c r="T16" s="1480"/>
      <c r="U16" s="1481"/>
      <c r="V16" s="1490"/>
    </row>
    <row r="17" spans="2:22" ht="12">
      <c r="B17" s="1183" t="s">
        <v>3026</v>
      </c>
      <c r="C17" s="1517" t="s">
        <v>3027</v>
      </c>
      <c r="D17" s="1518"/>
      <c r="E17" s="1518"/>
      <c r="F17" s="1518"/>
      <c r="G17" s="1519"/>
      <c r="H17" s="1491"/>
      <c r="I17" s="1492"/>
      <c r="J17" s="1493"/>
      <c r="K17" s="1492"/>
      <c r="L17" s="1493"/>
      <c r="M17" s="1494"/>
      <c r="N17" s="1493">
        <v>17635063</v>
      </c>
      <c r="O17" s="1492">
        <v>-17635063</v>
      </c>
      <c r="P17" s="1495"/>
      <c r="Q17" s="1492"/>
      <c r="R17" s="1493"/>
      <c r="S17" s="1492"/>
      <c r="T17" s="1493"/>
      <c r="U17" s="1494"/>
      <c r="V17" s="1492">
        <f>SUM(H17:T17)</f>
        <v>0</v>
      </c>
    </row>
    <row r="18" spans="2:22" ht="12">
      <c r="B18" s="1183" t="s">
        <v>3028</v>
      </c>
      <c r="C18" s="1517" t="s">
        <v>3029</v>
      </c>
      <c r="D18" s="1518"/>
      <c r="E18" s="1518"/>
      <c r="F18" s="1518"/>
      <c r="G18" s="1519"/>
      <c r="H18" s="1484">
        <f>+H19+H20+H21</f>
        <v>0</v>
      </c>
      <c r="I18" s="1471">
        <f t="shared" ref="I18:L18" si="6">+I19+I20+I21</f>
        <v>0</v>
      </c>
      <c r="J18" s="1485">
        <f t="shared" si="6"/>
        <v>0</v>
      </c>
      <c r="K18" s="1471">
        <f t="shared" si="6"/>
        <v>0</v>
      </c>
      <c r="L18" s="1485">
        <f t="shared" si="6"/>
        <v>0</v>
      </c>
      <c r="M18" s="1486"/>
      <c r="N18" s="1485">
        <f t="shared" ref="N18:O18" si="7">+N19+N20+N21</f>
        <v>-25754006</v>
      </c>
      <c r="O18" s="1471">
        <f t="shared" si="7"/>
        <v>0</v>
      </c>
      <c r="P18" s="1487"/>
      <c r="Q18" s="1471">
        <f t="shared" ref="Q18:T18" si="8">+Q19+Q20+Q21</f>
        <v>0</v>
      </c>
      <c r="R18" s="1485">
        <f t="shared" si="8"/>
        <v>0</v>
      </c>
      <c r="S18" s="1471">
        <f t="shared" si="8"/>
        <v>0</v>
      </c>
      <c r="T18" s="1485">
        <f t="shared" si="8"/>
        <v>0</v>
      </c>
      <c r="U18" s="1486"/>
      <c r="V18" s="1488">
        <f>SUM(H18:T18)</f>
        <v>-25754006</v>
      </c>
    </row>
    <row r="19" spans="2:22" ht="12">
      <c r="B19" s="1183" t="s">
        <v>3030</v>
      </c>
      <c r="C19" s="1517" t="s">
        <v>3031</v>
      </c>
      <c r="D19" s="1518"/>
      <c r="E19" s="1518"/>
      <c r="F19" s="1518"/>
      <c r="G19" s="1519"/>
      <c r="H19" s="1472"/>
      <c r="I19" s="1473"/>
      <c r="J19" s="1474"/>
      <c r="K19" s="1473"/>
      <c r="L19" s="1474"/>
      <c r="M19" s="1475"/>
      <c r="N19" s="1474"/>
      <c r="O19" s="1473"/>
      <c r="P19" s="1476"/>
      <c r="Q19" s="1473"/>
      <c r="R19" s="1474"/>
      <c r="S19" s="1473"/>
      <c r="T19" s="1474"/>
      <c r="U19" s="1475"/>
      <c r="V19" s="1489"/>
    </row>
    <row r="20" spans="2:22" ht="12">
      <c r="B20" s="1183" t="s">
        <v>3032</v>
      </c>
      <c r="C20" s="1517" t="s">
        <v>3033</v>
      </c>
      <c r="D20" s="1518"/>
      <c r="E20" s="1518"/>
      <c r="F20" s="1518"/>
      <c r="G20" s="1519"/>
      <c r="H20" s="1478"/>
      <c r="I20" s="1479"/>
      <c r="J20" s="1480"/>
      <c r="K20" s="1479"/>
      <c r="L20" s="1480"/>
      <c r="M20" s="1481"/>
      <c r="N20" s="1480">
        <f>-25754006</f>
        <v>-25754006</v>
      </c>
      <c r="O20" s="1479"/>
      <c r="P20" s="1482"/>
      <c r="Q20" s="1479"/>
      <c r="R20" s="1480"/>
      <c r="S20" s="1479"/>
      <c r="T20" s="1480"/>
      <c r="U20" s="1481"/>
      <c r="V20" s="1490"/>
    </row>
    <row r="21" spans="2:22" ht="12">
      <c r="B21" s="1183" t="s">
        <v>3034</v>
      </c>
      <c r="C21" s="1517" t="s">
        <v>3035</v>
      </c>
      <c r="D21" s="1518"/>
      <c r="E21" s="1518"/>
      <c r="F21" s="1518"/>
      <c r="G21" s="1519"/>
      <c r="H21" s="1478"/>
      <c r="I21" s="1479"/>
      <c r="J21" s="1480"/>
      <c r="K21" s="1479"/>
      <c r="L21" s="1480"/>
      <c r="M21" s="1481"/>
      <c r="N21" s="1480"/>
      <c r="O21" s="1479"/>
      <c r="P21" s="1482"/>
      <c r="Q21" s="1479"/>
      <c r="R21" s="1480"/>
      <c r="S21" s="1479"/>
      <c r="T21" s="1480"/>
      <c r="U21" s="1481"/>
      <c r="V21" s="1490"/>
    </row>
    <row r="22" spans="2:22" ht="12">
      <c r="B22" s="1183" t="s">
        <v>3036</v>
      </c>
      <c r="C22" s="1517" t="s">
        <v>2796</v>
      </c>
      <c r="D22" s="1518"/>
      <c r="E22" s="1518"/>
      <c r="F22" s="1518"/>
      <c r="G22" s="1519"/>
      <c r="H22" s="1478"/>
      <c r="I22" s="1479"/>
      <c r="J22" s="1480">
        <v>535709</v>
      </c>
      <c r="K22" s="1479">
        <v>-141480</v>
      </c>
      <c r="L22" s="1480"/>
      <c r="M22" s="1481"/>
      <c r="N22" s="1480"/>
      <c r="O22" s="1479"/>
      <c r="P22" s="1482"/>
      <c r="Q22" s="1479"/>
      <c r="R22" s="1480"/>
      <c r="S22" s="1479"/>
      <c r="T22" s="1480"/>
      <c r="U22" s="1481"/>
      <c r="V22" s="1490">
        <f>SUM(H22:T22)</f>
        <v>394229</v>
      </c>
    </row>
    <row r="23" spans="2:22" ht="12">
      <c r="B23" s="1183" t="s">
        <v>3037</v>
      </c>
      <c r="C23" s="1517" t="s">
        <v>3038</v>
      </c>
      <c r="D23" s="1518"/>
      <c r="E23" s="1518"/>
      <c r="F23" s="1518"/>
      <c r="G23" s="1519"/>
      <c r="H23" s="1491"/>
      <c r="I23" s="1492"/>
      <c r="J23" s="1493"/>
      <c r="K23" s="1492"/>
      <c r="L23" s="1493"/>
      <c r="M23" s="1494"/>
      <c r="N23" s="1493"/>
      <c r="O23" s="1492"/>
      <c r="P23" s="1495"/>
      <c r="Q23" s="1492"/>
      <c r="R23" s="1493"/>
      <c r="S23" s="1492"/>
      <c r="T23" s="1493"/>
      <c r="U23" s="1494"/>
      <c r="V23" s="1496"/>
    </row>
    <row r="24" spans="2:22" ht="12">
      <c r="B24" s="1184" t="s">
        <v>3039</v>
      </c>
      <c r="C24" s="1514" t="s">
        <v>3040</v>
      </c>
      <c r="D24" s="1515"/>
      <c r="E24" s="1515"/>
      <c r="F24" s="1515"/>
      <c r="G24" s="1516"/>
      <c r="H24" s="1484">
        <f>+H12+H13+H18+H22+H23+H17</f>
        <v>159350293</v>
      </c>
      <c r="I24" s="1484">
        <f t="shared" ref="I24:L24" si="9">+I12+I13+I18+I22+I23+I17</f>
        <v>3323098</v>
      </c>
      <c r="J24" s="1484">
        <f t="shared" si="9"/>
        <v>1501759</v>
      </c>
      <c r="K24" s="1484">
        <f t="shared" si="9"/>
        <v>-274175</v>
      </c>
      <c r="L24" s="1484">
        <f t="shared" si="9"/>
        <v>2203918</v>
      </c>
      <c r="M24" s="1486"/>
      <c r="N24" s="1484">
        <f t="shared" ref="N24:O24" si="10">+N12+N13+N18+N22+N23+N17</f>
        <v>37453902</v>
      </c>
      <c r="O24" s="1471">
        <f t="shared" si="10"/>
        <v>12964093</v>
      </c>
      <c r="P24" s="1487"/>
      <c r="Q24" s="1471">
        <f t="shared" ref="Q24:T24" si="11">+Q12+Q13+Q18+Q22+Q23+Q17</f>
        <v>0</v>
      </c>
      <c r="R24" s="1485">
        <f t="shared" si="11"/>
        <v>0</v>
      </c>
      <c r="S24" s="1471">
        <f t="shared" si="11"/>
        <v>0</v>
      </c>
      <c r="T24" s="1485">
        <f t="shared" si="11"/>
        <v>0</v>
      </c>
      <c r="U24" s="1486"/>
      <c r="V24" s="1488">
        <f>SUM(H24:T24)</f>
        <v>216522888</v>
      </c>
    </row>
    <row r="26" spans="2:22">
      <c r="J26" s="1470"/>
      <c r="N26" t="s">
        <v>1805</v>
      </c>
      <c r="V26" s="1185">
        <v>216522888</v>
      </c>
    </row>
    <row r="27" spans="2:22">
      <c r="V27" s="1185">
        <f>+V24-V26</f>
        <v>0</v>
      </c>
    </row>
    <row r="28" spans="2:22">
      <c r="N28" t="s">
        <v>1805</v>
      </c>
    </row>
    <row r="29" spans="2:22">
      <c r="N29" t="s">
        <v>1805</v>
      </c>
    </row>
  </sheetData>
  <mergeCells count="34">
    <mergeCell ref="Q4:U4"/>
    <mergeCell ref="V4:V9"/>
    <mergeCell ref="H5:H9"/>
    <mergeCell ref="I5:I9"/>
    <mergeCell ref="J5:J9"/>
    <mergeCell ref="K5:K9"/>
    <mergeCell ref="S5:S9"/>
    <mergeCell ref="T5:T9"/>
    <mergeCell ref="U5:U9"/>
    <mergeCell ref="Q5:Q9"/>
    <mergeCell ref="R5:R9"/>
    <mergeCell ref="C12:G12"/>
    <mergeCell ref="L5:L9"/>
    <mergeCell ref="N5:N9"/>
    <mergeCell ref="O5:O9"/>
    <mergeCell ref="P5:P9"/>
    <mergeCell ref="B4:G9"/>
    <mergeCell ref="I4:L4"/>
    <mergeCell ref="M4:M9"/>
    <mergeCell ref="N4:P4"/>
    <mergeCell ref="C10:G10"/>
    <mergeCell ref="C11:G11"/>
    <mergeCell ref="C24:G24"/>
    <mergeCell ref="C13:G13"/>
    <mergeCell ref="C14:G14"/>
    <mergeCell ref="C15:G15"/>
    <mergeCell ref="C16:G16"/>
    <mergeCell ref="C17:G17"/>
    <mergeCell ref="C18:G18"/>
    <mergeCell ref="C19:G19"/>
    <mergeCell ref="C20:G20"/>
    <mergeCell ref="C21:G21"/>
    <mergeCell ref="C22:G22"/>
    <mergeCell ref="C23:G23"/>
  </mergeCells>
  <pageMargins left="0" right="0" top="0" bottom="0" header="0.31496062992125984" footer="0.31496062992125984"/>
  <pageSetup paperSize="119" scale="64"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tabColor rgb="FF7030A0"/>
    <pageSetUpPr fitToPage="1"/>
  </sheetPr>
  <dimension ref="A5:F88"/>
  <sheetViews>
    <sheetView workbookViewId="0">
      <selection activeCell="D3" sqref="D3"/>
    </sheetView>
  </sheetViews>
  <sheetFormatPr baseColWidth="10" defaultColWidth="67.5" defaultRowHeight="11.25"/>
  <cols>
    <col min="1" max="1" width="12.33203125" style="1227" customWidth="1"/>
    <col min="2" max="2" width="14.1640625" style="1256" bestFit="1" customWidth="1"/>
    <col min="3" max="3" width="3.1640625" style="1256" customWidth="1"/>
    <col min="4" max="4" width="90.33203125" style="1257" customWidth="1"/>
    <col min="5" max="5" width="17.5" style="1174" bestFit="1" customWidth="1"/>
    <col min="6" max="6" width="16.1640625" style="1174" customWidth="1"/>
    <col min="7" max="16384" width="67.5" style="1227"/>
  </cols>
  <sheetData>
    <row r="5" spans="1:6">
      <c r="A5" s="939" t="s">
        <v>3097</v>
      </c>
      <c r="B5" s="940"/>
      <c r="C5" s="940"/>
      <c r="D5" s="941"/>
      <c r="E5" s="1225">
        <v>41090</v>
      </c>
      <c r="F5" s="1226"/>
    </row>
    <row r="6" spans="1:6">
      <c r="A6" s="1228"/>
      <c r="B6" s="1229"/>
      <c r="C6" s="1229"/>
      <c r="D6" s="1230"/>
      <c r="E6" s="1231"/>
      <c r="F6" s="1232"/>
    </row>
    <row r="7" spans="1:6">
      <c r="A7" s="1233" t="s">
        <v>3098</v>
      </c>
      <c r="B7" s="1234"/>
      <c r="C7" s="1234"/>
      <c r="D7" s="1235"/>
      <c r="E7" s="1236"/>
      <c r="F7" s="1236"/>
    </row>
    <row r="8" spans="1:6">
      <c r="A8" s="1233" t="s">
        <v>3099</v>
      </c>
      <c r="B8" s="1234"/>
      <c r="C8" s="1234"/>
      <c r="D8" s="1237"/>
      <c r="E8" s="1236"/>
      <c r="F8" s="1236"/>
    </row>
    <row r="9" spans="1:6">
      <c r="A9" s="1238" t="s">
        <v>3100</v>
      </c>
      <c r="B9" s="1234">
        <v>7311100</v>
      </c>
      <c r="C9" s="1234"/>
      <c r="D9" s="1237" t="s">
        <v>3101</v>
      </c>
      <c r="E9" s="1236">
        <v>112009821</v>
      </c>
      <c r="F9" s="1236"/>
    </row>
    <row r="10" spans="1:6">
      <c r="A10" s="1238" t="s">
        <v>3102</v>
      </c>
      <c r="B10" s="1234">
        <v>7311200</v>
      </c>
      <c r="C10" s="1234"/>
      <c r="D10" s="1237" t="s">
        <v>3103</v>
      </c>
      <c r="E10" s="1236">
        <v>0</v>
      </c>
      <c r="F10" s="1236"/>
    </row>
    <row r="11" spans="1:6">
      <c r="A11" s="1238" t="s">
        <v>3104</v>
      </c>
      <c r="B11" s="1234">
        <v>7311300</v>
      </c>
      <c r="C11" s="1234"/>
      <c r="D11" s="1237" t="s">
        <v>3105</v>
      </c>
      <c r="E11" s="1236">
        <v>0</v>
      </c>
      <c r="F11" s="1236"/>
    </row>
    <row r="12" spans="1:6">
      <c r="A12" s="1238" t="s">
        <v>3106</v>
      </c>
      <c r="B12" s="1234">
        <v>7311400</v>
      </c>
      <c r="C12" s="1234"/>
      <c r="D12" s="1237" t="s">
        <v>3107</v>
      </c>
      <c r="E12" s="1236">
        <v>-2892</v>
      </c>
      <c r="F12" s="1236"/>
    </row>
    <row r="13" spans="1:6">
      <c r="A13" s="1238" t="s">
        <v>3108</v>
      </c>
      <c r="B13" s="1234">
        <v>7311500</v>
      </c>
      <c r="C13" s="1234"/>
      <c r="D13" s="1237" t="s">
        <v>3109</v>
      </c>
      <c r="E13" s="1236">
        <v>0</v>
      </c>
      <c r="F13" s="1236"/>
    </row>
    <row r="14" spans="1:6">
      <c r="A14" s="1238" t="s">
        <v>3110</v>
      </c>
      <c r="B14" s="1234">
        <v>7311600</v>
      </c>
      <c r="C14" s="1234"/>
      <c r="D14" s="1237" t="s">
        <v>3111</v>
      </c>
      <c r="E14" s="1236">
        <v>847017025</v>
      </c>
      <c r="F14" s="1236"/>
    </row>
    <row r="15" spans="1:6">
      <c r="A15" s="1238" t="s">
        <v>3112</v>
      </c>
      <c r="B15" s="1234">
        <v>7311700</v>
      </c>
      <c r="C15" s="1234"/>
      <c r="D15" s="1237" t="s">
        <v>3113</v>
      </c>
      <c r="E15" s="1236">
        <v>1144550390</v>
      </c>
      <c r="F15" s="1236"/>
    </row>
    <row r="16" spans="1:6">
      <c r="A16" s="1238" t="s">
        <v>3114</v>
      </c>
      <c r="B16" s="1234">
        <v>7311800</v>
      </c>
      <c r="C16" s="1234"/>
      <c r="D16" s="1237" t="s">
        <v>3115</v>
      </c>
      <c r="E16" s="1236">
        <v>4749657</v>
      </c>
      <c r="F16" s="1236"/>
    </row>
    <row r="17" spans="1:6">
      <c r="A17" s="1238" t="s">
        <v>3116</v>
      </c>
      <c r="B17" s="1234">
        <v>7311900</v>
      </c>
      <c r="C17" s="1234"/>
      <c r="D17" s="1239" t="s">
        <v>3117</v>
      </c>
      <c r="E17" s="1236">
        <v>0</v>
      </c>
      <c r="F17" s="1236"/>
    </row>
    <row r="18" spans="1:6">
      <c r="A18" s="1238" t="s">
        <v>3118</v>
      </c>
      <c r="B18" s="1234">
        <v>7312000</v>
      </c>
      <c r="C18" s="1234"/>
      <c r="D18" s="1239" t="s">
        <v>3119</v>
      </c>
      <c r="E18" s="1236">
        <v>-2283974</v>
      </c>
      <c r="F18" s="1236"/>
    </row>
    <row r="19" spans="1:6">
      <c r="A19" s="1238" t="s">
        <v>3120</v>
      </c>
      <c r="B19" s="1234">
        <v>7312100</v>
      </c>
      <c r="C19" s="1234"/>
      <c r="D19" s="1240" t="s">
        <v>3121</v>
      </c>
      <c r="E19" s="1236">
        <v>128204</v>
      </c>
      <c r="F19" s="1236"/>
    </row>
    <row r="20" spans="1:6" s="1245" customFormat="1">
      <c r="A20" s="1241" t="s">
        <v>3122</v>
      </c>
      <c r="B20" s="1242">
        <v>7310000</v>
      </c>
      <c r="C20" s="1242"/>
      <c r="D20" s="1243" t="s">
        <v>3123</v>
      </c>
      <c r="E20" s="1244">
        <f>SUM(E9:E19)</f>
        <v>2106168231</v>
      </c>
      <c r="F20" s="1236"/>
    </row>
    <row r="21" spans="1:6">
      <c r="A21" s="1238"/>
      <c r="B21" s="1234"/>
      <c r="C21" s="1234"/>
      <c r="D21" s="1240"/>
      <c r="E21" s="1236"/>
      <c r="F21" s="1236"/>
    </row>
    <row r="22" spans="1:6">
      <c r="A22" s="1233" t="s">
        <v>3124</v>
      </c>
      <c r="B22" s="958"/>
      <c r="C22" s="958"/>
      <c r="D22" s="1243"/>
      <c r="E22" s="1236" t="s">
        <v>1805</v>
      </c>
      <c r="F22" s="1236"/>
    </row>
    <row r="23" spans="1:6">
      <c r="A23" s="1238" t="s">
        <v>3125</v>
      </c>
      <c r="B23" s="1234">
        <v>7321100</v>
      </c>
      <c r="C23" s="1234"/>
      <c r="D23" s="1240" t="s">
        <v>3126</v>
      </c>
      <c r="E23" s="1236">
        <v>-1442996</v>
      </c>
      <c r="F23" s="1236"/>
    </row>
    <row r="24" spans="1:6">
      <c r="A24" s="1238" t="s">
        <v>3127</v>
      </c>
      <c r="B24" s="1234">
        <v>7321200</v>
      </c>
      <c r="C24" s="1234"/>
      <c r="D24" s="1240" t="s">
        <v>3128</v>
      </c>
      <c r="E24" s="1236">
        <v>-91884239</v>
      </c>
      <c r="F24" s="1236"/>
    </row>
    <row r="25" spans="1:6">
      <c r="A25" s="1238" t="s">
        <v>3129</v>
      </c>
      <c r="B25" s="1234">
        <v>7321300</v>
      </c>
      <c r="C25" s="1234"/>
      <c r="D25" s="1240" t="s">
        <v>3130</v>
      </c>
      <c r="E25" s="1236">
        <v>-3163095</v>
      </c>
      <c r="F25" s="1236"/>
    </row>
    <row r="26" spans="1:6">
      <c r="A26" s="1238" t="s">
        <v>3131</v>
      </c>
      <c r="B26" s="1234">
        <v>7321400</v>
      </c>
      <c r="C26" s="1234"/>
      <c r="D26" s="1240" t="s">
        <v>3132</v>
      </c>
      <c r="E26" s="1236">
        <v>0</v>
      </c>
      <c r="F26" s="1236"/>
    </row>
    <row r="27" spans="1:6">
      <c r="A27" s="1238" t="s">
        <v>3133</v>
      </c>
      <c r="B27" s="1234">
        <v>7321500</v>
      </c>
      <c r="C27" s="1234"/>
      <c r="D27" s="1240" t="s">
        <v>3134</v>
      </c>
      <c r="E27" s="1236">
        <v>-879726264</v>
      </c>
      <c r="F27" s="1236"/>
    </row>
    <row r="28" spans="1:6">
      <c r="A28" s="1238" t="s">
        <v>3135</v>
      </c>
      <c r="B28" s="1234">
        <v>7321600</v>
      </c>
      <c r="C28" s="1234"/>
      <c r="D28" s="1240" t="s">
        <v>3136</v>
      </c>
      <c r="E28" s="1236">
        <v>-1094058908</v>
      </c>
      <c r="F28" s="1236"/>
    </row>
    <row r="29" spans="1:6">
      <c r="A29" s="1238" t="s">
        <v>3137</v>
      </c>
      <c r="B29" s="1234">
        <v>7321700</v>
      </c>
      <c r="C29" s="1234"/>
      <c r="D29" s="1240" t="s">
        <v>3138</v>
      </c>
      <c r="E29" s="1236">
        <v>-8590355</v>
      </c>
      <c r="F29" s="1236"/>
    </row>
    <row r="30" spans="1:6">
      <c r="A30" s="1238" t="s">
        <v>3139</v>
      </c>
      <c r="B30" s="1234">
        <v>7321800</v>
      </c>
      <c r="C30" s="1234"/>
      <c r="D30" s="1240" t="s">
        <v>3140</v>
      </c>
      <c r="E30" s="1236">
        <v>-6883084</v>
      </c>
      <c r="F30" s="1236"/>
    </row>
    <row r="31" spans="1:6">
      <c r="A31" s="1238" t="s">
        <v>3141</v>
      </c>
      <c r="B31" s="1234">
        <v>7321900</v>
      </c>
      <c r="C31" s="1234"/>
      <c r="D31" s="1240" t="s">
        <v>3142</v>
      </c>
      <c r="E31" s="1236">
        <v>-15733874</v>
      </c>
      <c r="F31" s="1236"/>
    </row>
    <row r="32" spans="1:6">
      <c r="A32" s="1238" t="s">
        <v>3143</v>
      </c>
      <c r="B32" s="1234">
        <v>7322000</v>
      </c>
      <c r="C32" s="1234"/>
      <c r="D32" s="1240" t="s">
        <v>3144</v>
      </c>
      <c r="E32" s="1246">
        <v>8649416</v>
      </c>
      <c r="F32" s="1236"/>
    </row>
    <row r="33" spans="1:6">
      <c r="A33" s="1238" t="s">
        <v>3145</v>
      </c>
      <c r="B33" s="1234">
        <v>7320000</v>
      </c>
      <c r="C33" s="1234"/>
      <c r="D33" s="1240" t="s">
        <v>3146</v>
      </c>
      <c r="E33" s="1244">
        <f>SUM(E22:E32)</f>
        <v>-2092833399</v>
      </c>
      <c r="F33" s="1236"/>
    </row>
    <row r="34" spans="1:6" s="1245" customFormat="1">
      <c r="A34" s="1241" t="s">
        <v>3147</v>
      </c>
      <c r="B34" s="1242">
        <v>7300000</v>
      </c>
      <c r="C34" s="1247" t="s">
        <v>3148</v>
      </c>
      <c r="D34" s="1243"/>
      <c r="E34" s="1248">
        <f>+E20+E33</f>
        <v>13334832</v>
      </c>
      <c r="F34" s="1249"/>
    </row>
    <row r="35" spans="1:6">
      <c r="A35" s="1238"/>
      <c r="B35" s="1234"/>
      <c r="C35" s="1250"/>
      <c r="D35" s="1240"/>
      <c r="E35" s="1236" t="s">
        <v>1805</v>
      </c>
      <c r="F35" s="1236"/>
    </row>
    <row r="36" spans="1:6">
      <c r="A36" s="1233" t="s">
        <v>3149</v>
      </c>
      <c r="B36" s="1234"/>
      <c r="C36" s="1234"/>
      <c r="D36" s="1240"/>
      <c r="E36" s="1236" t="s">
        <v>1805</v>
      </c>
      <c r="F36" s="1236"/>
    </row>
    <row r="37" spans="1:6">
      <c r="A37" s="1233" t="s">
        <v>3150</v>
      </c>
      <c r="B37" s="1234"/>
      <c r="C37" s="1234"/>
      <c r="D37" s="1243"/>
      <c r="E37" s="1236" t="s">
        <v>1805</v>
      </c>
      <c r="F37" s="1236"/>
    </row>
    <row r="38" spans="1:6">
      <c r="A38" s="1238" t="s">
        <v>3151</v>
      </c>
      <c r="B38" s="1234">
        <v>7411100</v>
      </c>
      <c r="C38" s="1234"/>
      <c r="D38" s="1240" t="s">
        <v>3152</v>
      </c>
      <c r="E38" s="1236">
        <v>201612</v>
      </c>
      <c r="F38" s="1236"/>
    </row>
    <row r="39" spans="1:6">
      <c r="A39" s="1238" t="s">
        <v>3153</v>
      </c>
      <c r="B39" s="1234">
        <v>7411200</v>
      </c>
      <c r="C39" s="1234"/>
      <c r="D39" s="1237" t="s">
        <v>3154</v>
      </c>
      <c r="E39" s="1236">
        <f>10779254+533499</f>
        <v>11312753</v>
      </c>
      <c r="F39" s="1236"/>
    </row>
    <row r="40" spans="1:6">
      <c r="A40" s="1238" t="s">
        <v>3155</v>
      </c>
      <c r="B40" s="1234">
        <v>7411300</v>
      </c>
      <c r="C40" s="1234"/>
      <c r="D40" s="1237" t="s">
        <v>3156</v>
      </c>
      <c r="E40" s="1236">
        <v>0</v>
      </c>
      <c r="F40" s="1236"/>
    </row>
    <row r="41" spans="1:6">
      <c r="A41" s="1238" t="s">
        <v>3157</v>
      </c>
      <c r="B41" s="1234">
        <v>7411400</v>
      </c>
      <c r="C41" s="1234"/>
      <c r="D41" s="1237" t="s">
        <v>3158</v>
      </c>
      <c r="E41" s="1236">
        <v>0</v>
      </c>
      <c r="F41" s="1236"/>
    </row>
    <row r="42" spans="1:6">
      <c r="A42" s="1238" t="s">
        <v>3159</v>
      </c>
      <c r="B42" s="1234">
        <v>7411500</v>
      </c>
      <c r="C42" s="1234"/>
      <c r="D42" s="1237" t="s">
        <v>3160</v>
      </c>
      <c r="E42" s="1236">
        <v>0</v>
      </c>
      <c r="F42" s="1236"/>
    </row>
    <row r="43" spans="1:6">
      <c r="A43" s="1238" t="s">
        <v>3161</v>
      </c>
      <c r="B43" s="1234">
        <v>7411600</v>
      </c>
      <c r="C43" s="1234"/>
      <c r="D43" s="1237" t="s">
        <v>3162</v>
      </c>
      <c r="E43" s="1236">
        <v>0</v>
      </c>
      <c r="F43" s="1236"/>
    </row>
    <row r="44" spans="1:6" s="1245" customFormat="1">
      <c r="A44" s="1241" t="s">
        <v>3163</v>
      </c>
      <c r="B44" s="1242">
        <v>7410000</v>
      </c>
      <c r="C44" s="1247" t="s">
        <v>3164</v>
      </c>
      <c r="D44" s="1235"/>
      <c r="E44" s="1244">
        <f>SUM(E38:E43)</f>
        <v>11514365</v>
      </c>
      <c r="F44" s="1244"/>
    </row>
    <row r="45" spans="1:6">
      <c r="A45" s="1238"/>
      <c r="B45" s="1234"/>
      <c r="C45" s="1234"/>
      <c r="D45" s="1237"/>
      <c r="E45" s="1236"/>
      <c r="F45" s="1236"/>
    </row>
    <row r="46" spans="1:6">
      <c r="A46" s="1233" t="s">
        <v>3165</v>
      </c>
      <c r="B46" s="1234"/>
      <c r="C46" s="1234"/>
      <c r="D46" s="1240"/>
      <c r="E46" s="1236"/>
      <c r="F46" s="1236"/>
    </row>
    <row r="47" spans="1:6">
      <c r="A47" s="1238" t="s">
        <v>3166</v>
      </c>
      <c r="B47" s="1234">
        <v>7421100</v>
      </c>
      <c r="C47" s="1234"/>
      <c r="D47" s="1240" t="s">
        <v>3167</v>
      </c>
      <c r="E47" s="1236">
        <v>-105878</v>
      </c>
      <c r="F47" s="1236"/>
    </row>
    <row r="48" spans="1:6">
      <c r="A48" s="1238" t="s">
        <v>3168</v>
      </c>
      <c r="B48" s="1234">
        <v>7421200</v>
      </c>
      <c r="C48" s="1234"/>
      <c r="D48" s="1240" t="s">
        <v>2734</v>
      </c>
      <c r="E48" s="1236">
        <v>0</v>
      </c>
      <c r="F48" s="1236"/>
    </row>
    <row r="49" spans="1:6">
      <c r="A49" s="1238" t="s">
        <v>3169</v>
      </c>
      <c r="B49" s="1234">
        <v>7421300</v>
      </c>
      <c r="C49" s="1234"/>
      <c r="D49" s="1237" t="s">
        <v>3170</v>
      </c>
      <c r="E49" s="1236">
        <v>0</v>
      </c>
      <c r="F49" s="1236"/>
    </row>
    <row r="50" spans="1:6">
      <c r="A50" s="1238" t="s">
        <v>3171</v>
      </c>
      <c r="B50" s="1234">
        <v>7421400</v>
      </c>
      <c r="C50" s="1234"/>
      <c r="D50" s="1237" t="s">
        <v>3172</v>
      </c>
      <c r="E50" s="1236">
        <v>0</v>
      </c>
      <c r="F50" s="1236"/>
    </row>
    <row r="51" spans="1:6">
      <c r="A51" s="1238" t="s">
        <v>3173</v>
      </c>
      <c r="B51" s="1234">
        <v>7421500</v>
      </c>
      <c r="C51" s="1234"/>
      <c r="D51" s="1237" t="s">
        <v>3174</v>
      </c>
      <c r="E51" s="1236">
        <v>0</v>
      </c>
      <c r="F51" s="1236"/>
    </row>
    <row r="52" spans="1:6">
      <c r="A52" s="1238" t="s">
        <v>3175</v>
      </c>
      <c r="B52" s="1234">
        <v>7421600</v>
      </c>
      <c r="C52" s="1234"/>
      <c r="D52" s="1237" t="s">
        <v>3176</v>
      </c>
      <c r="E52" s="1236">
        <v>-179</v>
      </c>
      <c r="F52" s="1236"/>
    </row>
    <row r="53" spans="1:6">
      <c r="A53" s="1238" t="s">
        <v>3177</v>
      </c>
      <c r="B53" s="1234">
        <v>7420000</v>
      </c>
      <c r="C53" s="1234"/>
      <c r="D53" s="1235" t="s">
        <v>3178</v>
      </c>
      <c r="E53" s="1244">
        <f>SUM(E47:E52)</f>
        <v>-106057</v>
      </c>
      <c r="F53" s="1236"/>
    </row>
    <row r="54" spans="1:6">
      <c r="A54" s="1241" t="s">
        <v>3179</v>
      </c>
      <c r="B54" s="1242">
        <v>7400000</v>
      </c>
      <c r="C54" s="1247" t="s">
        <v>3180</v>
      </c>
      <c r="D54" s="1235"/>
      <c r="E54" s="1248">
        <f>+E44+E53</f>
        <v>11408308</v>
      </c>
      <c r="F54" s="1249"/>
    </row>
    <row r="55" spans="1:6">
      <c r="A55" s="1238"/>
      <c r="B55" s="1234"/>
      <c r="C55" s="1234"/>
      <c r="D55" s="1237"/>
      <c r="E55" s="1236" t="s">
        <v>1805</v>
      </c>
      <c r="F55" s="1236"/>
    </row>
    <row r="56" spans="1:6">
      <c r="A56" s="1233" t="s">
        <v>3181</v>
      </c>
      <c r="B56" s="1234"/>
      <c r="C56" s="1234"/>
      <c r="D56" s="1237"/>
      <c r="E56" s="1236" t="s">
        <v>1805</v>
      </c>
      <c r="F56" s="1236"/>
    </row>
    <row r="57" spans="1:6">
      <c r="A57" s="1233" t="s">
        <v>3182</v>
      </c>
      <c r="B57" s="1234"/>
      <c r="C57" s="1234"/>
      <c r="D57" s="1240"/>
      <c r="E57" s="1236" t="s">
        <v>1805</v>
      </c>
      <c r="F57" s="1236"/>
    </row>
    <row r="58" spans="1:6">
      <c r="A58" s="1238" t="s">
        <v>3183</v>
      </c>
      <c r="B58" s="1234">
        <v>7511100</v>
      </c>
      <c r="C58" s="1234"/>
      <c r="D58" s="1240" t="s">
        <v>3184</v>
      </c>
      <c r="E58" s="1236">
        <v>0</v>
      </c>
      <c r="F58" s="1236"/>
    </row>
    <row r="59" spans="1:6">
      <c r="A59" s="1238" t="s">
        <v>3185</v>
      </c>
      <c r="B59" s="1234">
        <v>7511200</v>
      </c>
      <c r="C59" s="1234"/>
      <c r="D59" s="1237" t="s">
        <v>3186</v>
      </c>
      <c r="E59" s="1236">
        <v>0</v>
      </c>
      <c r="F59" s="1236"/>
    </row>
    <row r="60" spans="1:6">
      <c r="A60" s="1238" t="s">
        <v>3187</v>
      </c>
      <c r="B60" s="1234">
        <v>7511300</v>
      </c>
      <c r="C60" s="1234"/>
      <c r="D60" s="1237" t="s">
        <v>3188</v>
      </c>
      <c r="E60" s="1236">
        <v>0</v>
      </c>
      <c r="F60" s="1236"/>
    </row>
    <row r="61" spans="1:6">
      <c r="A61" s="1238" t="s">
        <v>3189</v>
      </c>
      <c r="B61" s="1234">
        <v>7511400</v>
      </c>
      <c r="C61" s="1234"/>
      <c r="D61" s="1237" t="s">
        <v>3190</v>
      </c>
      <c r="E61" s="1236">
        <v>0</v>
      </c>
      <c r="F61" s="1236"/>
    </row>
    <row r="62" spans="1:6">
      <c r="A62" s="1238" t="s">
        <v>3191</v>
      </c>
      <c r="B62" s="1234">
        <v>7511500</v>
      </c>
      <c r="C62" s="1234"/>
      <c r="D62" s="1237" t="s">
        <v>3192</v>
      </c>
      <c r="E62" s="1236">
        <v>0</v>
      </c>
      <c r="F62" s="1236"/>
    </row>
    <row r="63" spans="1:6" s="1245" customFormat="1">
      <c r="A63" s="1241" t="s">
        <v>3193</v>
      </c>
      <c r="B63" s="1242">
        <v>7510000</v>
      </c>
      <c r="C63" s="1242"/>
      <c r="D63" s="1243" t="s">
        <v>3194</v>
      </c>
      <c r="E63" s="1244">
        <f>SUM(E58:E62)</f>
        <v>0</v>
      </c>
      <c r="F63" s="1236"/>
    </row>
    <row r="64" spans="1:6">
      <c r="A64" s="1238"/>
      <c r="B64" s="1234"/>
      <c r="C64" s="1234"/>
      <c r="D64" s="1243"/>
      <c r="E64" s="1236" t="s">
        <v>1805</v>
      </c>
      <c r="F64" s="1236"/>
    </row>
    <row r="65" spans="1:6">
      <c r="A65" s="1233" t="s">
        <v>3195</v>
      </c>
      <c r="B65" s="1234"/>
      <c r="C65" s="1234"/>
      <c r="D65" s="1240"/>
      <c r="E65" s="1236" t="s">
        <v>1805</v>
      </c>
      <c r="F65" s="1236"/>
    </row>
    <row r="66" spans="1:6">
      <c r="A66" s="1238" t="s">
        <v>3196</v>
      </c>
      <c r="B66" s="1234">
        <v>7521100</v>
      </c>
      <c r="C66" s="1234"/>
      <c r="D66" s="1240" t="s">
        <v>3197</v>
      </c>
      <c r="E66" s="1236">
        <v>-25754006</v>
      </c>
      <c r="F66" s="1236"/>
    </row>
    <row r="67" spans="1:6">
      <c r="A67" s="1238" t="s">
        <v>3198</v>
      </c>
      <c r="B67" s="1234">
        <v>7521200</v>
      </c>
      <c r="C67" s="1234"/>
      <c r="D67" s="1240" t="s">
        <v>3199</v>
      </c>
      <c r="E67" s="1236">
        <v>0</v>
      </c>
      <c r="F67" s="1236"/>
    </row>
    <row r="68" spans="1:6">
      <c r="A68" s="1238" t="s">
        <v>3200</v>
      </c>
      <c r="B68" s="1234">
        <v>7521300</v>
      </c>
      <c r="C68" s="1234"/>
      <c r="D68" s="1240" t="s">
        <v>3201</v>
      </c>
      <c r="E68" s="1236">
        <v>0</v>
      </c>
      <c r="F68" s="1251"/>
    </row>
    <row r="69" spans="1:6">
      <c r="A69" s="1238" t="s">
        <v>3202</v>
      </c>
      <c r="B69" s="1234">
        <v>7521400</v>
      </c>
      <c r="C69" s="1234"/>
      <c r="D69" s="1240" t="s">
        <v>3203</v>
      </c>
      <c r="E69" s="1236">
        <v>421003</v>
      </c>
      <c r="F69" s="1251"/>
    </row>
    <row r="70" spans="1:6">
      <c r="A70" s="1238" t="s">
        <v>3204</v>
      </c>
      <c r="B70" s="1234">
        <v>7521500</v>
      </c>
      <c r="C70" s="1234"/>
      <c r="D70" s="1240" t="s">
        <v>3205</v>
      </c>
      <c r="E70" s="1236">
        <v>0</v>
      </c>
      <c r="F70" s="1251"/>
    </row>
    <row r="71" spans="1:6">
      <c r="A71" s="1238" t="s">
        <v>3206</v>
      </c>
      <c r="B71" s="1234">
        <v>7520000</v>
      </c>
      <c r="C71" s="1234"/>
      <c r="D71" s="1243" t="s">
        <v>3207</v>
      </c>
      <c r="E71" s="1244">
        <f>SUM(E66:E70)</f>
        <v>-25333003</v>
      </c>
      <c r="F71" s="1251"/>
    </row>
    <row r="72" spans="1:6">
      <c r="A72" s="1238" t="s">
        <v>3208</v>
      </c>
      <c r="B72" s="1234">
        <v>7500000</v>
      </c>
      <c r="C72" s="1247" t="s">
        <v>3209</v>
      </c>
      <c r="D72" s="1240"/>
      <c r="E72" s="1248">
        <f>+E63+E71</f>
        <v>-25333003</v>
      </c>
      <c r="F72" s="1249"/>
    </row>
    <row r="73" spans="1:6">
      <c r="A73" s="1238"/>
      <c r="B73" s="1234"/>
      <c r="C73" s="1234"/>
      <c r="D73" s="1240"/>
      <c r="E73" s="1236" t="s">
        <v>1805</v>
      </c>
      <c r="F73" s="1251"/>
    </row>
    <row r="74" spans="1:6">
      <c r="A74" s="1238" t="s">
        <v>3210</v>
      </c>
      <c r="B74" s="1234">
        <v>7600000</v>
      </c>
      <c r="C74" s="1247" t="s">
        <v>3211</v>
      </c>
      <c r="D74" s="1243"/>
      <c r="E74" s="1236"/>
      <c r="F74" s="1251"/>
    </row>
    <row r="75" spans="1:6">
      <c r="A75" s="1238"/>
      <c r="B75" s="1234"/>
      <c r="C75" s="1234"/>
      <c r="D75" s="1240"/>
      <c r="E75" s="1236" t="s">
        <v>1805</v>
      </c>
      <c r="F75" s="1251"/>
    </row>
    <row r="76" spans="1:6">
      <c r="A76" s="1238" t="s">
        <v>3212</v>
      </c>
      <c r="B76" s="1234">
        <v>7700000</v>
      </c>
      <c r="C76" s="1250" t="s">
        <v>3213</v>
      </c>
      <c r="D76" s="1240"/>
      <c r="E76" s="1244">
        <f>+E34+E54+E72</f>
        <v>-589863</v>
      </c>
      <c r="F76" s="1251"/>
    </row>
    <row r="77" spans="1:6">
      <c r="A77" s="1238" t="s">
        <v>3214</v>
      </c>
      <c r="B77" s="1234">
        <v>7710000</v>
      </c>
      <c r="C77" s="1250" t="s">
        <v>3215</v>
      </c>
      <c r="D77" s="1240"/>
      <c r="E77" s="1236">
        <v>1997280</v>
      </c>
      <c r="F77" s="1251"/>
    </row>
    <row r="78" spans="1:6">
      <c r="A78" s="1238" t="s">
        <v>3216</v>
      </c>
      <c r="B78" s="1234">
        <v>7720000</v>
      </c>
      <c r="C78" s="1250" t="s">
        <v>3217</v>
      </c>
      <c r="D78" s="1240"/>
      <c r="E78" s="1244">
        <f>+E77+E76</f>
        <v>1407417</v>
      </c>
      <c r="F78" s="1251"/>
    </row>
    <row r="79" spans="1:6">
      <c r="A79" s="1238"/>
      <c r="B79" s="1234"/>
      <c r="C79" s="1250"/>
      <c r="D79" s="1240"/>
      <c r="E79" s="1236">
        <v>0</v>
      </c>
      <c r="F79" s="1251"/>
    </row>
    <row r="80" spans="1:6">
      <c r="A80" s="1241" t="s">
        <v>3218</v>
      </c>
      <c r="B80" s="1242">
        <v>7800000</v>
      </c>
      <c r="C80" s="1247" t="s">
        <v>3219</v>
      </c>
      <c r="D80" s="1240"/>
      <c r="E80" s="1248">
        <f>+E81+E82+E83</f>
        <v>1407417</v>
      </c>
      <c r="F80" s="1249"/>
    </row>
    <row r="81" spans="1:6">
      <c r="A81" s="1238" t="s">
        <v>3220</v>
      </c>
      <c r="B81" s="1234">
        <v>7810000</v>
      </c>
      <c r="C81" s="1250" t="s">
        <v>3223</v>
      </c>
      <c r="D81" s="1240"/>
      <c r="E81" s="1236">
        <v>361718</v>
      </c>
      <c r="F81" s="1251"/>
    </row>
    <row r="82" spans="1:6">
      <c r="A82" s="1238" t="s">
        <v>3221</v>
      </c>
      <c r="B82" s="1234">
        <v>7820000</v>
      </c>
      <c r="C82" s="1250" t="s">
        <v>1746</v>
      </c>
      <c r="D82" s="1258"/>
      <c r="E82" s="1236">
        <v>1045699</v>
      </c>
      <c r="F82" s="1251"/>
    </row>
    <row r="83" spans="1:6">
      <c r="A83" s="1252" t="s">
        <v>3224</v>
      </c>
      <c r="B83" s="1253">
        <v>7830000</v>
      </c>
      <c r="C83" s="1254" t="s">
        <v>3222</v>
      </c>
      <c r="D83" s="1255"/>
      <c r="E83" s="1236">
        <v>0</v>
      </c>
      <c r="F83" s="1251"/>
    </row>
    <row r="85" spans="1:6" s="1174" customFormat="1">
      <c r="A85" s="1227"/>
      <c r="B85" s="1256"/>
      <c r="C85" s="1256"/>
      <c r="D85" s="1257"/>
    </row>
    <row r="87" spans="1:6" s="1174" customFormat="1">
      <c r="A87" s="1227"/>
      <c r="B87" s="1256"/>
      <c r="C87" s="1256"/>
      <c r="D87" s="1257"/>
    </row>
    <row r="88" spans="1:6" s="1174" customFormat="1">
      <c r="A88" s="1227"/>
      <c r="B88" s="1256"/>
      <c r="C88" s="1256"/>
      <c r="D88" s="1257"/>
    </row>
  </sheetData>
  <pageMargins left="0" right="0" top="0" bottom="0" header="0.31496062992125984" footer="0.31496062992125984"/>
  <pageSetup paperSize="119" scale="86" orientation="portrait" r:id="rId1"/>
  <ignoredErrors>
    <ignoredError sqref="E20 E39 E44 E53 E63 E71 E76 E78" unlockedFormula="1"/>
  </ignoredError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3">
    <pageSetUpPr fitToPage="1"/>
  </sheetPr>
  <dimension ref="A1:N212"/>
  <sheetViews>
    <sheetView showGridLines="0" zoomScaleNormal="100" zoomScaleSheetLayoutView="85" workbookViewId="0">
      <selection sqref="A1:XFD1048576"/>
    </sheetView>
  </sheetViews>
  <sheetFormatPr baseColWidth="10" defaultRowHeight="11.25"/>
  <cols>
    <col min="1" max="1" width="2.83203125" style="106" customWidth="1"/>
    <col min="2" max="2" width="14.1640625" style="106" customWidth="1"/>
    <col min="3" max="3" width="11.6640625" style="532" customWidth="1"/>
    <col min="4" max="4" width="60.83203125" style="106" customWidth="1"/>
    <col min="5" max="5" width="18" style="537" customWidth="1"/>
    <col min="6" max="6" width="17.5" style="539" customWidth="1"/>
    <col min="7" max="7" width="17.33203125" style="539" customWidth="1"/>
    <col min="8" max="8" width="15.83203125" style="106" customWidth="1"/>
    <col min="9" max="9" width="2.83203125" style="106" customWidth="1"/>
    <col min="10" max="10" width="17.6640625" style="106" bestFit="1" customWidth="1"/>
    <col min="11" max="11" width="21.5" style="106" customWidth="1"/>
    <col min="12" max="12" width="13.83203125" style="106" bestFit="1" customWidth="1"/>
    <col min="13" max="16384" width="12" style="106"/>
  </cols>
  <sheetData>
    <row r="1" spans="1:12" ht="29.25">
      <c r="A1" s="35" t="s">
        <v>1739</v>
      </c>
      <c r="B1" s="36"/>
      <c r="C1" s="523"/>
      <c r="D1" s="36"/>
      <c r="F1" s="537"/>
      <c r="G1" s="537"/>
      <c r="H1" s="36"/>
      <c r="I1" s="36"/>
    </row>
    <row r="2" spans="1:12" ht="18.75" thickBot="1">
      <c r="A2" s="37" t="s">
        <v>1814</v>
      </c>
      <c r="B2" s="38"/>
      <c r="C2" s="524"/>
      <c r="D2" s="38"/>
      <c r="E2" s="538"/>
      <c r="F2" s="538"/>
      <c r="G2" s="538"/>
      <c r="H2" s="38"/>
      <c r="I2" s="38"/>
    </row>
    <row r="4" spans="1:12">
      <c r="B4" s="504" t="s">
        <v>1805</v>
      </c>
      <c r="C4" s="525"/>
      <c r="D4" s="505"/>
      <c r="H4" s="505"/>
    </row>
    <row r="5" spans="1:12">
      <c r="B5" s="555">
        <f>+EEFF!$G$7</f>
        <v>41121</v>
      </c>
      <c r="C5" s="525"/>
      <c r="D5" s="505"/>
      <c r="H5" s="505"/>
    </row>
    <row r="6" spans="1:12" ht="12" thickBot="1">
      <c r="B6" s="505"/>
      <c r="C6" s="525"/>
      <c r="D6" s="505"/>
      <c r="H6" s="505"/>
    </row>
    <row r="7" spans="1:12" ht="24.95" customHeight="1" thickBot="1">
      <c r="B7" s="506"/>
      <c r="C7" s="526"/>
      <c r="D7" s="507"/>
      <c r="E7" s="540" t="s">
        <v>1820</v>
      </c>
      <c r="F7" s="540" t="s">
        <v>1820</v>
      </c>
      <c r="G7" s="540" t="s">
        <v>1821</v>
      </c>
      <c r="H7" s="508"/>
    </row>
    <row r="8" spans="1:12" s="112" customFormat="1" ht="15" customHeight="1">
      <c r="B8" s="509" t="str">
        <f>MID(C8,1,1)&amp;"."&amp;MID(C8,2,2)&amp;"."&amp;MID(C8,4,2)&amp;"."&amp;MID(C8,6,2)&amp;"."&amp;MID(C8,8,2)</f>
        <v>5.10.00.00.00</v>
      </c>
      <c r="C8" s="527">
        <v>510000000</v>
      </c>
      <c r="D8" s="510" t="s">
        <v>1819</v>
      </c>
      <c r="E8" s="541"/>
      <c r="F8" s="541"/>
      <c r="G8" s="542">
        <f>SUM(G9,G49,G54,G58)</f>
        <v>2005185779</v>
      </c>
      <c r="H8" s="511"/>
      <c r="J8" s="426"/>
      <c r="K8" s="396"/>
    </row>
    <row r="9" spans="1:12" s="112" customFormat="1" ht="15" customHeight="1">
      <c r="B9" s="512" t="str">
        <f t="shared" ref="B9:B80" si="0">MID(C9,1,1)&amp;"."&amp;MID(C9,2,2)&amp;"."&amp;MID(C9,4,2)&amp;"."&amp;MID(C9,6,2)&amp;"."&amp;MID(C9,8,2)</f>
        <v>5.11.00.00.00</v>
      </c>
      <c r="C9" s="528">
        <v>511000000</v>
      </c>
      <c r="D9" s="513" t="s">
        <v>1823</v>
      </c>
      <c r="E9" s="543"/>
      <c r="F9" s="543"/>
      <c r="G9" s="544">
        <f>SUM(F10,F38)</f>
        <v>1944943784</v>
      </c>
      <c r="H9" s="514"/>
      <c r="J9" s="426"/>
      <c r="K9" s="396"/>
    </row>
    <row r="10" spans="1:12" s="112" customFormat="1" ht="15" customHeight="1">
      <c r="B10" s="512" t="str">
        <f t="shared" si="0"/>
        <v>5.11.10.00.00</v>
      </c>
      <c r="C10" s="528">
        <v>511100000</v>
      </c>
      <c r="D10" s="515" t="s">
        <v>104</v>
      </c>
      <c r="E10" s="543"/>
      <c r="F10" s="544">
        <f>SUM(F11,E17,E20,F23,F32,F33,F36,F37)</f>
        <v>1682526905</v>
      </c>
      <c r="G10" s="543"/>
      <c r="H10" s="514"/>
      <c r="J10" s="426"/>
      <c r="K10" s="396"/>
    </row>
    <row r="11" spans="1:12" s="112" customFormat="1" ht="15" customHeight="1">
      <c r="B11" s="512" t="str">
        <f t="shared" si="0"/>
        <v>5.11.11.00.00</v>
      </c>
      <c r="C11" s="528">
        <v>511110000</v>
      </c>
      <c r="D11" s="515" t="s">
        <v>105</v>
      </c>
      <c r="E11" s="543"/>
      <c r="F11" s="937">
        <f>SUM(E12:E15)</f>
        <v>1275300358</v>
      </c>
      <c r="G11" s="543"/>
      <c r="H11" s="514"/>
      <c r="J11" s="426"/>
      <c r="K11" s="396"/>
    </row>
    <row r="12" spans="1:12" ht="15" customHeight="1">
      <c r="B12" s="512" t="str">
        <f t="shared" si="0"/>
        <v>5.11.11.10.00</v>
      </c>
      <c r="C12" s="529">
        <v>511111000</v>
      </c>
      <c r="D12" s="516" t="s">
        <v>1204</v>
      </c>
      <c r="E12" s="689">
        <f>SUMIF('MATRIZCTAS(a)'!$E$7:$E$1764,C12,'MATRIZCTAS(a)'!$AH$7:$AH$1764)</f>
        <v>57400304</v>
      </c>
      <c r="F12" s="546"/>
      <c r="G12" s="546"/>
      <c r="H12" s="514"/>
      <c r="J12" s="130"/>
      <c r="K12" s="396"/>
      <c r="L12" s="397"/>
    </row>
    <row r="13" spans="1:12" ht="15" customHeight="1">
      <c r="B13" s="512" t="str">
        <f t="shared" si="0"/>
        <v>5.11.11.20.00</v>
      </c>
      <c r="C13" s="529">
        <v>511112000</v>
      </c>
      <c r="D13" s="516" t="s">
        <v>1207</v>
      </c>
      <c r="E13" s="689">
        <f>SUMIF('MATRIZCTAS(a)'!$E$7:$E$1764,C13,'MATRIZCTAS(a)'!$AH$7:$AH$1764)</f>
        <v>206323305</v>
      </c>
      <c r="F13" s="546"/>
      <c r="G13" s="546"/>
      <c r="H13" s="514"/>
      <c r="J13" s="130"/>
      <c r="K13" s="396"/>
    </row>
    <row r="14" spans="1:12" ht="15" customHeight="1">
      <c r="B14" s="512" t="str">
        <f t="shared" si="0"/>
        <v>5.11.11.30.00</v>
      </c>
      <c r="C14" s="529">
        <v>511113000</v>
      </c>
      <c r="D14" s="516" t="s">
        <v>1264</v>
      </c>
      <c r="E14" s="689">
        <f>SUMIF('MATRIZCTAS(a)'!$E$7:$E$1764,C14,'MATRIZCTAS(a)'!$AH$7:$AH$1764)</f>
        <v>712449760</v>
      </c>
      <c r="F14" s="546"/>
      <c r="G14" s="546"/>
      <c r="H14" s="514"/>
      <c r="J14" s="130"/>
      <c r="K14" s="396"/>
    </row>
    <row r="15" spans="1:12" ht="15" customHeight="1">
      <c r="B15" s="512" t="str">
        <f t="shared" si="0"/>
        <v>5.11.11.40.00</v>
      </c>
      <c r="C15" s="529">
        <v>511114000</v>
      </c>
      <c r="D15" s="516" t="s">
        <v>1265</v>
      </c>
      <c r="E15" s="689">
        <f>SUMIF('MATRIZCTAS(a)'!$E$7:$E$1764,C15,'MATRIZCTAS(a)'!$AH$7:$AH$1764)</f>
        <v>299126989</v>
      </c>
      <c r="F15" s="546"/>
      <c r="G15" s="546"/>
      <c r="H15" s="514"/>
      <c r="J15" s="130"/>
      <c r="K15" s="396"/>
    </row>
    <row r="16" spans="1:12" s="112" customFormat="1" ht="15" customHeight="1">
      <c r="B16" s="512" t="str">
        <f t="shared" si="0"/>
        <v>5.11.12.00.00</v>
      </c>
      <c r="C16" s="528">
        <v>511120000</v>
      </c>
      <c r="D16" s="515" t="s">
        <v>1266</v>
      </c>
      <c r="E16" s="543"/>
      <c r="F16" s="937">
        <f>SUM(E17,E20)</f>
        <v>105217279</v>
      </c>
      <c r="G16" s="546"/>
      <c r="H16" s="514"/>
      <c r="J16" s="426"/>
      <c r="K16" s="396"/>
    </row>
    <row r="17" spans="2:11" s="112" customFormat="1" ht="15" customHeight="1">
      <c r="B17" s="512" t="str">
        <f t="shared" si="0"/>
        <v>5.11.12.10.00</v>
      </c>
      <c r="C17" s="528">
        <v>511121000</v>
      </c>
      <c r="D17" s="518" t="s">
        <v>1267</v>
      </c>
      <c r="E17" s="544">
        <f>SUM(E18:E19)</f>
        <v>63724497</v>
      </c>
      <c r="F17" s="543"/>
      <c r="G17" s="546"/>
      <c r="H17" s="514"/>
      <c r="J17" s="426"/>
    </row>
    <row r="18" spans="2:11" ht="15" customHeight="1">
      <c r="B18" s="512" t="str">
        <f t="shared" si="0"/>
        <v>5.11.12.11.00</v>
      </c>
      <c r="C18" s="529">
        <v>511121100</v>
      </c>
      <c r="D18" s="516" t="s">
        <v>1027</v>
      </c>
      <c r="E18" s="689">
        <f>SUMIF('MATRIZCTAS(a)'!$E$7:$E$1764,C18,'MATRIZCTAS(a)'!$AH$7:$AH$1764)</f>
        <v>49674947</v>
      </c>
      <c r="F18" s="546"/>
      <c r="G18" s="546"/>
      <c r="H18" s="514"/>
      <c r="J18" s="130"/>
      <c r="K18" s="397"/>
    </row>
    <row r="19" spans="2:11" ht="15" customHeight="1">
      <c r="B19" s="512" t="str">
        <f t="shared" si="0"/>
        <v>5.11.12.12.00</v>
      </c>
      <c r="C19" s="529">
        <v>511121200</v>
      </c>
      <c r="D19" s="516" t="s">
        <v>1028</v>
      </c>
      <c r="E19" s="689">
        <f>SUMIF('MATRIZCTAS(a)'!$E$7:$E$1764,C19,'MATRIZCTAS(a)'!$AH$7:$AH$1764)</f>
        <v>14049550</v>
      </c>
      <c r="F19" s="546"/>
      <c r="G19" s="546"/>
      <c r="H19" s="514"/>
      <c r="J19" s="130"/>
      <c r="K19" s="397"/>
    </row>
    <row r="20" spans="2:11" s="112" customFormat="1" ht="15" customHeight="1">
      <c r="B20" s="512" t="str">
        <f t="shared" si="0"/>
        <v>5.11.12.20.00</v>
      </c>
      <c r="C20" s="528">
        <v>511122000</v>
      </c>
      <c r="D20" s="518" t="s">
        <v>485</v>
      </c>
      <c r="E20" s="544">
        <f>SUM(E21:E22)</f>
        <v>41492782</v>
      </c>
      <c r="F20" s="543"/>
      <c r="G20" s="546"/>
      <c r="H20" s="514"/>
      <c r="J20" s="426"/>
    </row>
    <row r="21" spans="2:11" ht="15" customHeight="1">
      <c r="B21" s="512" t="str">
        <f t="shared" si="0"/>
        <v>5.11.12.21.00</v>
      </c>
      <c r="C21" s="529">
        <v>511122100</v>
      </c>
      <c r="D21" s="516" t="s">
        <v>486</v>
      </c>
      <c r="E21" s="689">
        <f>SUMIF('MATRIZCTAS(a)'!$E$7:$E$1764,C21,'MATRIZCTAS(a)'!$AH$7:$AH$1764)</f>
        <v>39775193</v>
      </c>
      <c r="F21" s="546"/>
      <c r="G21" s="546"/>
      <c r="H21" s="514"/>
      <c r="J21" s="130"/>
      <c r="K21" s="397"/>
    </row>
    <row r="22" spans="2:11" ht="15" customHeight="1">
      <c r="B22" s="512" t="str">
        <f t="shared" si="0"/>
        <v>5.11.12.22.00</v>
      </c>
      <c r="C22" s="529">
        <v>511122200</v>
      </c>
      <c r="D22" s="516" t="s">
        <v>487</v>
      </c>
      <c r="E22" s="689">
        <f>SUMIF('MATRIZCTAS(a)'!$E$7:$E$1764,C22,'MATRIZCTAS(a)'!$AH$7:$AH$1764)</f>
        <v>1717589</v>
      </c>
      <c r="F22" s="546"/>
      <c r="G22" s="546"/>
      <c r="H22" s="514"/>
      <c r="J22" s="130"/>
      <c r="K22" s="397"/>
    </row>
    <row r="23" spans="2:11" s="112" customFormat="1" ht="15" customHeight="1">
      <c r="B23" s="512" t="str">
        <f t="shared" si="0"/>
        <v>5.11.13.00.00</v>
      </c>
      <c r="C23" s="528">
        <v>511130000</v>
      </c>
      <c r="D23" s="515" t="s">
        <v>488</v>
      </c>
      <c r="E23" s="543"/>
      <c r="F23" s="937">
        <f>SUM(E24:E31)</f>
        <v>214770740</v>
      </c>
      <c r="G23" s="543"/>
      <c r="H23" s="514"/>
      <c r="J23" s="426"/>
      <c r="K23" s="396"/>
    </row>
    <row r="24" spans="2:11" ht="15" customHeight="1">
      <c r="B24" s="512" t="str">
        <f t="shared" si="0"/>
        <v>5.11.13.10.00</v>
      </c>
      <c r="C24" s="529">
        <v>511131000</v>
      </c>
      <c r="D24" s="516" t="s">
        <v>508</v>
      </c>
      <c r="E24" s="545">
        <f>SUMIF('MATRIZCTAS(a)'!$E$7:$E$1764,C24,'MATRIZCTAS(a)'!$AH$7:$AH$1764)</f>
        <v>0</v>
      </c>
      <c r="F24" s="546"/>
      <c r="G24" s="546"/>
      <c r="H24" s="514"/>
      <c r="J24" s="130"/>
    </row>
    <row r="25" spans="2:11" ht="15" customHeight="1">
      <c r="B25" s="512" t="str">
        <f t="shared" si="0"/>
        <v>5.11.13.20.00</v>
      </c>
      <c r="C25" s="529">
        <v>511132000</v>
      </c>
      <c r="D25" s="516" t="s">
        <v>1615</v>
      </c>
      <c r="E25" s="689">
        <f>SUMIF('MATRIZCTAS(a)'!$E$7:$E$1764,C25,'MATRIZCTAS(a)'!$AH$7:$AH$1764)</f>
        <v>39872664</v>
      </c>
      <c r="F25" s="546"/>
      <c r="G25" s="546"/>
      <c r="H25" s="514"/>
      <c r="J25" s="130"/>
      <c r="K25" s="397"/>
    </row>
    <row r="26" spans="2:11" ht="15" customHeight="1">
      <c r="B26" s="512" t="str">
        <f t="shared" si="0"/>
        <v>5.11.13.30.00</v>
      </c>
      <c r="C26" s="529">
        <v>511133000</v>
      </c>
      <c r="D26" s="516" t="s">
        <v>1616</v>
      </c>
      <c r="E26" s="545">
        <f>SUMIF('MATRIZCTAS(a)'!$E$7:$E$1764,C26,'MATRIZCTAS(a)'!$AH$7:$AH$1764)</f>
        <v>0</v>
      </c>
      <c r="F26" s="546"/>
      <c r="G26" s="546"/>
      <c r="H26" s="514"/>
      <c r="J26" s="130"/>
    </row>
    <row r="27" spans="2:11" ht="15" customHeight="1">
      <c r="B27" s="512" t="str">
        <f t="shared" si="0"/>
        <v>5.11.13.40.00</v>
      </c>
      <c r="C27" s="529">
        <v>511134000</v>
      </c>
      <c r="D27" s="516" t="s">
        <v>1617</v>
      </c>
      <c r="E27" s="689">
        <f>SUMIF('MATRIZCTAS(a)'!$E$7:$E$1764,C27,'MATRIZCTAS(a)'!$AH$7:$AH$1764)</f>
        <v>111491917</v>
      </c>
      <c r="F27" s="546"/>
      <c r="G27" s="546"/>
      <c r="H27" s="514"/>
      <c r="J27" s="130"/>
      <c r="K27" s="397"/>
    </row>
    <row r="28" spans="2:11" ht="15" customHeight="1">
      <c r="B28" s="512" t="str">
        <f t="shared" si="0"/>
        <v>5.11.13.50.00</v>
      </c>
      <c r="C28" s="529">
        <v>511135000</v>
      </c>
      <c r="D28" s="516" t="s">
        <v>1618</v>
      </c>
      <c r="E28" s="689">
        <f>SUMIF('MATRIZCTAS(a)'!$E$7:$E$1764,C28,'MATRIZCTAS(a)'!$AH$7:$AH$1764)</f>
        <v>0</v>
      </c>
      <c r="F28" s="546"/>
      <c r="G28" s="546"/>
      <c r="H28" s="514"/>
      <c r="J28" s="130"/>
      <c r="K28" s="397"/>
    </row>
    <row r="29" spans="2:11" ht="15" customHeight="1">
      <c r="B29" s="512" t="str">
        <f t="shared" si="0"/>
        <v>5.11.13.60.00</v>
      </c>
      <c r="C29" s="529">
        <v>511136000</v>
      </c>
      <c r="D29" s="516" t="s">
        <v>1619</v>
      </c>
      <c r="E29" s="689">
        <f>SUMIF('MATRIZCTAS(a)'!$E$7:$E$1764,C29,'MATRIZCTAS(a)'!$AH$7:$AH$1764)</f>
        <v>10029797</v>
      </c>
      <c r="F29" s="546"/>
      <c r="G29" s="546"/>
      <c r="H29" s="514"/>
      <c r="J29" s="130"/>
      <c r="K29" s="397"/>
    </row>
    <row r="30" spans="2:11" ht="15" customHeight="1">
      <c r="B30" s="512" t="str">
        <f t="shared" si="0"/>
        <v>5.11.13.70.00</v>
      </c>
      <c r="C30" s="678">
        <v>511137000</v>
      </c>
      <c r="D30" s="679" t="s">
        <v>489</v>
      </c>
      <c r="E30" s="689">
        <f>SUMIF('MATRIZCTAS(a)'!$E$7:$E$1764,C30,'MATRIZCTAS(a)'!$AH$7:$AH$1764)</f>
        <v>53004757</v>
      </c>
      <c r="F30" s="546"/>
      <c r="G30" s="546"/>
      <c r="H30" s="514"/>
      <c r="J30" s="130"/>
      <c r="K30" s="397"/>
    </row>
    <row r="31" spans="2:11" ht="15" customHeight="1">
      <c r="B31" s="512" t="str">
        <f t="shared" si="0"/>
        <v>5.11.13.90.00</v>
      </c>
      <c r="C31" s="529">
        <v>511139000</v>
      </c>
      <c r="D31" s="516" t="s">
        <v>827</v>
      </c>
      <c r="E31" s="689">
        <f>SUMIF('MATRIZCTAS(a)'!$E$7:$E$1764,C31,'MATRIZCTAS(a)'!$AH$7:$AH$1764)</f>
        <v>371605</v>
      </c>
      <c r="F31" s="546"/>
      <c r="G31" s="546"/>
      <c r="H31" s="514"/>
      <c r="J31" s="130"/>
      <c r="K31" s="397"/>
    </row>
    <row r="32" spans="2:11" s="112" customFormat="1" ht="15" customHeight="1">
      <c r="B32" s="512" t="str">
        <f t="shared" si="0"/>
        <v>5.11.14.00.00</v>
      </c>
      <c r="C32" s="528">
        <v>511140000</v>
      </c>
      <c r="D32" s="515" t="s">
        <v>982</v>
      </c>
      <c r="E32" s="543"/>
      <c r="F32" s="937">
        <f>SUMIF('MATRIZCTAS(a)'!$E$7:$E$1764,C32,'MATRIZCTAS(a)'!$AH$7:$AH$1764)</f>
        <v>3332717</v>
      </c>
      <c r="G32" s="543"/>
      <c r="H32" s="517"/>
      <c r="J32" s="426"/>
      <c r="K32" s="396"/>
    </row>
    <row r="33" spans="2:14" s="112" customFormat="1" ht="15" customHeight="1">
      <c r="B33" s="512" t="str">
        <f t="shared" si="0"/>
        <v>5.11.15.00.00</v>
      </c>
      <c r="C33" s="528">
        <v>511150000</v>
      </c>
      <c r="D33" s="515" t="s">
        <v>1744</v>
      </c>
      <c r="E33" s="543"/>
      <c r="F33" s="937">
        <f>SUM(E34:E35)</f>
        <v>1825747</v>
      </c>
      <c r="G33" s="543"/>
      <c r="H33" s="514"/>
      <c r="J33" s="426"/>
      <c r="K33" s="396"/>
    </row>
    <row r="34" spans="2:14" ht="15" customHeight="1">
      <c r="B34" s="512" t="str">
        <f t="shared" si="0"/>
        <v>5.11.15.10.00</v>
      </c>
      <c r="C34" s="529">
        <v>511151000</v>
      </c>
      <c r="D34" s="516" t="s">
        <v>1745</v>
      </c>
      <c r="E34" s="689">
        <f>SUMIF('MATRIZCTAS(a)'!$E$7:$E$1764,C34,'MATRIZCTAS(a)'!$AH$7:$AH$1764)</f>
        <v>398691</v>
      </c>
      <c r="F34" s="546"/>
      <c r="G34" s="546"/>
      <c r="H34" s="514"/>
    </row>
    <row r="35" spans="2:14" ht="15" customHeight="1">
      <c r="B35" s="512" t="str">
        <f t="shared" si="0"/>
        <v>5.11.15.20.00</v>
      </c>
      <c r="C35" s="529">
        <v>511152000</v>
      </c>
      <c r="D35" s="516" t="s">
        <v>1746</v>
      </c>
      <c r="E35" s="689">
        <f>SUMIF('MATRIZCTAS(a)'!$E$7:$E$1764,C35,'MATRIZCTAS(a)'!$AH$7:$AH$1764)</f>
        <v>1427056</v>
      </c>
      <c r="F35" s="546"/>
      <c r="G35" s="546"/>
      <c r="H35" s="514"/>
    </row>
    <row r="36" spans="2:14" s="112" customFormat="1" ht="15" customHeight="1">
      <c r="B36" s="512" t="str">
        <f t="shared" si="0"/>
        <v>5.11.16.00.00</v>
      </c>
      <c r="C36" s="676">
        <v>511160000</v>
      </c>
      <c r="D36" s="677" t="s">
        <v>545</v>
      </c>
      <c r="E36" s="543"/>
      <c r="F36" s="937">
        <f>SUMIF('MATRIZCTAS(a)'!$E$7:$E$1764,C36,'MATRIZCTAS(a)'!$AH$7:$AH$1764)</f>
        <v>49157718</v>
      </c>
      <c r="G36" s="546"/>
      <c r="H36" s="517"/>
      <c r="J36" s="426">
        <v>27648864</v>
      </c>
      <c r="K36" s="396">
        <f>+J36-F36</f>
        <v>-21508854</v>
      </c>
    </row>
    <row r="37" spans="2:14" s="112" customFormat="1" ht="15" customHeight="1">
      <c r="B37" s="512" t="s">
        <v>71</v>
      </c>
      <c r="C37" s="528">
        <v>511170000</v>
      </c>
      <c r="D37" s="515" t="s">
        <v>72</v>
      </c>
      <c r="E37" s="543"/>
      <c r="F37" s="937">
        <f>SUMIF('MATRIZCTAS(a)'!$E$7:$E$1764,C37,'MATRIZCTAS(a)'!$AH$7:$AH$1764)</f>
        <v>32922346</v>
      </c>
      <c r="G37" s="546"/>
      <c r="H37" s="517"/>
      <c r="J37" s="426"/>
      <c r="K37" s="396"/>
    </row>
    <row r="38" spans="2:14" s="112" customFormat="1" ht="15" customHeight="1">
      <c r="B38" s="512" t="str">
        <f t="shared" si="0"/>
        <v>5.11.20.00.00</v>
      </c>
      <c r="C38" s="528">
        <v>511200000</v>
      </c>
      <c r="D38" s="515" t="s">
        <v>546</v>
      </c>
      <c r="E38" s="543"/>
      <c r="F38" s="544">
        <f>SUM(F39:F48)</f>
        <v>262416879</v>
      </c>
      <c r="G38" s="543"/>
      <c r="H38" s="514"/>
      <c r="J38" s="426"/>
      <c r="K38" s="396"/>
    </row>
    <row r="39" spans="2:14" s="112" customFormat="1" ht="15" customHeight="1">
      <c r="B39" s="512" t="str">
        <f t="shared" si="0"/>
        <v>5.11.21.00.00</v>
      </c>
      <c r="C39" s="528">
        <v>511210000</v>
      </c>
      <c r="D39" s="515" t="s">
        <v>547</v>
      </c>
      <c r="E39" s="543"/>
      <c r="F39" s="937">
        <f>SUM(E40:E43)</f>
        <v>228324513</v>
      </c>
      <c r="G39" s="543"/>
      <c r="H39" s="517"/>
      <c r="J39" s="426"/>
      <c r="K39" s="396"/>
    </row>
    <row r="40" spans="2:14" ht="15" customHeight="1">
      <c r="B40" s="512" t="str">
        <f t="shared" si="0"/>
        <v>5.11.21.10.00</v>
      </c>
      <c r="C40" s="529">
        <v>511211000</v>
      </c>
      <c r="D40" s="516" t="s">
        <v>548</v>
      </c>
      <c r="E40" s="689">
        <f>SUMIF('MATRIZCTAS(a)'!$E$7:$E$1764,C40,'MATRIZCTAS(a)'!$AH$7:$AH$1764)</f>
        <v>113633057</v>
      </c>
      <c r="F40" s="546"/>
      <c r="G40" s="546"/>
      <c r="H40" s="517"/>
    </row>
    <row r="41" spans="2:14" ht="15" customHeight="1">
      <c r="B41" s="512" t="str">
        <f t="shared" si="0"/>
        <v>5.11.21.20.00</v>
      </c>
      <c r="C41" s="529">
        <v>511212000</v>
      </c>
      <c r="D41" s="516" t="s">
        <v>549</v>
      </c>
      <c r="E41" s="545">
        <f>SUMIF('MATRIZCTAS(a)'!$E$7:$E$1764,C41,'MATRIZCTAS(a)'!$AH$7:$AH$1764)</f>
        <v>0</v>
      </c>
      <c r="F41" s="546"/>
      <c r="G41" s="546"/>
      <c r="H41" s="514"/>
    </row>
    <row r="42" spans="2:14" ht="15" customHeight="1">
      <c r="B42" s="512" t="str">
        <f t="shared" si="0"/>
        <v>5.11.21.30.00</v>
      </c>
      <c r="C42" s="529">
        <v>511213000</v>
      </c>
      <c r="D42" s="516" t="s">
        <v>550</v>
      </c>
      <c r="E42" s="545">
        <f>SUMIF('MATRIZCTAS(a)'!$E$7:$E$1764,C42,'MATRIZCTAS(a)'!$AH$7:$AH$1764)</f>
        <v>0</v>
      </c>
      <c r="F42" s="546"/>
      <c r="G42" s="546"/>
      <c r="H42" s="514"/>
    </row>
    <row r="43" spans="2:14" ht="15" customHeight="1">
      <c r="B43" s="512" t="str">
        <f t="shared" si="0"/>
        <v>5.11.21.40.00</v>
      </c>
      <c r="C43" s="529">
        <v>511214000</v>
      </c>
      <c r="D43" s="516" t="s">
        <v>551</v>
      </c>
      <c r="E43" s="689">
        <f>SUMIF('MATRIZCTAS(a)'!$E$7:$E$1764,C43,'MATRIZCTAS(a)'!$AH$7:$AH$1764)</f>
        <v>114691456</v>
      </c>
      <c r="F43" s="546"/>
      <c r="G43" s="546"/>
      <c r="H43" s="517"/>
    </row>
    <row r="44" spans="2:14" ht="15" customHeight="1">
      <c r="B44" s="512" t="str">
        <f t="shared" si="0"/>
        <v>5.11.22.00.00</v>
      </c>
      <c r="C44" s="529">
        <v>511220000</v>
      </c>
      <c r="D44" s="519" t="s">
        <v>355</v>
      </c>
      <c r="E44" s="546"/>
      <c r="F44" s="689">
        <f>SUMIF('MATRIZCTAS(a)'!$E$7:$E$1764,C44,'MATRIZCTAS(a)'!$AH$7:$AH$1764)</f>
        <v>0</v>
      </c>
      <c r="G44" s="546"/>
      <c r="H44" s="517"/>
    </row>
    <row r="45" spans="2:14" ht="15" customHeight="1">
      <c r="B45" s="512" t="str">
        <f t="shared" si="0"/>
        <v>5.11.23.00.00</v>
      </c>
      <c r="C45" s="529">
        <v>511230000</v>
      </c>
      <c r="D45" s="519" t="s">
        <v>356</v>
      </c>
      <c r="E45" s="546"/>
      <c r="F45" s="938">
        <f>SUMIF('MATRIZCTAS(a)'!$E$7:$E$1764,C45,'MATRIZCTAS(a)'!$AH$7:$AH$1764)</f>
        <v>497702</v>
      </c>
      <c r="G45" s="546"/>
      <c r="H45" s="514"/>
    </row>
    <row r="46" spans="2:14" ht="15" customHeight="1">
      <c r="B46" s="512" t="str">
        <f t="shared" si="0"/>
        <v>5.11.24.00.00</v>
      </c>
      <c r="C46" s="529">
        <v>511240000</v>
      </c>
      <c r="D46" s="519" t="s">
        <v>429</v>
      </c>
      <c r="E46" s="546"/>
      <c r="F46" s="938">
        <f>SUMIF('MATRIZCTAS(a)'!$E$7:$E$1764,C46,'MATRIZCTAS(a)'!$AH$7:$AH$1764)</f>
        <v>12780</v>
      </c>
      <c r="G46" s="546"/>
      <c r="H46" s="514"/>
    </row>
    <row r="47" spans="2:14" ht="15" customHeight="1">
      <c r="B47" s="512" t="str">
        <f t="shared" si="0"/>
        <v>5.11.25.00.00</v>
      </c>
      <c r="C47" s="529">
        <v>511250000</v>
      </c>
      <c r="D47" s="519" t="s">
        <v>357</v>
      </c>
      <c r="E47" s="546"/>
      <c r="F47" s="689">
        <f>SUMIF('MATRIZCTAS(a)'!$E$7:$E$1764,C47,'MATRIZCTAS(a)'!$AH$7:$AH$1764)</f>
        <v>0</v>
      </c>
      <c r="G47" s="546"/>
      <c r="H47" s="514"/>
    </row>
    <row r="48" spans="2:14" ht="15" customHeight="1">
      <c r="B48" s="512" t="str">
        <f>MID(C48,1,1)&amp;"."&amp;MID(C48,2,2)&amp;"."&amp;MID(C48,4,2)&amp;"."&amp;MID(C48,6,2)&amp;"."&amp;MID(C48,8,2)</f>
        <v>5.11.30.00.00</v>
      </c>
      <c r="C48" s="529">
        <v>511300000</v>
      </c>
      <c r="D48" s="519" t="s">
        <v>359</v>
      </c>
      <c r="E48" s="546"/>
      <c r="F48" s="689">
        <f>SUMIF('MATRIZCTAS(a)'!$E$7:$E$1764,C48,'MATRIZCTAS(a)'!$AH$7:$AH$1764)</f>
        <v>33581884</v>
      </c>
      <c r="G48" s="546"/>
      <c r="H48" s="517"/>
      <c r="J48" s="383"/>
      <c r="K48" s="383"/>
      <c r="L48" s="397"/>
      <c r="N48" s="383"/>
    </row>
    <row r="49" spans="2:11" s="112" customFormat="1" ht="15" customHeight="1">
      <c r="B49" s="512" t="str">
        <f t="shared" si="0"/>
        <v>5.12.00.00.00</v>
      </c>
      <c r="C49" s="528">
        <v>512000000</v>
      </c>
      <c r="D49" s="513" t="s">
        <v>1828</v>
      </c>
      <c r="E49" s="543"/>
      <c r="F49" s="543"/>
      <c r="G49" s="544">
        <f>SUM(F50:F51)</f>
        <v>10489198</v>
      </c>
      <c r="H49" s="514"/>
      <c r="J49" s="396">
        <f>+G49+G54+G58</f>
        <v>60241995</v>
      </c>
    </row>
    <row r="50" spans="2:11" ht="15" customHeight="1">
      <c r="B50" s="512" t="str">
        <f t="shared" si="0"/>
        <v>5.12.10.00.00</v>
      </c>
      <c r="C50" s="529">
        <v>512100000</v>
      </c>
      <c r="D50" s="519" t="s">
        <v>360</v>
      </c>
      <c r="E50" s="546"/>
      <c r="F50" s="938">
        <f>SUMIF('MATRIZCTAS(a)'!$E$7:$E$1764,C50,'MATRIZCTAS(a)'!$AH$7:$AH$1764)</f>
        <v>1335264</v>
      </c>
      <c r="G50" s="546"/>
      <c r="H50" s="514"/>
    </row>
    <row r="51" spans="2:11" s="112" customFormat="1" ht="15" customHeight="1">
      <c r="B51" s="512" t="str">
        <f t="shared" si="0"/>
        <v>5.12.20.00.00</v>
      </c>
      <c r="C51" s="528">
        <v>512200000</v>
      </c>
      <c r="D51" s="515" t="s">
        <v>361</v>
      </c>
      <c r="E51" s="543"/>
      <c r="F51" s="544">
        <f>SUM(E52:E53)</f>
        <v>9153934</v>
      </c>
      <c r="G51" s="543"/>
      <c r="H51" s="514"/>
      <c r="J51" s="396">
        <f>+G49+G54+G58</f>
        <v>60241995</v>
      </c>
    </row>
    <row r="52" spans="2:11" ht="15" customHeight="1">
      <c r="B52" s="512" t="str">
        <f t="shared" si="0"/>
        <v>5.12.20.10.00</v>
      </c>
      <c r="C52" s="529">
        <v>512201000</v>
      </c>
      <c r="D52" s="516" t="s">
        <v>362</v>
      </c>
      <c r="E52" s="545">
        <f>SUMIF('MATRIZCTAS(a)'!$E$7:$E$1764,C52,'MATRIZCTAS(a)'!$AH$7:$AH$1764)</f>
        <v>0</v>
      </c>
      <c r="F52" s="546"/>
      <c r="G52" s="546"/>
      <c r="H52" s="514"/>
    </row>
    <row r="53" spans="2:11" ht="15" customHeight="1">
      <c r="B53" s="512" t="str">
        <f t="shared" si="0"/>
        <v>5.12.20.20.00</v>
      </c>
      <c r="C53" s="529">
        <v>512202000</v>
      </c>
      <c r="D53" s="516" t="s">
        <v>363</v>
      </c>
      <c r="E53" s="545">
        <f>SUMIF('MATRIZCTAS(a)'!$E$7:$E$1764,C53,'MATRIZCTAS(a)'!$AH$7:$AH$1764)</f>
        <v>9153934</v>
      </c>
      <c r="F53" s="546"/>
      <c r="G53" s="546"/>
      <c r="H53" s="514"/>
    </row>
    <row r="54" spans="2:11" s="112" customFormat="1" ht="15" customHeight="1">
      <c r="B54" s="512" t="str">
        <f t="shared" si="0"/>
        <v>5.13.00.00.00</v>
      </c>
      <c r="C54" s="528">
        <v>513000000</v>
      </c>
      <c r="D54" s="513" t="s">
        <v>68</v>
      </c>
      <c r="E54" s="543"/>
      <c r="F54" s="543"/>
      <c r="G54" s="544">
        <f>SUM(F55:F57)</f>
        <v>2819845</v>
      </c>
      <c r="H54" s="514"/>
    </row>
    <row r="55" spans="2:11" ht="15" customHeight="1">
      <c r="B55" s="512" t="str">
        <f t="shared" si="0"/>
        <v>5.13.10.00.00</v>
      </c>
      <c r="C55" s="529">
        <v>513100000</v>
      </c>
      <c r="D55" s="519" t="s">
        <v>69</v>
      </c>
      <c r="E55" s="546"/>
      <c r="F55" s="545">
        <f>SUMIF('MATRIZCTAS(a)'!$E$7:$E$1764,C55,'MATRIZCTAS(a)'!$AH$7:$AH$1764)</f>
        <v>0</v>
      </c>
      <c r="G55" s="546"/>
      <c r="H55" s="514"/>
    </row>
    <row r="56" spans="2:11" ht="15" customHeight="1">
      <c r="B56" s="512" t="str">
        <f t="shared" si="0"/>
        <v>5.13.20.00.00</v>
      </c>
      <c r="C56" s="529">
        <v>513200000</v>
      </c>
      <c r="D56" s="519" t="s">
        <v>70</v>
      </c>
      <c r="E56" s="546"/>
      <c r="F56" s="938">
        <f>SUMIF('MATRIZCTAS(a)'!$E$7:$E$1764,C56,'MATRIZCTAS(a)'!$AH$7:$AH$1764)</f>
        <v>1292931</v>
      </c>
      <c r="G56" s="546"/>
      <c r="H56" s="514"/>
    </row>
    <row r="57" spans="2:11" ht="15" customHeight="1">
      <c r="B57" s="512" t="str">
        <f t="shared" si="0"/>
        <v>5.13.30.00.00</v>
      </c>
      <c r="C57" s="529">
        <v>513300000</v>
      </c>
      <c r="D57" s="519" t="s">
        <v>1614</v>
      </c>
      <c r="E57" s="546"/>
      <c r="F57" s="545">
        <f>SUMIF('MATRIZCTAS(a)'!$E$7:$E$1764,C57,'MATRIZCTAS(a)'!$AH$7:$AH$1764)</f>
        <v>1526914</v>
      </c>
      <c r="G57" s="546"/>
      <c r="H57" s="514"/>
    </row>
    <row r="58" spans="2:11" s="112" customFormat="1" ht="15" customHeight="1">
      <c r="B58" s="512" t="str">
        <f t="shared" si="0"/>
        <v>5.14.00.00.00</v>
      </c>
      <c r="C58" s="528">
        <v>514000000</v>
      </c>
      <c r="D58" s="513" t="s">
        <v>85</v>
      </c>
      <c r="E58" s="543"/>
      <c r="F58" s="543"/>
      <c r="G58" s="544">
        <f>SUM(F59,F63,F68,F62)</f>
        <v>46932952</v>
      </c>
      <c r="H58" s="514"/>
      <c r="K58" s="106"/>
    </row>
    <row r="59" spans="2:11" s="112" customFormat="1" ht="15" customHeight="1">
      <c r="B59" s="512" t="str">
        <f t="shared" si="0"/>
        <v>5.14.10.00.00</v>
      </c>
      <c r="C59" s="528">
        <v>514100000</v>
      </c>
      <c r="D59" s="515" t="s">
        <v>1246</v>
      </c>
      <c r="E59" s="543"/>
      <c r="F59" s="544">
        <f>SUM(E60:E61)</f>
        <v>1239879</v>
      </c>
      <c r="G59" s="543"/>
      <c r="H59" s="514"/>
    </row>
    <row r="60" spans="2:11" ht="15" customHeight="1">
      <c r="B60" s="512" t="str">
        <f t="shared" si="0"/>
        <v>5.14.11.00.00</v>
      </c>
      <c r="C60" s="529">
        <v>514110000</v>
      </c>
      <c r="D60" s="516" t="s">
        <v>1247</v>
      </c>
      <c r="E60" s="545">
        <f>SUMIF('MATRIZCTAS(a)'!$E$7:$E$1764,C60,'MATRIZCTAS(a)'!$AH$7:$AH$1764)</f>
        <v>0</v>
      </c>
      <c r="F60" s="546"/>
      <c r="G60" s="546"/>
      <c r="H60" s="514"/>
    </row>
    <row r="61" spans="2:11" ht="15" customHeight="1">
      <c r="B61" s="512" t="str">
        <f t="shared" si="0"/>
        <v>5.14.12.00.00</v>
      </c>
      <c r="C61" s="529">
        <v>514120000</v>
      </c>
      <c r="D61" s="516" t="s">
        <v>595</v>
      </c>
      <c r="E61" s="545">
        <f>SUMIF('MATRIZCTAS(a)'!$E$7:$E$1764,C61,'MATRIZCTAS(a)'!$AH$7:$AH$1764)</f>
        <v>1239879</v>
      </c>
      <c r="F61" s="546"/>
      <c r="G61" s="546"/>
      <c r="H61" s="514"/>
    </row>
    <row r="62" spans="2:11" ht="15" customHeight="1">
      <c r="B62" s="512" t="str">
        <f t="shared" si="0"/>
        <v>5.14.20.00.00</v>
      </c>
      <c r="C62" s="529">
        <v>514200000</v>
      </c>
      <c r="D62" s="519" t="s">
        <v>596</v>
      </c>
      <c r="E62" s="546"/>
      <c r="F62" s="545">
        <f>SUMIF('MATRIZCTAS(a)'!$E$7:$E$1764,C62,'MATRIZCTAS(a)'!$AH$7:$AH$1764)</f>
        <v>3448999</v>
      </c>
      <c r="G62" s="546"/>
      <c r="H62" s="514"/>
    </row>
    <row r="63" spans="2:11" s="112" customFormat="1" ht="15" customHeight="1">
      <c r="B63" s="512" t="str">
        <f t="shared" si="0"/>
        <v>5.14.30.00.00</v>
      </c>
      <c r="C63" s="528">
        <v>514300000</v>
      </c>
      <c r="D63" s="515" t="s">
        <v>597</v>
      </c>
      <c r="E63" s="543"/>
      <c r="F63" s="544">
        <f>SUM(E64:E67)</f>
        <v>33324530</v>
      </c>
      <c r="G63" s="543"/>
      <c r="H63" s="514"/>
    </row>
    <row r="64" spans="2:11" ht="15" customHeight="1">
      <c r="B64" s="512" t="str">
        <f t="shared" si="0"/>
        <v>5.14.31.00.00</v>
      </c>
      <c r="C64" s="529">
        <v>514310000</v>
      </c>
      <c r="D64" s="516" t="s">
        <v>598</v>
      </c>
      <c r="E64" s="545">
        <f>SUMIF('MATRIZCTAS(a)'!$E$7:$E$1764,C64,'MATRIZCTAS(a)'!$AH$7:$AH$1764)</f>
        <v>76380</v>
      </c>
      <c r="F64" s="546"/>
      <c r="G64" s="546"/>
      <c r="H64" s="514"/>
    </row>
    <row r="65" spans="2:9" ht="15" customHeight="1">
      <c r="B65" s="512" t="str">
        <f t="shared" si="0"/>
        <v>5.14.32.00.00</v>
      </c>
      <c r="C65" s="529">
        <v>514320000</v>
      </c>
      <c r="D65" s="516" t="s">
        <v>599</v>
      </c>
      <c r="E65" s="545">
        <f>SUMIF('MATRIZCTAS(a)'!$E$7:$E$1764,C65,'MATRIZCTAS(a)'!$AH$7:$AH$1764)</f>
        <v>11776111</v>
      </c>
      <c r="F65" s="546" t="s">
        <v>1805</v>
      </c>
      <c r="G65" s="546"/>
      <c r="H65" s="514"/>
    </row>
    <row r="66" spans="2:9" ht="15" customHeight="1">
      <c r="B66" s="512" t="str">
        <f t="shared" si="0"/>
        <v>5.14.33.00.00</v>
      </c>
      <c r="C66" s="529">
        <v>514330000</v>
      </c>
      <c r="D66" s="516" t="s">
        <v>869</v>
      </c>
      <c r="E66" s="545">
        <f>SUMIF('MATRIZCTAS(a)'!$E$7:$E$1764,C66,'MATRIZCTAS(a)'!$AH$7:$AH$1764)</f>
        <v>390395</v>
      </c>
      <c r="F66" s="546"/>
      <c r="G66" s="546"/>
      <c r="H66" s="514"/>
    </row>
    <row r="67" spans="2:9" ht="15" customHeight="1">
      <c r="B67" s="512" t="str">
        <f t="shared" si="0"/>
        <v>5.14.34.00.00</v>
      </c>
      <c r="C67" s="529">
        <v>514340000</v>
      </c>
      <c r="D67" s="516" t="s">
        <v>998</v>
      </c>
      <c r="E67" s="545">
        <f>SUMIF('MATRIZCTAS(a)'!$E$7:$E$1764,C67,'MATRIZCTAS(a)'!$AH$7:$AH$1764)</f>
        <v>21081644</v>
      </c>
      <c r="F67" s="546"/>
      <c r="G67" s="546"/>
      <c r="H67" s="514"/>
    </row>
    <row r="68" spans="2:9" s="112" customFormat="1" ht="15" customHeight="1">
      <c r="B68" s="512" t="str">
        <f t="shared" si="0"/>
        <v>5.14.40.00.00</v>
      </c>
      <c r="C68" s="528">
        <v>514400000</v>
      </c>
      <c r="D68" s="515" t="s">
        <v>1457</v>
      </c>
      <c r="E68" s="543"/>
      <c r="F68" s="544">
        <f>SUM(E69:E73)</f>
        <v>8919544</v>
      </c>
      <c r="G68" s="543"/>
      <c r="H68" s="514"/>
    </row>
    <row r="69" spans="2:9" ht="15" customHeight="1">
      <c r="B69" s="512" t="str">
        <f t="shared" si="0"/>
        <v>5.14.41.00.00</v>
      </c>
      <c r="C69" s="529">
        <v>514410000</v>
      </c>
      <c r="D69" s="516" t="s">
        <v>870</v>
      </c>
      <c r="E69" s="545">
        <f>SUMIF('MATRIZCTAS(a)'!$E$7:$E$1764,C69,'MATRIZCTAS(a)'!$AH$7:$AH$1764)</f>
        <v>100137</v>
      </c>
      <c r="F69" s="546"/>
      <c r="G69" s="546"/>
      <c r="H69" s="514"/>
    </row>
    <row r="70" spans="2:9" ht="15" customHeight="1">
      <c r="B70" s="512" t="str">
        <f t="shared" si="0"/>
        <v>5.14.42.00.00</v>
      </c>
      <c r="C70" s="529">
        <v>514420000</v>
      </c>
      <c r="D70" s="516" t="s">
        <v>871</v>
      </c>
      <c r="E70" s="545">
        <f>SUMIF('MATRIZCTAS(a)'!$E$7:$E$1764,C70,'MATRIZCTAS(a)'!$AH$7:$AH$1764)</f>
        <v>63808</v>
      </c>
      <c r="F70" s="546"/>
      <c r="G70" s="546"/>
      <c r="H70" s="514"/>
    </row>
    <row r="71" spans="2:9" ht="15" customHeight="1">
      <c r="B71" s="512" t="str">
        <f t="shared" si="0"/>
        <v>5.14.43.00.00</v>
      </c>
      <c r="C71" s="529">
        <v>514430000</v>
      </c>
      <c r="D71" s="516" t="s">
        <v>872</v>
      </c>
      <c r="E71" s="545">
        <f>SUMIF('MATRIZCTAS(a)'!$E$7:$E$1764,C71,'MATRIZCTAS(a)'!$AH$7:$AH$1764)</f>
        <v>7266590</v>
      </c>
      <c r="F71" s="546"/>
      <c r="G71" s="546"/>
      <c r="H71" s="514"/>
    </row>
    <row r="72" spans="2:9" ht="15" customHeight="1">
      <c r="B72" s="512" t="str">
        <f t="shared" si="0"/>
        <v>5.14.44.00.00</v>
      </c>
      <c r="C72" s="529">
        <v>514440000</v>
      </c>
      <c r="D72" s="516" t="s">
        <v>1799</v>
      </c>
      <c r="E72" s="545">
        <f>SUMIF('MATRIZCTAS(a)'!$E$7:$E$1764,C72,'MATRIZCTAS(a)'!$AH$7:$AH$1764)</f>
        <v>1338592</v>
      </c>
      <c r="F72" s="546"/>
      <c r="G72" s="546"/>
      <c r="H72" s="514"/>
    </row>
    <row r="73" spans="2:9" ht="15" customHeight="1" thickBot="1">
      <c r="B73" s="520" t="str">
        <f t="shared" si="0"/>
        <v>5.14.45.00.00</v>
      </c>
      <c r="C73" s="530">
        <v>514450000</v>
      </c>
      <c r="D73" s="521" t="s">
        <v>998</v>
      </c>
      <c r="E73" s="547">
        <f>SUMIF('MATRIZCTAS(a)'!$E$7:$E$1764,C73,'MATRIZCTAS(a)'!$AH$7:$AH$1764)</f>
        <v>150417</v>
      </c>
      <c r="F73" s="548"/>
      <c r="G73" s="548"/>
      <c r="H73" s="522"/>
    </row>
    <row r="74" spans="2:9">
      <c r="B74" s="83"/>
      <c r="C74" s="531"/>
      <c r="D74" s="122"/>
      <c r="E74" s="549"/>
      <c r="F74" s="549"/>
      <c r="G74" s="549"/>
      <c r="H74" s="96"/>
      <c r="I74" s="96"/>
    </row>
    <row r="75" spans="2:9">
      <c r="B75" s="107" t="s">
        <v>1782</v>
      </c>
      <c r="C75" s="531"/>
      <c r="E75" s="549"/>
      <c r="F75" s="549"/>
      <c r="G75" s="549"/>
      <c r="H75" s="96"/>
      <c r="I75" s="96"/>
    </row>
    <row r="76" spans="2:9">
      <c r="B76" s="108">
        <f>+EEFF!$G$7</f>
        <v>41121</v>
      </c>
      <c r="C76" s="531"/>
      <c r="E76" s="549"/>
      <c r="F76" s="549"/>
      <c r="G76" s="549">
        <f>+G8-G79</f>
        <v>0</v>
      </c>
      <c r="H76" s="96"/>
      <c r="I76" s="96"/>
    </row>
    <row r="77" spans="2:9" ht="12" thickBot="1"/>
    <row r="78" spans="2:9" ht="24.95" customHeight="1" thickBot="1">
      <c r="B78" s="109"/>
      <c r="C78" s="533"/>
      <c r="D78" s="110"/>
      <c r="E78" s="540" t="s">
        <v>1820</v>
      </c>
      <c r="F78" s="540" t="s">
        <v>1820</v>
      </c>
      <c r="G78" s="540" t="s">
        <v>1821</v>
      </c>
      <c r="H78" s="111"/>
    </row>
    <row r="79" spans="2:9" s="112" customFormat="1" ht="15" customHeight="1">
      <c r="B79" s="58" t="str">
        <f t="shared" si="0"/>
        <v>5.20.00.00.00</v>
      </c>
      <c r="C79" s="534">
        <v>520000000</v>
      </c>
      <c r="D79" s="115" t="s">
        <v>1822</v>
      </c>
      <c r="E79" s="543"/>
      <c r="F79" s="543"/>
      <c r="G79" s="544">
        <f>SUM(G127,G128)</f>
        <v>2005185779</v>
      </c>
      <c r="H79" s="123"/>
    </row>
    <row r="80" spans="2:9" s="112" customFormat="1" ht="15" customHeight="1">
      <c r="B80" s="58" t="str">
        <f t="shared" si="0"/>
        <v>5.21.00.00.00</v>
      </c>
      <c r="C80" s="534">
        <v>521000000</v>
      </c>
      <c r="D80" s="115" t="s">
        <v>1800</v>
      </c>
      <c r="E80" s="543"/>
      <c r="F80" s="543"/>
      <c r="G80" s="544">
        <f>SUM(F81,F84,F95)</f>
        <v>1710037104</v>
      </c>
      <c r="H80" s="124"/>
    </row>
    <row r="81" spans="2:11" s="112" customFormat="1" ht="15" customHeight="1">
      <c r="B81" s="58" t="str">
        <f t="shared" ref="B81:B144" si="1">MID(C81,1,1)&amp;"."&amp;MID(C81,2,2)&amp;"."&amp;MID(C81,4,2)&amp;"."&amp;MID(C81,6,2)&amp;"."&amp;MID(C81,8,2)</f>
        <v>5.21.10.00.00</v>
      </c>
      <c r="C81" s="534">
        <v>521100000</v>
      </c>
      <c r="D81" s="98" t="s">
        <v>1801</v>
      </c>
      <c r="E81" s="543"/>
      <c r="F81" s="544">
        <f>SUM(E82:E83)</f>
        <v>1618441482</v>
      </c>
      <c r="G81" s="543"/>
      <c r="H81" s="124"/>
      <c r="J81" s="396"/>
      <c r="K81" s="382"/>
    </row>
    <row r="82" spans="2:11" ht="15" customHeight="1">
      <c r="B82" s="58" t="str">
        <f t="shared" si="1"/>
        <v>5.21.11.00.00</v>
      </c>
      <c r="C82" s="502">
        <v>521110000</v>
      </c>
      <c r="D82" s="93" t="s">
        <v>1802</v>
      </c>
      <c r="E82" s="545">
        <f>-SUMIF('MATRIZCTAS(a)'!$E$7:$E$1764,C82,'MATRIZCTAS(a)'!$AH$7:$AH$1764)</f>
        <v>1611278954</v>
      </c>
      <c r="F82" s="546"/>
      <c r="G82" s="546"/>
      <c r="H82" s="124"/>
      <c r="J82" s="383">
        <f>+E82+E90+E136</f>
        <v>1631951800</v>
      </c>
      <c r="K82" s="382"/>
    </row>
    <row r="83" spans="2:11" ht="15" customHeight="1">
      <c r="B83" s="58" t="str">
        <f t="shared" si="1"/>
        <v>5.21.12.00.00</v>
      </c>
      <c r="C83" s="502">
        <v>521120000</v>
      </c>
      <c r="D83" s="93" t="s">
        <v>1803</v>
      </c>
      <c r="E83" s="689">
        <f>-SUMIF('MATRIZCTAS(a)'!$E$7:$E$1764,C83,'MATRIZCTAS(a)'!$AH$7:$AH$1764)</f>
        <v>7162528</v>
      </c>
      <c r="F83" s="546"/>
      <c r="G83" s="546"/>
      <c r="H83" s="124"/>
      <c r="J83" s="397"/>
      <c r="K83" s="397"/>
    </row>
    <row r="84" spans="2:11" s="112" customFormat="1" ht="15" customHeight="1">
      <c r="B84" s="58" t="str">
        <f t="shared" si="1"/>
        <v>5.21.20.00.00</v>
      </c>
      <c r="C84" s="534">
        <v>521200000</v>
      </c>
      <c r="D84" s="98" t="s">
        <v>1804</v>
      </c>
      <c r="E84" s="543"/>
      <c r="F84" s="544">
        <f>+E85+E86+E87+E90+E91</f>
        <v>91595622</v>
      </c>
      <c r="G84" s="543"/>
      <c r="H84" s="124"/>
      <c r="J84" s="396"/>
      <c r="K84" s="396"/>
    </row>
    <row r="85" spans="2:11" ht="15" customHeight="1">
      <c r="B85" s="58" t="str">
        <f t="shared" si="1"/>
        <v>5.21.21.00.00</v>
      </c>
      <c r="C85" s="502">
        <v>521210000</v>
      </c>
      <c r="D85" s="93" t="s">
        <v>905</v>
      </c>
      <c r="E85" s="689">
        <f>-SUMIF('MATRIZCTAS(a)'!$E$7:$E$1764,C85,'MATRIZCTAS(a)'!$AH$7:$AH$1764)</f>
        <v>7089999</v>
      </c>
      <c r="F85" s="546"/>
      <c r="G85" s="546"/>
      <c r="H85" s="124"/>
      <c r="K85" s="383"/>
    </row>
    <row r="86" spans="2:11" ht="15" customHeight="1">
      <c r="B86" s="58" t="str">
        <f t="shared" si="1"/>
        <v>5.21.22.00.00</v>
      </c>
      <c r="C86" s="502">
        <v>521220000</v>
      </c>
      <c r="D86" s="93" t="s">
        <v>906</v>
      </c>
      <c r="E86" s="689">
        <f>-SUMIF('MATRIZCTAS(a)'!$E$7:$E$1764,C86,'MATRIZCTAS(a)'!$AH$7:$AH$1764)</f>
        <v>21960737</v>
      </c>
      <c r="F86" s="546"/>
      <c r="G86" s="546"/>
      <c r="H86" s="124"/>
    </row>
    <row r="87" spans="2:11" ht="15" customHeight="1">
      <c r="B87" s="58" t="str">
        <f t="shared" si="1"/>
        <v>5.21.23.00.00</v>
      </c>
      <c r="C87" s="502">
        <v>521230000</v>
      </c>
      <c r="D87" s="93" t="s">
        <v>907</v>
      </c>
      <c r="E87" s="544">
        <f>SUM(E88:E89)</f>
        <v>32860266</v>
      </c>
      <c r="F87" s="546"/>
      <c r="G87" s="546"/>
      <c r="H87" s="124"/>
      <c r="J87" s="397">
        <f>+E87+E137</f>
        <v>32541716</v>
      </c>
      <c r="K87" s="383"/>
    </row>
    <row r="88" spans="2:11" ht="15" customHeight="1">
      <c r="B88" s="58" t="str">
        <f t="shared" si="1"/>
        <v>5.21.23.10.00</v>
      </c>
      <c r="C88" s="502">
        <v>521231000</v>
      </c>
      <c r="D88" s="93" t="s">
        <v>515</v>
      </c>
      <c r="E88" s="545">
        <f>-SUMIF('MATRIZCTAS(a)'!$E$7:$E$1764,C88,'MATRIZCTAS(a)'!$AH$7:$AH$1764)</f>
        <v>0</v>
      </c>
      <c r="F88" s="546"/>
      <c r="G88" s="546"/>
      <c r="H88" s="124"/>
    </row>
    <row r="89" spans="2:11" ht="15" customHeight="1">
      <c r="B89" s="58" t="str">
        <f t="shared" si="1"/>
        <v>5.21.23.20.00</v>
      </c>
      <c r="C89" s="502">
        <v>521232000</v>
      </c>
      <c r="D89" s="93" t="s">
        <v>501</v>
      </c>
      <c r="E89" s="689">
        <f>-SUMIF('MATRIZCTAS(a)'!$E$7:$E$1764,C89,'MATRIZCTAS(a)'!$AH$7:$AH$1764)</f>
        <v>32860266</v>
      </c>
      <c r="F89" s="546"/>
      <c r="G89" s="546"/>
      <c r="H89" s="124"/>
    </row>
    <row r="90" spans="2:11" ht="15" customHeight="1">
      <c r="B90" s="58" t="str">
        <f t="shared" si="1"/>
        <v>5.21.24.00.00</v>
      </c>
      <c r="C90" s="502">
        <v>521240000</v>
      </c>
      <c r="D90" s="93" t="s">
        <v>1802</v>
      </c>
      <c r="E90" s="545">
        <f>-SUMIF('MATRIZCTAS(a)'!$E$7:$E$1764,C90,'MATRIZCTAS(a)'!$AH$7:$AH$1764)</f>
        <v>19494660</v>
      </c>
      <c r="F90" s="546"/>
      <c r="G90" s="546"/>
      <c r="H90" s="124"/>
    </row>
    <row r="91" spans="2:11" s="112" customFormat="1" ht="15" customHeight="1">
      <c r="B91" s="58" t="str">
        <f t="shared" si="1"/>
        <v>5.21.25.00.00</v>
      </c>
      <c r="C91" s="534">
        <v>521250000</v>
      </c>
      <c r="D91" s="118" t="s">
        <v>1556</v>
      </c>
      <c r="E91" s="544">
        <f>SUM(E92:E94)</f>
        <v>10189960</v>
      </c>
      <c r="F91" s="543"/>
      <c r="G91" s="543"/>
      <c r="H91" s="124"/>
    </row>
    <row r="92" spans="2:11" ht="15" customHeight="1">
      <c r="B92" s="58" t="str">
        <f t="shared" si="1"/>
        <v>5.21.25.10.00</v>
      </c>
      <c r="C92" s="502">
        <v>521251000</v>
      </c>
      <c r="D92" s="93" t="s">
        <v>502</v>
      </c>
      <c r="E92" s="545">
        <f>-SUMIF('MATRIZCTAS(a)'!$E$7:$E$1764,C92,'MATRIZCTAS(a)'!$AH$7:$AH$1764)</f>
        <v>2672117</v>
      </c>
      <c r="F92" s="546"/>
      <c r="G92" s="546"/>
      <c r="H92" s="124"/>
    </row>
    <row r="93" spans="2:11" ht="15" customHeight="1">
      <c r="B93" s="58" t="str">
        <f t="shared" si="1"/>
        <v>5.21.25.20.00</v>
      </c>
      <c r="C93" s="502">
        <v>521252000</v>
      </c>
      <c r="D93" s="93" t="s">
        <v>617</v>
      </c>
      <c r="E93" s="545">
        <f>-SUMIF('MATRIZCTAS(a)'!$E$7:$E$1764,C93,'MATRIZCTAS(a)'!$AH$7:$AH$1764)</f>
        <v>2695758</v>
      </c>
      <c r="F93" s="546"/>
      <c r="G93" s="546"/>
      <c r="H93" s="124"/>
    </row>
    <row r="94" spans="2:11" ht="15" customHeight="1">
      <c r="B94" s="58" t="str">
        <f t="shared" si="1"/>
        <v>5.21.25.30.00</v>
      </c>
      <c r="C94" s="502">
        <v>521253000</v>
      </c>
      <c r="D94" s="93" t="s">
        <v>618</v>
      </c>
      <c r="E94" s="689">
        <f>-SUMIF('MATRIZCTAS(a)'!$E$7:$E$1764,C94,'MATRIZCTAS(a)'!$AH$7:$AH$1764)</f>
        <v>4822085</v>
      </c>
      <c r="F94" s="546"/>
      <c r="G94" s="546"/>
      <c r="H94" s="124"/>
    </row>
    <row r="95" spans="2:11" s="112" customFormat="1" ht="15" customHeight="1">
      <c r="B95" s="58" t="str">
        <f t="shared" si="1"/>
        <v>5.21.30.00.00</v>
      </c>
      <c r="C95" s="534">
        <v>521300000</v>
      </c>
      <c r="D95" s="98" t="s">
        <v>503</v>
      </c>
      <c r="E95" s="543"/>
      <c r="F95" s="544">
        <f>SUM(E96:E98)</f>
        <v>0</v>
      </c>
      <c r="G95" s="543"/>
      <c r="H95" s="124"/>
    </row>
    <row r="96" spans="2:11" ht="15" customHeight="1">
      <c r="B96" s="58" t="str">
        <f t="shared" si="1"/>
        <v>5.21.32.00.00</v>
      </c>
      <c r="C96" s="502">
        <v>521320000</v>
      </c>
      <c r="D96" s="93" t="s">
        <v>504</v>
      </c>
      <c r="E96" s="545">
        <f>-SUMIF('MATRIZCTAS(a)'!$E$7:$E$1764,C96,'MATRIZCTAS(a)'!$AH$7:$AH$1764)</f>
        <v>0</v>
      </c>
      <c r="F96" s="546"/>
      <c r="G96" s="546"/>
      <c r="H96" s="124"/>
    </row>
    <row r="97" spans="2:10" ht="15" customHeight="1">
      <c r="B97" s="58" t="str">
        <f t="shared" si="1"/>
        <v>5.21.33.00.00</v>
      </c>
      <c r="C97" s="502">
        <v>521330000</v>
      </c>
      <c r="D97" s="93" t="s">
        <v>505</v>
      </c>
      <c r="E97" s="545">
        <f>-SUMIF('MATRIZCTAS(a)'!$E$7:$E$1764,C97,'MATRIZCTAS(a)'!$AH$7:$AH$1764)</f>
        <v>0</v>
      </c>
      <c r="F97" s="546"/>
      <c r="G97" s="546"/>
      <c r="H97" s="124"/>
    </row>
    <row r="98" spans="2:10" ht="15" customHeight="1">
      <c r="B98" s="58" t="str">
        <f t="shared" si="1"/>
        <v>5.21.34.00.00</v>
      </c>
      <c r="C98" s="502">
        <v>521340000</v>
      </c>
      <c r="D98" s="93" t="s">
        <v>986</v>
      </c>
      <c r="E98" s="545">
        <f>-SUMIF('MATRIZCTAS(a)'!$E$7:$E$1764,C98,'MATRIZCTAS(a)'!$AH$7:$AH$1764)</f>
        <v>0</v>
      </c>
      <c r="F98" s="546"/>
      <c r="G98" s="546"/>
      <c r="H98" s="124"/>
    </row>
    <row r="99" spans="2:10" s="112" customFormat="1" ht="15" customHeight="1">
      <c r="B99" s="58" t="str">
        <f t="shared" si="1"/>
        <v>5.22.00.00.00</v>
      </c>
      <c r="C99" s="534">
        <v>522000000</v>
      </c>
      <c r="D99" s="115" t="s">
        <v>1587</v>
      </c>
      <c r="E99" s="543"/>
      <c r="F99" s="543"/>
      <c r="G99" s="544">
        <f>SUM(F100:F104)</f>
        <v>4899792</v>
      </c>
      <c r="H99" s="124"/>
      <c r="J99" s="396">
        <f>+G99+G105+G108+G80</f>
        <v>1787129587</v>
      </c>
    </row>
    <row r="100" spans="2:10" ht="15" customHeight="1">
      <c r="B100" s="58" t="str">
        <f t="shared" si="1"/>
        <v>5.22.10.00.00</v>
      </c>
      <c r="C100" s="502">
        <v>522100000</v>
      </c>
      <c r="D100" s="119" t="s">
        <v>215</v>
      </c>
      <c r="E100" s="546"/>
      <c r="F100" s="545">
        <f>-SUMIF('MATRIZCTAS(a)'!$E$7:$E$1764,C100,'MATRIZCTAS(a)'!$AH$7:$AH$1764)</f>
        <v>0</v>
      </c>
      <c r="G100" s="546"/>
      <c r="H100" s="124"/>
    </row>
    <row r="101" spans="2:10" ht="15" customHeight="1">
      <c r="B101" s="58" t="str">
        <f t="shared" si="1"/>
        <v>5.22.20.00.00</v>
      </c>
      <c r="C101" s="502">
        <v>522200000</v>
      </c>
      <c r="D101" s="119" t="s">
        <v>216</v>
      </c>
      <c r="E101" s="546"/>
      <c r="F101" s="545">
        <f>-SUMIF('MATRIZCTAS(a)'!$E$7:$E$1764,C101,'MATRIZCTAS(a)'!$AH$7:$AH$1764)</f>
        <v>1913536</v>
      </c>
      <c r="G101" s="546"/>
      <c r="H101" s="124"/>
    </row>
    <row r="102" spans="2:10" ht="15" customHeight="1">
      <c r="B102" s="58" t="str">
        <f t="shared" si="1"/>
        <v>5.22.30.00.00</v>
      </c>
      <c r="C102" s="502">
        <v>522300000</v>
      </c>
      <c r="D102" s="119" t="s">
        <v>400</v>
      </c>
      <c r="E102" s="546"/>
      <c r="F102" s="545"/>
      <c r="G102" s="546"/>
      <c r="H102" s="124"/>
    </row>
    <row r="103" spans="2:10" ht="15" customHeight="1">
      <c r="B103" s="58" t="str">
        <f t="shared" si="1"/>
        <v>5.22.40.00.00</v>
      </c>
      <c r="C103" s="502">
        <v>522400000</v>
      </c>
      <c r="D103" s="119" t="s">
        <v>1572</v>
      </c>
      <c r="E103" s="546"/>
      <c r="F103" s="545">
        <f>-SUMIF('MATRIZCTAS(a)'!$E$7:$E$1764,C103,'MATRIZCTAS(a)'!$AH$7:$AH$1764)</f>
        <v>2986256</v>
      </c>
      <c r="G103" s="546"/>
      <c r="H103" s="124"/>
    </row>
    <row r="104" spans="2:10" ht="15" customHeight="1">
      <c r="B104" s="58" t="str">
        <f t="shared" si="1"/>
        <v>5.22.50.00.00</v>
      </c>
      <c r="C104" s="502">
        <v>522500000</v>
      </c>
      <c r="D104" s="119" t="s">
        <v>496</v>
      </c>
      <c r="E104" s="546"/>
      <c r="F104" s="545">
        <f>-SUMIF('MATRIZCTAS(a)'!$E$7:$E$1764,C104,'MATRIZCTAS(a)'!$AH$7:$AH$1764)</f>
        <v>0</v>
      </c>
      <c r="G104" s="546"/>
      <c r="H104" s="124"/>
    </row>
    <row r="105" spans="2:10" s="112" customFormat="1" ht="15" customHeight="1">
      <c r="B105" s="58" t="str">
        <f t="shared" si="1"/>
        <v>5.23.00.00.00</v>
      </c>
      <c r="C105" s="534">
        <v>523000000</v>
      </c>
      <c r="D105" s="115" t="s">
        <v>497</v>
      </c>
      <c r="E105" s="543"/>
      <c r="F105" s="544"/>
      <c r="G105" s="544">
        <f>SUM(F106:F107)</f>
        <v>133375</v>
      </c>
      <c r="H105" s="124"/>
    </row>
    <row r="106" spans="2:10" ht="15" customHeight="1">
      <c r="B106" s="58" t="str">
        <f t="shared" si="1"/>
        <v>5.23.10.00.00</v>
      </c>
      <c r="C106" s="502">
        <v>523100000</v>
      </c>
      <c r="D106" s="119" t="s">
        <v>498</v>
      </c>
      <c r="E106" s="546"/>
      <c r="F106" s="545">
        <f>-SUMIF('MATRIZCTAS(a)'!$E$7:$E$1764,C106,'MATRIZCTAS(a)'!$AH$7:$AH$1764)</f>
        <v>133375</v>
      </c>
      <c r="G106" s="546"/>
      <c r="H106" s="124"/>
    </row>
    <row r="107" spans="2:10" ht="15" customHeight="1">
      <c r="B107" s="58" t="str">
        <f t="shared" si="1"/>
        <v>5.23.20.00.00</v>
      </c>
      <c r="C107" s="502">
        <v>523200000</v>
      </c>
      <c r="D107" s="119" t="s">
        <v>657</v>
      </c>
      <c r="E107" s="546"/>
      <c r="F107" s="545">
        <f>-SUMIF('MATRIZCTAS(a)'!$E$7:$E$1764,C107,'MATRIZCTAS(a)'!$AH$7:$AH$1764)</f>
        <v>0</v>
      </c>
      <c r="G107" s="546"/>
      <c r="H107" s="124"/>
    </row>
    <row r="108" spans="2:10" s="112" customFormat="1" ht="15" customHeight="1">
      <c r="B108" s="58" t="str">
        <f t="shared" si="1"/>
        <v>5.24.00.00.00</v>
      </c>
      <c r="C108" s="534">
        <v>524000000</v>
      </c>
      <c r="D108" s="115" t="s">
        <v>649</v>
      </c>
      <c r="E108" s="543"/>
      <c r="F108" s="544"/>
      <c r="G108" s="544">
        <f>SUM(F109,F114,F115,F119)</f>
        <v>72059316</v>
      </c>
      <c r="H108" s="124"/>
    </row>
    <row r="109" spans="2:10" s="112" customFormat="1" ht="15" customHeight="1">
      <c r="B109" s="58" t="str">
        <f t="shared" si="1"/>
        <v>5.24.10.00.00</v>
      </c>
      <c r="C109" s="534">
        <v>524100000</v>
      </c>
      <c r="D109" s="98" t="s">
        <v>658</v>
      </c>
      <c r="E109" s="543"/>
      <c r="F109" s="544">
        <f>SUM(E110:E113)</f>
        <v>1889708</v>
      </c>
      <c r="G109" s="546"/>
      <c r="H109" s="124"/>
    </row>
    <row r="110" spans="2:10" ht="15" customHeight="1">
      <c r="B110" s="58" t="str">
        <f t="shared" si="1"/>
        <v>5.24.11.00.00</v>
      </c>
      <c r="C110" s="502">
        <v>524110000</v>
      </c>
      <c r="D110" s="93" t="s">
        <v>659</v>
      </c>
      <c r="E110" s="545">
        <f>-SUMIF('MATRIZCTAS(a)'!$E$7:$E$1764,C110,'MATRIZCTAS(a)'!$AH$7:$AH$1764)</f>
        <v>193720</v>
      </c>
      <c r="F110" s="546"/>
      <c r="G110" s="546"/>
      <c r="H110" s="124"/>
    </row>
    <row r="111" spans="2:10" ht="15" customHeight="1">
      <c r="B111" s="58" t="str">
        <f t="shared" si="1"/>
        <v>5.24.12.00.00</v>
      </c>
      <c r="C111" s="502">
        <v>524120000</v>
      </c>
      <c r="D111" s="93" t="s">
        <v>660</v>
      </c>
      <c r="E111" s="545">
        <f>-SUMIF('MATRIZCTAS(a)'!$E$7:$E$1764,C111,'MATRIZCTAS(a)'!$AH$7:$AH$1764)</f>
        <v>1534431</v>
      </c>
      <c r="F111" s="546"/>
      <c r="G111" s="546"/>
      <c r="H111" s="124"/>
    </row>
    <row r="112" spans="2:10" ht="15" customHeight="1">
      <c r="B112" s="58" t="str">
        <f t="shared" si="1"/>
        <v>5.24.13.00.00</v>
      </c>
      <c r="C112" s="502">
        <v>524130000</v>
      </c>
      <c r="D112" s="93" t="s">
        <v>661</v>
      </c>
      <c r="E112" s="545">
        <f>-SUMIF('MATRIZCTAS(a)'!$E$7:$E$1764,C112,'MATRIZCTAS(a)'!$AH$7:$AH$1764)</f>
        <v>154719</v>
      </c>
      <c r="F112" s="546"/>
      <c r="G112" s="546"/>
      <c r="H112" s="124"/>
    </row>
    <row r="113" spans="2:10" ht="15" customHeight="1">
      <c r="B113" s="58" t="str">
        <f t="shared" si="1"/>
        <v>5.24.14.00.00</v>
      </c>
      <c r="C113" s="502">
        <v>524140000</v>
      </c>
      <c r="D113" s="93" t="s">
        <v>662</v>
      </c>
      <c r="E113" s="545">
        <f>-SUMIF('MATRIZCTAS(a)'!$E$7:$E$1764,C113,'MATRIZCTAS(a)'!$AH$7:$AH$1764)</f>
        <v>6838</v>
      </c>
      <c r="F113" s="546"/>
      <c r="G113" s="546"/>
      <c r="H113" s="124"/>
    </row>
    <row r="114" spans="2:10" s="112" customFormat="1" ht="15" customHeight="1">
      <c r="B114" s="58" t="str">
        <f t="shared" si="1"/>
        <v>5.24.20.00.00</v>
      </c>
      <c r="C114" s="534">
        <v>524200000</v>
      </c>
      <c r="D114" s="98" t="s">
        <v>663</v>
      </c>
      <c r="E114" s="543"/>
      <c r="F114" s="544">
        <f>-SUMIF('MATRIZCTAS(a)'!$E$7:$E$1764,C114,'MATRIZCTAS(a)'!$AH$7:$AH$1764)</f>
        <v>1936258</v>
      </c>
      <c r="G114" s="543"/>
      <c r="H114" s="124"/>
    </row>
    <row r="115" spans="2:10" s="112" customFormat="1" ht="15" customHeight="1">
      <c r="B115" s="58" t="str">
        <f t="shared" si="1"/>
        <v>5.24.30.00.00</v>
      </c>
      <c r="C115" s="534">
        <v>524300000</v>
      </c>
      <c r="D115" s="98" t="s">
        <v>664</v>
      </c>
      <c r="E115" s="543"/>
      <c r="F115" s="544">
        <f>SUM(E116:E118)</f>
        <v>10882</v>
      </c>
      <c r="G115" s="543"/>
      <c r="H115" s="124"/>
    </row>
    <row r="116" spans="2:10" ht="15" customHeight="1">
      <c r="B116" s="58" t="str">
        <f t="shared" si="1"/>
        <v>5.24.31.00.00</v>
      </c>
      <c r="C116" s="502">
        <v>524310000</v>
      </c>
      <c r="D116" s="93" t="s">
        <v>665</v>
      </c>
      <c r="E116" s="545">
        <f>-SUMIF('MATRIZCTAS(a)'!$E$7:$E$1764,C116,'MATRIZCTAS(a)'!$AH$7:$AH$1764)</f>
        <v>-25052</v>
      </c>
      <c r="F116" s="546"/>
      <c r="G116" s="546"/>
      <c r="H116" s="124"/>
    </row>
    <row r="117" spans="2:10" ht="15" customHeight="1">
      <c r="B117" s="58" t="str">
        <f t="shared" si="1"/>
        <v>5.24.32.00.00</v>
      </c>
      <c r="C117" s="502">
        <v>524320000</v>
      </c>
      <c r="D117" s="93" t="s">
        <v>666</v>
      </c>
      <c r="E117" s="545">
        <f>-SUMIF('MATRIZCTAS(a)'!$E$7:$E$1764,C117,'MATRIZCTAS(a)'!$AH$7:$AH$1764)</f>
        <v>0</v>
      </c>
      <c r="F117" s="546"/>
      <c r="G117" s="546"/>
      <c r="H117" s="124"/>
    </row>
    <row r="118" spans="2:10" ht="15" customHeight="1">
      <c r="B118" s="58" t="str">
        <f t="shared" si="1"/>
        <v>5.24.33.00.00</v>
      </c>
      <c r="C118" s="502">
        <v>524330000</v>
      </c>
      <c r="D118" s="93" t="s">
        <v>667</v>
      </c>
      <c r="E118" s="545">
        <f>-SUMIF('MATRIZCTAS(a)'!$E$7:$E$1764,C118,'MATRIZCTAS(a)'!$AH$7:$AH$1764)</f>
        <v>35934</v>
      </c>
      <c r="F118" s="546"/>
      <c r="G118" s="546"/>
      <c r="H118" s="124"/>
    </row>
    <row r="119" spans="2:10" s="112" customFormat="1" ht="15" customHeight="1">
      <c r="B119" s="58" t="str">
        <f t="shared" si="1"/>
        <v>5.24.40.00.00</v>
      </c>
      <c r="C119" s="534">
        <v>524400000</v>
      </c>
      <c r="D119" s="98" t="s">
        <v>1558</v>
      </c>
      <c r="E119" s="543"/>
      <c r="F119" s="544">
        <f>SUM(E120:E126)</f>
        <v>68222468</v>
      </c>
      <c r="G119" s="543"/>
      <c r="H119" s="124"/>
    </row>
    <row r="120" spans="2:10" ht="15" customHeight="1">
      <c r="B120" s="58" t="str">
        <f t="shared" si="1"/>
        <v>5.24.41.00.00</v>
      </c>
      <c r="C120" s="502">
        <v>524410000</v>
      </c>
      <c r="D120" s="93" t="s">
        <v>337</v>
      </c>
      <c r="E120" s="545">
        <f>-SUMIF('MATRIZCTAS(a)'!$E$7:$E$1764,C120,'MATRIZCTAS(a)'!$AH$7:$AH$1764)</f>
        <v>2473635</v>
      </c>
      <c r="F120" s="546"/>
      <c r="G120" s="546"/>
      <c r="H120" s="124"/>
    </row>
    <row r="121" spans="2:10" ht="15" customHeight="1">
      <c r="B121" s="58" t="str">
        <f t="shared" si="1"/>
        <v>5.24.42.00.00</v>
      </c>
      <c r="C121" s="502">
        <v>524420000</v>
      </c>
      <c r="D121" s="93" t="s">
        <v>338</v>
      </c>
      <c r="E121" s="545">
        <f>-SUMIF('MATRIZCTAS(a)'!$E$7:$E$1764,C121,'MATRIZCTAS(a)'!$AH$7:$AH$1764)</f>
        <v>32018587</v>
      </c>
      <c r="F121" s="546"/>
      <c r="G121" s="546"/>
      <c r="H121" s="124"/>
    </row>
    <row r="122" spans="2:10" ht="15" customHeight="1">
      <c r="B122" s="58" t="str">
        <f t="shared" si="1"/>
        <v>5.24.43.00.00</v>
      </c>
      <c r="C122" s="502">
        <v>524430000</v>
      </c>
      <c r="D122" s="93" t="s">
        <v>339</v>
      </c>
      <c r="E122" s="545">
        <f>-SUMIF('MATRIZCTAS(a)'!$E$7:$E$1764,C122,'MATRIZCTAS(a)'!$AH$7:$AH$1764)</f>
        <v>0</v>
      </c>
      <c r="F122" s="546"/>
      <c r="G122" s="546"/>
      <c r="H122" s="124"/>
    </row>
    <row r="123" spans="2:10" ht="15" customHeight="1">
      <c r="B123" s="58" t="str">
        <f t="shared" si="1"/>
        <v>5.24.44.00.00</v>
      </c>
      <c r="C123" s="502">
        <v>524440000</v>
      </c>
      <c r="D123" s="93" t="s">
        <v>351</v>
      </c>
      <c r="E123" s="545">
        <f>-SUMIF('MATRIZCTAS(a)'!$E$7:$E$1764,C123,'MATRIZCTAS(a)'!$AH$7:$AH$1764)</f>
        <v>776628</v>
      </c>
      <c r="F123" s="546"/>
      <c r="G123" s="546"/>
      <c r="H123" s="124"/>
    </row>
    <row r="124" spans="2:10" ht="15" customHeight="1">
      <c r="B124" s="58" t="str">
        <f t="shared" si="1"/>
        <v>5.24.45.00.00</v>
      </c>
      <c r="C124" s="502">
        <v>524450000</v>
      </c>
      <c r="D124" s="93" t="s">
        <v>354</v>
      </c>
      <c r="E124" s="545">
        <f>-SUMIF('MATRIZCTAS(a)'!$E$7:$E$1764,C124,'MATRIZCTAS(a)'!$AH$7:$AH$1764)</f>
        <v>1392960</v>
      </c>
      <c r="F124" s="546"/>
      <c r="G124" s="546"/>
      <c r="H124" s="124"/>
    </row>
    <row r="125" spans="2:10" ht="15" customHeight="1">
      <c r="B125" s="58" t="str">
        <f t="shared" si="1"/>
        <v>5.24.46.00.00</v>
      </c>
      <c r="C125" s="502">
        <v>524460000</v>
      </c>
      <c r="D125" s="93" t="s">
        <v>872</v>
      </c>
      <c r="E125" s="545">
        <f>-SUMIF('MATRIZCTAS(a)'!$E$7:$E$1764,C125,'MATRIZCTAS(a)'!$AH$7:$AH$1764)</f>
        <v>3008273</v>
      </c>
      <c r="F125" s="546"/>
      <c r="G125" s="546"/>
      <c r="H125" s="124"/>
    </row>
    <row r="126" spans="2:10" ht="15" customHeight="1">
      <c r="B126" s="58" t="str">
        <f t="shared" si="1"/>
        <v>5.24.47.00.00</v>
      </c>
      <c r="C126" s="502">
        <v>524470000</v>
      </c>
      <c r="D126" s="93" t="s">
        <v>998</v>
      </c>
      <c r="E126" s="545">
        <f>-SUMIF('MATRIZCTAS(a)'!$E$7:$E$1764,C126,'MATRIZCTAS(a)'!$AH$7:$AH$1764)</f>
        <v>28552385</v>
      </c>
      <c r="F126" s="546"/>
      <c r="G126" s="546"/>
      <c r="H126" s="124"/>
      <c r="J126" s="396"/>
    </row>
    <row r="127" spans="2:10" s="112" customFormat="1" ht="15" customHeight="1">
      <c r="B127" s="58" t="str">
        <f t="shared" si="1"/>
        <v>5.25.00.00.00</v>
      </c>
      <c r="C127" s="534">
        <v>525000000</v>
      </c>
      <c r="D127" s="115" t="s">
        <v>1122</v>
      </c>
      <c r="E127" s="543"/>
      <c r="F127" s="543"/>
      <c r="G127" s="544">
        <f>SUM(G108,G105,G99,G80)</f>
        <v>1787129587</v>
      </c>
      <c r="H127" s="124"/>
      <c r="J127" s="396">
        <f>+G127-G80</f>
        <v>77092483</v>
      </c>
    </row>
    <row r="128" spans="2:10" s="112" customFormat="1" ht="15" customHeight="1">
      <c r="B128" s="58" t="str">
        <f t="shared" si="1"/>
        <v>5.26.00.00.00</v>
      </c>
      <c r="C128" s="534">
        <v>526000000</v>
      </c>
      <c r="D128" s="936" t="s">
        <v>1063</v>
      </c>
      <c r="E128" s="937"/>
      <c r="F128" s="937"/>
      <c r="G128" s="937">
        <f>SUM(F129,F130,F134,F139)</f>
        <v>218056192</v>
      </c>
      <c r="H128" s="124"/>
      <c r="J128" s="396"/>
    </row>
    <row r="129" spans="2:10" ht="15" customHeight="1">
      <c r="B129" s="58" t="str">
        <f t="shared" si="1"/>
        <v>5.26.10.00.00</v>
      </c>
      <c r="C129" s="502">
        <v>526100000</v>
      </c>
      <c r="D129" s="119" t="s">
        <v>1123</v>
      </c>
      <c r="E129" s="546"/>
      <c r="F129" s="545">
        <f>-SUMIF('MATRIZCTAS(a)'!$E$7:$E$1764,C129,'MATRIZCTAS(a)'!$AH$7:$AH$1764)</f>
        <v>153368906</v>
      </c>
      <c r="G129" s="546"/>
      <c r="H129" s="124"/>
    </row>
    <row r="130" spans="2:10" s="112" customFormat="1" ht="15" customHeight="1">
      <c r="B130" s="58" t="str">
        <f t="shared" si="1"/>
        <v>5.26.20.00.00</v>
      </c>
      <c r="C130" s="534">
        <v>526200000</v>
      </c>
      <c r="D130" s="98" t="s">
        <v>1124</v>
      </c>
      <c r="E130" s="543"/>
      <c r="F130" s="544">
        <f>SUM(E131:E133)</f>
        <v>14914510</v>
      </c>
      <c r="G130" s="543"/>
      <c r="H130" s="124"/>
      <c r="J130" s="396"/>
    </row>
    <row r="131" spans="2:10" ht="15" customHeight="1">
      <c r="B131" s="58" t="str">
        <f t="shared" si="1"/>
        <v>5.26.21.00.00</v>
      </c>
      <c r="C131" s="502">
        <v>526210000</v>
      </c>
      <c r="D131" s="93" t="s">
        <v>1125</v>
      </c>
      <c r="E131" s="545">
        <f>-SUMIF('MATRIZCTAS(a)'!$E$7:$E$1764,C131,'MATRIZCTAS(a)'!$AH$7:$AH$1764)</f>
        <v>5981387</v>
      </c>
      <c r="F131" s="546"/>
      <c r="G131" s="546"/>
      <c r="H131" s="124"/>
    </row>
    <row r="132" spans="2:10" ht="15" customHeight="1">
      <c r="B132" s="58" t="str">
        <f t="shared" si="1"/>
        <v>5.26.22.00.00</v>
      </c>
      <c r="C132" s="502">
        <v>526220000</v>
      </c>
      <c r="D132" s="93" t="s">
        <v>1394</v>
      </c>
      <c r="E132" s="545">
        <f>-SUMIF('MATRIZCTAS(a)'!$E$7:$E$1764,C132,'MATRIZCTAS(a)'!$AH$7:$AH$1764)</f>
        <v>3323097</v>
      </c>
      <c r="F132" s="546"/>
      <c r="G132" s="546"/>
      <c r="H132" s="124"/>
    </row>
    <row r="133" spans="2:10" ht="15" customHeight="1">
      <c r="B133" s="58" t="str">
        <f t="shared" si="1"/>
        <v>5.26.23.00.00</v>
      </c>
      <c r="C133" s="502">
        <v>526230000</v>
      </c>
      <c r="D133" s="93" t="s">
        <v>1395</v>
      </c>
      <c r="E133" s="545">
        <f>-SUMIF('MATRIZCTAS(a)'!$E$7:$E$1764,C133,'MATRIZCTAS(a)'!$AH$7:$AH$1764)</f>
        <v>5610026</v>
      </c>
      <c r="F133" s="546"/>
      <c r="G133" s="546"/>
      <c r="H133" s="124"/>
    </row>
    <row r="134" spans="2:10" s="112" customFormat="1" ht="15" customHeight="1">
      <c r="B134" s="58" t="str">
        <f t="shared" si="1"/>
        <v>5.26.30.00.00</v>
      </c>
      <c r="C134" s="534">
        <v>526300000</v>
      </c>
      <c r="D134" s="98" t="s">
        <v>1396</v>
      </c>
      <c r="E134" s="543"/>
      <c r="F134" s="544">
        <f>SUM(E135,E138)</f>
        <v>859636</v>
      </c>
      <c r="G134" s="543"/>
      <c r="H134" s="124"/>
    </row>
    <row r="135" spans="2:10" s="112" customFormat="1" ht="15" customHeight="1">
      <c r="B135" s="58" t="str">
        <f t="shared" si="1"/>
        <v>5.26.31.00.00</v>
      </c>
      <c r="C135" s="534">
        <v>526310000</v>
      </c>
      <c r="D135" s="118" t="s">
        <v>1397</v>
      </c>
      <c r="E135" s="544">
        <f>+E136+E137</f>
        <v>859636</v>
      </c>
      <c r="F135" s="543"/>
      <c r="G135" s="543"/>
      <c r="H135" s="124"/>
    </row>
    <row r="136" spans="2:10" ht="15" customHeight="1">
      <c r="B136" s="58" t="str">
        <f t="shared" si="1"/>
        <v>5.26.31.10.00</v>
      </c>
      <c r="C136" s="502">
        <v>526311000</v>
      </c>
      <c r="D136" s="93" t="s">
        <v>1398</v>
      </c>
      <c r="E136" s="545">
        <f>-SUMIF('MATRIZCTAS(a)'!$E$7:$E$1764,C136,'MATRIZCTAS(a)'!$AH$7:$AH$1764)-E138</f>
        <v>1178186</v>
      </c>
      <c r="F136" s="550"/>
      <c r="G136" s="550"/>
      <c r="H136" s="124"/>
      <c r="J136" s="397"/>
    </row>
    <row r="137" spans="2:10" ht="15" customHeight="1">
      <c r="B137" s="58" t="str">
        <f t="shared" si="1"/>
        <v>5.26.31.20.00</v>
      </c>
      <c r="C137" s="502">
        <v>526312000</v>
      </c>
      <c r="D137" s="93" t="s">
        <v>1399</v>
      </c>
      <c r="E137" s="545">
        <f>-SUMIF('MATRIZCTAS(a)'!$E$7:$E$1764,C137,'MATRIZCTAS(a)'!$AH$7:$AH$1764)-E139</f>
        <v>-318550</v>
      </c>
      <c r="F137" s="550"/>
      <c r="G137" s="550"/>
      <c r="H137" s="124"/>
      <c r="J137" s="397"/>
    </row>
    <row r="138" spans="2:10" s="112" customFormat="1" ht="15" customHeight="1">
      <c r="B138" s="58" t="str">
        <f t="shared" si="1"/>
        <v>5.26.32.00.00</v>
      </c>
      <c r="C138" s="534">
        <v>526320000</v>
      </c>
      <c r="D138" s="118" t="s">
        <v>1630</v>
      </c>
      <c r="E138" s="544">
        <v>0</v>
      </c>
      <c r="F138" s="543"/>
      <c r="G138" s="543"/>
      <c r="H138" s="124"/>
      <c r="J138" s="426"/>
    </row>
    <row r="139" spans="2:10" s="112" customFormat="1" ht="15" customHeight="1">
      <c r="B139" s="58" t="str">
        <f t="shared" si="1"/>
        <v>5.26.40.00.00</v>
      </c>
      <c r="C139" s="534">
        <v>526400000</v>
      </c>
      <c r="D139" s="98" t="s">
        <v>1631</v>
      </c>
      <c r="E139" s="543"/>
      <c r="F139" s="544">
        <f>SUM(E140:E144)</f>
        <v>48913140</v>
      </c>
      <c r="G139" s="543"/>
      <c r="H139" s="124"/>
      <c r="J139" s="396"/>
    </row>
    <row r="140" spans="2:10" ht="15" customHeight="1">
      <c r="B140" s="58" t="str">
        <f t="shared" si="1"/>
        <v>5.26.41.00.00</v>
      </c>
      <c r="C140" s="502">
        <v>526410000</v>
      </c>
      <c r="D140" s="93" t="s">
        <v>1632</v>
      </c>
      <c r="E140" s="545">
        <f>-SUMIF('MATRIZCTAS(a)'!$E$7:$E$1764,C140,'MATRIZCTAS(a)'!$AH$7:$AH$1764)</f>
        <v>34021898</v>
      </c>
      <c r="F140" s="546"/>
      <c r="G140" s="546"/>
      <c r="H140" s="124"/>
    </row>
    <row r="141" spans="2:10" ht="15" customHeight="1">
      <c r="B141" s="58" t="str">
        <f t="shared" si="1"/>
        <v>5.26.42.00.00</v>
      </c>
      <c r="C141" s="502">
        <v>526420000</v>
      </c>
      <c r="D141" s="93" t="s">
        <v>493</v>
      </c>
      <c r="E141" s="545">
        <f>-SUMIF('MATRIZCTAS(a)'!$E$7:$E$1764,C141,'MATRIZCTAS(a)'!$AH$7:$AH$1764)</f>
        <v>0</v>
      </c>
      <c r="F141" s="546"/>
      <c r="G141" s="546"/>
      <c r="H141" s="124"/>
    </row>
    <row r="142" spans="2:10" ht="15" customHeight="1">
      <c r="B142" s="58" t="str">
        <f t="shared" si="1"/>
        <v>5.26.43.00.00</v>
      </c>
      <c r="C142" s="502">
        <v>526430000</v>
      </c>
      <c r="D142" s="93" t="s">
        <v>377</v>
      </c>
      <c r="E142" s="931">
        <v>14891242</v>
      </c>
      <c r="F142" s="550"/>
      <c r="G142" s="550"/>
      <c r="H142" s="124"/>
    </row>
    <row r="143" spans="2:10" ht="15" customHeight="1">
      <c r="B143" s="58" t="str">
        <f t="shared" si="1"/>
        <v>5.26.44.00.00</v>
      </c>
      <c r="C143" s="502">
        <v>526440000</v>
      </c>
      <c r="D143" s="93" t="s">
        <v>494</v>
      </c>
      <c r="E143" s="545">
        <f>-SUMIF('MATRIZCTAS(a)'!$E$7:$E$1764,C143,'MATRIZCTAS(a)'!$AH$7:$AH$1764)</f>
        <v>0</v>
      </c>
      <c r="F143" s="550"/>
      <c r="G143" s="550"/>
      <c r="H143" s="124"/>
    </row>
    <row r="144" spans="2:10" ht="15" customHeight="1" thickBot="1">
      <c r="B144" s="101" t="str">
        <f t="shared" si="1"/>
        <v>5.26.45.00.00</v>
      </c>
      <c r="C144" s="503">
        <v>526450000</v>
      </c>
      <c r="D144" s="120" t="s">
        <v>495</v>
      </c>
      <c r="E144" s="547">
        <f>-SUMIF('MATRIZCTAS(a)'!$E$7:$E$1764,C144,'MATRIZCTAS(a)'!$AH$7:$AH$1764)</f>
        <v>0</v>
      </c>
      <c r="F144" s="551"/>
      <c r="G144" s="551"/>
      <c r="H144" s="125"/>
    </row>
    <row r="145" spans="2:11">
      <c r="B145" s="83"/>
      <c r="C145" s="531"/>
      <c r="D145" s="122"/>
      <c r="E145" s="549"/>
      <c r="F145" s="549"/>
      <c r="G145" s="549"/>
      <c r="H145" s="96"/>
      <c r="I145" s="96"/>
      <c r="J145" s="96"/>
    </row>
    <row r="146" spans="2:11" ht="15.75" customHeight="1">
      <c r="B146" s="107" t="str">
        <f>+EEFF!$E$5</f>
        <v>Bice Vida Compañía de Seguros S.A.</v>
      </c>
      <c r="C146" s="531"/>
      <c r="E146" s="549"/>
      <c r="F146" s="549"/>
      <c r="G146" s="549"/>
      <c r="H146" s="96"/>
      <c r="I146" s="96"/>
      <c r="J146" s="96"/>
    </row>
    <row r="147" spans="2:11">
      <c r="B147" s="41" t="s">
        <v>1678</v>
      </c>
      <c r="C147" s="531"/>
      <c r="E147" s="555">
        <f>+EEFF!$E$22</f>
        <v>40909</v>
      </c>
      <c r="F147" s="552" t="s">
        <v>1679</v>
      </c>
      <c r="G147" s="555">
        <f>+EEFF!$G$7</f>
        <v>41121</v>
      </c>
      <c r="H147" s="96"/>
      <c r="I147" s="96"/>
      <c r="J147" s="96"/>
    </row>
    <row r="148" spans="2:11" ht="12" thickBot="1">
      <c r="E148" s="539"/>
    </row>
    <row r="149" spans="2:11" ht="24.95" customHeight="1" thickBot="1">
      <c r="B149" s="109"/>
      <c r="C149" s="533"/>
      <c r="D149" s="110"/>
      <c r="E149" s="540" t="s">
        <v>1820</v>
      </c>
      <c r="F149" s="540" t="s">
        <v>1820</v>
      </c>
      <c r="G149" s="540" t="s">
        <v>1680</v>
      </c>
      <c r="H149" s="46" t="s">
        <v>1821</v>
      </c>
    </row>
    <row r="150" spans="2:11" s="112" customFormat="1" ht="15" customHeight="1">
      <c r="B150" s="48" t="str">
        <f t="shared" ref="B150:B207" si="2">MID(C150,1,1)&amp;"."&amp;MID(C150,2,2)&amp;"."&amp;MID(C150,4,2)&amp;"."&amp;MID(C150,6,2)&amp;"."&amp;MID(C150,8,2)</f>
        <v>5.31.00.00.00</v>
      </c>
      <c r="C150" s="535">
        <v>531000000</v>
      </c>
      <c r="D150" s="126" t="s">
        <v>1681</v>
      </c>
      <c r="E150" s="553"/>
      <c r="F150" s="553"/>
      <c r="G150" s="553"/>
      <c r="H150" s="52">
        <f>SUM(G151,G175)</f>
        <v>-52450981</v>
      </c>
    </row>
    <row r="151" spans="2:11" s="112" customFormat="1" ht="15" customHeight="1">
      <c r="B151" s="58" t="str">
        <f t="shared" si="2"/>
        <v>5.31.10.00.00</v>
      </c>
      <c r="C151" s="534">
        <v>531100000</v>
      </c>
      <c r="D151" s="98" t="s">
        <v>1682</v>
      </c>
      <c r="E151" s="543"/>
      <c r="F151" s="543"/>
      <c r="G151" s="544">
        <f>SUM(F152,F156,F157,F158,F159,F160,F164,F168,F173,F174)</f>
        <v>-36987163</v>
      </c>
      <c r="H151" s="127"/>
    </row>
    <row r="152" spans="2:11" s="112" customFormat="1" ht="15" customHeight="1">
      <c r="B152" s="58" t="str">
        <f t="shared" si="2"/>
        <v>5.31.10.11.00</v>
      </c>
      <c r="C152" s="534">
        <v>531101100</v>
      </c>
      <c r="D152" s="118" t="s">
        <v>1600</v>
      </c>
      <c r="E152" s="543"/>
      <c r="F152" s="544">
        <f>SUM(E153:E155)</f>
        <v>122904126</v>
      </c>
      <c r="G152" s="543"/>
      <c r="H152" s="127"/>
    </row>
    <row r="153" spans="2:11" ht="15" customHeight="1">
      <c r="B153" s="58" t="str">
        <f t="shared" si="2"/>
        <v>5.31.10.11.10</v>
      </c>
      <c r="C153" s="502">
        <v>531101110</v>
      </c>
      <c r="D153" s="128" t="s">
        <v>999</v>
      </c>
      <c r="E153" s="545">
        <f>-SUMIF('MATRIZCTAS(a)'!$E$7:$E$1764,C153,'MATRIZCTAS(a)'!$AH$7:$AH$1764)</f>
        <v>124711650</v>
      </c>
      <c r="F153" s="546"/>
      <c r="G153" s="546"/>
      <c r="H153" s="117"/>
    </row>
    <row r="154" spans="2:11" ht="15" customHeight="1">
      <c r="B154" s="58" t="str">
        <f t="shared" si="2"/>
        <v>5.31.10.11.20</v>
      </c>
      <c r="C154" s="502">
        <v>531101120</v>
      </c>
      <c r="D154" s="128" t="s">
        <v>1000</v>
      </c>
      <c r="E154" s="545">
        <f>-SUMIF('MATRIZCTAS(a)'!$E$7:$E$1764,C154,'MATRIZCTAS(a)'!$AH$7:$AH$1764)</f>
        <v>0</v>
      </c>
      <c r="F154" s="546"/>
      <c r="G154" s="546"/>
      <c r="H154" s="117"/>
    </row>
    <row r="155" spans="2:11" ht="15" customHeight="1">
      <c r="B155" s="58" t="str">
        <f t="shared" si="2"/>
        <v>5.31.10.11.30</v>
      </c>
      <c r="C155" s="502">
        <v>531101130</v>
      </c>
      <c r="D155" s="128" t="s">
        <v>1601</v>
      </c>
      <c r="E155" s="545">
        <f>-SUMIF('MATRIZCTAS(a)'!$E$7:$E$1764,C155,'MATRIZCTAS(a)'!$AH$7:$AH$1764)</f>
        <v>-1807524</v>
      </c>
      <c r="F155" s="546"/>
      <c r="G155" s="546"/>
      <c r="H155" s="117"/>
    </row>
    <row r="156" spans="2:11" ht="15" customHeight="1">
      <c r="B156" s="58" t="str">
        <f t="shared" si="2"/>
        <v>5.31.10.12.00</v>
      </c>
      <c r="C156" s="502">
        <v>531101200</v>
      </c>
      <c r="D156" s="93" t="s">
        <v>1683</v>
      </c>
      <c r="E156" s="546"/>
      <c r="F156" s="545">
        <f>-SUMIF('MATRIZCTAS(a)'!$E$7:$E$1764,C156,'MATRIZCTAS(a)'!$AH$7:$AH$1764)</f>
        <v>287734</v>
      </c>
      <c r="G156" s="546"/>
      <c r="H156" s="117"/>
      <c r="K156" s="383"/>
    </row>
    <row r="157" spans="2:11" ht="15" customHeight="1">
      <c r="B157" s="58" t="str">
        <f t="shared" si="2"/>
        <v>5.31.10.13.00</v>
      </c>
      <c r="C157" s="502">
        <v>531101300</v>
      </c>
      <c r="D157" s="93" t="s">
        <v>644</v>
      </c>
      <c r="E157" s="546"/>
      <c r="F157" s="545">
        <f>-SUMIF('MATRIZCTAS(a)'!$E$7:$E$1764,C157,'MATRIZCTAS(a)'!$AH$7:$AH$1764)</f>
        <v>-282809</v>
      </c>
      <c r="G157" s="546"/>
      <c r="H157" s="117"/>
      <c r="K157" s="383"/>
    </row>
    <row r="158" spans="2:11" ht="15" customHeight="1">
      <c r="B158" s="58" t="str">
        <f t="shared" si="2"/>
        <v>5.31.10.14.00</v>
      </c>
      <c r="C158" s="502">
        <v>531101400</v>
      </c>
      <c r="D158" s="93" t="s">
        <v>1684</v>
      </c>
      <c r="E158" s="546"/>
      <c r="F158" s="545">
        <f>-SUMIF('MATRIZCTAS(a)'!$E$7:$E$1764,C158,'MATRIZCTAS(a)'!$AH$7:$AH$1764)</f>
        <v>-2528802</v>
      </c>
      <c r="G158" s="546"/>
      <c r="H158" s="117"/>
      <c r="K158" s="383"/>
    </row>
    <row r="159" spans="2:11" ht="15" customHeight="1">
      <c r="B159" s="58" t="str">
        <f t="shared" si="2"/>
        <v>5.31.10.15.00</v>
      </c>
      <c r="C159" s="502">
        <v>531101500</v>
      </c>
      <c r="D159" s="93" t="s">
        <v>646</v>
      </c>
      <c r="E159" s="546"/>
      <c r="F159" s="545">
        <f>-SUMIF('MATRIZCTAS(a)'!$E$7:$E$1764,C159,'MATRIZCTAS(a)'!$AH$7:$AH$1764)</f>
        <v>0</v>
      </c>
      <c r="G159" s="546"/>
      <c r="H159" s="117"/>
    </row>
    <row r="160" spans="2:11" s="112" customFormat="1" ht="15" customHeight="1">
      <c r="B160" s="58" t="str">
        <f t="shared" si="2"/>
        <v>5.31.10.16.00</v>
      </c>
      <c r="C160" s="534">
        <v>531101600</v>
      </c>
      <c r="D160" s="118" t="s">
        <v>125</v>
      </c>
      <c r="E160" s="543"/>
      <c r="F160" s="544">
        <f>SUM(E161:E163)</f>
        <v>-124858330</v>
      </c>
      <c r="G160" s="543"/>
      <c r="H160" s="127"/>
      <c r="J160" s="396"/>
    </row>
    <row r="161" spans="2:11" ht="15" customHeight="1">
      <c r="B161" s="58" t="str">
        <f t="shared" si="2"/>
        <v>5.31.10.16.10</v>
      </c>
      <c r="C161" s="502">
        <v>531101610</v>
      </c>
      <c r="D161" s="128" t="s">
        <v>1685</v>
      </c>
      <c r="E161" s="545">
        <f>-SUMIF('MATRIZCTAS(a)'!$E$7:$E$1764,C161,'MATRIZCTAS(a)'!$AH$7:$AH$1764)</f>
        <v>-124858330</v>
      </c>
      <c r="F161" s="546"/>
      <c r="G161" s="546"/>
      <c r="H161" s="117"/>
      <c r="J161" s="130"/>
      <c r="K161" s="130"/>
    </row>
    <row r="162" spans="2:11" ht="15" customHeight="1">
      <c r="B162" s="58" t="str">
        <f t="shared" si="2"/>
        <v>5.31.10.16.20</v>
      </c>
      <c r="C162" s="502">
        <v>531101620</v>
      </c>
      <c r="D162" s="128" t="s">
        <v>1686</v>
      </c>
      <c r="E162" s="545">
        <f>-SUMIF('MATRIZCTAS(a)'!$E$7:$E$1764,C162,'MATRIZCTAS(a)'!$AH$7:$AH$1764)</f>
        <v>0</v>
      </c>
      <c r="F162" s="546"/>
      <c r="G162" s="546"/>
      <c r="H162" s="117"/>
      <c r="J162" s="593"/>
    </row>
    <row r="163" spans="2:11" ht="15" customHeight="1">
      <c r="B163" s="58" t="str">
        <f t="shared" si="2"/>
        <v>5.31.10.16.30</v>
      </c>
      <c r="C163" s="502">
        <v>531101630</v>
      </c>
      <c r="D163" s="128" t="s">
        <v>1687</v>
      </c>
      <c r="E163" s="545">
        <f>-SUMIF('MATRIZCTAS(a)'!$E$7:$E$1764,C163,'MATRIZCTAS(a)'!$AH$7:$AH$1764)</f>
        <v>0</v>
      </c>
      <c r="F163" s="546"/>
      <c r="G163" s="546"/>
      <c r="H163" s="117"/>
    </row>
    <row r="164" spans="2:11" s="112" customFormat="1" ht="15" customHeight="1">
      <c r="B164" s="58" t="str">
        <f t="shared" si="2"/>
        <v>5.31.10.17.00</v>
      </c>
      <c r="C164" s="534">
        <v>531101700</v>
      </c>
      <c r="D164" s="118" t="s">
        <v>126</v>
      </c>
      <c r="E164" s="543"/>
      <c r="F164" s="544">
        <f>SUM(E165:E167)</f>
        <v>-24635131</v>
      </c>
      <c r="G164" s="543"/>
      <c r="H164" s="127"/>
      <c r="K164" s="130"/>
    </row>
    <row r="165" spans="2:11" ht="15" customHeight="1">
      <c r="B165" s="58" t="str">
        <f t="shared" si="2"/>
        <v>5.31.10.17.10</v>
      </c>
      <c r="C165" s="502">
        <v>531101710</v>
      </c>
      <c r="D165" s="128" t="s">
        <v>1688</v>
      </c>
      <c r="E165" s="545">
        <f>-SUMIF('MATRIZCTAS(a)'!$E$7:$E$1764,C165,'MATRIZCTAS(a)'!$AH$7:$AH$1764)</f>
        <v>-26139221</v>
      </c>
      <c r="F165" s="546"/>
      <c r="G165" s="546"/>
      <c r="H165" s="117"/>
      <c r="K165" s="130"/>
    </row>
    <row r="166" spans="2:11" ht="15" customHeight="1">
      <c r="B166" s="58" t="str">
        <f t="shared" si="2"/>
        <v>5.31.10.17.20</v>
      </c>
      <c r="C166" s="502">
        <v>531101720</v>
      </c>
      <c r="D166" s="128" t="s">
        <v>18</v>
      </c>
      <c r="E166" s="545">
        <f>-SUMIF('MATRIZCTAS(a)'!$E$7:$E$1764,C166,'MATRIZCTAS(a)'!$AH$7:$AH$1764)</f>
        <v>0</v>
      </c>
      <c r="F166" s="546"/>
      <c r="G166" s="546"/>
      <c r="H166" s="117"/>
      <c r="J166" s="397"/>
    </row>
    <row r="167" spans="2:11" ht="15" customHeight="1">
      <c r="B167" s="58" t="str">
        <f t="shared" si="2"/>
        <v>5.31.10.17.30</v>
      </c>
      <c r="C167" s="502">
        <v>531101730</v>
      </c>
      <c r="D167" s="128" t="s">
        <v>19</v>
      </c>
      <c r="E167" s="545">
        <f>-SUMIF('MATRIZCTAS(a)'!$E$7:$E$1764,C167,'MATRIZCTAS(a)'!$AH$7:$AH$1764)</f>
        <v>1504090</v>
      </c>
      <c r="F167" s="546"/>
      <c r="G167" s="546"/>
      <c r="H167" s="117"/>
    </row>
    <row r="168" spans="2:11" s="112" customFormat="1" ht="15" customHeight="1">
      <c r="B168" s="58" t="str">
        <f t="shared" si="2"/>
        <v>5.31.10.18.00</v>
      </c>
      <c r="C168" s="534">
        <v>531101800</v>
      </c>
      <c r="D168" s="118" t="s">
        <v>20</v>
      </c>
      <c r="E168" s="543"/>
      <c r="F168" s="544">
        <f>SUM(E169:E172)</f>
        <v>-7557452</v>
      </c>
      <c r="G168" s="543"/>
      <c r="H168" s="127"/>
    </row>
    <row r="169" spans="2:11" ht="15" customHeight="1">
      <c r="B169" s="58" t="str">
        <f t="shared" si="2"/>
        <v>5.31.10.18.10</v>
      </c>
      <c r="C169" s="502">
        <v>531101810</v>
      </c>
      <c r="D169" s="128" t="s">
        <v>21</v>
      </c>
      <c r="E169" s="938">
        <f>-SUMIF('MATRIZCTAS(a)'!$E$7:$E$1764,C169,'MATRIZCTAS(a)'!$AH$7:$AH$1764)</f>
        <v>-2672574</v>
      </c>
      <c r="F169" s="546"/>
      <c r="G169" s="546"/>
      <c r="H169" s="117"/>
    </row>
    <row r="170" spans="2:11" ht="15" customHeight="1">
      <c r="B170" s="58" t="str">
        <f t="shared" si="2"/>
        <v>5.31.10.18.20</v>
      </c>
      <c r="C170" s="502">
        <v>531101820</v>
      </c>
      <c r="D170" s="128" t="s">
        <v>22</v>
      </c>
      <c r="E170" s="938">
        <f>-SUMIF('MATRIZCTAS(a)'!$E$7:$E$1764,C170,'MATRIZCTAS(a)'!$AH$7:$AH$1764)</f>
        <v>-4884878</v>
      </c>
      <c r="F170" s="546"/>
      <c r="G170" s="546"/>
      <c r="H170" s="117"/>
    </row>
    <row r="171" spans="2:11" ht="15" customHeight="1">
      <c r="B171" s="58" t="str">
        <f t="shared" si="2"/>
        <v>5.31.10.18.30</v>
      </c>
      <c r="C171" s="502">
        <v>531101830</v>
      </c>
      <c r="D171" s="128" t="s">
        <v>23</v>
      </c>
      <c r="E171" s="545">
        <f>-SUMIF('MATRIZCTAS(a)'!$E$7:$E$1764,C171,'MATRIZCTAS(a)'!$AH$7:$AH$1764)</f>
        <v>0</v>
      </c>
      <c r="F171" s="546"/>
      <c r="G171" s="546"/>
      <c r="H171" s="117"/>
    </row>
    <row r="172" spans="2:11" ht="15" customHeight="1">
      <c r="B172" s="58" t="str">
        <f t="shared" si="2"/>
        <v>5.31.10.18.40</v>
      </c>
      <c r="C172" s="502">
        <v>531101840</v>
      </c>
      <c r="D172" s="128" t="s">
        <v>24</v>
      </c>
      <c r="E172" s="545">
        <f>-SUMIF('MATRIZCTAS(a)'!$E$7:$E$1764,C172,'MATRIZCTAS(a)'!$AH$7:$AH$1764)</f>
        <v>0</v>
      </c>
      <c r="F172" s="546"/>
      <c r="G172" s="546"/>
      <c r="H172" s="117"/>
    </row>
    <row r="173" spans="2:11" ht="15" customHeight="1">
      <c r="B173" s="58" t="str">
        <f t="shared" si="2"/>
        <v>5.31.10.19.00</v>
      </c>
      <c r="C173" s="502">
        <v>531101900</v>
      </c>
      <c r="D173" s="93" t="s">
        <v>128</v>
      </c>
      <c r="E173" s="546"/>
      <c r="F173" s="545">
        <f>-SUMIF('MATRIZCTAS(a)'!$E$7:$E$1764,C173,'MATRIZCTAS(a)'!$AH$7:$AH$1764)</f>
        <v>-229560</v>
      </c>
      <c r="G173" s="546"/>
      <c r="H173" s="117"/>
    </row>
    <row r="174" spans="2:11" ht="15" customHeight="1">
      <c r="B174" s="58" t="str">
        <f t="shared" si="2"/>
        <v>5.31.10.20.00</v>
      </c>
      <c r="C174" s="502">
        <v>531102000</v>
      </c>
      <c r="D174" s="93" t="s">
        <v>129</v>
      </c>
      <c r="E174" s="546"/>
      <c r="F174" s="545">
        <f>-SUMIF('MATRIZCTAS(a)'!$E$7:$E$1764,C174,'MATRIZCTAS(a)'!$AH$7:$AH$1764)</f>
        <v>-86939</v>
      </c>
      <c r="G174" s="546"/>
      <c r="H174" s="117"/>
    </row>
    <row r="175" spans="2:11" s="112" customFormat="1" ht="15" customHeight="1">
      <c r="B175" s="58" t="str">
        <f t="shared" si="2"/>
        <v>5.31.20.00.00</v>
      </c>
      <c r="C175" s="534">
        <v>531200000</v>
      </c>
      <c r="D175" s="98" t="s">
        <v>95</v>
      </c>
      <c r="E175" s="543"/>
      <c r="F175" s="543"/>
      <c r="G175" s="544">
        <f>SUM(F176:F177)</f>
        <v>-15463818</v>
      </c>
      <c r="H175" s="127"/>
    </row>
    <row r="176" spans="2:11" ht="15" customHeight="1">
      <c r="B176" s="58" t="str">
        <f t="shared" si="2"/>
        <v>5.31.20.11.00</v>
      </c>
      <c r="C176" s="502">
        <v>531201100</v>
      </c>
      <c r="D176" s="93" t="s">
        <v>25</v>
      </c>
      <c r="E176" s="546"/>
      <c r="F176" s="545">
        <f>-SUMIF('MATRIZCTAS(a)'!$E$7:$E$1764,C176,'MATRIZCTAS(a)'!$AH$7:$AH$1764)</f>
        <v>-5957110</v>
      </c>
      <c r="G176" s="546"/>
      <c r="H176" s="117"/>
    </row>
    <row r="177" spans="2:10" ht="15" customHeight="1">
      <c r="B177" s="58" t="str">
        <f t="shared" si="2"/>
        <v>5.31.20.12.00</v>
      </c>
      <c r="C177" s="502">
        <v>531201200</v>
      </c>
      <c r="D177" s="93" t="s">
        <v>998</v>
      </c>
      <c r="E177" s="546"/>
      <c r="F177" s="545">
        <f>-SUMIF('MATRIZCTAS(a)'!$E$7:$E$1764,C177,'MATRIZCTAS(a)'!$AH$7:$AH$1764)</f>
        <v>-9506708</v>
      </c>
      <c r="G177" s="546"/>
      <c r="H177" s="117"/>
    </row>
    <row r="178" spans="2:10" s="112" customFormat="1" ht="15" customHeight="1">
      <c r="B178" s="58" t="str">
        <f t="shared" si="2"/>
        <v>5.32.00.00.00</v>
      </c>
      <c r="C178" s="534">
        <v>532000000</v>
      </c>
      <c r="D178" s="115" t="s">
        <v>96</v>
      </c>
      <c r="E178" s="543"/>
      <c r="F178" s="543"/>
      <c r="G178" s="543"/>
      <c r="H178" s="61">
        <f>SUM(G179,G180,G187,G188,G189)</f>
        <v>69000414</v>
      </c>
      <c r="J178" s="396"/>
    </row>
    <row r="179" spans="2:10" s="112" customFormat="1" ht="15" customHeight="1">
      <c r="B179" s="58" t="str">
        <f t="shared" si="2"/>
        <v>5.32.10.00.00</v>
      </c>
      <c r="C179" s="534">
        <v>532100000</v>
      </c>
      <c r="D179" s="98" t="s">
        <v>1418</v>
      </c>
      <c r="E179" s="543"/>
      <c r="F179" s="543"/>
      <c r="G179" s="544">
        <f>-SUMIF('MATRIZCTAS(a)'!$E$7:$E$1764,C179,'MATRIZCTAS(a)'!$AH$7:$AH$1764)</f>
        <v>44669650</v>
      </c>
      <c r="H179" s="127"/>
    </row>
    <row r="180" spans="2:10" s="112" customFormat="1" ht="15" customHeight="1">
      <c r="B180" s="58" t="str">
        <f t="shared" si="2"/>
        <v>5.32.20.00.00</v>
      </c>
      <c r="C180" s="534">
        <v>532200000</v>
      </c>
      <c r="D180" s="98" t="s">
        <v>1266</v>
      </c>
      <c r="E180" s="543"/>
      <c r="F180" s="543"/>
      <c r="G180" s="544">
        <f>SUM(F181,F185,F186)</f>
        <v>7479031</v>
      </c>
      <c r="H180" s="127"/>
    </row>
    <row r="181" spans="2:10" s="112" customFormat="1" ht="15" customHeight="1">
      <c r="B181" s="58" t="str">
        <f t="shared" si="2"/>
        <v>5.32.20.11.00</v>
      </c>
      <c r="C181" s="534">
        <v>532201100</v>
      </c>
      <c r="D181" s="118" t="s">
        <v>1267</v>
      </c>
      <c r="E181" s="543"/>
      <c r="F181" s="544">
        <f>SUM(E182:E184)</f>
        <v>5262741</v>
      </c>
      <c r="G181" s="543"/>
      <c r="H181" s="127"/>
    </row>
    <row r="182" spans="2:10" ht="15" customHeight="1">
      <c r="B182" s="58" t="str">
        <f t="shared" si="2"/>
        <v>5.32.20.11.10</v>
      </c>
      <c r="C182" s="502">
        <v>532201110</v>
      </c>
      <c r="D182" s="128" t="s">
        <v>1419</v>
      </c>
      <c r="E182" s="545">
        <f>-SUMIF('MATRIZCTAS(a)'!$E$7:$E$1764,C182,'MATRIZCTAS(a)'!$AH$7:$AH$1764)</f>
        <v>1639582</v>
      </c>
      <c r="F182" s="546"/>
      <c r="G182" s="546"/>
      <c r="H182" s="117"/>
    </row>
    <row r="183" spans="2:10" ht="15" customHeight="1">
      <c r="B183" s="58" t="str">
        <f t="shared" si="2"/>
        <v>5.32.20.11.20</v>
      </c>
      <c r="C183" s="502">
        <v>532201120</v>
      </c>
      <c r="D183" s="128" t="s">
        <v>1420</v>
      </c>
      <c r="E183" s="545">
        <f>-SUMIF('MATRIZCTAS(a)'!$E$7:$E$1764,C183,'MATRIZCTAS(a)'!$AH$7:$AH$1764)</f>
        <v>1455231</v>
      </c>
      <c r="F183" s="546"/>
      <c r="G183" s="546"/>
      <c r="H183" s="117"/>
    </row>
    <row r="184" spans="2:10" ht="15" customHeight="1">
      <c r="B184" s="58" t="str">
        <f t="shared" si="2"/>
        <v>5.32.20.11.30</v>
      </c>
      <c r="C184" s="502">
        <v>532201130</v>
      </c>
      <c r="D184" s="128" t="s">
        <v>998</v>
      </c>
      <c r="E184" s="545">
        <f>-SUMIF('MATRIZCTAS(a)'!$E$7:$E$1764,C184,'MATRIZCTAS(a)'!$AH$7:$AH$1764)</f>
        <v>2167928</v>
      </c>
      <c r="F184" s="546"/>
      <c r="G184" s="546"/>
      <c r="H184" s="117"/>
    </row>
    <row r="185" spans="2:10" ht="15" customHeight="1">
      <c r="B185" s="58" t="str">
        <f t="shared" si="2"/>
        <v>5.32.20.12.00</v>
      </c>
      <c r="C185" s="502">
        <v>532201200</v>
      </c>
      <c r="D185" s="93" t="s">
        <v>273</v>
      </c>
      <c r="E185" s="546"/>
      <c r="F185" s="545">
        <f>-SUMIF('MATRIZCTAS(a)'!$E$7:$E$1764,C185,'MATRIZCTAS(a)'!$AH$7:$AH$1764)</f>
        <v>2147515</v>
      </c>
      <c r="G185" s="546"/>
      <c r="H185" s="117"/>
    </row>
    <row r="186" spans="2:10" ht="15" customHeight="1">
      <c r="B186" s="58" t="str">
        <f t="shared" si="2"/>
        <v>5.32.20.13.00</v>
      </c>
      <c r="C186" s="502">
        <v>532201300</v>
      </c>
      <c r="D186" s="93" t="s">
        <v>418</v>
      </c>
      <c r="E186" s="546"/>
      <c r="F186" s="545">
        <f>-SUMIF('MATRIZCTAS(a)'!$E$7:$E$1764,C186,'MATRIZCTAS(a)'!$AH$7:$AH$1764)</f>
        <v>68775</v>
      </c>
      <c r="G186" s="546"/>
      <c r="H186" s="117"/>
    </row>
    <row r="187" spans="2:10" ht="15" customHeight="1">
      <c r="B187" s="58" t="str">
        <f t="shared" si="2"/>
        <v>5.32.30.00.00</v>
      </c>
      <c r="C187" s="502">
        <v>532300000</v>
      </c>
      <c r="D187" s="119" t="s">
        <v>547</v>
      </c>
      <c r="E187" s="546"/>
      <c r="F187" s="546"/>
      <c r="G187" s="545">
        <f>-SUMIF('MATRIZCTAS(a)'!$E$7:$E$1764,C187,'MATRIZCTAS(a)'!$AH$7:$AH$1764)</f>
        <v>10562179</v>
      </c>
      <c r="H187" s="117"/>
    </row>
    <row r="188" spans="2:10" ht="15" customHeight="1">
      <c r="B188" s="58" t="str">
        <f t="shared" si="2"/>
        <v>5.32.40.00.00</v>
      </c>
      <c r="C188" s="502">
        <v>532400000</v>
      </c>
      <c r="D188" s="119" t="s">
        <v>419</v>
      </c>
      <c r="E188" s="546"/>
      <c r="F188" s="546"/>
      <c r="G188" s="545">
        <f>-SUMIF('MATRIZCTAS(a)'!$E$7:$E$1764,C188,'MATRIZCTAS(a)'!$AH$7:$AH$1764)</f>
        <v>6289554</v>
      </c>
      <c r="H188" s="117"/>
    </row>
    <row r="189" spans="2:10" ht="15" customHeight="1">
      <c r="B189" s="58" t="str">
        <f t="shared" si="2"/>
        <v>5.32.50.00.00</v>
      </c>
      <c r="C189" s="502">
        <v>532500000</v>
      </c>
      <c r="D189" s="119" t="s">
        <v>998</v>
      </c>
      <c r="E189" s="546"/>
      <c r="F189" s="546"/>
      <c r="G189" s="545">
        <f>-SUMIF('MATRIZCTAS(a)'!$E$7:$E$1764,C189,'MATRIZCTAS(a)'!$AH$7:$AH$1764)</f>
        <v>0</v>
      </c>
      <c r="H189" s="117"/>
    </row>
    <row r="190" spans="2:10" s="112" customFormat="1" ht="15" customHeight="1">
      <c r="B190" s="58" t="str">
        <f t="shared" si="2"/>
        <v>5.33.00.00.00</v>
      </c>
      <c r="C190" s="534">
        <v>533000000</v>
      </c>
      <c r="D190" s="115" t="s">
        <v>420</v>
      </c>
      <c r="E190" s="543"/>
      <c r="F190" s="543"/>
      <c r="G190" s="543"/>
      <c r="H190" s="61">
        <f>SUM(H150,H178)</f>
        <v>16549433</v>
      </c>
    </row>
    <row r="191" spans="2:10" s="112" customFormat="1" ht="15" customHeight="1">
      <c r="B191" s="58" t="str">
        <f t="shared" si="2"/>
        <v>5.34.00.00.00</v>
      </c>
      <c r="C191" s="534">
        <v>534000000</v>
      </c>
      <c r="D191" s="115" t="s">
        <v>421</v>
      </c>
      <c r="E191" s="543"/>
      <c r="F191" s="543"/>
      <c r="G191" s="543"/>
      <c r="H191" s="61">
        <f>SUM(G192,G195)</f>
        <v>1755424</v>
      </c>
    </row>
    <row r="192" spans="2:10" s="112" customFormat="1" ht="15" customHeight="1">
      <c r="B192" s="58" t="str">
        <f t="shared" si="2"/>
        <v>5.34.10.00.00</v>
      </c>
      <c r="C192" s="534">
        <v>534100000</v>
      </c>
      <c r="D192" s="98" t="s">
        <v>422</v>
      </c>
      <c r="E192" s="543"/>
      <c r="F192" s="543"/>
      <c r="G192" s="544">
        <f>SUM(F193:F194)</f>
        <v>1975475</v>
      </c>
      <c r="H192" s="127"/>
    </row>
    <row r="193" spans="2:8" ht="15" customHeight="1">
      <c r="B193" s="58" t="str">
        <f t="shared" si="2"/>
        <v>5.34.10.11.00</v>
      </c>
      <c r="C193" s="502">
        <v>534101100</v>
      </c>
      <c r="D193" s="93" t="s">
        <v>380</v>
      </c>
      <c r="E193" s="546"/>
      <c r="F193" s="545">
        <f>-SUMIF('MATRIZCTAS(a)'!$E$7:$E$1764,C193,'MATRIZCTAS(a)'!$AH$7:$AH$1764)</f>
        <v>0</v>
      </c>
      <c r="G193" s="546"/>
      <c r="H193" s="117"/>
    </row>
    <row r="194" spans="2:8" ht="15" customHeight="1">
      <c r="B194" s="58" t="str">
        <f t="shared" si="2"/>
        <v>5.34.10.12.00</v>
      </c>
      <c r="C194" s="502">
        <v>534101200</v>
      </c>
      <c r="D194" s="93" t="s">
        <v>1172</v>
      </c>
      <c r="E194" s="546"/>
      <c r="F194" s="545">
        <f>-SUMIF('MATRIZCTAS(a)'!$E$7:$E$1764,C194,'MATRIZCTAS(a)'!$AH$7:$AH$1764)</f>
        <v>1975475</v>
      </c>
      <c r="G194" s="546"/>
      <c r="H194" s="117"/>
    </row>
    <row r="195" spans="2:8" s="112" customFormat="1" ht="15" customHeight="1">
      <c r="B195" s="58" t="str">
        <f t="shared" si="2"/>
        <v>5.34.20.00.00</v>
      </c>
      <c r="C195" s="534">
        <v>534200000</v>
      </c>
      <c r="D195" s="98" t="s">
        <v>381</v>
      </c>
      <c r="E195" s="543"/>
      <c r="F195" s="543"/>
      <c r="G195" s="544">
        <f>SUM(F196:F200)</f>
        <v>-220051</v>
      </c>
      <c r="H195" s="127"/>
    </row>
    <row r="196" spans="2:8" s="112" customFormat="1" ht="15" customHeight="1">
      <c r="B196" s="58" t="str">
        <f t="shared" si="2"/>
        <v>5.34.20.11.00</v>
      </c>
      <c r="C196" s="534">
        <v>534201100</v>
      </c>
      <c r="D196" s="118" t="s">
        <v>1834</v>
      </c>
      <c r="E196" s="543"/>
      <c r="F196" s="544">
        <f>SUM(E197:E198)</f>
        <v>-172238</v>
      </c>
      <c r="G196" s="543"/>
      <c r="H196" s="127"/>
    </row>
    <row r="197" spans="2:8" ht="15" customHeight="1">
      <c r="B197" s="58" t="str">
        <f t="shared" si="2"/>
        <v>5.34.20.11.10</v>
      </c>
      <c r="C197" s="502">
        <v>534201110</v>
      </c>
      <c r="D197" s="128" t="s">
        <v>1835</v>
      </c>
      <c r="E197" s="545">
        <f>-SUMIF('MATRIZCTAS(a)'!$E$7:$E$1764,C197,'MATRIZCTAS(a)'!$AH$7:$AH$1764)</f>
        <v>-147767</v>
      </c>
      <c r="F197" s="546"/>
      <c r="G197" s="546"/>
      <c r="H197" s="117"/>
    </row>
    <row r="198" spans="2:8" ht="15" customHeight="1">
      <c r="B198" s="58" t="str">
        <f t="shared" si="2"/>
        <v>5.34.20.11.20</v>
      </c>
      <c r="C198" s="502">
        <v>534201120</v>
      </c>
      <c r="D198" s="128" t="s">
        <v>998</v>
      </c>
      <c r="E198" s="545">
        <f>-SUMIF('MATRIZCTAS(a)'!$E$7:$E$1764,C198,'MATRIZCTAS(a)'!$AH$7:$AH$1764)</f>
        <v>-24471</v>
      </c>
      <c r="F198" s="546"/>
      <c r="G198" s="546"/>
      <c r="H198" s="117"/>
    </row>
    <row r="199" spans="2:8" ht="15" customHeight="1">
      <c r="B199" s="58" t="str">
        <f t="shared" si="2"/>
        <v>5.34.20.12.00</v>
      </c>
      <c r="C199" s="502">
        <v>534201200</v>
      </c>
      <c r="D199" s="93" t="s">
        <v>1836</v>
      </c>
      <c r="E199" s="546"/>
      <c r="F199" s="545">
        <f>-SUMIF('MATRIZCTAS(a)'!$E$7:$E$1764,C199,'MATRIZCTAS(a)'!$AH$7:$AH$1764)</f>
        <v>0</v>
      </c>
      <c r="G199" s="546"/>
      <c r="H199" s="117"/>
    </row>
    <row r="200" spans="2:8" ht="15" customHeight="1">
      <c r="B200" s="58" t="str">
        <f t="shared" si="2"/>
        <v>5.34.20.13.00</v>
      </c>
      <c r="C200" s="502">
        <v>534201300</v>
      </c>
      <c r="D200" s="93" t="s">
        <v>1173</v>
      </c>
      <c r="E200" s="546"/>
      <c r="F200" s="545">
        <f>-SUMIF('MATRIZCTAS(a)'!$E$7:$E$1764,C200,'MATRIZCTAS(a)'!$AH$7:$AH$1764)</f>
        <v>-47813</v>
      </c>
      <c r="G200" s="546"/>
      <c r="H200" s="117"/>
    </row>
    <row r="201" spans="2:8" s="112" customFormat="1" ht="15" customHeight="1">
      <c r="B201" s="58" t="str">
        <f t="shared" si="2"/>
        <v>5.35.10.00.00</v>
      </c>
      <c r="C201" s="534">
        <v>535100000</v>
      </c>
      <c r="D201" s="115" t="s">
        <v>1785</v>
      </c>
      <c r="E201" s="543"/>
      <c r="F201" s="543"/>
      <c r="G201" s="543"/>
      <c r="H201" s="61">
        <f>-SUMIF('MATRIZCTAS(a)'!$E$7:$E$1764,C201,'MATRIZCTAS(a)'!$AH$7:$AH$1764)</f>
        <v>-4046243</v>
      </c>
    </row>
    <row r="202" spans="2:8" s="112" customFormat="1" ht="15" customHeight="1">
      <c r="B202" s="58" t="str">
        <f t="shared" si="2"/>
        <v>5.35.20.00.00</v>
      </c>
      <c r="C202" s="534">
        <v>535200000</v>
      </c>
      <c r="D202" s="115" t="s">
        <v>1837</v>
      </c>
      <c r="E202" s="543"/>
      <c r="F202" s="543"/>
      <c r="G202" s="543"/>
      <c r="H202" s="61">
        <f>-SUMIF('MATRIZCTAS(a)'!$E$7:$E$1764,C202,'MATRIZCTAS(a)'!$AH$7:$AH$1764)</f>
        <v>1919480</v>
      </c>
    </row>
    <row r="203" spans="2:8" s="112" customFormat="1" ht="15" customHeight="1">
      <c r="B203" s="58" t="str">
        <f t="shared" si="2"/>
        <v>5.36.00.00.00</v>
      </c>
      <c r="C203" s="534">
        <v>536000000</v>
      </c>
      <c r="D203" s="115" t="s">
        <v>61</v>
      </c>
      <c r="E203" s="543"/>
      <c r="F203" s="543"/>
      <c r="G203" s="543"/>
      <c r="H203" s="61">
        <f>SUM(H190:H202)</f>
        <v>16178094</v>
      </c>
    </row>
    <row r="204" spans="2:8" s="112" customFormat="1" ht="15" customHeight="1">
      <c r="B204" s="58" t="str">
        <f t="shared" si="2"/>
        <v>5.37.00.00.00</v>
      </c>
      <c r="C204" s="534">
        <v>537000000</v>
      </c>
      <c r="D204" s="115" t="s">
        <v>62</v>
      </c>
      <c r="E204" s="543"/>
      <c r="F204" s="543"/>
      <c r="G204" s="543"/>
      <c r="H204" s="61">
        <f>-SUMIF('MATRIZCTAS(a)'!$E$7:$E$1764,C204,'MATRIZCTAS(a)'!$AH$7:$AH$1764)</f>
        <v>0</v>
      </c>
    </row>
    <row r="205" spans="2:8" s="112" customFormat="1" ht="15" customHeight="1">
      <c r="B205" s="58" t="str">
        <f t="shared" si="2"/>
        <v>5.38.00.00.00</v>
      </c>
      <c r="C205" s="534">
        <v>538000000</v>
      </c>
      <c r="D205" s="115" t="s">
        <v>63</v>
      </c>
      <c r="E205" s="543"/>
      <c r="F205" s="543"/>
      <c r="G205" s="543"/>
      <c r="H205" s="61">
        <f>SUM(H203,H204)</f>
        <v>16178094</v>
      </c>
    </row>
    <row r="206" spans="2:8" s="112" customFormat="1" ht="15" customHeight="1">
      <c r="B206" s="58" t="str">
        <f t="shared" si="2"/>
        <v>5.39.00.00.00</v>
      </c>
      <c r="C206" s="534">
        <v>539000000</v>
      </c>
      <c r="D206" s="115" t="s">
        <v>102</v>
      </c>
      <c r="E206" s="543"/>
      <c r="F206" s="543"/>
      <c r="G206" s="543"/>
      <c r="H206" s="61">
        <f>-SUMIF('MATRIZCTAS(a)'!$E$7:$E$1764,C206,'MATRIZCTAS(a)'!$AH$7:$AH$1764)</f>
        <v>-1286852</v>
      </c>
    </row>
    <row r="207" spans="2:8" ht="15" customHeight="1" thickBot="1">
      <c r="B207" s="101" t="str">
        <f t="shared" si="2"/>
        <v>5.30.00.00.00</v>
      </c>
      <c r="C207" s="536">
        <v>530000000</v>
      </c>
      <c r="D207" s="103" t="s">
        <v>103</v>
      </c>
      <c r="E207" s="554"/>
      <c r="F207" s="554"/>
      <c r="G207" s="554"/>
      <c r="H207" s="129">
        <f>SUM(H205,H206)</f>
        <v>14891242</v>
      </c>
    </row>
    <row r="209" spans="8:8">
      <c r="H209" s="932">
        <v>14891242</v>
      </c>
    </row>
    <row r="210" spans="8:8">
      <c r="H210" s="130">
        <f>+H209-H207</f>
        <v>0</v>
      </c>
    </row>
    <row r="212" spans="8:8">
      <c r="H212" s="130"/>
    </row>
  </sheetData>
  <phoneticPr fontId="10" type="noConversion"/>
  <printOptions horizontalCentered="1"/>
  <pageMargins left="0" right="0" top="0" bottom="0" header="0" footer="0"/>
  <pageSetup paperSize="256" scale="77" orientation="portrait" r:id="rId1"/>
  <headerFooter alignWithMargins="0">
    <oddHeader xml:space="preserve">&amp;L&amp;"Times New Roman,Negrita Cursiva"Subgerencia de Contabilidad.
Depto.Contabilidad.
</oddHeader>
    <oddFooter>&amp;L&amp;"Times New Roman,Negrita Cursiva"&amp;8&amp;F
&amp;A&amp;R&amp;"Times New Roman,Negrita Cursiva"&amp;8&amp;D
&amp;T</oddFooter>
  </headerFooter>
  <rowBreaks count="1" manualBreakCount="1">
    <brk id="144" min="1" max="7" man="1"/>
  </rowBreaks>
  <ignoredErrors>
    <ignoredError sqref="E20 E87 E91" formula="1"/>
  </ignoredErrors>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pageSetUpPr fitToPage="1"/>
  </sheetPr>
  <dimension ref="A1:P152"/>
  <sheetViews>
    <sheetView showGridLines="0" topLeftCell="A10" zoomScale="80" zoomScaleNormal="80" workbookViewId="0">
      <selection activeCell="E11" sqref="E11"/>
    </sheetView>
  </sheetViews>
  <sheetFormatPr baseColWidth="10" defaultRowHeight="11.25"/>
  <cols>
    <col min="1" max="1" width="2.83203125" style="36" customWidth="1"/>
    <col min="2" max="2" width="16.83203125" style="36" customWidth="1"/>
    <col min="3" max="3" width="12.83203125" style="36" customWidth="1"/>
    <col min="4" max="4" width="35.83203125" style="36" customWidth="1"/>
    <col min="5" max="6" width="16.33203125" style="36" bestFit="1" customWidth="1"/>
    <col min="7" max="7" width="16.83203125" style="36" customWidth="1"/>
    <col min="8" max="8" width="12.83203125" style="36" customWidth="1"/>
    <col min="9" max="9" width="35.83203125" style="36" customWidth="1"/>
    <col min="10" max="11" width="16.33203125" style="36" bestFit="1" customWidth="1"/>
    <col min="12" max="12" width="2.83203125" style="36" customWidth="1"/>
    <col min="13" max="13" width="12" style="36"/>
    <col min="14" max="14" width="14" style="36" bestFit="1" customWidth="1"/>
    <col min="15" max="16" width="12.83203125" style="36" bestFit="1" customWidth="1"/>
    <col min="17" max="16384" width="12" style="36"/>
  </cols>
  <sheetData>
    <row r="1" spans="1:12" ht="29.25">
      <c r="A1" s="35" t="s">
        <v>1739</v>
      </c>
    </row>
    <row r="2" spans="1:12" ht="18.75" thickBot="1">
      <c r="A2" s="37" t="s">
        <v>1814</v>
      </c>
      <c r="B2" s="38"/>
      <c r="C2" s="38"/>
      <c r="D2" s="38"/>
      <c r="E2" s="38"/>
      <c r="F2" s="38"/>
      <c r="G2" s="38"/>
      <c r="H2" s="38"/>
      <c r="I2" s="38"/>
      <c r="J2" s="38"/>
      <c r="K2" s="38"/>
      <c r="L2" s="38"/>
    </row>
    <row r="5" spans="1:12">
      <c r="B5" s="39" t="s">
        <v>1815</v>
      </c>
      <c r="D5" s="40" t="s">
        <v>1816</v>
      </c>
      <c r="E5" s="39" t="s">
        <v>189</v>
      </c>
    </row>
    <row r="6" spans="1:12" ht="12" thickBot="1">
      <c r="B6" s="39"/>
      <c r="D6" s="40"/>
      <c r="E6" s="39"/>
    </row>
    <row r="7" spans="1:12" ht="12" thickBot="1">
      <c r="B7" s="39"/>
      <c r="D7" s="40"/>
      <c r="E7" s="41" t="s">
        <v>1817</v>
      </c>
      <c r="G7" s="42">
        <f>FechaInforme</f>
        <v>41121</v>
      </c>
    </row>
    <row r="8" spans="1:12" ht="12" thickBot="1">
      <c r="E8" s="43" t="s">
        <v>1818</v>
      </c>
    </row>
    <row r="9" spans="1:12" ht="20.100000000000001" customHeight="1" thickBot="1">
      <c r="B9" s="1556" t="s">
        <v>1819</v>
      </c>
      <c r="C9" s="1557"/>
      <c r="D9" s="1557"/>
      <c r="E9" s="44" t="s">
        <v>1820</v>
      </c>
      <c r="F9" s="45" t="s">
        <v>1821</v>
      </c>
      <c r="G9" s="1558" t="s">
        <v>1822</v>
      </c>
      <c r="H9" s="1557"/>
      <c r="I9" s="1557"/>
      <c r="J9" s="44" t="s">
        <v>1820</v>
      </c>
      <c r="K9" s="46" t="s">
        <v>1821</v>
      </c>
    </row>
    <row r="10" spans="1:12" s="47" customFormat="1" ht="15" customHeight="1">
      <c r="B10" s="48" t="str">
        <f t="shared" ref="B10:B15" si="0">MID(C10,1,1)&amp;"."&amp;MID(C10,2,2)&amp;"."&amp;MID(C10,4,2)&amp;"."&amp;MID(C10,6,2)&amp;"."&amp;MID(C10,8,2)</f>
        <v>5.11.00.00.00</v>
      </c>
      <c r="C10" s="49">
        <v>511000000</v>
      </c>
      <c r="D10" s="50" t="s">
        <v>1823</v>
      </c>
      <c r="E10" s="51"/>
      <c r="F10" s="52">
        <f>SUM(E11:E12)</f>
        <v>1944943784</v>
      </c>
      <c r="G10" s="48" t="str">
        <f t="shared" ref="G10:G18" si="1">MID(H10,1,1)&amp;"."&amp;MID(H10,2,2)&amp;"."&amp;MID(H10,4,2)&amp;"."&amp;MID(H10,6,2)&amp;"."&amp;MID(H10,8,2)</f>
        <v>5.21.00.00.00</v>
      </c>
      <c r="H10" s="49">
        <v>521000000</v>
      </c>
      <c r="I10" s="50" t="s">
        <v>1824</v>
      </c>
      <c r="J10" s="51"/>
      <c r="K10" s="52">
        <f>SUM(J11:J13)</f>
        <v>1710037104</v>
      </c>
    </row>
    <row r="11" spans="1:12" ht="15" customHeight="1">
      <c r="B11" s="53" t="str">
        <f t="shared" si="0"/>
        <v>5.11.10.00.00</v>
      </c>
      <c r="C11" s="54">
        <v>511100000</v>
      </c>
      <c r="D11" s="55" t="s">
        <v>1825</v>
      </c>
      <c r="E11" s="56">
        <f>SUMIF('FECU(a)'!$C$8:$C$73,C11,'FECU(a)'!$F$8:$CV$73)</f>
        <v>1682526905</v>
      </c>
      <c r="F11" s="57"/>
      <c r="G11" s="53" t="str">
        <f t="shared" si="1"/>
        <v>5.21.10.00.00</v>
      </c>
      <c r="H11" s="54">
        <v>521100000</v>
      </c>
      <c r="I11" s="55" t="s">
        <v>1826</v>
      </c>
      <c r="J11" s="56">
        <f>SUMIF('FECU(a)'!$C$79:$C$144,H11,'FECU(a)'!$F$79:$F$144)</f>
        <v>1618441482</v>
      </c>
      <c r="K11" s="57"/>
    </row>
    <row r="12" spans="1:12" ht="15" customHeight="1">
      <c r="B12" s="53" t="str">
        <f t="shared" si="0"/>
        <v>5.11.20.00.00</v>
      </c>
      <c r="C12" s="54">
        <v>511200000</v>
      </c>
      <c r="D12" s="55" t="s">
        <v>1827</v>
      </c>
      <c r="E12" s="56">
        <f>SUMIF('FECU(a)'!$C$8:$C$73,C12,'FECU(a)'!$F$8:$CV$73)</f>
        <v>262416879</v>
      </c>
      <c r="F12" s="57"/>
      <c r="G12" s="53" t="str">
        <f t="shared" si="1"/>
        <v>5.21.20.00.00</v>
      </c>
      <c r="H12" s="54">
        <v>521200000</v>
      </c>
      <c r="I12" s="55" t="s">
        <v>437</v>
      </c>
      <c r="J12" s="56">
        <f>SUMIF('FECU(a)'!$C$79:$C$144,H12,'FECU(a)'!$F$79:$F$144)</f>
        <v>91595622</v>
      </c>
      <c r="K12" s="57"/>
    </row>
    <row r="13" spans="1:12" ht="15" customHeight="1">
      <c r="B13" s="58" t="str">
        <f t="shared" si="0"/>
        <v>5.12.00.00.00</v>
      </c>
      <c r="C13" s="59">
        <v>512000000</v>
      </c>
      <c r="D13" s="60" t="s">
        <v>1828</v>
      </c>
      <c r="E13" s="56"/>
      <c r="F13" s="61">
        <f>SUMIF('FECU(a)'!$C$8:$C$73,C13,'FECU(a)'!$G$8:$DV$73)</f>
        <v>10489198</v>
      </c>
      <c r="G13" s="53" t="str">
        <f t="shared" si="1"/>
        <v>5.21.30.00.00</v>
      </c>
      <c r="H13" s="54">
        <v>521300000</v>
      </c>
      <c r="I13" s="62" t="s">
        <v>1196</v>
      </c>
      <c r="J13" s="56">
        <f>SUMIF('FECU(a)'!$C$79:$C$144,H13,'FECU(a)'!$F$79:$F$144)</f>
        <v>0</v>
      </c>
      <c r="K13" s="61"/>
    </row>
    <row r="14" spans="1:12" ht="15" customHeight="1">
      <c r="B14" s="58" t="str">
        <f t="shared" si="0"/>
        <v>5.13.00.00.00</v>
      </c>
      <c r="C14" s="59">
        <v>513000000</v>
      </c>
      <c r="D14" s="60" t="s">
        <v>1197</v>
      </c>
      <c r="E14" s="56"/>
      <c r="F14" s="61">
        <f>SUMIF('FECU(a)'!$C$8:$C$73,C14,'FECU(a)'!$G$8:$DV$73)</f>
        <v>2819845</v>
      </c>
      <c r="G14" s="58" t="str">
        <f t="shared" si="1"/>
        <v>5.22.00.00.00</v>
      </c>
      <c r="H14" s="59">
        <v>522000000</v>
      </c>
      <c r="I14" s="60" t="s">
        <v>1587</v>
      </c>
      <c r="J14" s="56"/>
      <c r="K14" s="61">
        <f>SUMIF('FECU(a)'!$C$79:$C$144,H14,'FECU(a)'!$G$79:$G$144)</f>
        <v>4899792</v>
      </c>
      <c r="L14" s="63"/>
    </row>
    <row r="15" spans="1:12" ht="15" customHeight="1">
      <c r="B15" s="58" t="str">
        <f t="shared" si="0"/>
        <v>5.14.00.00.00</v>
      </c>
      <c r="C15" s="59">
        <v>514000000</v>
      </c>
      <c r="D15" s="64" t="s">
        <v>85</v>
      </c>
      <c r="E15" s="56"/>
      <c r="F15" s="61">
        <f>SUMIF('FECU(a)'!$C$8:$C$73,C15,'FECU(a)'!$G$8:$DV$73)</f>
        <v>46932952</v>
      </c>
      <c r="G15" s="58" t="str">
        <f t="shared" si="1"/>
        <v>5.23.00.00.00</v>
      </c>
      <c r="H15" s="59">
        <v>523000000</v>
      </c>
      <c r="I15" s="64" t="s">
        <v>648</v>
      </c>
      <c r="J15" s="56"/>
      <c r="K15" s="61">
        <f>SUMIF('FECU(a)'!$C$79:$C$144,H15,'FECU(a)'!$G$79:$G$144)</f>
        <v>133375</v>
      </c>
    </row>
    <row r="16" spans="1:12" ht="15" customHeight="1">
      <c r="B16" s="65"/>
      <c r="C16" s="66"/>
      <c r="D16" s="67"/>
      <c r="E16" s="56"/>
      <c r="F16" s="57"/>
      <c r="G16" s="58" t="str">
        <f t="shared" si="1"/>
        <v>5.24.00.00.00</v>
      </c>
      <c r="H16" s="59">
        <v>524000000</v>
      </c>
      <c r="I16" s="64" t="s">
        <v>649</v>
      </c>
      <c r="J16" s="56"/>
      <c r="K16" s="61">
        <f>SUMIF('FECU(a)'!$C$79:$C$144,H16,'FECU(a)'!$G$79:$G$144)</f>
        <v>72059316</v>
      </c>
    </row>
    <row r="17" spans="2:16" ht="15" customHeight="1">
      <c r="B17" s="65"/>
      <c r="C17" s="66"/>
      <c r="D17" s="67"/>
      <c r="E17" s="56"/>
      <c r="F17" s="57"/>
      <c r="G17" s="58" t="str">
        <f t="shared" si="1"/>
        <v>5.25.00.00.00</v>
      </c>
      <c r="H17" s="59">
        <v>525000000</v>
      </c>
      <c r="I17" s="64" t="s">
        <v>1062</v>
      </c>
      <c r="J17" s="56"/>
      <c r="K17" s="935">
        <f>SUMIF('FECU(a)'!$C$79:$C$144,H17,'FECU(a)'!$G$79:$G$144)</f>
        <v>1787129587</v>
      </c>
    </row>
    <row r="18" spans="2:16" ht="15" customHeight="1" thickBot="1">
      <c r="B18" s="68"/>
      <c r="C18" s="69"/>
      <c r="D18" s="70"/>
      <c r="E18" s="71"/>
      <c r="F18" s="72"/>
      <c r="G18" s="58" t="str">
        <f t="shared" si="1"/>
        <v>5.26.00.00.00</v>
      </c>
      <c r="H18" s="59">
        <v>526000000</v>
      </c>
      <c r="I18" s="64" t="s">
        <v>1063</v>
      </c>
      <c r="J18" s="56"/>
      <c r="K18" s="61">
        <f>SUMIF('FECU(a)'!$C$79:$C$144,H18,'FECU(a)'!$G$79:$G$144)</f>
        <v>218056192</v>
      </c>
    </row>
    <row r="19" spans="2:16" s="47" customFormat="1" ht="24.95" customHeight="1" thickBot="1">
      <c r="B19" s="73" t="str">
        <f t="shared" ref="B19:B49" si="2">MID(C19,1,1)&amp;"."&amp;MID(C19,2,2)&amp;"."&amp;MID(C19,4,2)&amp;"."&amp;MID(C19,6,2)&amp;"."&amp;MID(C19,8,2)</f>
        <v>5.10.00.00.00</v>
      </c>
      <c r="C19" s="74">
        <v>510000000</v>
      </c>
      <c r="D19" s="75" t="s">
        <v>1458</v>
      </c>
      <c r="E19" s="76"/>
      <c r="F19" s="77">
        <f>SUM(F10:F18)</f>
        <v>2005185779</v>
      </c>
      <c r="G19" s="73" t="str">
        <f>MID(H19,1,1)&amp;"."&amp;MID(H19,2,2)&amp;"."&amp;MID(H19,4,2)&amp;"."&amp;MID(H19,6,2)&amp;"."&amp;MID(H19,8,2)</f>
        <v>5.20.00.00.00</v>
      </c>
      <c r="H19" s="74">
        <v>520000000</v>
      </c>
      <c r="I19" s="75" t="s">
        <v>1559</v>
      </c>
      <c r="J19" s="76"/>
      <c r="K19" s="77">
        <f>SUM(K17:K18)</f>
        <v>2005185779</v>
      </c>
      <c r="L19" s="36"/>
    </row>
    <row r="21" spans="2:16" ht="12" thickBot="1">
      <c r="F21" s="63"/>
      <c r="I21" s="78" t="s">
        <v>1064</v>
      </c>
      <c r="J21" s="78"/>
      <c r="K21" s="79">
        <f>+F19-K19</f>
        <v>0</v>
      </c>
      <c r="N21" s="80"/>
      <c r="O21" s="81"/>
      <c r="P21" s="82"/>
    </row>
    <row r="22" spans="2:16" ht="12" thickBot="1">
      <c r="B22" s="41" t="s">
        <v>1597</v>
      </c>
      <c r="E22" s="42">
        <f>DATE(YEAR(FechaInforme),1,1)</f>
        <v>40909</v>
      </c>
      <c r="G22" s="42">
        <f>+G7</f>
        <v>41121</v>
      </c>
      <c r="I22" s="83"/>
      <c r="N22" s="84"/>
      <c r="O22" s="82"/>
      <c r="P22" s="84"/>
    </row>
    <row r="23" spans="2:16" ht="12" thickBot="1">
      <c r="I23" s="83"/>
      <c r="N23" s="83"/>
      <c r="O23" s="85"/>
      <c r="P23" s="82"/>
    </row>
    <row r="24" spans="2:16" s="47" customFormat="1" ht="15" customHeight="1">
      <c r="B24" s="48" t="str">
        <f t="shared" si="2"/>
        <v>5.31.00.00.00</v>
      </c>
      <c r="C24" s="49">
        <v>531000000</v>
      </c>
      <c r="D24" s="86" t="s">
        <v>1598</v>
      </c>
      <c r="E24" s="87"/>
      <c r="F24" s="88">
        <f>SUM(F25,F39)</f>
        <v>-52450981</v>
      </c>
      <c r="G24" s="85"/>
      <c r="J24" s="36"/>
      <c r="K24" s="36"/>
      <c r="L24" s="36"/>
      <c r="N24" s="83"/>
      <c r="O24" s="85"/>
      <c r="P24" s="83"/>
    </row>
    <row r="25" spans="2:16" s="47" customFormat="1" ht="15" customHeight="1">
      <c r="B25" s="58" t="str">
        <f t="shared" si="2"/>
        <v>5.31.10.00.00</v>
      </c>
      <c r="C25" s="59">
        <v>531100000</v>
      </c>
      <c r="D25" s="89" t="s">
        <v>1599</v>
      </c>
      <c r="E25" s="90"/>
      <c r="F25" s="91">
        <f>SUM(E27:E38)</f>
        <v>-36987163</v>
      </c>
      <c r="G25" s="85"/>
      <c r="J25" s="36"/>
      <c r="K25" s="36"/>
      <c r="L25" s="36"/>
      <c r="N25" s="83"/>
      <c r="O25" s="85"/>
      <c r="P25" s="83"/>
    </row>
    <row r="26" spans="2:16" s="47" customFormat="1" ht="15" customHeight="1">
      <c r="B26" s="58" t="str">
        <f t="shared" si="2"/>
        <v>5.31.10.11.00</v>
      </c>
      <c r="C26" s="59">
        <v>531101100</v>
      </c>
      <c r="D26" s="92" t="s">
        <v>1600</v>
      </c>
      <c r="E26" s="90">
        <f>SUM(E27:E29)</f>
        <v>122904126</v>
      </c>
      <c r="F26" s="91"/>
      <c r="G26" s="83"/>
      <c r="J26" s="36"/>
      <c r="K26" s="36"/>
      <c r="L26" s="36"/>
      <c r="N26" s="85"/>
      <c r="O26" s="83"/>
      <c r="P26" s="83"/>
    </row>
    <row r="27" spans="2:16" ht="15" customHeight="1">
      <c r="B27" s="58" t="str">
        <f t="shared" si="2"/>
        <v>5.31.10.11.10</v>
      </c>
      <c r="C27" s="54">
        <v>531101110</v>
      </c>
      <c r="D27" s="93" t="s">
        <v>999</v>
      </c>
      <c r="E27" s="94">
        <f>SUMIF('FECU(a)'!$C$150:$C$207,C27,'FECU(a)'!$E$150:$E$207)</f>
        <v>124711650</v>
      </c>
      <c r="F27" s="95"/>
      <c r="G27" s="82"/>
      <c r="N27" s="96"/>
      <c r="O27" s="82"/>
      <c r="P27" s="82"/>
    </row>
    <row r="28" spans="2:16" ht="15" customHeight="1">
      <c r="B28" s="58" t="str">
        <f t="shared" si="2"/>
        <v>5.31.10.11.20</v>
      </c>
      <c r="C28" s="54">
        <v>531101120</v>
      </c>
      <c r="D28" s="93" t="s">
        <v>1000</v>
      </c>
      <c r="E28" s="94">
        <f>SUMIF('FECU(a)'!$C$150:$C$207,C28,'FECU(a)'!$E$150:$E$207)</f>
        <v>0</v>
      </c>
      <c r="F28" s="95"/>
      <c r="G28" s="82"/>
      <c r="N28" s="96"/>
      <c r="O28" s="82"/>
      <c r="P28" s="82"/>
    </row>
    <row r="29" spans="2:16" ht="15" customHeight="1">
      <c r="B29" s="58" t="str">
        <f t="shared" si="2"/>
        <v>5.31.10.11.30</v>
      </c>
      <c r="C29" s="54">
        <v>531101130</v>
      </c>
      <c r="D29" s="93" t="s">
        <v>1601</v>
      </c>
      <c r="E29" s="94">
        <f>SUMIF('FECU(a)'!$C$150:$C$207,C29,'FECU(a)'!$E$150:$E$207)</f>
        <v>-1807524</v>
      </c>
      <c r="F29" s="95"/>
      <c r="G29" s="82"/>
      <c r="N29" s="96"/>
      <c r="O29" s="82"/>
      <c r="P29" s="82"/>
    </row>
    <row r="30" spans="2:16" ht="15" customHeight="1">
      <c r="B30" s="58" t="str">
        <f t="shared" si="2"/>
        <v>5.31.10.12.00</v>
      </c>
      <c r="C30" s="54">
        <v>531101200</v>
      </c>
      <c r="D30" s="93" t="s">
        <v>74</v>
      </c>
      <c r="E30" s="94">
        <f>SUMIF('FECU(a)'!$C$150:$C$207,C30,'FECU(a)'!$F$150:$F$207)</f>
        <v>287734</v>
      </c>
      <c r="F30" s="95"/>
      <c r="G30" s="82"/>
      <c r="N30" s="96"/>
      <c r="O30" s="82"/>
      <c r="P30" s="82"/>
    </row>
    <row r="31" spans="2:16" ht="15" customHeight="1">
      <c r="B31" s="58" t="str">
        <f t="shared" si="2"/>
        <v>5.31.10.13.00</v>
      </c>
      <c r="C31" s="54">
        <v>531101300</v>
      </c>
      <c r="D31" s="97" t="s">
        <v>644</v>
      </c>
      <c r="E31" s="94">
        <f>SUMIF('FECU(a)'!$C$150:$C$207,C31,'FECU(a)'!$F$150:$F$207)</f>
        <v>-282809</v>
      </c>
      <c r="F31" s="95"/>
      <c r="G31" s="82"/>
      <c r="N31" s="96"/>
      <c r="O31" s="82"/>
      <c r="P31" s="82"/>
    </row>
    <row r="32" spans="2:16" ht="15" customHeight="1">
      <c r="B32" s="58" t="str">
        <f t="shared" si="2"/>
        <v>5.31.10.14.00</v>
      </c>
      <c r="C32" s="54">
        <v>531101400</v>
      </c>
      <c r="D32" s="97" t="s">
        <v>645</v>
      </c>
      <c r="E32" s="94">
        <f>SUMIF('FECU(a)'!$C$150:$C$207,C32,'FECU(a)'!$F$150:$F$207)</f>
        <v>-2528802</v>
      </c>
      <c r="F32" s="95"/>
      <c r="G32" s="82"/>
      <c r="N32" s="96"/>
      <c r="O32" s="82"/>
      <c r="P32" s="82"/>
    </row>
    <row r="33" spans="2:16" ht="15" customHeight="1">
      <c r="B33" s="58" t="str">
        <f t="shared" si="2"/>
        <v>5.31.10.15.00</v>
      </c>
      <c r="C33" s="54">
        <v>531101500</v>
      </c>
      <c r="D33" s="93" t="s">
        <v>646</v>
      </c>
      <c r="E33" s="94">
        <f>SUMIF('FECU(a)'!$C$150:$C$207,C33,'FECU(a)'!$F$150:$F$207)</f>
        <v>0</v>
      </c>
      <c r="F33" s="95"/>
      <c r="G33" s="82"/>
      <c r="N33" s="96"/>
      <c r="O33" s="82"/>
      <c r="P33" s="82"/>
    </row>
    <row r="34" spans="2:16" ht="15" customHeight="1">
      <c r="B34" s="58" t="str">
        <f t="shared" si="2"/>
        <v>5.31.10.16.00</v>
      </c>
      <c r="C34" s="54">
        <v>531101600</v>
      </c>
      <c r="D34" s="98" t="s">
        <v>125</v>
      </c>
      <c r="E34" s="90">
        <f>SUMIF('FECU(a)'!$C$150:$C$207,C34,'FECU(a)'!$F$150:$F$207)</f>
        <v>-124858330</v>
      </c>
      <c r="F34" s="95"/>
      <c r="G34" s="82"/>
      <c r="N34" s="85"/>
      <c r="O34" s="82"/>
      <c r="P34" s="82"/>
    </row>
    <row r="35" spans="2:16" ht="15" customHeight="1">
      <c r="B35" s="58" t="str">
        <f t="shared" si="2"/>
        <v>5.31.10.17.00</v>
      </c>
      <c r="C35" s="54">
        <v>531101700</v>
      </c>
      <c r="D35" s="97" t="s">
        <v>126</v>
      </c>
      <c r="E35" s="94">
        <f>SUMIF('FECU(a)'!$C$150:$C$207,C35,'FECU(a)'!$F$150:$F$207)</f>
        <v>-24635131</v>
      </c>
      <c r="F35" s="95"/>
      <c r="G35" s="82"/>
      <c r="N35" s="96"/>
      <c r="O35" s="82"/>
      <c r="P35" s="82"/>
    </row>
    <row r="36" spans="2:16" ht="15" customHeight="1">
      <c r="B36" s="58" t="str">
        <f t="shared" si="2"/>
        <v>5.31.10.18.00</v>
      </c>
      <c r="C36" s="54">
        <v>531101800</v>
      </c>
      <c r="D36" s="97" t="s">
        <v>127</v>
      </c>
      <c r="E36" s="94">
        <f>SUMIF('FECU(a)'!$C$150:$C$207,C36,'FECU(a)'!$F$150:$F$207)</f>
        <v>-7557452</v>
      </c>
      <c r="F36" s="95"/>
      <c r="G36" s="82"/>
      <c r="N36" s="96"/>
      <c r="O36" s="82"/>
      <c r="P36" s="82"/>
    </row>
    <row r="37" spans="2:16" ht="15" customHeight="1">
      <c r="B37" s="58" t="str">
        <f t="shared" si="2"/>
        <v>5.31.10.19.00</v>
      </c>
      <c r="C37" s="54">
        <v>531101900</v>
      </c>
      <c r="D37" s="97" t="s">
        <v>128</v>
      </c>
      <c r="E37" s="94">
        <f>SUMIF('FECU(a)'!$C$150:$C$207,C37,'FECU(a)'!$F$150:$F$207)</f>
        <v>-229560</v>
      </c>
      <c r="F37" s="95"/>
      <c r="G37" s="82"/>
      <c r="N37" s="96"/>
      <c r="O37" s="82"/>
      <c r="P37" s="82"/>
    </row>
    <row r="38" spans="2:16" ht="15" customHeight="1">
      <c r="B38" s="58" t="str">
        <f t="shared" si="2"/>
        <v>5.31.10.20.00</v>
      </c>
      <c r="C38" s="54">
        <v>531102000</v>
      </c>
      <c r="D38" s="97" t="s">
        <v>129</v>
      </c>
      <c r="E38" s="94">
        <f>SUMIF('FECU(a)'!$C$150:$C$207,C38,'FECU(a)'!$F$150:$F$207)</f>
        <v>-86939</v>
      </c>
      <c r="F38" s="95"/>
      <c r="G38" s="82"/>
      <c r="N38" s="96"/>
      <c r="O38" s="82"/>
      <c r="P38" s="82"/>
    </row>
    <row r="39" spans="2:16" ht="15" customHeight="1">
      <c r="B39" s="58" t="str">
        <f t="shared" si="2"/>
        <v>5.31.20.00.00</v>
      </c>
      <c r="C39" s="54">
        <v>531200000</v>
      </c>
      <c r="D39" s="99" t="s">
        <v>95</v>
      </c>
      <c r="E39" s="94"/>
      <c r="F39" s="95">
        <f>SUMIF('FECU(a)'!$C$150:$C$207,C39,'FECU(a)'!$G$150:$G$207)</f>
        <v>-15463818</v>
      </c>
      <c r="G39" s="96"/>
      <c r="N39" s="82"/>
      <c r="O39" s="96"/>
      <c r="P39" s="82"/>
    </row>
    <row r="40" spans="2:16" ht="15" customHeight="1">
      <c r="B40" s="58" t="str">
        <f t="shared" si="2"/>
        <v>5.32.00.00.00</v>
      </c>
      <c r="C40" s="54">
        <v>532000000</v>
      </c>
      <c r="D40" s="99" t="s">
        <v>96</v>
      </c>
      <c r="E40" s="94"/>
      <c r="F40" s="95">
        <f>SUMIF('FECU(a)'!$C$150:$C$207,C40,'FECU(a)'!$H$150:$H$207)</f>
        <v>69000414</v>
      </c>
      <c r="G40" s="96"/>
      <c r="N40" s="82"/>
      <c r="O40" s="96"/>
      <c r="P40" s="82"/>
    </row>
    <row r="41" spans="2:16" s="47" customFormat="1" ht="15" customHeight="1">
      <c r="B41" s="58" t="str">
        <f t="shared" si="2"/>
        <v>5.33.00.00.00</v>
      </c>
      <c r="C41" s="59">
        <v>533000000</v>
      </c>
      <c r="D41" s="89" t="s">
        <v>97</v>
      </c>
      <c r="E41" s="90"/>
      <c r="F41" s="91">
        <f>SUM(F25:F40)</f>
        <v>16549433</v>
      </c>
      <c r="G41" s="85"/>
      <c r="J41" s="36"/>
      <c r="K41" s="36"/>
      <c r="L41" s="36"/>
      <c r="N41" s="83"/>
      <c r="O41" s="85"/>
      <c r="P41" s="83"/>
    </row>
    <row r="42" spans="2:16" ht="15" customHeight="1">
      <c r="B42" s="58" t="str">
        <f t="shared" si="2"/>
        <v>5.34.00.00.00</v>
      </c>
      <c r="C42" s="54">
        <v>534000000</v>
      </c>
      <c r="D42" s="93" t="s">
        <v>98</v>
      </c>
      <c r="E42" s="94"/>
      <c r="F42" s="95">
        <f>SUMIF('FECU(a)'!$C$150:$C$207,C42,'FECU(a)'!$H$150:$H$207)</f>
        <v>1755424</v>
      </c>
      <c r="G42" s="96"/>
      <c r="H42" s="371"/>
      <c r="N42" s="82"/>
      <c r="O42" s="96"/>
      <c r="P42" s="82"/>
    </row>
    <row r="43" spans="2:16" ht="15" customHeight="1">
      <c r="B43" s="58" t="str">
        <f t="shared" si="2"/>
        <v>5.35.10.00.00</v>
      </c>
      <c r="C43" s="54">
        <v>535100000</v>
      </c>
      <c r="D43" s="93" t="s">
        <v>378</v>
      </c>
      <c r="E43" s="94"/>
      <c r="F43" s="95">
        <f>SUMIF('FECU(a)'!$C$150:$C$207,C43,'FECU(a)'!$H$150:$H$207)</f>
        <v>-4046243</v>
      </c>
      <c r="G43" s="96"/>
      <c r="N43" s="82"/>
      <c r="O43" s="96"/>
      <c r="P43" s="82"/>
    </row>
    <row r="44" spans="2:16" ht="15" customHeight="1">
      <c r="B44" s="58" t="str">
        <f t="shared" si="2"/>
        <v>5.35.20.00.00</v>
      </c>
      <c r="C44" s="54">
        <v>535200000</v>
      </c>
      <c r="D44" s="93" t="s">
        <v>1001</v>
      </c>
      <c r="E44" s="94"/>
      <c r="F44" s="95">
        <f>SUMIF('FECU(a)'!$C$150:$C$207,C44,'FECU(a)'!$H$150:$H$207)</f>
        <v>1919480</v>
      </c>
      <c r="G44" s="96"/>
      <c r="N44" s="82"/>
      <c r="O44" s="96"/>
      <c r="P44" s="82"/>
    </row>
    <row r="45" spans="2:16" s="47" customFormat="1" ht="15" customHeight="1">
      <c r="B45" s="58" t="str">
        <f t="shared" si="2"/>
        <v>5.36.00.00.00</v>
      </c>
      <c r="C45" s="59">
        <v>536000000</v>
      </c>
      <c r="D45" s="89" t="s">
        <v>99</v>
      </c>
      <c r="E45" s="90"/>
      <c r="F45" s="91">
        <f>SUM(F41:F44)</f>
        <v>16178094</v>
      </c>
      <c r="G45" s="85"/>
      <c r="J45" s="36"/>
      <c r="K45" s="36"/>
      <c r="L45" s="36"/>
      <c r="N45" s="83"/>
      <c r="O45" s="85"/>
      <c r="P45" s="83"/>
    </row>
    <row r="46" spans="2:16" ht="15" customHeight="1">
      <c r="B46" s="58" t="str">
        <f t="shared" si="2"/>
        <v>5.37.00.00.00</v>
      </c>
      <c r="C46" s="54">
        <v>537000000</v>
      </c>
      <c r="D46" s="100" t="s">
        <v>100</v>
      </c>
      <c r="E46" s="94"/>
      <c r="F46" s="95">
        <f>SUMIF('FECU(a)'!$C$150:$C$207,C46,'FECU(a)'!$H$150:$H$207)</f>
        <v>0</v>
      </c>
      <c r="G46" s="96"/>
      <c r="N46" s="82"/>
      <c r="O46" s="96"/>
      <c r="P46" s="82"/>
    </row>
    <row r="47" spans="2:16" s="47" customFormat="1" ht="15" customHeight="1">
      <c r="B47" s="58" t="str">
        <f t="shared" si="2"/>
        <v>5.38.00.00.00</v>
      </c>
      <c r="C47" s="59">
        <v>538000000</v>
      </c>
      <c r="D47" s="89" t="s">
        <v>101</v>
      </c>
      <c r="E47" s="90"/>
      <c r="F47" s="91">
        <f>SUM(F45:F46)</f>
        <v>16178094</v>
      </c>
      <c r="G47" s="85"/>
      <c r="J47" s="36"/>
      <c r="K47" s="36"/>
      <c r="L47" s="36"/>
      <c r="N47" s="83"/>
      <c r="O47" s="85"/>
      <c r="P47" s="83"/>
    </row>
    <row r="48" spans="2:16" ht="15" customHeight="1">
      <c r="B48" s="58" t="str">
        <f t="shared" si="2"/>
        <v>5.39.00.00.00</v>
      </c>
      <c r="C48" s="54">
        <v>539000000</v>
      </c>
      <c r="D48" s="100" t="s">
        <v>102</v>
      </c>
      <c r="E48" s="94"/>
      <c r="F48" s="95">
        <f>SUMIF('FECU(a)'!$C$150:$C$207,C48,'FECU(a)'!$H$150:$H$207)</f>
        <v>-1286852</v>
      </c>
      <c r="G48" s="82"/>
      <c r="N48" s="82"/>
      <c r="O48" s="82"/>
      <c r="P48" s="82"/>
    </row>
    <row r="49" spans="2:16" s="47" customFormat="1" ht="15" customHeight="1" thickBot="1">
      <c r="B49" s="101" t="str">
        <f t="shared" si="2"/>
        <v>5.30.00.00.00</v>
      </c>
      <c r="C49" s="102">
        <v>530000000</v>
      </c>
      <c r="D49" s="103" t="s">
        <v>103</v>
      </c>
      <c r="E49" s="104"/>
      <c r="F49" s="105">
        <f>SUM(F47:F48)</f>
        <v>14891242</v>
      </c>
      <c r="G49" s="85"/>
      <c r="J49" s="36"/>
      <c r="K49" s="36"/>
      <c r="L49" s="36"/>
      <c r="N49" s="83"/>
      <c r="O49" s="85"/>
      <c r="P49" s="83"/>
    </row>
    <row r="50" spans="2:16">
      <c r="F50" s="63"/>
      <c r="G50" s="63"/>
      <c r="N50" s="82"/>
      <c r="O50" s="82"/>
      <c r="P50" s="82"/>
    </row>
    <row r="51" spans="2:16">
      <c r="F51" s="63"/>
      <c r="N51" s="82"/>
      <c r="O51" s="82"/>
      <c r="P51" s="82"/>
    </row>
    <row r="52" spans="2:16">
      <c r="F52" s="63">
        <f>+F49+'MATRIZCTAS(a)'!AH1777</f>
        <v>0</v>
      </c>
      <c r="N52" s="82"/>
      <c r="O52" s="82"/>
      <c r="P52" s="82"/>
    </row>
    <row r="53" spans="2:16">
      <c r="N53" s="82"/>
      <c r="O53" s="82"/>
      <c r="P53" s="82"/>
    </row>
    <row r="54" spans="2:16">
      <c r="N54" s="82"/>
      <c r="O54" s="82"/>
      <c r="P54" s="82"/>
    </row>
    <row r="55" spans="2:16">
      <c r="N55" s="82"/>
      <c r="O55" s="82"/>
      <c r="P55" s="82"/>
    </row>
    <row r="56" spans="2:16">
      <c r="N56" s="82"/>
      <c r="O56" s="82"/>
      <c r="P56" s="82"/>
    </row>
    <row r="57" spans="2:16">
      <c r="N57" s="82"/>
      <c r="O57" s="82"/>
      <c r="P57" s="82"/>
    </row>
    <row r="58" spans="2:16">
      <c r="N58" s="82"/>
      <c r="O58" s="82"/>
      <c r="P58" s="82"/>
    </row>
    <row r="59" spans="2:16">
      <c r="N59" s="82"/>
      <c r="O59" s="82"/>
      <c r="P59" s="82"/>
    </row>
    <row r="60" spans="2:16">
      <c r="N60" s="82"/>
      <c r="O60" s="82"/>
      <c r="P60" s="82"/>
    </row>
    <row r="61" spans="2:16">
      <c r="N61" s="82"/>
      <c r="O61" s="82"/>
      <c r="P61" s="82"/>
    </row>
    <row r="62" spans="2:16">
      <c r="N62" s="82"/>
      <c r="O62" s="82"/>
      <c r="P62" s="82"/>
    </row>
    <row r="63" spans="2:16">
      <c r="N63" s="82"/>
      <c r="O63" s="82"/>
      <c r="P63" s="82"/>
    </row>
    <row r="64" spans="2:16">
      <c r="N64" s="82"/>
      <c r="O64" s="82"/>
      <c r="P64" s="82"/>
    </row>
    <row r="65" spans="14:16">
      <c r="N65" s="82"/>
      <c r="O65" s="82"/>
      <c r="P65" s="82"/>
    </row>
    <row r="66" spans="14:16">
      <c r="N66" s="82"/>
      <c r="O66" s="82"/>
      <c r="P66" s="82"/>
    </row>
    <row r="67" spans="14:16">
      <c r="N67" s="82"/>
      <c r="O67" s="82"/>
      <c r="P67" s="82"/>
    </row>
    <row r="68" spans="14:16">
      <c r="N68" s="82"/>
      <c r="O68" s="82"/>
      <c r="P68" s="82"/>
    </row>
    <row r="69" spans="14:16">
      <c r="N69" s="82"/>
      <c r="O69" s="82"/>
      <c r="P69" s="82"/>
    </row>
    <row r="70" spans="14:16">
      <c r="N70" s="82"/>
      <c r="O70" s="82"/>
      <c r="P70" s="82"/>
    </row>
    <row r="71" spans="14:16">
      <c r="N71" s="82"/>
      <c r="O71" s="82"/>
      <c r="P71" s="82"/>
    </row>
    <row r="72" spans="14:16">
      <c r="N72" s="82"/>
      <c r="O72" s="82"/>
      <c r="P72" s="82"/>
    </row>
    <row r="73" spans="14:16">
      <c r="N73" s="82"/>
      <c r="O73" s="82"/>
      <c r="P73" s="82"/>
    </row>
    <row r="74" spans="14:16">
      <c r="N74" s="82"/>
      <c r="O74" s="82"/>
      <c r="P74" s="82"/>
    </row>
    <row r="75" spans="14:16">
      <c r="N75" s="82"/>
      <c r="O75" s="82"/>
      <c r="P75" s="82"/>
    </row>
    <row r="76" spans="14:16">
      <c r="N76" s="82"/>
      <c r="O76" s="82"/>
      <c r="P76" s="82"/>
    </row>
    <row r="77" spans="14:16">
      <c r="N77" s="82"/>
      <c r="O77" s="82"/>
      <c r="P77" s="82"/>
    </row>
    <row r="78" spans="14:16">
      <c r="N78" s="82"/>
      <c r="O78" s="82"/>
      <c r="P78" s="82"/>
    </row>
    <row r="79" spans="14:16">
      <c r="N79" s="82"/>
      <c r="O79" s="82"/>
      <c r="P79" s="82"/>
    </row>
    <row r="80" spans="14:16">
      <c r="N80" s="82"/>
      <c r="O80" s="82"/>
      <c r="P80" s="82"/>
    </row>
    <row r="81" spans="14:16">
      <c r="N81" s="82"/>
      <c r="O81" s="82"/>
      <c r="P81" s="82"/>
    </row>
    <row r="82" spans="14:16">
      <c r="N82" s="82"/>
      <c r="O82" s="82"/>
      <c r="P82" s="82"/>
    </row>
    <row r="83" spans="14:16">
      <c r="N83" s="82"/>
      <c r="O83" s="82"/>
      <c r="P83" s="82"/>
    </row>
    <row r="84" spans="14:16">
      <c r="N84" s="82"/>
      <c r="O84" s="82"/>
      <c r="P84" s="82"/>
    </row>
    <row r="85" spans="14:16">
      <c r="N85" s="82"/>
      <c r="O85" s="82"/>
      <c r="P85" s="82"/>
    </row>
    <row r="86" spans="14:16">
      <c r="N86" s="82"/>
      <c r="O86" s="82"/>
      <c r="P86" s="82"/>
    </row>
    <row r="87" spans="14:16">
      <c r="N87" s="82"/>
      <c r="O87" s="82"/>
      <c r="P87" s="82"/>
    </row>
    <row r="88" spans="14:16">
      <c r="N88" s="82"/>
      <c r="O88" s="82"/>
      <c r="P88" s="82"/>
    </row>
    <row r="89" spans="14:16">
      <c r="N89" s="82"/>
      <c r="O89" s="82"/>
      <c r="P89" s="82"/>
    </row>
    <row r="90" spans="14:16">
      <c r="N90" s="82"/>
      <c r="O90" s="82"/>
      <c r="P90" s="82"/>
    </row>
    <row r="91" spans="14:16">
      <c r="N91" s="82"/>
      <c r="O91" s="82"/>
      <c r="P91" s="82"/>
    </row>
    <row r="92" spans="14:16">
      <c r="N92" s="82"/>
      <c r="O92" s="82"/>
      <c r="P92" s="82"/>
    </row>
    <row r="93" spans="14:16">
      <c r="N93" s="82"/>
      <c r="O93" s="82"/>
      <c r="P93" s="82"/>
    </row>
    <row r="94" spans="14:16">
      <c r="N94" s="82"/>
      <c r="O94" s="82"/>
      <c r="P94" s="82"/>
    </row>
    <row r="95" spans="14:16">
      <c r="N95" s="82"/>
      <c r="O95" s="82"/>
      <c r="P95" s="82"/>
    </row>
    <row r="96" spans="14:16">
      <c r="N96" s="82"/>
      <c r="O96" s="82"/>
      <c r="P96" s="82"/>
    </row>
    <row r="97" spans="14:16">
      <c r="N97" s="82"/>
      <c r="O97" s="82"/>
      <c r="P97" s="82"/>
    </row>
    <row r="98" spans="14:16">
      <c r="N98" s="82"/>
      <c r="O98" s="82"/>
      <c r="P98" s="82"/>
    </row>
    <row r="99" spans="14:16">
      <c r="N99" s="82"/>
      <c r="O99" s="82"/>
      <c r="P99" s="82"/>
    </row>
    <row r="100" spans="14:16">
      <c r="N100" s="82"/>
      <c r="O100" s="82"/>
      <c r="P100" s="82"/>
    </row>
    <row r="101" spans="14:16">
      <c r="N101" s="82"/>
      <c r="O101" s="82"/>
      <c r="P101" s="82"/>
    </row>
    <row r="102" spans="14:16">
      <c r="N102" s="82"/>
      <c r="O102" s="82"/>
      <c r="P102" s="82"/>
    </row>
    <row r="103" spans="14:16">
      <c r="N103" s="82"/>
      <c r="O103" s="82"/>
      <c r="P103" s="82"/>
    </row>
    <row r="104" spans="14:16">
      <c r="N104" s="82"/>
      <c r="O104" s="82"/>
      <c r="P104" s="82"/>
    </row>
    <row r="105" spans="14:16">
      <c r="N105" s="82"/>
      <c r="O105" s="82"/>
      <c r="P105" s="82"/>
    </row>
    <row r="106" spans="14:16">
      <c r="N106" s="82"/>
      <c r="O106" s="82"/>
      <c r="P106" s="82"/>
    </row>
    <row r="107" spans="14:16">
      <c r="N107" s="82"/>
      <c r="O107" s="82"/>
      <c r="P107" s="82"/>
    </row>
    <row r="108" spans="14:16">
      <c r="N108" s="82"/>
      <c r="O108" s="82"/>
      <c r="P108" s="82"/>
    </row>
    <row r="109" spans="14:16">
      <c r="N109" s="82"/>
      <c r="O109" s="82"/>
      <c r="P109" s="82"/>
    </row>
    <row r="110" spans="14:16">
      <c r="N110" s="82"/>
      <c r="O110" s="82"/>
      <c r="P110" s="82"/>
    </row>
    <row r="111" spans="14:16">
      <c r="N111" s="82"/>
      <c r="O111" s="82"/>
      <c r="P111" s="82"/>
    </row>
    <row r="112" spans="14:16">
      <c r="N112" s="82"/>
      <c r="O112" s="82"/>
      <c r="P112" s="82"/>
    </row>
    <row r="113" spans="14:16">
      <c r="N113" s="82"/>
      <c r="O113" s="82"/>
      <c r="P113" s="82"/>
    </row>
    <row r="114" spans="14:16">
      <c r="N114" s="82"/>
      <c r="O114" s="82"/>
      <c r="P114" s="82"/>
    </row>
    <row r="115" spans="14:16">
      <c r="N115" s="82"/>
      <c r="O115" s="82"/>
      <c r="P115" s="82"/>
    </row>
    <row r="116" spans="14:16">
      <c r="N116" s="82"/>
      <c r="O116" s="82"/>
      <c r="P116" s="82"/>
    </row>
    <row r="117" spans="14:16">
      <c r="N117" s="82"/>
      <c r="O117" s="82"/>
      <c r="P117" s="82"/>
    </row>
    <row r="118" spans="14:16">
      <c r="N118" s="82"/>
      <c r="O118" s="82"/>
      <c r="P118" s="82"/>
    </row>
    <row r="119" spans="14:16">
      <c r="N119" s="82"/>
      <c r="O119" s="82"/>
      <c r="P119" s="82"/>
    </row>
    <row r="120" spans="14:16">
      <c r="N120" s="82"/>
      <c r="O120" s="82"/>
      <c r="P120" s="82"/>
    </row>
    <row r="121" spans="14:16">
      <c r="N121" s="82"/>
      <c r="O121" s="82"/>
      <c r="P121" s="82"/>
    </row>
    <row r="122" spans="14:16">
      <c r="N122" s="82"/>
      <c r="O122" s="82"/>
      <c r="P122" s="82"/>
    </row>
    <row r="123" spans="14:16">
      <c r="N123" s="82"/>
      <c r="O123" s="82"/>
      <c r="P123" s="82"/>
    </row>
    <row r="124" spans="14:16">
      <c r="N124" s="82"/>
      <c r="O124" s="82"/>
      <c r="P124" s="82"/>
    </row>
    <row r="125" spans="14:16">
      <c r="N125" s="82"/>
      <c r="O125" s="82"/>
      <c r="P125" s="82"/>
    </row>
    <row r="126" spans="14:16">
      <c r="N126" s="82"/>
      <c r="O126" s="82"/>
      <c r="P126" s="82"/>
    </row>
    <row r="127" spans="14:16">
      <c r="N127" s="82"/>
      <c r="O127" s="82"/>
      <c r="P127" s="82"/>
    </row>
    <row r="128" spans="14:16">
      <c r="N128" s="82"/>
      <c r="O128" s="82"/>
      <c r="P128" s="82"/>
    </row>
    <row r="129" spans="14:16">
      <c r="N129" s="82"/>
      <c r="O129" s="82"/>
      <c r="P129" s="82"/>
    </row>
    <row r="130" spans="14:16">
      <c r="N130" s="82"/>
      <c r="O130" s="82"/>
      <c r="P130" s="82"/>
    </row>
    <row r="131" spans="14:16">
      <c r="N131" s="82"/>
      <c r="O131" s="82"/>
      <c r="P131" s="82"/>
    </row>
    <row r="132" spans="14:16">
      <c r="N132" s="82"/>
      <c r="O132" s="82"/>
      <c r="P132" s="82"/>
    </row>
    <row r="133" spans="14:16">
      <c r="N133" s="82"/>
      <c r="O133" s="82"/>
      <c r="P133" s="82"/>
    </row>
    <row r="134" spans="14:16">
      <c r="N134" s="82"/>
      <c r="O134" s="82"/>
      <c r="P134" s="82"/>
    </row>
    <row r="135" spans="14:16">
      <c r="N135" s="82"/>
      <c r="O135" s="82"/>
      <c r="P135" s="82"/>
    </row>
    <row r="136" spans="14:16">
      <c r="N136" s="82"/>
      <c r="O136" s="82"/>
      <c r="P136" s="82"/>
    </row>
    <row r="137" spans="14:16">
      <c r="N137" s="82"/>
      <c r="O137" s="82"/>
      <c r="P137" s="82"/>
    </row>
    <row r="138" spans="14:16">
      <c r="N138" s="82"/>
      <c r="O138" s="82"/>
      <c r="P138" s="82"/>
    </row>
    <row r="139" spans="14:16">
      <c r="N139" s="82"/>
      <c r="O139" s="82"/>
      <c r="P139" s="82"/>
    </row>
    <row r="140" spans="14:16">
      <c r="N140" s="82"/>
      <c r="O140" s="82"/>
      <c r="P140" s="82"/>
    </row>
    <row r="141" spans="14:16">
      <c r="N141" s="82"/>
      <c r="O141" s="82"/>
      <c r="P141" s="82"/>
    </row>
    <row r="142" spans="14:16">
      <c r="N142" s="82"/>
      <c r="O142" s="82"/>
      <c r="P142" s="82"/>
    </row>
    <row r="143" spans="14:16">
      <c r="N143" s="82"/>
      <c r="O143" s="82"/>
      <c r="P143" s="82"/>
    </row>
    <row r="144" spans="14:16">
      <c r="N144" s="82"/>
      <c r="O144" s="82"/>
      <c r="P144" s="82"/>
    </row>
    <row r="145" spans="14:16">
      <c r="N145" s="82"/>
      <c r="O145" s="82"/>
      <c r="P145" s="82"/>
    </row>
    <row r="146" spans="14:16">
      <c r="N146" s="82"/>
      <c r="O146" s="82"/>
      <c r="P146" s="82"/>
    </row>
    <row r="147" spans="14:16">
      <c r="N147" s="82"/>
      <c r="O147" s="82"/>
      <c r="P147" s="82"/>
    </row>
    <row r="148" spans="14:16">
      <c r="N148" s="82"/>
      <c r="O148" s="82"/>
      <c r="P148" s="82"/>
    </row>
    <row r="149" spans="14:16">
      <c r="N149" s="82"/>
      <c r="O149" s="82"/>
      <c r="P149" s="82"/>
    </row>
    <row r="150" spans="14:16">
      <c r="N150" s="82"/>
      <c r="O150" s="82"/>
      <c r="P150" s="82"/>
    </row>
    <row r="151" spans="14:16">
      <c r="N151" s="82"/>
      <c r="O151" s="82"/>
      <c r="P151" s="82"/>
    </row>
    <row r="152" spans="14:16">
      <c r="N152" s="82"/>
      <c r="O152" s="82"/>
      <c r="P152" s="82"/>
    </row>
  </sheetData>
  <mergeCells count="2">
    <mergeCell ref="B9:D9"/>
    <mergeCell ref="G9:I9"/>
  </mergeCells>
  <phoneticPr fontId="10" type="noConversion"/>
  <printOptions horizontalCentered="1"/>
  <pageMargins left="0" right="0" top="0" bottom="0" header="0" footer="0"/>
  <pageSetup paperSize="119" scale="65" orientation="portrait" r:id="rId1"/>
  <headerFooter alignWithMargins="0">
    <oddHeader>&amp;L&amp;"Times New Roman,Negrita Cursiva"Subgerencia Finanzas
Depto. Contabilidad</oddHeader>
    <oddFooter xml:space="preserve">&amp;L&amp;"Times New Roman,Negrita Cursiva"&amp;8&amp;F
&amp;A&amp;R&amp;"Times New Roman,Negrita Cursiva"&amp;8&amp;D
&amp;T
</oddFooter>
  </headerFooter>
  <ignoredErrors>
    <ignoredError sqref="F45 F47" formula="1"/>
  </ignoredError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pageSetUpPr fitToPage="1"/>
  </sheetPr>
  <dimension ref="A1:AK75"/>
  <sheetViews>
    <sheetView showGridLines="0" topLeftCell="D1" workbookViewId="0">
      <selection activeCell="X58" sqref="X58:Z58"/>
    </sheetView>
  </sheetViews>
  <sheetFormatPr baseColWidth="10" defaultColWidth="4.83203125" defaultRowHeight="11.25"/>
  <cols>
    <col min="1" max="16" width="4.83203125" style="449" customWidth="1"/>
    <col min="17" max="19" width="6.83203125" style="449" customWidth="1"/>
    <col min="20" max="23" width="4.83203125" style="449" customWidth="1"/>
    <col min="24" max="26" width="5.83203125" style="449" customWidth="1"/>
    <col min="27" max="27" width="4.83203125" style="449" customWidth="1"/>
    <col min="28" max="28" width="32.33203125" style="449" customWidth="1"/>
    <col min="29" max="29" width="25.33203125" style="449" customWidth="1"/>
    <col min="30" max="30" width="5.83203125" style="449" customWidth="1"/>
    <col min="31" max="31" width="13.33203125" style="449" bestFit="1" customWidth="1"/>
    <col min="32" max="36" width="4.83203125" style="449" customWidth="1"/>
    <col min="37" max="37" width="14.33203125" style="449" customWidth="1"/>
    <col min="38" max="16384" width="4.83203125" style="449"/>
  </cols>
  <sheetData>
    <row r="1" spans="1:37" ht="12" customHeight="1"/>
    <row r="2" spans="1:37" ht="12" customHeight="1"/>
    <row r="3" spans="1:37" ht="12" customHeight="1"/>
    <row r="4" spans="1:37" ht="18">
      <c r="A4" s="450" t="s">
        <v>1229</v>
      </c>
    </row>
    <row r="5" spans="1:37" ht="15.75">
      <c r="A5" s="451" t="s">
        <v>3534</v>
      </c>
    </row>
    <row r="6" spans="1:37" ht="5.0999999999999996" customHeight="1" thickBot="1">
      <c r="A6" s="452"/>
      <c r="B6" s="452"/>
      <c r="C6" s="452"/>
      <c r="D6" s="452"/>
      <c r="E6" s="452"/>
      <c r="F6" s="452"/>
      <c r="G6" s="452"/>
      <c r="H6" s="452"/>
      <c r="I6" s="452"/>
      <c r="J6" s="452"/>
      <c r="K6" s="452"/>
      <c r="L6" s="452"/>
      <c r="M6" s="452"/>
      <c r="N6" s="452"/>
      <c r="O6" s="452"/>
      <c r="P6" s="452"/>
      <c r="Q6" s="452"/>
      <c r="R6" s="452"/>
      <c r="S6" s="452"/>
      <c r="T6" s="452"/>
      <c r="U6" s="452"/>
      <c r="V6" s="452"/>
      <c r="W6" s="452"/>
      <c r="X6" s="452"/>
      <c r="Y6" s="452"/>
      <c r="Z6" s="452"/>
      <c r="AA6" s="452"/>
      <c r="AB6" s="1205"/>
      <c r="AC6" s="1205"/>
    </row>
    <row r="7" spans="1:37" ht="12" customHeight="1" thickTop="1"/>
    <row r="8" spans="1:37" ht="20.100000000000001" customHeight="1">
      <c r="B8" s="453" t="s">
        <v>1230</v>
      </c>
    </row>
    <row r="9" spans="1:37" ht="15" customHeight="1">
      <c r="B9" s="454" t="s">
        <v>1231</v>
      </c>
    </row>
    <row r="10" spans="1:37" ht="12" customHeight="1">
      <c r="B10" s="455" t="s">
        <v>1232</v>
      </c>
    </row>
    <row r="11" spans="1:37" ht="12" customHeight="1" thickBot="1"/>
    <row r="12" spans="1:37" ht="12" customHeight="1">
      <c r="B12" s="456"/>
      <c r="C12" s="456"/>
      <c r="D12" s="456"/>
      <c r="E12" s="456"/>
      <c r="F12" s="456"/>
      <c r="G12" s="456"/>
      <c r="H12" s="456"/>
      <c r="I12" s="456"/>
      <c r="J12" s="456"/>
      <c r="K12" s="456"/>
      <c r="L12" s="456"/>
      <c r="M12" s="456"/>
      <c r="N12" s="456"/>
      <c r="O12" s="456"/>
      <c r="P12" s="456"/>
      <c r="Q12" s="456"/>
      <c r="R12" s="456"/>
      <c r="S12" s="456"/>
      <c r="T12" s="456"/>
      <c r="U12" s="456"/>
      <c r="V12" s="456"/>
      <c r="W12" s="456"/>
      <c r="X12" s="456"/>
      <c r="Y12" s="456"/>
      <c r="Z12" s="456"/>
    </row>
    <row r="13" spans="1:37" ht="15" customHeight="1">
      <c r="B13" s="457" t="s">
        <v>1233</v>
      </c>
      <c r="C13" s="458" t="s">
        <v>1234</v>
      </c>
    </row>
    <row r="14" spans="1:37" ht="12" customHeight="1">
      <c r="AB14" s="1206" t="s">
        <v>3069</v>
      </c>
      <c r="AC14" s="1208"/>
    </row>
    <row r="15" spans="1:37" ht="12" customHeight="1">
      <c r="C15" s="459" t="s">
        <v>1235</v>
      </c>
      <c r="D15" s="1603" t="s">
        <v>1236</v>
      </c>
      <c r="E15" s="1603"/>
      <c r="F15" s="1603"/>
      <c r="G15" s="1603"/>
      <c r="H15" s="1603"/>
      <c r="I15" s="1603"/>
      <c r="J15" s="1603"/>
      <c r="K15" s="1603"/>
      <c r="L15" s="1603"/>
      <c r="M15" s="1603"/>
      <c r="N15" s="1603"/>
      <c r="O15" s="1603"/>
      <c r="P15" s="1603"/>
      <c r="Q15" s="1603"/>
      <c r="R15" s="1603"/>
      <c r="S15" s="1603"/>
      <c r="X15" s="1572">
        <f>+'Cuadros Notas'!$M$35</f>
        <v>57400304</v>
      </c>
      <c r="Y15" s="1573"/>
      <c r="Z15" s="1574"/>
      <c r="AB15" s="1217">
        <f>+'FECU 2012 (M$)'!D13</f>
        <v>162858394</v>
      </c>
      <c r="AC15" s="1212"/>
      <c r="AE15" s="462">
        <f>+X15</f>
        <v>57400304</v>
      </c>
    </row>
    <row r="16" spans="1:37" ht="24" customHeight="1">
      <c r="C16" s="459" t="s">
        <v>1237</v>
      </c>
      <c r="D16" s="1603" t="s">
        <v>1238</v>
      </c>
      <c r="E16" s="1603"/>
      <c r="F16" s="1603"/>
      <c r="G16" s="1603"/>
      <c r="H16" s="1603"/>
      <c r="I16" s="1603"/>
      <c r="J16" s="1603"/>
      <c r="K16" s="1603"/>
      <c r="L16" s="1603"/>
      <c r="M16" s="1603"/>
      <c r="N16" s="1603"/>
      <c r="O16" s="1603"/>
      <c r="P16" s="1603"/>
      <c r="Q16" s="1603"/>
      <c r="R16" s="1603"/>
      <c r="S16" s="1603"/>
      <c r="X16" s="1575">
        <f>+'MATRIZCTAS(a)'!$AH$94+'MATRIZCTAS(a)'!$AH$95+'MATRIZCTAS(a)'!$AH$97+'FECU(a)'!$E$25+'MATRIZCTAS(a)'!$AH$90-X54</f>
        <v>205282997</v>
      </c>
      <c r="Y16" s="1576"/>
      <c r="Z16" s="1577"/>
      <c r="AB16" s="1207"/>
      <c r="AC16" s="1210"/>
      <c r="AE16" s="462">
        <f>+X16+X17</f>
        <v>246105302</v>
      </c>
      <c r="AK16" s="460" t="s">
        <v>1239</v>
      </c>
    </row>
    <row r="17" spans="2:37" ht="12" customHeight="1">
      <c r="C17" s="459" t="s">
        <v>1240</v>
      </c>
      <c r="D17" s="1603" t="s">
        <v>735</v>
      </c>
      <c r="E17" s="1603"/>
      <c r="F17" s="1603"/>
      <c r="G17" s="1603"/>
      <c r="H17" s="1603"/>
      <c r="I17" s="1603"/>
      <c r="J17" s="1603"/>
      <c r="K17" s="1603"/>
      <c r="L17" s="1603"/>
      <c r="M17" s="1603"/>
      <c r="N17" s="1603"/>
      <c r="O17" s="1603"/>
      <c r="P17" s="1603"/>
      <c r="Q17" s="1603"/>
      <c r="R17" s="1603"/>
      <c r="S17" s="1603"/>
      <c r="X17" s="1578">
        <f>+'FECU(a)'!$E$13+'FECU(a)'!$E$25-X16-X54</f>
        <v>40822305</v>
      </c>
      <c r="Y17" s="1579"/>
      <c r="Z17" s="1580"/>
      <c r="AB17" s="1207" t="s">
        <v>3070</v>
      </c>
      <c r="AC17" s="1210"/>
    </row>
    <row r="18" spans="2:37" ht="12" customHeight="1">
      <c r="C18" s="459" t="s">
        <v>736</v>
      </c>
      <c r="D18" s="1603" t="s">
        <v>737</v>
      </c>
      <c r="E18" s="1603"/>
      <c r="F18" s="1603"/>
      <c r="G18" s="1603"/>
      <c r="H18" s="1603"/>
      <c r="I18" s="1603"/>
      <c r="J18" s="1603"/>
      <c r="K18" s="1603"/>
      <c r="L18" s="1603"/>
      <c r="M18" s="1603"/>
      <c r="N18" s="1603"/>
      <c r="O18" s="1603"/>
      <c r="P18" s="1603"/>
      <c r="Q18" s="1603"/>
      <c r="R18" s="1603"/>
      <c r="S18" s="1603"/>
      <c r="X18" s="1578">
        <f>+'Cuadros Notas'!M37+'Cuadros Notas'!M50-X50-X53-X55</f>
        <v>769134182</v>
      </c>
      <c r="Y18" s="1579"/>
      <c r="Z18" s="1580"/>
      <c r="AB18" s="1217">
        <f>+'FECU 2012 (M$)'!D15</f>
        <v>1466442589</v>
      </c>
      <c r="AC18" s="1212"/>
      <c r="AE18" s="462">
        <f>+X18+X50+X53</f>
        <v>793248474</v>
      </c>
    </row>
    <row r="19" spans="2:37" ht="12" customHeight="1">
      <c r="C19" s="459" t="s">
        <v>738</v>
      </c>
      <c r="D19" s="1603" t="s">
        <v>739</v>
      </c>
      <c r="E19" s="1603"/>
      <c r="F19" s="1603"/>
      <c r="G19" s="1603"/>
      <c r="H19" s="1603"/>
      <c r="I19" s="1603"/>
      <c r="J19" s="1603"/>
      <c r="K19" s="1603"/>
      <c r="L19" s="1603"/>
      <c r="M19" s="1603"/>
      <c r="N19" s="1603"/>
      <c r="O19" s="1603"/>
      <c r="P19" s="1603"/>
      <c r="Q19" s="1603"/>
      <c r="R19" s="1603"/>
      <c r="S19" s="1603"/>
      <c r="X19" s="1587">
        <f>SUM(U20:W22)</f>
        <v>90652264</v>
      </c>
      <c r="Y19" s="1588"/>
      <c r="Z19" s="1589"/>
      <c r="AB19" s="1207"/>
      <c r="AC19" s="1210"/>
      <c r="AE19" s="462">
        <f>+X19+X51+X58</f>
        <v>102809747</v>
      </c>
    </row>
    <row r="20" spans="2:37" ht="12" customHeight="1">
      <c r="D20" s="461" t="s">
        <v>740</v>
      </c>
      <c r="E20" s="455" t="s">
        <v>741</v>
      </c>
      <c r="U20" s="1606">
        <f>+'Cuadros Notas'!M44+'Cuadros Notas'!M53+'Cuadros Notas'!M52-X58-X51</f>
        <v>90652264</v>
      </c>
      <c r="V20" s="1607"/>
      <c r="W20" s="1608"/>
      <c r="X20" s="1176"/>
      <c r="Y20" s="1176"/>
      <c r="Z20" s="1176"/>
      <c r="AB20" s="1207" t="s">
        <v>3071</v>
      </c>
      <c r="AC20" s="1210"/>
      <c r="AK20" s="462"/>
    </row>
    <row r="21" spans="2:37" ht="12" customHeight="1">
      <c r="D21" s="461" t="s">
        <v>742</v>
      </c>
      <c r="E21" s="455" t="s">
        <v>743</v>
      </c>
      <c r="U21" s="1609">
        <v>0</v>
      </c>
      <c r="V21" s="1610"/>
      <c r="W21" s="1611"/>
      <c r="X21" s="1176"/>
      <c r="Y21" s="1176"/>
      <c r="Z21" s="1176"/>
      <c r="AB21" s="1217">
        <f>+'FECU 2012 (M$)'!D11</f>
        <v>2197352</v>
      </c>
      <c r="AC21" s="1212"/>
    </row>
    <row r="22" spans="2:37" ht="12" customHeight="1">
      <c r="D22" s="461" t="s">
        <v>744</v>
      </c>
      <c r="E22" s="455" t="s">
        <v>745</v>
      </c>
      <c r="U22" s="1612">
        <v>0</v>
      </c>
      <c r="V22" s="1613"/>
      <c r="W22" s="1614"/>
      <c r="X22" s="1176"/>
      <c r="Y22" s="1176"/>
      <c r="Z22" s="1176"/>
      <c r="AB22" s="1207"/>
      <c r="AC22" s="1210"/>
    </row>
    <row r="23" spans="2:37" ht="12" customHeight="1">
      <c r="C23" s="459" t="s">
        <v>746</v>
      </c>
      <c r="D23" s="1603" t="s">
        <v>747</v>
      </c>
      <c r="E23" s="1603"/>
      <c r="F23" s="1603"/>
      <c r="G23" s="1603"/>
      <c r="H23" s="1603"/>
      <c r="I23" s="1603"/>
      <c r="J23" s="1603"/>
      <c r="K23" s="1603"/>
      <c r="L23" s="1603"/>
      <c r="M23" s="1603"/>
      <c r="N23" s="1603"/>
      <c r="O23" s="1603"/>
      <c r="P23" s="1603"/>
      <c r="Q23" s="1603"/>
      <c r="R23" s="1603"/>
      <c r="S23" s="1603"/>
      <c r="X23" s="1572">
        <f>+'Cuadros Notas'!M40+'Cuadros Notas'!M51-X59-4779609</f>
        <v>44895338</v>
      </c>
      <c r="Y23" s="1573"/>
      <c r="Z23" s="1574"/>
      <c r="AB23" s="1207" t="s">
        <v>72</v>
      </c>
      <c r="AC23" s="1210"/>
      <c r="AE23" s="462">
        <f>+X23</f>
        <v>44895338</v>
      </c>
    </row>
    <row r="24" spans="2:37" ht="12" customHeight="1">
      <c r="C24" s="459" t="s">
        <v>748</v>
      </c>
      <c r="D24" s="1603" t="s">
        <v>749</v>
      </c>
      <c r="E24" s="1603"/>
      <c r="F24" s="1603"/>
      <c r="G24" s="1603"/>
      <c r="H24" s="1603"/>
      <c r="I24" s="1603"/>
      <c r="J24" s="1603"/>
      <c r="K24" s="1603"/>
      <c r="L24" s="1603"/>
      <c r="M24" s="1603"/>
      <c r="N24" s="1603"/>
      <c r="O24" s="1603"/>
      <c r="P24" s="1603"/>
      <c r="Q24" s="1603"/>
      <c r="R24" s="1603"/>
      <c r="S24" s="1603"/>
      <c r="X24" s="1575">
        <v>0</v>
      </c>
      <c r="Y24" s="1576"/>
      <c r="Z24" s="1577"/>
      <c r="AB24" s="1217">
        <f>+'FECU 2012 (M$)'!D17</f>
        <v>36255063</v>
      </c>
      <c r="AC24" s="1212"/>
    </row>
    <row r="25" spans="2:37" ht="12" customHeight="1">
      <c r="C25" s="459" t="s">
        <v>750</v>
      </c>
      <c r="D25" s="1603" t="s">
        <v>751</v>
      </c>
      <c r="E25" s="1603"/>
      <c r="F25" s="1603"/>
      <c r="G25" s="1603"/>
      <c r="H25" s="1603"/>
      <c r="I25" s="1603"/>
      <c r="J25" s="1603"/>
      <c r="K25" s="1603"/>
      <c r="L25" s="1603"/>
      <c r="M25" s="1603"/>
      <c r="N25" s="1603"/>
      <c r="O25" s="1603"/>
      <c r="P25" s="1603"/>
      <c r="Q25" s="1603"/>
      <c r="R25" s="1603"/>
      <c r="S25" s="1603"/>
      <c r="X25" s="1575">
        <v>0</v>
      </c>
      <c r="Y25" s="1576"/>
      <c r="Z25" s="1577"/>
      <c r="AB25" s="1207"/>
      <c r="AC25" s="1210"/>
    </row>
    <row r="26" spans="2:37" ht="12" customHeight="1">
      <c r="C26" s="459" t="s">
        <v>682</v>
      </c>
      <c r="D26" s="1603" t="s">
        <v>1140</v>
      </c>
      <c r="E26" s="1603"/>
      <c r="F26" s="1603"/>
      <c r="G26" s="1603"/>
      <c r="H26" s="1603"/>
      <c r="I26" s="1603"/>
      <c r="J26" s="1603"/>
      <c r="K26" s="1603"/>
      <c r="L26" s="1603"/>
      <c r="M26" s="1603"/>
      <c r="N26" s="1603"/>
      <c r="O26" s="1603"/>
      <c r="P26" s="1603"/>
      <c r="Q26" s="1603"/>
      <c r="R26" s="1603"/>
      <c r="S26" s="1603"/>
      <c r="X26" s="1596">
        <f>+'Cuadros Notas'!I136-570285</f>
        <v>722646</v>
      </c>
      <c r="Y26" s="1597"/>
      <c r="Z26" s="1598"/>
      <c r="AB26" s="1207" t="s">
        <v>3072</v>
      </c>
      <c r="AC26" s="1210"/>
      <c r="AE26" s="462">
        <f>+X26</f>
        <v>722646</v>
      </c>
    </row>
    <row r="27" spans="2:37" ht="12" customHeight="1">
      <c r="C27" s="459" t="s">
        <v>1141</v>
      </c>
      <c r="D27" s="1603" t="s">
        <v>295</v>
      </c>
      <c r="E27" s="1603"/>
      <c r="F27" s="1603"/>
      <c r="G27" s="1603"/>
      <c r="H27" s="1603"/>
      <c r="I27" s="1603"/>
      <c r="J27" s="1603"/>
      <c r="K27" s="1603"/>
      <c r="L27" s="1603"/>
      <c r="M27" s="1603"/>
      <c r="N27" s="1603"/>
      <c r="O27" s="1603"/>
      <c r="P27" s="1603"/>
      <c r="Q27" s="1603"/>
      <c r="R27" s="1603"/>
      <c r="S27" s="1603"/>
      <c r="X27" s="1176"/>
      <c r="Y27" s="1176"/>
      <c r="Z27" s="1176"/>
      <c r="AB27" s="1217">
        <f>+'FECU 2012 (M$)'!D23</f>
        <v>19561098</v>
      </c>
      <c r="AC27" s="1212"/>
    </row>
    <row r="28" spans="2:37" ht="12" customHeight="1">
      <c r="D28" s="461" t="s">
        <v>1142</v>
      </c>
      <c r="E28" s="455" t="s">
        <v>1143</v>
      </c>
      <c r="X28" s="1584">
        <f>+'Cuadros Notas'!M64+'Cuadros Notas'!M65</f>
        <v>113633057</v>
      </c>
      <c r="Y28" s="1585"/>
      <c r="Z28" s="1586"/>
      <c r="AB28" s="1207"/>
      <c r="AC28" s="1210"/>
      <c r="AE28" s="462">
        <f>+X28</f>
        <v>113633057</v>
      </c>
    </row>
    <row r="29" spans="2:37" ht="12" customHeight="1">
      <c r="B29" s="459"/>
      <c r="D29" s="461" t="s">
        <v>1144</v>
      </c>
      <c r="E29" s="455" t="s">
        <v>1145</v>
      </c>
      <c r="X29" s="1584">
        <f>+'Cuadros Notas'!M68</f>
        <v>114691456</v>
      </c>
      <c r="Y29" s="1585"/>
      <c r="Z29" s="1586"/>
      <c r="AB29" s="1207" t="s">
        <v>3073</v>
      </c>
      <c r="AC29" s="1210"/>
      <c r="AE29" s="462">
        <f>+X29</f>
        <v>114691456</v>
      </c>
      <c r="AG29" s="463"/>
    </row>
    <row r="30" spans="2:37" ht="24" customHeight="1">
      <c r="C30" s="459" t="s">
        <v>1146</v>
      </c>
      <c r="D30" s="1603" t="s">
        <v>1147</v>
      </c>
      <c r="E30" s="1603"/>
      <c r="F30" s="1603"/>
      <c r="G30" s="1603"/>
      <c r="H30" s="1603"/>
      <c r="I30" s="1603"/>
      <c r="J30" s="1603"/>
      <c r="K30" s="1603"/>
      <c r="L30" s="1603"/>
      <c r="M30" s="1603"/>
      <c r="N30" s="1603"/>
      <c r="O30" s="1603"/>
      <c r="P30" s="1603"/>
      <c r="Q30" s="1603"/>
      <c r="R30" s="1603"/>
      <c r="S30" s="1603"/>
      <c r="X30" s="1578">
        <f>+'FECU(a)'!F50</f>
        <v>1335264</v>
      </c>
      <c r="Y30" s="1579"/>
      <c r="Z30" s="1580"/>
      <c r="AB30" s="1217">
        <f>+'FECU 2012 (M$)'!D29+'FECU 2012 (M$)'!D30+'FECU 2012 (M$)'!D32</f>
        <v>228324513</v>
      </c>
      <c r="AC30" s="1212"/>
      <c r="AE30" s="462">
        <f>+X30</f>
        <v>1335264</v>
      </c>
    </row>
    <row r="31" spans="2:37" ht="12" customHeight="1">
      <c r="C31" s="459" t="s">
        <v>1148</v>
      </c>
      <c r="D31" s="1603" t="s">
        <v>1149</v>
      </c>
      <c r="E31" s="1603"/>
      <c r="F31" s="1603"/>
      <c r="G31" s="1603"/>
      <c r="H31" s="1603"/>
      <c r="I31" s="1603"/>
      <c r="J31" s="1603"/>
      <c r="K31" s="1603"/>
      <c r="L31" s="1603"/>
      <c r="M31" s="1603"/>
      <c r="N31" s="1603"/>
      <c r="O31" s="1603"/>
      <c r="P31" s="1603"/>
      <c r="Q31" s="1603"/>
      <c r="R31" s="1603"/>
      <c r="S31" s="1603"/>
      <c r="X31" s="1590">
        <f>+'Cuadros Notas'!P56</f>
        <v>3332717</v>
      </c>
      <c r="Y31" s="1591"/>
      <c r="Z31" s="1592"/>
      <c r="AB31" s="1207" t="s">
        <v>3074</v>
      </c>
      <c r="AC31" s="1210"/>
      <c r="AE31" s="462">
        <f>+X31</f>
        <v>3332717</v>
      </c>
    </row>
    <row r="32" spans="2:37" ht="12" customHeight="1">
      <c r="C32" s="459" t="s">
        <v>1150</v>
      </c>
      <c r="D32" s="1603" t="s">
        <v>1151</v>
      </c>
      <c r="E32" s="1603"/>
      <c r="F32" s="1603"/>
      <c r="G32" s="1603"/>
      <c r="H32" s="1603"/>
      <c r="I32" s="1603"/>
      <c r="J32" s="1603"/>
      <c r="K32" s="1603"/>
      <c r="L32" s="1603"/>
      <c r="M32" s="1603"/>
      <c r="N32" s="1603"/>
      <c r="O32" s="1603"/>
      <c r="P32" s="1603"/>
      <c r="Q32" s="1603"/>
      <c r="R32" s="1603"/>
      <c r="S32" s="1603"/>
      <c r="X32" s="1578">
        <v>0</v>
      </c>
      <c r="Y32" s="1579"/>
      <c r="Z32" s="1580"/>
      <c r="AB32" s="1217">
        <f>+'FECU 2012 (M$)'!D33</f>
        <v>549140</v>
      </c>
      <c r="AC32" s="1212"/>
      <c r="AE32" s="462">
        <f>+X32</f>
        <v>0</v>
      </c>
    </row>
    <row r="33" spans="2:37" ht="12" customHeight="1">
      <c r="C33" s="459" t="s">
        <v>1152</v>
      </c>
      <c r="D33" s="1603" t="s">
        <v>1153</v>
      </c>
      <c r="E33" s="1603"/>
      <c r="F33" s="1603"/>
      <c r="G33" s="1603"/>
      <c r="H33" s="1603"/>
      <c r="I33" s="1603"/>
      <c r="J33" s="1603"/>
      <c r="K33" s="1603"/>
      <c r="L33" s="1603"/>
      <c r="M33" s="1603"/>
      <c r="N33" s="1603"/>
      <c r="O33" s="1603"/>
      <c r="P33" s="1603"/>
      <c r="Q33" s="1603"/>
      <c r="R33" s="1603"/>
      <c r="S33" s="1603"/>
      <c r="X33" s="1575">
        <v>0</v>
      </c>
      <c r="Y33" s="1576"/>
      <c r="Z33" s="1577"/>
      <c r="AB33" s="1207"/>
      <c r="AC33" s="1210"/>
    </row>
    <row r="34" spans="2:37" ht="12" customHeight="1">
      <c r="C34" s="459" t="s">
        <v>1154</v>
      </c>
      <c r="D34" s="1603" t="s">
        <v>1155</v>
      </c>
      <c r="E34" s="1603"/>
      <c r="F34" s="1603"/>
      <c r="G34" s="1603"/>
      <c r="H34" s="1603"/>
      <c r="I34" s="1603"/>
      <c r="J34" s="1603"/>
      <c r="K34" s="1603"/>
      <c r="L34" s="1603"/>
      <c r="M34" s="1603"/>
      <c r="N34" s="1603"/>
      <c r="O34" s="1603"/>
      <c r="P34" s="1603"/>
      <c r="Q34" s="1603"/>
      <c r="R34" s="1603"/>
      <c r="S34" s="1603"/>
      <c r="X34" s="1575">
        <v>0</v>
      </c>
      <c r="Y34" s="1576"/>
      <c r="Z34" s="1577"/>
      <c r="AB34" s="1207" t="s">
        <v>3075</v>
      </c>
      <c r="AC34" s="1210"/>
    </row>
    <row r="35" spans="2:37" ht="12" customHeight="1">
      <c r="C35" s="459" t="s">
        <v>1156</v>
      </c>
      <c r="D35" s="1603" t="s">
        <v>1157</v>
      </c>
      <c r="E35" s="1603"/>
      <c r="F35" s="1603"/>
      <c r="G35" s="1603"/>
      <c r="H35" s="1603"/>
      <c r="I35" s="1603"/>
      <c r="J35" s="1603"/>
      <c r="K35" s="1603"/>
      <c r="L35" s="1603"/>
      <c r="M35" s="1603"/>
      <c r="N35" s="1603"/>
      <c r="O35" s="1603"/>
      <c r="P35" s="1603"/>
      <c r="Q35" s="1603"/>
      <c r="R35" s="1603"/>
      <c r="S35" s="1603"/>
      <c r="X35" s="1575">
        <v>0</v>
      </c>
      <c r="Y35" s="1576"/>
      <c r="Z35" s="1577"/>
      <c r="AB35" s="1217">
        <f>+'FECU 2012 (M$)'!D35</f>
        <v>0</v>
      </c>
      <c r="AC35" s="1212"/>
    </row>
    <row r="36" spans="2:37" ht="12" customHeight="1">
      <c r="C36" s="459" t="s">
        <v>1158</v>
      </c>
      <c r="D36" s="1603" t="s">
        <v>1159</v>
      </c>
      <c r="E36" s="1603"/>
      <c r="F36" s="1603"/>
      <c r="G36" s="1603"/>
      <c r="H36" s="1603"/>
      <c r="I36" s="1603"/>
      <c r="J36" s="1603"/>
      <c r="K36" s="1603"/>
      <c r="L36" s="1603"/>
      <c r="M36" s="1603"/>
      <c r="N36" s="1603"/>
      <c r="O36" s="1603"/>
      <c r="P36" s="1603"/>
      <c r="Q36" s="1603"/>
      <c r="R36" s="1603"/>
      <c r="S36" s="1603"/>
      <c r="X36" s="1624">
        <f>+'Cuadros Notas'!M38</f>
        <v>299126989</v>
      </c>
      <c r="Y36" s="1625"/>
      <c r="Z36" s="1626"/>
      <c r="AB36" s="1207"/>
      <c r="AC36" s="1210"/>
      <c r="AE36" s="462">
        <f>+X36</f>
        <v>299126989</v>
      </c>
    </row>
    <row r="37" spans="2:37" ht="12" customHeight="1">
      <c r="C37" s="459" t="s">
        <v>1160</v>
      </c>
      <c r="D37" s="1603" t="s">
        <v>545</v>
      </c>
      <c r="E37" s="1603"/>
      <c r="F37" s="1603"/>
      <c r="G37" s="1603"/>
      <c r="H37" s="1603"/>
      <c r="I37" s="1603"/>
      <c r="J37" s="1603"/>
      <c r="K37" s="1603"/>
      <c r="L37" s="1603"/>
      <c r="M37" s="1603"/>
      <c r="N37" s="1603"/>
      <c r="O37" s="1603"/>
      <c r="P37" s="1603"/>
      <c r="Q37" s="1603"/>
      <c r="R37" s="1603"/>
      <c r="S37" s="1603"/>
      <c r="X37" s="1627">
        <f>+'Cuadros Notas'!$P$60</f>
        <v>49157718</v>
      </c>
      <c r="Y37" s="1628"/>
      <c r="Z37" s="1629"/>
      <c r="AB37" s="1207" t="s">
        <v>3076</v>
      </c>
      <c r="AC37" s="1210"/>
      <c r="AE37" s="462">
        <f>+X37</f>
        <v>49157718</v>
      </c>
    </row>
    <row r="38" spans="2:37" ht="12" customHeight="1">
      <c r="C38" s="459"/>
      <c r="D38" s="1603" t="s">
        <v>545</v>
      </c>
      <c r="E38" s="1603"/>
      <c r="F38" s="1603"/>
      <c r="G38" s="1603"/>
      <c r="H38" s="1603"/>
      <c r="I38" s="1603"/>
      <c r="J38" s="1603"/>
      <c r="K38" s="1603"/>
      <c r="L38" s="1603"/>
      <c r="M38" s="1603"/>
      <c r="N38" s="1603"/>
      <c r="O38" s="1603"/>
      <c r="P38" s="1603"/>
      <c r="Q38" s="1603"/>
      <c r="R38" s="1603"/>
      <c r="S38" s="1603"/>
      <c r="X38" s="1596">
        <f>+'FECU(a)'!F37-X56</f>
        <v>32172751</v>
      </c>
      <c r="Y38" s="1597"/>
      <c r="Z38" s="1598"/>
      <c r="AB38" s="1217">
        <f>+'FECU 2012 (M$)'!D42</f>
        <v>1292931</v>
      </c>
      <c r="AC38" s="1212"/>
      <c r="AE38" s="462">
        <f>+X38+X56</f>
        <v>32922346</v>
      </c>
    </row>
    <row r="39" spans="2:37" ht="12" customHeight="1">
      <c r="C39" s="459"/>
      <c r="D39" s="1604" t="s">
        <v>475</v>
      </c>
      <c r="E39" s="1605"/>
      <c r="F39" s="1605"/>
      <c r="G39" s="1605"/>
      <c r="H39" s="1605"/>
      <c r="I39" s="1605"/>
      <c r="J39" s="1605"/>
      <c r="K39" s="1605"/>
      <c r="L39" s="1605"/>
      <c r="M39" s="1605"/>
      <c r="N39" s="1605"/>
      <c r="O39" s="1605"/>
      <c r="P39" s="1605"/>
      <c r="Q39" s="1605"/>
      <c r="R39" s="1605"/>
      <c r="S39" s="1605"/>
      <c r="U39" s="1618"/>
      <c r="V39" s="1619"/>
      <c r="W39" s="1620"/>
      <c r="X39" s="1177"/>
      <c r="Y39" s="1177"/>
      <c r="Z39" s="1177"/>
      <c r="AB39" s="1207"/>
      <c r="AC39" s="1210"/>
    </row>
    <row r="40" spans="2:37" ht="12" customHeight="1">
      <c r="C40" s="459"/>
      <c r="D40" s="1605" t="s">
        <v>1185</v>
      </c>
      <c r="E40" s="1605"/>
      <c r="F40" s="1605"/>
      <c r="G40" s="1605"/>
      <c r="H40" s="1605"/>
      <c r="I40" s="1605"/>
      <c r="J40" s="1605"/>
      <c r="K40" s="1605"/>
      <c r="L40" s="1605"/>
      <c r="M40" s="1605"/>
      <c r="N40" s="1605"/>
      <c r="O40" s="1605"/>
      <c r="P40" s="1605"/>
      <c r="Q40" s="1605"/>
      <c r="R40" s="1605"/>
      <c r="S40" s="1605"/>
      <c r="U40" s="1621"/>
      <c r="V40" s="1622"/>
      <c r="W40" s="1623"/>
      <c r="X40" s="1177"/>
      <c r="Y40" s="1177"/>
      <c r="Z40" s="1177"/>
      <c r="AB40" s="1207"/>
      <c r="AC40" s="1210"/>
    </row>
    <row r="41" spans="2:37">
      <c r="C41" s="459"/>
      <c r="D41" s="1603" t="s">
        <v>1369</v>
      </c>
      <c r="E41" s="1603"/>
      <c r="F41" s="1603"/>
      <c r="G41" s="1603"/>
      <c r="H41" s="1603"/>
      <c r="I41" s="1603"/>
      <c r="J41" s="1603"/>
      <c r="K41" s="1603"/>
      <c r="L41" s="1603"/>
      <c r="M41" s="1603"/>
      <c r="N41" s="1603"/>
      <c r="O41" s="1603"/>
      <c r="P41" s="1603"/>
      <c r="Q41" s="1603"/>
      <c r="R41" s="1603"/>
      <c r="S41" s="1603"/>
      <c r="X41" s="1593">
        <v>1427056</v>
      </c>
      <c r="Y41" s="1594"/>
      <c r="Z41" s="1595"/>
      <c r="AB41" s="1207"/>
      <c r="AC41" s="1210"/>
      <c r="AE41" s="462">
        <f>+X41</f>
        <v>1427056</v>
      </c>
    </row>
    <row r="42" spans="2:37">
      <c r="C42" s="459"/>
      <c r="D42" s="1603" t="s">
        <v>1370</v>
      </c>
      <c r="E42" s="1603"/>
      <c r="F42" s="1603"/>
      <c r="G42" s="1603"/>
      <c r="H42" s="1603"/>
      <c r="I42" s="1603"/>
      <c r="J42" s="1603"/>
      <c r="K42" s="1603"/>
      <c r="L42" s="1603"/>
      <c r="M42" s="1603"/>
      <c r="N42" s="1603"/>
      <c r="O42" s="1603"/>
      <c r="P42" s="1603"/>
      <c r="Q42" s="1603"/>
      <c r="R42" s="1603"/>
      <c r="S42" s="1603"/>
      <c r="X42" s="1593">
        <v>371605</v>
      </c>
      <c r="Y42" s="1594"/>
      <c r="Z42" s="1595"/>
      <c r="AB42" s="1207"/>
      <c r="AC42" s="1210"/>
      <c r="AE42" s="462">
        <f>+X42</f>
        <v>371605</v>
      </c>
    </row>
    <row r="43" spans="2:37" ht="12" customHeight="1">
      <c r="C43" s="459"/>
      <c r="D43" s="1605" t="s">
        <v>1161</v>
      </c>
      <c r="E43" s="1605"/>
      <c r="F43" s="1605"/>
      <c r="G43" s="1605"/>
      <c r="H43" s="1605"/>
      <c r="I43" s="1605"/>
      <c r="J43" s="1605"/>
      <c r="K43" s="1605"/>
      <c r="L43" s="1605"/>
      <c r="M43" s="1605"/>
      <c r="N43" s="1605"/>
      <c r="O43" s="1605"/>
      <c r="P43" s="1605"/>
      <c r="Q43" s="1605"/>
      <c r="R43" s="1605"/>
      <c r="S43" s="1605"/>
      <c r="X43" s="1581">
        <f>+'FECU(a)'!E22</f>
        <v>1717589</v>
      </c>
      <c r="Y43" s="1582"/>
      <c r="Z43" s="1583"/>
      <c r="AB43" s="1216"/>
      <c r="AC43" s="1211"/>
      <c r="AE43" s="462">
        <f>+X43</f>
        <v>1717589</v>
      </c>
    </row>
    <row r="44" spans="2:37" ht="12" customHeight="1" thickBot="1">
      <c r="X44" s="477"/>
      <c r="Y44" s="477"/>
      <c r="Z44" s="477"/>
    </row>
    <row r="45" spans="2:37" ht="12" customHeight="1">
      <c r="B45" s="456"/>
      <c r="C45" s="456"/>
      <c r="D45" s="456"/>
      <c r="E45" s="456"/>
      <c r="F45" s="456"/>
      <c r="G45" s="456"/>
      <c r="H45" s="456"/>
      <c r="I45" s="456"/>
      <c r="J45" s="456"/>
      <c r="K45" s="456"/>
      <c r="L45" s="456"/>
      <c r="M45" s="456"/>
      <c r="N45" s="456"/>
      <c r="O45" s="456"/>
      <c r="P45" s="456"/>
      <c r="Q45" s="456"/>
      <c r="R45" s="456"/>
      <c r="S45" s="456"/>
      <c r="T45" s="456"/>
      <c r="U45" s="456"/>
      <c r="V45" s="456"/>
      <c r="W45" s="456"/>
      <c r="X45" s="1616"/>
      <c r="Y45" s="1617"/>
      <c r="Z45" s="1617"/>
      <c r="AD45" s="1615"/>
      <c r="AE45" s="1615"/>
      <c r="AF45" s="1615"/>
    </row>
    <row r="46" spans="2:37" ht="12" customHeight="1">
      <c r="B46" s="457" t="s">
        <v>1162</v>
      </c>
      <c r="C46" s="458" t="s">
        <v>1163</v>
      </c>
      <c r="X46" s="477"/>
      <c r="Y46" s="477"/>
      <c r="Z46" s="477"/>
      <c r="AK46" s="462">
        <f>SUM(X15:Z44)</f>
        <v>1825876238</v>
      </c>
    </row>
    <row r="47" spans="2:37" ht="12" customHeight="1">
      <c r="X47" s="477"/>
      <c r="Y47" s="477"/>
      <c r="Z47" s="477"/>
    </row>
    <row r="48" spans="2:37" ht="12" customHeight="1">
      <c r="D48" s="1599" t="s">
        <v>1745</v>
      </c>
      <c r="E48" s="1603"/>
      <c r="F48" s="1603"/>
      <c r="G48" s="1603"/>
      <c r="H48" s="1603"/>
      <c r="I48" s="1603"/>
      <c r="J48" s="1603"/>
      <c r="K48" s="1603"/>
      <c r="L48" s="1603"/>
      <c r="M48" s="1603"/>
      <c r="N48" s="1603"/>
      <c r="O48" s="1603"/>
      <c r="P48" s="1603"/>
      <c r="Q48" s="1603"/>
      <c r="R48" s="1603"/>
      <c r="S48" s="1603"/>
      <c r="W48" s="462">
        <v>-9</v>
      </c>
      <c r="X48" s="1600">
        <v>398691</v>
      </c>
      <c r="Y48" s="1601"/>
      <c r="Z48" s="1602"/>
      <c r="AB48" s="1206" t="s">
        <v>3077</v>
      </c>
      <c r="AC48" s="1215"/>
      <c r="AE48" s="462">
        <f>+X48</f>
        <v>398691</v>
      </c>
    </row>
    <row r="49" spans="2:37" ht="12" customHeight="1">
      <c r="D49" s="1603" t="s">
        <v>694</v>
      </c>
      <c r="E49" s="1603"/>
      <c r="F49" s="1603"/>
      <c r="G49" s="1603"/>
      <c r="H49" s="1603"/>
      <c r="I49" s="1603"/>
      <c r="J49" s="1603"/>
      <c r="K49" s="1603"/>
      <c r="L49" s="1603"/>
      <c r="M49" s="1603"/>
      <c r="N49" s="1603"/>
      <c r="O49" s="1603"/>
      <c r="P49" s="1603"/>
      <c r="Q49" s="1603"/>
      <c r="R49" s="1603"/>
      <c r="S49" s="1603"/>
      <c r="W49" s="462">
        <v>-8</v>
      </c>
      <c r="X49" s="1563">
        <f>+'FECU 2012 (M$)'!D33</f>
        <v>549140</v>
      </c>
      <c r="Y49" s="1564"/>
      <c r="Z49" s="1565"/>
      <c r="AB49" s="1213">
        <f>+AB15+AB18+AB21+AB24+AB27+AB30+AB32+AB35+AB38</f>
        <v>1917481080</v>
      </c>
      <c r="AC49" s="1209"/>
      <c r="AE49" s="462">
        <f>+X49</f>
        <v>549140</v>
      </c>
    </row>
    <row r="50" spans="2:37" ht="12" customHeight="1">
      <c r="D50" s="449" t="s">
        <v>695</v>
      </c>
      <c r="W50" s="462">
        <v>-7</v>
      </c>
      <c r="X50" s="1563">
        <v>16566596</v>
      </c>
      <c r="Y50" s="1564"/>
      <c r="Z50" s="1565"/>
      <c r="AB50" s="1214">
        <f>+MATRIZCTAS!AH276</f>
        <v>11290</v>
      </c>
      <c r="AC50" s="1210" t="s">
        <v>679</v>
      </c>
      <c r="AK50" s="449">
        <f>62327+260441+16029+17950+149306+40209+109029+600471+656711+496016+3902+115086+94263+1161472</f>
        <v>3783212</v>
      </c>
    </row>
    <row r="51" spans="2:37" ht="12" customHeight="1">
      <c r="D51" s="449" t="s">
        <v>2562</v>
      </c>
      <c r="W51" s="462">
        <v>-6</v>
      </c>
      <c r="X51" s="1563">
        <v>1033754</v>
      </c>
      <c r="Y51" s="1564"/>
      <c r="Z51" s="1565"/>
      <c r="AB51" s="1214">
        <f>-MATRIZCTAS!AH631</f>
        <v>-1338592</v>
      </c>
      <c r="AC51" s="1210" t="s">
        <v>3079</v>
      </c>
      <c r="AK51" s="449">
        <f>816054+1818084+58548+6032142+11569099</f>
        <v>20293927</v>
      </c>
    </row>
    <row r="52" spans="2:37" ht="12" customHeight="1">
      <c r="D52" s="449" t="s">
        <v>3536</v>
      </c>
      <c r="W52" s="462"/>
      <c r="X52" s="1563">
        <v>4779609</v>
      </c>
      <c r="Y52" s="1564"/>
      <c r="Z52" s="1565"/>
      <c r="AB52" s="1214">
        <v>1323974</v>
      </c>
      <c r="AC52" s="1210"/>
    </row>
    <row r="53" spans="2:37" ht="12" customHeight="1">
      <c r="D53" s="449" t="s">
        <v>477</v>
      </c>
      <c r="W53" s="462">
        <v>-1</v>
      </c>
      <c r="X53" s="1563">
        <f>988524+6559172</f>
        <v>7547696</v>
      </c>
      <c r="Y53" s="1564"/>
      <c r="Z53" s="1565"/>
      <c r="AB53" s="1214">
        <f>-MATRIZCTAS!AH634</f>
        <v>-3448999</v>
      </c>
      <c r="AC53" s="1210" t="s">
        <v>3080</v>
      </c>
    </row>
    <row r="54" spans="2:37" s="1175" customFormat="1" ht="12" customHeight="1">
      <c r="D54" s="1559" t="s">
        <v>3535</v>
      </c>
      <c r="E54" s="1559"/>
      <c r="F54" s="1559"/>
      <c r="G54" s="1559"/>
      <c r="H54" s="1559"/>
      <c r="I54" s="1559"/>
      <c r="J54" s="1559"/>
      <c r="K54" s="1559"/>
      <c r="L54" s="1559"/>
      <c r="M54" s="1559"/>
      <c r="N54" s="1559"/>
      <c r="O54" s="1559"/>
      <c r="P54" s="1559"/>
      <c r="Q54" s="1559"/>
      <c r="R54" s="1559"/>
      <c r="S54" s="1559"/>
      <c r="X54" s="1560">
        <v>90667</v>
      </c>
      <c r="Y54" s="1561"/>
      <c r="Z54" s="1562"/>
      <c r="AB54" s="1214">
        <f>-38658*0</f>
        <v>0</v>
      </c>
      <c r="AC54" s="1210" t="s">
        <v>3082</v>
      </c>
    </row>
    <row r="55" spans="2:37" s="1175" customFormat="1" ht="12" customHeight="1">
      <c r="D55" s="1559" t="s">
        <v>2975</v>
      </c>
      <c r="E55" s="1559"/>
      <c r="F55" s="1559"/>
      <c r="G55" s="1559"/>
      <c r="H55" s="1559"/>
      <c r="I55" s="1559"/>
      <c r="J55" s="1559"/>
      <c r="K55" s="1559"/>
      <c r="L55" s="1559"/>
      <c r="M55" s="1559"/>
      <c r="N55" s="1559"/>
      <c r="O55" s="1559"/>
      <c r="P55" s="1559"/>
      <c r="Q55" s="1559"/>
      <c r="R55" s="1559"/>
      <c r="S55" s="1559"/>
      <c r="X55" s="1560">
        <v>30693203</v>
      </c>
      <c r="Y55" s="1561"/>
      <c r="Z55" s="1562"/>
      <c r="AB55" s="1214"/>
      <c r="AC55" s="1506"/>
    </row>
    <row r="56" spans="2:37" ht="12" customHeight="1">
      <c r="D56" s="1599" t="s">
        <v>475</v>
      </c>
      <c r="E56" s="1599"/>
      <c r="F56" s="1599"/>
      <c r="G56" s="1599"/>
      <c r="H56" s="1599"/>
      <c r="I56" s="1599"/>
      <c r="J56" s="1599"/>
      <c r="K56" s="1599"/>
      <c r="L56" s="1599"/>
      <c r="M56" s="1599"/>
      <c r="N56" s="1599"/>
      <c r="O56" s="1599"/>
      <c r="P56" s="1599"/>
      <c r="Q56" s="1599"/>
      <c r="R56" s="1599"/>
      <c r="S56" s="1599"/>
      <c r="W56" s="462">
        <v>-5</v>
      </c>
      <c r="X56" s="1600">
        <v>749595</v>
      </c>
      <c r="Y56" s="1601"/>
      <c r="Z56" s="1602"/>
      <c r="AB56" s="1211" t="s">
        <v>3078</v>
      </c>
      <c r="AC56" s="1210" t="s">
        <v>1805</v>
      </c>
    </row>
    <row r="57" spans="2:37" ht="12" customHeight="1">
      <c r="D57" s="1603" t="s">
        <v>3520</v>
      </c>
      <c r="E57" s="1603"/>
      <c r="F57" s="1603"/>
      <c r="G57" s="1603"/>
      <c r="H57" s="1603"/>
      <c r="I57" s="1603"/>
      <c r="J57" s="1603"/>
      <c r="K57" s="1603"/>
      <c r="L57" s="1603"/>
      <c r="M57" s="1603"/>
      <c r="N57" s="1603"/>
      <c r="O57" s="1603"/>
      <c r="P57" s="1603"/>
      <c r="Q57" s="1603"/>
      <c r="R57" s="1603"/>
      <c r="S57" s="1603"/>
      <c r="W57" s="462">
        <v>-4</v>
      </c>
      <c r="X57" s="1569">
        <v>570285</v>
      </c>
      <c r="Y57" s="1570"/>
      <c r="Z57" s="1571"/>
      <c r="AB57" s="1218">
        <f>+AB49+AB50+AB51+AB53+AB54+AB55+AB52</f>
        <v>1914028753</v>
      </c>
      <c r="AC57" s="1215"/>
      <c r="AE57" s="462" t="e">
        <f>+#REF!</f>
        <v>#REF!</v>
      </c>
    </row>
    <row r="58" spans="2:37" ht="12" customHeight="1">
      <c r="D58" s="1599" t="s">
        <v>152</v>
      </c>
      <c r="E58" s="1599"/>
      <c r="F58" s="1599"/>
      <c r="G58" s="1599"/>
      <c r="H58" s="1599"/>
      <c r="I58" s="1599"/>
      <c r="J58" s="1599"/>
      <c r="K58" s="1599"/>
      <c r="L58" s="1599"/>
      <c r="M58" s="1599"/>
      <c r="N58" s="1599"/>
      <c r="O58" s="1599"/>
      <c r="P58" s="1599"/>
      <c r="Q58" s="1599"/>
      <c r="R58" s="1599"/>
      <c r="S58" s="1599"/>
      <c r="W58" s="462">
        <v>-2</v>
      </c>
      <c r="X58" s="1563">
        <f>10338127+501590+284012</f>
        <v>11123729</v>
      </c>
      <c r="Y58" s="1564"/>
      <c r="Z58" s="1565"/>
      <c r="AK58" s="449">
        <f>1500242+531585</f>
        <v>2031827</v>
      </c>
    </row>
    <row r="59" spans="2:37" ht="12" customHeight="1">
      <c r="D59" s="1599" t="s">
        <v>1095</v>
      </c>
      <c r="E59" s="1599"/>
      <c r="F59" s="1599"/>
      <c r="G59" s="1599"/>
      <c r="H59" s="1599"/>
      <c r="I59" s="1599"/>
      <c r="J59" s="1599"/>
      <c r="K59" s="1599"/>
      <c r="L59" s="1599"/>
      <c r="M59" s="1599"/>
      <c r="N59" s="1599"/>
      <c r="O59" s="1599"/>
      <c r="P59" s="1599"/>
      <c r="Q59" s="1599"/>
      <c r="R59" s="1599"/>
      <c r="S59" s="1599"/>
      <c r="W59" s="462">
        <v>-3</v>
      </c>
      <c r="X59" s="1563">
        <f>61645+13987905</f>
        <v>14049550</v>
      </c>
      <c r="Y59" s="1564"/>
      <c r="Z59" s="1565"/>
      <c r="AE59" s="462">
        <f>+X59</f>
        <v>14049550</v>
      </c>
    </row>
    <row r="60" spans="2:37" ht="12" thickBot="1"/>
    <row r="61" spans="2:37" ht="12" customHeight="1">
      <c r="B61" s="456"/>
      <c r="C61" s="456"/>
      <c r="D61" s="456"/>
      <c r="E61" s="456"/>
      <c r="F61" s="456"/>
      <c r="G61" s="456"/>
      <c r="H61" s="456"/>
      <c r="I61" s="456"/>
      <c r="J61" s="456"/>
      <c r="K61" s="456"/>
      <c r="L61" s="456"/>
      <c r="M61" s="456"/>
      <c r="N61" s="456"/>
      <c r="O61" s="456"/>
      <c r="P61" s="456"/>
      <c r="Q61" s="456"/>
      <c r="R61" s="456"/>
      <c r="S61" s="456"/>
      <c r="T61" s="456"/>
      <c r="U61" s="456"/>
      <c r="V61" s="456"/>
      <c r="W61" s="456"/>
      <c r="X61" s="456"/>
      <c r="Y61" s="456"/>
      <c r="Z61" s="456"/>
    </row>
    <row r="62" spans="2:37" ht="20.100000000000001" customHeight="1">
      <c r="U62" s="464" t="s">
        <v>1333</v>
      </c>
      <c r="V62" s="465"/>
      <c r="W62" s="466"/>
      <c r="X62" s="1566">
        <f>SUM(X15:Z59)</f>
        <v>1914028753</v>
      </c>
      <c r="Y62" s="1567"/>
      <c r="Z62" s="1568"/>
      <c r="AB62" s="1219">
        <f>+AB57-X62</f>
        <v>0</v>
      </c>
      <c r="AC62" s="1215" t="s">
        <v>3081</v>
      </c>
      <c r="AE62" s="462" t="e">
        <f>SUM(AD15:AF59)</f>
        <v>#REF!</v>
      </c>
    </row>
    <row r="63" spans="2:37" ht="12" customHeight="1"/>
    <row r="64" spans="2:37">
      <c r="V64"/>
      <c r="W64"/>
      <c r="X64"/>
      <c r="Y64"/>
      <c r="Z64"/>
      <c r="AA64"/>
      <c r="AB64"/>
      <c r="AE64" s="462" t="e">
        <f>+X62-AE62</f>
        <v>#REF!</v>
      </c>
    </row>
    <row r="65" spans="22:31">
      <c r="V65"/>
      <c r="W65"/>
      <c r="X65"/>
      <c r="Y65"/>
      <c r="Z65"/>
      <c r="AA65"/>
      <c r="AB65"/>
    </row>
    <row r="66" spans="22:31">
      <c r="V66"/>
      <c r="W66"/>
      <c r="X66"/>
      <c r="Y66"/>
      <c r="Z66"/>
      <c r="AA66"/>
      <c r="AB66"/>
      <c r="AE66" s="462" t="e">
        <f>+AE64-X66</f>
        <v>#REF!</v>
      </c>
    </row>
    <row r="67" spans="22:31">
      <c r="V67"/>
      <c r="W67"/>
      <c r="X67"/>
      <c r="Y67"/>
      <c r="Z67"/>
      <c r="AA67"/>
      <c r="AB67"/>
    </row>
    <row r="68" spans="22:31">
      <c r="V68"/>
      <c r="W68"/>
      <c r="X68"/>
      <c r="Y68"/>
      <c r="Z68"/>
      <c r="AA68"/>
      <c r="AB68"/>
      <c r="AC68"/>
      <c r="AD68"/>
    </row>
    <row r="69" spans="22:31">
      <c r="V69"/>
      <c r="W69"/>
      <c r="X69"/>
      <c r="Y69"/>
      <c r="Z69"/>
      <c r="AA69"/>
      <c r="AB69"/>
      <c r="AC69"/>
      <c r="AD69"/>
    </row>
    <row r="70" spans="22:31">
      <c r="V70"/>
      <c r="W70"/>
      <c r="X70"/>
      <c r="Y70"/>
      <c r="Z70"/>
      <c r="AA70"/>
      <c r="AB70"/>
      <c r="AC70"/>
      <c r="AD70"/>
    </row>
    <row r="71" spans="22:31">
      <c r="V71"/>
      <c r="W71"/>
      <c r="X71"/>
      <c r="Y71"/>
      <c r="Z71"/>
      <c r="AA71"/>
      <c r="AB71"/>
      <c r="AC71"/>
      <c r="AD71"/>
    </row>
    <row r="72" spans="22:31">
      <c r="V72"/>
      <c r="W72"/>
      <c r="X72"/>
      <c r="Y72"/>
      <c r="Z72"/>
      <c r="AA72"/>
      <c r="AB72"/>
      <c r="AC72"/>
      <c r="AD72"/>
    </row>
    <row r="73" spans="22:31">
      <c r="V73"/>
      <c r="W73"/>
      <c r="X73"/>
      <c r="Y73"/>
      <c r="Z73"/>
      <c r="AA73"/>
      <c r="AB73"/>
      <c r="AC73"/>
    </row>
    <row r="74" spans="22:31">
      <c r="V74"/>
      <c r="W74"/>
      <c r="X74"/>
      <c r="Y74"/>
      <c r="Z74"/>
      <c r="AA74"/>
      <c r="AB74"/>
      <c r="AC74"/>
    </row>
    <row r="75" spans="22:31">
      <c r="V75"/>
      <c r="W75"/>
      <c r="X75"/>
      <c r="Y75"/>
      <c r="Z75"/>
      <c r="AA75"/>
      <c r="AB75"/>
      <c r="AC75"/>
    </row>
  </sheetData>
  <mergeCells count="75">
    <mergeCell ref="X52:Z52"/>
    <mergeCell ref="AD45:AF45"/>
    <mergeCell ref="X45:Z45"/>
    <mergeCell ref="D36:S36"/>
    <mergeCell ref="U39:W39"/>
    <mergeCell ref="U40:W40"/>
    <mergeCell ref="D41:S41"/>
    <mergeCell ref="X41:Z41"/>
    <mergeCell ref="D38:S38"/>
    <mergeCell ref="X38:Z38"/>
    <mergeCell ref="D37:S37"/>
    <mergeCell ref="X36:Z36"/>
    <mergeCell ref="X37:Z37"/>
    <mergeCell ref="D40:S40"/>
    <mergeCell ref="D43:S43"/>
    <mergeCell ref="D48:S48"/>
    <mergeCell ref="D34:S34"/>
    <mergeCell ref="D35:S35"/>
    <mergeCell ref="D27:S27"/>
    <mergeCell ref="D30:S30"/>
    <mergeCell ref="D33:S33"/>
    <mergeCell ref="D31:S31"/>
    <mergeCell ref="D32:S32"/>
    <mergeCell ref="D24:S24"/>
    <mergeCell ref="U21:W21"/>
    <mergeCell ref="D25:S25"/>
    <mergeCell ref="D26:S26"/>
    <mergeCell ref="U22:W22"/>
    <mergeCell ref="D23:S23"/>
    <mergeCell ref="D15:S15"/>
    <mergeCell ref="D16:S16"/>
    <mergeCell ref="D17:S17"/>
    <mergeCell ref="U20:W20"/>
    <mergeCell ref="D18:S18"/>
    <mergeCell ref="D19:S19"/>
    <mergeCell ref="X50:Z50"/>
    <mergeCell ref="D39:S39"/>
    <mergeCell ref="D49:S49"/>
    <mergeCell ref="X49:Z49"/>
    <mergeCell ref="D42:S42"/>
    <mergeCell ref="X48:Z48"/>
    <mergeCell ref="D59:S59"/>
    <mergeCell ref="X59:Z59"/>
    <mergeCell ref="X56:Z56"/>
    <mergeCell ref="D58:S58"/>
    <mergeCell ref="X58:Z58"/>
    <mergeCell ref="D57:S57"/>
    <mergeCell ref="D56:S56"/>
    <mergeCell ref="X33:Z33"/>
    <mergeCell ref="X42:Z42"/>
    <mergeCell ref="X26:Z26"/>
    <mergeCell ref="X23:Z23"/>
    <mergeCell ref="X24:Z24"/>
    <mergeCell ref="X25:Z25"/>
    <mergeCell ref="X62:Z62"/>
    <mergeCell ref="X51:Z51"/>
    <mergeCell ref="X57:Z57"/>
    <mergeCell ref="X15:Z15"/>
    <mergeCell ref="X16:Z16"/>
    <mergeCell ref="X17:Z17"/>
    <mergeCell ref="X18:Z18"/>
    <mergeCell ref="X43:Z43"/>
    <mergeCell ref="X29:Z29"/>
    <mergeCell ref="X19:Z19"/>
    <mergeCell ref="X30:Z30"/>
    <mergeCell ref="X35:Z35"/>
    <mergeCell ref="X34:Z34"/>
    <mergeCell ref="X28:Z28"/>
    <mergeCell ref="X31:Z31"/>
    <mergeCell ref="X32:Z32"/>
    <mergeCell ref="D54:S54"/>
    <mergeCell ref="X54:Z54"/>
    <mergeCell ref="D55:S55"/>
    <mergeCell ref="X55:Z55"/>
    <mergeCell ref="X53:Z53"/>
  </mergeCells>
  <phoneticPr fontId="0" type="noConversion"/>
  <printOptions horizontalCentered="1"/>
  <pageMargins left="0.19685039370078741" right="0.19685039370078741" top="0.39370078740157483" bottom="0.39370078740157483" header="0.19685039370078741" footer="0.19685039370078741"/>
  <pageSetup scale="95" orientation="portrait" r:id="rId1"/>
  <headerFooter alignWithMargins="0"/>
  <ignoredErrors>
    <ignoredError sqref="X62" evalError="1"/>
  </ignoredErrors>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3">
    <pageSetUpPr fitToPage="1"/>
  </sheetPr>
  <dimension ref="A1:AE1038"/>
  <sheetViews>
    <sheetView showGridLines="0" topLeftCell="A18" zoomScale="80" zoomScaleNormal="80" workbookViewId="0">
      <selection activeCell="P73" sqref="P73:R73"/>
    </sheetView>
  </sheetViews>
  <sheetFormatPr baseColWidth="10" defaultColWidth="4.83203125" defaultRowHeight="11.25"/>
  <cols>
    <col min="1" max="4" width="4.83203125" style="301" customWidth="1"/>
    <col min="5" max="5" width="26.5" style="301" customWidth="1"/>
    <col min="6" max="8" width="4.83203125" style="301" customWidth="1"/>
    <col min="9" max="9" width="10" style="301" customWidth="1"/>
    <col min="10" max="13" width="5.83203125" style="301" customWidth="1"/>
    <col min="14" max="15" width="5.6640625" style="301" customWidth="1"/>
    <col min="16" max="17" width="5.83203125" style="301" customWidth="1"/>
    <col min="18" max="18" width="14" style="301" customWidth="1"/>
    <col min="19" max="19" width="13.5" style="301" customWidth="1"/>
    <col min="20" max="20" width="10.83203125" style="301" customWidth="1"/>
    <col min="21" max="21" width="13.33203125" style="301" bestFit="1" customWidth="1"/>
    <col min="22" max="23" width="4.83203125" style="301" customWidth="1"/>
    <col min="24" max="24" width="9.83203125" style="301" customWidth="1"/>
    <col min="25" max="26" width="4.83203125" style="301" customWidth="1"/>
    <col min="27" max="27" width="6.1640625" style="301" customWidth="1"/>
    <col min="28" max="28" width="8.6640625" style="301" customWidth="1"/>
    <col min="29" max="29" width="4.83203125" style="301" customWidth="1"/>
    <col min="30" max="30" width="5.1640625" style="301" customWidth="1"/>
    <col min="31" max="31" width="8.1640625" style="301" customWidth="1"/>
    <col min="32" max="16384" width="4.83203125" style="301"/>
  </cols>
  <sheetData>
    <row r="1" spans="2:24" ht="12" thickBot="1"/>
    <row r="2" spans="2:24" ht="24.95" customHeight="1" thickBot="1">
      <c r="B2" s="302" t="s">
        <v>1019</v>
      </c>
      <c r="C2" s="303"/>
      <c r="D2" s="303"/>
      <c r="E2" s="303"/>
      <c r="F2" s="303"/>
      <c r="G2" s="303"/>
      <c r="H2" s="303"/>
      <c r="I2" s="1957" t="s">
        <v>1885</v>
      </c>
      <c r="J2" s="1957"/>
      <c r="K2" s="1957"/>
      <c r="L2" s="1974"/>
    </row>
    <row r="3" spans="2:24" ht="15" customHeight="1">
      <c r="B3" s="1118" t="s">
        <v>1020</v>
      </c>
      <c r="C3" s="1119"/>
      <c r="D3" s="1119"/>
      <c r="E3" s="1119"/>
      <c r="F3" s="1119"/>
      <c r="G3" s="1119"/>
      <c r="H3" s="1100"/>
      <c r="I3" s="2431">
        <f>-SUMIF('MATRIZCTAS(a)'!$AA$7:$AA$1764,'Parametros Cuadros de Notas'!$C2,'MATRIZCTAS(a)'!$AH$7:$AH$1764)</f>
        <v>19003746</v>
      </c>
      <c r="J3" s="2432"/>
      <c r="K3" s="2432"/>
      <c r="L3" s="2433"/>
      <c r="N3" s="1976"/>
      <c r="O3" s="1976"/>
      <c r="P3" s="1976"/>
      <c r="Q3" s="1976"/>
      <c r="R3" s="1976"/>
      <c r="S3" s="1976"/>
      <c r="U3" s="359"/>
      <c r="V3" s="1976"/>
      <c r="W3" s="1976"/>
      <c r="X3" s="1976"/>
    </row>
    <row r="4" spans="2:24" ht="15" customHeight="1">
      <c r="B4" s="1120" t="s">
        <v>1021</v>
      </c>
      <c r="C4" s="1082"/>
      <c r="D4" s="1082"/>
      <c r="E4" s="1082"/>
      <c r="F4" s="1082"/>
      <c r="G4" s="1082"/>
      <c r="H4" s="1109"/>
      <c r="I4" s="2434">
        <f>-SUMIF('MATRIZCTAS(a)'!$AA$7:$AA$1764,'Parametros Cuadros de Notas'!$C3,'MATRIZCTAS(a)'!$AH$7:$AH$1764)</f>
        <v>1087288</v>
      </c>
      <c r="J4" s="2435"/>
      <c r="K4" s="2435"/>
      <c r="L4" s="2436"/>
      <c r="N4" s="1976"/>
      <c r="O4" s="1976"/>
      <c r="P4" s="1976"/>
      <c r="Q4" s="1976"/>
      <c r="R4" s="1976"/>
      <c r="S4" s="1976"/>
      <c r="U4" s="359"/>
      <c r="V4" s="1976"/>
      <c r="W4" s="1976"/>
      <c r="X4" s="1976"/>
    </row>
    <row r="5" spans="2:24" ht="15" customHeight="1">
      <c r="B5" s="1120" t="s">
        <v>1457</v>
      </c>
      <c r="C5" s="1082"/>
      <c r="D5" s="1082"/>
      <c r="E5" s="1082"/>
      <c r="F5" s="1082"/>
      <c r="G5" s="1082"/>
      <c r="H5" s="1109"/>
      <c r="I5" s="2434">
        <f>-SUMIF('MATRIZCTAS(a)'!$AA$7:$AA$1764,'Parametros Cuadros de Notas'!$C4,'MATRIZCTAS(a)'!$AH$7:$AH$1764)</f>
        <v>-18016</v>
      </c>
      <c r="J5" s="2435"/>
      <c r="K5" s="2435"/>
      <c r="L5" s="2436"/>
      <c r="N5" s="1976"/>
      <c r="O5" s="1976"/>
      <c r="P5" s="1976"/>
      <c r="Q5" s="1976"/>
      <c r="R5" s="1976"/>
      <c r="S5" s="1976"/>
      <c r="U5" s="359"/>
      <c r="V5" s="1976"/>
      <c r="W5" s="1976"/>
      <c r="X5" s="1976"/>
    </row>
    <row r="6" spans="2:24" ht="15" customHeight="1">
      <c r="B6" s="1112" t="s">
        <v>1022</v>
      </c>
      <c r="C6" s="1082"/>
      <c r="D6" s="1082"/>
      <c r="E6" s="1082"/>
      <c r="F6" s="1082"/>
      <c r="G6" s="1082"/>
      <c r="H6" s="1109"/>
      <c r="I6" s="2434">
        <f>-SUMIF('MATRIZCTAS(a)'!$AA$7:$AA$1764,'Parametros Cuadros de Notas'!$C5,'MATRIZCTAS(a)'!$AH$7:$AH$1764)</f>
        <v>0</v>
      </c>
      <c r="J6" s="2435"/>
      <c r="K6" s="2435"/>
      <c r="L6" s="2436"/>
      <c r="N6" s="1976"/>
      <c r="O6" s="1976"/>
      <c r="P6" s="1976"/>
      <c r="Q6" s="1976"/>
      <c r="R6" s="1976"/>
      <c r="S6" s="1976"/>
      <c r="U6" s="359"/>
      <c r="V6" s="1976"/>
      <c r="W6" s="1976"/>
      <c r="X6" s="1976"/>
    </row>
    <row r="7" spans="2:24" ht="15" customHeight="1">
      <c r="B7" s="1112" t="s">
        <v>379</v>
      </c>
      <c r="C7" s="1082"/>
      <c r="D7" s="1082"/>
      <c r="E7" s="1082"/>
      <c r="F7" s="1082"/>
      <c r="G7" s="1082"/>
      <c r="H7" s="1109"/>
      <c r="I7" s="2434">
        <f>-SUMIF('MATRIZCTAS(a)'!$AA$7:$AA$1764,'Parametros Cuadros de Notas'!$C6,'MATRIZCTAS(a)'!$AH$7:$AH$1764)</f>
        <v>-18111658</v>
      </c>
      <c r="J7" s="2435"/>
      <c r="K7" s="2435"/>
      <c r="L7" s="2436"/>
      <c r="N7" s="1976"/>
      <c r="O7" s="1976"/>
      <c r="P7" s="1976"/>
      <c r="Q7" s="1976"/>
      <c r="R7" s="1976"/>
      <c r="S7" s="1976"/>
      <c r="U7" s="359"/>
      <c r="V7" s="1976"/>
      <c r="W7" s="1976"/>
      <c r="X7" s="1976"/>
    </row>
    <row r="8" spans="2:24" ht="15" customHeight="1" thickBot="1">
      <c r="B8" s="1121" t="s">
        <v>1558</v>
      </c>
      <c r="C8" s="1094"/>
      <c r="D8" s="1094"/>
      <c r="E8" s="1094"/>
      <c r="F8" s="1094"/>
      <c r="G8" s="1094"/>
      <c r="H8" s="1103"/>
      <c r="I8" s="2437">
        <f>-SUMIF('MATRIZCTAS(a)'!$AA$7:$AA$1764,'Parametros Cuadros de Notas'!$C7,'MATRIZCTAS(a)'!$AH$7:$AH$1764)</f>
        <v>-41880</v>
      </c>
      <c r="J8" s="2438"/>
      <c r="K8" s="2438"/>
      <c r="L8" s="2439"/>
      <c r="N8" s="1976"/>
      <c r="O8" s="1976"/>
      <c r="P8" s="1976"/>
      <c r="Q8" s="1976"/>
      <c r="R8" s="1976"/>
      <c r="S8" s="1976"/>
      <c r="U8" s="359"/>
      <c r="V8" s="1976"/>
      <c r="W8" s="1976"/>
      <c r="X8" s="1976"/>
    </row>
    <row r="9" spans="2:24" ht="15" customHeight="1" thickBot="1">
      <c r="B9" s="1122" t="s">
        <v>1726</v>
      </c>
      <c r="C9" s="1123"/>
      <c r="D9" s="1123"/>
      <c r="E9" s="1123"/>
      <c r="F9" s="1123"/>
      <c r="G9" s="1123"/>
      <c r="H9" s="1123"/>
      <c r="I9" s="2440">
        <f>SUM(I3:I8)</f>
        <v>1919480</v>
      </c>
      <c r="J9" s="2441"/>
      <c r="K9" s="2441"/>
      <c r="L9" s="2442"/>
    </row>
    <row r="10" spans="2:24" ht="12" thickBot="1">
      <c r="B10" s="561"/>
      <c r="C10" s="561"/>
      <c r="D10" s="561"/>
      <c r="E10" s="561"/>
      <c r="F10" s="561"/>
      <c r="G10" s="561"/>
      <c r="H10" s="561"/>
      <c r="I10" s="561"/>
      <c r="J10" s="561"/>
      <c r="K10" s="561"/>
      <c r="L10" s="561"/>
    </row>
    <row r="11" spans="2:24" ht="15" customHeight="1" thickBot="1">
      <c r="B11" s="802" t="s">
        <v>1727</v>
      </c>
      <c r="C11" s="798"/>
      <c r="D11" s="798"/>
      <c r="E11" s="798"/>
      <c r="F11" s="798"/>
      <c r="G11" s="798"/>
      <c r="H11" s="798"/>
      <c r="I11" s="1762">
        <f>-SUMIF('MATRIZCTAS(a)'!$AA$7:$AA$1599,'Parametros Cuadros de Notas'!$C8,'MATRIZCTAS(a)'!$AH$7:$AH$1599)</f>
        <v>0</v>
      </c>
      <c r="J11" s="1763"/>
      <c r="K11" s="1763"/>
      <c r="L11" s="2174"/>
    </row>
    <row r="12" spans="2:24" ht="12" thickBot="1">
      <c r="B12" s="561"/>
      <c r="C12" s="561"/>
      <c r="D12" s="561"/>
      <c r="E12" s="561"/>
      <c r="F12" s="561"/>
      <c r="G12" s="561"/>
      <c r="H12" s="561"/>
      <c r="I12" s="561"/>
      <c r="J12" s="561"/>
      <c r="K12" s="561"/>
      <c r="L12" s="561"/>
    </row>
    <row r="13" spans="2:24" ht="24.95" customHeight="1" thickBot="1">
      <c r="B13" s="1124" t="s">
        <v>213</v>
      </c>
      <c r="C13" s="1125"/>
      <c r="D13" s="1125"/>
      <c r="E13" s="1125"/>
      <c r="F13" s="1125"/>
      <c r="G13" s="1125"/>
      <c r="H13" s="1125"/>
      <c r="I13" s="2399">
        <f>+I9+I11</f>
        <v>1919480</v>
      </c>
      <c r="J13" s="2455"/>
      <c r="K13" s="2455"/>
      <c r="L13" s="2456"/>
    </row>
    <row r="15" spans="2:24" ht="12" thickBot="1"/>
    <row r="16" spans="2:24" ht="24.95" customHeight="1" thickBot="1">
      <c r="B16" s="302" t="s">
        <v>895</v>
      </c>
      <c r="C16" s="303"/>
      <c r="D16" s="303"/>
      <c r="E16" s="303"/>
      <c r="F16" s="303"/>
      <c r="G16" s="303"/>
      <c r="H16" s="303"/>
      <c r="I16" s="1957" t="s">
        <v>1885</v>
      </c>
      <c r="J16" s="1957"/>
      <c r="K16" s="1957"/>
      <c r="L16" s="1974"/>
    </row>
    <row r="17" spans="2:21" ht="15" customHeight="1">
      <c r="B17" s="1126" t="s">
        <v>896</v>
      </c>
      <c r="C17" s="1100"/>
      <c r="D17" s="1100"/>
      <c r="E17" s="1100"/>
      <c r="F17" s="805"/>
      <c r="G17" s="805"/>
      <c r="H17" s="805"/>
      <c r="I17" s="2431">
        <f>+'Cuadros Notas'!N475</f>
        <v>154401</v>
      </c>
      <c r="J17" s="2432"/>
      <c r="K17" s="2432"/>
      <c r="L17" s="2433"/>
    </row>
    <row r="18" spans="2:21" ht="15" customHeight="1" thickBot="1">
      <c r="B18" s="1112" t="s">
        <v>289</v>
      </c>
      <c r="C18" s="1109"/>
      <c r="D18" s="1109"/>
      <c r="E18" s="1109"/>
      <c r="F18" s="806"/>
      <c r="G18" s="806"/>
      <c r="H18" s="806"/>
      <c r="I18" s="2434">
        <f>+'Cuadros Notas'!N476</f>
        <v>0</v>
      </c>
      <c r="J18" s="2435"/>
      <c r="K18" s="2435"/>
      <c r="L18" s="2436"/>
    </row>
    <row r="19" spans="2:21" ht="24.95" customHeight="1" thickBot="1">
      <c r="B19" s="1124" t="s">
        <v>1333</v>
      </c>
      <c r="C19" s="1125"/>
      <c r="D19" s="1125"/>
      <c r="E19" s="1125"/>
      <c r="F19" s="1125"/>
      <c r="G19" s="1125"/>
      <c r="H19" s="1125"/>
      <c r="I19" s="2399">
        <f>SUM(I17:I18)</f>
        <v>154401</v>
      </c>
      <c r="J19" s="2455"/>
      <c r="K19" s="2455"/>
      <c r="L19" s="2456"/>
    </row>
    <row r="21" spans="2:21" ht="12" thickBot="1"/>
    <row r="22" spans="2:21" ht="50.1" customHeight="1" thickBot="1">
      <c r="B22" s="2458" t="s">
        <v>942</v>
      </c>
      <c r="C22" s="1846"/>
      <c r="D22" s="1846"/>
      <c r="E22" s="1846"/>
      <c r="F22" s="1847" t="s">
        <v>943</v>
      </c>
      <c r="G22" s="1846"/>
      <c r="H22" s="1846"/>
      <c r="I22" s="1847" t="s">
        <v>944</v>
      </c>
      <c r="J22" s="1846"/>
      <c r="K22" s="1846"/>
      <c r="L22" s="1847" t="s">
        <v>945</v>
      </c>
      <c r="M22" s="1846"/>
      <c r="N22" s="1846"/>
      <c r="O22" s="1847" t="s">
        <v>946</v>
      </c>
      <c r="P22" s="1846"/>
      <c r="Q22" s="1846"/>
      <c r="R22" s="1847" t="s">
        <v>947</v>
      </c>
      <c r="S22" s="1846"/>
      <c r="T22" s="2030"/>
    </row>
    <row r="23" spans="2:21" ht="20.100000000000001" customHeight="1" thickBot="1">
      <c r="B23" s="610" t="s">
        <v>948</v>
      </c>
      <c r="C23" s="611"/>
      <c r="D23" s="611"/>
      <c r="E23" s="611"/>
      <c r="F23" s="1814"/>
      <c r="G23" s="1814"/>
      <c r="H23" s="1814"/>
      <c r="I23" s="1814"/>
      <c r="J23" s="1814"/>
      <c r="K23" s="1814"/>
      <c r="L23" s="1814"/>
      <c r="M23" s="1814"/>
      <c r="N23" s="1815"/>
      <c r="O23" s="2031">
        <f>SUM(O24:Q28)</f>
        <v>10449634</v>
      </c>
      <c r="P23" s="2032"/>
      <c r="Q23" s="2446"/>
      <c r="R23" s="2031">
        <f>SUM(R24:T28)</f>
        <v>10449634</v>
      </c>
      <c r="S23" s="2032"/>
      <c r="T23" s="2033"/>
    </row>
    <row r="24" spans="2:21" ht="20.100000000000001" customHeight="1">
      <c r="B24" s="2461" t="s">
        <v>2645</v>
      </c>
      <c r="C24" s="1752"/>
      <c r="D24" s="1752"/>
      <c r="E24" s="1753"/>
      <c r="F24" s="1751" t="s">
        <v>2646</v>
      </c>
      <c r="G24" s="1752"/>
      <c r="H24" s="2457"/>
      <c r="I24" s="2454">
        <v>40907</v>
      </c>
      <c r="J24" s="2454"/>
      <c r="K24" s="2454"/>
      <c r="L24" s="2460">
        <v>40910</v>
      </c>
      <c r="M24" s="2460"/>
      <c r="N24" s="2460"/>
      <c r="O24" s="2036">
        <v>10449634</v>
      </c>
      <c r="P24" s="2036"/>
      <c r="Q24" s="2036"/>
      <c r="R24" s="2034">
        <v>10449634</v>
      </c>
      <c r="S24" s="2034"/>
      <c r="T24" s="2035"/>
    </row>
    <row r="25" spans="2:21" ht="20.100000000000001" hidden="1" customHeight="1">
      <c r="B25" s="690"/>
      <c r="C25" s="691"/>
      <c r="D25" s="691"/>
      <c r="E25" s="691"/>
      <c r="F25" s="692"/>
      <c r="G25" s="691"/>
      <c r="H25" s="693"/>
      <c r="I25" s="2447"/>
      <c r="J25" s="2447"/>
      <c r="K25" s="2447"/>
      <c r="L25" s="2459"/>
      <c r="M25" s="2459"/>
      <c r="N25" s="2459"/>
      <c r="O25" s="2448"/>
      <c r="P25" s="2448"/>
      <c r="Q25" s="2448"/>
      <c r="R25" s="2037"/>
      <c r="S25" s="2037"/>
      <c r="T25" s="2038"/>
    </row>
    <row r="26" spans="2:21" ht="20.100000000000001" hidden="1" customHeight="1">
      <c r="B26" s="694"/>
      <c r="C26" s="691"/>
      <c r="D26" s="691"/>
      <c r="E26" s="691"/>
      <c r="F26" s="692"/>
      <c r="G26" s="691"/>
      <c r="H26" s="693"/>
      <c r="I26" s="2459"/>
      <c r="J26" s="2459"/>
      <c r="K26" s="2459"/>
      <c r="L26" s="2459"/>
      <c r="M26" s="2459"/>
      <c r="N26" s="2459"/>
      <c r="O26" s="2448"/>
      <c r="P26" s="2448"/>
      <c r="Q26" s="2448"/>
      <c r="R26" s="2037"/>
      <c r="S26" s="2037"/>
      <c r="T26" s="2038"/>
    </row>
    <row r="27" spans="2:21" ht="20.100000000000001" hidden="1" customHeight="1">
      <c r="B27" s="695"/>
      <c r="C27" s="696"/>
      <c r="D27" s="696"/>
      <c r="E27" s="696"/>
      <c r="F27" s="697"/>
      <c r="G27" s="696"/>
      <c r="H27" s="698"/>
      <c r="I27" s="2445"/>
      <c r="J27" s="2445"/>
      <c r="K27" s="2445"/>
      <c r="L27" s="2445"/>
      <c r="M27" s="2445"/>
      <c r="N27" s="2445"/>
      <c r="O27" s="2448"/>
      <c r="P27" s="2448"/>
      <c r="Q27" s="2448"/>
      <c r="R27" s="2037"/>
      <c r="S27" s="2037"/>
      <c r="T27" s="2038"/>
    </row>
    <row r="28" spans="2:21" ht="15" customHeight="1" thickBot="1">
      <c r="B28" s="2462" t="s">
        <v>1805</v>
      </c>
      <c r="C28" s="2451"/>
      <c r="D28" s="2451"/>
      <c r="E28" s="2463"/>
      <c r="F28" s="2450" t="s">
        <v>1805</v>
      </c>
      <c r="G28" s="2451"/>
      <c r="H28" s="2452"/>
      <c r="I28" s="2453" t="s">
        <v>1805</v>
      </c>
      <c r="J28" s="2453"/>
      <c r="K28" s="2453"/>
      <c r="L28" s="2443" t="s">
        <v>1805</v>
      </c>
      <c r="M28" s="2443"/>
      <c r="N28" s="2443"/>
      <c r="O28" s="2444" t="s">
        <v>1805</v>
      </c>
      <c r="P28" s="2444"/>
      <c r="Q28" s="2444"/>
      <c r="R28" s="2444" t="s">
        <v>1805</v>
      </c>
      <c r="S28" s="2444"/>
      <c r="T28" s="2471"/>
    </row>
    <row r="29" spans="2:21" ht="15" customHeight="1"/>
    <row r="30" spans="2:21" ht="15" customHeight="1" thickBot="1"/>
    <row r="31" spans="2:21" ht="24.95" customHeight="1" thickBot="1">
      <c r="B31" s="311"/>
      <c r="C31" s="312"/>
      <c r="D31" s="312"/>
      <c r="E31" s="313"/>
      <c r="F31" s="313"/>
      <c r="G31" s="313"/>
      <c r="H31" s="313"/>
      <c r="I31" s="313"/>
      <c r="J31" s="313"/>
      <c r="K31" s="313"/>
      <c r="L31" s="313"/>
      <c r="M31" s="1557" t="s">
        <v>1820</v>
      </c>
      <c r="N31" s="1557"/>
      <c r="O31" s="1557"/>
      <c r="P31" s="2466" t="s">
        <v>949</v>
      </c>
      <c r="Q31" s="1557"/>
      <c r="R31" s="1557"/>
      <c r="S31" s="2466" t="s">
        <v>1821</v>
      </c>
      <c r="T31" s="1557"/>
      <c r="U31" s="2467"/>
    </row>
    <row r="32" spans="2:21" ht="24.95" customHeight="1" thickBot="1">
      <c r="B32" s="1067" t="str">
        <f>'FECU(a)'!D9</f>
        <v>INVERSIONES</v>
      </c>
      <c r="C32" s="1068"/>
      <c r="D32" s="1069"/>
      <c r="E32" s="1070"/>
      <c r="F32" s="1070"/>
      <c r="G32" s="1070"/>
      <c r="H32" s="1070"/>
      <c r="I32" s="1070"/>
      <c r="J32" s="1070"/>
      <c r="K32" s="1070"/>
      <c r="L32" s="1070"/>
      <c r="M32" s="1071"/>
      <c r="N32" s="1070"/>
      <c r="O32" s="1072"/>
      <c r="P32" s="1071"/>
      <c r="Q32" s="1070"/>
      <c r="R32" s="1072"/>
      <c r="S32" s="2468">
        <f>SUM(P33,P62)</f>
        <v>1944943784</v>
      </c>
      <c r="T32" s="2468"/>
      <c r="U32" s="2469"/>
    </row>
    <row r="33" spans="2:21">
      <c r="B33" s="1073" t="str">
        <f>'FECU(a)'!D10</f>
        <v>FINANCIERAS</v>
      </c>
      <c r="C33" s="1074"/>
      <c r="D33" s="1074"/>
      <c r="E33" s="805"/>
      <c r="F33" s="805"/>
      <c r="G33" s="805"/>
      <c r="H33" s="805"/>
      <c r="I33" s="805"/>
      <c r="J33" s="805"/>
      <c r="K33" s="805"/>
      <c r="L33" s="1075"/>
      <c r="M33" s="1076"/>
      <c r="N33" s="806"/>
      <c r="O33" s="1077"/>
      <c r="P33" s="2470">
        <f>SUM(P34,M40,M43,P46,P56,P57,P60,P61)</f>
        <v>1682526905</v>
      </c>
      <c r="Q33" s="2470"/>
      <c r="R33" s="2470"/>
      <c r="S33" s="1076"/>
      <c r="T33" s="806"/>
      <c r="U33" s="1078"/>
    </row>
    <row r="34" spans="2:21">
      <c r="B34" s="1079" t="str">
        <f>'FECU(a)'!D11</f>
        <v>Renta Fija</v>
      </c>
      <c r="C34" s="1080"/>
      <c r="D34" s="1080"/>
      <c r="E34" s="806"/>
      <c r="F34" s="806"/>
      <c r="G34" s="806"/>
      <c r="H34" s="806"/>
      <c r="I34" s="806"/>
      <c r="J34" s="806"/>
      <c r="K34" s="806"/>
      <c r="L34" s="1077"/>
      <c r="M34" s="1076"/>
      <c r="N34" s="806"/>
      <c r="O34" s="1077"/>
      <c r="P34" s="2449">
        <f>SUM(M35:M38)</f>
        <v>1275300358</v>
      </c>
      <c r="Q34" s="2449"/>
      <c r="R34" s="2449"/>
      <c r="S34" s="1076"/>
      <c r="T34" s="806"/>
      <c r="U34" s="1078"/>
    </row>
    <row r="35" spans="2:21">
      <c r="B35" s="1081" t="str">
        <f>'FECU(a)'!D12</f>
        <v>Títulos de Deuda Emit. y Garant. por el Estado y Bco. Cent.</v>
      </c>
      <c r="C35" s="1082"/>
      <c r="D35" s="1082"/>
      <c r="E35" s="806"/>
      <c r="F35" s="806"/>
      <c r="G35" s="806"/>
      <c r="H35" s="806"/>
      <c r="I35" s="806"/>
      <c r="J35" s="806"/>
      <c r="K35" s="806"/>
      <c r="L35" s="1077"/>
      <c r="M35" s="2430">
        <f>+'FECU(a)'!E12</f>
        <v>57400304</v>
      </c>
      <c r="N35" s="2430"/>
      <c r="O35" s="2430"/>
      <c r="P35" s="1076"/>
      <c r="Q35" s="806"/>
      <c r="R35" s="1077"/>
      <c r="S35" s="1076"/>
      <c r="T35" s="806"/>
      <c r="U35" s="1078"/>
    </row>
    <row r="36" spans="2:21">
      <c r="B36" s="1081" t="str">
        <f>'FECU(a)'!D13</f>
        <v>Títulos de Deuda Emit. por el sist. Bancario y Financiero</v>
      </c>
      <c r="C36" s="1082"/>
      <c r="D36" s="1082"/>
      <c r="E36" s="806"/>
      <c r="F36" s="806"/>
      <c r="G36" s="806"/>
      <c r="H36" s="806"/>
      <c r="I36" s="806"/>
      <c r="J36" s="806"/>
      <c r="K36" s="806"/>
      <c r="L36" s="1077"/>
      <c r="M36" s="2430">
        <f>+'FECU(a)'!E13</f>
        <v>206323305</v>
      </c>
      <c r="N36" s="2430"/>
      <c r="O36" s="2430"/>
      <c r="P36" s="1076"/>
      <c r="Q36" s="806"/>
      <c r="R36" s="1077"/>
      <c r="S36" s="1076"/>
      <c r="T36" s="806"/>
      <c r="U36" s="1078"/>
    </row>
    <row r="37" spans="2:21">
      <c r="B37" s="1081" t="str">
        <f>'FECU(a)'!D14</f>
        <v>Títulos de Deuda Emit. por sociedades inscritas en S.V.S.</v>
      </c>
      <c r="C37" s="1082"/>
      <c r="D37" s="1082"/>
      <c r="E37" s="806"/>
      <c r="F37" s="806"/>
      <c r="G37" s="806"/>
      <c r="H37" s="806"/>
      <c r="I37" s="806"/>
      <c r="J37" s="806"/>
      <c r="K37" s="806"/>
      <c r="L37" s="1077"/>
      <c r="M37" s="2430">
        <f>+'FECU(a)'!E14</f>
        <v>712449760</v>
      </c>
      <c r="N37" s="2430"/>
      <c r="O37" s="2430"/>
      <c r="P37" s="1076"/>
      <c r="Q37" s="806"/>
      <c r="R37" s="1077"/>
      <c r="S37" s="1076"/>
      <c r="T37" s="806"/>
      <c r="U37" s="1078"/>
    </row>
    <row r="38" spans="2:21">
      <c r="B38" s="1081" t="str">
        <f>'FECU(a)'!D15</f>
        <v>Mutuos Hipotecarios Endosables</v>
      </c>
      <c r="C38" s="1082"/>
      <c r="D38" s="1082"/>
      <c r="E38" s="806"/>
      <c r="F38" s="806"/>
      <c r="G38" s="806"/>
      <c r="H38" s="806"/>
      <c r="I38" s="806"/>
      <c r="J38" s="806"/>
      <c r="K38" s="806"/>
      <c r="L38" s="1077"/>
      <c r="M38" s="2430">
        <f>+'FECU(a)'!E15</f>
        <v>299126989</v>
      </c>
      <c r="N38" s="2430"/>
      <c r="O38" s="2430"/>
      <c r="P38" s="1076"/>
      <c r="Q38" s="806"/>
      <c r="R38" s="1077"/>
      <c r="S38" s="1076"/>
      <c r="T38" s="806"/>
      <c r="U38" s="1078"/>
    </row>
    <row r="39" spans="2:21">
      <c r="B39" s="1079" t="str">
        <f>'FECU(a)'!D16</f>
        <v>Renta Variable</v>
      </c>
      <c r="C39" s="1080"/>
      <c r="D39" s="1080"/>
      <c r="E39" s="806"/>
      <c r="F39" s="806"/>
      <c r="G39" s="806"/>
      <c r="H39" s="806"/>
      <c r="I39" s="806"/>
      <c r="J39" s="806"/>
      <c r="K39" s="806"/>
      <c r="L39" s="1077"/>
      <c r="M39" s="1076"/>
      <c r="N39" s="806"/>
      <c r="O39" s="1077"/>
      <c r="P39" s="2449">
        <f>SUM(M40,M43)</f>
        <v>105217279</v>
      </c>
      <c r="Q39" s="2449"/>
      <c r="R39" s="2449"/>
      <c r="S39" s="1076"/>
      <c r="T39" s="806"/>
      <c r="U39" s="1078"/>
    </row>
    <row r="40" spans="2:21">
      <c r="B40" s="1083" t="str">
        <f>'FECU(a)'!D17</f>
        <v>Acciones</v>
      </c>
      <c r="C40" s="1080"/>
      <c r="D40" s="1080"/>
      <c r="E40" s="806"/>
      <c r="F40" s="806"/>
      <c r="G40" s="806"/>
      <c r="H40" s="806"/>
      <c r="I40" s="806"/>
      <c r="J40" s="806"/>
      <c r="K40" s="806"/>
      <c r="L40" s="1077"/>
      <c r="M40" s="2430">
        <f>SUM(M41:M42)</f>
        <v>63724497</v>
      </c>
      <c r="N40" s="2430"/>
      <c r="O40" s="2430"/>
      <c r="P40" s="1076"/>
      <c r="Q40" s="806"/>
      <c r="R40" s="1077"/>
      <c r="S40" s="1076"/>
      <c r="T40" s="806"/>
      <c r="U40" s="1078"/>
    </row>
    <row r="41" spans="2:21">
      <c r="B41" s="1081" t="str">
        <f>'FECU(a)'!D18</f>
        <v>Acciones de Sociedades Anónimas Abiertas</v>
      </c>
      <c r="C41" s="1082"/>
      <c r="D41" s="1082"/>
      <c r="E41" s="806"/>
      <c r="F41" s="806"/>
      <c r="G41" s="806"/>
      <c r="H41" s="806"/>
      <c r="I41" s="806"/>
      <c r="J41" s="806"/>
      <c r="K41" s="806"/>
      <c r="L41" s="1077"/>
      <c r="M41" s="2430">
        <f>+'FECU(a)'!E18</f>
        <v>49674947</v>
      </c>
      <c r="N41" s="2430"/>
      <c r="O41" s="2430"/>
      <c r="P41" s="1076"/>
      <c r="Q41" s="806"/>
      <c r="R41" s="1077"/>
      <c r="S41" s="1076"/>
      <c r="T41" s="806"/>
      <c r="U41" s="1078"/>
    </row>
    <row r="42" spans="2:21">
      <c r="B42" s="1081" t="str">
        <f>'FECU(a)'!D19</f>
        <v>Acciones de Sociedades Anónimas Cerradas</v>
      </c>
      <c r="C42" s="1082"/>
      <c r="D42" s="1082"/>
      <c r="E42" s="806"/>
      <c r="F42" s="806"/>
      <c r="G42" s="806"/>
      <c r="H42" s="806"/>
      <c r="I42" s="806"/>
      <c r="J42" s="806"/>
      <c r="K42" s="806"/>
      <c r="L42" s="1077"/>
      <c r="M42" s="2430">
        <f>+'FECU(a)'!E19</f>
        <v>14049550</v>
      </c>
      <c r="N42" s="2430"/>
      <c r="O42" s="2430"/>
      <c r="P42" s="1076"/>
      <c r="Q42" s="806"/>
      <c r="R42" s="1077"/>
      <c r="S42" s="1076"/>
      <c r="T42" s="806"/>
      <c r="U42" s="1078"/>
    </row>
    <row r="43" spans="2:21">
      <c r="B43" s="1083" t="str">
        <f>'FECU(a)'!D20</f>
        <v>Cuotas de Fondos</v>
      </c>
      <c r="C43" s="1080"/>
      <c r="D43" s="1080"/>
      <c r="E43" s="806"/>
      <c r="F43" s="806"/>
      <c r="G43" s="806"/>
      <c r="H43" s="806"/>
      <c r="I43" s="806"/>
      <c r="J43" s="806"/>
      <c r="K43" s="806"/>
      <c r="L43" s="1077"/>
      <c r="M43" s="2430">
        <f>SUM(M44:M45)</f>
        <v>41492782</v>
      </c>
      <c r="N43" s="2430"/>
      <c r="O43" s="2430"/>
      <c r="P43" s="1076"/>
      <c r="Q43" s="806"/>
      <c r="R43" s="1077"/>
      <c r="S43" s="1076"/>
      <c r="T43" s="806"/>
      <c r="U43" s="1078"/>
    </row>
    <row r="44" spans="2:21">
      <c r="B44" s="1081" t="str">
        <f>'FECU(a)'!D21</f>
        <v>Cuotas de Fondos de Inversión</v>
      </c>
      <c r="C44" s="1082"/>
      <c r="D44" s="1082"/>
      <c r="E44" s="806"/>
      <c r="F44" s="806"/>
      <c r="G44" s="806"/>
      <c r="H44" s="806"/>
      <c r="I44" s="806"/>
      <c r="J44" s="806"/>
      <c r="K44" s="806"/>
      <c r="L44" s="1077"/>
      <c r="M44" s="2430">
        <f>+'FECU(a)'!E21</f>
        <v>39775193</v>
      </c>
      <c r="N44" s="2430"/>
      <c r="O44" s="2430"/>
      <c r="P44" s="1076"/>
      <c r="Q44" s="806"/>
      <c r="R44" s="1077"/>
      <c r="S44" s="1076"/>
      <c r="T44" s="806"/>
      <c r="U44" s="1078"/>
    </row>
    <row r="45" spans="2:21">
      <c r="B45" s="1081" t="str">
        <f>'FECU(a)'!D22</f>
        <v>Cuotas de Fondos Mutuos</v>
      </c>
      <c r="C45" s="1082"/>
      <c r="D45" s="1082"/>
      <c r="E45" s="806"/>
      <c r="F45" s="806"/>
      <c r="G45" s="806"/>
      <c r="H45" s="806"/>
      <c r="I45" s="806"/>
      <c r="J45" s="806"/>
      <c r="K45" s="806"/>
      <c r="L45" s="1077"/>
      <c r="M45" s="2430">
        <f>+'FECU(a)'!E22</f>
        <v>1717589</v>
      </c>
      <c r="N45" s="2430"/>
      <c r="O45" s="2430"/>
      <c r="P45" s="1076"/>
      <c r="Q45" s="806"/>
      <c r="R45" s="1077"/>
      <c r="S45" s="1076"/>
      <c r="T45" s="806"/>
      <c r="U45" s="1078"/>
    </row>
    <row r="46" spans="2:21">
      <c r="B46" s="1079" t="s">
        <v>488</v>
      </c>
      <c r="C46" s="1080"/>
      <c r="D46" s="1080"/>
      <c r="E46" s="806"/>
      <c r="F46" s="806"/>
      <c r="G46" s="806"/>
      <c r="H46" s="806"/>
      <c r="I46" s="806"/>
      <c r="J46" s="806"/>
      <c r="K46" s="806"/>
      <c r="L46" s="1077"/>
      <c r="M46" s="1076"/>
      <c r="N46" s="806"/>
      <c r="O46" s="1077"/>
      <c r="P46" s="2449">
        <f>SUM(M47:M55)</f>
        <v>214770740</v>
      </c>
      <c r="Q46" s="2449"/>
      <c r="R46" s="2449"/>
      <c r="S46" s="1076"/>
      <c r="T46" s="806"/>
      <c r="U46" s="1078"/>
    </row>
    <row r="47" spans="2:21">
      <c r="B47" s="1081" t="s">
        <v>508</v>
      </c>
      <c r="C47" s="1082"/>
      <c r="D47" s="1082"/>
      <c r="E47" s="806"/>
      <c r="F47" s="806"/>
      <c r="G47" s="806"/>
      <c r="H47" s="806"/>
      <c r="I47" s="806"/>
      <c r="J47" s="806"/>
      <c r="K47" s="806"/>
      <c r="L47" s="1077"/>
      <c r="M47" s="2430">
        <f>+'FECU(a)'!E24</f>
        <v>0</v>
      </c>
      <c r="N47" s="2430"/>
      <c r="O47" s="2430"/>
      <c r="P47" s="1076"/>
      <c r="Q47" s="806"/>
      <c r="R47" s="1077"/>
      <c r="S47" s="1076"/>
      <c r="T47" s="806"/>
      <c r="U47" s="1078"/>
    </row>
    <row r="48" spans="2:21">
      <c r="B48" s="1081" t="s">
        <v>1615</v>
      </c>
      <c r="C48" s="1082"/>
      <c r="D48" s="1082"/>
      <c r="E48" s="806"/>
      <c r="F48" s="806"/>
      <c r="G48" s="806"/>
      <c r="H48" s="806"/>
      <c r="I48" s="806"/>
      <c r="J48" s="806"/>
      <c r="K48" s="806"/>
      <c r="L48" s="1077"/>
      <c r="M48" s="2430">
        <f>+'FECU(a)'!E25</f>
        <v>39872664</v>
      </c>
      <c r="N48" s="2430"/>
      <c r="O48" s="2430"/>
      <c r="P48" s="1076"/>
      <c r="Q48" s="806"/>
      <c r="R48" s="1077"/>
      <c r="S48" s="1076"/>
      <c r="T48" s="806"/>
      <c r="U48" s="1078"/>
    </row>
    <row r="49" spans="2:30">
      <c r="B49" s="1081" t="s">
        <v>1616</v>
      </c>
      <c r="C49" s="1082"/>
      <c r="D49" s="1082"/>
      <c r="E49" s="806"/>
      <c r="F49" s="806"/>
      <c r="G49" s="806"/>
      <c r="H49" s="806"/>
      <c r="I49" s="806"/>
      <c r="J49" s="806"/>
      <c r="K49" s="806"/>
      <c r="L49" s="1077"/>
      <c r="M49" s="2430">
        <f>+'FECU(a)'!E26</f>
        <v>0</v>
      </c>
      <c r="N49" s="2430"/>
      <c r="O49" s="2430"/>
      <c r="P49" s="1076"/>
      <c r="Q49" s="806"/>
      <c r="R49" s="1077"/>
      <c r="S49" s="1076"/>
      <c r="T49" s="806"/>
      <c r="U49" s="1078"/>
    </row>
    <row r="50" spans="2:30">
      <c r="B50" s="1081" t="s">
        <v>1617</v>
      </c>
      <c r="C50" s="1082"/>
      <c r="D50" s="1082"/>
      <c r="E50" s="806"/>
      <c r="F50" s="806"/>
      <c r="G50" s="806"/>
      <c r="H50" s="806"/>
      <c r="I50" s="806"/>
      <c r="J50" s="806"/>
      <c r="K50" s="806"/>
      <c r="L50" s="1077"/>
      <c r="M50" s="2430">
        <f>+'FECU(a)'!E27</f>
        <v>111491917</v>
      </c>
      <c r="N50" s="2430"/>
      <c r="O50" s="2430"/>
      <c r="P50" s="1076"/>
      <c r="Q50" s="806"/>
      <c r="R50" s="1077"/>
      <c r="S50" s="1076"/>
      <c r="T50" s="806"/>
      <c r="U50" s="1078"/>
    </row>
    <row r="51" spans="2:30">
      <c r="B51" s="1081" t="s">
        <v>1618</v>
      </c>
      <c r="C51" s="1082"/>
      <c r="D51" s="1082"/>
      <c r="E51" s="806"/>
      <c r="F51" s="806"/>
      <c r="G51" s="806"/>
      <c r="H51" s="806"/>
      <c r="I51" s="806"/>
      <c r="J51" s="806"/>
      <c r="K51" s="806"/>
      <c r="L51" s="1077"/>
      <c r="M51" s="2430">
        <f>+'FECU(a)'!E28</f>
        <v>0</v>
      </c>
      <c r="N51" s="2430"/>
      <c r="O51" s="2430"/>
      <c r="P51" s="1076"/>
      <c r="Q51" s="806"/>
      <c r="R51" s="1077"/>
      <c r="S51" s="1076"/>
      <c r="T51" s="806"/>
      <c r="U51" s="1078"/>
    </row>
    <row r="52" spans="2:30">
      <c r="B52" s="1081" t="s">
        <v>1619</v>
      </c>
      <c r="C52" s="1082"/>
      <c r="D52" s="1082"/>
      <c r="E52" s="806"/>
      <c r="F52" s="806"/>
      <c r="G52" s="806"/>
      <c r="H52" s="806"/>
      <c r="I52" s="806"/>
      <c r="J52" s="806"/>
      <c r="K52" s="806"/>
      <c r="L52" s="1077"/>
      <c r="M52" s="2430">
        <f>+'FECU(a)'!E29</f>
        <v>10029797</v>
      </c>
      <c r="N52" s="2430"/>
      <c r="O52" s="2430"/>
      <c r="P52" s="1076"/>
      <c r="Q52" s="806"/>
      <c r="R52" s="1077"/>
      <c r="S52" s="1076"/>
      <c r="T52" s="806"/>
      <c r="U52" s="1078"/>
    </row>
    <row r="53" spans="2:30">
      <c r="B53" s="1081" t="s">
        <v>489</v>
      </c>
      <c r="C53" s="1082"/>
      <c r="D53" s="1082"/>
      <c r="E53" s="806"/>
      <c r="F53" s="806"/>
      <c r="G53" s="806"/>
      <c r="H53" s="806"/>
      <c r="I53" s="806"/>
      <c r="J53" s="806"/>
      <c r="K53" s="806"/>
      <c r="L53" s="1077"/>
      <c r="M53" s="2430">
        <f>+'FECU(a)'!E30</f>
        <v>53004757</v>
      </c>
      <c r="N53" s="2430"/>
      <c r="O53" s="2430"/>
      <c r="P53" s="1076"/>
      <c r="Q53" s="806"/>
      <c r="R53" s="1077"/>
      <c r="S53" s="1076"/>
      <c r="T53" s="806"/>
      <c r="U53" s="1078"/>
    </row>
    <row r="54" spans="2:30">
      <c r="B54" s="1081" t="s">
        <v>950</v>
      </c>
      <c r="C54" s="1082"/>
      <c r="D54" s="1082"/>
      <c r="E54" s="806"/>
      <c r="F54" s="806"/>
      <c r="G54" s="806"/>
      <c r="H54" s="806"/>
      <c r="I54" s="806"/>
      <c r="J54" s="806"/>
      <c r="K54" s="806"/>
      <c r="L54" s="1077"/>
      <c r="M54" s="2430">
        <v>0</v>
      </c>
      <c r="N54" s="2430"/>
      <c r="O54" s="2430"/>
      <c r="P54" s="1076"/>
      <c r="Q54" s="806"/>
      <c r="R54" s="1077"/>
      <c r="S54" s="1076"/>
      <c r="T54" s="806"/>
      <c r="U54" s="1078"/>
    </row>
    <row r="55" spans="2:30">
      <c r="B55" s="1081" t="s">
        <v>827</v>
      </c>
      <c r="C55" s="1082"/>
      <c r="D55" s="1082"/>
      <c r="E55" s="806"/>
      <c r="F55" s="806"/>
      <c r="G55" s="806"/>
      <c r="H55" s="806"/>
      <c r="I55" s="806"/>
      <c r="J55" s="806"/>
      <c r="K55" s="806"/>
      <c r="L55" s="1077"/>
      <c r="M55" s="2430">
        <f>+'FECU(a)'!E31</f>
        <v>371605</v>
      </c>
      <c r="N55" s="2430"/>
      <c r="O55" s="2430"/>
      <c r="P55" s="1076"/>
      <c r="Q55" s="806"/>
      <c r="R55" s="1077"/>
      <c r="S55" s="1076"/>
      <c r="T55" s="806"/>
      <c r="U55" s="1078"/>
    </row>
    <row r="56" spans="2:30">
      <c r="B56" s="1079" t="s">
        <v>982</v>
      </c>
      <c r="C56" s="1080"/>
      <c r="D56" s="1080"/>
      <c r="E56" s="806"/>
      <c r="F56" s="806"/>
      <c r="G56" s="806"/>
      <c r="H56" s="806"/>
      <c r="I56" s="806"/>
      <c r="J56" s="806"/>
      <c r="K56" s="806"/>
      <c r="L56" s="1077"/>
      <c r="M56" s="1076"/>
      <c r="N56" s="806"/>
      <c r="O56" s="1077"/>
      <c r="P56" s="2449">
        <f>+'FECU(a)'!F32</f>
        <v>3332717</v>
      </c>
      <c r="Q56" s="2449"/>
      <c r="R56" s="2449"/>
      <c r="S56" s="1076"/>
      <c r="T56" s="806"/>
      <c r="U56" s="1078"/>
    </row>
    <row r="57" spans="2:30">
      <c r="B57" s="1079" t="str">
        <f>'FECU(a)'!D33</f>
        <v>Caja/Bancos</v>
      </c>
      <c r="C57" s="1080"/>
      <c r="D57" s="1080"/>
      <c r="E57" s="806"/>
      <c r="F57" s="806"/>
      <c r="G57" s="806"/>
      <c r="H57" s="806"/>
      <c r="I57" s="806"/>
      <c r="J57" s="806"/>
      <c r="K57" s="806"/>
      <c r="L57" s="1077"/>
      <c r="M57" s="1076"/>
      <c r="N57" s="806"/>
      <c r="O57" s="1077"/>
      <c r="P57" s="2449">
        <f>SUM(M58:M59)</f>
        <v>1825747</v>
      </c>
      <c r="Q57" s="2449"/>
      <c r="R57" s="2449"/>
      <c r="S57" s="1076"/>
      <c r="T57" s="806"/>
      <c r="U57" s="1078"/>
    </row>
    <row r="58" spans="2:30">
      <c r="B58" s="1081" t="str">
        <f>'FECU(a)'!D34</f>
        <v>Caja</v>
      </c>
      <c r="C58" s="1082"/>
      <c r="D58" s="1082"/>
      <c r="E58" s="806"/>
      <c r="F58" s="806"/>
      <c r="G58" s="806"/>
      <c r="H58" s="806"/>
      <c r="I58" s="806"/>
      <c r="J58" s="806"/>
      <c r="K58" s="806"/>
      <c r="L58" s="1077"/>
      <c r="M58" s="2430">
        <f>+'FECU(a)'!E34</f>
        <v>398691</v>
      </c>
      <c r="N58" s="2430"/>
      <c r="O58" s="2430"/>
      <c r="P58" s="1076"/>
      <c r="Q58" s="806"/>
      <c r="R58" s="1077"/>
      <c r="S58" s="1076"/>
      <c r="T58" s="806"/>
      <c r="U58" s="1078"/>
    </row>
    <row r="59" spans="2:30">
      <c r="B59" s="1081" t="str">
        <f>'FECU(a)'!D35</f>
        <v>Bancos</v>
      </c>
      <c r="C59" s="1082"/>
      <c r="D59" s="1082"/>
      <c r="E59" s="806"/>
      <c r="F59" s="806"/>
      <c r="G59" s="806"/>
      <c r="H59" s="806"/>
      <c r="I59" s="806"/>
      <c r="J59" s="806"/>
      <c r="K59" s="806"/>
      <c r="L59" s="1077"/>
      <c r="M59" s="2430">
        <f>+'FECU(a)'!E35</f>
        <v>1427056</v>
      </c>
      <c r="N59" s="2430"/>
      <c r="O59" s="2430"/>
      <c r="P59" s="1076"/>
      <c r="Q59" s="806"/>
      <c r="R59" s="1077"/>
      <c r="S59" s="1076"/>
      <c r="T59" s="806"/>
      <c r="U59" s="1078"/>
    </row>
    <row r="60" spans="2:30">
      <c r="B60" s="1079" t="s">
        <v>545</v>
      </c>
      <c r="C60" s="1080"/>
      <c r="D60" s="1080"/>
      <c r="E60" s="806"/>
      <c r="F60" s="806"/>
      <c r="G60" s="806"/>
      <c r="H60" s="806"/>
      <c r="I60" s="806"/>
      <c r="J60" s="806"/>
      <c r="K60" s="806"/>
      <c r="L60" s="1077"/>
      <c r="M60" s="1076"/>
      <c r="N60" s="806"/>
      <c r="O60" s="1077"/>
      <c r="P60" s="2449">
        <f>+'FECU(a)'!F36</f>
        <v>49157718</v>
      </c>
      <c r="Q60" s="2449"/>
      <c r="R60" s="2449"/>
      <c r="S60" s="1076"/>
      <c r="T60" s="806"/>
      <c r="U60" s="1078"/>
    </row>
    <row r="61" spans="2:30">
      <c r="B61" s="1079" t="s">
        <v>73</v>
      </c>
      <c r="C61" s="1080"/>
      <c r="D61" s="1080"/>
      <c r="E61" s="806"/>
      <c r="F61" s="806"/>
      <c r="G61" s="806"/>
      <c r="H61" s="806"/>
      <c r="I61" s="806"/>
      <c r="J61" s="806"/>
      <c r="K61" s="806"/>
      <c r="L61" s="1077"/>
      <c r="M61" s="1076"/>
      <c r="N61" s="806"/>
      <c r="O61" s="1077"/>
      <c r="P61" s="2449">
        <f>+'FECU(a)'!F37</f>
        <v>32922346</v>
      </c>
      <c r="Q61" s="2449"/>
      <c r="R61" s="2449"/>
      <c r="S61" s="1076"/>
      <c r="T61" s="806"/>
      <c r="U61" s="1078"/>
    </row>
    <row r="62" spans="2:30">
      <c r="B62" s="1084" t="s">
        <v>546</v>
      </c>
      <c r="C62" s="1080"/>
      <c r="D62" s="1080"/>
      <c r="E62" s="806"/>
      <c r="F62" s="806"/>
      <c r="G62" s="806"/>
      <c r="H62" s="806"/>
      <c r="I62" s="806"/>
      <c r="J62" s="806"/>
      <c r="K62" s="806"/>
      <c r="L62" s="1077"/>
      <c r="M62" s="1076"/>
      <c r="N62" s="806"/>
      <c r="O62" s="1077"/>
      <c r="P62" s="2449">
        <f>SUM(P63:P73)</f>
        <v>262416879</v>
      </c>
      <c r="Q62" s="2449"/>
      <c r="R62" s="2449"/>
      <c r="S62" s="1076"/>
      <c r="T62" s="806"/>
      <c r="U62" s="1078"/>
    </row>
    <row r="63" spans="2:30">
      <c r="B63" s="1079" t="str">
        <f>'FECU(a)'!D39</f>
        <v>Bienes Raíces</v>
      </c>
      <c r="C63" s="1080"/>
      <c r="D63" s="1080"/>
      <c r="E63" s="806"/>
      <c r="F63" s="806"/>
      <c r="G63" s="806"/>
      <c r="H63" s="806"/>
      <c r="I63" s="806"/>
      <c r="J63" s="806"/>
      <c r="K63" s="806"/>
      <c r="L63" s="1077"/>
      <c r="M63" s="1076"/>
      <c r="N63" s="806"/>
      <c r="O63" s="1077"/>
      <c r="P63" s="2449">
        <f>SUM(M64:M68)</f>
        <v>228324513</v>
      </c>
      <c r="Q63" s="2449"/>
      <c r="R63" s="2449"/>
      <c r="S63" s="1076"/>
      <c r="T63" s="806"/>
      <c r="U63" s="1078"/>
      <c r="AC63" s="163"/>
    </row>
    <row r="64" spans="2:30">
      <c r="B64" s="1085" t="s">
        <v>951</v>
      </c>
      <c r="C64" s="1082"/>
      <c r="D64" s="1082"/>
      <c r="E64" s="806"/>
      <c r="F64" s="806"/>
      <c r="G64" s="806"/>
      <c r="H64" s="806"/>
      <c r="I64" s="806"/>
      <c r="J64" s="806"/>
      <c r="K64" s="806"/>
      <c r="L64" s="1077"/>
      <c r="M64" s="2430">
        <f>+'FECU(a)'!E40</f>
        <v>113633057</v>
      </c>
      <c r="N64" s="2430"/>
      <c r="O64" s="2430"/>
      <c r="P64" s="2487"/>
      <c r="Q64" s="2488"/>
      <c r="R64" s="2489"/>
      <c r="S64" s="1076"/>
      <c r="T64" s="806"/>
      <c r="U64" s="1078"/>
      <c r="AD64" s="301">
        <v>209548756.36921832</v>
      </c>
    </row>
    <row r="65" spans="2:30">
      <c r="B65" s="1085" t="s">
        <v>952</v>
      </c>
      <c r="C65" s="1082"/>
      <c r="D65" s="1082"/>
      <c r="E65" s="806"/>
      <c r="F65" s="806"/>
      <c r="G65" s="806"/>
      <c r="H65" s="806"/>
      <c r="I65" s="806"/>
      <c r="J65" s="806"/>
      <c r="K65" s="806"/>
      <c r="L65" s="1077"/>
      <c r="M65" s="2430">
        <f>+'FECU(a)'!E41</f>
        <v>0</v>
      </c>
      <c r="N65" s="2430"/>
      <c r="O65" s="2430"/>
      <c r="P65" s="1076"/>
      <c r="Q65" s="806"/>
      <c r="R65" s="1077"/>
      <c r="S65" s="1076"/>
      <c r="T65" s="806"/>
      <c r="U65" s="1078"/>
      <c r="AD65" s="163">
        <f>+AD64+M65</f>
        <v>209548756.36921832</v>
      </c>
    </row>
    <row r="66" spans="2:30">
      <c r="B66" s="1081" t="str">
        <f>'FECU(a)'!D41</f>
        <v>Bienes Raíces NO Urbanos</v>
      </c>
      <c r="C66" s="1082"/>
      <c r="D66" s="1082"/>
      <c r="E66" s="806"/>
      <c r="F66" s="806"/>
      <c r="G66" s="806"/>
      <c r="H66" s="806"/>
      <c r="I66" s="806"/>
      <c r="J66" s="806"/>
      <c r="K66" s="806"/>
      <c r="L66" s="1077"/>
      <c r="M66" s="2430">
        <f>+'FECU(a)'!E41</f>
        <v>0</v>
      </c>
      <c r="N66" s="2430"/>
      <c r="O66" s="2430"/>
      <c r="P66" s="1076"/>
      <c r="Q66" s="806"/>
      <c r="R66" s="1077"/>
      <c r="S66" s="1076"/>
      <c r="T66" s="806"/>
      <c r="U66" s="1078"/>
      <c r="AD66" s="163">
        <f>+M64+M68</f>
        <v>228324513</v>
      </c>
    </row>
    <row r="67" spans="2:30">
      <c r="B67" s="1081" t="str">
        <f>'FECU(a)'!D42</f>
        <v>Bienes Raíces en el Extranjero</v>
      </c>
      <c r="C67" s="1082"/>
      <c r="D67" s="1082"/>
      <c r="E67" s="806"/>
      <c r="F67" s="806"/>
      <c r="G67" s="806"/>
      <c r="H67" s="806"/>
      <c r="I67" s="806"/>
      <c r="J67" s="806"/>
      <c r="K67" s="806"/>
      <c r="L67" s="1077"/>
      <c r="M67" s="2430">
        <f>+'FECU(a)'!E42</f>
        <v>0</v>
      </c>
      <c r="N67" s="2430"/>
      <c r="O67" s="2430"/>
      <c r="P67" s="1076"/>
      <c r="Q67" s="806"/>
      <c r="R67" s="1077"/>
      <c r="S67" s="1076"/>
      <c r="T67" s="806"/>
      <c r="U67" s="1078"/>
      <c r="AD67" s="163">
        <f>+AD65-AD66</f>
        <v>-18775756.63078168</v>
      </c>
    </row>
    <row r="68" spans="2:30">
      <c r="B68" s="1081" t="str">
        <f>'FECU(a)'!D43</f>
        <v>Bienes Raíces en Leasing</v>
      </c>
      <c r="C68" s="1082"/>
      <c r="D68" s="1082"/>
      <c r="E68" s="806"/>
      <c r="F68" s="806"/>
      <c r="G68" s="806"/>
      <c r="H68" s="806"/>
      <c r="I68" s="806"/>
      <c r="J68" s="806"/>
      <c r="K68" s="806"/>
      <c r="L68" s="1077"/>
      <c r="M68" s="2430">
        <f>+'FECU(a)'!E43</f>
        <v>114691456</v>
      </c>
      <c r="N68" s="2430"/>
      <c r="O68" s="2430"/>
      <c r="P68" s="1076"/>
      <c r="Q68" s="806"/>
      <c r="R68" s="1077"/>
      <c r="S68" s="1076"/>
      <c r="T68" s="806"/>
      <c r="U68" s="1078"/>
      <c r="AD68" s="301">
        <v>711290</v>
      </c>
    </row>
    <row r="69" spans="2:30">
      <c r="B69" s="1086" t="str">
        <f>'FECU(a)'!D44</f>
        <v>Equipos Computacionales</v>
      </c>
      <c r="C69" s="1082"/>
      <c r="D69" s="1082"/>
      <c r="E69" s="806"/>
      <c r="F69" s="806"/>
      <c r="G69" s="806"/>
      <c r="H69" s="806"/>
      <c r="I69" s="806"/>
      <c r="J69" s="806"/>
      <c r="K69" s="806"/>
      <c r="L69" s="1077"/>
      <c r="M69" s="1076"/>
      <c r="N69" s="806"/>
      <c r="O69" s="1077"/>
      <c r="P69" s="2430">
        <f>+'FECU(a)'!F44</f>
        <v>0</v>
      </c>
      <c r="Q69" s="2430"/>
      <c r="R69" s="2430"/>
      <c r="S69" s="1076"/>
      <c r="T69" s="806"/>
      <c r="U69" s="1078"/>
      <c r="AD69" s="163">
        <f>+AD67-AD68</f>
        <v>-19487046.63078168</v>
      </c>
    </row>
    <row r="70" spans="2:30">
      <c r="B70" s="1086" t="str">
        <f>'FECU(a)'!D45</f>
        <v>Muebles y Equipos</v>
      </c>
      <c r="C70" s="1082"/>
      <c r="D70" s="1082"/>
      <c r="E70" s="806"/>
      <c r="F70" s="806"/>
      <c r="G70" s="806"/>
      <c r="H70" s="806"/>
      <c r="I70" s="806"/>
      <c r="J70" s="806"/>
      <c r="K70" s="806"/>
      <c r="L70" s="1077"/>
      <c r="M70" s="1076"/>
      <c r="N70" s="806"/>
      <c r="O70" s="1077"/>
      <c r="P70" s="2430">
        <f>+'FECU(a)'!F45</f>
        <v>497702</v>
      </c>
      <c r="Q70" s="2430"/>
      <c r="R70" s="2430"/>
      <c r="S70" s="1076"/>
      <c r="T70" s="806"/>
      <c r="U70" s="1078"/>
    </row>
    <row r="71" spans="2:30">
      <c r="B71" s="1086" t="str">
        <f>'FECU(a)'!D46</f>
        <v>Vehículos</v>
      </c>
      <c r="C71" s="1082"/>
      <c r="D71" s="1082"/>
      <c r="E71" s="806"/>
      <c r="F71" s="806"/>
      <c r="G71" s="806"/>
      <c r="H71" s="806"/>
      <c r="I71" s="806"/>
      <c r="J71" s="806"/>
      <c r="K71" s="806"/>
      <c r="L71" s="1077"/>
      <c r="M71" s="1076"/>
      <c r="N71" s="806"/>
      <c r="O71" s="1077"/>
      <c r="P71" s="2430">
        <f>+'FECU(a)'!F46</f>
        <v>12780</v>
      </c>
      <c r="Q71" s="2430"/>
      <c r="R71" s="2430"/>
      <c r="S71" s="1076"/>
      <c r="T71" s="806"/>
      <c r="U71" s="1078"/>
    </row>
    <row r="72" spans="2:30">
      <c r="B72" s="1087" t="str">
        <f>'FECU(a)'!D47</f>
        <v>Otras Inversiones Inmobiliarias</v>
      </c>
      <c r="C72" s="1088"/>
      <c r="D72" s="1088"/>
      <c r="E72" s="1089"/>
      <c r="F72" s="1089"/>
      <c r="G72" s="1089"/>
      <c r="H72" s="1089"/>
      <c r="I72" s="1089"/>
      <c r="J72" s="1089"/>
      <c r="K72" s="1089"/>
      <c r="L72" s="1090"/>
      <c r="M72" s="1091"/>
      <c r="N72" s="1089"/>
      <c r="O72" s="1090"/>
      <c r="P72" s="2486">
        <f>+'FECU(a)'!F47</f>
        <v>0</v>
      </c>
      <c r="Q72" s="2486"/>
      <c r="R72" s="2486"/>
      <c r="S72" s="1091"/>
      <c r="T72" s="1089"/>
      <c r="U72" s="1092"/>
    </row>
    <row r="73" spans="2:30" ht="12" thickBot="1">
      <c r="B73" s="1093" t="str">
        <f>'FECU(a)'!D48</f>
        <v>Inversiones Cuenta Única de Inversión (CUI)</v>
      </c>
      <c r="C73" s="1094"/>
      <c r="D73" s="1094"/>
      <c r="E73" s="807"/>
      <c r="F73" s="807"/>
      <c r="G73" s="807"/>
      <c r="H73" s="807"/>
      <c r="I73" s="807"/>
      <c r="J73" s="807"/>
      <c r="K73" s="807"/>
      <c r="L73" s="1095"/>
      <c r="M73" s="1096"/>
      <c r="N73" s="807"/>
      <c r="O73" s="1095"/>
      <c r="P73" s="2472">
        <f>+'FECU(a)'!F48</f>
        <v>33581884</v>
      </c>
      <c r="Q73" s="2472"/>
      <c r="R73" s="2472"/>
      <c r="S73" s="1096"/>
      <c r="T73" s="807"/>
      <c r="U73" s="1097"/>
    </row>
    <row r="75" spans="2:30" ht="12" thickBot="1"/>
    <row r="76" spans="2:30" ht="15" customHeight="1">
      <c r="B76" s="314"/>
      <c r="C76" s="315"/>
      <c r="D76" s="2499" t="s">
        <v>953</v>
      </c>
      <c r="E76" s="2499"/>
      <c r="F76" s="2499"/>
      <c r="G76" s="2499"/>
      <c r="H76" s="316"/>
      <c r="I76" s="316"/>
      <c r="J76" s="1725" t="s">
        <v>954</v>
      </c>
      <c r="K76" s="1725"/>
      <c r="L76" s="1725"/>
      <c r="M76" s="1725" t="s">
        <v>955</v>
      </c>
      <c r="N76" s="1725"/>
      <c r="O76" s="1725"/>
      <c r="P76" s="1725" t="s">
        <v>1333</v>
      </c>
      <c r="Q76" s="1725"/>
      <c r="R76" s="2480"/>
    </row>
    <row r="77" spans="2:30" ht="15" customHeight="1" thickBot="1">
      <c r="B77" s="2497" t="s">
        <v>956</v>
      </c>
      <c r="C77" s="2498"/>
      <c r="D77" s="2500"/>
      <c r="E77" s="2500"/>
      <c r="F77" s="2500"/>
      <c r="G77" s="2500"/>
      <c r="H77" s="317"/>
      <c r="I77" s="317"/>
      <c r="J77" s="1726"/>
      <c r="K77" s="1726"/>
      <c r="L77" s="1726"/>
      <c r="M77" s="1726"/>
      <c r="N77" s="1726"/>
      <c r="O77" s="1726"/>
      <c r="P77" s="1726"/>
      <c r="Q77" s="1726"/>
      <c r="R77" s="2481"/>
    </row>
    <row r="78" spans="2:30" ht="15" customHeight="1">
      <c r="B78" s="1058" t="s">
        <v>859</v>
      </c>
      <c r="C78" s="1059"/>
      <c r="D78" s="1059"/>
      <c r="E78" s="1059"/>
      <c r="F78" s="1059"/>
      <c r="G78" s="1059"/>
      <c r="H78" s="1060"/>
      <c r="I78" s="1061"/>
      <c r="J78" s="2464">
        <v>35348</v>
      </c>
      <c r="K78" s="2464"/>
      <c r="L78" s="2464"/>
      <c r="M78" s="2464">
        <v>36553</v>
      </c>
      <c r="N78" s="2464"/>
      <c r="O78" s="2464"/>
      <c r="P78" s="2464"/>
      <c r="Q78" s="2464"/>
      <c r="R78" s="2482"/>
    </row>
    <row r="79" spans="2:30" ht="15" customHeight="1">
      <c r="B79" s="1062" t="s">
        <v>860</v>
      </c>
      <c r="C79" s="1063"/>
      <c r="D79" s="1063"/>
      <c r="E79" s="1063"/>
      <c r="F79" s="1063"/>
      <c r="G79" s="1063"/>
      <c r="H79" s="2476" t="s">
        <v>117</v>
      </c>
      <c r="I79" s="2477"/>
      <c r="J79" s="2475">
        <v>830748</v>
      </c>
      <c r="K79" s="2475"/>
      <c r="L79" s="2475"/>
      <c r="M79" s="2475">
        <v>4298486</v>
      </c>
      <c r="N79" s="2475"/>
      <c r="O79" s="2475"/>
      <c r="P79" s="2465">
        <f>+J79+M79</f>
        <v>5129234</v>
      </c>
      <c r="Q79" s="2465"/>
      <c r="R79" s="2483"/>
    </row>
    <row r="80" spans="2:30" ht="15" customHeight="1">
      <c r="B80" s="1062" t="s">
        <v>861</v>
      </c>
      <c r="C80" s="1063"/>
      <c r="D80" s="1063"/>
      <c r="E80" s="1063"/>
      <c r="F80" s="1063"/>
      <c r="G80" s="1063"/>
      <c r="H80" s="2476" t="s">
        <v>862</v>
      </c>
      <c r="I80" s="2477"/>
      <c r="J80" s="2473">
        <v>351.8553</v>
      </c>
      <c r="K80" s="2473"/>
      <c r="L80" s="2473"/>
      <c r="M80" s="2473">
        <v>1404.45</v>
      </c>
      <c r="N80" s="2473"/>
      <c r="O80" s="2473"/>
      <c r="P80" s="2473"/>
      <c r="Q80" s="2473"/>
      <c r="R80" s="2484"/>
    </row>
    <row r="81" spans="1:30" ht="15" customHeight="1">
      <c r="B81" s="1062" t="s">
        <v>863</v>
      </c>
      <c r="C81" s="1063"/>
      <c r="D81" s="1063"/>
      <c r="E81" s="1063"/>
      <c r="F81" s="1063"/>
      <c r="G81" s="1063"/>
      <c r="H81" s="2476" t="s">
        <v>862</v>
      </c>
      <c r="I81" s="2477"/>
      <c r="J81" s="2473">
        <v>351.8553</v>
      </c>
      <c r="K81" s="2473"/>
      <c r="L81" s="2473"/>
      <c r="M81" s="2473">
        <v>1404.45</v>
      </c>
      <c r="N81" s="2473"/>
      <c r="O81" s="2473"/>
      <c r="P81" s="2473"/>
      <c r="Q81" s="2473"/>
      <c r="R81" s="2484"/>
    </row>
    <row r="82" spans="1:30" ht="15" customHeight="1">
      <c r="B82" s="1062" t="s">
        <v>864</v>
      </c>
      <c r="C82" s="1063"/>
      <c r="D82" s="1063"/>
      <c r="E82" s="1063"/>
      <c r="F82" s="1063"/>
      <c r="G82" s="1063"/>
      <c r="H82" s="2476" t="s">
        <v>865</v>
      </c>
      <c r="I82" s="2477"/>
      <c r="J82" s="2474">
        <v>7.52</v>
      </c>
      <c r="K82" s="2474"/>
      <c r="L82" s="2474"/>
      <c r="M82" s="2474">
        <v>9.3699999999999992</v>
      </c>
      <c r="N82" s="2474"/>
      <c r="O82" s="2474"/>
      <c r="P82" s="2474"/>
      <c r="Q82" s="2474"/>
      <c r="R82" s="2485"/>
    </row>
    <row r="83" spans="1:30" ht="15" customHeight="1">
      <c r="B83" s="1062" t="s">
        <v>866</v>
      </c>
      <c r="C83" s="1063"/>
      <c r="D83" s="1063"/>
      <c r="E83" s="1063"/>
      <c r="F83" s="1063"/>
      <c r="G83" s="1063"/>
      <c r="H83" s="2476" t="s">
        <v>1622</v>
      </c>
      <c r="I83" s="2477"/>
      <c r="J83" s="2478">
        <v>20</v>
      </c>
      <c r="K83" s="2478"/>
      <c r="L83" s="2478"/>
      <c r="M83" s="2478">
        <v>20</v>
      </c>
      <c r="N83" s="2478"/>
      <c r="O83" s="2478"/>
      <c r="P83" s="2478"/>
      <c r="Q83" s="2478"/>
      <c r="R83" s="2490"/>
    </row>
    <row r="84" spans="1:30" ht="15" customHeight="1">
      <c r="B84" s="1062" t="s">
        <v>1623</v>
      </c>
      <c r="C84" s="1063"/>
      <c r="D84" s="1063"/>
      <c r="E84" s="1063"/>
      <c r="F84" s="1063"/>
      <c r="G84" s="1063"/>
      <c r="H84" s="2476"/>
      <c r="I84" s="2477"/>
      <c r="J84" s="2478"/>
      <c r="K84" s="2478"/>
      <c r="L84" s="2478"/>
      <c r="M84" s="2496">
        <v>0.5</v>
      </c>
      <c r="N84" s="2496"/>
      <c r="O84" s="2496"/>
      <c r="P84" s="2478"/>
      <c r="Q84" s="2478"/>
      <c r="R84" s="2490"/>
    </row>
    <row r="85" spans="1:30" ht="15" customHeight="1">
      <c r="B85" s="1062" t="s">
        <v>1624</v>
      </c>
      <c r="C85" s="1063"/>
      <c r="D85" s="1063"/>
      <c r="E85" s="1063"/>
      <c r="F85" s="1063"/>
      <c r="G85" s="1063"/>
      <c r="H85" s="2476"/>
      <c r="I85" s="2477"/>
      <c r="J85" s="2479" t="s">
        <v>1625</v>
      </c>
      <c r="K85" s="2479"/>
      <c r="L85" s="2479"/>
      <c r="M85" s="2479" t="s">
        <v>1625</v>
      </c>
      <c r="N85" s="2479"/>
      <c r="O85" s="2479"/>
      <c r="P85" s="2491"/>
      <c r="Q85" s="2491"/>
      <c r="R85" s="2492"/>
    </row>
    <row r="86" spans="1:30" ht="15" customHeight="1">
      <c r="B86" s="1062" t="s">
        <v>1626</v>
      </c>
      <c r="C86" s="1063"/>
      <c r="D86" s="1063"/>
      <c r="E86" s="1063"/>
      <c r="F86" s="1063"/>
      <c r="G86" s="1063"/>
      <c r="H86" s="2476"/>
      <c r="I86" s="2477"/>
      <c r="J86" s="2478" t="s">
        <v>1627</v>
      </c>
      <c r="K86" s="2478"/>
      <c r="L86" s="2478"/>
      <c r="M86" s="2478" t="s">
        <v>1627</v>
      </c>
      <c r="N86" s="2478"/>
      <c r="O86" s="2478"/>
      <c r="P86" s="2478"/>
      <c r="Q86" s="2478"/>
      <c r="R86" s="2490"/>
      <c r="AB86" s="359"/>
    </row>
    <row r="87" spans="1:30" ht="15" customHeight="1">
      <c r="B87" s="1062" t="s">
        <v>1628</v>
      </c>
      <c r="C87" s="1063"/>
      <c r="D87" s="1063"/>
      <c r="E87" s="1063"/>
      <c r="F87" s="1063"/>
      <c r="G87" s="1063"/>
      <c r="H87" s="2476" t="s">
        <v>117</v>
      </c>
      <c r="I87" s="2477"/>
      <c r="J87" s="2465">
        <f>+J79-J88</f>
        <v>830748</v>
      </c>
      <c r="K87" s="2465"/>
      <c r="L87" s="2465"/>
      <c r="M87" s="2465">
        <f>+M79-M88</f>
        <v>-110392970</v>
      </c>
      <c r="N87" s="2465"/>
      <c r="O87" s="2465"/>
      <c r="P87" s="2465">
        <f>+J87+M87</f>
        <v>-109562222</v>
      </c>
      <c r="Q87" s="2465"/>
      <c r="R87" s="2483"/>
    </row>
    <row r="88" spans="1:30" ht="15" customHeight="1">
      <c r="B88" s="1062" t="s">
        <v>1629</v>
      </c>
      <c r="C88" s="1063"/>
      <c r="D88" s="1063"/>
      <c r="E88" s="1063"/>
      <c r="F88" s="1063"/>
      <c r="G88" s="1063"/>
      <c r="H88" s="2476" t="s">
        <v>117</v>
      </c>
      <c r="I88" s="2477"/>
      <c r="J88" s="2465">
        <v>0</v>
      </c>
      <c r="K88" s="2465"/>
      <c r="L88" s="2465"/>
      <c r="M88" s="2465">
        <f>+T419</f>
        <v>114691456</v>
      </c>
      <c r="N88" s="2465"/>
      <c r="O88" s="2465"/>
      <c r="P88" s="2465">
        <f>+J88+M88</f>
        <v>114691456</v>
      </c>
      <c r="Q88" s="2465"/>
      <c r="R88" s="2483"/>
      <c r="AB88" s="359"/>
      <c r="AD88" s="359"/>
    </row>
    <row r="89" spans="1:30" ht="15" customHeight="1" thickBot="1">
      <c r="B89" s="1065" t="s">
        <v>897</v>
      </c>
      <c r="C89" s="1066"/>
      <c r="D89" s="1066"/>
      <c r="E89" s="1066"/>
      <c r="F89" s="1066"/>
      <c r="G89" s="1066"/>
      <c r="H89" s="2494" t="s">
        <v>898</v>
      </c>
      <c r="I89" s="2495"/>
      <c r="J89" s="2493" t="s">
        <v>899</v>
      </c>
      <c r="K89" s="2493"/>
      <c r="L89" s="2493"/>
      <c r="M89" s="2493" t="s">
        <v>899</v>
      </c>
      <c r="N89" s="2493"/>
      <c r="O89" s="2493"/>
      <c r="P89" s="2493"/>
      <c r="Q89" s="2493"/>
      <c r="R89" s="2627"/>
    </row>
    <row r="91" spans="1:30" ht="12" thickBot="1">
      <c r="A91" s="425"/>
      <c r="B91" s="425"/>
      <c r="C91" s="425"/>
      <c r="D91" s="425"/>
      <c r="E91" s="425"/>
      <c r="F91" s="425"/>
      <c r="G91" s="425"/>
      <c r="H91" s="425"/>
      <c r="I91" s="425"/>
      <c r="J91" s="425"/>
      <c r="K91" s="425"/>
      <c r="L91" s="425"/>
      <c r="M91" s="425"/>
      <c r="N91" s="425"/>
      <c r="O91" s="425"/>
      <c r="P91" s="425"/>
      <c r="Q91" s="425"/>
      <c r="R91" s="425"/>
      <c r="S91" s="425"/>
    </row>
    <row r="92" spans="1:30" ht="15" customHeight="1">
      <c r="A92" s="425"/>
      <c r="B92" s="1756"/>
      <c r="C92" s="1725"/>
      <c r="D92" s="1725"/>
      <c r="E92" s="1725"/>
      <c r="F92" s="1725"/>
      <c r="G92" s="1725"/>
      <c r="H92" s="1725"/>
      <c r="I92" s="1725"/>
      <c r="J92" s="1725"/>
      <c r="K92" s="1725"/>
      <c r="L92" s="1725"/>
      <c r="M92" s="2634"/>
      <c r="N92" s="2634"/>
      <c r="O92" s="2634"/>
      <c r="P92" s="2634"/>
      <c r="Q92" s="2634"/>
      <c r="R92" s="2635"/>
    </row>
    <row r="93" spans="1:30" ht="15" customHeight="1" thickBot="1">
      <c r="B93" s="1757"/>
      <c r="C93" s="1726"/>
      <c r="D93" s="1726"/>
      <c r="E93" s="1726"/>
      <c r="F93" s="1726"/>
      <c r="G93" s="1726"/>
      <c r="H93" s="1726"/>
      <c r="I93" s="1726"/>
      <c r="J93" s="1726"/>
      <c r="K93" s="1726"/>
      <c r="L93" s="1726"/>
      <c r="M93" s="1754"/>
      <c r="N93" s="1754"/>
      <c r="O93" s="1754"/>
      <c r="P93" s="1754"/>
      <c r="Q93" s="1754"/>
      <c r="R93" s="1755"/>
    </row>
    <row r="94" spans="1:30" ht="15" customHeight="1" thickBot="1">
      <c r="B94" s="318"/>
      <c r="C94" s="319"/>
      <c r="D94" s="320"/>
      <c r="E94" s="321"/>
      <c r="F94" s="322"/>
      <c r="G94" s="319"/>
      <c r="H94" s="319"/>
      <c r="I94" s="321"/>
      <c r="J94" s="2427"/>
      <c r="K94" s="2428"/>
      <c r="L94" s="2429"/>
      <c r="M94" s="2624"/>
      <c r="N94" s="2625"/>
      <c r="O94" s="2626"/>
      <c r="P94" s="2622"/>
      <c r="Q94" s="2622"/>
      <c r="R94" s="2623"/>
    </row>
    <row r="95" spans="1:30" ht="24.95" customHeight="1" thickBot="1">
      <c r="B95" s="2269"/>
      <c r="C95" s="2270"/>
      <c r="D95" s="2270"/>
      <c r="E95" s="2270"/>
      <c r="F95" s="2270"/>
      <c r="G95" s="2270"/>
      <c r="H95" s="2270"/>
      <c r="I95" s="2270"/>
      <c r="J95" s="2270"/>
      <c r="K95" s="2270"/>
      <c r="L95" s="2270"/>
      <c r="M95" s="2039"/>
      <c r="N95" s="2039"/>
      <c r="O95" s="2039"/>
      <c r="P95" s="2039"/>
      <c r="Q95" s="2039"/>
      <c r="R95" s="2055"/>
    </row>
    <row r="96" spans="1:30">
      <c r="T96" s="1976"/>
      <c r="U96" s="1976"/>
      <c r="V96" s="1976"/>
      <c r="W96" s="1976"/>
    </row>
    <row r="97" spans="2:30" ht="12" thickBot="1"/>
    <row r="98" spans="2:30" ht="15" customHeight="1">
      <c r="B98" s="2503" t="s">
        <v>379</v>
      </c>
      <c r="C98" s="2499"/>
      <c r="D98" s="2499"/>
      <c r="E98" s="2499"/>
      <c r="F98" s="2499"/>
      <c r="G98" s="2499"/>
      <c r="H98" s="2499"/>
      <c r="I98" s="2499"/>
      <c r="J98" s="2508" t="s">
        <v>498</v>
      </c>
      <c r="K98" s="2508"/>
      <c r="L98" s="2508"/>
      <c r="M98" s="2508" t="s">
        <v>657</v>
      </c>
      <c r="N98" s="2508"/>
      <c r="O98" s="2508"/>
      <c r="P98" s="2508" t="s">
        <v>1333</v>
      </c>
      <c r="Q98" s="2508"/>
      <c r="R98" s="2509"/>
    </row>
    <row r="99" spans="2:30" ht="15" customHeight="1" thickBot="1">
      <c r="B99" s="2504"/>
      <c r="C99" s="2500"/>
      <c r="D99" s="2500"/>
      <c r="E99" s="2500"/>
      <c r="F99" s="2500"/>
      <c r="G99" s="2500"/>
      <c r="H99" s="2500"/>
      <c r="I99" s="2500"/>
      <c r="J99" s="1754" t="s">
        <v>1885</v>
      </c>
      <c r="K99" s="1754"/>
      <c r="L99" s="1754"/>
      <c r="M99" s="1754" t="s">
        <v>1885</v>
      </c>
      <c r="N99" s="1754"/>
      <c r="O99" s="1754"/>
      <c r="P99" s="1754" t="s">
        <v>1885</v>
      </c>
      <c r="Q99" s="1754"/>
      <c r="R99" s="1755"/>
    </row>
    <row r="100" spans="2:30" ht="15" customHeight="1">
      <c r="B100" s="1127" t="s">
        <v>115</v>
      </c>
      <c r="C100" s="1128"/>
      <c r="D100" s="1128"/>
      <c r="E100" s="1129"/>
      <c r="F100" s="1129"/>
      <c r="G100" s="1129"/>
      <c r="H100" s="1129"/>
      <c r="I100" s="1129"/>
      <c r="J100" s="2510">
        <f>SUM(J101:J103)</f>
        <v>0</v>
      </c>
      <c r="K100" s="2510"/>
      <c r="L100" s="2510"/>
      <c r="M100" s="2510">
        <f>SUM(M101:M103)</f>
        <v>1637688354</v>
      </c>
      <c r="N100" s="2510"/>
      <c r="O100" s="2510"/>
      <c r="P100" s="2510">
        <f t="shared" ref="P100:P111" si="0">+J100+M100</f>
        <v>1637688354</v>
      </c>
      <c r="Q100" s="2510"/>
      <c r="R100" s="2621"/>
    </row>
    <row r="101" spans="2:30">
      <c r="B101" s="1130" t="s">
        <v>115</v>
      </c>
      <c r="C101" s="1131"/>
      <c r="D101" s="1131"/>
      <c r="E101" s="1132"/>
      <c r="F101" s="1132"/>
      <c r="G101" s="1132"/>
      <c r="H101" s="1132"/>
      <c r="I101" s="1132"/>
      <c r="J101" s="2501">
        <f>-SUMIF('MATRIZCTAS(a)'!$AA$7:$AA$1599,'Parametros Cuadros de Notas'!$C10,'MATRIZCTAS(a)'!$AH$7:$AH$1599)</f>
        <v>0</v>
      </c>
      <c r="K101" s="2501"/>
      <c r="L101" s="2501"/>
      <c r="M101" s="2501">
        <f>-SUMIF('MATRIZCTAS(a)'!$AA$7:$AA$1599,'Parametros Cuadros de Notas'!$C17,'MATRIZCTAS(a)'!$AH$7:$AH$1599)</f>
        <v>1601209120</v>
      </c>
      <c r="N101" s="2501"/>
      <c r="O101" s="2501"/>
      <c r="P101" s="2501">
        <f t="shared" si="0"/>
        <v>1601209120</v>
      </c>
      <c r="Q101" s="2501"/>
      <c r="R101" s="2502"/>
    </row>
    <row r="102" spans="2:30">
      <c r="B102" s="1133" t="s">
        <v>973</v>
      </c>
      <c r="C102" s="1134"/>
      <c r="D102" s="1134"/>
      <c r="E102" s="1089"/>
      <c r="F102" s="1089"/>
      <c r="G102" s="1089"/>
      <c r="H102" s="1089"/>
      <c r="I102" s="1089"/>
      <c r="J102" s="2434">
        <f>-SUMIF('MATRIZCTAS(a)'!$AA$7:$AA$1599,'Parametros Cuadros de Notas'!$C14,'MATRIZCTAS(a)'!$AH$7:$AH$1599)</f>
        <v>0</v>
      </c>
      <c r="K102" s="2435"/>
      <c r="L102" s="2505"/>
      <c r="M102" s="2434">
        <f>-SUMIF('MATRIZCTAS(a)'!$AA$7:$AA$1599,'Parametros Cuadros de Notas'!$C21,'MATRIZCTAS(a)'!$AH$7:$AH$1599)</f>
        <v>19494660</v>
      </c>
      <c r="N102" s="2435"/>
      <c r="O102" s="2505"/>
      <c r="P102" s="1673">
        <f t="shared" si="0"/>
        <v>19494660</v>
      </c>
      <c r="Q102" s="1673"/>
      <c r="R102" s="2506"/>
    </row>
    <row r="103" spans="2:30">
      <c r="B103" s="1133" t="s">
        <v>1053</v>
      </c>
      <c r="C103" s="1134"/>
      <c r="D103" s="1134"/>
      <c r="E103" s="1089"/>
      <c r="F103" s="1089"/>
      <c r="G103" s="1089"/>
      <c r="H103" s="1089"/>
      <c r="I103" s="1089"/>
      <c r="J103" s="2434">
        <v>0</v>
      </c>
      <c r="K103" s="2435"/>
      <c r="L103" s="2505"/>
      <c r="M103" s="2434">
        <f>-SUMIF('MATRIZCTAS(a)'!$AA$7:$AA$1599,'Parametros Cuadros de Notas'!$C22,'MATRIZCTAS(a)'!$AH$7:$AH$1599)</f>
        <v>16984574</v>
      </c>
      <c r="N103" s="2435"/>
      <c r="O103" s="2505"/>
      <c r="P103" s="1673">
        <f>+J103+M103</f>
        <v>16984574</v>
      </c>
      <c r="Q103" s="1673"/>
      <c r="R103" s="2506"/>
    </row>
    <row r="104" spans="2:30" ht="15" customHeight="1">
      <c r="B104" s="1135" t="s">
        <v>556</v>
      </c>
      <c r="C104" s="1136"/>
      <c r="D104" s="1136"/>
      <c r="E104" s="1137"/>
      <c r="F104" s="1137"/>
      <c r="G104" s="1137"/>
      <c r="H104" s="1137"/>
      <c r="I104" s="1137"/>
      <c r="J104" s="2507">
        <f>SUM(J105:J105)</f>
        <v>6067342</v>
      </c>
      <c r="K104" s="2507"/>
      <c r="L104" s="2507"/>
      <c r="M104" s="2507">
        <f>SUM(M105:M105)</f>
        <v>0</v>
      </c>
      <c r="N104" s="2507"/>
      <c r="O104" s="2507"/>
      <c r="P104" s="2514">
        <f>+J104+M104</f>
        <v>6067342</v>
      </c>
      <c r="Q104" s="2515"/>
      <c r="R104" s="2516"/>
      <c r="U104" s="359"/>
    </row>
    <row r="105" spans="2:30">
      <c r="B105" s="1138" t="s">
        <v>1871</v>
      </c>
      <c r="C105" s="1139"/>
      <c r="D105" s="1139"/>
      <c r="E105" s="1140"/>
      <c r="F105" s="1140"/>
      <c r="G105" s="1140"/>
      <c r="H105" s="1140"/>
      <c r="I105" s="1140"/>
      <c r="J105" s="1673">
        <f>-SUMIF('MATRIZCTAS(a)'!$AA$7:$AA$1599,'Parametros Cuadros de Notas'!$C15,'MATRIZCTAS(a)'!$AH$7:$AH$1599)</f>
        <v>6067342</v>
      </c>
      <c r="K105" s="1673"/>
      <c r="L105" s="1673"/>
      <c r="M105" s="1673">
        <v>0</v>
      </c>
      <c r="N105" s="1673"/>
      <c r="O105" s="1673"/>
      <c r="P105" s="2511">
        <f t="shared" si="0"/>
        <v>6067342</v>
      </c>
      <c r="Q105" s="2512"/>
      <c r="R105" s="2513"/>
    </row>
    <row r="106" spans="2:30" ht="15" customHeight="1">
      <c r="B106" s="1135" t="s">
        <v>974</v>
      </c>
      <c r="C106" s="1136"/>
      <c r="D106" s="1136"/>
      <c r="E106" s="1137"/>
      <c r="F106" s="1137"/>
      <c r="G106" s="1137"/>
      <c r="H106" s="1137"/>
      <c r="I106" s="1137"/>
      <c r="J106" s="2507">
        <f>SUM(J107:J107)</f>
        <v>7089999</v>
      </c>
      <c r="K106" s="2507"/>
      <c r="L106" s="2507"/>
      <c r="M106" s="2507">
        <f>SUM(M107:M107)</f>
        <v>0</v>
      </c>
      <c r="N106" s="2507"/>
      <c r="O106" s="2507"/>
      <c r="P106" s="2514">
        <f t="shared" si="0"/>
        <v>7089999</v>
      </c>
      <c r="Q106" s="2515"/>
      <c r="R106" s="2516"/>
    </row>
    <row r="107" spans="2:30" ht="11.25" customHeight="1">
      <c r="B107" s="1130" t="s">
        <v>974</v>
      </c>
      <c r="C107" s="1131"/>
      <c r="D107" s="1131"/>
      <c r="E107" s="1132"/>
      <c r="F107" s="1132"/>
      <c r="G107" s="1132"/>
      <c r="H107" s="1132"/>
      <c r="I107" s="1132"/>
      <c r="J107" s="2501">
        <f>-SUMIF('MATRIZCTAS(a)'!$AA$7:$AA$1599,'Parametros Cuadros de Notas'!$C24,'MATRIZCTAS(a)'!$AH$7:$AH$1599)</f>
        <v>7089999</v>
      </c>
      <c r="K107" s="2501"/>
      <c r="L107" s="2501"/>
      <c r="M107" s="2501">
        <v>0</v>
      </c>
      <c r="N107" s="2501"/>
      <c r="O107" s="2501"/>
      <c r="P107" s="2511">
        <f t="shared" si="0"/>
        <v>7089999</v>
      </c>
      <c r="Q107" s="2512"/>
      <c r="R107" s="2513"/>
    </row>
    <row r="108" spans="2:30" ht="15" customHeight="1">
      <c r="B108" s="1135" t="s">
        <v>390</v>
      </c>
      <c r="C108" s="1136"/>
      <c r="D108" s="1136"/>
      <c r="E108" s="1137"/>
      <c r="F108" s="1137"/>
      <c r="G108" s="1137"/>
      <c r="H108" s="1137"/>
      <c r="I108" s="1137"/>
      <c r="J108" s="2507">
        <f>SUM(J109:J112)</f>
        <v>0</v>
      </c>
      <c r="K108" s="2507"/>
      <c r="L108" s="2507"/>
      <c r="M108" s="2507">
        <f>SUM(M109:M112)</f>
        <v>21960737</v>
      </c>
      <c r="N108" s="2507"/>
      <c r="O108" s="2507"/>
      <c r="P108" s="2514">
        <f t="shared" si="0"/>
        <v>21960737</v>
      </c>
      <c r="Q108" s="2515"/>
      <c r="R108" s="2516"/>
    </row>
    <row r="109" spans="2:30">
      <c r="B109" s="1130" t="s">
        <v>390</v>
      </c>
      <c r="C109" s="1131"/>
      <c r="D109" s="1131"/>
      <c r="E109" s="1132"/>
      <c r="F109" s="1132"/>
      <c r="G109" s="1132"/>
      <c r="H109" s="1132"/>
      <c r="I109" s="1132"/>
      <c r="J109" s="2501">
        <f>-SUMIF('MATRIZCTAS(a)'!$AA$7:$AA$1599,'Parametros Cuadros de Notas'!$C48,'MATRIZCTAS(a)'!$AH$7:$AH$1599)</f>
        <v>0</v>
      </c>
      <c r="K109" s="2501"/>
      <c r="L109" s="2501"/>
      <c r="M109" s="2501">
        <f>-SUMIF('MATRIZCTAS(a)'!$AA$7:$AA$1599,'Parametros Cuadros de Notas'!$C62,'MATRIZCTAS(a)'!$AH$7:$AH$1599)</f>
        <v>21960737</v>
      </c>
      <c r="N109" s="2501"/>
      <c r="O109" s="2501"/>
      <c r="P109" s="2639">
        <f t="shared" si="0"/>
        <v>21960737</v>
      </c>
      <c r="Q109" s="2640"/>
      <c r="R109" s="2641"/>
      <c r="AD109" s="359"/>
    </row>
    <row r="110" spans="2:30" ht="11.25" hidden="1" customHeight="1">
      <c r="B110" s="1120" t="s">
        <v>45</v>
      </c>
      <c r="C110" s="1141"/>
      <c r="D110" s="1141"/>
      <c r="E110" s="806"/>
      <c r="F110" s="806"/>
      <c r="G110" s="806"/>
      <c r="H110" s="806"/>
      <c r="I110" s="806"/>
      <c r="J110" s="1673">
        <f>-SUMIF('MATRIZCTAS(a)'!$AA$7:$AA$1599,'Parametros Cuadros de Notas'!$C49,'MATRIZCTAS(a)'!$AH$7:$AH$1599)</f>
        <v>0</v>
      </c>
      <c r="K110" s="1673"/>
      <c r="L110" s="1673"/>
      <c r="M110" s="1673">
        <f>-SUMIF('MATRIZCTAS(a)'!$AA$7:$AA$1599,'Parametros Cuadros de Notas'!$C65,'MATRIZCTAS(a)'!$AH$7:$AH$1599)</f>
        <v>0</v>
      </c>
      <c r="N110" s="1673"/>
      <c r="O110" s="1673"/>
      <c r="P110" s="2434">
        <f t="shared" si="0"/>
        <v>0</v>
      </c>
      <c r="Q110" s="2435"/>
      <c r="R110" s="2436"/>
    </row>
    <row r="111" spans="2:30" ht="11.25" hidden="1" customHeight="1">
      <c r="B111" s="1112" t="s">
        <v>46</v>
      </c>
      <c r="C111" s="1141"/>
      <c r="D111" s="1141"/>
      <c r="E111" s="806"/>
      <c r="F111" s="806"/>
      <c r="G111" s="806"/>
      <c r="H111" s="806"/>
      <c r="I111" s="806"/>
      <c r="J111" s="2434">
        <f>-SUMIF('MATRIZCTAS(a)'!$AA$7:$AA$1599,'Parametros Cuadros de Notas'!$C50,'MATRIZCTAS(a)'!$AH$7:$AH$1599)</f>
        <v>0</v>
      </c>
      <c r="K111" s="2435"/>
      <c r="L111" s="2505"/>
      <c r="M111" s="2434">
        <f>-SUMIF('MATRIZCTAS(a)'!$AA$7:$AA$1599,'Parametros Cuadros de Notas'!$C68,'MATRIZCTAS(a)'!$AH$7:$AH$1599)</f>
        <v>0</v>
      </c>
      <c r="N111" s="2435"/>
      <c r="O111" s="2505"/>
      <c r="P111" s="2434">
        <f t="shared" si="0"/>
        <v>0</v>
      </c>
      <c r="Q111" s="2435"/>
      <c r="R111" s="2436"/>
      <c r="AD111" s="359"/>
    </row>
    <row r="112" spans="2:30" hidden="1">
      <c r="B112" s="1142" t="s">
        <v>44</v>
      </c>
      <c r="C112" s="1143"/>
      <c r="D112" s="1134"/>
      <c r="E112" s="1089"/>
      <c r="F112" s="1089"/>
      <c r="G112" s="1089"/>
      <c r="H112" s="1089"/>
      <c r="I112" s="1089"/>
      <c r="J112" s="2434">
        <f>-SUMIF('MATRIZCTAS(a)'!$AA$7:$AA$1599,'Parametros Cuadros de Notas'!$C51,'MATRIZCTAS(a)'!$AH$7:$AH$1599)</f>
        <v>0</v>
      </c>
      <c r="K112" s="2435"/>
      <c r="L112" s="2505"/>
      <c r="M112" s="2434">
        <v>0</v>
      </c>
      <c r="N112" s="2435"/>
      <c r="O112" s="2505"/>
      <c r="P112" s="1673">
        <f>+J112+M112</f>
        <v>0</v>
      </c>
      <c r="Q112" s="1673"/>
      <c r="R112" s="2506"/>
      <c r="AD112" s="359"/>
    </row>
    <row r="113" spans="2:30" ht="15" customHeight="1">
      <c r="B113" s="1135" t="s">
        <v>907</v>
      </c>
      <c r="C113" s="1136"/>
      <c r="D113" s="1136"/>
      <c r="E113" s="1137"/>
      <c r="F113" s="1137"/>
      <c r="G113" s="1137"/>
      <c r="H113" s="1137"/>
      <c r="I113" s="1137"/>
      <c r="J113" s="2507">
        <f>SUM(J114:J115)</f>
        <v>32860266</v>
      </c>
      <c r="K113" s="2507"/>
      <c r="L113" s="2507"/>
      <c r="M113" s="2507">
        <f>SUM(M114:M115)</f>
        <v>0</v>
      </c>
      <c r="N113" s="2507"/>
      <c r="O113" s="2507"/>
      <c r="P113" s="2507">
        <f t="shared" ref="P113:P120" si="1">+J113+M113</f>
        <v>32860266</v>
      </c>
      <c r="Q113" s="2507"/>
      <c r="R113" s="2543"/>
      <c r="AD113" s="359"/>
    </row>
    <row r="114" spans="2:30">
      <c r="B114" s="1130" t="s">
        <v>1061</v>
      </c>
      <c r="C114" s="1131"/>
      <c r="D114" s="1131"/>
      <c r="E114" s="1132"/>
      <c r="F114" s="1132"/>
      <c r="G114" s="1132"/>
      <c r="H114" s="1132"/>
      <c r="I114" s="1132"/>
      <c r="J114" s="2501">
        <f>-SUMIF('MATRIZCTAS(a)'!$AA$7:$AA$1599,'Parametros Cuadros de Notas'!$C76,'MATRIZCTAS(a)'!$AH$7:$AH$1599)</f>
        <v>0</v>
      </c>
      <c r="K114" s="2501"/>
      <c r="L114" s="2501"/>
      <c r="M114" s="2501">
        <f>-SUMIF('MATRIZCTAS(a)'!$AA$7:$AA$1599,'Parametros Cuadros de Notas'!$C79,'MATRIZCTAS(a)'!$AH$7:$AH$1599)</f>
        <v>0</v>
      </c>
      <c r="N114" s="2501"/>
      <c r="O114" s="2501"/>
      <c r="P114" s="2501">
        <f t="shared" si="1"/>
        <v>0</v>
      </c>
      <c r="Q114" s="2501"/>
      <c r="R114" s="2502"/>
      <c r="AD114" s="359"/>
    </row>
    <row r="115" spans="2:30">
      <c r="B115" s="1120" t="s">
        <v>1450</v>
      </c>
      <c r="C115" s="1141"/>
      <c r="D115" s="1141"/>
      <c r="E115" s="806"/>
      <c r="F115" s="806"/>
      <c r="G115" s="806"/>
      <c r="H115" s="806"/>
      <c r="I115" s="806"/>
      <c r="J115" s="2535">
        <f>-SUMIF('MATRIZCTAS(a)'!$AA$7:$AA$1599,'Parametros Cuadros de Notas'!$C77,'MATRIZCTAS(a)'!$AH$7:$AH$1599)</f>
        <v>32860266</v>
      </c>
      <c r="K115" s="2535"/>
      <c r="L115" s="2535"/>
      <c r="M115" s="1673">
        <f>-SUMIF('MATRIZCTAS(a)'!$AA$7:$AA$1599,'Parametros Cuadros de Notas'!$C80,'MATRIZCTAS(a)'!$AH$7:$AH$1599)</f>
        <v>0</v>
      </c>
      <c r="N115" s="1673"/>
      <c r="O115" s="1673"/>
      <c r="P115" s="1673">
        <f t="shared" si="1"/>
        <v>32860266</v>
      </c>
      <c r="Q115" s="1673"/>
      <c r="R115" s="2506"/>
      <c r="AD115" s="359"/>
    </row>
    <row r="116" spans="2:30" ht="15" customHeight="1">
      <c r="B116" s="1135" t="s">
        <v>997</v>
      </c>
      <c r="C116" s="1136"/>
      <c r="D116" s="1136"/>
      <c r="E116" s="1137"/>
      <c r="F116" s="1137"/>
      <c r="G116" s="1137"/>
      <c r="H116" s="1137"/>
      <c r="I116" s="1137"/>
      <c r="J116" s="2507">
        <f>SUM(J117:J119)</f>
        <v>10189960</v>
      </c>
      <c r="K116" s="2507"/>
      <c r="L116" s="2507"/>
      <c r="M116" s="2507">
        <f>SUM(M117:M119)</f>
        <v>0</v>
      </c>
      <c r="N116" s="2507"/>
      <c r="O116" s="2507"/>
      <c r="P116" s="2507">
        <f>+J116+M116</f>
        <v>10189960</v>
      </c>
      <c r="Q116" s="2507"/>
      <c r="R116" s="2543"/>
      <c r="AD116" s="359"/>
    </row>
    <row r="117" spans="2:30">
      <c r="B117" s="1144" t="s">
        <v>1556</v>
      </c>
      <c r="C117" s="1145"/>
      <c r="D117" s="1145"/>
      <c r="E117" s="1132"/>
      <c r="F117" s="1132"/>
      <c r="G117" s="1132"/>
      <c r="H117" s="1132"/>
      <c r="I117" s="1132"/>
      <c r="J117" s="2501">
        <f>-SUMIF('MATRIZCTAS(a)'!$AA$7:$AA$1764,'Parametros Cuadros de Notas'!$C82,'MATRIZCTAS(a)'!$AH$7:$AH$1764)</f>
        <v>2672117</v>
      </c>
      <c r="K117" s="2501"/>
      <c r="L117" s="2501"/>
      <c r="M117" s="2501">
        <v>0</v>
      </c>
      <c r="N117" s="2501"/>
      <c r="O117" s="2501"/>
      <c r="P117" s="2501">
        <f t="shared" si="1"/>
        <v>2672117</v>
      </c>
      <c r="Q117" s="2501"/>
      <c r="R117" s="2502"/>
    </row>
    <row r="118" spans="2:30">
      <c r="B118" s="1144" t="s">
        <v>2608</v>
      </c>
      <c r="C118" s="1145"/>
      <c r="D118" s="1145"/>
      <c r="E118" s="1132"/>
      <c r="F118" s="1132"/>
      <c r="G118" s="1132"/>
      <c r="H118" s="1132"/>
      <c r="I118" s="1132"/>
      <c r="J118" s="2501">
        <f>-SUMIF('MATRIZCTAS(a)'!$AA$7:$AA$1764,'Parametros Cuadros de Notas'!$C84,'MATRIZCTAS(a)'!$AH$7:$AH$1764)</f>
        <v>2695758</v>
      </c>
      <c r="K118" s="2501"/>
      <c r="L118" s="2501"/>
      <c r="M118" s="2501">
        <v>0</v>
      </c>
      <c r="N118" s="2501"/>
      <c r="O118" s="2501"/>
      <c r="P118" s="2501">
        <f>+J118+M118</f>
        <v>2695758</v>
      </c>
      <c r="Q118" s="2501"/>
      <c r="R118" s="2502"/>
    </row>
    <row r="119" spans="2:30" ht="12" thickBot="1">
      <c r="B119" s="1121" t="s">
        <v>391</v>
      </c>
      <c r="C119" s="1146"/>
      <c r="D119" s="1146"/>
      <c r="E119" s="807"/>
      <c r="F119" s="807"/>
      <c r="G119" s="807"/>
      <c r="H119" s="807"/>
      <c r="I119" s="807"/>
      <c r="J119" s="2526">
        <f>-SUMIF('MATRIZCTAS(a)'!$AA$7:$AA$1764,'Parametros Cuadros de Notas'!$C83,'MATRIZCTAS(a)'!$AH$7:$AH$1764)</f>
        <v>4822085</v>
      </c>
      <c r="K119" s="2526"/>
      <c r="L119" s="2526"/>
      <c r="M119" s="2526"/>
      <c r="N119" s="2526"/>
      <c r="O119" s="2526"/>
      <c r="P119" s="2526">
        <f t="shared" si="1"/>
        <v>4822085</v>
      </c>
      <c r="Q119" s="2526"/>
      <c r="R119" s="2642"/>
    </row>
    <row r="120" spans="2:30" ht="20.100000000000001" customHeight="1" thickBot="1">
      <c r="B120" s="1147" t="s">
        <v>1333</v>
      </c>
      <c r="C120" s="1148"/>
      <c r="D120" s="1148"/>
      <c r="E120" s="1149"/>
      <c r="F120" s="1149"/>
      <c r="G120" s="1149"/>
      <c r="H120" s="1149"/>
      <c r="I120" s="1149"/>
      <c r="J120" s="2544">
        <f>+J100+J104+J106+J108+J113+J116</f>
        <v>56207567</v>
      </c>
      <c r="K120" s="2544"/>
      <c r="L120" s="2544"/>
      <c r="M120" s="2544">
        <f>+M100+M104+M106+M108+M113+M116</f>
        <v>1659649091</v>
      </c>
      <c r="N120" s="2544"/>
      <c r="O120" s="2544"/>
      <c r="P120" s="2544">
        <f t="shared" si="1"/>
        <v>1715856658</v>
      </c>
      <c r="Q120" s="2544"/>
      <c r="R120" s="2545"/>
      <c r="S120" s="301" t="s">
        <v>1805</v>
      </c>
      <c r="T120" s="786" t="s">
        <v>1805</v>
      </c>
    </row>
    <row r="121" spans="2:30">
      <c r="S121" s="359" t="s">
        <v>1805</v>
      </c>
    </row>
    <row r="122" spans="2:30" ht="12" thickBot="1"/>
    <row r="123" spans="2:30" ht="20.100000000000001" customHeight="1" thickBot="1">
      <c r="B123" s="323"/>
      <c r="C123" s="324"/>
      <c r="D123" s="324"/>
      <c r="E123" s="313"/>
      <c r="F123" s="324"/>
      <c r="G123" s="313"/>
      <c r="H123" s="313"/>
      <c r="I123" s="313"/>
      <c r="J123" s="313"/>
      <c r="K123" s="313"/>
      <c r="L123" s="313"/>
      <c r="M123" s="313"/>
      <c r="N123" s="313"/>
      <c r="O123" s="313"/>
      <c r="P123" s="2523" t="s">
        <v>1885</v>
      </c>
      <c r="Q123" s="2524"/>
      <c r="R123" s="2525"/>
    </row>
    <row r="124" spans="2:30" ht="15" customHeight="1">
      <c r="B124" s="617" t="s">
        <v>370</v>
      </c>
      <c r="C124" s="600"/>
      <c r="D124" s="601"/>
      <c r="E124" s="600"/>
      <c r="F124" s="601"/>
      <c r="G124" s="608"/>
      <c r="H124" s="608"/>
      <c r="I124" s="608"/>
      <c r="J124" s="608"/>
      <c r="K124" s="608"/>
      <c r="L124" s="608"/>
      <c r="M124" s="608"/>
      <c r="N124" s="608"/>
      <c r="O124" s="608"/>
      <c r="P124" s="2631">
        <f>+P120+'[7]Margen de Solvencia 3'!$AO$40*0+U124</f>
        <v>1808054271</v>
      </c>
      <c r="Q124" s="2632"/>
      <c r="R124" s="2633"/>
      <c r="U124" s="359">
        <v>92197613</v>
      </c>
      <c r="V124" s="301" t="s">
        <v>624</v>
      </c>
      <c r="AD124" s="359"/>
    </row>
    <row r="125" spans="2:30" ht="15" hidden="1" customHeight="1">
      <c r="B125" s="618" t="s">
        <v>1437</v>
      </c>
      <c r="C125" s="619"/>
      <c r="D125" s="620"/>
      <c r="E125" s="619"/>
      <c r="F125" s="620"/>
      <c r="G125" s="621"/>
      <c r="H125" s="621"/>
      <c r="I125" s="621"/>
      <c r="J125" s="621"/>
      <c r="K125" s="621"/>
      <c r="L125" s="621"/>
      <c r="M125" s="621"/>
      <c r="N125" s="621"/>
      <c r="O125" s="621"/>
      <c r="P125" s="2540"/>
      <c r="Q125" s="2541"/>
      <c r="R125" s="2542"/>
      <c r="U125" s="359"/>
      <c r="AD125" s="359"/>
    </row>
    <row r="126" spans="2:30" ht="15" customHeight="1">
      <c r="B126" s="622" t="s">
        <v>371</v>
      </c>
      <c r="C126" s="614"/>
      <c r="D126" s="623"/>
      <c r="E126" s="614"/>
      <c r="F126" s="623"/>
      <c r="G126" s="615"/>
      <c r="H126" s="615"/>
      <c r="I126" s="615"/>
      <c r="J126" s="615"/>
      <c r="K126" s="615"/>
      <c r="L126" s="615"/>
      <c r="M126" s="615"/>
      <c r="N126" s="615"/>
      <c r="O126" s="615"/>
      <c r="P126" s="2540" t="e">
        <f>+'Cuadro A-1 II'!X62-'Cuadro A-1 II'!X48-'Cuadro A-1 II'!X49-'Cuadro A-1 II'!X50-'Cuadro A-1 II'!#REF!-'Cuadro A-1 II'!X51-'Cuadro A-1 II'!X56-'Cuadro A-1 II'!X59-'Cuadro A-1 II'!X58-'Cuadro A-1 II'!#REF!-'Cuadro A-1 II'!X53</f>
        <v>#REF!</v>
      </c>
      <c r="Q126" s="2541"/>
      <c r="R126" s="2542"/>
      <c r="U126" s="359" t="s">
        <v>1805</v>
      </c>
      <c r="AC126" s="359"/>
    </row>
    <row r="127" spans="2:30" ht="15" customHeight="1">
      <c r="B127" s="618" t="s">
        <v>1436</v>
      </c>
      <c r="C127" s="624"/>
      <c r="D127" s="625"/>
      <c r="E127" s="624"/>
      <c r="F127" s="625"/>
      <c r="G127" s="616"/>
      <c r="H127" s="616"/>
      <c r="I127" s="616"/>
      <c r="J127" s="616"/>
      <c r="K127" s="616"/>
      <c r="L127" s="616"/>
      <c r="M127" s="616"/>
      <c r="N127" s="616"/>
      <c r="O127" s="616"/>
      <c r="P127" s="2540">
        <f>+P73</f>
        <v>33581884</v>
      </c>
      <c r="Q127" s="2541"/>
      <c r="R127" s="2542"/>
      <c r="U127" s="359"/>
    </row>
    <row r="128" spans="2:30" ht="30" customHeight="1" thickBot="1">
      <c r="B128" s="2520" t="s">
        <v>1482</v>
      </c>
      <c r="C128" s="2521"/>
      <c r="D128" s="2521"/>
      <c r="E128" s="2521"/>
      <c r="F128" s="2521"/>
      <c r="G128" s="2521"/>
      <c r="H128" s="2521"/>
      <c r="I128" s="2521"/>
      <c r="J128" s="2521"/>
      <c r="K128" s="2521"/>
      <c r="L128" s="2521"/>
      <c r="M128" s="2521"/>
      <c r="N128" s="2521"/>
      <c r="O128" s="2522"/>
      <c r="P128" s="2345" t="e">
        <f>+P126-P124+P127-P125</f>
        <v>#REF!</v>
      </c>
      <c r="Q128" s="2547"/>
      <c r="R128" s="2548"/>
      <c r="U128" s="359"/>
    </row>
    <row r="129" spans="2:30" ht="12" thickBot="1">
      <c r="B129" s="561"/>
      <c r="C129" s="561"/>
      <c r="D129" s="561"/>
      <c r="E129" s="561"/>
      <c r="F129" s="561"/>
      <c r="G129" s="561"/>
      <c r="H129" s="561"/>
      <c r="I129" s="561"/>
      <c r="J129" s="561"/>
      <c r="K129" s="561"/>
      <c r="L129" s="561"/>
      <c r="M129" s="561"/>
      <c r="N129" s="561"/>
      <c r="O129" s="561"/>
      <c r="P129" s="561"/>
      <c r="Q129" s="561"/>
      <c r="R129" s="561"/>
      <c r="U129" s="359"/>
    </row>
    <row r="130" spans="2:30" ht="15" customHeight="1">
      <c r="B130" s="626" t="s">
        <v>1483</v>
      </c>
      <c r="C130" s="600"/>
      <c r="D130" s="601"/>
      <c r="E130" s="600"/>
      <c r="F130" s="601"/>
      <c r="G130" s="608"/>
      <c r="H130" s="608"/>
      <c r="I130" s="608"/>
      <c r="J130" s="608"/>
      <c r="K130" s="608"/>
      <c r="L130" s="608"/>
      <c r="M130" s="608"/>
      <c r="N130" s="608"/>
      <c r="O130" s="608"/>
      <c r="P130" s="2628">
        <f>+'Cuadros Notas'!Y149-'Cuadros Notas'!P538</f>
        <v>205601188</v>
      </c>
      <c r="Q130" s="2629"/>
      <c r="R130" s="2630"/>
      <c r="U130" s="359"/>
    </row>
    <row r="131" spans="2:30" ht="15" customHeight="1">
      <c r="B131" s="602" t="s">
        <v>1484</v>
      </c>
      <c r="C131" s="604"/>
      <c r="D131" s="604"/>
      <c r="E131" s="603"/>
      <c r="F131" s="604"/>
      <c r="G131" s="562"/>
      <c r="H131" s="562"/>
      <c r="I131" s="562"/>
      <c r="J131" s="562"/>
      <c r="K131" s="562"/>
      <c r="L131" s="562"/>
      <c r="M131" s="562"/>
      <c r="N131" s="562"/>
      <c r="O131" s="562"/>
      <c r="P131" s="2558">
        <f>(+'FECU(a)'!G127-'FECU(a)'!E87)/'Cuadros Notas'!P130+(('FECU(a)'!E87)/P130)*1/7</f>
        <v>8.5552212116317428</v>
      </c>
      <c r="Q131" s="2559"/>
      <c r="R131" s="2560"/>
      <c r="U131" s="359"/>
    </row>
    <row r="132" spans="2:30" ht="15" customHeight="1" thickBot="1">
      <c r="B132" s="605" t="s">
        <v>1485</v>
      </c>
      <c r="C132" s="606"/>
      <c r="D132" s="607"/>
      <c r="E132" s="606"/>
      <c r="F132" s="607"/>
      <c r="G132" s="609"/>
      <c r="H132" s="609"/>
      <c r="I132" s="609"/>
      <c r="J132" s="609"/>
      <c r="K132" s="609"/>
      <c r="L132" s="609"/>
      <c r="M132" s="609"/>
      <c r="N132" s="609"/>
      <c r="O132" s="609"/>
      <c r="P132" s="2561">
        <f>('FECU(a)'!G127-'FECU(a)'!G80-'FECU(a)'!F103-'FECU(a)'!F109)/P130</f>
        <v>0.35124563093477845</v>
      </c>
      <c r="Q132" s="2562"/>
      <c r="R132" s="2563"/>
    </row>
    <row r="134" spans="2:30" ht="12" thickBot="1"/>
    <row r="135" spans="2:30" ht="20.100000000000001" customHeight="1" thickBot="1">
      <c r="B135" s="323"/>
      <c r="C135" s="324"/>
      <c r="D135" s="324"/>
      <c r="E135" s="313"/>
      <c r="F135" s="324"/>
      <c r="G135" s="313"/>
      <c r="H135" s="313"/>
      <c r="I135" s="2523" t="s">
        <v>1885</v>
      </c>
      <c r="J135" s="2524"/>
      <c r="K135" s="2525"/>
    </row>
    <row r="136" spans="2:30" ht="15" customHeight="1">
      <c r="B136" s="811" t="s">
        <v>1486</v>
      </c>
      <c r="C136" s="812"/>
      <c r="D136" s="600"/>
      <c r="E136" s="601"/>
      <c r="F136" s="601"/>
      <c r="G136" s="608"/>
      <c r="H136" s="608"/>
      <c r="I136" s="2536">
        <f>SUMIF('MATRIZCTAS(a)'!$AA$7:$AA$1599,'Parametros Cuadros de Notas'!$C87,'MATRIZCTAS(a)'!$AH$7:$AH$1599)</f>
        <v>1292931</v>
      </c>
      <c r="J136" s="2537"/>
      <c r="K136" s="2538"/>
    </row>
    <row r="137" spans="2:30" ht="15" customHeight="1" thickBot="1">
      <c r="B137" s="813" t="s">
        <v>877</v>
      </c>
      <c r="C137" s="814"/>
      <c r="D137" s="815"/>
      <c r="E137" s="816"/>
      <c r="F137" s="816"/>
      <c r="G137" s="817"/>
      <c r="H137" s="817"/>
      <c r="I137" s="2549">
        <f>+'MATRIZCTAS(a)'!AF553/1000</f>
        <v>1595144.14</v>
      </c>
      <c r="J137" s="2550"/>
      <c r="K137" s="2551"/>
    </row>
    <row r="139" spans="2:30" ht="12" thickBot="1"/>
    <row r="140" spans="2:30" ht="50.1" customHeight="1" thickBot="1">
      <c r="B140" s="2527" t="s">
        <v>1019</v>
      </c>
      <c r="C140" s="1847"/>
      <c r="D140" s="1847"/>
      <c r="E140" s="1847"/>
      <c r="F140" s="1847"/>
      <c r="G140" s="1847" t="s">
        <v>2566</v>
      </c>
      <c r="H140" s="1847"/>
      <c r="I140" s="1847"/>
      <c r="J140" s="1847" t="s">
        <v>878</v>
      </c>
      <c r="K140" s="1847"/>
      <c r="L140" s="1847"/>
      <c r="M140" s="1847" t="s">
        <v>382</v>
      </c>
      <c r="N140" s="1847"/>
      <c r="O140" s="1847"/>
      <c r="P140" s="1847" t="s">
        <v>1107</v>
      </c>
      <c r="Q140" s="1847"/>
      <c r="R140" s="1847"/>
      <c r="S140" s="1847" t="s">
        <v>438</v>
      </c>
      <c r="T140" s="1847"/>
      <c r="U140" s="1847"/>
      <c r="V140" s="1847" t="s">
        <v>1166</v>
      </c>
      <c r="W140" s="1847"/>
      <c r="X140" s="1847"/>
      <c r="Y140" s="1847" t="s">
        <v>2954</v>
      </c>
      <c r="Z140" s="1847"/>
      <c r="AA140" s="1848"/>
    </row>
    <row r="141" spans="2:30" ht="24.95" customHeight="1">
      <c r="B141" s="2531" t="s">
        <v>1123</v>
      </c>
      <c r="C141" s="2532"/>
      <c r="D141" s="2532"/>
      <c r="E141" s="2532"/>
      <c r="F141" s="2532"/>
      <c r="G141" s="2546">
        <v>153368906</v>
      </c>
      <c r="H141" s="2546"/>
      <c r="I141" s="2546"/>
      <c r="J141" s="2546" t="s">
        <v>1167</v>
      </c>
      <c r="K141" s="2546"/>
      <c r="L141" s="2546"/>
      <c r="M141" s="2539">
        <v>0</v>
      </c>
      <c r="N141" s="2539"/>
      <c r="O141" s="2539"/>
      <c r="P141" s="2555">
        <f>(-SUMIF('MATRIZCTAS(a)'!$AA$7:$AA$1599,'Parametros Cuadros de Notas'!$C90,'MATRIZCTAS(a)'!$AH$7:$AH$1599)-G141-M141)*0</f>
        <v>0</v>
      </c>
      <c r="Q141" s="2556"/>
      <c r="R141" s="2557"/>
      <c r="S141" s="2539" t="s">
        <v>1167</v>
      </c>
      <c r="T141" s="2539"/>
      <c r="U141" s="2539"/>
      <c r="V141" s="2539" t="s">
        <v>1167</v>
      </c>
      <c r="W141" s="2539"/>
      <c r="X141" s="2539"/>
      <c r="Y141" s="2572">
        <f t="shared" ref="Y141:Y148" si="2">SUM(G141:X141)</f>
        <v>153368906</v>
      </c>
      <c r="Z141" s="2572"/>
      <c r="AA141" s="2573"/>
      <c r="AB141" s="359"/>
      <c r="AD141" s="359"/>
    </row>
    <row r="142" spans="2:30" ht="24.95" customHeight="1">
      <c r="B142" s="2530" t="s">
        <v>1393</v>
      </c>
      <c r="C142" s="2533"/>
      <c r="D142" s="2533"/>
      <c r="E142" s="2533"/>
      <c r="F142" s="2534"/>
      <c r="G142" s="2539">
        <v>5981387</v>
      </c>
      <c r="H142" s="2556"/>
      <c r="I142" s="2557"/>
      <c r="J142" s="2555" t="s">
        <v>1167</v>
      </c>
      <c r="K142" s="2556"/>
      <c r="L142" s="2557"/>
      <c r="M142" s="2555">
        <v>0</v>
      </c>
      <c r="N142" s="2556"/>
      <c r="O142" s="2557"/>
      <c r="P142" s="2555">
        <f>(-SUMIF('MATRIZCTAS(a)'!$AA$7:$AA$1599,'Parametros Cuadros de Notas'!$C90,'MATRIZCTAS(a)'!$AH$7:$AH$1599)-G141-G142)</f>
        <v>0</v>
      </c>
      <c r="Q142" s="2556"/>
      <c r="R142" s="2557"/>
      <c r="S142" s="2555" t="s">
        <v>1167</v>
      </c>
      <c r="T142" s="2556"/>
      <c r="U142" s="2557"/>
      <c r="V142" s="2555" t="s">
        <v>1167</v>
      </c>
      <c r="W142" s="2556"/>
      <c r="X142" s="2557"/>
      <c r="Y142" s="2552">
        <f t="shared" si="2"/>
        <v>5981387</v>
      </c>
      <c r="Z142" s="2553"/>
      <c r="AA142" s="2554"/>
      <c r="AB142" s="359"/>
      <c r="AD142" s="359"/>
    </row>
    <row r="143" spans="2:30" ht="24.95" customHeight="1">
      <c r="B143" s="2528" t="s">
        <v>1394</v>
      </c>
      <c r="C143" s="2529"/>
      <c r="D143" s="2529"/>
      <c r="E143" s="2529"/>
      <c r="F143" s="2529"/>
      <c r="G143" s="2539">
        <v>3323097</v>
      </c>
      <c r="H143" s="2539"/>
      <c r="I143" s="2539"/>
      <c r="J143" s="2539" t="s">
        <v>1167</v>
      </c>
      <c r="K143" s="2539"/>
      <c r="L143" s="2539"/>
      <c r="M143" s="2539">
        <v>0</v>
      </c>
      <c r="N143" s="2539"/>
      <c r="O143" s="2539"/>
      <c r="P143" s="2555">
        <f>-SUMIF('MATRIZCTAS(a)'!$AA$7:$AA$1599,'Parametros Cuadros de Notas'!$C91,'MATRIZCTAS(a)'!$AH$7:$AH$1599)-SUMIF('MATRIZCTAS(a)'!$AA$7:$AA$1599,'Parametros Cuadros de Notas'!$C92,'MATRIZCTAS(a)'!$AH$7:$AH$1599)-G143-M143</f>
        <v>0</v>
      </c>
      <c r="Q143" s="2556"/>
      <c r="R143" s="2557"/>
      <c r="S143" s="2539" t="s">
        <v>1167</v>
      </c>
      <c r="T143" s="2539"/>
      <c r="U143" s="2539"/>
      <c r="V143" s="2539" t="s">
        <v>1167</v>
      </c>
      <c r="W143" s="2539"/>
      <c r="X143" s="2539"/>
      <c r="Y143" s="2567">
        <f t="shared" si="2"/>
        <v>3323097</v>
      </c>
      <c r="Z143" s="2567"/>
      <c r="AA143" s="2568"/>
      <c r="AB143" s="359"/>
    </row>
    <row r="144" spans="2:30" ht="24.95" customHeight="1">
      <c r="B144" s="2528" t="s">
        <v>1168</v>
      </c>
      <c r="C144" s="2529"/>
      <c r="D144" s="2529"/>
      <c r="E144" s="2529"/>
      <c r="F144" s="2529"/>
      <c r="G144" s="2539">
        <v>833355</v>
      </c>
      <c r="H144" s="2539"/>
      <c r="I144" s="2539"/>
      <c r="J144" s="2539" t="s">
        <v>1167</v>
      </c>
      <c r="K144" s="2539"/>
      <c r="L144" s="2539"/>
      <c r="M144" s="2539" t="s">
        <v>1167</v>
      </c>
      <c r="N144" s="2539"/>
      <c r="O144" s="2539"/>
      <c r="P144" s="2555" t="s">
        <v>1167</v>
      </c>
      <c r="Q144" s="2556"/>
      <c r="R144" s="2557"/>
      <c r="S144" s="2539" t="s">
        <v>1167</v>
      </c>
      <c r="T144" s="2539"/>
      <c r="U144" s="2539"/>
      <c r="V144" s="2539">
        <f>-SUMIF('MATRIZCTAS(a)'!$AA$7:$AA$1781,'Parametros Cuadros de Notas'!$C93,'MATRIZCTAS(a)'!$AH$7:$AH$1781)-G144</f>
        <v>26281</v>
      </c>
      <c r="W144" s="2539"/>
      <c r="X144" s="2539"/>
      <c r="Y144" s="2565">
        <f t="shared" si="2"/>
        <v>859636</v>
      </c>
      <c r="Z144" s="2565"/>
      <c r="AA144" s="2566"/>
      <c r="AB144" s="359"/>
      <c r="AC144" s="359"/>
    </row>
    <row r="145" spans="2:30" ht="24.95" customHeight="1">
      <c r="B145" s="2528" t="s">
        <v>1378</v>
      </c>
      <c r="C145" s="2529"/>
      <c r="D145" s="2529"/>
      <c r="E145" s="2529"/>
      <c r="F145" s="2529"/>
      <c r="G145" s="2539">
        <v>39962819</v>
      </c>
      <c r="H145" s="2539"/>
      <c r="I145" s="2539"/>
      <c r="J145" s="2539">
        <f>-J146</f>
        <v>17635063</v>
      </c>
      <c r="K145" s="2539"/>
      <c r="L145" s="2539"/>
      <c r="M145" s="2539">
        <v>0</v>
      </c>
      <c r="N145" s="2539"/>
      <c r="O145" s="2539"/>
      <c r="P145" s="2555">
        <f>-'MATRIZCTAS(a)'!AH1045-'MATRIZCTAS(a)'!AH1038-G145-J145-M145</f>
        <v>-25754006</v>
      </c>
      <c r="Q145" s="2556"/>
      <c r="R145" s="2557"/>
      <c r="S145" s="2539" t="s">
        <v>1167</v>
      </c>
      <c r="T145" s="2539"/>
      <c r="U145" s="2539"/>
      <c r="V145" s="2539">
        <f>-'MATRIZCTAS(a)'!AK1006</f>
        <v>0</v>
      </c>
      <c r="W145" s="2539"/>
      <c r="X145" s="2539"/>
      <c r="Y145" s="2567">
        <f t="shared" si="2"/>
        <v>31843876</v>
      </c>
      <c r="Z145" s="2567"/>
      <c r="AA145" s="2568"/>
      <c r="AB145" s="359"/>
      <c r="AD145" s="359" t="s">
        <v>1805</v>
      </c>
    </row>
    <row r="146" spans="2:30" ht="24.95" customHeight="1">
      <c r="B146" s="2530" t="s">
        <v>1856</v>
      </c>
      <c r="C146" s="2529"/>
      <c r="D146" s="2529"/>
      <c r="E146" s="2529"/>
      <c r="F146" s="2529"/>
      <c r="G146" s="2574">
        <v>17635063</v>
      </c>
      <c r="H146" s="2574"/>
      <c r="I146" s="2574"/>
      <c r="J146" s="2574">
        <f>-G146</f>
        <v>-17635063</v>
      </c>
      <c r="K146" s="2574"/>
      <c r="L146" s="2574"/>
      <c r="M146" s="2539">
        <v>0</v>
      </c>
      <c r="N146" s="2539"/>
      <c r="O146" s="2539"/>
      <c r="P146" s="2539">
        <v>0</v>
      </c>
      <c r="Q146" s="2539"/>
      <c r="R146" s="2539"/>
      <c r="S146" s="2539">
        <f>-'MATRIZCTAS(a)'!AH1007</f>
        <v>0</v>
      </c>
      <c r="T146" s="2539"/>
      <c r="U146" s="2539"/>
      <c r="V146" s="2539">
        <f>-SUMIF('MATRIZCTAS(a)'!$AA$7:$AA$1781,'Parametros Cuadros de Notas'!$C96,'MATRIZCTAS(a)'!$AH$7:$AH$1781)</f>
        <v>14891242</v>
      </c>
      <c r="W146" s="2539"/>
      <c r="X146" s="2539"/>
      <c r="Y146" s="2567">
        <f t="shared" si="2"/>
        <v>14891242</v>
      </c>
      <c r="Z146" s="2567"/>
      <c r="AA146" s="2568"/>
    </row>
    <row r="147" spans="2:30" ht="24.95" customHeight="1">
      <c r="B147" s="2528" t="s">
        <v>1831</v>
      </c>
      <c r="C147" s="2529"/>
      <c r="D147" s="2529"/>
      <c r="E147" s="2529"/>
      <c r="F147" s="2529"/>
      <c r="G147" s="2539">
        <v>2273284</v>
      </c>
      <c r="H147" s="2539"/>
      <c r="I147" s="2539"/>
      <c r="J147" s="2539">
        <v>0</v>
      </c>
      <c r="K147" s="2539"/>
      <c r="L147" s="2539"/>
      <c r="M147" s="2539" t="s">
        <v>1167</v>
      </c>
      <c r="N147" s="2539"/>
      <c r="O147" s="2539"/>
      <c r="P147" s="2555" t="s">
        <v>1167</v>
      </c>
      <c r="Q147" s="2556"/>
      <c r="R147" s="2557"/>
      <c r="S147" s="2539">
        <f>-SUMIF('MATRIZCTAS(a)'!$AA$7:$AA$1781,'Parametros Cuadros de Notas'!$C97,'MATRIZCTAS(a)'!$AH$7:$AH$1781)-G147</f>
        <v>-95262</v>
      </c>
      <c r="T147" s="2539"/>
      <c r="U147" s="2539"/>
      <c r="V147" s="2539" t="s">
        <v>1167</v>
      </c>
      <c r="W147" s="2539"/>
      <c r="X147" s="2539"/>
      <c r="Y147" s="2567">
        <f t="shared" si="2"/>
        <v>2178022</v>
      </c>
      <c r="Z147" s="2567"/>
      <c r="AA147" s="2568"/>
    </row>
    <row r="148" spans="2:30" ht="24.95" customHeight="1" thickBot="1">
      <c r="B148" s="2577" t="s">
        <v>2956</v>
      </c>
      <c r="C148" s="2578"/>
      <c r="D148" s="2578"/>
      <c r="E148" s="2578"/>
      <c r="F148" s="2578"/>
      <c r="G148" s="2575">
        <v>5925374</v>
      </c>
      <c r="H148" s="2575"/>
      <c r="I148" s="2575"/>
      <c r="J148" s="2575" t="s">
        <v>1167</v>
      </c>
      <c r="K148" s="2575"/>
      <c r="L148" s="2575"/>
      <c r="M148" s="2575">
        <v>0</v>
      </c>
      <c r="N148" s="2575"/>
      <c r="O148" s="2575"/>
      <c r="P148" s="2052">
        <v>0</v>
      </c>
      <c r="Q148" s="2053"/>
      <c r="R148" s="2054"/>
      <c r="S148" s="2575" t="s">
        <v>1167</v>
      </c>
      <c r="T148" s="2575"/>
      <c r="U148" s="2575"/>
      <c r="V148" s="2539" t="s">
        <v>1167</v>
      </c>
      <c r="W148" s="2539"/>
      <c r="X148" s="2539"/>
      <c r="Y148" s="2570">
        <f t="shared" si="2"/>
        <v>5925374</v>
      </c>
      <c r="Z148" s="2570"/>
      <c r="AA148" s="2571"/>
    </row>
    <row r="149" spans="2:30" ht="24.95" customHeight="1" thickBot="1">
      <c r="B149" s="853" t="s">
        <v>1022</v>
      </c>
      <c r="C149" s="1110"/>
      <c r="D149" s="1110"/>
      <c r="E149" s="1110"/>
      <c r="F149" s="1111"/>
      <c r="G149" s="2569">
        <f>SUM(G141:G148)</f>
        <v>229303285</v>
      </c>
      <c r="H149" s="2569"/>
      <c r="I149" s="2569"/>
      <c r="J149" s="2569" t="s">
        <v>1167</v>
      </c>
      <c r="K149" s="2569"/>
      <c r="L149" s="2569"/>
      <c r="M149" s="2569">
        <f>SUM(M141:M148)</f>
        <v>0</v>
      </c>
      <c r="N149" s="2569"/>
      <c r="O149" s="2569"/>
      <c r="P149" s="2569">
        <f>SUM(P141:P148)</f>
        <v>-25754006</v>
      </c>
      <c r="Q149" s="2569"/>
      <c r="R149" s="2569"/>
      <c r="S149" s="2569">
        <f>SUM(S141:S148)</f>
        <v>-95262</v>
      </c>
      <c r="T149" s="2569"/>
      <c r="U149" s="2569"/>
      <c r="V149" s="2569">
        <f>SUM(V141:V148)</f>
        <v>14917523</v>
      </c>
      <c r="W149" s="2569"/>
      <c r="X149" s="2569"/>
      <c r="Y149" s="1861">
        <f>SUM(Y141:Y148)</f>
        <v>218371540</v>
      </c>
      <c r="Z149" s="1861"/>
      <c r="AA149" s="2564"/>
    </row>
    <row r="151" spans="2:30">
      <c r="R151" s="301" t="s">
        <v>1805</v>
      </c>
      <c r="Y151" s="2029"/>
      <c r="Z151" s="2029"/>
      <c r="AA151" s="2029"/>
      <c r="AB151" s="301" t="s">
        <v>1805</v>
      </c>
    </row>
    <row r="152" spans="2:30" ht="12" thickBot="1">
      <c r="B152" s="330"/>
      <c r="C152" s="330"/>
      <c r="D152" s="330"/>
      <c r="E152" s="330"/>
      <c r="H152" s="330"/>
      <c r="R152" s="359" t="s">
        <v>1805</v>
      </c>
      <c r="Y152" s="1975"/>
      <c r="Z152" s="1976"/>
      <c r="AA152" s="1976"/>
    </row>
    <row r="153" spans="2:30" ht="20.100000000000001" customHeight="1" thickBot="1">
      <c r="B153" s="302" t="s">
        <v>1383</v>
      </c>
      <c r="C153" s="328"/>
      <c r="D153" s="328"/>
      <c r="E153" s="328"/>
      <c r="F153" s="328"/>
      <c r="G153" s="328"/>
      <c r="H153" s="329"/>
      <c r="I153" s="1957" t="s">
        <v>1885</v>
      </c>
      <c r="J153" s="1957"/>
      <c r="K153" s="1974"/>
      <c r="R153" s="359" t="s">
        <v>1805</v>
      </c>
    </row>
    <row r="154" spans="2:30" ht="15" customHeight="1">
      <c r="B154" s="1098" t="s">
        <v>1384</v>
      </c>
      <c r="C154" s="1099"/>
      <c r="D154" s="1099"/>
      <c r="E154" s="1100"/>
      <c r="F154" s="805"/>
      <c r="G154" s="805"/>
      <c r="H154" s="1075"/>
      <c r="I154" s="2431">
        <v>1601801528</v>
      </c>
      <c r="J154" s="2432"/>
      <c r="K154" s="2433"/>
    </row>
    <row r="155" spans="2:30" ht="15" customHeight="1" thickBot="1">
      <c r="B155" s="1101" t="s">
        <v>345</v>
      </c>
      <c r="C155" s="1102"/>
      <c r="D155" s="1102"/>
      <c r="E155" s="1103"/>
      <c r="F155" s="807"/>
      <c r="G155" s="807"/>
      <c r="H155" s="1095"/>
      <c r="I155" s="2434">
        <v>1600143811</v>
      </c>
      <c r="J155" s="2435"/>
      <c r="K155" s="2436"/>
    </row>
    <row r="156" spans="2:30" ht="15" customHeight="1" thickBot="1">
      <c r="B156" s="1104" t="s">
        <v>1114</v>
      </c>
      <c r="C156" s="1105"/>
      <c r="D156" s="1105"/>
      <c r="E156" s="1105"/>
      <c r="F156" s="1105"/>
      <c r="G156" s="1105"/>
      <c r="H156" s="1105"/>
      <c r="I156" s="2517">
        <f>+I154-I155</f>
        <v>1657717</v>
      </c>
      <c r="J156" s="2518"/>
      <c r="K156" s="2519"/>
    </row>
    <row r="157" spans="2:30" ht="15" customHeight="1">
      <c r="B157" s="1106" t="s">
        <v>1115</v>
      </c>
      <c r="C157" s="1099"/>
      <c r="D157" s="1099"/>
      <c r="E157" s="1100"/>
      <c r="F157" s="805"/>
      <c r="G157" s="805"/>
      <c r="H157" s="1075"/>
      <c r="I157" s="2431">
        <v>-178505</v>
      </c>
      <c r="J157" s="2432"/>
      <c r="K157" s="2433"/>
    </row>
    <row r="158" spans="2:30" ht="15" customHeight="1">
      <c r="B158" s="1107" t="s">
        <v>1116</v>
      </c>
      <c r="C158" s="1108"/>
      <c r="D158" s="1108"/>
      <c r="E158" s="1109"/>
      <c r="F158" s="806"/>
      <c r="G158" s="806"/>
      <c r="H158" s="1077"/>
      <c r="I158" s="2434">
        <v>0</v>
      </c>
      <c r="J158" s="2435"/>
      <c r="K158" s="2436"/>
    </row>
    <row r="159" spans="2:30" ht="15" customHeight="1" thickBot="1">
      <c r="B159" s="1101"/>
      <c r="C159" s="1102"/>
      <c r="D159" s="1102"/>
      <c r="E159" s="1103"/>
      <c r="F159" s="807"/>
      <c r="G159" s="807"/>
      <c r="H159" s="1095"/>
      <c r="I159" s="2437"/>
      <c r="J159" s="2438"/>
      <c r="K159" s="2439"/>
    </row>
    <row r="160" spans="2:30" ht="20.100000000000001" customHeight="1" thickBot="1">
      <c r="B160" s="1104" t="s">
        <v>1117</v>
      </c>
      <c r="C160" s="1105"/>
      <c r="D160" s="1105"/>
      <c r="E160" s="1105"/>
      <c r="F160" s="1105"/>
      <c r="G160" s="1105"/>
      <c r="H160" s="1105"/>
      <c r="I160" s="2517">
        <f>+I156+I157+I158</f>
        <v>1479212</v>
      </c>
      <c r="J160" s="2518"/>
      <c r="K160" s="2519"/>
    </row>
    <row r="161" spans="2:22">
      <c r="B161" s="330"/>
      <c r="C161" s="330"/>
      <c r="D161" s="330"/>
      <c r="E161" s="330"/>
      <c r="I161" s="330"/>
    </row>
    <row r="162" spans="2:22" ht="20.100000000000001" customHeight="1">
      <c r="B162" s="423"/>
      <c r="C162" s="423"/>
      <c r="D162" s="423"/>
      <c r="E162" s="423"/>
      <c r="F162" s="423"/>
      <c r="G162" s="423"/>
      <c r="H162" s="423"/>
      <c r="I162" s="2580"/>
      <c r="J162" s="2580"/>
      <c r="K162" s="2580"/>
    </row>
    <row r="164" spans="2:22" ht="12" thickBot="1"/>
    <row r="165" spans="2:22" ht="50.1" customHeight="1" thickBot="1">
      <c r="B165" s="1956" t="s">
        <v>1757</v>
      </c>
      <c r="C165" s="1957"/>
      <c r="D165" s="1957"/>
      <c r="E165" s="1957"/>
      <c r="F165" s="1957"/>
      <c r="G165" s="1957"/>
      <c r="H165" s="2576"/>
      <c r="I165" s="1846" t="s">
        <v>346</v>
      </c>
      <c r="J165" s="1846"/>
      <c r="K165" s="1846"/>
      <c r="L165" s="2579" t="s">
        <v>1758</v>
      </c>
      <c r="M165" s="2579"/>
      <c r="N165" s="1846" t="s">
        <v>1759</v>
      </c>
      <c r="O165" s="1846"/>
      <c r="P165" s="1846"/>
      <c r="Q165" s="1846" t="s">
        <v>1760</v>
      </c>
      <c r="R165" s="1846"/>
      <c r="S165" s="1846"/>
      <c r="T165" s="1846" t="s">
        <v>347</v>
      </c>
      <c r="U165" s="1846"/>
      <c r="V165" s="2030"/>
    </row>
    <row r="166" spans="2:22">
      <c r="B166" s="565">
        <v>1</v>
      </c>
      <c r="C166" s="566" t="s">
        <v>1455</v>
      </c>
      <c r="D166" s="567"/>
      <c r="E166" s="567"/>
      <c r="F166" s="567"/>
      <c r="G166" s="567"/>
      <c r="H166" s="567"/>
      <c r="I166" s="568"/>
      <c r="J166" s="569"/>
      <c r="K166" s="570"/>
      <c r="L166" s="568"/>
      <c r="M166" s="570"/>
      <c r="N166" s="568"/>
      <c r="O166" s="569"/>
      <c r="P166" s="570"/>
      <c r="Q166" s="568"/>
      <c r="R166" s="569"/>
      <c r="S166" s="570"/>
      <c r="T166" s="571"/>
      <c r="U166" s="569"/>
      <c r="V166" s="820"/>
    </row>
    <row r="167" spans="2:22">
      <c r="B167" s="572">
        <v>1.1000000000000001</v>
      </c>
      <c r="C167" s="573" t="s">
        <v>1764</v>
      </c>
      <c r="D167" s="574"/>
      <c r="E167" s="574"/>
      <c r="F167" s="574"/>
      <c r="G167" s="574"/>
      <c r="H167" s="574"/>
      <c r="I167" s="575"/>
      <c r="J167" s="574"/>
      <c r="K167" s="576"/>
      <c r="L167" s="575"/>
      <c r="M167" s="576"/>
      <c r="N167" s="2645">
        <v>0</v>
      </c>
      <c r="O167" s="2646"/>
      <c r="P167" s="2647"/>
      <c r="Q167" s="2645">
        <v>0</v>
      </c>
      <c r="R167" s="2646"/>
      <c r="S167" s="2647"/>
      <c r="T167" s="2646">
        <v>0</v>
      </c>
      <c r="U167" s="2646"/>
      <c r="V167" s="2648"/>
    </row>
    <row r="168" spans="2:22">
      <c r="B168" s="577" t="s">
        <v>1740</v>
      </c>
      <c r="C168" s="578"/>
      <c r="D168" s="579"/>
      <c r="E168" s="579"/>
      <c r="F168" s="579"/>
      <c r="G168" s="579"/>
      <c r="H168" s="579"/>
      <c r="I168" s="2595" t="s">
        <v>287</v>
      </c>
      <c r="J168" s="2596"/>
      <c r="K168" s="2597"/>
      <c r="L168" s="2595" t="s">
        <v>1761</v>
      </c>
      <c r="M168" s="2597"/>
      <c r="N168" s="2585">
        <v>1294104</v>
      </c>
      <c r="O168" s="2586"/>
      <c r="P168" s="2587"/>
      <c r="Q168" s="2585">
        <v>125401</v>
      </c>
      <c r="R168" s="2586"/>
      <c r="S168" s="2587"/>
      <c r="T168" s="2636">
        <f>SUM(N168:S168)</f>
        <v>1419505</v>
      </c>
      <c r="U168" s="2637"/>
      <c r="V168" s="2638"/>
    </row>
    <row r="169" spans="2:22">
      <c r="B169" s="577" t="s">
        <v>1742</v>
      </c>
      <c r="C169" s="578"/>
      <c r="D169" s="579"/>
      <c r="E169" s="579"/>
      <c r="F169" s="579"/>
      <c r="G169" s="579"/>
      <c r="H169" s="579"/>
      <c r="I169" s="2595" t="s">
        <v>1108</v>
      </c>
      <c r="J169" s="2596"/>
      <c r="K169" s="2597"/>
      <c r="L169" s="2595" t="s">
        <v>1761</v>
      </c>
      <c r="M169" s="2597"/>
      <c r="N169" s="2585">
        <v>219356</v>
      </c>
      <c r="O169" s="2586"/>
      <c r="P169" s="2587"/>
      <c r="Q169" s="2585">
        <v>111998</v>
      </c>
      <c r="R169" s="2586"/>
      <c r="S169" s="2587"/>
      <c r="T169" s="2636">
        <f>SUM(N169:S169)</f>
        <v>331354</v>
      </c>
      <c r="U169" s="2637"/>
      <c r="V169" s="2638"/>
    </row>
    <row r="170" spans="2:22">
      <c r="B170" s="577" t="s">
        <v>285</v>
      </c>
      <c r="C170" s="578"/>
      <c r="D170" s="579"/>
      <c r="E170" s="579"/>
      <c r="F170" s="579"/>
      <c r="G170" s="579"/>
      <c r="H170" s="579"/>
      <c r="I170" s="2595" t="s">
        <v>286</v>
      </c>
      <c r="J170" s="2596"/>
      <c r="K170" s="2597"/>
      <c r="L170" s="2595" t="s">
        <v>284</v>
      </c>
      <c r="M170" s="2597"/>
      <c r="N170" s="2585">
        <v>12655</v>
      </c>
      <c r="O170" s="2586"/>
      <c r="P170" s="2587"/>
      <c r="Q170" s="2585">
        <v>0</v>
      </c>
      <c r="R170" s="2586"/>
      <c r="S170" s="2587"/>
      <c r="T170" s="2636">
        <f>SUM(N170:S170)</f>
        <v>12655</v>
      </c>
      <c r="U170" s="2637"/>
      <c r="V170" s="2638"/>
    </row>
    <row r="171" spans="2:22">
      <c r="B171" s="580" t="s">
        <v>1741</v>
      </c>
      <c r="C171" s="581"/>
      <c r="D171" s="562"/>
      <c r="E171" s="562"/>
      <c r="F171" s="562"/>
      <c r="G171" s="562"/>
      <c r="H171" s="562"/>
      <c r="I171" s="2591" t="s">
        <v>1357</v>
      </c>
      <c r="J171" s="2598"/>
      <c r="K171" s="2592"/>
      <c r="L171" s="2591" t="s">
        <v>1358</v>
      </c>
      <c r="M171" s="2592"/>
      <c r="N171" s="2540">
        <v>72503</v>
      </c>
      <c r="O171" s="2541"/>
      <c r="P171" s="2603"/>
      <c r="Q171" s="2540">
        <v>0</v>
      </c>
      <c r="R171" s="2541"/>
      <c r="S171" s="2603"/>
      <c r="T171" s="2540">
        <f>SUM(N171:S171)</f>
        <v>72503</v>
      </c>
      <c r="U171" s="2541"/>
      <c r="V171" s="2542"/>
    </row>
    <row r="172" spans="2:22">
      <c r="B172" s="582" t="s">
        <v>1111</v>
      </c>
      <c r="C172" s="581"/>
      <c r="D172" s="563"/>
      <c r="E172" s="563"/>
      <c r="F172" s="563"/>
      <c r="G172" s="563"/>
      <c r="H172" s="563"/>
      <c r="I172" s="2593" t="s">
        <v>1110</v>
      </c>
      <c r="J172" s="2599"/>
      <c r="K172" s="2594"/>
      <c r="L172" s="2593" t="s">
        <v>1109</v>
      </c>
      <c r="M172" s="2594"/>
      <c r="N172" s="2600">
        <v>128921</v>
      </c>
      <c r="O172" s="2601"/>
      <c r="P172" s="2602"/>
      <c r="Q172" s="2600">
        <v>5797</v>
      </c>
      <c r="R172" s="2601"/>
      <c r="S172" s="2602"/>
      <c r="T172" s="2601">
        <f>SUM(N172:S172)</f>
        <v>134718</v>
      </c>
      <c r="U172" s="2601"/>
      <c r="V172" s="2652"/>
    </row>
    <row r="173" spans="2:22" ht="12" thickBot="1">
      <c r="B173" s="583">
        <v>1.2</v>
      </c>
      <c r="C173" s="584" t="s">
        <v>1765</v>
      </c>
      <c r="D173" s="585"/>
      <c r="E173" s="585"/>
      <c r="F173" s="585"/>
      <c r="G173" s="585"/>
      <c r="H173" s="585"/>
      <c r="I173" s="884"/>
      <c r="J173" s="585"/>
      <c r="K173" s="885"/>
      <c r="L173" s="884"/>
      <c r="M173" s="885"/>
      <c r="N173" s="2582">
        <f>SUM(N168:N172)</f>
        <v>1727539</v>
      </c>
      <c r="O173" s="2583"/>
      <c r="P173" s="2584"/>
      <c r="Q173" s="2582">
        <f>SUM(Q168:Q172)</f>
        <v>243196</v>
      </c>
      <c r="R173" s="2583"/>
      <c r="S173" s="2584"/>
      <c r="T173" s="2583">
        <f>SUM(T168:T172)</f>
        <v>1970735</v>
      </c>
      <c r="U173" s="2583"/>
      <c r="V173" s="2653"/>
    </row>
    <row r="174" spans="2:22">
      <c r="B174" s="586">
        <v>2</v>
      </c>
      <c r="C174" s="587" t="s">
        <v>1766</v>
      </c>
      <c r="D174" s="569"/>
      <c r="E174" s="569"/>
      <c r="F174" s="569"/>
      <c r="G174" s="569"/>
      <c r="H174" s="569"/>
      <c r="I174" s="568"/>
      <c r="J174" s="569"/>
      <c r="K174" s="570"/>
      <c r="L174" s="568"/>
      <c r="M174" s="570"/>
      <c r="N174" s="568"/>
      <c r="O174" s="569"/>
      <c r="P174" s="570"/>
      <c r="Q174" s="568"/>
      <c r="R174" s="569"/>
      <c r="S174" s="570"/>
      <c r="T174" s="571"/>
      <c r="U174" s="569"/>
      <c r="V174" s="820"/>
    </row>
    <row r="175" spans="2:22">
      <c r="B175" s="572">
        <v>2.1</v>
      </c>
      <c r="C175" s="573" t="s">
        <v>1764</v>
      </c>
      <c r="D175" s="574"/>
      <c r="E175" s="574"/>
      <c r="F175" s="574"/>
      <c r="G175" s="574"/>
      <c r="H175" s="574"/>
      <c r="I175" s="575"/>
      <c r="J175" s="574"/>
      <c r="K175" s="576"/>
      <c r="L175" s="575"/>
      <c r="M175" s="576"/>
      <c r="N175" s="2645">
        <v>0</v>
      </c>
      <c r="O175" s="2646"/>
      <c r="P175" s="2647"/>
      <c r="Q175" s="2645">
        <v>0</v>
      </c>
      <c r="R175" s="2646"/>
      <c r="S175" s="2647"/>
      <c r="T175" s="2646">
        <v>0</v>
      </c>
      <c r="U175" s="2646"/>
      <c r="V175" s="2648"/>
    </row>
    <row r="176" spans="2:22" ht="12" thickBot="1">
      <c r="B176" s="583">
        <v>2.2000000000000002</v>
      </c>
      <c r="C176" s="584" t="s">
        <v>1765</v>
      </c>
      <c r="D176" s="585"/>
      <c r="E176" s="585"/>
      <c r="F176" s="585"/>
      <c r="G176" s="585"/>
      <c r="H176" s="585"/>
      <c r="I176" s="884"/>
      <c r="J176" s="585"/>
      <c r="K176" s="885"/>
      <c r="L176" s="884"/>
      <c r="M176" s="885"/>
      <c r="N176" s="2588">
        <v>0</v>
      </c>
      <c r="O176" s="2589"/>
      <c r="P176" s="2590"/>
      <c r="Q176" s="2588">
        <v>0</v>
      </c>
      <c r="R176" s="2589"/>
      <c r="S176" s="2590"/>
      <c r="T176" s="2589">
        <v>0</v>
      </c>
      <c r="U176" s="2589"/>
      <c r="V176" s="2649"/>
    </row>
    <row r="177" spans="2:22">
      <c r="B177" s="586"/>
      <c r="C177" s="588" t="s">
        <v>1762</v>
      </c>
      <c r="D177" s="569"/>
      <c r="E177" s="569"/>
      <c r="F177" s="569"/>
      <c r="G177" s="569"/>
      <c r="H177" s="569"/>
      <c r="I177" s="569"/>
      <c r="J177" s="569"/>
      <c r="K177" s="569"/>
      <c r="L177" s="571"/>
      <c r="M177" s="569"/>
      <c r="N177" s="2643">
        <f>+N175</f>
        <v>0</v>
      </c>
      <c r="O177" s="2643"/>
      <c r="P177" s="2643"/>
      <c r="Q177" s="2643">
        <f>+Q175</f>
        <v>0</v>
      </c>
      <c r="R177" s="2643"/>
      <c r="S177" s="2643"/>
      <c r="T177" s="2643">
        <f>+T175</f>
        <v>0</v>
      </c>
      <c r="U177" s="2643"/>
      <c r="V177" s="2650"/>
    </row>
    <row r="178" spans="2:22">
      <c r="B178" s="572"/>
      <c r="C178" s="589" t="s">
        <v>1763</v>
      </c>
      <c r="D178" s="574"/>
      <c r="E178" s="574"/>
      <c r="F178" s="574"/>
      <c r="G178" s="574"/>
      <c r="H178" s="574"/>
      <c r="I178" s="574"/>
      <c r="J178" s="574"/>
      <c r="K178" s="574"/>
      <c r="L178" s="886"/>
      <c r="M178" s="574"/>
      <c r="N178" s="2581">
        <f>+N173</f>
        <v>1727539</v>
      </c>
      <c r="O178" s="2581"/>
      <c r="P178" s="2581"/>
      <c r="Q178" s="2581">
        <f>+Q173</f>
        <v>243196</v>
      </c>
      <c r="R178" s="2581"/>
      <c r="S178" s="2581"/>
      <c r="T178" s="2581">
        <f>+T173</f>
        <v>1970735</v>
      </c>
      <c r="U178" s="2581"/>
      <c r="V178" s="2651"/>
    </row>
    <row r="179" spans="2:22" ht="12" thickBot="1">
      <c r="B179" s="583"/>
      <c r="C179" s="768" t="s">
        <v>1333</v>
      </c>
      <c r="D179" s="585"/>
      <c r="E179" s="585"/>
      <c r="F179" s="585"/>
      <c r="G179" s="585"/>
      <c r="H179" s="585"/>
      <c r="I179" s="585"/>
      <c r="J179" s="585"/>
      <c r="K179" s="585"/>
      <c r="L179" s="887"/>
      <c r="M179" s="585"/>
      <c r="N179" s="2644">
        <f>+N177+N178</f>
        <v>1727539</v>
      </c>
      <c r="O179" s="2644"/>
      <c r="P179" s="2644"/>
      <c r="Q179" s="2644">
        <f>+Q177+Q178</f>
        <v>243196</v>
      </c>
      <c r="R179" s="2644"/>
      <c r="S179" s="2644"/>
      <c r="T179" s="2644">
        <f>+T177+T178</f>
        <v>1970735</v>
      </c>
      <c r="U179" s="2644"/>
      <c r="V179" s="2654"/>
    </row>
    <row r="181" spans="2:22" ht="12" thickBot="1"/>
    <row r="182" spans="2:22" ht="24.95" customHeight="1">
      <c r="B182" s="1939" t="s">
        <v>348</v>
      </c>
      <c r="C182" s="1940"/>
      <c r="D182" s="1940"/>
      <c r="E182" s="1940"/>
      <c r="F182" s="1940"/>
      <c r="G182" s="1940"/>
      <c r="H182" s="1940"/>
      <c r="I182" s="1940"/>
      <c r="J182" s="1940"/>
      <c r="K182" s="1940"/>
      <c r="L182" s="1940"/>
      <c r="M182" s="1940"/>
      <c r="N182" s="1940"/>
      <c r="O182" s="1940"/>
      <c r="P182" s="1940"/>
      <c r="Q182" s="1940"/>
      <c r="R182" s="1940"/>
      <c r="S182" s="1940"/>
      <c r="T182" s="1940"/>
      <c r="U182" s="1941"/>
    </row>
    <row r="183" spans="2:22" ht="50.1" customHeight="1">
      <c r="B183" s="1731" t="s">
        <v>349</v>
      </c>
      <c r="C183" s="1732"/>
      <c r="D183" s="1732"/>
      <c r="E183" s="1732"/>
      <c r="F183" s="1786" t="s">
        <v>350</v>
      </c>
      <c r="G183" s="1786"/>
      <c r="H183" s="1786"/>
      <c r="I183" s="1794" t="s">
        <v>1642</v>
      </c>
      <c r="J183" s="1794"/>
      <c r="K183" s="1794"/>
      <c r="L183" s="1794"/>
      <c r="M183" s="1794"/>
      <c r="N183" s="1786" t="s">
        <v>1643</v>
      </c>
      <c r="O183" s="1786"/>
      <c r="P183" s="1786" t="s">
        <v>1644</v>
      </c>
      <c r="Q183" s="1786"/>
      <c r="R183" s="1786" t="s">
        <v>235</v>
      </c>
      <c r="S183" s="2202"/>
      <c r="T183" s="1786" t="s">
        <v>237</v>
      </c>
      <c r="U183" s="2248"/>
    </row>
    <row r="184" spans="2:22" ht="30" customHeight="1">
      <c r="B184" s="1849" t="s">
        <v>1002</v>
      </c>
      <c r="C184" s="1850"/>
      <c r="D184" s="1850"/>
      <c r="E184" s="1850"/>
      <c r="F184" s="1787"/>
      <c r="G184" s="1787"/>
      <c r="H184" s="1787"/>
      <c r="I184" s="1768" t="s">
        <v>236</v>
      </c>
      <c r="J184" s="1768"/>
      <c r="K184" s="1768"/>
      <c r="L184" s="1768" t="s">
        <v>1805</v>
      </c>
      <c r="M184" s="1768"/>
      <c r="N184" s="1787"/>
      <c r="O184" s="1787"/>
      <c r="P184" s="1787"/>
      <c r="Q184" s="1787"/>
      <c r="R184" s="2203"/>
      <c r="S184" s="2203"/>
      <c r="T184" s="2203"/>
      <c r="U184" s="2249"/>
    </row>
    <row r="185" spans="2:22" ht="12" thickBot="1">
      <c r="B185" s="1851"/>
      <c r="C185" s="1852"/>
      <c r="D185" s="1852"/>
      <c r="E185" s="1852"/>
      <c r="F185" s="1788"/>
      <c r="G185" s="1788"/>
      <c r="H185" s="1788"/>
      <c r="I185" s="1944" t="s">
        <v>1805</v>
      </c>
      <c r="J185" s="1944"/>
      <c r="K185" s="1944"/>
      <c r="L185" s="1944"/>
      <c r="M185" s="1944"/>
      <c r="N185" s="1788"/>
      <c r="O185" s="1788"/>
      <c r="P185" s="1788"/>
      <c r="Q185" s="1788"/>
      <c r="R185" s="1944" t="s">
        <v>1885</v>
      </c>
      <c r="S185" s="1944"/>
      <c r="T185" s="1944" t="s">
        <v>1885</v>
      </c>
      <c r="U185" s="2410"/>
    </row>
    <row r="186" spans="2:22" ht="15" customHeight="1">
      <c r="B186" s="774" t="s">
        <v>1003</v>
      </c>
      <c r="C186" s="775"/>
      <c r="D186" s="775"/>
      <c r="E186" s="775"/>
      <c r="F186" s="1855"/>
      <c r="G186" s="1855"/>
      <c r="H186" s="1855"/>
      <c r="I186" s="1853"/>
      <c r="J186" s="1853"/>
      <c r="K186" s="1853"/>
      <c r="L186" s="2369"/>
      <c r="M186" s="2369"/>
      <c r="N186" s="776"/>
      <c r="O186" s="775"/>
      <c r="P186" s="776"/>
      <c r="Q186" s="775"/>
      <c r="R186" s="1853"/>
      <c r="S186" s="1853"/>
      <c r="T186" s="1853"/>
      <c r="U186" s="2240"/>
    </row>
    <row r="187" spans="2:22" ht="15" customHeight="1">
      <c r="B187" s="1648" t="s">
        <v>309</v>
      </c>
      <c r="C187" s="1649"/>
      <c r="D187" s="1649"/>
      <c r="E187" s="1649"/>
      <c r="F187" s="1635" t="s">
        <v>2548</v>
      </c>
      <c r="G187" s="1636"/>
      <c r="H187" s="1636"/>
      <c r="I187" s="1638">
        <v>7000000</v>
      </c>
      <c r="J187" s="1640"/>
      <c r="K187" s="1641"/>
      <c r="L187" s="915" t="s">
        <v>1805</v>
      </c>
      <c r="M187" s="915"/>
      <c r="N187" s="1646">
        <v>40876</v>
      </c>
      <c r="O187" s="1647"/>
      <c r="P187" s="1646">
        <v>40917</v>
      </c>
      <c r="Q187" s="1647"/>
      <c r="R187" s="1644">
        <v>1955030</v>
      </c>
      <c r="S187" s="2656"/>
      <c r="T187" s="1638">
        <v>30709</v>
      </c>
      <c r="U187" s="1639"/>
    </row>
    <row r="188" spans="2:22" ht="15" customHeight="1">
      <c r="B188" s="1648" t="s">
        <v>309</v>
      </c>
      <c r="C188" s="1649"/>
      <c r="D188" s="1649"/>
      <c r="E188" s="1650"/>
      <c r="F188" s="1635" t="s">
        <v>2548</v>
      </c>
      <c r="G188" s="1636"/>
      <c r="H188" s="1637"/>
      <c r="I188" s="1638">
        <v>2000000</v>
      </c>
      <c r="J188" s="1640"/>
      <c r="K188" s="1641"/>
      <c r="L188" s="915" t="s">
        <v>1805</v>
      </c>
      <c r="M188" s="916"/>
      <c r="N188" s="1646">
        <v>40878</v>
      </c>
      <c r="O188" s="1647"/>
      <c r="P188" s="1646">
        <v>40917</v>
      </c>
      <c r="Q188" s="1647"/>
      <c r="R188" s="1644">
        <v>558580</v>
      </c>
      <c r="S188" s="1645"/>
      <c r="T188" s="1638">
        <v>11131</v>
      </c>
      <c r="U188" s="1639"/>
    </row>
    <row r="189" spans="2:22" ht="15" customHeight="1">
      <c r="B189" s="1648" t="s">
        <v>2603</v>
      </c>
      <c r="C189" s="1649"/>
      <c r="D189" s="1649"/>
      <c r="E189" s="1650"/>
      <c r="F189" s="1635" t="s">
        <v>2547</v>
      </c>
      <c r="G189" s="1636"/>
      <c r="H189" s="1637"/>
      <c r="I189" s="1638">
        <v>680000</v>
      </c>
      <c r="J189" s="1640"/>
      <c r="K189" s="1641"/>
      <c r="L189" s="915" t="s">
        <v>1805</v>
      </c>
      <c r="M189" s="916"/>
      <c r="N189" s="1646">
        <v>40882</v>
      </c>
      <c r="O189" s="1647"/>
      <c r="P189" s="1646">
        <v>40914</v>
      </c>
      <c r="Q189" s="1647"/>
      <c r="R189" s="1644">
        <v>354593</v>
      </c>
      <c r="S189" s="1645"/>
      <c r="T189" s="1638">
        <v>-4689.8771046370639</v>
      </c>
      <c r="U189" s="1639"/>
    </row>
    <row r="190" spans="2:22" ht="15" customHeight="1">
      <c r="B190" s="1648" t="s">
        <v>2600</v>
      </c>
      <c r="C190" s="1649"/>
      <c r="D190" s="1649"/>
      <c r="E190" s="1650"/>
      <c r="F190" s="1635" t="s">
        <v>2547</v>
      </c>
      <c r="G190" s="1636"/>
      <c r="H190" s="1637"/>
      <c r="I190" s="1638">
        <v>7220000</v>
      </c>
      <c r="J190" s="1640"/>
      <c r="K190" s="1641"/>
      <c r="L190" s="915" t="s">
        <v>1805</v>
      </c>
      <c r="M190" s="916"/>
      <c r="N190" s="1646">
        <v>40882</v>
      </c>
      <c r="O190" s="1647"/>
      <c r="P190" s="1646">
        <v>40913</v>
      </c>
      <c r="Q190" s="1647"/>
      <c r="R190" s="1644">
        <v>3764941</v>
      </c>
      <c r="S190" s="1645"/>
      <c r="T190" s="1638">
        <v>-51627</v>
      </c>
      <c r="U190" s="1639"/>
    </row>
    <row r="191" spans="2:22" ht="15" customHeight="1">
      <c r="B191" s="1648" t="s">
        <v>2603</v>
      </c>
      <c r="C191" s="1649"/>
      <c r="D191" s="1649"/>
      <c r="E191" s="1650"/>
      <c r="F191" s="1635" t="s">
        <v>2547</v>
      </c>
      <c r="G191" s="1636"/>
      <c r="H191" s="1637"/>
      <c r="I191" s="1638">
        <v>648437</v>
      </c>
      <c r="J191" s="1640"/>
      <c r="K191" s="1641"/>
      <c r="L191" s="915" t="s">
        <v>1805</v>
      </c>
      <c r="M191" s="916"/>
      <c r="N191" s="1646">
        <v>40884</v>
      </c>
      <c r="O191" s="1647"/>
      <c r="P191" s="1646">
        <v>40917</v>
      </c>
      <c r="Q191" s="1647"/>
      <c r="R191" s="1644">
        <v>181102</v>
      </c>
      <c r="S191" s="1645"/>
      <c r="T191" s="1638">
        <v>1711</v>
      </c>
      <c r="U191" s="1639"/>
    </row>
    <row r="192" spans="2:22" ht="15" customHeight="1">
      <c r="B192" s="1648" t="s">
        <v>2603</v>
      </c>
      <c r="C192" s="1649"/>
      <c r="D192" s="1649"/>
      <c r="E192" s="1650"/>
      <c r="F192" s="1635" t="s">
        <v>2547</v>
      </c>
      <c r="G192" s="1636"/>
      <c r="H192" s="1637"/>
      <c r="I192" s="1638">
        <v>662140</v>
      </c>
      <c r="J192" s="1640"/>
      <c r="K192" s="1641"/>
      <c r="L192" s="915" t="s">
        <v>1805</v>
      </c>
      <c r="M192" s="916"/>
      <c r="N192" s="1646">
        <v>40884</v>
      </c>
      <c r="O192" s="1647"/>
      <c r="P192" s="1646">
        <v>40914</v>
      </c>
      <c r="Q192" s="1647"/>
      <c r="R192" s="1644">
        <v>345280</v>
      </c>
      <c r="S192" s="1645"/>
      <c r="T192" s="1638">
        <v>-6154</v>
      </c>
      <c r="U192" s="1639"/>
    </row>
    <row r="193" spans="2:21" ht="15" customHeight="1">
      <c r="B193" s="1648" t="s">
        <v>1512</v>
      </c>
      <c r="C193" s="1649"/>
      <c r="D193" s="1649"/>
      <c r="E193" s="1650"/>
      <c r="F193" s="1635" t="s">
        <v>2547</v>
      </c>
      <c r="G193" s="1636"/>
      <c r="H193" s="1637"/>
      <c r="I193" s="1638">
        <v>9000000</v>
      </c>
      <c r="J193" s="1640"/>
      <c r="K193" s="1641"/>
      <c r="L193" s="917" t="s">
        <v>1805</v>
      </c>
      <c r="M193" s="914"/>
      <c r="N193" s="1646">
        <v>40889</v>
      </c>
      <c r="O193" s="1647"/>
      <c r="P193" s="1646">
        <v>40919</v>
      </c>
      <c r="Q193" s="1647"/>
      <c r="R193" s="1644">
        <v>4693140</v>
      </c>
      <c r="S193" s="1645"/>
      <c r="T193" s="1638">
        <v>-88214</v>
      </c>
      <c r="U193" s="1639"/>
    </row>
    <row r="194" spans="2:21" ht="15" customHeight="1">
      <c r="B194" s="1648" t="s">
        <v>2601</v>
      </c>
      <c r="C194" s="1649"/>
      <c r="D194" s="1649"/>
      <c r="E194" s="1650"/>
      <c r="F194" s="1635" t="s">
        <v>2547</v>
      </c>
      <c r="G194" s="1636"/>
      <c r="H194" s="1637"/>
      <c r="I194" s="1638">
        <v>1654800</v>
      </c>
      <c r="J194" s="1640"/>
      <c r="K194" s="1641"/>
      <c r="L194" s="917"/>
      <c r="M194" s="914"/>
      <c r="N194" s="1646">
        <v>40884</v>
      </c>
      <c r="O194" s="1647"/>
      <c r="P194" s="1646">
        <v>40918</v>
      </c>
      <c r="Q194" s="1647"/>
      <c r="R194" s="1644">
        <v>1117321</v>
      </c>
      <c r="S194" s="1645"/>
      <c r="T194" s="1638">
        <v>16449</v>
      </c>
      <c r="U194" s="1639"/>
    </row>
    <row r="195" spans="2:21" ht="15" customHeight="1">
      <c r="B195" s="1648" t="s">
        <v>1512</v>
      </c>
      <c r="C195" s="1649"/>
      <c r="D195" s="1649"/>
      <c r="E195" s="1650"/>
      <c r="F195" s="1635" t="s">
        <v>2547</v>
      </c>
      <c r="G195" s="1636"/>
      <c r="H195" s="1637"/>
      <c r="I195" s="1638">
        <v>7130000</v>
      </c>
      <c r="J195" s="1640"/>
      <c r="K195" s="1641"/>
      <c r="L195" s="917"/>
      <c r="M195" s="914"/>
      <c r="N195" s="1646">
        <v>40890</v>
      </c>
      <c r="O195" s="1647"/>
      <c r="P195" s="1646">
        <v>40920</v>
      </c>
      <c r="Q195" s="1647"/>
      <c r="R195" s="1644">
        <v>3718010</v>
      </c>
      <c r="S195" s="1645"/>
      <c r="T195" s="1638">
        <v>-43926</v>
      </c>
      <c r="U195" s="1639"/>
    </row>
    <row r="196" spans="2:21" ht="15" customHeight="1">
      <c r="B196" s="1648" t="s">
        <v>2601</v>
      </c>
      <c r="C196" s="1649"/>
      <c r="D196" s="1649"/>
      <c r="E196" s="1650"/>
      <c r="F196" s="1635" t="s">
        <v>2547</v>
      </c>
      <c r="G196" s="1636"/>
      <c r="H196" s="1637"/>
      <c r="I196" s="1638">
        <v>6000000</v>
      </c>
      <c r="J196" s="1640"/>
      <c r="K196" s="1641"/>
      <c r="L196" s="917"/>
      <c r="M196" s="914"/>
      <c r="N196" s="1646">
        <v>40891</v>
      </c>
      <c r="O196" s="1647"/>
      <c r="P196" s="1646">
        <v>40921</v>
      </c>
      <c r="Q196" s="1647"/>
      <c r="R196" s="1644">
        <v>3128760</v>
      </c>
      <c r="S196" s="1645"/>
      <c r="T196" s="1638">
        <v>-30038</v>
      </c>
      <c r="U196" s="1639"/>
    </row>
    <row r="197" spans="2:21" ht="15" customHeight="1">
      <c r="B197" s="1648" t="s">
        <v>2601</v>
      </c>
      <c r="C197" s="1649"/>
      <c r="D197" s="1649"/>
      <c r="E197" s="1650"/>
      <c r="F197" s="1635" t="s">
        <v>2547</v>
      </c>
      <c r="G197" s="1636"/>
      <c r="H197" s="1637"/>
      <c r="I197" s="1638">
        <v>9000000</v>
      </c>
      <c r="J197" s="1640"/>
      <c r="K197" s="1641"/>
      <c r="L197" s="917"/>
      <c r="M197" s="914"/>
      <c r="N197" s="1646">
        <v>40892</v>
      </c>
      <c r="O197" s="1647"/>
      <c r="P197" s="1646">
        <v>40924</v>
      </c>
      <c r="Q197" s="1647"/>
      <c r="R197" s="1644">
        <v>4693140</v>
      </c>
      <c r="S197" s="1645"/>
      <c r="T197" s="1638">
        <v>-16150</v>
      </c>
      <c r="U197" s="1639"/>
    </row>
    <row r="198" spans="2:21" ht="15" customHeight="1">
      <c r="B198" s="1648" t="s">
        <v>1512</v>
      </c>
      <c r="C198" s="1649"/>
      <c r="D198" s="1649"/>
      <c r="E198" s="1650"/>
      <c r="F198" s="1635" t="s">
        <v>2547</v>
      </c>
      <c r="G198" s="1636"/>
      <c r="H198" s="1637"/>
      <c r="I198" s="1638">
        <v>4950000</v>
      </c>
      <c r="J198" s="1640"/>
      <c r="K198" s="1641"/>
      <c r="L198" s="917"/>
      <c r="M198" s="914"/>
      <c r="N198" s="1646">
        <v>40893</v>
      </c>
      <c r="O198" s="1647"/>
      <c r="P198" s="1646">
        <v>40925</v>
      </c>
      <c r="Q198" s="1647"/>
      <c r="R198" s="1644">
        <v>2581227</v>
      </c>
      <c r="S198" s="1645"/>
      <c r="T198" s="1638">
        <v>-6754</v>
      </c>
      <c r="U198" s="1639"/>
    </row>
    <row r="199" spans="2:21" ht="15" customHeight="1">
      <c r="B199" s="1648" t="s">
        <v>2603</v>
      </c>
      <c r="C199" s="1649"/>
      <c r="D199" s="1649"/>
      <c r="E199" s="1650"/>
      <c r="F199" s="1635" t="s">
        <v>2547</v>
      </c>
      <c r="G199" s="1636"/>
      <c r="H199" s="1637"/>
      <c r="I199" s="1638">
        <v>998417</v>
      </c>
      <c r="J199" s="1640"/>
      <c r="K199" s="1641"/>
      <c r="L199" s="917"/>
      <c r="M199" s="914"/>
      <c r="N199" s="1646">
        <v>40896</v>
      </c>
      <c r="O199" s="1647"/>
      <c r="P199" s="1646">
        <v>40911</v>
      </c>
      <c r="Q199" s="1647"/>
      <c r="R199" s="1644">
        <v>520635</v>
      </c>
      <c r="S199" s="1645"/>
      <c r="T199" s="1638">
        <v>-630</v>
      </c>
      <c r="U199" s="1639"/>
    </row>
    <row r="200" spans="2:21" ht="15" customHeight="1">
      <c r="B200" s="1648" t="s">
        <v>2601</v>
      </c>
      <c r="C200" s="1649"/>
      <c r="D200" s="1649"/>
      <c r="E200" s="1650"/>
      <c r="F200" s="1635" t="s">
        <v>2547</v>
      </c>
      <c r="G200" s="1636"/>
      <c r="H200" s="1637"/>
      <c r="I200" s="1638">
        <v>67000</v>
      </c>
      <c r="J200" s="1640"/>
      <c r="K200" s="1641"/>
      <c r="L200" s="917"/>
      <c r="M200" s="914"/>
      <c r="N200" s="1646">
        <v>40896</v>
      </c>
      <c r="O200" s="1647"/>
      <c r="P200" s="1646">
        <v>40927</v>
      </c>
      <c r="Q200" s="1647"/>
      <c r="R200" s="1644">
        <v>34938</v>
      </c>
      <c r="S200" s="1645"/>
      <c r="T200" s="1638">
        <v>-222</v>
      </c>
      <c r="U200" s="1639"/>
    </row>
    <row r="201" spans="2:21" ht="15" customHeight="1">
      <c r="B201" s="1648" t="s">
        <v>2601</v>
      </c>
      <c r="C201" s="1649"/>
      <c r="D201" s="1649"/>
      <c r="E201" s="1650"/>
      <c r="F201" s="1635" t="s">
        <v>2547</v>
      </c>
      <c r="G201" s="1636"/>
      <c r="H201" s="1637"/>
      <c r="I201" s="1638">
        <v>845000</v>
      </c>
      <c r="J201" s="1640"/>
      <c r="K201" s="1641"/>
      <c r="L201" s="917"/>
      <c r="M201" s="914"/>
      <c r="N201" s="1646">
        <v>40896</v>
      </c>
      <c r="O201" s="1647"/>
      <c r="P201" s="1646">
        <v>40926</v>
      </c>
      <c r="Q201" s="1647"/>
      <c r="R201" s="1644">
        <v>440634</v>
      </c>
      <c r="S201" s="1645"/>
      <c r="T201" s="1638">
        <v>-2762</v>
      </c>
      <c r="U201" s="1639"/>
    </row>
    <row r="202" spans="2:21" ht="15" customHeight="1">
      <c r="B202" s="1648" t="s">
        <v>1512</v>
      </c>
      <c r="C202" s="1649"/>
      <c r="D202" s="1649"/>
      <c r="E202" s="1650"/>
      <c r="F202" s="1635" t="s">
        <v>2547</v>
      </c>
      <c r="G202" s="1636"/>
      <c r="H202" s="1637"/>
      <c r="I202" s="1638">
        <v>8500000</v>
      </c>
      <c r="J202" s="1640"/>
      <c r="K202" s="1641"/>
      <c r="L202" s="917"/>
      <c r="M202" s="914"/>
      <c r="N202" s="1646">
        <v>40897</v>
      </c>
      <c r="O202" s="1647"/>
      <c r="P202" s="1646">
        <v>40927</v>
      </c>
      <c r="Q202" s="1647"/>
      <c r="R202" s="1644">
        <v>4432410</v>
      </c>
      <c r="S202" s="1645"/>
      <c r="T202" s="1638">
        <v>-3445</v>
      </c>
      <c r="U202" s="1639"/>
    </row>
    <row r="203" spans="2:21" ht="15" customHeight="1">
      <c r="B203" s="1648" t="s">
        <v>1512</v>
      </c>
      <c r="C203" s="1649"/>
      <c r="D203" s="1649"/>
      <c r="E203" s="1650"/>
      <c r="F203" s="1635" t="s">
        <v>2547</v>
      </c>
      <c r="G203" s="1636"/>
      <c r="H203" s="1637"/>
      <c r="I203" s="1638">
        <v>1400000</v>
      </c>
      <c r="J203" s="1640"/>
      <c r="K203" s="1641"/>
      <c r="L203" s="917"/>
      <c r="M203" s="914"/>
      <c r="N203" s="1646">
        <v>40898</v>
      </c>
      <c r="O203" s="1647"/>
      <c r="P203" s="1646">
        <v>40928</v>
      </c>
      <c r="Q203" s="1647"/>
      <c r="R203" s="1644">
        <v>730044</v>
      </c>
      <c r="S203" s="1645"/>
      <c r="T203" s="1638">
        <v>-2912</v>
      </c>
      <c r="U203" s="1639"/>
    </row>
    <row r="204" spans="2:21" ht="15" customHeight="1">
      <c r="B204" s="1648" t="s">
        <v>310</v>
      </c>
      <c r="C204" s="1649"/>
      <c r="D204" s="1649"/>
      <c r="E204" s="1650"/>
      <c r="F204" s="1635" t="s">
        <v>2547</v>
      </c>
      <c r="G204" s="1636"/>
      <c r="H204" s="1637"/>
      <c r="I204" s="1638">
        <v>1077055</v>
      </c>
      <c r="J204" s="1640"/>
      <c r="K204" s="1641"/>
      <c r="L204" s="917"/>
      <c r="M204" s="914"/>
      <c r="N204" s="1646">
        <v>40900</v>
      </c>
      <c r="O204" s="1647"/>
      <c r="P204" s="1646">
        <v>40911</v>
      </c>
      <c r="Q204" s="1647"/>
      <c r="R204" s="1644">
        <v>561641</v>
      </c>
      <c r="S204" s="1645"/>
      <c r="T204" s="1638">
        <v>-464</v>
      </c>
      <c r="U204" s="1639"/>
    </row>
    <row r="205" spans="2:21" ht="15" customHeight="1">
      <c r="B205" s="1648" t="s">
        <v>310</v>
      </c>
      <c r="C205" s="1649"/>
      <c r="D205" s="1649"/>
      <c r="E205" s="1650"/>
      <c r="F205" s="1635" t="s">
        <v>2547</v>
      </c>
      <c r="G205" s="1636"/>
      <c r="H205" s="1637"/>
      <c r="I205" s="1638">
        <v>200000</v>
      </c>
      <c r="J205" s="1640"/>
      <c r="K205" s="1641"/>
      <c r="L205" s="917"/>
      <c r="M205" s="914"/>
      <c r="N205" s="1646">
        <v>40900</v>
      </c>
      <c r="O205" s="1647"/>
      <c r="P205" s="1646">
        <v>40919</v>
      </c>
      <c r="Q205" s="1647"/>
      <c r="R205" s="1644">
        <v>104292</v>
      </c>
      <c r="S205" s="1645"/>
      <c r="T205" s="1638">
        <v>-103</v>
      </c>
      <c r="U205" s="1639"/>
    </row>
    <row r="206" spans="2:21" ht="15" customHeight="1">
      <c r="B206" s="1648" t="s">
        <v>310</v>
      </c>
      <c r="C206" s="1649"/>
      <c r="D206" s="1649"/>
      <c r="E206" s="1650"/>
      <c r="F206" s="1635" t="s">
        <v>2547</v>
      </c>
      <c r="G206" s="1636"/>
      <c r="H206" s="1637"/>
      <c r="I206" s="1638">
        <v>327000</v>
      </c>
      <c r="J206" s="1640"/>
      <c r="K206" s="1641"/>
      <c r="L206" s="917"/>
      <c r="M206" s="914"/>
      <c r="N206" s="1646">
        <v>40900</v>
      </c>
      <c r="O206" s="1647"/>
      <c r="P206" s="1646">
        <v>40928</v>
      </c>
      <c r="Q206" s="1647"/>
      <c r="R206" s="1644">
        <v>170517</v>
      </c>
      <c r="S206" s="1645"/>
      <c r="T206" s="1638">
        <v>-178</v>
      </c>
      <c r="U206" s="1639"/>
    </row>
    <row r="207" spans="2:21" ht="15" customHeight="1">
      <c r="B207" s="1648" t="s">
        <v>309</v>
      </c>
      <c r="C207" s="1649"/>
      <c r="D207" s="1649"/>
      <c r="E207" s="1650"/>
      <c r="F207" s="1635" t="s">
        <v>2548</v>
      </c>
      <c r="G207" s="1636"/>
      <c r="H207" s="1637"/>
      <c r="I207" s="1638">
        <v>9648437</v>
      </c>
      <c r="J207" s="1640"/>
      <c r="K207" s="1641"/>
      <c r="L207" s="917"/>
      <c r="M207" s="914"/>
      <c r="N207" s="1646">
        <v>40905</v>
      </c>
      <c r="O207" s="1647"/>
      <c r="P207" s="1646">
        <v>40948</v>
      </c>
      <c r="Q207" s="1647"/>
      <c r="R207" s="1644">
        <v>2694712</v>
      </c>
      <c r="S207" s="1645"/>
      <c r="T207" s="1638">
        <v>-9707</v>
      </c>
      <c r="U207" s="1639"/>
    </row>
    <row r="208" spans="2:21" ht="15" customHeight="1">
      <c r="B208" s="1648" t="s">
        <v>2603</v>
      </c>
      <c r="C208" s="1649"/>
      <c r="D208" s="1649"/>
      <c r="E208" s="1650"/>
      <c r="F208" s="1635" t="s">
        <v>2547</v>
      </c>
      <c r="G208" s="1636"/>
      <c r="H208" s="1637"/>
      <c r="I208" s="1638">
        <v>100000</v>
      </c>
      <c r="J208" s="1640"/>
      <c r="K208" s="1641"/>
      <c r="L208" s="917"/>
      <c r="M208" s="914"/>
      <c r="N208" s="1646">
        <v>40753</v>
      </c>
      <c r="O208" s="1647"/>
      <c r="P208" s="1646">
        <v>41068</v>
      </c>
      <c r="Q208" s="1647"/>
      <c r="R208" s="1644">
        <v>2229403</v>
      </c>
      <c r="S208" s="1645"/>
      <c r="T208" s="1638">
        <v>473</v>
      </c>
      <c r="U208" s="1639"/>
    </row>
    <row r="209" spans="2:21" ht="15" customHeight="1">
      <c r="B209" s="1648" t="s">
        <v>312</v>
      </c>
      <c r="C209" s="1649"/>
      <c r="D209" s="1649"/>
      <c r="E209" s="1650"/>
      <c r="F209" s="1635" t="s">
        <v>2547</v>
      </c>
      <c r="G209" s="1636"/>
      <c r="H209" s="1637"/>
      <c r="I209" s="1638">
        <v>200000</v>
      </c>
      <c r="J209" s="1640"/>
      <c r="K209" s="1641"/>
      <c r="L209" s="917"/>
      <c r="M209" s="914"/>
      <c r="N209" s="1646">
        <v>40763</v>
      </c>
      <c r="O209" s="1647"/>
      <c r="P209" s="1646">
        <v>41068</v>
      </c>
      <c r="Q209" s="1647"/>
      <c r="R209" s="1644">
        <v>4458806</v>
      </c>
      <c r="S209" s="1645"/>
      <c r="T209" s="1638">
        <v>-14124</v>
      </c>
      <c r="U209" s="1639"/>
    </row>
    <row r="210" spans="2:21" ht="15" customHeight="1">
      <c r="B210" s="1648" t="s">
        <v>310</v>
      </c>
      <c r="C210" s="1649"/>
      <c r="D210" s="1649"/>
      <c r="E210" s="1650"/>
      <c r="F210" s="1635" t="s">
        <v>2547</v>
      </c>
      <c r="G210" s="1636"/>
      <c r="H210" s="1637"/>
      <c r="I210" s="1638">
        <v>250000</v>
      </c>
      <c r="J210" s="1640"/>
      <c r="K210" s="1641"/>
      <c r="L210" s="917"/>
      <c r="M210" s="914"/>
      <c r="N210" s="1646">
        <v>40763</v>
      </c>
      <c r="O210" s="1647"/>
      <c r="P210" s="1646">
        <v>41068</v>
      </c>
      <c r="Q210" s="1647"/>
      <c r="R210" s="1644">
        <v>5573508</v>
      </c>
      <c r="S210" s="1645"/>
      <c r="T210" s="1638">
        <v>-16676</v>
      </c>
      <c r="U210" s="1639"/>
    </row>
    <row r="211" spans="2:21" ht="15" customHeight="1">
      <c r="B211" s="1648" t="s">
        <v>312</v>
      </c>
      <c r="C211" s="1649"/>
      <c r="D211" s="1649"/>
      <c r="E211" s="1650"/>
      <c r="F211" s="1635" t="s">
        <v>2547</v>
      </c>
      <c r="G211" s="1636"/>
      <c r="H211" s="1637"/>
      <c r="I211" s="1638">
        <v>100000</v>
      </c>
      <c r="J211" s="1640"/>
      <c r="K211" s="1641"/>
      <c r="L211" s="917"/>
      <c r="M211" s="914"/>
      <c r="N211" s="1646">
        <v>40795</v>
      </c>
      <c r="O211" s="1647"/>
      <c r="P211" s="1646">
        <v>41068</v>
      </c>
      <c r="Q211" s="1647"/>
      <c r="R211" s="1644">
        <v>2229403</v>
      </c>
      <c r="S211" s="1645"/>
      <c r="T211" s="1638">
        <v>-9313</v>
      </c>
      <c r="U211" s="1639"/>
    </row>
    <row r="212" spans="2:21" ht="15" customHeight="1" thickBot="1">
      <c r="B212" s="1942"/>
      <c r="C212" s="1943"/>
      <c r="D212" s="1943"/>
      <c r="E212" s="1943"/>
      <c r="F212" s="1947"/>
      <c r="G212" s="1947"/>
      <c r="H212" s="1947"/>
      <c r="I212" s="1953"/>
      <c r="J212" s="1953"/>
      <c r="K212" s="1953"/>
      <c r="L212" s="1955"/>
      <c r="M212" s="1955"/>
      <c r="N212" s="1948"/>
      <c r="O212" s="1948"/>
      <c r="P212" s="1948"/>
      <c r="Q212" s="1948"/>
      <c r="R212" s="1924"/>
      <c r="S212" s="1924"/>
      <c r="T212" s="1924"/>
      <c r="U212" s="2409"/>
    </row>
    <row r="213" spans="2:21" ht="15" customHeight="1" thickBot="1">
      <c r="B213" s="863" t="s">
        <v>1004</v>
      </c>
      <c r="C213" s="864"/>
      <c r="D213" s="865"/>
      <c r="E213" s="865"/>
      <c r="F213" s="865"/>
      <c r="G213" s="865"/>
      <c r="H213" s="865"/>
      <c r="I213" s="1811">
        <f>SUM(I187:K212)</f>
        <v>79658286</v>
      </c>
      <c r="J213" s="1812"/>
      <c r="K213" s="1813"/>
      <c r="L213" s="866"/>
      <c r="M213" s="867"/>
      <c r="N213" s="864"/>
      <c r="O213" s="865"/>
      <c r="P213" s="864"/>
      <c r="Q213" s="865"/>
      <c r="R213" s="1811">
        <f>SUM(R187:S212)</f>
        <v>51272067</v>
      </c>
      <c r="S213" s="1813"/>
      <c r="T213" s="1811">
        <f>SUM(T187:U212)</f>
        <v>-247615.87710463707</v>
      </c>
      <c r="U213" s="1926"/>
    </row>
    <row r="214" spans="2:21" ht="15" customHeight="1">
      <c r="B214" s="774"/>
      <c r="C214" s="918"/>
      <c r="D214" s="1945"/>
      <c r="E214" s="1945"/>
      <c r="F214" s="1945"/>
      <c r="G214" s="1945"/>
      <c r="H214" s="1945"/>
      <c r="I214" s="1945"/>
      <c r="J214" s="1945"/>
      <c r="K214" s="1945"/>
      <c r="L214" s="1945"/>
      <c r="M214" s="1945"/>
      <c r="N214" s="1945"/>
      <c r="O214" s="1945"/>
      <c r="P214" s="1945"/>
      <c r="Q214" s="1945"/>
      <c r="R214" s="1945"/>
      <c r="S214" s="1945"/>
      <c r="T214" s="1945"/>
      <c r="U214" s="1946"/>
    </row>
    <row r="215" spans="2:21" ht="15" customHeight="1">
      <c r="B215" s="1949" t="s">
        <v>1602</v>
      </c>
      <c r="C215" s="1950"/>
      <c r="D215" s="1950"/>
      <c r="E215" s="1950"/>
      <c r="F215" s="1951"/>
      <c r="G215" s="1951"/>
      <c r="H215" s="1951"/>
      <c r="I215" s="1950"/>
      <c r="J215" s="1950"/>
      <c r="K215" s="1950"/>
      <c r="L215" s="1951"/>
      <c r="M215" s="1951"/>
      <c r="N215" s="1950"/>
      <c r="O215" s="1950"/>
      <c r="P215" s="1951"/>
      <c r="Q215" s="1951"/>
      <c r="R215" s="1951"/>
      <c r="S215" s="1951"/>
      <c r="T215" s="1951"/>
      <c r="U215" s="1952"/>
    </row>
    <row r="216" spans="2:21" ht="15" customHeight="1">
      <c r="B216" s="1648" t="s">
        <v>2603</v>
      </c>
      <c r="C216" s="1649"/>
      <c r="D216" s="1649"/>
      <c r="E216" s="1650"/>
      <c r="F216" s="1635" t="s">
        <v>2547</v>
      </c>
      <c r="G216" s="1636"/>
      <c r="H216" s="1637"/>
      <c r="I216" s="1638">
        <v>350000</v>
      </c>
      <c r="J216" s="1640"/>
      <c r="K216" s="1641"/>
      <c r="L216" s="917"/>
      <c r="M216" s="917"/>
      <c r="N216" s="1646">
        <v>40682</v>
      </c>
      <c r="O216" s="1647"/>
      <c r="P216" s="1646">
        <v>41068</v>
      </c>
      <c r="Q216" s="1647"/>
      <c r="R216" s="1644">
        <v>7802911</v>
      </c>
      <c r="S216" s="1645"/>
      <c r="T216" s="1638">
        <v>-31452</v>
      </c>
      <c r="U216" s="1639"/>
    </row>
    <row r="217" spans="2:21" ht="15" customHeight="1">
      <c r="B217" s="1648" t="s">
        <v>312</v>
      </c>
      <c r="C217" s="1649"/>
      <c r="D217" s="1649"/>
      <c r="E217" s="1650"/>
      <c r="F217" s="1635" t="s">
        <v>2547</v>
      </c>
      <c r="G217" s="1636"/>
      <c r="H217" s="1637"/>
      <c r="I217" s="1638">
        <v>150000</v>
      </c>
      <c r="J217" s="1640"/>
      <c r="K217" s="1641"/>
      <c r="L217" s="917"/>
      <c r="M217" s="917"/>
      <c r="N217" s="1646">
        <v>40693</v>
      </c>
      <c r="O217" s="1647"/>
      <c r="P217" s="1646">
        <v>41068</v>
      </c>
      <c r="Q217" s="1647"/>
      <c r="R217" s="1644">
        <v>3344105</v>
      </c>
      <c r="S217" s="1645"/>
      <c r="T217" s="1638">
        <v>-16856</v>
      </c>
      <c r="U217" s="1639"/>
    </row>
    <row r="218" spans="2:21" ht="15" customHeight="1">
      <c r="B218" s="1648" t="s">
        <v>312</v>
      </c>
      <c r="C218" s="1649"/>
      <c r="D218" s="1649"/>
      <c r="E218" s="1650"/>
      <c r="F218" s="1635" t="s">
        <v>2547</v>
      </c>
      <c r="G218" s="1636"/>
      <c r="H218" s="1637"/>
      <c r="I218" s="1638">
        <v>200000</v>
      </c>
      <c r="J218" s="1640"/>
      <c r="K218" s="1641"/>
      <c r="L218" s="917"/>
      <c r="M218" s="917"/>
      <c r="N218" s="1646">
        <v>40696</v>
      </c>
      <c r="O218" s="1647"/>
      <c r="P218" s="1646">
        <v>41068</v>
      </c>
      <c r="Q218" s="1647"/>
      <c r="R218" s="1644">
        <v>4458806</v>
      </c>
      <c r="S218" s="1645"/>
      <c r="T218" s="1638">
        <v>-15037</v>
      </c>
      <c r="U218" s="1639"/>
    </row>
    <row r="219" spans="2:21" ht="15" customHeight="1">
      <c r="B219" s="1648" t="s">
        <v>2602</v>
      </c>
      <c r="C219" s="1649"/>
      <c r="D219" s="1649"/>
      <c r="E219" s="1650"/>
      <c r="F219" s="1635" t="s">
        <v>2547</v>
      </c>
      <c r="G219" s="1636"/>
      <c r="H219" s="1637"/>
      <c r="I219" s="1638">
        <v>300000</v>
      </c>
      <c r="J219" s="1640"/>
      <c r="K219" s="1641"/>
      <c r="L219" s="917"/>
      <c r="M219" s="917"/>
      <c r="N219" s="1646">
        <v>40723</v>
      </c>
      <c r="O219" s="1647"/>
      <c r="P219" s="1646">
        <v>41068</v>
      </c>
      <c r="Q219" s="1647"/>
      <c r="R219" s="1644">
        <v>6688209</v>
      </c>
      <c r="S219" s="1645"/>
      <c r="T219" s="1638">
        <v>-24024</v>
      </c>
      <c r="U219" s="1639"/>
    </row>
    <row r="220" spans="2:21" ht="15" customHeight="1">
      <c r="B220" s="1648" t="s">
        <v>310</v>
      </c>
      <c r="C220" s="1649"/>
      <c r="D220" s="1649"/>
      <c r="E220" s="1650"/>
      <c r="F220" s="1635" t="s">
        <v>2547</v>
      </c>
      <c r="G220" s="1636"/>
      <c r="H220" s="1637"/>
      <c r="I220" s="1638">
        <v>450000</v>
      </c>
      <c r="J220" s="1640"/>
      <c r="K220" s="1641"/>
      <c r="L220" s="917"/>
      <c r="M220" s="917"/>
      <c r="N220" s="1646">
        <v>40893</v>
      </c>
      <c r="O220" s="1647"/>
      <c r="P220" s="1646">
        <v>40919</v>
      </c>
      <c r="Q220" s="1647"/>
      <c r="R220" s="1644">
        <v>234657</v>
      </c>
      <c r="S220" s="1645"/>
      <c r="T220" s="1638">
        <v>1445</v>
      </c>
      <c r="U220" s="1639"/>
    </row>
    <row r="221" spans="2:21" ht="15" customHeight="1">
      <c r="B221" s="1648" t="s">
        <v>2603</v>
      </c>
      <c r="C221" s="1649"/>
      <c r="D221" s="1649"/>
      <c r="E221" s="1650"/>
      <c r="F221" s="1635" t="s">
        <v>2547</v>
      </c>
      <c r="G221" s="1636"/>
      <c r="H221" s="1637"/>
      <c r="I221" s="1638">
        <v>67000</v>
      </c>
      <c r="J221" s="1640"/>
      <c r="K221" s="1641"/>
      <c r="L221" s="917"/>
      <c r="M221" s="917"/>
      <c r="N221" s="1646">
        <v>40897</v>
      </c>
      <c r="O221" s="1647"/>
      <c r="P221" s="1646">
        <v>40927</v>
      </c>
      <c r="Q221" s="1647"/>
      <c r="R221" s="1644">
        <v>34938</v>
      </c>
      <c r="S221" s="1645"/>
      <c r="T221" s="1638">
        <v>39</v>
      </c>
      <c r="U221" s="1639"/>
    </row>
    <row r="222" spans="2:21" ht="15" customHeight="1">
      <c r="B222" s="1648" t="s">
        <v>2601</v>
      </c>
      <c r="C222" s="1649"/>
      <c r="D222" s="1649"/>
      <c r="E222" s="1650"/>
      <c r="F222" s="1635" t="s">
        <v>2547</v>
      </c>
      <c r="G222" s="1636"/>
      <c r="H222" s="1637"/>
      <c r="I222" s="1638">
        <v>998417</v>
      </c>
      <c r="J222" s="1640"/>
      <c r="K222" s="1641"/>
      <c r="L222" s="917"/>
      <c r="M222" s="917"/>
      <c r="N222" s="1646">
        <v>40897</v>
      </c>
      <c r="O222" s="1647"/>
      <c r="P222" s="1646">
        <v>40911</v>
      </c>
      <c r="Q222" s="1647"/>
      <c r="R222" s="1644">
        <v>520635</v>
      </c>
      <c r="S222" s="1645"/>
      <c r="T222" s="1638">
        <v>1072</v>
      </c>
      <c r="U222" s="1639"/>
    </row>
    <row r="223" spans="2:21" ht="15" customHeight="1">
      <c r="B223" s="1648" t="s">
        <v>312</v>
      </c>
      <c r="C223" s="1649"/>
      <c r="D223" s="1649"/>
      <c r="E223" s="1650"/>
      <c r="F223" s="1635" t="s">
        <v>2547</v>
      </c>
      <c r="G223" s="1636"/>
      <c r="H223" s="1637"/>
      <c r="I223" s="1638">
        <v>2400000</v>
      </c>
      <c r="J223" s="1640"/>
      <c r="K223" s="1641"/>
      <c r="L223" s="917"/>
      <c r="M223" s="917"/>
      <c r="N223" s="1646">
        <v>40905</v>
      </c>
      <c r="O223" s="1647"/>
      <c r="P223" s="1646">
        <v>40919</v>
      </c>
      <c r="Q223" s="1647"/>
      <c r="R223" s="1644">
        <v>1251504</v>
      </c>
      <c r="S223" s="1645"/>
      <c r="T223" s="1638">
        <v>832</v>
      </c>
      <c r="U223" s="1639"/>
    </row>
    <row r="224" spans="2:21" ht="15" customHeight="1">
      <c r="B224" s="1648" t="s">
        <v>312</v>
      </c>
      <c r="C224" s="1649"/>
      <c r="D224" s="1649"/>
      <c r="E224" s="1650"/>
      <c r="F224" s="1635" t="s">
        <v>2547</v>
      </c>
      <c r="G224" s="1636"/>
      <c r="H224" s="1637"/>
      <c r="I224" s="1638">
        <v>430000</v>
      </c>
      <c r="J224" s="1640"/>
      <c r="K224" s="1641"/>
      <c r="L224" s="917"/>
      <c r="M224" s="917"/>
      <c r="N224" s="1646">
        <v>40905</v>
      </c>
      <c r="O224" s="1647"/>
      <c r="P224" s="1646">
        <v>40926</v>
      </c>
      <c r="Q224" s="1647"/>
      <c r="R224" s="1644">
        <v>224228</v>
      </c>
      <c r="S224" s="1645"/>
      <c r="T224" s="1638">
        <v>162</v>
      </c>
      <c r="U224" s="1639"/>
    </row>
    <row r="225" spans="2:21" ht="15" customHeight="1">
      <c r="B225" s="1648" t="s">
        <v>312</v>
      </c>
      <c r="C225" s="1649"/>
      <c r="D225" s="1649"/>
      <c r="E225" s="1650"/>
      <c r="F225" s="1635" t="s">
        <v>2547</v>
      </c>
      <c r="G225" s="1636"/>
      <c r="H225" s="1637"/>
      <c r="I225" s="1638">
        <v>315856</v>
      </c>
      <c r="J225" s="1640"/>
      <c r="K225" s="1641"/>
      <c r="L225" s="917"/>
      <c r="M225" s="917"/>
      <c r="N225" s="1646">
        <v>40905</v>
      </c>
      <c r="O225" s="1647"/>
      <c r="P225" s="1646">
        <v>40918</v>
      </c>
      <c r="Q225" s="1647"/>
      <c r="R225" s="1644">
        <v>213266</v>
      </c>
      <c r="S225" s="1645"/>
      <c r="T225" s="1638">
        <v>-4851</v>
      </c>
      <c r="U225" s="1639"/>
    </row>
    <row r="226" spans="2:21" ht="15" customHeight="1">
      <c r="B226" s="1648" t="s">
        <v>309</v>
      </c>
      <c r="C226" s="1649"/>
      <c r="D226" s="1649"/>
      <c r="E226" s="1650"/>
      <c r="F226" s="1635" t="s">
        <v>2548</v>
      </c>
      <c r="G226" s="1636"/>
      <c r="H226" s="1637"/>
      <c r="I226" s="1638">
        <v>9648437</v>
      </c>
      <c r="J226" s="1640"/>
      <c r="K226" s="1641"/>
      <c r="L226" s="917"/>
      <c r="M226" s="917"/>
      <c r="N226" s="1646">
        <v>40905</v>
      </c>
      <c r="O226" s="1647"/>
      <c r="P226" s="1646">
        <v>40917</v>
      </c>
      <c r="Q226" s="1647"/>
      <c r="R226" s="1644">
        <v>2694712</v>
      </c>
      <c r="S226" s="1645"/>
      <c r="T226" s="1638">
        <v>-8753</v>
      </c>
      <c r="U226" s="1639"/>
    </row>
    <row r="227" spans="2:21" ht="15" customHeight="1">
      <c r="B227" s="1648" t="s">
        <v>312</v>
      </c>
      <c r="C227" s="1649"/>
      <c r="D227" s="1649"/>
      <c r="E227" s="1650"/>
      <c r="F227" s="1635" t="s">
        <v>2547</v>
      </c>
      <c r="G227" s="1636"/>
      <c r="H227" s="1637"/>
      <c r="I227" s="1638">
        <v>1077055</v>
      </c>
      <c r="J227" s="1640"/>
      <c r="K227" s="1641"/>
      <c r="L227" s="917"/>
      <c r="M227" s="917"/>
      <c r="N227" s="1646">
        <v>40905</v>
      </c>
      <c r="O227" s="1647"/>
      <c r="P227" s="1646">
        <v>40911</v>
      </c>
      <c r="Q227" s="1647"/>
      <c r="R227" s="1644">
        <v>561641</v>
      </c>
      <c r="S227" s="1645"/>
      <c r="T227" s="1638">
        <v>263</v>
      </c>
      <c r="U227" s="1639"/>
    </row>
    <row r="228" spans="2:21" ht="15" customHeight="1">
      <c r="B228" s="1648" t="s">
        <v>312</v>
      </c>
      <c r="C228" s="1649"/>
      <c r="D228" s="1649"/>
      <c r="E228" s="1650"/>
      <c r="F228" s="1635" t="s">
        <v>2547</v>
      </c>
      <c r="G228" s="1636"/>
      <c r="H228" s="1637"/>
      <c r="I228" s="1638">
        <v>4770000</v>
      </c>
      <c r="J228" s="1640"/>
      <c r="K228" s="1641"/>
      <c r="L228" s="917"/>
      <c r="M228" s="917"/>
      <c r="N228" s="1646">
        <v>40906</v>
      </c>
      <c r="O228" s="1647"/>
      <c r="P228" s="1646">
        <v>40913</v>
      </c>
      <c r="Q228" s="1647"/>
      <c r="R228" s="1644">
        <v>2487364</v>
      </c>
      <c r="S228" s="1645"/>
      <c r="T228" s="1638">
        <v>2227</v>
      </c>
      <c r="U228" s="1639"/>
    </row>
    <row r="229" spans="2:21" ht="15" customHeight="1">
      <c r="B229" s="1648" t="s">
        <v>2602</v>
      </c>
      <c r="C229" s="1649"/>
      <c r="D229" s="1649"/>
      <c r="E229" s="1650"/>
      <c r="F229" s="1635" t="s">
        <v>2547</v>
      </c>
      <c r="G229" s="1636"/>
      <c r="H229" s="1637"/>
      <c r="I229" s="1638">
        <v>200000</v>
      </c>
      <c r="J229" s="1640"/>
      <c r="K229" s="1641"/>
      <c r="L229" s="917"/>
      <c r="M229" s="917"/>
      <c r="N229" s="1646">
        <v>40744</v>
      </c>
      <c r="O229" s="1647"/>
      <c r="P229" s="1646">
        <v>41068</v>
      </c>
      <c r="Q229" s="1647"/>
      <c r="R229" s="1644">
        <v>4458806</v>
      </c>
      <c r="S229" s="1645"/>
      <c r="T229" s="1638">
        <v>9427</v>
      </c>
      <c r="U229" s="1639"/>
    </row>
    <row r="230" spans="2:21" ht="15" customHeight="1">
      <c r="B230" s="1648" t="s">
        <v>2602</v>
      </c>
      <c r="C230" s="1649"/>
      <c r="D230" s="1649"/>
      <c r="E230" s="1650"/>
      <c r="F230" s="1635" t="s">
        <v>2547</v>
      </c>
      <c r="G230" s="1636"/>
      <c r="H230" s="1637"/>
      <c r="I230" s="1638">
        <v>150000</v>
      </c>
      <c r="J230" s="1640"/>
      <c r="K230" s="1641"/>
      <c r="L230" s="917"/>
      <c r="M230" s="917"/>
      <c r="N230" s="1646">
        <v>40750</v>
      </c>
      <c r="O230" s="1647"/>
      <c r="P230" s="1646">
        <v>41068</v>
      </c>
      <c r="Q230" s="1647"/>
      <c r="R230" s="1644">
        <v>3344105</v>
      </c>
      <c r="S230" s="1645"/>
      <c r="T230" s="1638">
        <v>-709</v>
      </c>
      <c r="U230" s="1639"/>
    </row>
    <row r="231" spans="2:21" ht="15" customHeight="1">
      <c r="B231" s="1648" t="s">
        <v>2602</v>
      </c>
      <c r="C231" s="1649"/>
      <c r="D231" s="1649"/>
      <c r="E231" s="1650"/>
      <c r="F231" s="1635" t="s">
        <v>2547</v>
      </c>
      <c r="G231" s="1636"/>
      <c r="H231" s="1637"/>
      <c r="I231" s="1638">
        <v>100000</v>
      </c>
      <c r="J231" s="1640"/>
      <c r="K231" s="1641"/>
      <c r="L231" s="917"/>
      <c r="M231" s="917"/>
      <c r="N231" s="1646">
        <v>40750</v>
      </c>
      <c r="O231" s="1647"/>
      <c r="P231" s="1646">
        <v>41068</v>
      </c>
      <c r="Q231" s="1647"/>
      <c r="R231" s="1644">
        <v>2229403</v>
      </c>
      <c r="S231" s="1645"/>
      <c r="T231" s="1638">
        <v>506</v>
      </c>
      <c r="U231" s="1639"/>
    </row>
    <row r="232" spans="2:21" ht="15" customHeight="1">
      <c r="B232" s="1648" t="s">
        <v>312</v>
      </c>
      <c r="C232" s="1649"/>
      <c r="D232" s="1649"/>
      <c r="E232" s="1650"/>
      <c r="F232" s="1635" t="s">
        <v>2547</v>
      </c>
      <c r="G232" s="1636"/>
      <c r="H232" s="1637"/>
      <c r="I232" s="1638">
        <v>100000</v>
      </c>
      <c r="J232" s="1640"/>
      <c r="K232" s="1641"/>
      <c r="L232" s="917"/>
      <c r="M232" s="917"/>
      <c r="N232" s="1646">
        <v>40750</v>
      </c>
      <c r="O232" s="1647"/>
      <c r="P232" s="1646">
        <v>41068</v>
      </c>
      <c r="Q232" s="1647"/>
      <c r="R232" s="1644">
        <v>2229403</v>
      </c>
      <c r="S232" s="1645"/>
      <c r="T232" s="1638">
        <v>1484</v>
      </c>
      <c r="U232" s="1639"/>
    </row>
    <row r="233" spans="2:21" ht="15" customHeight="1">
      <c r="B233" s="1648" t="s">
        <v>2603</v>
      </c>
      <c r="C233" s="1649"/>
      <c r="D233" s="1649"/>
      <c r="E233" s="1650"/>
      <c r="F233" s="1635" t="s">
        <v>2547</v>
      </c>
      <c r="G233" s="1636"/>
      <c r="H233" s="1637"/>
      <c r="I233" s="1638">
        <v>100000</v>
      </c>
      <c r="J233" s="1640"/>
      <c r="K233" s="1641"/>
      <c r="L233" s="917"/>
      <c r="M233" s="917"/>
      <c r="N233" s="1646">
        <v>40774</v>
      </c>
      <c r="O233" s="1647"/>
      <c r="P233" s="1646">
        <v>41068</v>
      </c>
      <c r="Q233" s="1647"/>
      <c r="R233" s="1644">
        <v>2229403</v>
      </c>
      <c r="S233" s="1645"/>
      <c r="T233" s="1638">
        <v>11368</v>
      </c>
      <c r="U233" s="1639"/>
    </row>
    <row r="234" spans="2:21" ht="15" hidden="1" customHeight="1">
      <c r="B234" s="1816"/>
      <c r="C234" s="1817"/>
      <c r="D234" s="1817"/>
      <c r="E234" s="1818"/>
      <c r="F234" s="1954"/>
      <c r="G234" s="1954"/>
      <c r="H234" s="1954"/>
      <c r="I234" s="2363"/>
      <c r="J234" s="2364"/>
      <c r="K234" s="2365"/>
      <c r="L234" s="821"/>
      <c r="M234" s="821"/>
      <c r="N234" s="1821"/>
      <c r="O234" s="1822"/>
      <c r="P234" s="1971"/>
      <c r="Q234" s="1972"/>
      <c r="R234" s="1819"/>
      <c r="S234" s="1820"/>
      <c r="T234" s="2405"/>
      <c r="U234" s="2406"/>
    </row>
    <row r="235" spans="2:21" ht="15" hidden="1" customHeight="1">
      <c r="B235" s="1816"/>
      <c r="C235" s="1817"/>
      <c r="D235" s="1817"/>
      <c r="E235" s="1818"/>
      <c r="F235" s="1954"/>
      <c r="G235" s="1954"/>
      <c r="H235" s="1954"/>
      <c r="I235" s="2363"/>
      <c r="J235" s="2364"/>
      <c r="K235" s="2365"/>
      <c r="L235" s="821"/>
      <c r="M235" s="821"/>
      <c r="N235" s="1821"/>
      <c r="O235" s="1822"/>
      <c r="P235" s="2361"/>
      <c r="Q235" s="2362"/>
      <c r="R235" s="1819"/>
      <c r="S235" s="1820"/>
      <c r="T235" s="2411"/>
      <c r="U235" s="2412"/>
    </row>
    <row r="236" spans="2:21" ht="15" hidden="1" customHeight="1">
      <c r="B236" s="1816"/>
      <c r="C236" s="1817"/>
      <c r="D236" s="1817"/>
      <c r="E236" s="1818"/>
      <c r="F236" s="1954"/>
      <c r="G236" s="1954"/>
      <c r="H236" s="1954"/>
      <c r="I236" s="2363"/>
      <c r="J236" s="2364"/>
      <c r="K236" s="2365"/>
      <c r="L236" s="821"/>
      <c r="M236" s="821"/>
      <c r="N236" s="1821"/>
      <c r="O236" s="1822"/>
      <c r="P236" s="2361"/>
      <c r="Q236" s="2362"/>
      <c r="R236" s="1819"/>
      <c r="S236" s="1820"/>
      <c r="T236" s="2407"/>
      <c r="U236" s="2408"/>
    </row>
    <row r="237" spans="2:21" ht="15" hidden="1" customHeight="1">
      <c r="B237" s="1816"/>
      <c r="C237" s="1817"/>
      <c r="D237" s="1817"/>
      <c r="E237" s="1818"/>
      <c r="F237" s="1954"/>
      <c r="G237" s="1954"/>
      <c r="H237" s="1954"/>
      <c r="I237" s="2363"/>
      <c r="J237" s="2364"/>
      <c r="K237" s="2365"/>
      <c r="L237" s="821"/>
      <c r="M237" s="821"/>
      <c r="N237" s="1821"/>
      <c r="O237" s="1822"/>
      <c r="P237" s="2361"/>
      <c r="Q237" s="2362"/>
      <c r="R237" s="1819"/>
      <c r="S237" s="1820"/>
      <c r="T237" s="2411"/>
      <c r="U237" s="2412"/>
    </row>
    <row r="238" spans="2:21" ht="15" hidden="1" customHeight="1">
      <c r="B238" s="1816"/>
      <c r="C238" s="1817"/>
      <c r="D238" s="1817"/>
      <c r="E238" s="1818"/>
      <c r="F238" s="1954"/>
      <c r="G238" s="1954"/>
      <c r="H238" s="1954"/>
      <c r="I238" s="2363"/>
      <c r="J238" s="2364"/>
      <c r="K238" s="2365"/>
      <c r="L238" s="821"/>
      <c r="M238" s="821"/>
      <c r="N238" s="1821"/>
      <c r="O238" s="1822"/>
      <c r="P238" s="2361"/>
      <c r="Q238" s="2362"/>
      <c r="R238" s="1819"/>
      <c r="S238" s="1820"/>
      <c r="T238" s="2411"/>
      <c r="U238" s="2412"/>
    </row>
    <row r="239" spans="2:21" ht="15" customHeight="1" thickBot="1">
      <c r="B239" s="1942"/>
      <c r="C239" s="1943"/>
      <c r="D239" s="1943"/>
      <c r="E239" s="1943"/>
      <c r="F239" s="1947"/>
      <c r="G239" s="1947"/>
      <c r="H239" s="1947"/>
      <c r="I239" s="1953"/>
      <c r="J239" s="1953"/>
      <c r="K239" s="1953"/>
      <c r="L239" s="1955"/>
      <c r="M239" s="1955"/>
      <c r="N239" s="2368"/>
      <c r="O239" s="2368"/>
      <c r="P239" s="1948"/>
      <c r="Q239" s="1948"/>
      <c r="R239" s="1924"/>
      <c r="S239" s="1924"/>
      <c r="T239" s="1924"/>
      <c r="U239" s="2409"/>
    </row>
    <row r="240" spans="2:21" ht="15" customHeight="1" thickBot="1">
      <c r="B240" s="863" t="s">
        <v>1359</v>
      </c>
      <c r="C240" s="864"/>
      <c r="D240" s="865"/>
      <c r="E240" s="865"/>
      <c r="F240" s="865"/>
      <c r="G240" s="865"/>
      <c r="H240" s="865"/>
      <c r="I240" s="1811">
        <f>SUM(I215:K239)</f>
        <v>21806765</v>
      </c>
      <c r="J240" s="2366"/>
      <c r="K240" s="2367"/>
      <c r="L240" s="864"/>
      <c r="M240" s="865"/>
      <c r="N240" s="864"/>
      <c r="O240" s="865"/>
      <c r="P240" s="864"/>
      <c r="Q240" s="865"/>
      <c r="R240" s="1811">
        <f>SUM(R215:S239)</f>
        <v>45008096</v>
      </c>
      <c r="S240" s="1813"/>
      <c r="T240" s="1811">
        <f>SUM(T215:U239)</f>
        <v>-72857</v>
      </c>
      <c r="U240" s="1926"/>
    </row>
    <row r="241" spans="2:21" ht="15" customHeight="1" thickBot="1">
      <c r="B241" s="2181"/>
      <c r="C241" s="2182"/>
      <c r="D241" s="2182"/>
      <c r="E241" s="2182"/>
      <c r="F241" s="2182"/>
      <c r="G241" s="2182"/>
      <c r="H241" s="2182"/>
      <c r="I241" s="2182"/>
      <c r="J241" s="2182"/>
      <c r="K241" s="2182"/>
      <c r="L241" s="2182"/>
      <c r="M241" s="2182"/>
      <c r="N241" s="2182"/>
      <c r="O241" s="2182"/>
      <c r="P241" s="2182"/>
      <c r="Q241" s="2182"/>
      <c r="R241" s="2182"/>
      <c r="S241" s="2182"/>
      <c r="T241" s="2182"/>
      <c r="U241" s="2183"/>
    </row>
    <row r="242" spans="2:21" ht="20.100000000000001" customHeight="1" thickBot="1">
      <c r="B242" s="2370" t="s">
        <v>1360</v>
      </c>
      <c r="C242" s="2371"/>
      <c r="D242" s="2371"/>
      <c r="E242" s="2371"/>
      <c r="F242" s="2371"/>
      <c r="G242" s="2371"/>
      <c r="H242" s="2371"/>
      <c r="I242" s="2371"/>
      <c r="J242" s="2371"/>
      <c r="K242" s="2371"/>
      <c r="L242" s="2371"/>
      <c r="M242" s="2371"/>
      <c r="N242" s="2371"/>
      <c r="O242" s="2371"/>
      <c r="P242" s="2371"/>
      <c r="Q242" s="2372"/>
      <c r="R242" s="1811">
        <f>+R213+R240</f>
        <v>96280163</v>
      </c>
      <c r="S242" s="1813"/>
      <c r="T242" s="1811">
        <f>+T213+T240</f>
        <v>-320472.8771046371</v>
      </c>
      <c r="U242" s="1926"/>
    </row>
    <row r="244" spans="2:21" ht="12" thickBot="1"/>
    <row r="245" spans="2:21" ht="24.95" customHeight="1">
      <c r="B245" s="1939" t="s">
        <v>1170</v>
      </c>
      <c r="C245" s="1940"/>
      <c r="D245" s="1940"/>
      <c r="E245" s="1940"/>
      <c r="F245" s="1940"/>
      <c r="G245" s="1940"/>
      <c r="H245" s="1940"/>
      <c r="I245" s="1940"/>
      <c r="J245" s="1940"/>
      <c r="K245" s="1940"/>
      <c r="L245" s="1940"/>
      <c r="M245" s="1940"/>
      <c r="N245" s="1940"/>
      <c r="O245" s="1940"/>
      <c r="P245" s="1940"/>
      <c r="Q245" s="1940"/>
      <c r="R245" s="1940"/>
      <c r="S245" s="1940"/>
      <c r="T245" s="1940"/>
      <c r="U245" s="1941"/>
    </row>
    <row r="246" spans="2:21" ht="50.1" customHeight="1">
      <c r="B246" s="1731" t="s">
        <v>349</v>
      </c>
      <c r="C246" s="1732"/>
      <c r="D246" s="1732"/>
      <c r="E246" s="1732"/>
      <c r="F246" s="1990" t="s">
        <v>350</v>
      </c>
      <c r="G246" s="1786"/>
      <c r="H246" s="1786"/>
      <c r="I246" s="1794" t="s">
        <v>1171</v>
      </c>
      <c r="J246" s="1794"/>
      <c r="K246" s="1794"/>
      <c r="L246" s="1794"/>
      <c r="M246" s="1794"/>
      <c r="N246" s="1990" t="s">
        <v>1603</v>
      </c>
      <c r="O246" s="1786"/>
      <c r="P246" s="1786"/>
      <c r="Q246" s="1786"/>
      <c r="R246" s="1886" t="s">
        <v>1448</v>
      </c>
      <c r="S246" s="1887"/>
      <c r="T246" s="1882" t="s">
        <v>1132</v>
      </c>
      <c r="U246" s="1883"/>
    </row>
    <row r="247" spans="2:21" ht="30" customHeight="1">
      <c r="B247" s="1849" t="s">
        <v>1002</v>
      </c>
      <c r="C247" s="1850"/>
      <c r="D247" s="1850"/>
      <c r="E247" s="1850"/>
      <c r="F247" s="1787" t="s">
        <v>350</v>
      </c>
      <c r="G247" s="1787"/>
      <c r="H247" s="1787"/>
      <c r="I247" s="1768" t="s">
        <v>232</v>
      </c>
      <c r="J247" s="1768"/>
      <c r="K247" s="1768"/>
      <c r="L247" s="1768" t="s">
        <v>233</v>
      </c>
      <c r="M247" s="1768"/>
      <c r="N247" s="1787"/>
      <c r="O247" s="1787"/>
      <c r="P247" s="1787"/>
      <c r="Q247" s="1787"/>
      <c r="R247" s="1888"/>
      <c r="S247" s="1889"/>
      <c r="T247" s="1884"/>
      <c r="U247" s="1885"/>
    </row>
    <row r="248" spans="2:21" ht="12" customHeight="1" thickBot="1">
      <c r="B248" s="1851"/>
      <c r="C248" s="1852"/>
      <c r="D248" s="1852"/>
      <c r="E248" s="1852"/>
      <c r="F248" s="1788"/>
      <c r="G248" s="1788"/>
      <c r="H248" s="1788"/>
      <c r="I248" s="1944" t="s">
        <v>903</v>
      </c>
      <c r="J248" s="1944"/>
      <c r="K248" s="1944"/>
      <c r="L248" s="1944"/>
      <c r="M248" s="1944"/>
      <c r="N248" s="1788"/>
      <c r="O248" s="1788"/>
      <c r="P248" s="1788"/>
      <c r="Q248" s="1788"/>
      <c r="R248" s="1944" t="s">
        <v>1885</v>
      </c>
      <c r="S248" s="1944"/>
      <c r="T248" s="1944" t="s">
        <v>1885</v>
      </c>
      <c r="U248" s="2410"/>
    </row>
    <row r="249" spans="2:21" ht="15" customHeight="1">
      <c r="B249" s="774" t="s">
        <v>1382</v>
      </c>
      <c r="C249" s="775"/>
      <c r="D249" s="775"/>
      <c r="E249" s="775"/>
      <c r="F249" s="1855"/>
      <c r="G249" s="1855"/>
      <c r="H249" s="1855"/>
      <c r="I249" s="1853"/>
      <c r="J249" s="1853"/>
      <c r="K249" s="1853"/>
      <c r="L249" s="2369"/>
      <c r="M249" s="2369"/>
      <c r="N249" s="925"/>
      <c r="O249" s="926"/>
      <c r="P249" s="925"/>
      <c r="Q249" s="926"/>
      <c r="R249" s="1853"/>
      <c r="S249" s="1853"/>
      <c r="T249" s="1853"/>
      <c r="U249" s="2240"/>
    </row>
    <row r="250" spans="2:21" ht="15" customHeight="1">
      <c r="B250" s="919" t="s">
        <v>2628</v>
      </c>
      <c r="C250" s="920"/>
      <c r="D250" s="920"/>
      <c r="E250" s="921"/>
      <c r="F250" s="1635" t="s">
        <v>2547</v>
      </c>
      <c r="G250" s="1636"/>
      <c r="H250" s="1637"/>
      <c r="I250" s="1638">
        <v>4000000</v>
      </c>
      <c r="J250" s="1640"/>
      <c r="K250" s="1641"/>
      <c r="L250" s="1642">
        <v>38113</v>
      </c>
      <c r="M250" s="1643"/>
      <c r="N250" s="1642">
        <v>41487</v>
      </c>
      <c r="O250" s="1643"/>
      <c r="P250" s="922"/>
      <c r="Q250" s="923"/>
      <c r="R250" s="1644">
        <v>2085840</v>
      </c>
      <c r="S250" s="1645"/>
      <c r="T250" s="1638">
        <v>1288415</v>
      </c>
      <c r="U250" s="1639"/>
    </row>
    <row r="251" spans="2:21" ht="15" customHeight="1">
      <c r="B251" s="919" t="s">
        <v>2602</v>
      </c>
      <c r="C251" s="920"/>
      <c r="D251" s="920"/>
      <c r="E251" s="921"/>
      <c r="F251" s="1635" t="s">
        <v>2547</v>
      </c>
      <c r="G251" s="1636"/>
      <c r="H251" s="1637"/>
      <c r="I251" s="1638">
        <v>5000000</v>
      </c>
      <c r="J251" s="1640"/>
      <c r="K251" s="1641"/>
      <c r="L251" s="1642">
        <v>38118</v>
      </c>
      <c r="M251" s="1643"/>
      <c r="N251" s="1642">
        <v>41487</v>
      </c>
      <c r="O251" s="1643"/>
      <c r="P251" s="922"/>
      <c r="Q251" s="924"/>
      <c r="R251" s="1644">
        <v>2607300</v>
      </c>
      <c r="S251" s="1645"/>
      <c r="T251" s="1638">
        <v>1637380</v>
      </c>
      <c r="U251" s="1639"/>
    </row>
    <row r="252" spans="2:21" ht="15" customHeight="1">
      <c r="B252" s="919" t="s">
        <v>2628</v>
      </c>
      <c r="C252" s="920"/>
      <c r="D252" s="920"/>
      <c r="E252" s="921"/>
      <c r="F252" s="1635" t="s">
        <v>2547</v>
      </c>
      <c r="G252" s="1636"/>
      <c r="H252" s="1637"/>
      <c r="I252" s="1638">
        <v>1000000</v>
      </c>
      <c r="J252" s="1640"/>
      <c r="K252" s="1641"/>
      <c r="L252" s="1642">
        <v>38251</v>
      </c>
      <c r="M252" s="1643"/>
      <c r="N252" s="1642">
        <v>42705</v>
      </c>
      <c r="O252" s="1643"/>
      <c r="P252" s="922"/>
      <c r="Q252" s="924"/>
      <c r="R252" s="1644">
        <v>521460</v>
      </c>
      <c r="S252" s="1645"/>
      <c r="T252" s="1638">
        <v>283977</v>
      </c>
      <c r="U252" s="1639"/>
    </row>
    <row r="253" spans="2:21" ht="15" customHeight="1">
      <c r="B253" s="919" t="s">
        <v>2628</v>
      </c>
      <c r="C253" s="920"/>
      <c r="D253" s="920"/>
      <c r="E253" s="921"/>
      <c r="F253" s="1635" t="s">
        <v>2547</v>
      </c>
      <c r="G253" s="1636"/>
      <c r="H253" s="1637"/>
      <c r="I253" s="1638">
        <v>1000000</v>
      </c>
      <c r="J253" s="1640"/>
      <c r="K253" s="1641"/>
      <c r="L253" s="1642">
        <v>38264</v>
      </c>
      <c r="M253" s="1643"/>
      <c r="N253" s="1642">
        <v>41723</v>
      </c>
      <c r="O253" s="1643"/>
      <c r="P253" s="922"/>
      <c r="Q253" s="924"/>
      <c r="R253" s="1644">
        <v>521460</v>
      </c>
      <c r="S253" s="1645"/>
      <c r="T253" s="1638">
        <v>259606</v>
      </c>
      <c r="U253" s="1639"/>
    </row>
    <row r="254" spans="2:21" ht="15" customHeight="1">
      <c r="B254" s="919" t="s">
        <v>2628</v>
      </c>
      <c r="C254" s="920"/>
      <c r="D254" s="920"/>
      <c r="E254" s="921"/>
      <c r="F254" s="1635" t="s">
        <v>2547</v>
      </c>
      <c r="G254" s="1636"/>
      <c r="H254" s="1637"/>
      <c r="I254" s="1638">
        <v>1000000</v>
      </c>
      <c r="J254" s="1640"/>
      <c r="K254" s="1641"/>
      <c r="L254" s="1642">
        <v>38286</v>
      </c>
      <c r="M254" s="1643"/>
      <c r="N254" s="1642">
        <v>41723</v>
      </c>
      <c r="O254" s="1643"/>
      <c r="P254" s="922"/>
      <c r="Q254" s="924"/>
      <c r="R254" s="1644">
        <v>521460</v>
      </c>
      <c r="S254" s="1645"/>
      <c r="T254" s="1638">
        <v>275417</v>
      </c>
      <c r="U254" s="1639"/>
    </row>
    <row r="255" spans="2:21" ht="15" customHeight="1">
      <c r="B255" s="919" t="s">
        <v>2628</v>
      </c>
      <c r="C255" s="920"/>
      <c r="D255" s="920"/>
      <c r="E255" s="921"/>
      <c r="F255" s="1635" t="s">
        <v>2547</v>
      </c>
      <c r="G255" s="1636"/>
      <c r="H255" s="1637"/>
      <c r="I255" s="1638">
        <v>4000000</v>
      </c>
      <c r="J255" s="1640"/>
      <c r="K255" s="1641"/>
      <c r="L255" s="1642">
        <v>38525</v>
      </c>
      <c r="M255" s="1643"/>
      <c r="N255" s="1642">
        <v>45734</v>
      </c>
      <c r="O255" s="1643"/>
      <c r="P255" s="922"/>
      <c r="Q255" s="924"/>
      <c r="R255" s="1644">
        <v>2085840</v>
      </c>
      <c r="S255" s="1645"/>
      <c r="T255" s="1638">
        <v>876991</v>
      </c>
      <c r="U255" s="1639"/>
    </row>
    <row r="256" spans="2:21" ht="15" customHeight="1">
      <c r="B256" s="919" t="s">
        <v>2601</v>
      </c>
      <c r="C256" s="920"/>
      <c r="D256" s="920"/>
      <c r="E256" s="921"/>
      <c r="F256" s="1635" t="s">
        <v>2547</v>
      </c>
      <c r="G256" s="1636"/>
      <c r="H256" s="1637"/>
      <c r="I256" s="1638">
        <v>1000000</v>
      </c>
      <c r="J256" s="1640"/>
      <c r="K256" s="1641"/>
      <c r="L256" s="1642">
        <v>38539</v>
      </c>
      <c r="M256" s="1643"/>
      <c r="N256" s="1642">
        <v>45734</v>
      </c>
      <c r="O256" s="1643"/>
      <c r="P256" s="922"/>
      <c r="Q256" s="924"/>
      <c r="R256" s="1644">
        <v>521460</v>
      </c>
      <c r="S256" s="1645"/>
      <c r="T256" s="1638">
        <v>228633</v>
      </c>
      <c r="U256" s="1639"/>
    </row>
    <row r="257" spans="2:21" ht="15" customHeight="1">
      <c r="B257" s="919" t="s">
        <v>2601</v>
      </c>
      <c r="C257" s="920"/>
      <c r="D257" s="920"/>
      <c r="E257" s="921"/>
      <c r="F257" s="1635" t="s">
        <v>2547</v>
      </c>
      <c r="G257" s="1636"/>
      <c r="H257" s="1637"/>
      <c r="I257" s="1638">
        <v>1000000</v>
      </c>
      <c r="J257" s="1640"/>
      <c r="K257" s="1641"/>
      <c r="L257" s="1642">
        <v>38558</v>
      </c>
      <c r="M257" s="1643"/>
      <c r="N257" s="1642">
        <v>45734</v>
      </c>
      <c r="O257" s="1643"/>
      <c r="P257" s="922"/>
      <c r="Q257" s="924"/>
      <c r="R257" s="1644">
        <v>521460</v>
      </c>
      <c r="S257" s="1645"/>
      <c r="T257" s="1638">
        <v>202935</v>
      </c>
      <c r="U257" s="1639"/>
    </row>
    <row r="258" spans="2:21" ht="15" customHeight="1">
      <c r="B258" s="919" t="s">
        <v>2602</v>
      </c>
      <c r="C258" s="920"/>
      <c r="D258" s="920"/>
      <c r="E258" s="921"/>
      <c r="F258" s="1635" t="s">
        <v>2547</v>
      </c>
      <c r="G258" s="1636"/>
      <c r="H258" s="1637"/>
      <c r="I258" s="1638">
        <v>2000000</v>
      </c>
      <c r="J258" s="1640"/>
      <c r="K258" s="1641"/>
      <c r="L258" s="1642">
        <v>38261</v>
      </c>
      <c r="M258" s="1643"/>
      <c r="N258" s="1642">
        <v>41723</v>
      </c>
      <c r="O258" s="1643"/>
      <c r="P258" s="922"/>
      <c r="Q258" s="924"/>
      <c r="R258" s="1644">
        <v>1042920</v>
      </c>
      <c r="S258" s="1645"/>
      <c r="T258" s="1638">
        <v>538981</v>
      </c>
      <c r="U258" s="1639"/>
    </row>
    <row r="259" spans="2:21" ht="15" customHeight="1">
      <c r="B259" s="919" t="s">
        <v>2602</v>
      </c>
      <c r="C259" s="920"/>
      <c r="D259" s="920"/>
      <c r="E259" s="921"/>
      <c r="F259" s="1635" t="s">
        <v>2547</v>
      </c>
      <c r="G259" s="1636"/>
      <c r="H259" s="1637"/>
      <c r="I259" s="1638">
        <v>3000000</v>
      </c>
      <c r="J259" s="1640"/>
      <c r="K259" s="1641"/>
      <c r="L259" s="1642">
        <v>38281</v>
      </c>
      <c r="M259" s="1643"/>
      <c r="N259" s="1642">
        <v>41723</v>
      </c>
      <c r="O259" s="1643"/>
      <c r="P259" s="922"/>
      <c r="Q259" s="924"/>
      <c r="R259" s="1644">
        <v>1564380</v>
      </c>
      <c r="S259" s="1645"/>
      <c r="T259" s="1638">
        <v>816589</v>
      </c>
      <c r="U259" s="1639"/>
    </row>
    <row r="260" spans="2:21" ht="15" customHeight="1">
      <c r="B260" s="919" t="s">
        <v>2602</v>
      </c>
      <c r="C260" s="920"/>
      <c r="D260" s="920"/>
      <c r="E260" s="921"/>
      <c r="F260" s="1635" t="s">
        <v>2547</v>
      </c>
      <c r="G260" s="1636"/>
      <c r="H260" s="1637"/>
      <c r="I260" s="1638">
        <v>3000000</v>
      </c>
      <c r="J260" s="1640"/>
      <c r="K260" s="1641"/>
      <c r="L260" s="1642">
        <v>38566</v>
      </c>
      <c r="M260" s="1643"/>
      <c r="N260" s="1642">
        <v>45734</v>
      </c>
      <c r="O260" s="1643"/>
      <c r="P260" s="922"/>
      <c r="Q260" s="924"/>
      <c r="R260" s="1644">
        <v>1564380</v>
      </c>
      <c r="S260" s="1645"/>
      <c r="T260" s="1638">
        <v>584880</v>
      </c>
      <c r="U260" s="1639"/>
    </row>
    <row r="261" spans="2:21" ht="15" customHeight="1">
      <c r="B261" s="919" t="s">
        <v>2601</v>
      </c>
      <c r="C261" s="920"/>
      <c r="D261" s="920"/>
      <c r="E261" s="921"/>
      <c r="F261" s="1635" t="s">
        <v>2547</v>
      </c>
      <c r="G261" s="1636"/>
      <c r="H261" s="1637"/>
      <c r="I261" s="1638">
        <v>5000000</v>
      </c>
      <c r="J261" s="1640"/>
      <c r="K261" s="1641"/>
      <c r="L261" s="1642">
        <v>38488</v>
      </c>
      <c r="M261" s="1643"/>
      <c r="N261" s="1642">
        <v>46419</v>
      </c>
      <c r="O261" s="1643"/>
      <c r="P261" s="922"/>
      <c r="Q261" s="924"/>
      <c r="R261" s="1644">
        <v>2607300</v>
      </c>
      <c r="S261" s="1645"/>
      <c r="T261" s="1638">
        <v>1197969</v>
      </c>
      <c r="U261" s="1639"/>
    </row>
    <row r="262" spans="2:21" ht="15" customHeight="1">
      <c r="B262" s="919" t="s">
        <v>2601</v>
      </c>
      <c r="C262" s="920"/>
      <c r="D262" s="920"/>
      <c r="E262" s="921"/>
      <c r="F262" s="1635" t="s">
        <v>2547</v>
      </c>
      <c r="G262" s="1636"/>
      <c r="H262" s="1637"/>
      <c r="I262" s="1638">
        <v>7000000</v>
      </c>
      <c r="J262" s="1640"/>
      <c r="K262" s="1641"/>
      <c r="L262" s="1642">
        <v>38489</v>
      </c>
      <c r="M262" s="1643"/>
      <c r="N262" s="1642">
        <v>46419</v>
      </c>
      <c r="O262" s="1643"/>
      <c r="P262" s="922"/>
      <c r="Q262" s="924"/>
      <c r="R262" s="1644">
        <v>3650220</v>
      </c>
      <c r="S262" s="1645"/>
      <c r="T262" s="1638">
        <v>1715556</v>
      </c>
      <c r="U262" s="1639"/>
    </row>
    <row r="263" spans="2:21" ht="15" customHeight="1">
      <c r="B263" s="919" t="s">
        <v>2628</v>
      </c>
      <c r="C263" s="920"/>
      <c r="D263" s="920"/>
      <c r="E263" s="921"/>
      <c r="F263" s="1635" t="s">
        <v>2547</v>
      </c>
      <c r="G263" s="1636"/>
      <c r="H263" s="1637"/>
      <c r="I263" s="1638">
        <v>3000000</v>
      </c>
      <c r="J263" s="1640"/>
      <c r="K263" s="1641"/>
      <c r="L263" s="1642">
        <v>38594</v>
      </c>
      <c r="M263" s="1643"/>
      <c r="N263" s="1642">
        <v>42705</v>
      </c>
      <c r="O263" s="1643"/>
      <c r="P263" s="922"/>
      <c r="Q263" s="924"/>
      <c r="R263" s="1644">
        <v>1564380</v>
      </c>
      <c r="S263" s="1645"/>
      <c r="T263" s="1638">
        <v>525660</v>
      </c>
      <c r="U263" s="1639"/>
    </row>
    <row r="264" spans="2:21" ht="15" customHeight="1">
      <c r="B264" s="919" t="s">
        <v>2628</v>
      </c>
      <c r="C264" s="920"/>
      <c r="D264" s="920"/>
      <c r="E264" s="921"/>
      <c r="F264" s="1635" t="s">
        <v>2547</v>
      </c>
      <c r="G264" s="1636"/>
      <c r="H264" s="1637"/>
      <c r="I264" s="1638">
        <v>2000000</v>
      </c>
      <c r="J264" s="1640"/>
      <c r="K264" s="1641"/>
      <c r="L264" s="1642">
        <v>38596</v>
      </c>
      <c r="M264" s="1643"/>
      <c r="N264" s="1642">
        <v>42705</v>
      </c>
      <c r="O264" s="1643"/>
      <c r="P264" s="922"/>
      <c r="Q264" s="924"/>
      <c r="R264" s="1644">
        <v>1042920</v>
      </c>
      <c r="S264" s="1645"/>
      <c r="T264" s="1638">
        <v>334813</v>
      </c>
      <c r="U264" s="1639"/>
    </row>
    <row r="265" spans="2:21" ht="15" customHeight="1">
      <c r="B265" s="919" t="s">
        <v>2601</v>
      </c>
      <c r="C265" s="920"/>
      <c r="D265" s="920"/>
      <c r="E265" s="921"/>
      <c r="F265" s="1635" t="s">
        <v>2547</v>
      </c>
      <c r="G265" s="1636"/>
      <c r="H265" s="1637"/>
      <c r="I265" s="1638">
        <v>4500000</v>
      </c>
      <c r="J265" s="1640"/>
      <c r="K265" s="1641"/>
      <c r="L265" s="1642">
        <v>38630</v>
      </c>
      <c r="M265" s="1643"/>
      <c r="N265" s="1642">
        <v>45734</v>
      </c>
      <c r="O265" s="1643"/>
      <c r="P265" s="922"/>
      <c r="Q265" s="924"/>
      <c r="R265" s="1644">
        <v>2346570</v>
      </c>
      <c r="S265" s="1645"/>
      <c r="T265" s="1638">
        <v>634339</v>
      </c>
      <c r="U265" s="1639"/>
    </row>
    <row r="266" spans="2:21" ht="15" customHeight="1">
      <c r="B266" s="919" t="s">
        <v>2601</v>
      </c>
      <c r="C266" s="920"/>
      <c r="D266" s="920"/>
      <c r="E266" s="921"/>
      <c r="F266" s="1635" t="s">
        <v>2547</v>
      </c>
      <c r="G266" s="1636"/>
      <c r="H266" s="1637"/>
      <c r="I266" s="1638">
        <v>10000000</v>
      </c>
      <c r="J266" s="1640"/>
      <c r="K266" s="1641"/>
      <c r="L266" s="1642">
        <v>38492</v>
      </c>
      <c r="M266" s="1643"/>
      <c r="N266" s="1642">
        <v>46419</v>
      </c>
      <c r="O266" s="1643"/>
      <c r="P266" s="922"/>
      <c r="Q266" s="924"/>
      <c r="R266" s="1644">
        <v>5214600</v>
      </c>
      <c r="S266" s="1645"/>
      <c r="T266" s="1638">
        <v>2446266</v>
      </c>
      <c r="U266" s="1639"/>
    </row>
    <row r="267" spans="2:21" ht="15" customHeight="1">
      <c r="B267" s="919" t="s">
        <v>2628</v>
      </c>
      <c r="C267" s="920"/>
      <c r="D267" s="920"/>
      <c r="E267" s="921"/>
      <c r="F267" s="1635" t="s">
        <v>2547</v>
      </c>
      <c r="G267" s="1636"/>
      <c r="H267" s="1637"/>
      <c r="I267" s="1638">
        <v>10000000</v>
      </c>
      <c r="J267" s="1640"/>
      <c r="K267" s="1641"/>
      <c r="L267" s="1642">
        <v>38497</v>
      </c>
      <c r="M267" s="1643"/>
      <c r="N267" s="1642">
        <v>46419</v>
      </c>
      <c r="O267" s="1643"/>
      <c r="P267" s="922"/>
      <c r="Q267" s="924"/>
      <c r="R267" s="1644">
        <v>5214600</v>
      </c>
      <c r="S267" s="1645"/>
      <c r="T267" s="1638">
        <v>2399597</v>
      </c>
      <c r="U267" s="1639"/>
    </row>
    <row r="268" spans="2:21" ht="15" customHeight="1">
      <c r="B268" s="919" t="s">
        <v>2602</v>
      </c>
      <c r="C268" s="920"/>
      <c r="D268" s="920"/>
      <c r="E268" s="921"/>
      <c r="F268" s="1635" t="s">
        <v>2547</v>
      </c>
      <c r="G268" s="1636"/>
      <c r="H268" s="1637"/>
      <c r="I268" s="1638">
        <v>1067000</v>
      </c>
      <c r="J268" s="1640"/>
      <c r="K268" s="1641"/>
      <c r="L268" s="1642">
        <v>38636</v>
      </c>
      <c r="M268" s="1643"/>
      <c r="N268" s="1642">
        <v>46419</v>
      </c>
      <c r="O268" s="1643"/>
      <c r="P268" s="922"/>
      <c r="Q268" s="924"/>
      <c r="R268" s="1644">
        <v>556398</v>
      </c>
      <c r="S268" s="1645"/>
      <c r="T268" s="1638">
        <v>163836</v>
      </c>
      <c r="U268" s="1639"/>
    </row>
    <row r="269" spans="2:21" ht="15" customHeight="1">
      <c r="B269" s="919" t="s">
        <v>2628</v>
      </c>
      <c r="C269" s="920"/>
      <c r="D269" s="920"/>
      <c r="E269" s="921"/>
      <c r="F269" s="1635" t="s">
        <v>2547</v>
      </c>
      <c r="G269" s="1636"/>
      <c r="H269" s="1637"/>
      <c r="I269" s="1638">
        <v>2500000</v>
      </c>
      <c r="J269" s="1640"/>
      <c r="K269" s="1641"/>
      <c r="L269" s="1642">
        <v>38636</v>
      </c>
      <c r="M269" s="1643"/>
      <c r="N269" s="1642">
        <v>46419</v>
      </c>
      <c r="O269" s="1643"/>
      <c r="P269" s="922"/>
      <c r="Q269" s="924"/>
      <c r="R269" s="1644">
        <v>1303650</v>
      </c>
      <c r="S269" s="1645"/>
      <c r="T269" s="1638">
        <v>378654</v>
      </c>
      <c r="U269" s="1639"/>
    </row>
    <row r="270" spans="2:21" ht="15" customHeight="1">
      <c r="B270" s="919" t="s">
        <v>2601</v>
      </c>
      <c r="C270" s="920"/>
      <c r="D270" s="920"/>
      <c r="E270" s="921"/>
      <c r="F270" s="1635" t="s">
        <v>2547</v>
      </c>
      <c r="G270" s="1636"/>
      <c r="H270" s="1637"/>
      <c r="I270" s="1638">
        <v>2500000</v>
      </c>
      <c r="J270" s="1640"/>
      <c r="K270" s="1641"/>
      <c r="L270" s="1642">
        <v>38636</v>
      </c>
      <c r="M270" s="1643"/>
      <c r="N270" s="1642">
        <v>46419</v>
      </c>
      <c r="O270" s="1643"/>
      <c r="P270" s="922"/>
      <c r="Q270" s="924"/>
      <c r="R270" s="1644">
        <v>1303650</v>
      </c>
      <c r="S270" s="1645"/>
      <c r="T270" s="1638">
        <v>380800</v>
      </c>
      <c r="U270" s="1639"/>
    </row>
    <row r="271" spans="2:21" ht="15" customHeight="1">
      <c r="B271" s="919" t="s">
        <v>2628</v>
      </c>
      <c r="C271" s="920"/>
      <c r="D271" s="920"/>
      <c r="E271" s="921"/>
      <c r="F271" s="1635" t="s">
        <v>2547</v>
      </c>
      <c r="G271" s="1636"/>
      <c r="H271" s="1637"/>
      <c r="I271" s="1638">
        <v>2000000</v>
      </c>
      <c r="J271" s="1640"/>
      <c r="K271" s="1641"/>
      <c r="L271" s="1642">
        <v>38665</v>
      </c>
      <c r="M271" s="1643"/>
      <c r="N271" s="1642">
        <v>42114</v>
      </c>
      <c r="O271" s="1643"/>
      <c r="P271" s="922"/>
      <c r="Q271" s="924"/>
      <c r="R271" s="1644">
        <v>1042920</v>
      </c>
      <c r="S271" s="1645"/>
      <c r="T271" s="1638">
        <v>273815</v>
      </c>
      <c r="U271" s="1639"/>
    </row>
    <row r="272" spans="2:21" ht="15" customHeight="1">
      <c r="B272" s="919" t="s">
        <v>2601</v>
      </c>
      <c r="C272" s="920"/>
      <c r="D272" s="920"/>
      <c r="E272" s="921"/>
      <c r="F272" s="1635" t="s">
        <v>2547</v>
      </c>
      <c r="G272" s="1636"/>
      <c r="H272" s="1637"/>
      <c r="I272" s="1638">
        <v>3790000</v>
      </c>
      <c r="J272" s="1640"/>
      <c r="K272" s="1641"/>
      <c r="L272" s="1642">
        <v>38666</v>
      </c>
      <c r="M272" s="1643"/>
      <c r="N272" s="1642">
        <v>42705</v>
      </c>
      <c r="O272" s="1643"/>
      <c r="P272" s="922"/>
      <c r="Q272" s="924"/>
      <c r="R272" s="1644">
        <v>1976333</v>
      </c>
      <c r="S272" s="1645"/>
      <c r="T272" s="1638">
        <v>538968</v>
      </c>
      <c r="U272" s="1639"/>
    </row>
    <row r="273" spans="2:21" ht="15" customHeight="1">
      <c r="B273" s="919" t="s">
        <v>2601</v>
      </c>
      <c r="C273" s="920"/>
      <c r="D273" s="920"/>
      <c r="E273" s="921"/>
      <c r="F273" s="1635" t="s">
        <v>2547</v>
      </c>
      <c r="G273" s="1636"/>
      <c r="H273" s="1637"/>
      <c r="I273" s="1638">
        <v>3000000</v>
      </c>
      <c r="J273" s="1640"/>
      <c r="K273" s="1641"/>
      <c r="L273" s="1642">
        <v>38649</v>
      </c>
      <c r="M273" s="1643"/>
      <c r="N273" s="1642">
        <v>42114</v>
      </c>
      <c r="O273" s="1643"/>
      <c r="P273" s="922"/>
      <c r="Q273" s="924"/>
      <c r="R273" s="1644">
        <v>1564380</v>
      </c>
      <c r="S273" s="1645"/>
      <c r="T273" s="1638">
        <v>472763</v>
      </c>
      <c r="U273" s="1639"/>
    </row>
    <row r="274" spans="2:21" ht="15" customHeight="1">
      <c r="B274" s="919" t="s">
        <v>2601</v>
      </c>
      <c r="C274" s="920"/>
      <c r="D274" s="920"/>
      <c r="E274" s="921"/>
      <c r="F274" s="1635" t="s">
        <v>2547</v>
      </c>
      <c r="G274" s="1636"/>
      <c r="H274" s="1637"/>
      <c r="I274" s="1638">
        <v>4000000</v>
      </c>
      <c r="J274" s="1640"/>
      <c r="K274" s="1641"/>
      <c r="L274" s="1642">
        <v>38771</v>
      </c>
      <c r="M274" s="1643"/>
      <c r="N274" s="1642">
        <v>42275</v>
      </c>
      <c r="O274" s="1643"/>
      <c r="P274" s="922"/>
      <c r="Q274" s="924"/>
      <c r="R274" s="1644">
        <v>2085840</v>
      </c>
      <c r="S274" s="1645"/>
      <c r="T274" s="1638">
        <v>494076</v>
      </c>
      <c r="U274" s="1639"/>
    </row>
    <row r="275" spans="2:21" ht="15" customHeight="1">
      <c r="B275" s="919" t="s">
        <v>2602</v>
      </c>
      <c r="C275" s="920"/>
      <c r="D275" s="920"/>
      <c r="E275" s="921"/>
      <c r="F275" s="1635" t="s">
        <v>2547</v>
      </c>
      <c r="G275" s="1636"/>
      <c r="H275" s="1637"/>
      <c r="I275" s="1638">
        <v>1000000</v>
      </c>
      <c r="J275" s="1640"/>
      <c r="K275" s="1641"/>
      <c r="L275" s="1642">
        <v>38772</v>
      </c>
      <c r="M275" s="1643"/>
      <c r="N275" s="1642">
        <v>42275</v>
      </c>
      <c r="O275" s="1643"/>
      <c r="P275" s="922"/>
      <c r="Q275" s="924"/>
      <c r="R275" s="1644">
        <v>521460</v>
      </c>
      <c r="S275" s="1645"/>
      <c r="T275" s="1638">
        <v>122974</v>
      </c>
      <c r="U275" s="1639"/>
    </row>
    <row r="276" spans="2:21" ht="15" customHeight="1">
      <c r="B276" s="919" t="s">
        <v>2628</v>
      </c>
      <c r="C276" s="920"/>
      <c r="D276" s="920"/>
      <c r="E276" s="921"/>
      <c r="F276" s="1635" t="s">
        <v>2547</v>
      </c>
      <c r="G276" s="1636"/>
      <c r="H276" s="1637"/>
      <c r="I276" s="1638">
        <v>5000000</v>
      </c>
      <c r="J276" s="1640"/>
      <c r="K276" s="1641"/>
      <c r="L276" s="1642">
        <v>38832</v>
      </c>
      <c r="M276" s="1643"/>
      <c r="N276" s="1642">
        <v>41723</v>
      </c>
      <c r="O276" s="1643"/>
      <c r="P276" s="922"/>
      <c r="Q276" s="924"/>
      <c r="R276" s="1644">
        <v>2607300</v>
      </c>
      <c r="S276" s="1645"/>
      <c r="T276" s="1638">
        <v>595224</v>
      </c>
      <c r="U276" s="1639"/>
    </row>
    <row r="277" spans="2:21" ht="15" customHeight="1">
      <c r="B277" s="919" t="s">
        <v>309</v>
      </c>
      <c r="C277" s="920"/>
      <c r="D277" s="920"/>
      <c r="E277" s="921"/>
      <c r="F277" s="1635" t="s">
        <v>2548</v>
      </c>
      <c r="G277" s="1636"/>
      <c r="H277" s="1637"/>
      <c r="I277" s="1638">
        <v>2000000</v>
      </c>
      <c r="J277" s="1640"/>
      <c r="K277" s="1641"/>
      <c r="L277" s="1642">
        <v>38854</v>
      </c>
      <c r="M277" s="1643"/>
      <c r="N277" s="1642">
        <v>41723</v>
      </c>
      <c r="O277" s="1643"/>
      <c r="P277" s="922"/>
      <c r="Q277" s="924"/>
      <c r="R277" s="1644">
        <v>1042920</v>
      </c>
      <c r="S277" s="1645"/>
      <c r="T277" s="1638">
        <v>251841</v>
      </c>
      <c r="U277" s="1639"/>
    </row>
    <row r="278" spans="2:21" ht="15" customHeight="1">
      <c r="B278" s="919" t="s">
        <v>2628</v>
      </c>
      <c r="C278" s="920"/>
      <c r="D278" s="920"/>
      <c r="E278" s="921"/>
      <c r="F278" s="1635" t="s">
        <v>2547</v>
      </c>
      <c r="G278" s="1636"/>
      <c r="H278" s="1637"/>
      <c r="I278" s="1638">
        <v>1000000</v>
      </c>
      <c r="J278" s="1640"/>
      <c r="K278" s="1641"/>
      <c r="L278" s="1642">
        <v>38855</v>
      </c>
      <c r="M278" s="1643"/>
      <c r="N278" s="1642">
        <v>41723</v>
      </c>
      <c r="O278" s="1643"/>
      <c r="P278" s="922"/>
      <c r="Q278" s="924"/>
      <c r="R278" s="1644">
        <v>521460</v>
      </c>
      <c r="S278" s="1645"/>
      <c r="T278" s="1638">
        <v>122841</v>
      </c>
      <c r="U278" s="1639"/>
    </row>
    <row r="279" spans="2:21" ht="15" customHeight="1">
      <c r="B279" s="919" t="s">
        <v>2628</v>
      </c>
      <c r="C279" s="920"/>
      <c r="D279" s="920"/>
      <c r="E279" s="921"/>
      <c r="F279" s="1635" t="s">
        <v>2547</v>
      </c>
      <c r="G279" s="1636"/>
      <c r="H279" s="1637"/>
      <c r="I279" s="1638">
        <v>1000000</v>
      </c>
      <c r="J279" s="1640"/>
      <c r="K279" s="1641"/>
      <c r="L279" s="1642">
        <v>38861</v>
      </c>
      <c r="M279" s="1643"/>
      <c r="N279" s="1642">
        <v>41723</v>
      </c>
      <c r="O279" s="1643"/>
      <c r="P279" s="922"/>
      <c r="Q279" s="924"/>
      <c r="R279" s="1644">
        <v>521460</v>
      </c>
      <c r="S279" s="1645"/>
      <c r="T279" s="1638">
        <v>136122</v>
      </c>
      <c r="U279" s="1639"/>
    </row>
    <row r="280" spans="2:21" ht="15" customHeight="1">
      <c r="B280" s="919" t="s">
        <v>310</v>
      </c>
      <c r="C280" s="920"/>
      <c r="D280" s="920"/>
      <c r="E280" s="921"/>
      <c r="F280" s="1635" t="s">
        <v>2547</v>
      </c>
      <c r="G280" s="1636"/>
      <c r="H280" s="1637"/>
      <c r="I280" s="1638">
        <v>1000000</v>
      </c>
      <c r="J280" s="1640"/>
      <c r="K280" s="1641"/>
      <c r="L280" s="1642">
        <v>38863</v>
      </c>
      <c r="M280" s="1643"/>
      <c r="N280" s="1642">
        <v>41723</v>
      </c>
      <c r="O280" s="1643"/>
      <c r="P280" s="922"/>
      <c r="Q280" s="924"/>
      <c r="R280" s="1644">
        <v>521460</v>
      </c>
      <c r="S280" s="1645"/>
      <c r="T280" s="1638">
        <v>131694</v>
      </c>
      <c r="U280" s="1639"/>
    </row>
    <row r="281" spans="2:21" ht="15" customHeight="1">
      <c r="B281" s="919" t="s">
        <v>2628</v>
      </c>
      <c r="C281" s="920"/>
      <c r="D281" s="920"/>
      <c r="E281" s="921"/>
      <c r="F281" s="1635" t="s">
        <v>2547</v>
      </c>
      <c r="G281" s="1636"/>
      <c r="H281" s="1637"/>
      <c r="I281" s="1638">
        <v>1000000</v>
      </c>
      <c r="J281" s="1640"/>
      <c r="K281" s="1641"/>
      <c r="L281" s="1642">
        <v>38876</v>
      </c>
      <c r="M281" s="1643"/>
      <c r="N281" s="1642">
        <v>41723</v>
      </c>
      <c r="O281" s="1643"/>
      <c r="P281" s="922"/>
      <c r="Q281" s="924"/>
      <c r="R281" s="1644">
        <v>521460</v>
      </c>
      <c r="S281" s="1645"/>
      <c r="T281" s="1638">
        <v>147684</v>
      </c>
      <c r="U281" s="1639"/>
    </row>
    <row r="282" spans="2:21" ht="15" customHeight="1">
      <c r="B282" s="919" t="s">
        <v>2628</v>
      </c>
      <c r="C282" s="920"/>
      <c r="D282" s="920"/>
      <c r="E282" s="921"/>
      <c r="F282" s="1635" t="s">
        <v>2547</v>
      </c>
      <c r="G282" s="1636"/>
      <c r="H282" s="1637"/>
      <c r="I282" s="1638">
        <v>4200000</v>
      </c>
      <c r="J282" s="1640"/>
      <c r="K282" s="1641"/>
      <c r="L282" s="1642">
        <v>38891</v>
      </c>
      <c r="M282" s="1643"/>
      <c r="N282" s="1642">
        <v>43913</v>
      </c>
      <c r="O282" s="1643"/>
      <c r="P282" s="922"/>
      <c r="Q282" s="924"/>
      <c r="R282" s="1644">
        <v>2835840</v>
      </c>
      <c r="S282" s="1645"/>
      <c r="T282" s="1638">
        <v>700945</v>
      </c>
      <c r="U282" s="1639"/>
    </row>
    <row r="283" spans="2:21" ht="15" customHeight="1">
      <c r="B283" s="919" t="s">
        <v>309</v>
      </c>
      <c r="C283" s="920"/>
      <c r="D283" s="920"/>
      <c r="E283" s="921"/>
      <c r="F283" s="1635" t="s">
        <v>2548</v>
      </c>
      <c r="G283" s="1636"/>
      <c r="H283" s="1637"/>
      <c r="I283" s="1638">
        <v>4000000</v>
      </c>
      <c r="J283" s="1640"/>
      <c r="K283" s="1641"/>
      <c r="L283" s="1642">
        <v>38936</v>
      </c>
      <c r="M283" s="1643"/>
      <c r="N283" s="1642">
        <v>42705</v>
      </c>
      <c r="O283" s="1643"/>
      <c r="P283" s="922"/>
      <c r="Q283" s="924"/>
      <c r="R283" s="1644">
        <v>2085840</v>
      </c>
      <c r="S283" s="1645"/>
      <c r="T283" s="1638">
        <v>582717</v>
      </c>
      <c r="U283" s="1639"/>
    </row>
    <row r="284" spans="2:21" ht="15" customHeight="1">
      <c r="B284" s="919" t="s">
        <v>2603</v>
      </c>
      <c r="C284" s="920"/>
      <c r="D284" s="920"/>
      <c r="E284" s="921"/>
      <c r="F284" s="1635" t="s">
        <v>2547</v>
      </c>
      <c r="G284" s="1636"/>
      <c r="H284" s="1637"/>
      <c r="I284" s="1638">
        <v>2000000</v>
      </c>
      <c r="J284" s="1640"/>
      <c r="K284" s="1641"/>
      <c r="L284" s="1642">
        <v>39037</v>
      </c>
      <c r="M284" s="1643"/>
      <c r="N284" s="1642">
        <v>42114</v>
      </c>
      <c r="O284" s="1643"/>
      <c r="P284" s="922"/>
      <c r="Q284" s="924"/>
      <c r="R284" s="1644">
        <v>1042920</v>
      </c>
      <c r="S284" s="1645"/>
      <c r="T284" s="1638">
        <v>232760</v>
      </c>
      <c r="U284" s="1639"/>
    </row>
    <row r="285" spans="2:21" ht="15" customHeight="1">
      <c r="B285" s="919" t="s">
        <v>2603</v>
      </c>
      <c r="C285" s="920"/>
      <c r="D285" s="920"/>
      <c r="E285" s="921"/>
      <c r="F285" s="1635" t="s">
        <v>2547</v>
      </c>
      <c r="G285" s="1636"/>
      <c r="H285" s="1637"/>
      <c r="I285" s="1638">
        <v>2000000</v>
      </c>
      <c r="J285" s="1640"/>
      <c r="K285" s="1641"/>
      <c r="L285" s="1642">
        <v>39038</v>
      </c>
      <c r="M285" s="1643"/>
      <c r="N285" s="1642">
        <v>42114</v>
      </c>
      <c r="O285" s="1643"/>
      <c r="P285" s="922"/>
      <c r="Q285" s="924"/>
      <c r="R285" s="1644">
        <v>1042920</v>
      </c>
      <c r="S285" s="1645"/>
      <c r="T285" s="1638">
        <v>239795</v>
      </c>
      <c r="U285" s="1639"/>
    </row>
    <row r="286" spans="2:21" ht="15" customHeight="1">
      <c r="B286" s="919" t="s">
        <v>311</v>
      </c>
      <c r="C286" s="920"/>
      <c r="D286" s="920"/>
      <c r="E286" s="921"/>
      <c r="F286" s="1635" t="s">
        <v>2548</v>
      </c>
      <c r="G286" s="1636"/>
      <c r="H286" s="1637"/>
      <c r="I286" s="1638">
        <v>5000000</v>
      </c>
      <c r="J286" s="1640"/>
      <c r="K286" s="1641"/>
      <c r="L286" s="1642">
        <v>39038</v>
      </c>
      <c r="M286" s="1643"/>
      <c r="N286" s="1642">
        <v>42114</v>
      </c>
      <c r="O286" s="1643"/>
      <c r="P286" s="922"/>
      <c r="Q286" s="924"/>
      <c r="R286" s="1644">
        <v>2607300</v>
      </c>
      <c r="S286" s="1645"/>
      <c r="T286" s="1638">
        <v>601350</v>
      </c>
      <c r="U286" s="1639"/>
    </row>
    <row r="287" spans="2:21" ht="15" customHeight="1">
      <c r="B287" s="919" t="s">
        <v>2603</v>
      </c>
      <c r="C287" s="920"/>
      <c r="D287" s="920"/>
      <c r="E287" s="921"/>
      <c r="F287" s="1635" t="s">
        <v>2547</v>
      </c>
      <c r="G287" s="1636"/>
      <c r="H287" s="1637"/>
      <c r="I287" s="1638">
        <v>3000000</v>
      </c>
      <c r="J287" s="1640"/>
      <c r="K287" s="1641"/>
      <c r="L287" s="1642">
        <v>39041</v>
      </c>
      <c r="M287" s="1643"/>
      <c r="N287" s="1642">
        <v>42758</v>
      </c>
      <c r="O287" s="1643"/>
      <c r="P287" s="922"/>
      <c r="Q287" s="924"/>
      <c r="R287" s="1644">
        <v>1564380</v>
      </c>
      <c r="S287" s="1645"/>
      <c r="T287" s="1638">
        <v>360320</v>
      </c>
      <c r="U287" s="1639"/>
    </row>
    <row r="288" spans="2:21" ht="15" customHeight="1">
      <c r="B288" s="919" t="s">
        <v>2628</v>
      </c>
      <c r="C288" s="920"/>
      <c r="D288" s="920"/>
      <c r="E288" s="921"/>
      <c r="F288" s="1635" t="s">
        <v>2547</v>
      </c>
      <c r="G288" s="1636"/>
      <c r="H288" s="1637"/>
      <c r="I288" s="1638">
        <v>1000000</v>
      </c>
      <c r="J288" s="1640"/>
      <c r="K288" s="1641"/>
      <c r="L288" s="1642">
        <v>39055</v>
      </c>
      <c r="M288" s="1643"/>
      <c r="N288" s="1642">
        <v>42939</v>
      </c>
      <c r="O288" s="1643"/>
      <c r="P288" s="922"/>
      <c r="Q288" s="924"/>
      <c r="R288" s="1644">
        <v>521460</v>
      </c>
      <c r="S288" s="1645"/>
      <c r="T288" s="1638">
        <v>118102</v>
      </c>
      <c r="U288" s="1639"/>
    </row>
    <row r="289" spans="2:21" ht="15" customHeight="1">
      <c r="B289" s="919" t="s">
        <v>2628</v>
      </c>
      <c r="C289" s="920"/>
      <c r="D289" s="920"/>
      <c r="E289" s="921"/>
      <c r="F289" s="1635" t="s">
        <v>2547</v>
      </c>
      <c r="G289" s="1636"/>
      <c r="H289" s="1637"/>
      <c r="I289" s="1638">
        <v>2000000</v>
      </c>
      <c r="J289" s="1640"/>
      <c r="K289" s="1641"/>
      <c r="L289" s="1642">
        <v>39245</v>
      </c>
      <c r="M289" s="1643"/>
      <c r="N289" s="1642">
        <v>46419</v>
      </c>
      <c r="O289" s="1643"/>
      <c r="P289" s="922"/>
      <c r="Q289" s="924"/>
      <c r="R289" s="1644">
        <v>1042920</v>
      </c>
      <c r="S289" s="1645"/>
      <c r="T289" s="1638">
        <v>244224</v>
      </c>
      <c r="U289" s="1639"/>
    </row>
    <row r="290" spans="2:21" ht="15" customHeight="1">
      <c r="B290" s="919" t="s">
        <v>2602</v>
      </c>
      <c r="C290" s="920"/>
      <c r="D290" s="920"/>
      <c r="E290" s="921"/>
      <c r="F290" s="1635" t="s">
        <v>2547</v>
      </c>
      <c r="G290" s="1636"/>
      <c r="H290" s="1637"/>
      <c r="I290" s="1638">
        <v>3485000</v>
      </c>
      <c r="J290" s="1640"/>
      <c r="K290" s="1641"/>
      <c r="L290" s="1642">
        <v>39255</v>
      </c>
      <c r="M290" s="1643"/>
      <c r="N290" s="1642">
        <v>46419</v>
      </c>
      <c r="O290" s="1643"/>
      <c r="P290" s="922"/>
      <c r="Q290" s="924"/>
      <c r="R290" s="1644">
        <v>1817288</v>
      </c>
      <c r="S290" s="1645"/>
      <c r="T290" s="1638">
        <v>422923</v>
      </c>
      <c r="U290" s="1639"/>
    </row>
    <row r="291" spans="2:21" ht="15" customHeight="1">
      <c r="B291" s="919" t="s">
        <v>309</v>
      </c>
      <c r="C291" s="920"/>
      <c r="D291" s="920"/>
      <c r="E291" s="921"/>
      <c r="F291" s="1635" t="s">
        <v>2548</v>
      </c>
      <c r="G291" s="1636"/>
      <c r="H291" s="1637"/>
      <c r="I291" s="1638">
        <v>3000000</v>
      </c>
      <c r="J291" s="1640"/>
      <c r="K291" s="1641"/>
      <c r="L291" s="1642">
        <v>39290</v>
      </c>
      <c r="M291" s="1643"/>
      <c r="N291" s="1642">
        <v>42895</v>
      </c>
      <c r="O291" s="1643"/>
      <c r="P291" s="922"/>
      <c r="Q291" s="924"/>
      <c r="R291" s="1644">
        <v>1564380</v>
      </c>
      <c r="S291" s="1645"/>
      <c r="T291" s="1638">
        <v>305226</v>
      </c>
      <c r="U291" s="1639"/>
    </row>
    <row r="292" spans="2:21" ht="15" customHeight="1">
      <c r="B292" s="919" t="s">
        <v>2602</v>
      </c>
      <c r="C292" s="920"/>
      <c r="D292" s="920"/>
      <c r="E292" s="921"/>
      <c r="F292" s="1635" t="s">
        <v>2547</v>
      </c>
      <c r="G292" s="1636"/>
      <c r="H292" s="1637"/>
      <c r="I292" s="1638">
        <v>4015000</v>
      </c>
      <c r="J292" s="1640"/>
      <c r="K292" s="1641"/>
      <c r="L292" s="1642">
        <v>39293</v>
      </c>
      <c r="M292" s="1643"/>
      <c r="N292" s="1642">
        <v>46419</v>
      </c>
      <c r="O292" s="1643"/>
      <c r="P292" s="922"/>
      <c r="Q292" s="924"/>
      <c r="R292" s="1644">
        <v>2093662</v>
      </c>
      <c r="S292" s="1645"/>
      <c r="T292" s="1638">
        <v>415347</v>
      </c>
      <c r="U292" s="1639"/>
    </row>
    <row r="293" spans="2:21" ht="15" customHeight="1">
      <c r="B293" s="919" t="s">
        <v>309</v>
      </c>
      <c r="C293" s="920"/>
      <c r="D293" s="920"/>
      <c r="E293" s="921"/>
      <c r="F293" s="1635" t="s">
        <v>2548</v>
      </c>
      <c r="G293" s="1636"/>
      <c r="H293" s="1637"/>
      <c r="I293" s="1638">
        <v>5000000</v>
      </c>
      <c r="J293" s="1640"/>
      <c r="K293" s="1641"/>
      <c r="L293" s="1642">
        <v>39301</v>
      </c>
      <c r="M293" s="1643"/>
      <c r="N293" s="1642">
        <v>43444</v>
      </c>
      <c r="O293" s="1643"/>
      <c r="P293" s="922"/>
      <c r="Q293" s="924"/>
      <c r="R293" s="1644">
        <v>2607300</v>
      </c>
      <c r="S293" s="1645"/>
      <c r="T293" s="1638">
        <v>516044</v>
      </c>
      <c r="U293" s="1639"/>
    </row>
    <row r="294" spans="2:21" ht="15" customHeight="1">
      <c r="B294" s="919" t="s">
        <v>311</v>
      </c>
      <c r="C294" s="920"/>
      <c r="D294" s="920"/>
      <c r="E294" s="921"/>
      <c r="F294" s="1635" t="s">
        <v>2548</v>
      </c>
      <c r="G294" s="1636"/>
      <c r="H294" s="1637"/>
      <c r="I294" s="1638">
        <v>10000000</v>
      </c>
      <c r="J294" s="1640"/>
      <c r="K294" s="1641"/>
      <c r="L294" s="1642">
        <v>39317</v>
      </c>
      <c r="M294" s="1643"/>
      <c r="N294" s="1642">
        <v>42975</v>
      </c>
      <c r="O294" s="1643"/>
      <c r="P294" s="922"/>
      <c r="Q294" s="924"/>
      <c r="R294" s="1644">
        <v>5214600</v>
      </c>
      <c r="S294" s="1645"/>
      <c r="T294" s="1638">
        <v>954370</v>
      </c>
      <c r="U294" s="1639"/>
    </row>
    <row r="295" spans="2:21" ht="15" customHeight="1">
      <c r="B295" s="919" t="s">
        <v>251</v>
      </c>
      <c r="C295" s="920"/>
      <c r="D295" s="920"/>
      <c r="E295" s="921"/>
      <c r="F295" s="1635" t="s">
        <v>2549</v>
      </c>
      <c r="G295" s="1636"/>
      <c r="H295" s="1637"/>
      <c r="I295" s="1638">
        <v>10000000</v>
      </c>
      <c r="J295" s="1640"/>
      <c r="K295" s="1641"/>
      <c r="L295" s="1642">
        <v>39322</v>
      </c>
      <c r="M295" s="1643"/>
      <c r="N295" s="1642">
        <v>44606</v>
      </c>
      <c r="O295" s="1643"/>
      <c r="P295" s="922"/>
      <c r="Q295" s="924"/>
      <c r="R295" s="1644">
        <v>5214600</v>
      </c>
      <c r="S295" s="1645"/>
      <c r="T295" s="1638">
        <v>969233</v>
      </c>
      <c r="U295" s="1639"/>
    </row>
    <row r="296" spans="2:21" ht="15" customHeight="1">
      <c r="B296" s="919" t="s">
        <v>2628</v>
      </c>
      <c r="C296" s="920"/>
      <c r="D296" s="920"/>
      <c r="E296" s="921"/>
      <c r="F296" s="1635" t="s">
        <v>2547</v>
      </c>
      <c r="G296" s="1636"/>
      <c r="H296" s="1637"/>
      <c r="I296" s="1638">
        <v>2000000</v>
      </c>
      <c r="J296" s="1640"/>
      <c r="K296" s="1641"/>
      <c r="L296" s="1642">
        <v>39329</v>
      </c>
      <c r="M296" s="1643"/>
      <c r="N296" s="1642">
        <v>41723</v>
      </c>
      <c r="O296" s="1643"/>
      <c r="P296" s="922"/>
      <c r="Q296" s="924"/>
      <c r="R296" s="1644">
        <v>1042920</v>
      </c>
      <c r="S296" s="1645"/>
      <c r="T296" s="1638">
        <v>187352</v>
      </c>
      <c r="U296" s="1639"/>
    </row>
    <row r="297" spans="2:21" ht="15" customHeight="1">
      <c r="B297" s="919" t="s">
        <v>2602</v>
      </c>
      <c r="C297" s="920"/>
      <c r="D297" s="920"/>
      <c r="E297" s="921"/>
      <c r="F297" s="1635" t="s">
        <v>2547</v>
      </c>
      <c r="G297" s="1636"/>
      <c r="H297" s="1637"/>
      <c r="I297" s="1638">
        <v>10000000</v>
      </c>
      <c r="J297" s="1640"/>
      <c r="K297" s="1641"/>
      <c r="L297" s="1642">
        <v>39374</v>
      </c>
      <c r="M297" s="1643"/>
      <c r="N297" s="1642">
        <v>42895</v>
      </c>
      <c r="O297" s="1643"/>
      <c r="P297" s="922"/>
      <c r="Q297" s="924"/>
      <c r="R297" s="1644">
        <v>5214600</v>
      </c>
      <c r="S297" s="1645"/>
      <c r="T297" s="1638">
        <v>607995</v>
      </c>
      <c r="U297" s="1639"/>
    </row>
    <row r="298" spans="2:21" ht="15" customHeight="1">
      <c r="B298" s="919" t="s">
        <v>2603</v>
      </c>
      <c r="C298" s="920"/>
      <c r="D298" s="920"/>
      <c r="E298" s="921"/>
      <c r="F298" s="1635" t="s">
        <v>2547</v>
      </c>
      <c r="G298" s="1636"/>
      <c r="H298" s="1637"/>
      <c r="I298" s="1638">
        <v>12500000</v>
      </c>
      <c r="J298" s="1640"/>
      <c r="K298" s="1641"/>
      <c r="L298" s="1642">
        <v>39483</v>
      </c>
      <c r="M298" s="1643"/>
      <c r="N298" s="1642">
        <v>42895</v>
      </c>
      <c r="O298" s="1643"/>
      <c r="P298" s="922"/>
      <c r="Q298" s="924"/>
      <c r="R298" s="1644">
        <v>6518250</v>
      </c>
      <c r="S298" s="1645"/>
      <c r="T298" s="1638">
        <v>126678</v>
      </c>
      <c r="U298" s="1639"/>
    </row>
    <row r="299" spans="2:21" ht="15" customHeight="1">
      <c r="B299" s="919" t="s">
        <v>2602</v>
      </c>
      <c r="C299" s="920"/>
      <c r="D299" s="920"/>
      <c r="E299" s="921"/>
      <c r="F299" s="1635" t="s">
        <v>2547</v>
      </c>
      <c r="G299" s="1636"/>
      <c r="H299" s="1637"/>
      <c r="I299" s="1638">
        <v>1000000</v>
      </c>
      <c r="J299" s="1640"/>
      <c r="K299" s="1641"/>
      <c r="L299" s="1642">
        <v>39736</v>
      </c>
      <c r="M299" s="1643"/>
      <c r="N299" s="1642">
        <v>42836</v>
      </c>
      <c r="O299" s="1643"/>
      <c r="P299" s="922"/>
      <c r="Q299" s="924"/>
      <c r="R299" s="1644">
        <v>675200</v>
      </c>
      <c r="S299" s="1645"/>
      <c r="T299" s="1638">
        <v>198722</v>
      </c>
      <c r="U299" s="1639"/>
    </row>
    <row r="300" spans="2:21" ht="15" customHeight="1">
      <c r="B300" s="919" t="s">
        <v>251</v>
      </c>
      <c r="C300" s="920"/>
      <c r="D300" s="920"/>
      <c r="E300" s="921"/>
      <c r="F300" s="1635" t="s">
        <v>2549</v>
      </c>
      <c r="G300" s="1636"/>
      <c r="H300" s="1637"/>
      <c r="I300" s="1638">
        <v>4000000</v>
      </c>
      <c r="J300" s="1640"/>
      <c r="K300" s="1641"/>
      <c r="L300" s="1642">
        <v>39736</v>
      </c>
      <c r="M300" s="1643"/>
      <c r="N300" s="1642">
        <v>42836</v>
      </c>
      <c r="O300" s="1643"/>
      <c r="P300" s="922"/>
      <c r="Q300" s="924"/>
      <c r="R300" s="1644">
        <v>2700800</v>
      </c>
      <c r="S300" s="1645"/>
      <c r="T300" s="1638">
        <v>816471</v>
      </c>
      <c r="U300" s="1639"/>
    </row>
    <row r="301" spans="2:21" ht="15" customHeight="1">
      <c r="B301" s="919" t="s">
        <v>251</v>
      </c>
      <c r="C301" s="920"/>
      <c r="D301" s="920"/>
      <c r="E301" s="921"/>
      <c r="F301" s="1635" t="s">
        <v>2549</v>
      </c>
      <c r="G301" s="1636"/>
      <c r="H301" s="1637"/>
      <c r="I301" s="1638">
        <v>5000000</v>
      </c>
      <c r="J301" s="1640"/>
      <c r="K301" s="1641"/>
      <c r="L301" s="1642">
        <v>39749</v>
      </c>
      <c r="M301" s="1643"/>
      <c r="N301" s="1642">
        <v>43160</v>
      </c>
      <c r="O301" s="1643"/>
      <c r="P301" s="922"/>
      <c r="Q301" s="924"/>
      <c r="R301" s="1644">
        <v>2607300</v>
      </c>
      <c r="S301" s="1645"/>
      <c r="T301" s="1638">
        <v>691566</v>
      </c>
      <c r="U301" s="1639"/>
    </row>
    <row r="302" spans="2:21" ht="15" customHeight="1">
      <c r="B302" s="919" t="s">
        <v>312</v>
      </c>
      <c r="C302" s="920"/>
      <c r="D302" s="920"/>
      <c r="E302" s="921"/>
      <c r="F302" s="1635" t="s">
        <v>2547</v>
      </c>
      <c r="G302" s="1636"/>
      <c r="H302" s="1637"/>
      <c r="I302" s="1638">
        <v>4550000</v>
      </c>
      <c r="J302" s="1640"/>
      <c r="K302" s="1641"/>
      <c r="L302" s="1642">
        <v>39792</v>
      </c>
      <c r="M302" s="1643"/>
      <c r="N302" s="1642">
        <v>43221</v>
      </c>
      <c r="O302" s="1643"/>
      <c r="P302" s="922"/>
      <c r="Q302" s="924"/>
      <c r="R302" s="1644">
        <v>3653013</v>
      </c>
      <c r="S302" s="1645"/>
      <c r="T302" s="1638">
        <v>921078</v>
      </c>
      <c r="U302" s="1639"/>
    </row>
    <row r="303" spans="2:21" ht="15" customHeight="1">
      <c r="B303" s="919" t="s">
        <v>308</v>
      </c>
      <c r="C303" s="920"/>
      <c r="D303" s="920"/>
      <c r="E303" s="921"/>
      <c r="F303" s="1635" t="s">
        <v>2549</v>
      </c>
      <c r="G303" s="1636"/>
      <c r="H303" s="1637"/>
      <c r="I303" s="1638">
        <v>2000000</v>
      </c>
      <c r="J303" s="1640"/>
      <c r="K303" s="1641"/>
      <c r="L303" s="1642">
        <v>39959</v>
      </c>
      <c r="M303" s="1643"/>
      <c r="N303" s="1642">
        <v>41464</v>
      </c>
      <c r="O303" s="1643"/>
      <c r="P303" s="922"/>
      <c r="Q303" s="924"/>
      <c r="R303" s="1644">
        <v>1042920</v>
      </c>
      <c r="S303" s="1645"/>
      <c r="T303" s="1638">
        <v>164331</v>
      </c>
      <c r="U303" s="1639"/>
    </row>
    <row r="304" spans="2:21" ht="15" customHeight="1">
      <c r="B304" s="919" t="s">
        <v>312</v>
      </c>
      <c r="C304" s="920"/>
      <c r="D304" s="920"/>
      <c r="E304" s="921"/>
      <c r="F304" s="1635" t="s">
        <v>2547</v>
      </c>
      <c r="G304" s="1636"/>
      <c r="H304" s="1637"/>
      <c r="I304" s="1638">
        <v>3016000</v>
      </c>
      <c r="J304" s="1640"/>
      <c r="K304" s="1641"/>
      <c r="L304" s="1642">
        <v>40030</v>
      </c>
      <c r="M304" s="1643"/>
      <c r="N304" s="1642">
        <v>41093</v>
      </c>
      <c r="O304" s="1643"/>
      <c r="P304" s="922"/>
      <c r="Q304" s="924"/>
      <c r="R304" s="1644">
        <v>1572723</v>
      </c>
      <c r="S304" s="1645"/>
      <c r="T304" s="1638">
        <v>72139</v>
      </c>
      <c r="U304" s="1639"/>
    </row>
    <row r="305" spans="2:21" ht="15" customHeight="1">
      <c r="B305" s="919" t="s">
        <v>251</v>
      </c>
      <c r="C305" s="920"/>
      <c r="D305" s="920"/>
      <c r="E305" s="921"/>
      <c r="F305" s="1635" t="s">
        <v>2549</v>
      </c>
      <c r="G305" s="1636"/>
      <c r="H305" s="1637"/>
      <c r="I305" s="1638">
        <v>1000000</v>
      </c>
      <c r="J305" s="1640"/>
      <c r="K305" s="1641"/>
      <c r="L305" s="1642">
        <v>40109</v>
      </c>
      <c r="M305" s="1643"/>
      <c r="N305" s="1642">
        <v>43556</v>
      </c>
      <c r="O305" s="1643"/>
      <c r="P305" s="922"/>
      <c r="Q305" s="924"/>
      <c r="R305" s="1644">
        <v>521460</v>
      </c>
      <c r="S305" s="1645"/>
      <c r="T305" s="1638">
        <v>48915</v>
      </c>
      <c r="U305" s="1639"/>
    </row>
    <row r="306" spans="2:21" ht="15" customHeight="1">
      <c r="B306" s="919" t="s">
        <v>2603</v>
      </c>
      <c r="C306" s="920"/>
      <c r="D306" s="920"/>
      <c r="E306" s="921"/>
      <c r="F306" s="1635" t="s">
        <v>2547</v>
      </c>
      <c r="G306" s="1636"/>
      <c r="H306" s="1637"/>
      <c r="I306" s="1638">
        <v>3000000</v>
      </c>
      <c r="J306" s="1640"/>
      <c r="K306" s="1641"/>
      <c r="L306" s="1642">
        <v>40113</v>
      </c>
      <c r="M306" s="1643"/>
      <c r="N306" s="1642">
        <v>43556</v>
      </c>
      <c r="O306" s="1643"/>
      <c r="P306" s="922"/>
      <c r="Q306" s="924"/>
      <c r="R306" s="1644">
        <v>1564380</v>
      </c>
      <c r="S306" s="1645"/>
      <c r="T306" s="1638">
        <v>135812</v>
      </c>
      <c r="U306" s="1639"/>
    </row>
    <row r="307" spans="2:21" ht="15" customHeight="1">
      <c r="B307" s="919" t="s">
        <v>251</v>
      </c>
      <c r="C307" s="920"/>
      <c r="D307" s="920"/>
      <c r="E307" s="921"/>
      <c r="F307" s="1635" t="s">
        <v>2549</v>
      </c>
      <c r="G307" s="1636"/>
      <c r="H307" s="1637"/>
      <c r="I307" s="1638">
        <v>1500000</v>
      </c>
      <c r="J307" s="1640"/>
      <c r="K307" s="1641"/>
      <c r="L307" s="1642">
        <v>40113</v>
      </c>
      <c r="M307" s="1643"/>
      <c r="N307" s="1642">
        <v>43556</v>
      </c>
      <c r="O307" s="1643"/>
      <c r="P307" s="922"/>
      <c r="Q307" s="924"/>
      <c r="R307" s="1644">
        <v>782190</v>
      </c>
      <c r="S307" s="1645"/>
      <c r="T307" s="1638">
        <v>67455</v>
      </c>
      <c r="U307" s="1639"/>
    </row>
    <row r="308" spans="2:21" ht="15" customHeight="1">
      <c r="B308" s="919" t="s">
        <v>251</v>
      </c>
      <c r="C308" s="920"/>
      <c r="D308" s="920"/>
      <c r="E308" s="921"/>
      <c r="F308" s="1635" t="s">
        <v>2549</v>
      </c>
      <c r="G308" s="1636"/>
      <c r="H308" s="1637"/>
      <c r="I308" s="1638">
        <v>2000000</v>
      </c>
      <c r="J308" s="1640"/>
      <c r="K308" s="1641"/>
      <c r="L308" s="1642">
        <v>40288</v>
      </c>
      <c r="M308" s="1643"/>
      <c r="N308" s="1642">
        <v>43556</v>
      </c>
      <c r="O308" s="1643"/>
      <c r="P308" s="922"/>
      <c r="Q308" s="924"/>
      <c r="R308" s="1644">
        <v>1042920</v>
      </c>
      <c r="S308" s="1645"/>
      <c r="T308" s="1638">
        <v>69320</v>
      </c>
      <c r="U308" s="1639"/>
    </row>
    <row r="309" spans="2:21" ht="15" customHeight="1">
      <c r="B309" s="919" t="s">
        <v>251</v>
      </c>
      <c r="C309" s="920"/>
      <c r="D309" s="920"/>
      <c r="E309" s="921"/>
      <c r="F309" s="1635" t="s">
        <v>2549</v>
      </c>
      <c r="G309" s="1636"/>
      <c r="H309" s="1637"/>
      <c r="I309" s="1638">
        <v>5000000</v>
      </c>
      <c r="J309" s="1640"/>
      <c r="K309" s="1641"/>
      <c r="L309" s="1642">
        <v>40291</v>
      </c>
      <c r="M309" s="1643"/>
      <c r="N309" s="1642">
        <v>46371</v>
      </c>
      <c r="O309" s="1643"/>
      <c r="P309" s="922"/>
      <c r="Q309" s="924"/>
      <c r="R309" s="1644">
        <v>2607300</v>
      </c>
      <c r="S309" s="1645"/>
      <c r="T309" s="1638">
        <v>167216</v>
      </c>
      <c r="U309" s="1639"/>
    </row>
    <row r="310" spans="2:21" ht="15" customHeight="1">
      <c r="B310" s="919" t="s">
        <v>312</v>
      </c>
      <c r="C310" s="920"/>
      <c r="D310" s="920"/>
      <c r="E310" s="921"/>
      <c r="F310" s="1635" t="s">
        <v>2547</v>
      </c>
      <c r="G310" s="1636"/>
      <c r="H310" s="1637"/>
      <c r="I310" s="1638">
        <v>1800000</v>
      </c>
      <c r="J310" s="1640"/>
      <c r="K310" s="1641"/>
      <c r="L310" s="1642">
        <v>40301</v>
      </c>
      <c r="M310" s="1643"/>
      <c r="N310" s="1642">
        <v>46371</v>
      </c>
      <c r="O310" s="1643"/>
      <c r="P310" s="922"/>
      <c r="Q310" s="924"/>
      <c r="R310" s="1644">
        <v>938628</v>
      </c>
      <c r="S310" s="1645"/>
      <c r="T310" s="1638">
        <v>53415</v>
      </c>
      <c r="U310" s="1639"/>
    </row>
    <row r="311" spans="2:21" ht="15" customHeight="1">
      <c r="B311" s="919" t="s">
        <v>251</v>
      </c>
      <c r="C311" s="920"/>
      <c r="D311" s="920"/>
      <c r="E311" s="921"/>
      <c r="F311" s="1635" t="s">
        <v>2549</v>
      </c>
      <c r="G311" s="1636"/>
      <c r="H311" s="1637"/>
      <c r="I311" s="1638">
        <v>3000000</v>
      </c>
      <c r="J311" s="1640"/>
      <c r="K311" s="1641"/>
      <c r="L311" s="1642">
        <v>40305</v>
      </c>
      <c r="M311" s="1643"/>
      <c r="N311" s="1642">
        <v>43850</v>
      </c>
      <c r="O311" s="1643"/>
      <c r="P311" s="922"/>
      <c r="Q311" s="924"/>
      <c r="R311" s="1644">
        <v>1564380</v>
      </c>
      <c r="S311" s="1645"/>
      <c r="T311" s="1638">
        <v>131614</v>
      </c>
      <c r="U311" s="1639"/>
    </row>
    <row r="312" spans="2:21" ht="15" customHeight="1">
      <c r="B312" s="919" t="s">
        <v>2602</v>
      </c>
      <c r="C312" s="920"/>
      <c r="D312" s="920"/>
      <c r="E312" s="921"/>
      <c r="F312" s="1635" t="s">
        <v>2547</v>
      </c>
      <c r="G312" s="1636"/>
      <c r="H312" s="1637"/>
      <c r="I312" s="1638">
        <v>2000000</v>
      </c>
      <c r="J312" s="1640"/>
      <c r="K312" s="1641"/>
      <c r="L312" s="1642">
        <v>40318</v>
      </c>
      <c r="M312" s="1643"/>
      <c r="N312" s="1642">
        <v>43028</v>
      </c>
      <c r="O312" s="1643"/>
      <c r="P312" s="922"/>
      <c r="Q312" s="924"/>
      <c r="R312" s="1644">
        <v>1042920</v>
      </c>
      <c r="S312" s="1645"/>
      <c r="T312" s="1638">
        <v>118660</v>
      </c>
      <c r="U312" s="1639"/>
    </row>
    <row r="313" spans="2:21" ht="15" customHeight="1">
      <c r="B313" s="919" t="s">
        <v>312</v>
      </c>
      <c r="C313" s="920"/>
      <c r="D313" s="920"/>
      <c r="E313" s="921"/>
      <c r="F313" s="1635" t="s">
        <v>2547</v>
      </c>
      <c r="G313" s="1636"/>
      <c r="H313" s="1637"/>
      <c r="I313" s="1638">
        <v>2000000</v>
      </c>
      <c r="J313" s="1640"/>
      <c r="K313" s="1641"/>
      <c r="L313" s="1642">
        <v>40323</v>
      </c>
      <c r="M313" s="1643"/>
      <c r="N313" s="1642">
        <v>42479</v>
      </c>
      <c r="O313" s="1643"/>
      <c r="P313" s="922"/>
      <c r="Q313" s="924"/>
      <c r="R313" s="1644">
        <v>1042920</v>
      </c>
      <c r="S313" s="1645"/>
      <c r="T313" s="1638">
        <v>110534</v>
      </c>
      <c r="U313" s="1639"/>
    </row>
    <row r="314" spans="2:21" ht="15" customHeight="1">
      <c r="B314" s="919" t="s">
        <v>251</v>
      </c>
      <c r="C314" s="920"/>
      <c r="D314" s="920"/>
      <c r="E314" s="921"/>
      <c r="F314" s="1635" t="s">
        <v>2549</v>
      </c>
      <c r="G314" s="1636"/>
      <c r="H314" s="1637"/>
      <c r="I314" s="1638">
        <v>2000000</v>
      </c>
      <c r="J314" s="1640"/>
      <c r="K314" s="1641"/>
      <c r="L314" s="1642">
        <v>40325</v>
      </c>
      <c r="M314" s="1643"/>
      <c r="N314" s="1642">
        <v>42895</v>
      </c>
      <c r="O314" s="1643"/>
      <c r="P314" s="922"/>
      <c r="Q314" s="924"/>
      <c r="R314" s="1644">
        <v>1042920</v>
      </c>
      <c r="S314" s="1645"/>
      <c r="T314" s="1638">
        <v>84237</v>
      </c>
      <c r="U314" s="1639"/>
    </row>
    <row r="315" spans="2:21" ht="15" customHeight="1">
      <c r="B315" s="919" t="s">
        <v>308</v>
      </c>
      <c r="C315" s="920"/>
      <c r="D315" s="920"/>
      <c r="E315" s="921"/>
      <c r="F315" s="1635" t="s">
        <v>2549</v>
      </c>
      <c r="G315" s="1636"/>
      <c r="H315" s="1637"/>
      <c r="I315" s="1638">
        <v>2000000</v>
      </c>
      <c r="J315" s="1640"/>
      <c r="K315" s="1641"/>
      <c r="L315" s="1642">
        <v>40353</v>
      </c>
      <c r="M315" s="1643"/>
      <c r="N315" s="1642">
        <v>43955</v>
      </c>
      <c r="O315" s="1643"/>
      <c r="P315" s="922"/>
      <c r="Q315" s="924"/>
      <c r="R315" s="1644">
        <v>1042920</v>
      </c>
      <c r="S315" s="1645"/>
      <c r="T315" s="1638">
        <v>93141</v>
      </c>
      <c r="U315" s="1639"/>
    </row>
    <row r="316" spans="2:21" ht="15" customHeight="1">
      <c r="B316" s="919" t="s">
        <v>251</v>
      </c>
      <c r="C316" s="920"/>
      <c r="D316" s="920"/>
      <c r="E316" s="921"/>
      <c r="F316" s="1635" t="s">
        <v>2549</v>
      </c>
      <c r="G316" s="1636"/>
      <c r="H316" s="1637"/>
      <c r="I316" s="1638">
        <v>2000000</v>
      </c>
      <c r="J316" s="1640"/>
      <c r="K316" s="1641"/>
      <c r="L316" s="1642">
        <v>40358</v>
      </c>
      <c r="M316" s="1643"/>
      <c r="N316" s="1642">
        <v>43955</v>
      </c>
      <c r="O316" s="1643"/>
      <c r="P316" s="922"/>
      <c r="Q316" s="924"/>
      <c r="R316" s="1644">
        <v>1042920</v>
      </c>
      <c r="S316" s="1645"/>
      <c r="T316" s="1638">
        <v>103642</v>
      </c>
      <c r="U316" s="1639"/>
    </row>
    <row r="317" spans="2:21" ht="15" customHeight="1">
      <c r="B317" s="919" t="s">
        <v>308</v>
      </c>
      <c r="C317" s="920"/>
      <c r="D317" s="920"/>
      <c r="E317" s="921"/>
      <c r="F317" s="1635" t="s">
        <v>2549</v>
      </c>
      <c r="G317" s="1636"/>
      <c r="H317" s="1637"/>
      <c r="I317" s="1638">
        <v>2000000</v>
      </c>
      <c r="J317" s="1640"/>
      <c r="K317" s="1641"/>
      <c r="L317" s="1642">
        <v>40358</v>
      </c>
      <c r="M317" s="1643"/>
      <c r="N317" s="1642">
        <v>43955</v>
      </c>
      <c r="O317" s="1643"/>
      <c r="P317" s="922"/>
      <c r="Q317" s="924"/>
      <c r="R317" s="1644">
        <v>1042920</v>
      </c>
      <c r="S317" s="1645"/>
      <c r="T317" s="1638">
        <v>103668</v>
      </c>
      <c r="U317" s="1639"/>
    </row>
    <row r="318" spans="2:21" ht="15" customHeight="1">
      <c r="B318" s="919" t="s">
        <v>251</v>
      </c>
      <c r="C318" s="920"/>
      <c r="D318" s="920"/>
      <c r="E318" s="921"/>
      <c r="F318" s="1635" t="s">
        <v>2549</v>
      </c>
      <c r="G318" s="1636"/>
      <c r="H318" s="1637"/>
      <c r="I318" s="1638">
        <v>2000000</v>
      </c>
      <c r="J318" s="1640"/>
      <c r="K318" s="1641"/>
      <c r="L318" s="1642">
        <v>40359</v>
      </c>
      <c r="M318" s="1643"/>
      <c r="N318" s="1642">
        <v>43955</v>
      </c>
      <c r="O318" s="1643"/>
      <c r="P318" s="922"/>
      <c r="Q318" s="924"/>
      <c r="R318" s="1644">
        <v>1042920</v>
      </c>
      <c r="S318" s="1645"/>
      <c r="T318" s="1638">
        <v>107921</v>
      </c>
      <c r="U318" s="1639"/>
    </row>
    <row r="319" spans="2:21" ht="15" customHeight="1">
      <c r="B319" s="919" t="s">
        <v>251</v>
      </c>
      <c r="C319" s="920"/>
      <c r="D319" s="920"/>
      <c r="E319" s="921"/>
      <c r="F319" s="1635" t="s">
        <v>2549</v>
      </c>
      <c r="G319" s="1636"/>
      <c r="H319" s="1637"/>
      <c r="I319" s="1638">
        <v>3000000</v>
      </c>
      <c r="J319" s="1640"/>
      <c r="K319" s="1641"/>
      <c r="L319" s="1642">
        <v>40389</v>
      </c>
      <c r="M319" s="1643"/>
      <c r="N319" s="1642">
        <v>43775</v>
      </c>
      <c r="O319" s="1643"/>
      <c r="P319" s="922"/>
      <c r="Q319" s="924"/>
      <c r="R319" s="1644">
        <v>1564380</v>
      </c>
      <c r="S319" s="1645"/>
      <c r="T319" s="1638">
        <v>91254</v>
      </c>
      <c r="U319" s="1639"/>
    </row>
    <row r="320" spans="2:21" ht="15" customHeight="1">
      <c r="B320" s="919" t="s">
        <v>251</v>
      </c>
      <c r="C320" s="920"/>
      <c r="D320" s="920"/>
      <c r="E320" s="921"/>
      <c r="F320" s="1635" t="s">
        <v>2549</v>
      </c>
      <c r="G320" s="1636"/>
      <c r="H320" s="1637"/>
      <c r="I320" s="1638">
        <v>2000000</v>
      </c>
      <c r="J320" s="1640"/>
      <c r="K320" s="1641"/>
      <c r="L320" s="1642">
        <v>40389</v>
      </c>
      <c r="M320" s="1643"/>
      <c r="N320" s="1642">
        <v>43775</v>
      </c>
      <c r="O320" s="1643"/>
      <c r="P320" s="922"/>
      <c r="Q320" s="924"/>
      <c r="R320" s="1644">
        <v>1042920</v>
      </c>
      <c r="S320" s="1645"/>
      <c r="T320" s="1638">
        <v>59152</v>
      </c>
      <c r="U320" s="1639"/>
    </row>
    <row r="321" spans="2:21" ht="15" customHeight="1">
      <c r="B321" s="919" t="s">
        <v>251</v>
      </c>
      <c r="C321" s="920"/>
      <c r="D321" s="920"/>
      <c r="E321" s="921"/>
      <c r="F321" s="1635" t="s">
        <v>2549</v>
      </c>
      <c r="G321" s="1636"/>
      <c r="H321" s="1637"/>
      <c r="I321" s="1638">
        <v>2000000</v>
      </c>
      <c r="J321" s="1640"/>
      <c r="K321" s="1641"/>
      <c r="L321" s="1642">
        <v>40402</v>
      </c>
      <c r="M321" s="1643"/>
      <c r="N321" s="1642">
        <v>43851</v>
      </c>
      <c r="O321" s="1643"/>
      <c r="P321" s="922"/>
      <c r="Q321" s="924"/>
      <c r="R321" s="1644">
        <v>1042920</v>
      </c>
      <c r="S321" s="1645"/>
      <c r="T321" s="1638">
        <v>17807</v>
      </c>
      <c r="U321" s="1639"/>
    </row>
    <row r="322" spans="2:21" ht="15" customHeight="1">
      <c r="B322" s="919" t="s">
        <v>312</v>
      </c>
      <c r="C322" s="920"/>
      <c r="D322" s="920"/>
      <c r="E322" s="921"/>
      <c r="F322" s="1635" t="s">
        <v>2547</v>
      </c>
      <c r="G322" s="1636"/>
      <c r="H322" s="1637"/>
      <c r="I322" s="1638">
        <v>2000000</v>
      </c>
      <c r="J322" s="1640"/>
      <c r="K322" s="1641"/>
      <c r="L322" s="1642">
        <v>40403</v>
      </c>
      <c r="M322" s="1643"/>
      <c r="N322" s="1642">
        <v>43943</v>
      </c>
      <c r="O322" s="1643"/>
      <c r="P322" s="922"/>
      <c r="Q322" s="924"/>
      <c r="R322" s="1644">
        <v>1042920</v>
      </c>
      <c r="S322" s="1645"/>
      <c r="T322" s="1638">
        <v>32847</v>
      </c>
      <c r="U322" s="1639"/>
    </row>
    <row r="323" spans="2:21" ht="15" customHeight="1">
      <c r="B323" s="919" t="s">
        <v>2603</v>
      </c>
      <c r="C323" s="920"/>
      <c r="D323" s="920"/>
      <c r="E323" s="921"/>
      <c r="F323" s="1635" t="s">
        <v>2547</v>
      </c>
      <c r="G323" s="1636"/>
      <c r="H323" s="1637"/>
      <c r="I323" s="1638">
        <v>2000000</v>
      </c>
      <c r="J323" s="1640"/>
      <c r="K323" s="1641"/>
      <c r="L323" s="1642">
        <v>40407</v>
      </c>
      <c r="M323" s="1643"/>
      <c r="N323" s="1642">
        <v>43851</v>
      </c>
      <c r="O323" s="1643"/>
      <c r="P323" s="922"/>
      <c r="Q323" s="924"/>
      <c r="R323" s="1644">
        <v>1042920</v>
      </c>
      <c r="S323" s="1645"/>
      <c r="T323" s="1638">
        <v>5433</v>
      </c>
      <c r="U323" s="1639"/>
    </row>
    <row r="324" spans="2:21" ht="15" customHeight="1">
      <c r="B324" s="919" t="s">
        <v>309</v>
      </c>
      <c r="C324" s="920"/>
      <c r="D324" s="920"/>
      <c r="E324" s="921"/>
      <c r="F324" s="1635" t="s">
        <v>2548</v>
      </c>
      <c r="G324" s="1636"/>
      <c r="H324" s="1637"/>
      <c r="I324" s="1638">
        <v>1000000</v>
      </c>
      <c r="J324" s="1640"/>
      <c r="K324" s="1641"/>
      <c r="L324" s="1642">
        <v>40407</v>
      </c>
      <c r="M324" s="1643"/>
      <c r="N324" s="1642">
        <v>43851</v>
      </c>
      <c r="O324" s="1643"/>
      <c r="P324" s="922"/>
      <c r="Q324" s="924"/>
      <c r="R324" s="1644">
        <v>521460</v>
      </c>
      <c r="S324" s="1645"/>
      <c r="T324" s="1638">
        <v>2936</v>
      </c>
      <c r="U324" s="1639"/>
    </row>
    <row r="325" spans="2:21" ht="15" customHeight="1">
      <c r="B325" s="919" t="s">
        <v>2603</v>
      </c>
      <c r="C325" s="920"/>
      <c r="D325" s="920"/>
      <c r="E325" s="921"/>
      <c r="F325" s="1635" t="s">
        <v>2547</v>
      </c>
      <c r="G325" s="1636"/>
      <c r="H325" s="1637"/>
      <c r="I325" s="1638">
        <v>2000000</v>
      </c>
      <c r="J325" s="1640"/>
      <c r="K325" s="1641"/>
      <c r="L325" s="1642">
        <v>40408</v>
      </c>
      <c r="M325" s="1643"/>
      <c r="N325" s="1642">
        <v>43851</v>
      </c>
      <c r="O325" s="1643"/>
      <c r="P325" s="922"/>
      <c r="Q325" s="924"/>
      <c r="R325" s="1644">
        <v>1042920</v>
      </c>
      <c r="S325" s="1645"/>
      <c r="T325" s="1638">
        <v>-759</v>
      </c>
      <c r="U325" s="1639"/>
    </row>
    <row r="326" spans="2:21" ht="15" customHeight="1">
      <c r="B326" s="919" t="s">
        <v>2603</v>
      </c>
      <c r="C326" s="920"/>
      <c r="D326" s="920"/>
      <c r="E326" s="921"/>
      <c r="F326" s="1635" t="s">
        <v>2547</v>
      </c>
      <c r="G326" s="1636"/>
      <c r="H326" s="1637"/>
      <c r="I326" s="1638">
        <v>830000</v>
      </c>
      <c r="J326" s="1640"/>
      <c r="K326" s="1641"/>
      <c r="L326" s="1642">
        <v>40408</v>
      </c>
      <c r="M326" s="1643"/>
      <c r="N326" s="1642">
        <v>43943</v>
      </c>
      <c r="O326" s="1643"/>
      <c r="P326" s="922"/>
      <c r="Q326" s="924"/>
      <c r="R326" s="1644">
        <v>432812</v>
      </c>
      <c r="S326" s="1645"/>
      <c r="T326" s="1638">
        <v>3138</v>
      </c>
      <c r="U326" s="1639"/>
    </row>
    <row r="327" spans="2:21" ht="15" customHeight="1">
      <c r="B327" s="919" t="s">
        <v>251</v>
      </c>
      <c r="C327" s="920"/>
      <c r="D327" s="920"/>
      <c r="E327" s="921"/>
      <c r="F327" s="1635" t="s">
        <v>2549</v>
      </c>
      <c r="G327" s="1636"/>
      <c r="H327" s="1637"/>
      <c r="I327" s="1638">
        <v>2000000</v>
      </c>
      <c r="J327" s="1640"/>
      <c r="K327" s="1641"/>
      <c r="L327" s="1642">
        <v>40409</v>
      </c>
      <c r="M327" s="1643"/>
      <c r="N327" s="1642">
        <v>43943</v>
      </c>
      <c r="O327" s="1643"/>
      <c r="P327" s="922"/>
      <c r="Q327" s="924"/>
      <c r="R327" s="1644">
        <v>1042920</v>
      </c>
      <c r="S327" s="1645"/>
      <c r="T327" s="1638">
        <v>21984</v>
      </c>
      <c r="U327" s="1639"/>
    </row>
    <row r="328" spans="2:21" ht="15" customHeight="1">
      <c r="B328" s="919" t="s">
        <v>2603</v>
      </c>
      <c r="C328" s="920"/>
      <c r="D328" s="920"/>
      <c r="E328" s="921"/>
      <c r="F328" s="1635" t="s">
        <v>2547</v>
      </c>
      <c r="G328" s="1636"/>
      <c r="H328" s="1637"/>
      <c r="I328" s="1638">
        <v>5000000</v>
      </c>
      <c r="J328" s="1640"/>
      <c r="K328" s="1641"/>
      <c r="L328" s="1642">
        <v>40414</v>
      </c>
      <c r="M328" s="1643"/>
      <c r="N328" s="1642">
        <v>43943</v>
      </c>
      <c r="O328" s="1643"/>
      <c r="P328" s="922"/>
      <c r="Q328" s="924"/>
      <c r="R328" s="1644">
        <v>2607300</v>
      </c>
      <c r="S328" s="1645"/>
      <c r="T328" s="1638">
        <v>39856</v>
      </c>
      <c r="U328" s="1639"/>
    </row>
    <row r="329" spans="2:21" ht="15" customHeight="1">
      <c r="B329" s="919" t="s">
        <v>2603</v>
      </c>
      <c r="C329" s="920"/>
      <c r="D329" s="920"/>
      <c r="E329" s="921"/>
      <c r="F329" s="1635" t="s">
        <v>2547</v>
      </c>
      <c r="G329" s="1636"/>
      <c r="H329" s="1637"/>
      <c r="I329" s="1638">
        <v>2000000</v>
      </c>
      <c r="J329" s="1640"/>
      <c r="K329" s="1641"/>
      <c r="L329" s="1642">
        <v>40436</v>
      </c>
      <c r="M329" s="1643"/>
      <c r="N329" s="1642">
        <v>43851</v>
      </c>
      <c r="O329" s="1643"/>
      <c r="P329" s="922"/>
      <c r="Q329" s="924"/>
      <c r="R329" s="1644">
        <v>1042920</v>
      </c>
      <c r="S329" s="1645"/>
      <c r="T329" s="1638">
        <v>-18392</v>
      </c>
      <c r="U329" s="1639"/>
    </row>
    <row r="330" spans="2:21" ht="15" customHeight="1">
      <c r="B330" s="919" t="s">
        <v>309</v>
      </c>
      <c r="C330" s="920"/>
      <c r="D330" s="920"/>
      <c r="E330" s="921"/>
      <c r="F330" s="1635" t="s">
        <v>2548</v>
      </c>
      <c r="G330" s="1636"/>
      <c r="H330" s="1637"/>
      <c r="I330" s="1638">
        <v>2000000</v>
      </c>
      <c r="J330" s="1640"/>
      <c r="K330" s="1641"/>
      <c r="L330" s="1642">
        <v>40449</v>
      </c>
      <c r="M330" s="1643"/>
      <c r="N330" s="1642">
        <v>43851</v>
      </c>
      <c r="O330" s="1643"/>
      <c r="P330" s="922"/>
      <c r="Q330" s="924"/>
      <c r="R330" s="1644">
        <v>1042920</v>
      </c>
      <c r="S330" s="1645"/>
      <c r="T330" s="1638">
        <v>-36377</v>
      </c>
      <c r="U330" s="1639"/>
    </row>
    <row r="331" spans="2:21" ht="15" customHeight="1">
      <c r="B331" s="919" t="s">
        <v>2603</v>
      </c>
      <c r="C331" s="920"/>
      <c r="D331" s="920"/>
      <c r="E331" s="921"/>
      <c r="F331" s="1635" t="s">
        <v>2547</v>
      </c>
      <c r="G331" s="1636"/>
      <c r="H331" s="1637"/>
      <c r="I331" s="1638">
        <v>2500000</v>
      </c>
      <c r="J331" s="1640"/>
      <c r="K331" s="1641"/>
      <c r="L331" s="1642">
        <v>40449</v>
      </c>
      <c r="M331" s="1643"/>
      <c r="N331" s="1642">
        <v>43851</v>
      </c>
      <c r="O331" s="1643"/>
      <c r="P331" s="922"/>
      <c r="Q331" s="924"/>
      <c r="R331" s="1644">
        <v>1303650</v>
      </c>
      <c r="S331" s="1645"/>
      <c r="T331" s="1638">
        <v>-46638</v>
      </c>
      <c r="U331" s="1639"/>
    </row>
    <row r="332" spans="2:21" ht="15" customHeight="1">
      <c r="B332" s="919" t="s">
        <v>2603</v>
      </c>
      <c r="C332" s="920"/>
      <c r="D332" s="920"/>
      <c r="E332" s="921"/>
      <c r="F332" s="1635" t="s">
        <v>2547</v>
      </c>
      <c r="G332" s="1636"/>
      <c r="H332" s="1637"/>
      <c r="I332" s="1638">
        <v>1085000</v>
      </c>
      <c r="J332" s="1640"/>
      <c r="K332" s="1641"/>
      <c r="L332" s="1642">
        <v>40458</v>
      </c>
      <c r="M332" s="1643"/>
      <c r="N332" s="1642">
        <v>43943</v>
      </c>
      <c r="O332" s="1643"/>
      <c r="P332" s="922"/>
      <c r="Q332" s="924"/>
      <c r="R332" s="1644">
        <v>565784</v>
      </c>
      <c r="S332" s="1645"/>
      <c r="T332" s="1638">
        <v>-18599</v>
      </c>
      <c r="U332" s="1639"/>
    </row>
    <row r="333" spans="2:21" ht="15" customHeight="1">
      <c r="B333" s="919" t="s">
        <v>2603</v>
      </c>
      <c r="C333" s="920"/>
      <c r="D333" s="920"/>
      <c r="E333" s="921"/>
      <c r="F333" s="1635" t="s">
        <v>2547</v>
      </c>
      <c r="G333" s="1636"/>
      <c r="H333" s="1637"/>
      <c r="I333" s="1638">
        <v>5000000</v>
      </c>
      <c r="J333" s="1640"/>
      <c r="K333" s="1641"/>
      <c r="L333" s="1642">
        <v>40492</v>
      </c>
      <c r="M333" s="1643"/>
      <c r="N333" s="1642">
        <v>43235</v>
      </c>
      <c r="O333" s="1643"/>
      <c r="P333" s="922"/>
      <c r="Q333" s="924"/>
      <c r="R333" s="1644">
        <v>2607300</v>
      </c>
      <c r="S333" s="1645"/>
      <c r="T333" s="1638">
        <v>-131900</v>
      </c>
      <c r="U333" s="1639"/>
    </row>
    <row r="334" spans="2:21" ht="15" customHeight="1">
      <c r="B334" s="919" t="s">
        <v>2603</v>
      </c>
      <c r="C334" s="920"/>
      <c r="D334" s="920"/>
      <c r="E334" s="921"/>
      <c r="F334" s="1635" t="s">
        <v>2547</v>
      </c>
      <c r="G334" s="1636"/>
      <c r="H334" s="1637"/>
      <c r="I334" s="1638">
        <v>2000000</v>
      </c>
      <c r="J334" s="1640"/>
      <c r="K334" s="1641"/>
      <c r="L334" s="1642">
        <v>40504</v>
      </c>
      <c r="M334" s="1643"/>
      <c r="N334" s="1642">
        <v>43943</v>
      </c>
      <c r="O334" s="1643"/>
      <c r="P334" s="922"/>
      <c r="Q334" s="924"/>
      <c r="R334" s="1644">
        <v>1042920</v>
      </c>
      <c r="S334" s="1645"/>
      <c r="T334" s="1638">
        <v>-52784</v>
      </c>
      <c r="U334" s="1639"/>
    </row>
    <row r="335" spans="2:21" ht="15" customHeight="1">
      <c r="B335" s="919" t="s">
        <v>2602</v>
      </c>
      <c r="C335" s="920"/>
      <c r="D335" s="920"/>
      <c r="E335" s="921"/>
      <c r="F335" s="1635" t="s">
        <v>2547</v>
      </c>
      <c r="G335" s="1636"/>
      <c r="H335" s="1637"/>
      <c r="I335" s="1638">
        <v>1000000</v>
      </c>
      <c r="J335" s="1640"/>
      <c r="K335" s="1641"/>
      <c r="L335" s="1642">
        <v>40505</v>
      </c>
      <c r="M335" s="1643"/>
      <c r="N335" s="1642">
        <v>43943</v>
      </c>
      <c r="O335" s="1643"/>
      <c r="P335" s="922"/>
      <c r="Q335" s="924"/>
      <c r="R335" s="1644">
        <v>521460</v>
      </c>
      <c r="S335" s="1645"/>
      <c r="T335" s="1638">
        <v>-22335</v>
      </c>
      <c r="U335" s="1639"/>
    </row>
    <row r="336" spans="2:21" ht="15" customHeight="1">
      <c r="B336" s="919" t="s">
        <v>312</v>
      </c>
      <c r="C336" s="920"/>
      <c r="D336" s="920"/>
      <c r="E336" s="921"/>
      <c r="F336" s="1635" t="s">
        <v>2547</v>
      </c>
      <c r="G336" s="1636"/>
      <c r="H336" s="1637"/>
      <c r="I336" s="1638">
        <v>4750000</v>
      </c>
      <c r="J336" s="1640"/>
      <c r="K336" s="1641"/>
      <c r="L336" s="1642">
        <v>40512</v>
      </c>
      <c r="M336" s="1643"/>
      <c r="N336" s="1642">
        <v>42895</v>
      </c>
      <c r="O336" s="1643"/>
      <c r="P336" s="922"/>
      <c r="Q336" s="924"/>
      <c r="R336" s="1644">
        <v>2476935</v>
      </c>
      <c r="S336" s="1645"/>
      <c r="T336" s="1638">
        <v>-64576</v>
      </c>
      <c r="U336" s="1639"/>
    </row>
    <row r="337" spans="2:21" ht="15" customHeight="1">
      <c r="B337" s="919" t="s">
        <v>309</v>
      </c>
      <c r="C337" s="920"/>
      <c r="D337" s="920"/>
      <c r="E337" s="921"/>
      <c r="F337" s="1635" t="s">
        <v>2548</v>
      </c>
      <c r="G337" s="1636"/>
      <c r="H337" s="1637"/>
      <c r="I337" s="1638">
        <v>3000000</v>
      </c>
      <c r="J337" s="1640"/>
      <c r="K337" s="1641"/>
      <c r="L337" s="1642">
        <v>40528</v>
      </c>
      <c r="M337" s="1643"/>
      <c r="N337" s="1642">
        <v>43084</v>
      </c>
      <c r="O337" s="1643"/>
      <c r="P337" s="922"/>
      <c r="Q337" s="924"/>
      <c r="R337" s="1644">
        <v>2025600</v>
      </c>
      <c r="S337" s="1645"/>
      <c r="T337" s="1638">
        <v>-71260</v>
      </c>
      <c r="U337" s="1639"/>
    </row>
    <row r="338" spans="2:21" ht="15" customHeight="1">
      <c r="B338" s="919" t="s">
        <v>312</v>
      </c>
      <c r="C338" s="920"/>
      <c r="D338" s="920"/>
      <c r="E338" s="921"/>
      <c r="F338" s="1635" t="s">
        <v>2547</v>
      </c>
      <c r="G338" s="1636"/>
      <c r="H338" s="1637"/>
      <c r="I338" s="1638">
        <v>1500000</v>
      </c>
      <c r="J338" s="1640"/>
      <c r="K338" s="1641"/>
      <c r="L338" s="1642">
        <v>40505</v>
      </c>
      <c r="M338" s="1643"/>
      <c r="N338" s="1642">
        <v>43235</v>
      </c>
      <c r="O338" s="1643"/>
      <c r="P338" s="922"/>
      <c r="Q338" s="924"/>
      <c r="R338" s="1644">
        <v>782190</v>
      </c>
      <c r="S338" s="1645"/>
      <c r="T338" s="1638">
        <v>-31152</v>
      </c>
      <c r="U338" s="1639"/>
    </row>
    <row r="339" spans="2:21" ht="15" customHeight="1">
      <c r="B339" s="919" t="s">
        <v>312</v>
      </c>
      <c r="C339" s="920"/>
      <c r="D339" s="920"/>
      <c r="E339" s="921"/>
      <c r="F339" s="1635" t="s">
        <v>2547</v>
      </c>
      <c r="G339" s="1636"/>
      <c r="H339" s="1637"/>
      <c r="I339" s="1638">
        <v>1000000</v>
      </c>
      <c r="J339" s="1640"/>
      <c r="K339" s="1641"/>
      <c r="L339" s="1642">
        <v>40500</v>
      </c>
      <c r="M339" s="1643"/>
      <c r="N339" s="1642">
        <v>43235</v>
      </c>
      <c r="O339" s="1643"/>
      <c r="P339" s="922"/>
      <c r="Q339" s="924"/>
      <c r="R339" s="1644">
        <v>521460</v>
      </c>
      <c r="S339" s="1645"/>
      <c r="T339" s="1638">
        <v>-15598</v>
      </c>
      <c r="U339" s="1639"/>
    </row>
    <row r="340" spans="2:21" ht="15" customHeight="1">
      <c r="B340" s="919" t="s">
        <v>251</v>
      </c>
      <c r="C340" s="920"/>
      <c r="D340" s="920"/>
      <c r="E340" s="921"/>
      <c r="F340" s="1635" t="s">
        <v>2549</v>
      </c>
      <c r="G340" s="1636"/>
      <c r="H340" s="1637"/>
      <c r="I340" s="1638">
        <v>2000000</v>
      </c>
      <c r="J340" s="1640"/>
      <c r="K340" s="1641"/>
      <c r="L340" s="1642">
        <v>40549</v>
      </c>
      <c r="M340" s="1643"/>
      <c r="N340" s="1642">
        <v>43084</v>
      </c>
      <c r="O340" s="1643"/>
      <c r="P340" s="922"/>
      <c r="Q340" s="924"/>
      <c r="R340" s="1644">
        <v>1350400</v>
      </c>
      <c r="S340" s="1645"/>
      <c r="T340" s="1638">
        <v>-10179</v>
      </c>
      <c r="U340" s="1639"/>
    </row>
    <row r="341" spans="2:21" ht="15" customHeight="1">
      <c r="B341" s="919" t="s">
        <v>251</v>
      </c>
      <c r="C341" s="920"/>
      <c r="D341" s="920"/>
      <c r="E341" s="921"/>
      <c r="F341" s="1635" t="s">
        <v>2549</v>
      </c>
      <c r="G341" s="1636"/>
      <c r="H341" s="1637"/>
      <c r="I341" s="1638">
        <v>3000000</v>
      </c>
      <c r="J341" s="1640"/>
      <c r="K341" s="1641"/>
      <c r="L341" s="1642">
        <v>40568</v>
      </c>
      <c r="M341" s="1643"/>
      <c r="N341" s="1642">
        <v>44111</v>
      </c>
      <c r="O341" s="1643"/>
      <c r="P341" s="922"/>
      <c r="Q341" s="924"/>
      <c r="R341" s="1644">
        <v>1564380</v>
      </c>
      <c r="S341" s="1645"/>
      <c r="T341" s="1638">
        <v>-28976</v>
      </c>
      <c r="U341" s="1639"/>
    </row>
    <row r="342" spans="2:21" ht="15" customHeight="1">
      <c r="B342" s="919" t="s">
        <v>2602</v>
      </c>
      <c r="C342" s="920"/>
      <c r="D342" s="920"/>
      <c r="E342" s="921"/>
      <c r="F342" s="1635" t="s">
        <v>2547</v>
      </c>
      <c r="G342" s="1636"/>
      <c r="H342" s="1637"/>
      <c r="I342" s="1638">
        <v>2000000</v>
      </c>
      <c r="J342" s="1640"/>
      <c r="K342" s="1641"/>
      <c r="L342" s="1642">
        <v>40569</v>
      </c>
      <c r="M342" s="1643"/>
      <c r="N342" s="1642">
        <v>44111</v>
      </c>
      <c r="O342" s="1643"/>
      <c r="P342" s="922"/>
      <c r="Q342" s="924"/>
      <c r="R342" s="1644">
        <v>1042920</v>
      </c>
      <c r="S342" s="1645"/>
      <c r="T342" s="1638">
        <v>-22762</v>
      </c>
      <c r="U342" s="1639"/>
    </row>
    <row r="343" spans="2:21" ht="15" customHeight="1">
      <c r="B343" s="919" t="s">
        <v>2602</v>
      </c>
      <c r="C343" s="920"/>
      <c r="D343" s="920"/>
      <c r="E343" s="921"/>
      <c r="F343" s="1635" t="s">
        <v>2547</v>
      </c>
      <c r="G343" s="1636"/>
      <c r="H343" s="1637"/>
      <c r="I343" s="1638">
        <v>2000000</v>
      </c>
      <c r="J343" s="1640"/>
      <c r="K343" s="1641"/>
      <c r="L343" s="1642">
        <v>40569</v>
      </c>
      <c r="M343" s="1643"/>
      <c r="N343" s="1642">
        <v>44211</v>
      </c>
      <c r="O343" s="1643"/>
      <c r="P343" s="922"/>
      <c r="Q343" s="924"/>
      <c r="R343" s="1644">
        <v>1042920</v>
      </c>
      <c r="S343" s="1645"/>
      <c r="T343" s="1638">
        <v>-28156</v>
      </c>
      <c r="U343" s="1639"/>
    </row>
    <row r="344" spans="2:21" ht="15" customHeight="1">
      <c r="B344" s="919" t="s">
        <v>2602</v>
      </c>
      <c r="C344" s="920"/>
      <c r="D344" s="920"/>
      <c r="E344" s="921"/>
      <c r="F344" s="1635" t="s">
        <v>2547</v>
      </c>
      <c r="G344" s="1636"/>
      <c r="H344" s="1637"/>
      <c r="I344" s="1638">
        <v>1500000</v>
      </c>
      <c r="J344" s="1640"/>
      <c r="K344" s="1641"/>
      <c r="L344" s="1642">
        <v>40570</v>
      </c>
      <c r="M344" s="1643"/>
      <c r="N344" s="1642">
        <v>44216</v>
      </c>
      <c r="O344" s="1643"/>
      <c r="P344" s="922"/>
      <c r="Q344" s="924"/>
      <c r="R344" s="1644">
        <v>782190</v>
      </c>
      <c r="S344" s="1645"/>
      <c r="T344" s="1638">
        <v>-23529</v>
      </c>
      <c r="U344" s="1639"/>
    </row>
    <row r="345" spans="2:21" ht="15" customHeight="1">
      <c r="B345" s="919" t="s">
        <v>2602</v>
      </c>
      <c r="C345" s="920"/>
      <c r="D345" s="920"/>
      <c r="E345" s="921"/>
      <c r="F345" s="1635" t="s">
        <v>2547</v>
      </c>
      <c r="G345" s="1636"/>
      <c r="H345" s="1637"/>
      <c r="I345" s="1638">
        <v>2000000</v>
      </c>
      <c r="J345" s="1640"/>
      <c r="K345" s="1641"/>
      <c r="L345" s="1642">
        <v>40571</v>
      </c>
      <c r="M345" s="1643"/>
      <c r="N345" s="1642">
        <v>44211</v>
      </c>
      <c r="O345" s="1643"/>
      <c r="P345" s="922"/>
      <c r="Q345" s="924"/>
      <c r="R345" s="1644">
        <v>1042920</v>
      </c>
      <c r="S345" s="1645"/>
      <c r="T345" s="1638">
        <v>-44612</v>
      </c>
      <c r="U345" s="1639"/>
    </row>
    <row r="346" spans="2:21" ht="15" customHeight="1">
      <c r="B346" s="919" t="s">
        <v>312</v>
      </c>
      <c r="C346" s="920"/>
      <c r="D346" s="920"/>
      <c r="E346" s="921"/>
      <c r="F346" s="1635" t="s">
        <v>2547</v>
      </c>
      <c r="G346" s="1636"/>
      <c r="H346" s="1637"/>
      <c r="I346" s="1638">
        <v>2000000</v>
      </c>
      <c r="J346" s="1640"/>
      <c r="K346" s="1641"/>
      <c r="L346" s="1642">
        <v>40571</v>
      </c>
      <c r="M346" s="1643"/>
      <c r="N346" s="1642">
        <v>44218</v>
      </c>
      <c r="O346" s="1643"/>
      <c r="P346" s="922"/>
      <c r="Q346" s="924"/>
      <c r="R346" s="1644">
        <v>1042920</v>
      </c>
      <c r="S346" s="1645"/>
      <c r="T346" s="1638">
        <v>-41835</v>
      </c>
      <c r="U346" s="1639"/>
    </row>
    <row r="347" spans="2:21" ht="15" customHeight="1">
      <c r="B347" s="919" t="s">
        <v>2602</v>
      </c>
      <c r="C347" s="920"/>
      <c r="D347" s="920"/>
      <c r="E347" s="921"/>
      <c r="F347" s="1635" t="s">
        <v>2547</v>
      </c>
      <c r="G347" s="1636"/>
      <c r="H347" s="1637"/>
      <c r="I347" s="1638">
        <v>3000000</v>
      </c>
      <c r="J347" s="1640"/>
      <c r="K347" s="1641"/>
      <c r="L347" s="1642">
        <v>40571</v>
      </c>
      <c r="M347" s="1643"/>
      <c r="N347" s="1642">
        <v>44218</v>
      </c>
      <c r="O347" s="1643"/>
      <c r="P347" s="922"/>
      <c r="Q347" s="924"/>
      <c r="R347" s="1644">
        <v>1564380</v>
      </c>
      <c r="S347" s="1645"/>
      <c r="T347" s="1638">
        <v>-57238</v>
      </c>
      <c r="U347" s="1639"/>
    </row>
    <row r="348" spans="2:21" ht="15" customHeight="1">
      <c r="B348" s="919" t="s">
        <v>310</v>
      </c>
      <c r="C348" s="920"/>
      <c r="D348" s="920"/>
      <c r="E348" s="921"/>
      <c r="F348" s="1635" t="s">
        <v>2547</v>
      </c>
      <c r="G348" s="1636"/>
      <c r="H348" s="1637"/>
      <c r="I348" s="1638">
        <v>2000000</v>
      </c>
      <c r="J348" s="1640"/>
      <c r="K348" s="1641"/>
      <c r="L348" s="1642">
        <v>40574</v>
      </c>
      <c r="M348" s="1643"/>
      <c r="N348" s="1642">
        <v>44218</v>
      </c>
      <c r="O348" s="1643"/>
      <c r="P348" s="922"/>
      <c r="Q348" s="924"/>
      <c r="R348" s="1644">
        <v>1042920</v>
      </c>
      <c r="S348" s="1645"/>
      <c r="T348" s="1638">
        <v>-43707</v>
      </c>
      <c r="U348" s="1639"/>
    </row>
    <row r="349" spans="2:21" ht="15" customHeight="1">
      <c r="B349" s="919" t="s">
        <v>2603</v>
      </c>
      <c r="C349" s="920"/>
      <c r="D349" s="920"/>
      <c r="E349" s="921"/>
      <c r="F349" s="1635" t="s">
        <v>2547</v>
      </c>
      <c r="G349" s="1636"/>
      <c r="H349" s="1637"/>
      <c r="I349" s="1638">
        <v>3000000</v>
      </c>
      <c r="J349" s="1640"/>
      <c r="K349" s="1641"/>
      <c r="L349" s="1642">
        <v>40576</v>
      </c>
      <c r="M349" s="1643"/>
      <c r="N349" s="1642">
        <v>44219</v>
      </c>
      <c r="O349" s="1643"/>
      <c r="P349" s="922"/>
      <c r="Q349" s="924"/>
      <c r="R349" s="1644">
        <v>1564380</v>
      </c>
      <c r="S349" s="1645"/>
      <c r="T349" s="1638">
        <v>-74324</v>
      </c>
      <c r="U349" s="1639"/>
    </row>
    <row r="350" spans="2:21" ht="15" customHeight="1">
      <c r="B350" s="919" t="s">
        <v>2602</v>
      </c>
      <c r="C350" s="920"/>
      <c r="D350" s="920"/>
      <c r="E350" s="921"/>
      <c r="F350" s="1635" t="s">
        <v>2547</v>
      </c>
      <c r="G350" s="1636"/>
      <c r="H350" s="1637"/>
      <c r="I350" s="1638">
        <v>2000000</v>
      </c>
      <c r="J350" s="1640"/>
      <c r="K350" s="1641"/>
      <c r="L350" s="1642">
        <v>40584</v>
      </c>
      <c r="M350" s="1643"/>
      <c r="N350" s="1642">
        <v>43224</v>
      </c>
      <c r="O350" s="1643"/>
      <c r="P350" s="922"/>
      <c r="Q350" s="924"/>
      <c r="R350" s="1644">
        <v>1042920</v>
      </c>
      <c r="S350" s="1645"/>
      <c r="T350" s="1638">
        <v>-51550</v>
      </c>
      <c r="U350" s="1639"/>
    </row>
    <row r="351" spans="2:21" ht="15" customHeight="1">
      <c r="B351" s="919" t="s">
        <v>308</v>
      </c>
      <c r="C351" s="920"/>
      <c r="D351" s="920"/>
      <c r="E351" s="921"/>
      <c r="F351" s="1635" t="s">
        <v>2549</v>
      </c>
      <c r="G351" s="1636"/>
      <c r="H351" s="1637"/>
      <c r="I351" s="1638">
        <v>2000000</v>
      </c>
      <c r="J351" s="1640"/>
      <c r="K351" s="1641"/>
      <c r="L351" s="1642">
        <v>40585</v>
      </c>
      <c r="M351" s="1643"/>
      <c r="N351" s="1642">
        <v>44219</v>
      </c>
      <c r="O351" s="1643"/>
      <c r="P351" s="922"/>
      <c r="Q351" s="924"/>
      <c r="R351" s="1644">
        <v>1042920</v>
      </c>
      <c r="S351" s="1645"/>
      <c r="T351" s="1638">
        <v>-63220</v>
      </c>
      <c r="U351" s="1639"/>
    </row>
    <row r="352" spans="2:21" ht="15" customHeight="1">
      <c r="B352" s="919" t="s">
        <v>310</v>
      </c>
      <c r="C352" s="920"/>
      <c r="D352" s="920"/>
      <c r="E352" s="921"/>
      <c r="F352" s="1635" t="s">
        <v>2547</v>
      </c>
      <c r="G352" s="1636"/>
      <c r="H352" s="1637"/>
      <c r="I352" s="1638">
        <v>1000000</v>
      </c>
      <c r="J352" s="1640"/>
      <c r="K352" s="1641"/>
      <c r="L352" s="1642">
        <v>40591</v>
      </c>
      <c r="M352" s="1643"/>
      <c r="N352" s="1642">
        <v>43851</v>
      </c>
      <c r="O352" s="1643"/>
      <c r="P352" s="922"/>
      <c r="Q352" s="924"/>
      <c r="R352" s="1644">
        <v>521460</v>
      </c>
      <c r="S352" s="1645"/>
      <c r="T352" s="1638">
        <v>-36507</v>
      </c>
      <c r="U352" s="1639"/>
    </row>
    <row r="353" spans="2:21" ht="15" customHeight="1">
      <c r="B353" s="919" t="s">
        <v>309</v>
      </c>
      <c r="C353" s="920"/>
      <c r="D353" s="920"/>
      <c r="E353" s="921"/>
      <c r="F353" s="1635" t="s">
        <v>2548</v>
      </c>
      <c r="G353" s="1636"/>
      <c r="H353" s="1637"/>
      <c r="I353" s="1638">
        <v>2000000</v>
      </c>
      <c r="J353" s="1640"/>
      <c r="K353" s="1641"/>
      <c r="L353" s="1642">
        <v>40599</v>
      </c>
      <c r="M353" s="1643"/>
      <c r="N353" s="1642">
        <v>44219</v>
      </c>
      <c r="O353" s="1643"/>
      <c r="P353" s="922"/>
      <c r="Q353" s="924"/>
      <c r="R353" s="1644">
        <v>1042920</v>
      </c>
      <c r="S353" s="1645"/>
      <c r="T353" s="1638">
        <v>-66052</v>
      </c>
      <c r="U353" s="1639"/>
    </row>
    <row r="354" spans="2:21" ht="15" customHeight="1">
      <c r="B354" s="919" t="s">
        <v>2603</v>
      </c>
      <c r="C354" s="920"/>
      <c r="D354" s="920"/>
      <c r="E354" s="921"/>
      <c r="F354" s="1635" t="s">
        <v>2547</v>
      </c>
      <c r="G354" s="1636"/>
      <c r="H354" s="1637"/>
      <c r="I354" s="1638">
        <v>2000000</v>
      </c>
      <c r="J354" s="1640"/>
      <c r="K354" s="1641"/>
      <c r="L354" s="1642">
        <v>40603</v>
      </c>
      <c r="M354" s="1643"/>
      <c r="N354" s="1642">
        <v>43527</v>
      </c>
      <c r="O354" s="1643"/>
      <c r="P354" s="922"/>
      <c r="Q354" s="924"/>
      <c r="R354" s="1644">
        <v>1042920</v>
      </c>
      <c r="S354" s="1645"/>
      <c r="T354" s="1638">
        <v>-61420</v>
      </c>
      <c r="U354" s="1639"/>
    </row>
    <row r="355" spans="2:21" ht="15" customHeight="1">
      <c r="B355" s="919" t="s">
        <v>2603</v>
      </c>
      <c r="C355" s="920"/>
      <c r="D355" s="920"/>
      <c r="E355" s="921"/>
      <c r="F355" s="1635" t="s">
        <v>2547</v>
      </c>
      <c r="G355" s="1636"/>
      <c r="H355" s="1637"/>
      <c r="I355" s="1638">
        <v>2000000</v>
      </c>
      <c r="J355" s="1640"/>
      <c r="K355" s="1641"/>
      <c r="L355" s="1642">
        <v>40617</v>
      </c>
      <c r="M355" s="1643"/>
      <c r="N355" s="1642">
        <v>43527</v>
      </c>
      <c r="O355" s="1643"/>
      <c r="P355" s="922"/>
      <c r="Q355" s="924"/>
      <c r="R355" s="1644">
        <v>1042920</v>
      </c>
      <c r="S355" s="1645"/>
      <c r="T355" s="1638">
        <v>-46045</v>
      </c>
      <c r="U355" s="1639"/>
    </row>
    <row r="356" spans="2:21" ht="15" customHeight="1">
      <c r="B356" s="919" t="s">
        <v>310</v>
      </c>
      <c r="C356" s="920"/>
      <c r="D356" s="920"/>
      <c r="E356" s="921"/>
      <c r="F356" s="1635" t="s">
        <v>2547</v>
      </c>
      <c r="G356" s="1636"/>
      <c r="H356" s="1637"/>
      <c r="I356" s="1638">
        <v>2000000</v>
      </c>
      <c r="J356" s="1640"/>
      <c r="K356" s="1641"/>
      <c r="L356" s="1642">
        <v>40623</v>
      </c>
      <c r="M356" s="1643"/>
      <c r="N356" s="1642">
        <v>43775</v>
      </c>
      <c r="O356" s="1643"/>
      <c r="P356" s="922"/>
      <c r="Q356" s="924"/>
      <c r="R356" s="1644">
        <v>1042920</v>
      </c>
      <c r="S356" s="1645"/>
      <c r="T356" s="1638">
        <v>-54906</v>
      </c>
      <c r="U356" s="1639"/>
    </row>
    <row r="357" spans="2:21" ht="15" customHeight="1">
      <c r="B357" s="919" t="s">
        <v>2602</v>
      </c>
      <c r="C357" s="920"/>
      <c r="D357" s="920"/>
      <c r="E357" s="921"/>
      <c r="F357" s="1635" t="s">
        <v>2547</v>
      </c>
      <c r="G357" s="1636"/>
      <c r="H357" s="1637"/>
      <c r="I357" s="1638">
        <v>1000000</v>
      </c>
      <c r="J357" s="1640"/>
      <c r="K357" s="1641"/>
      <c r="L357" s="1642">
        <v>40623</v>
      </c>
      <c r="M357" s="1643"/>
      <c r="N357" s="1642">
        <v>43527</v>
      </c>
      <c r="O357" s="1643"/>
      <c r="P357" s="922"/>
      <c r="Q357" s="924"/>
      <c r="R357" s="1644">
        <v>521460</v>
      </c>
      <c r="S357" s="1645"/>
      <c r="T357" s="1638">
        <v>-24614</v>
      </c>
      <c r="U357" s="1639"/>
    </row>
    <row r="358" spans="2:21" ht="15" customHeight="1">
      <c r="B358" s="919" t="s">
        <v>251</v>
      </c>
      <c r="C358" s="920"/>
      <c r="D358" s="920"/>
      <c r="E358" s="921"/>
      <c r="F358" s="1635" t="s">
        <v>2549</v>
      </c>
      <c r="G358" s="1636"/>
      <c r="H358" s="1637"/>
      <c r="I358" s="1638">
        <v>2400000</v>
      </c>
      <c r="J358" s="1640"/>
      <c r="K358" s="1641"/>
      <c r="L358" s="1642">
        <v>40632</v>
      </c>
      <c r="M358" s="1643"/>
      <c r="N358" s="1642">
        <v>43084</v>
      </c>
      <c r="O358" s="1643"/>
      <c r="P358" s="922"/>
      <c r="Q358" s="924"/>
      <c r="R358" s="1644">
        <v>1620480</v>
      </c>
      <c r="S358" s="1645"/>
      <c r="T358" s="1638">
        <v>65684</v>
      </c>
      <c r="U358" s="1639"/>
    </row>
    <row r="359" spans="2:21" ht="15" customHeight="1">
      <c r="B359" s="919" t="s">
        <v>312</v>
      </c>
      <c r="C359" s="920"/>
      <c r="D359" s="920"/>
      <c r="E359" s="921"/>
      <c r="F359" s="1635" t="s">
        <v>2547</v>
      </c>
      <c r="G359" s="1636"/>
      <c r="H359" s="1637"/>
      <c r="I359" s="1638">
        <v>1000000</v>
      </c>
      <c r="J359" s="1640"/>
      <c r="K359" s="1641"/>
      <c r="L359" s="1642">
        <v>40637</v>
      </c>
      <c r="M359" s="1643"/>
      <c r="N359" s="1642">
        <v>43775</v>
      </c>
      <c r="O359" s="1643"/>
      <c r="P359" s="922"/>
      <c r="Q359" s="924"/>
      <c r="R359" s="1644">
        <v>521460</v>
      </c>
      <c r="S359" s="1645"/>
      <c r="T359" s="1638">
        <v>-34892</v>
      </c>
      <c r="U359" s="1639"/>
    </row>
    <row r="360" spans="2:21" ht="15" customHeight="1">
      <c r="B360" s="919" t="s">
        <v>312</v>
      </c>
      <c r="C360" s="920"/>
      <c r="D360" s="920"/>
      <c r="E360" s="921"/>
      <c r="F360" s="1635" t="s">
        <v>2547</v>
      </c>
      <c r="G360" s="1636"/>
      <c r="H360" s="1637"/>
      <c r="I360" s="1638">
        <v>4235095.6500000004</v>
      </c>
      <c r="J360" s="1640"/>
      <c r="K360" s="1641"/>
      <c r="L360" s="1642">
        <v>40648</v>
      </c>
      <c r="M360" s="1643"/>
      <c r="N360" s="1642">
        <v>44727</v>
      </c>
      <c r="O360" s="1643"/>
      <c r="P360" s="922"/>
      <c r="Q360" s="924"/>
      <c r="R360" s="1644">
        <v>2208433</v>
      </c>
      <c r="S360" s="1645"/>
      <c r="T360" s="1638">
        <v>-137185</v>
      </c>
      <c r="U360" s="1639"/>
    </row>
    <row r="361" spans="2:21" ht="15" customHeight="1">
      <c r="B361" s="919" t="s">
        <v>309</v>
      </c>
      <c r="C361" s="920"/>
      <c r="D361" s="920"/>
      <c r="E361" s="921"/>
      <c r="F361" s="1635" t="s">
        <v>2548</v>
      </c>
      <c r="G361" s="1636"/>
      <c r="H361" s="1637"/>
      <c r="I361" s="1638">
        <v>2000000</v>
      </c>
      <c r="J361" s="1640"/>
      <c r="K361" s="1641"/>
      <c r="L361" s="1642">
        <v>40653</v>
      </c>
      <c r="M361" s="1643"/>
      <c r="N361" s="1642">
        <v>43943</v>
      </c>
      <c r="O361" s="1643"/>
      <c r="P361" s="922"/>
      <c r="Q361" s="924"/>
      <c r="R361" s="1644">
        <v>1042920</v>
      </c>
      <c r="S361" s="1645"/>
      <c r="T361" s="1638">
        <v>-84341</v>
      </c>
      <c r="U361" s="1639"/>
    </row>
    <row r="362" spans="2:21" ht="15" customHeight="1">
      <c r="B362" s="919" t="s">
        <v>312</v>
      </c>
      <c r="C362" s="920"/>
      <c r="D362" s="920"/>
      <c r="E362" s="921"/>
      <c r="F362" s="1635" t="s">
        <v>2547</v>
      </c>
      <c r="G362" s="1636"/>
      <c r="H362" s="1637"/>
      <c r="I362" s="1638">
        <v>1000000</v>
      </c>
      <c r="J362" s="1640"/>
      <c r="K362" s="1641"/>
      <c r="L362" s="1642">
        <v>40665</v>
      </c>
      <c r="M362" s="1643"/>
      <c r="N362" s="1642">
        <v>43235</v>
      </c>
      <c r="O362" s="1643"/>
      <c r="P362" s="922"/>
      <c r="Q362" s="924"/>
      <c r="R362" s="1644">
        <v>521460</v>
      </c>
      <c r="S362" s="1645"/>
      <c r="T362" s="1638">
        <v>-44806</v>
      </c>
      <c r="U362" s="1639"/>
    </row>
    <row r="363" spans="2:21" ht="15" customHeight="1">
      <c r="B363" s="919" t="s">
        <v>2603</v>
      </c>
      <c r="C363" s="920"/>
      <c r="D363" s="920"/>
      <c r="E363" s="921"/>
      <c r="F363" s="1635" t="s">
        <v>2547</v>
      </c>
      <c r="G363" s="1636"/>
      <c r="H363" s="1637"/>
      <c r="I363" s="1638">
        <v>2000000</v>
      </c>
      <c r="J363" s="1640"/>
      <c r="K363" s="1641"/>
      <c r="L363" s="1642">
        <v>40665</v>
      </c>
      <c r="M363" s="1643"/>
      <c r="N363" s="1642">
        <v>43235</v>
      </c>
      <c r="O363" s="1643"/>
      <c r="P363" s="922"/>
      <c r="Q363" s="924"/>
      <c r="R363" s="1644">
        <v>1042920</v>
      </c>
      <c r="S363" s="1645"/>
      <c r="T363" s="1638">
        <v>-91227</v>
      </c>
      <c r="U363" s="1639"/>
    </row>
    <row r="364" spans="2:21" ht="15" customHeight="1">
      <c r="B364" s="919" t="s">
        <v>312</v>
      </c>
      <c r="C364" s="920"/>
      <c r="D364" s="920"/>
      <c r="E364" s="921"/>
      <c r="F364" s="1635" t="s">
        <v>2547</v>
      </c>
      <c r="G364" s="1636"/>
      <c r="H364" s="1637"/>
      <c r="I364" s="1638">
        <v>1500000</v>
      </c>
      <c r="J364" s="1640"/>
      <c r="K364" s="1641"/>
      <c r="L364" s="1642">
        <v>40668</v>
      </c>
      <c r="M364" s="1643"/>
      <c r="N364" s="1642">
        <v>43775</v>
      </c>
      <c r="O364" s="1643"/>
      <c r="P364" s="922"/>
      <c r="Q364" s="924"/>
      <c r="R364" s="1644">
        <v>782190</v>
      </c>
      <c r="S364" s="1645"/>
      <c r="T364" s="1638">
        <v>-73320</v>
      </c>
      <c r="U364" s="1639"/>
    </row>
    <row r="365" spans="2:21" ht="15" customHeight="1">
      <c r="B365" s="919" t="s">
        <v>310</v>
      </c>
      <c r="C365" s="920"/>
      <c r="D365" s="920"/>
      <c r="E365" s="921"/>
      <c r="F365" s="1635" t="s">
        <v>2547</v>
      </c>
      <c r="G365" s="1636"/>
      <c r="H365" s="1637"/>
      <c r="I365" s="1638">
        <v>2000000</v>
      </c>
      <c r="J365" s="1640"/>
      <c r="K365" s="1641"/>
      <c r="L365" s="1642">
        <v>40675</v>
      </c>
      <c r="M365" s="1643"/>
      <c r="N365" s="1642">
        <v>43943</v>
      </c>
      <c r="O365" s="1643"/>
      <c r="P365" s="922"/>
      <c r="Q365" s="924"/>
      <c r="R365" s="1644">
        <v>1042920</v>
      </c>
      <c r="S365" s="1645"/>
      <c r="T365" s="1638">
        <v>-92976</v>
      </c>
      <c r="U365" s="1639"/>
    </row>
    <row r="366" spans="2:21" ht="15" customHeight="1">
      <c r="B366" s="919" t="s">
        <v>2603</v>
      </c>
      <c r="C366" s="920"/>
      <c r="D366" s="920"/>
      <c r="E366" s="921"/>
      <c r="F366" s="1635" t="s">
        <v>2547</v>
      </c>
      <c r="G366" s="1636"/>
      <c r="H366" s="1637"/>
      <c r="I366" s="1638">
        <v>2000000</v>
      </c>
      <c r="J366" s="1640"/>
      <c r="K366" s="1641"/>
      <c r="L366" s="1642">
        <v>40676</v>
      </c>
      <c r="M366" s="1643"/>
      <c r="N366" s="1642">
        <v>43943</v>
      </c>
      <c r="O366" s="1643"/>
      <c r="P366" s="922"/>
      <c r="Q366" s="924"/>
      <c r="R366" s="1644">
        <v>1042920</v>
      </c>
      <c r="S366" s="1645"/>
      <c r="T366" s="1638">
        <v>-88538</v>
      </c>
      <c r="U366" s="1639"/>
    </row>
    <row r="367" spans="2:21" ht="15" customHeight="1">
      <c r="B367" s="919" t="s">
        <v>310</v>
      </c>
      <c r="C367" s="920"/>
      <c r="D367" s="920"/>
      <c r="E367" s="921"/>
      <c r="F367" s="1635" t="s">
        <v>2547</v>
      </c>
      <c r="G367" s="1636"/>
      <c r="H367" s="1637"/>
      <c r="I367" s="1638">
        <v>1700000</v>
      </c>
      <c r="J367" s="1640"/>
      <c r="K367" s="1641"/>
      <c r="L367" s="1642">
        <v>40683</v>
      </c>
      <c r="M367" s="1643"/>
      <c r="N367" s="1642">
        <v>44219</v>
      </c>
      <c r="O367" s="1643"/>
      <c r="P367" s="922"/>
      <c r="Q367" s="924"/>
      <c r="R367" s="1644">
        <v>886482</v>
      </c>
      <c r="S367" s="1645"/>
      <c r="T367" s="1638">
        <v>-78464</v>
      </c>
      <c r="U367" s="1639"/>
    </row>
    <row r="368" spans="2:21" ht="15" customHeight="1">
      <c r="B368" s="919" t="s">
        <v>310</v>
      </c>
      <c r="C368" s="920"/>
      <c r="D368" s="920"/>
      <c r="E368" s="921"/>
      <c r="F368" s="1635" t="s">
        <v>2547</v>
      </c>
      <c r="G368" s="1636"/>
      <c r="H368" s="1637"/>
      <c r="I368" s="1638">
        <v>2000000</v>
      </c>
      <c r="J368" s="1640"/>
      <c r="K368" s="1641"/>
      <c r="L368" s="1642">
        <v>40687</v>
      </c>
      <c r="M368" s="1643"/>
      <c r="N368" s="1642">
        <v>44219</v>
      </c>
      <c r="O368" s="1643"/>
      <c r="P368" s="922"/>
      <c r="Q368" s="924"/>
      <c r="R368" s="1644">
        <v>1042920</v>
      </c>
      <c r="S368" s="1645"/>
      <c r="T368" s="1638">
        <v>-80974</v>
      </c>
      <c r="U368" s="1639"/>
    </row>
    <row r="369" spans="2:21" ht="15" customHeight="1">
      <c r="B369" s="919" t="s">
        <v>312</v>
      </c>
      <c r="C369" s="920"/>
      <c r="D369" s="920"/>
      <c r="E369" s="921"/>
      <c r="F369" s="1635" t="s">
        <v>2547</v>
      </c>
      <c r="G369" s="1636"/>
      <c r="H369" s="1637"/>
      <c r="I369" s="1638">
        <v>2970315.96</v>
      </c>
      <c r="J369" s="1640"/>
      <c r="K369" s="1641"/>
      <c r="L369" s="1642">
        <v>40688</v>
      </c>
      <c r="M369" s="1643"/>
      <c r="N369" s="1642">
        <v>44728</v>
      </c>
      <c r="O369" s="1643"/>
      <c r="P369" s="922"/>
      <c r="Q369" s="924"/>
      <c r="R369" s="1644">
        <v>1548901</v>
      </c>
      <c r="S369" s="1645"/>
      <c r="T369" s="1638">
        <v>-111650</v>
      </c>
      <c r="U369" s="1639"/>
    </row>
    <row r="370" spans="2:21" ht="15" customHeight="1">
      <c r="B370" s="919" t="s">
        <v>251</v>
      </c>
      <c r="C370" s="920"/>
      <c r="D370" s="920"/>
      <c r="E370" s="921"/>
      <c r="F370" s="1635" t="s">
        <v>2549</v>
      </c>
      <c r="G370" s="1636"/>
      <c r="H370" s="1637"/>
      <c r="I370" s="1638">
        <v>5000000</v>
      </c>
      <c r="J370" s="1640"/>
      <c r="K370" s="1641"/>
      <c r="L370" s="1642">
        <v>40689</v>
      </c>
      <c r="M370" s="1643"/>
      <c r="N370" s="1642">
        <v>44350</v>
      </c>
      <c r="O370" s="1643"/>
      <c r="P370" s="922"/>
      <c r="Q370" s="924"/>
      <c r="R370" s="1644">
        <v>2607300</v>
      </c>
      <c r="S370" s="1645"/>
      <c r="T370" s="1638">
        <v>-207190</v>
      </c>
      <c r="U370" s="1639"/>
    </row>
    <row r="371" spans="2:21" ht="15" customHeight="1">
      <c r="B371" s="919" t="s">
        <v>312</v>
      </c>
      <c r="C371" s="920"/>
      <c r="D371" s="920"/>
      <c r="E371" s="921"/>
      <c r="F371" s="1635" t="s">
        <v>2547</v>
      </c>
      <c r="G371" s="1636"/>
      <c r="H371" s="1637"/>
      <c r="I371" s="1638">
        <v>2000000</v>
      </c>
      <c r="J371" s="1640"/>
      <c r="K371" s="1641"/>
      <c r="L371" s="1642">
        <v>40702</v>
      </c>
      <c r="M371" s="1643"/>
      <c r="N371" s="1642">
        <v>42411</v>
      </c>
      <c r="O371" s="1643"/>
      <c r="P371" s="922"/>
      <c r="Q371" s="924"/>
      <c r="R371" s="1644">
        <v>1042920</v>
      </c>
      <c r="S371" s="1645"/>
      <c r="T371" s="1638">
        <v>-91228</v>
      </c>
      <c r="U371" s="1639"/>
    </row>
    <row r="372" spans="2:21" ht="15" customHeight="1">
      <c r="B372" s="919" t="s">
        <v>2603</v>
      </c>
      <c r="C372" s="920"/>
      <c r="D372" s="920"/>
      <c r="E372" s="921"/>
      <c r="F372" s="1635" t="s">
        <v>2547</v>
      </c>
      <c r="G372" s="1636"/>
      <c r="H372" s="1637"/>
      <c r="I372" s="1638">
        <v>2000000</v>
      </c>
      <c r="J372" s="1640"/>
      <c r="K372" s="1641"/>
      <c r="L372" s="1642">
        <v>40707</v>
      </c>
      <c r="M372" s="1643"/>
      <c r="N372" s="1642">
        <v>42411</v>
      </c>
      <c r="O372" s="1643"/>
      <c r="P372" s="922"/>
      <c r="Q372" s="924"/>
      <c r="R372" s="1644">
        <v>1042920</v>
      </c>
      <c r="S372" s="1645"/>
      <c r="T372" s="1638">
        <v>-91001</v>
      </c>
      <c r="U372" s="1639"/>
    </row>
    <row r="373" spans="2:21" ht="15" customHeight="1">
      <c r="B373" s="919" t="s">
        <v>309</v>
      </c>
      <c r="C373" s="920"/>
      <c r="D373" s="920"/>
      <c r="E373" s="921"/>
      <c r="F373" s="1635" t="s">
        <v>2548</v>
      </c>
      <c r="G373" s="1636"/>
      <c r="H373" s="1637"/>
      <c r="I373" s="1638">
        <v>3000000</v>
      </c>
      <c r="J373" s="1640"/>
      <c r="K373" s="1641"/>
      <c r="L373" s="1642">
        <v>40708</v>
      </c>
      <c r="M373" s="1643"/>
      <c r="N373" s="1642">
        <v>42475</v>
      </c>
      <c r="O373" s="1643"/>
      <c r="P373" s="922"/>
      <c r="Q373" s="924"/>
      <c r="R373" s="1644">
        <v>1564380</v>
      </c>
      <c r="S373" s="1645"/>
      <c r="T373" s="1638">
        <v>-143956</v>
      </c>
      <c r="U373" s="1639"/>
    </row>
    <row r="374" spans="2:21" ht="15" customHeight="1">
      <c r="B374" s="919" t="s">
        <v>251</v>
      </c>
      <c r="C374" s="920"/>
      <c r="D374" s="920"/>
      <c r="E374" s="921"/>
      <c r="F374" s="1635" t="s">
        <v>2549</v>
      </c>
      <c r="G374" s="1636"/>
      <c r="H374" s="1637"/>
      <c r="I374" s="1638">
        <v>3000000</v>
      </c>
      <c r="J374" s="1640"/>
      <c r="K374" s="1641"/>
      <c r="L374" s="1642">
        <v>40709</v>
      </c>
      <c r="M374" s="1643"/>
      <c r="N374" s="1642">
        <v>42475</v>
      </c>
      <c r="O374" s="1643"/>
      <c r="P374" s="922"/>
      <c r="Q374" s="924"/>
      <c r="R374" s="1644">
        <v>1564380</v>
      </c>
      <c r="S374" s="1645"/>
      <c r="T374" s="1638">
        <v>-139477</v>
      </c>
      <c r="U374" s="1639"/>
    </row>
    <row r="375" spans="2:21" ht="15" customHeight="1">
      <c r="B375" s="919" t="s">
        <v>251</v>
      </c>
      <c r="C375" s="920"/>
      <c r="D375" s="920"/>
      <c r="E375" s="921"/>
      <c r="F375" s="1635" t="s">
        <v>2549</v>
      </c>
      <c r="G375" s="1636"/>
      <c r="H375" s="1637"/>
      <c r="I375" s="1638">
        <v>2000000</v>
      </c>
      <c r="J375" s="1640"/>
      <c r="K375" s="1641"/>
      <c r="L375" s="1642">
        <v>40723</v>
      </c>
      <c r="M375" s="1643"/>
      <c r="N375" s="1642">
        <v>42475</v>
      </c>
      <c r="O375" s="1643"/>
      <c r="P375" s="922"/>
      <c r="Q375" s="924"/>
      <c r="R375" s="1644">
        <v>1042920</v>
      </c>
      <c r="S375" s="1645"/>
      <c r="T375" s="1638">
        <v>-87746</v>
      </c>
      <c r="U375" s="1639"/>
    </row>
    <row r="376" spans="2:21" ht="15" customHeight="1">
      <c r="B376" s="919" t="s">
        <v>310</v>
      </c>
      <c r="C376" s="920"/>
      <c r="D376" s="920"/>
      <c r="E376" s="921"/>
      <c r="F376" s="1635" t="s">
        <v>2547</v>
      </c>
      <c r="G376" s="1636"/>
      <c r="H376" s="1637"/>
      <c r="I376" s="1638">
        <v>1500000</v>
      </c>
      <c r="J376" s="1640"/>
      <c r="K376" s="1641"/>
      <c r="L376" s="1642">
        <v>40732</v>
      </c>
      <c r="M376" s="1643"/>
      <c r="N376" s="1642">
        <v>42475</v>
      </c>
      <c r="O376" s="1643"/>
      <c r="P376" s="922"/>
      <c r="Q376" s="924"/>
      <c r="R376" s="1644">
        <v>782190</v>
      </c>
      <c r="S376" s="1645"/>
      <c r="T376" s="1638">
        <v>-78576</v>
      </c>
      <c r="U376" s="1639"/>
    </row>
    <row r="377" spans="2:21" ht="15" customHeight="1">
      <c r="B377" s="919" t="s">
        <v>312</v>
      </c>
      <c r="C377" s="920"/>
      <c r="D377" s="920"/>
      <c r="E377" s="921"/>
      <c r="F377" s="1635" t="s">
        <v>2547</v>
      </c>
      <c r="G377" s="1636"/>
      <c r="H377" s="1637"/>
      <c r="I377" s="1638">
        <v>2000000</v>
      </c>
      <c r="J377" s="1640"/>
      <c r="K377" s="1641"/>
      <c r="L377" s="1642">
        <v>40742</v>
      </c>
      <c r="M377" s="1643"/>
      <c r="N377" s="1642">
        <v>42541</v>
      </c>
      <c r="O377" s="1643"/>
      <c r="P377" s="922"/>
      <c r="Q377" s="924"/>
      <c r="R377" s="1644">
        <v>1042920</v>
      </c>
      <c r="S377" s="1645"/>
      <c r="T377" s="1638">
        <v>-106627</v>
      </c>
      <c r="U377" s="1639"/>
    </row>
    <row r="378" spans="2:21" ht="15" customHeight="1">
      <c r="B378" s="919" t="s">
        <v>309</v>
      </c>
      <c r="C378" s="920"/>
      <c r="D378" s="920"/>
      <c r="E378" s="921"/>
      <c r="F378" s="1635" t="s">
        <v>2548</v>
      </c>
      <c r="G378" s="1636"/>
      <c r="H378" s="1637"/>
      <c r="I378" s="1638">
        <v>2000000</v>
      </c>
      <c r="J378" s="1640"/>
      <c r="K378" s="1641"/>
      <c r="L378" s="1642">
        <v>40742</v>
      </c>
      <c r="M378" s="1643"/>
      <c r="N378" s="1642">
        <v>42541</v>
      </c>
      <c r="O378" s="1643"/>
      <c r="P378" s="922"/>
      <c r="Q378" s="924"/>
      <c r="R378" s="1644">
        <v>1042920</v>
      </c>
      <c r="S378" s="1645"/>
      <c r="T378" s="1638">
        <v>-108157</v>
      </c>
      <c r="U378" s="1639"/>
    </row>
    <row r="379" spans="2:21" ht="15" customHeight="1">
      <c r="B379" s="919" t="s">
        <v>311</v>
      </c>
      <c r="C379" s="920"/>
      <c r="D379" s="920"/>
      <c r="E379" s="921"/>
      <c r="F379" s="1635" t="s">
        <v>2548</v>
      </c>
      <c r="G379" s="1636"/>
      <c r="H379" s="1637"/>
      <c r="I379" s="1638">
        <v>1600000</v>
      </c>
      <c r="J379" s="1640"/>
      <c r="K379" s="1641"/>
      <c r="L379" s="1642">
        <v>40757</v>
      </c>
      <c r="M379" s="1643"/>
      <c r="N379" s="1642">
        <v>43028</v>
      </c>
      <c r="O379" s="1643"/>
      <c r="P379" s="922"/>
      <c r="Q379" s="924"/>
      <c r="R379" s="1644">
        <v>834336</v>
      </c>
      <c r="S379" s="1645"/>
      <c r="T379" s="1638">
        <v>-101087</v>
      </c>
      <c r="U379" s="1639"/>
    </row>
    <row r="380" spans="2:21" ht="15" customHeight="1">
      <c r="B380" s="919" t="s">
        <v>251</v>
      </c>
      <c r="C380" s="920"/>
      <c r="D380" s="920"/>
      <c r="E380" s="921"/>
      <c r="F380" s="1635" t="s">
        <v>2549</v>
      </c>
      <c r="G380" s="1636"/>
      <c r="H380" s="1637"/>
      <c r="I380" s="1638">
        <v>2000000</v>
      </c>
      <c r="J380" s="1640"/>
      <c r="K380" s="1641"/>
      <c r="L380" s="1642">
        <v>40759</v>
      </c>
      <c r="M380" s="1643"/>
      <c r="N380" s="1642">
        <v>43256</v>
      </c>
      <c r="O380" s="1643"/>
      <c r="P380" s="922"/>
      <c r="Q380" s="924"/>
      <c r="R380" s="1644">
        <v>1042920</v>
      </c>
      <c r="S380" s="1645"/>
      <c r="T380" s="1638">
        <v>-116544</v>
      </c>
      <c r="U380" s="1639"/>
    </row>
    <row r="381" spans="2:21" ht="15" customHeight="1">
      <c r="B381" s="919" t="s">
        <v>310</v>
      </c>
      <c r="C381" s="920"/>
      <c r="D381" s="920"/>
      <c r="E381" s="921"/>
      <c r="F381" s="1635" t="s">
        <v>2547</v>
      </c>
      <c r="G381" s="1636"/>
      <c r="H381" s="1637"/>
      <c r="I381" s="1638">
        <v>3000000</v>
      </c>
      <c r="J381" s="1640"/>
      <c r="K381" s="1641"/>
      <c r="L381" s="1642">
        <v>40763</v>
      </c>
      <c r="M381" s="1643"/>
      <c r="N381" s="1642">
        <v>43119</v>
      </c>
      <c r="O381" s="1643"/>
      <c r="P381" s="922"/>
      <c r="Q381" s="924"/>
      <c r="R381" s="1644">
        <v>1564380</v>
      </c>
      <c r="S381" s="1645"/>
      <c r="T381" s="1638">
        <v>-128000</v>
      </c>
      <c r="U381" s="1639"/>
    </row>
    <row r="382" spans="2:21" ht="15" customHeight="1">
      <c r="B382" s="919" t="s">
        <v>312</v>
      </c>
      <c r="C382" s="920"/>
      <c r="D382" s="920"/>
      <c r="E382" s="921"/>
      <c r="F382" s="1635" t="s">
        <v>2547</v>
      </c>
      <c r="G382" s="1636"/>
      <c r="H382" s="1637"/>
      <c r="I382" s="1638">
        <v>3000000</v>
      </c>
      <c r="J382" s="1640"/>
      <c r="K382" s="1641"/>
      <c r="L382" s="1642">
        <v>40764</v>
      </c>
      <c r="M382" s="1643"/>
      <c r="N382" s="1642">
        <v>43851</v>
      </c>
      <c r="O382" s="1643"/>
      <c r="P382" s="922"/>
      <c r="Q382" s="924"/>
      <c r="R382" s="1644">
        <v>1564380</v>
      </c>
      <c r="S382" s="1645"/>
      <c r="T382" s="1638">
        <v>-138997</v>
      </c>
      <c r="U382" s="1639"/>
    </row>
    <row r="383" spans="2:21" ht="15" customHeight="1">
      <c r="B383" s="919" t="s">
        <v>310</v>
      </c>
      <c r="C383" s="920"/>
      <c r="D383" s="920"/>
      <c r="E383" s="921"/>
      <c r="F383" s="1635" t="s">
        <v>2547</v>
      </c>
      <c r="G383" s="1636"/>
      <c r="H383" s="1637"/>
      <c r="I383" s="1638">
        <v>2000000</v>
      </c>
      <c r="J383" s="1640"/>
      <c r="K383" s="1641"/>
      <c r="L383" s="1642">
        <v>40765</v>
      </c>
      <c r="M383" s="1643"/>
      <c r="N383" s="1642">
        <v>43119</v>
      </c>
      <c r="O383" s="1643"/>
      <c r="P383" s="922"/>
      <c r="Q383" s="924"/>
      <c r="R383" s="1644">
        <v>1042920</v>
      </c>
      <c r="S383" s="1645"/>
      <c r="T383" s="1638">
        <v>-86043</v>
      </c>
      <c r="U383" s="1639"/>
    </row>
    <row r="384" spans="2:21" ht="15" customHeight="1">
      <c r="B384" s="919" t="s">
        <v>2602</v>
      </c>
      <c r="C384" s="920"/>
      <c r="D384" s="920"/>
      <c r="E384" s="921"/>
      <c r="F384" s="1635" t="s">
        <v>2547</v>
      </c>
      <c r="G384" s="1636"/>
      <c r="H384" s="1637"/>
      <c r="I384" s="1638">
        <v>2000000</v>
      </c>
      <c r="J384" s="1640"/>
      <c r="K384" s="1641"/>
      <c r="L384" s="1642">
        <v>40766</v>
      </c>
      <c r="M384" s="1643"/>
      <c r="N384" s="1642">
        <v>44350</v>
      </c>
      <c r="O384" s="1643"/>
      <c r="P384" s="922"/>
      <c r="Q384" s="924"/>
      <c r="R384" s="1644">
        <v>1042920</v>
      </c>
      <c r="S384" s="1645"/>
      <c r="T384" s="1638">
        <v>-85047</v>
      </c>
      <c r="U384" s="1639"/>
    </row>
    <row r="385" spans="2:21" ht="15" customHeight="1">
      <c r="B385" s="919" t="s">
        <v>312</v>
      </c>
      <c r="C385" s="920"/>
      <c r="D385" s="920"/>
      <c r="E385" s="921"/>
      <c r="F385" s="1635" t="s">
        <v>2547</v>
      </c>
      <c r="G385" s="1636"/>
      <c r="H385" s="1637"/>
      <c r="I385" s="1638">
        <v>2500000</v>
      </c>
      <c r="J385" s="1640"/>
      <c r="K385" s="1641"/>
      <c r="L385" s="1642">
        <v>40767</v>
      </c>
      <c r="M385" s="1643"/>
      <c r="N385" s="1642">
        <v>42381</v>
      </c>
      <c r="O385" s="1643"/>
      <c r="P385" s="922"/>
      <c r="Q385" s="924"/>
      <c r="R385" s="1644">
        <v>1303650</v>
      </c>
      <c r="S385" s="1645"/>
      <c r="T385" s="1638">
        <v>-112929</v>
      </c>
      <c r="U385" s="1639"/>
    </row>
    <row r="386" spans="2:21" ht="15" customHeight="1">
      <c r="B386" s="919" t="s">
        <v>310</v>
      </c>
      <c r="C386" s="920"/>
      <c r="D386" s="920"/>
      <c r="E386" s="921"/>
      <c r="F386" s="1635" t="s">
        <v>2547</v>
      </c>
      <c r="G386" s="1636"/>
      <c r="H386" s="1637"/>
      <c r="I386" s="1638">
        <v>2000000</v>
      </c>
      <c r="J386" s="1640"/>
      <c r="K386" s="1641"/>
      <c r="L386" s="1642">
        <v>40774</v>
      </c>
      <c r="M386" s="1643"/>
      <c r="N386" s="1642">
        <v>43256</v>
      </c>
      <c r="O386" s="1643"/>
      <c r="P386" s="922"/>
      <c r="Q386" s="924"/>
      <c r="R386" s="1644">
        <v>1042920</v>
      </c>
      <c r="S386" s="1645"/>
      <c r="T386" s="1638">
        <v>-102431</v>
      </c>
      <c r="U386" s="1639"/>
    </row>
    <row r="387" spans="2:21" ht="15" customHeight="1">
      <c r="B387" s="919" t="s">
        <v>2602</v>
      </c>
      <c r="C387" s="920"/>
      <c r="D387" s="920"/>
      <c r="E387" s="921"/>
      <c r="F387" s="1635" t="s">
        <v>2547</v>
      </c>
      <c r="G387" s="1636"/>
      <c r="H387" s="1637"/>
      <c r="I387" s="1638">
        <v>2000000</v>
      </c>
      <c r="J387" s="1640"/>
      <c r="K387" s="1641"/>
      <c r="L387" s="1642">
        <v>40774</v>
      </c>
      <c r="M387" s="1643"/>
      <c r="N387" s="1642">
        <v>44551</v>
      </c>
      <c r="O387" s="1643"/>
      <c r="P387" s="922"/>
      <c r="Q387" s="924"/>
      <c r="R387" s="1644">
        <v>1042920</v>
      </c>
      <c r="S387" s="1645"/>
      <c r="T387" s="1638">
        <v>-88590</v>
      </c>
      <c r="U387" s="1639"/>
    </row>
    <row r="388" spans="2:21" ht="15" customHeight="1">
      <c r="B388" s="919" t="s">
        <v>2603</v>
      </c>
      <c r="C388" s="920"/>
      <c r="D388" s="920"/>
      <c r="E388" s="921"/>
      <c r="F388" s="1635" t="s">
        <v>2547</v>
      </c>
      <c r="G388" s="1636"/>
      <c r="H388" s="1637"/>
      <c r="I388" s="1638">
        <v>2000000</v>
      </c>
      <c r="J388" s="1640"/>
      <c r="K388" s="1641"/>
      <c r="L388" s="1642">
        <v>40777</v>
      </c>
      <c r="M388" s="1643"/>
      <c r="N388" s="1642">
        <v>44127</v>
      </c>
      <c r="O388" s="1643"/>
      <c r="P388" s="922"/>
      <c r="Q388" s="924"/>
      <c r="R388" s="1644">
        <v>1042920</v>
      </c>
      <c r="S388" s="1645"/>
      <c r="T388" s="1638">
        <v>-91333</v>
      </c>
      <c r="U388" s="1639"/>
    </row>
    <row r="389" spans="2:21" ht="15" customHeight="1">
      <c r="B389" s="919" t="s">
        <v>310</v>
      </c>
      <c r="C389" s="920"/>
      <c r="D389" s="920"/>
      <c r="E389" s="921"/>
      <c r="F389" s="1635" t="s">
        <v>2547</v>
      </c>
      <c r="G389" s="1636"/>
      <c r="H389" s="1637"/>
      <c r="I389" s="1638">
        <v>1000000</v>
      </c>
      <c r="J389" s="1640"/>
      <c r="K389" s="1641"/>
      <c r="L389" s="1642">
        <v>40778</v>
      </c>
      <c r="M389" s="1643"/>
      <c r="N389" s="1642">
        <v>43256</v>
      </c>
      <c r="O389" s="1643"/>
      <c r="P389" s="922"/>
      <c r="Q389" s="924"/>
      <c r="R389" s="1644">
        <v>521460</v>
      </c>
      <c r="S389" s="1645"/>
      <c r="T389" s="1638">
        <v>-52840</v>
      </c>
      <c r="U389" s="1639"/>
    </row>
    <row r="390" spans="2:21" ht="15" customHeight="1">
      <c r="B390" s="919" t="s">
        <v>2602</v>
      </c>
      <c r="C390" s="920"/>
      <c r="D390" s="920"/>
      <c r="E390" s="921"/>
      <c r="F390" s="1635" t="s">
        <v>2547</v>
      </c>
      <c r="G390" s="1636"/>
      <c r="H390" s="1637"/>
      <c r="I390" s="1638">
        <v>2000000</v>
      </c>
      <c r="J390" s="1640"/>
      <c r="K390" s="1641"/>
      <c r="L390" s="1642">
        <v>40781</v>
      </c>
      <c r="M390" s="1643"/>
      <c r="N390" s="1642">
        <v>43028</v>
      </c>
      <c r="O390" s="1643"/>
      <c r="P390" s="922"/>
      <c r="Q390" s="924"/>
      <c r="R390" s="1644">
        <v>1042920</v>
      </c>
      <c r="S390" s="1645"/>
      <c r="T390" s="1638">
        <v>-103472</v>
      </c>
      <c r="U390" s="1639"/>
    </row>
    <row r="391" spans="2:21" ht="15" customHeight="1">
      <c r="B391" s="919" t="s">
        <v>2602</v>
      </c>
      <c r="C391" s="920"/>
      <c r="D391" s="920"/>
      <c r="E391" s="921"/>
      <c r="F391" s="1635" t="s">
        <v>2547</v>
      </c>
      <c r="G391" s="1636"/>
      <c r="H391" s="1637"/>
      <c r="I391" s="1638">
        <v>2000000</v>
      </c>
      <c r="J391" s="1640"/>
      <c r="K391" s="1641"/>
      <c r="L391" s="1642">
        <v>40799</v>
      </c>
      <c r="M391" s="1643"/>
      <c r="N391" s="1642">
        <v>44334</v>
      </c>
      <c r="O391" s="1643"/>
      <c r="P391" s="922"/>
      <c r="Q391" s="924"/>
      <c r="R391" s="1644">
        <v>1042920</v>
      </c>
      <c r="S391" s="1645"/>
      <c r="T391" s="1638">
        <v>-77535</v>
      </c>
      <c r="U391" s="1639"/>
    </row>
    <row r="392" spans="2:21" ht="15" customHeight="1">
      <c r="B392" s="919" t="s">
        <v>309</v>
      </c>
      <c r="C392" s="920"/>
      <c r="D392" s="920"/>
      <c r="E392" s="921"/>
      <c r="F392" s="1635" t="s">
        <v>2548</v>
      </c>
      <c r="G392" s="1636"/>
      <c r="H392" s="1637"/>
      <c r="I392" s="1638">
        <v>2000000</v>
      </c>
      <c r="J392" s="1640"/>
      <c r="K392" s="1641"/>
      <c r="L392" s="1642">
        <v>40806</v>
      </c>
      <c r="M392" s="1643"/>
      <c r="N392" s="1642">
        <v>43084</v>
      </c>
      <c r="O392" s="1643"/>
      <c r="P392" s="922"/>
      <c r="Q392" s="924"/>
      <c r="R392" s="1644">
        <v>1350400</v>
      </c>
      <c r="S392" s="1645"/>
      <c r="T392" s="1638">
        <v>12077</v>
      </c>
      <c r="U392" s="1639"/>
    </row>
    <row r="393" spans="2:21" ht="15" customHeight="1">
      <c r="B393" s="919" t="s">
        <v>251</v>
      </c>
      <c r="C393" s="920"/>
      <c r="D393" s="920"/>
      <c r="E393" s="921"/>
      <c r="F393" s="1635" t="s">
        <v>2549</v>
      </c>
      <c r="G393" s="1636"/>
      <c r="H393" s="1637"/>
      <c r="I393" s="1638">
        <v>1466000</v>
      </c>
      <c r="J393" s="1640"/>
      <c r="K393" s="1641"/>
      <c r="L393" s="1642">
        <v>40807</v>
      </c>
      <c r="M393" s="1643"/>
      <c r="N393" s="1642">
        <v>43851</v>
      </c>
      <c r="O393" s="1643"/>
      <c r="P393" s="922"/>
      <c r="Q393" s="924"/>
      <c r="R393" s="1644">
        <v>764460</v>
      </c>
      <c r="S393" s="1645"/>
      <c r="T393" s="1638">
        <v>-21927</v>
      </c>
      <c r="U393" s="1639"/>
    </row>
    <row r="394" spans="2:21" ht="15" customHeight="1">
      <c r="B394" s="919" t="s">
        <v>251</v>
      </c>
      <c r="C394" s="920"/>
      <c r="D394" s="920"/>
      <c r="E394" s="921"/>
      <c r="F394" s="1635" t="s">
        <v>2549</v>
      </c>
      <c r="G394" s="1636"/>
      <c r="H394" s="1637"/>
      <c r="I394" s="1638">
        <v>5000000</v>
      </c>
      <c r="J394" s="1640"/>
      <c r="K394" s="1641"/>
      <c r="L394" s="1642">
        <v>40808</v>
      </c>
      <c r="M394" s="1643"/>
      <c r="N394" s="1642">
        <v>43235</v>
      </c>
      <c r="O394" s="1643"/>
      <c r="P394" s="922"/>
      <c r="Q394" s="924"/>
      <c r="R394" s="1644">
        <v>2607300</v>
      </c>
      <c r="S394" s="1645"/>
      <c r="T394" s="1638">
        <v>-77250</v>
      </c>
      <c r="U394" s="1639"/>
    </row>
    <row r="395" spans="2:21" ht="15" customHeight="1">
      <c r="B395" s="919" t="s">
        <v>251</v>
      </c>
      <c r="C395" s="920"/>
      <c r="D395" s="920"/>
      <c r="E395" s="921"/>
      <c r="F395" s="1635" t="s">
        <v>2549</v>
      </c>
      <c r="G395" s="1636"/>
      <c r="H395" s="1637"/>
      <c r="I395" s="1638">
        <v>2000000</v>
      </c>
      <c r="J395" s="1640"/>
      <c r="K395" s="1641"/>
      <c r="L395" s="1642">
        <v>40808</v>
      </c>
      <c r="M395" s="1643"/>
      <c r="N395" s="1642">
        <v>43851</v>
      </c>
      <c r="O395" s="1643"/>
      <c r="P395" s="922"/>
      <c r="Q395" s="924"/>
      <c r="R395" s="1644">
        <v>1042920</v>
      </c>
      <c r="S395" s="1645"/>
      <c r="T395" s="1638">
        <v>4196</v>
      </c>
      <c r="U395" s="1639"/>
    </row>
    <row r="396" spans="2:21" ht="15" customHeight="1">
      <c r="B396" s="919" t="s">
        <v>251</v>
      </c>
      <c r="C396" s="920"/>
      <c r="D396" s="920"/>
      <c r="E396" s="921"/>
      <c r="F396" s="1635" t="s">
        <v>2549</v>
      </c>
      <c r="G396" s="1636"/>
      <c r="H396" s="1637"/>
      <c r="I396" s="1638">
        <v>1000000</v>
      </c>
      <c r="J396" s="1640"/>
      <c r="K396" s="1641"/>
      <c r="L396" s="1642">
        <v>40808</v>
      </c>
      <c r="M396" s="1643"/>
      <c r="N396" s="1642">
        <v>43851</v>
      </c>
      <c r="O396" s="1643"/>
      <c r="P396" s="922"/>
      <c r="Q396" s="924"/>
      <c r="R396" s="1644">
        <v>521460</v>
      </c>
      <c r="S396" s="1645"/>
      <c r="T396" s="1638">
        <v>5856</v>
      </c>
      <c r="U396" s="1639"/>
    </row>
    <row r="397" spans="2:21" ht="15" customHeight="1">
      <c r="B397" s="919" t="s">
        <v>310</v>
      </c>
      <c r="C397" s="920"/>
      <c r="D397" s="920"/>
      <c r="E397" s="921"/>
      <c r="F397" s="1635" t="s">
        <v>2547</v>
      </c>
      <c r="G397" s="1636"/>
      <c r="H397" s="1637"/>
      <c r="I397" s="1638">
        <v>1800000</v>
      </c>
      <c r="J397" s="1640"/>
      <c r="K397" s="1641"/>
      <c r="L397" s="1642">
        <v>40808</v>
      </c>
      <c r="M397" s="1643"/>
      <c r="N397" s="1642">
        <v>44216</v>
      </c>
      <c r="O397" s="1643"/>
      <c r="P397" s="922"/>
      <c r="Q397" s="924"/>
      <c r="R397" s="1644">
        <v>938628</v>
      </c>
      <c r="S397" s="1645"/>
      <c r="T397" s="1638">
        <v>5096</v>
      </c>
      <c r="U397" s="1639"/>
    </row>
    <row r="398" spans="2:21" ht="15" customHeight="1">
      <c r="B398" s="919" t="s">
        <v>310</v>
      </c>
      <c r="C398" s="920"/>
      <c r="D398" s="920"/>
      <c r="E398" s="921"/>
      <c r="F398" s="1635" t="s">
        <v>2547</v>
      </c>
      <c r="G398" s="1636"/>
      <c r="H398" s="1637"/>
      <c r="I398" s="1638">
        <v>2000000</v>
      </c>
      <c r="J398" s="1640"/>
      <c r="K398" s="1641"/>
      <c r="L398" s="1642">
        <v>40808</v>
      </c>
      <c r="M398" s="1643"/>
      <c r="N398" s="1642">
        <v>44216</v>
      </c>
      <c r="O398" s="1643"/>
      <c r="P398" s="922"/>
      <c r="Q398" s="924"/>
      <c r="R398" s="1644">
        <v>1042920</v>
      </c>
      <c r="S398" s="1645"/>
      <c r="T398" s="1638">
        <v>10679</v>
      </c>
      <c r="U398" s="1639"/>
    </row>
    <row r="399" spans="2:21" ht="15" customHeight="1">
      <c r="B399" s="919" t="s">
        <v>2602</v>
      </c>
      <c r="C399" s="920"/>
      <c r="D399" s="920"/>
      <c r="E399" s="921"/>
      <c r="F399" s="1635" t="s">
        <v>2547</v>
      </c>
      <c r="G399" s="1636"/>
      <c r="H399" s="1637"/>
      <c r="I399" s="1638">
        <v>2000000</v>
      </c>
      <c r="J399" s="1640"/>
      <c r="K399" s="1641"/>
      <c r="L399" s="1642">
        <v>40809</v>
      </c>
      <c r="M399" s="1643"/>
      <c r="N399" s="1642">
        <v>44423</v>
      </c>
      <c r="O399" s="1643"/>
      <c r="P399" s="922"/>
      <c r="Q399" s="924"/>
      <c r="R399" s="1644">
        <v>1042920</v>
      </c>
      <c r="S399" s="1645"/>
      <c r="T399" s="1638">
        <v>4682</v>
      </c>
      <c r="U399" s="1639"/>
    </row>
    <row r="400" spans="2:21" ht="15" customHeight="1">
      <c r="B400" s="919" t="s">
        <v>308</v>
      </c>
      <c r="C400" s="920"/>
      <c r="D400" s="920"/>
      <c r="E400" s="921"/>
      <c r="F400" s="1635" t="s">
        <v>2549</v>
      </c>
      <c r="G400" s="1636"/>
      <c r="H400" s="1637"/>
      <c r="I400" s="1638">
        <v>2000000</v>
      </c>
      <c r="J400" s="1640"/>
      <c r="K400" s="1641"/>
      <c r="L400" s="1642">
        <v>40809</v>
      </c>
      <c r="M400" s="1643"/>
      <c r="N400" s="1642">
        <v>44216</v>
      </c>
      <c r="O400" s="1643"/>
      <c r="P400" s="922"/>
      <c r="Q400" s="924"/>
      <c r="R400" s="1644">
        <v>1042920</v>
      </c>
      <c r="S400" s="1645"/>
      <c r="T400" s="1638">
        <v>1707</v>
      </c>
      <c r="U400" s="1639"/>
    </row>
    <row r="401" spans="2:21" ht="15" customHeight="1">
      <c r="B401" s="919" t="s">
        <v>312</v>
      </c>
      <c r="C401" s="920"/>
      <c r="D401" s="920"/>
      <c r="E401" s="921"/>
      <c r="F401" s="1635" t="s">
        <v>2547</v>
      </c>
      <c r="G401" s="1636"/>
      <c r="H401" s="1637"/>
      <c r="I401" s="1638">
        <v>2000000</v>
      </c>
      <c r="J401" s="1640"/>
      <c r="K401" s="1641"/>
      <c r="L401" s="1642">
        <v>40813</v>
      </c>
      <c r="M401" s="1643"/>
      <c r="N401" s="1642">
        <v>44334</v>
      </c>
      <c r="O401" s="1643"/>
      <c r="P401" s="922"/>
      <c r="Q401" s="924"/>
      <c r="R401" s="1644">
        <v>1042920</v>
      </c>
      <c r="S401" s="1645"/>
      <c r="T401" s="1638">
        <v>-21507</v>
      </c>
      <c r="U401" s="1639"/>
    </row>
    <row r="402" spans="2:21" ht="15" customHeight="1">
      <c r="B402" s="919" t="s">
        <v>312</v>
      </c>
      <c r="C402" s="920"/>
      <c r="D402" s="920"/>
      <c r="E402" s="921"/>
      <c r="F402" s="1635" t="s">
        <v>2547</v>
      </c>
      <c r="G402" s="1636"/>
      <c r="H402" s="1637"/>
      <c r="I402" s="1638">
        <v>2000000</v>
      </c>
      <c r="J402" s="1640"/>
      <c r="K402" s="1641"/>
      <c r="L402" s="1642">
        <v>40815</v>
      </c>
      <c r="M402" s="1643"/>
      <c r="N402" s="1642">
        <v>43028</v>
      </c>
      <c r="O402" s="1643"/>
      <c r="P402" s="922"/>
      <c r="Q402" s="924"/>
      <c r="R402" s="1644">
        <v>1042920</v>
      </c>
      <c r="S402" s="1645"/>
      <c r="T402" s="1638">
        <v>-428</v>
      </c>
      <c r="U402" s="1639"/>
    </row>
    <row r="403" spans="2:21" ht="15" customHeight="1">
      <c r="B403" s="919" t="s">
        <v>312</v>
      </c>
      <c r="C403" s="920"/>
      <c r="D403" s="920"/>
      <c r="E403" s="921"/>
      <c r="F403" s="1635" t="s">
        <v>2547</v>
      </c>
      <c r="G403" s="1636"/>
      <c r="H403" s="1637"/>
      <c r="I403" s="1638">
        <v>1000000</v>
      </c>
      <c r="J403" s="1640"/>
      <c r="K403" s="1641"/>
      <c r="L403" s="1642">
        <v>40816</v>
      </c>
      <c r="M403" s="1643"/>
      <c r="N403" s="1642">
        <v>43851</v>
      </c>
      <c r="O403" s="1643"/>
      <c r="P403" s="922"/>
      <c r="Q403" s="924"/>
      <c r="R403" s="1644">
        <v>521460</v>
      </c>
      <c r="S403" s="1645"/>
      <c r="T403" s="1638">
        <v>6977</v>
      </c>
      <c r="U403" s="1639"/>
    </row>
    <row r="404" spans="2:21" ht="15" customHeight="1">
      <c r="B404" s="919" t="s">
        <v>310</v>
      </c>
      <c r="C404" s="920"/>
      <c r="D404" s="920"/>
      <c r="E404" s="921"/>
      <c r="F404" s="1635" t="s">
        <v>2547</v>
      </c>
      <c r="G404" s="1636"/>
      <c r="H404" s="1637"/>
      <c r="I404" s="1638">
        <v>2000000</v>
      </c>
      <c r="J404" s="1640"/>
      <c r="K404" s="1641"/>
      <c r="L404" s="1642">
        <v>40819</v>
      </c>
      <c r="M404" s="1643"/>
      <c r="N404" s="1642">
        <v>44181</v>
      </c>
      <c r="O404" s="1643"/>
      <c r="P404" s="922"/>
      <c r="Q404" s="924"/>
      <c r="R404" s="1644">
        <v>1042920</v>
      </c>
      <c r="S404" s="1645"/>
      <c r="T404" s="1638">
        <v>19131</v>
      </c>
      <c r="U404" s="1639"/>
    </row>
    <row r="405" spans="2:21" ht="15" customHeight="1">
      <c r="B405" s="919" t="s">
        <v>310</v>
      </c>
      <c r="C405" s="920"/>
      <c r="D405" s="920"/>
      <c r="E405" s="921"/>
      <c r="F405" s="1635" t="s">
        <v>2547</v>
      </c>
      <c r="G405" s="1636"/>
      <c r="H405" s="1637"/>
      <c r="I405" s="1638">
        <v>950000</v>
      </c>
      <c r="J405" s="1640"/>
      <c r="K405" s="1641"/>
      <c r="L405" s="1642">
        <v>40821</v>
      </c>
      <c r="M405" s="1643"/>
      <c r="N405" s="1642">
        <v>42388</v>
      </c>
      <c r="O405" s="1643"/>
      <c r="P405" s="922"/>
      <c r="Q405" s="924"/>
      <c r="R405" s="1644">
        <v>495387</v>
      </c>
      <c r="S405" s="1645"/>
      <c r="T405" s="1638">
        <v>14325</v>
      </c>
      <c r="U405" s="1639"/>
    </row>
    <row r="406" spans="2:21" ht="15" customHeight="1">
      <c r="B406" s="919" t="s">
        <v>310</v>
      </c>
      <c r="C406" s="920"/>
      <c r="D406" s="920"/>
      <c r="E406" s="921"/>
      <c r="F406" s="1635" t="s">
        <v>2547</v>
      </c>
      <c r="G406" s="1636"/>
      <c r="H406" s="1637"/>
      <c r="I406" s="1638">
        <v>1100000</v>
      </c>
      <c r="J406" s="1640"/>
      <c r="K406" s="1641"/>
      <c r="L406" s="1642">
        <v>40821</v>
      </c>
      <c r="M406" s="1643"/>
      <c r="N406" s="1642">
        <v>42388</v>
      </c>
      <c r="O406" s="1643"/>
      <c r="P406" s="922"/>
      <c r="Q406" s="924"/>
      <c r="R406" s="1644">
        <v>573606</v>
      </c>
      <c r="S406" s="1645"/>
      <c r="T406" s="1638">
        <v>13472</v>
      </c>
      <c r="U406" s="1639"/>
    </row>
    <row r="407" spans="2:21" ht="15" customHeight="1">
      <c r="B407" s="919" t="s">
        <v>310</v>
      </c>
      <c r="C407" s="920"/>
      <c r="D407" s="920"/>
      <c r="E407" s="921"/>
      <c r="F407" s="1635" t="s">
        <v>2547</v>
      </c>
      <c r="G407" s="1636"/>
      <c r="H407" s="1637"/>
      <c r="I407" s="1638">
        <v>1600000</v>
      </c>
      <c r="J407" s="1640"/>
      <c r="K407" s="1641"/>
      <c r="L407" s="1642">
        <v>40835</v>
      </c>
      <c r="M407" s="1643"/>
      <c r="N407" s="1642">
        <v>42388</v>
      </c>
      <c r="O407" s="1643"/>
      <c r="P407" s="922"/>
      <c r="Q407" s="924"/>
      <c r="R407" s="1644">
        <v>834336</v>
      </c>
      <c r="S407" s="1645"/>
      <c r="T407" s="1638">
        <v>-8381</v>
      </c>
      <c r="U407" s="1639"/>
    </row>
    <row r="408" spans="2:21" ht="15" customHeight="1">
      <c r="B408" s="919" t="s">
        <v>310</v>
      </c>
      <c r="C408" s="920"/>
      <c r="D408" s="920"/>
      <c r="E408" s="921"/>
      <c r="F408" s="1635" t="s">
        <v>2547</v>
      </c>
      <c r="G408" s="1636"/>
      <c r="H408" s="1637"/>
      <c r="I408" s="1638">
        <v>2000000</v>
      </c>
      <c r="J408" s="1640"/>
      <c r="K408" s="1641"/>
      <c r="L408" s="1642">
        <v>40849</v>
      </c>
      <c r="M408" s="1643"/>
      <c r="N408" s="1642">
        <v>44350</v>
      </c>
      <c r="O408" s="1643"/>
      <c r="P408" s="922"/>
      <c r="Q408" s="924"/>
      <c r="R408" s="1644">
        <v>1042920</v>
      </c>
      <c r="S408" s="1645"/>
      <c r="T408" s="1638">
        <v>-27747</v>
      </c>
      <c r="U408" s="1639"/>
    </row>
    <row r="409" spans="2:21" ht="15" customHeight="1">
      <c r="B409" s="919" t="s">
        <v>309</v>
      </c>
      <c r="C409" s="920"/>
      <c r="D409" s="920"/>
      <c r="E409" s="921"/>
      <c r="F409" s="1635" t="s">
        <v>2548</v>
      </c>
      <c r="G409" s="1636"/>
      <c r="H409" s="1637"/>
      <c r="I409" s="1638">
        <v>1000000</v>
      </c>
      <c r="J409" s="1640"/>
      <c r="K409" s="1641"/>
      <c r="L409" s="1642">
        <v>40834</v>
      </c>
      <c r="M409" s="1643"/>
      <c r="N409" s="1642">
        <v>44489</v>
      </c>
      <c r="O409" s="1643"/>
      <c r="P409" s="922"/>
      <c r="Q409" s="924"/>
      <c r="R409" s="1644">
        <v>521460</v>
      </c>
      <c r="S409" s="1645"/>
      <c r="T409" s="1638">
        <v>-20928</v>
      </c>
      <c r="U409" s="1639"/>
    </row>
    <row r="410" spans="2:21" ht="15" customHeight="1">
      <c r="B410" s="919" t="s">
        <v>309</v>
      </c>
      <c r="C410" s="920"/>
      <c r="D410" s="920"/>
      <c r="E410" s="921"/>
      <c r="F410" s="1635" t="s">
        <v>2548</v>
      </c>
      <c r="G410" s="1636"/>
      <c r="H410" s="1637"/>
      <c r="I410" s="1638">
        <v>1000000</v>
      </c>
      <c r="J410" s="1640"/>
      <c r="K410" s="1641"/>
      <c r="L410" s="1642">
        <v>40847</v>
      </c>
      <c r="M410" s="1643"/>
      <c r="N410" s="1642">
        <v>44500</v>
      </c>
      <c r="O410" s="1643"/>
      <c r="P410" s="922"/>
      <c r="Q410" s="924"/>
      <c r="R410" s="1644">
        <v>521460</v>
      </c>
      <c r="S410" s="1645"/>
      <c r="T410" s="1638">
        <v>-24748</v>
      </c>
      <c r="U410" s="1639"/>
    </row>
    <row r="411" spans="2:21" ht="15" customHeight="1">
      <c r="B411" s="919" t="s">
        <v>309</v>
      </c>
      <c r="C411" s="920"/>
      <c r="D411" s="920"/>
      <c r="E411" s="921"/>
      <c r="F411" s="1635" t="s">
        <v>2548</v>
      </c>
      <c r="G411" s="1636"/>
      <c r="H411" s="1637"/>
      <c r="I411" s="1638">
        <v>1000000</v>
      </c>
      <c r="J411" s="1640"/>
      <c r="K411" s="1641"/>
      <c r="L411" s="1642">
        <v>40848</v>
      </c>
      <c r="M411" s="1643"/>
      <c r="N411" s="1642">
        <v>44501</v>
      </c>
      <c r="O411" s="1643"/>
      <c r="P411" s="922"/>
      <c r="Q411" s="924"/>
      <c r="R411" s="1644">
        <v>521460</v>
      </c>
      <c r="S411" s="1645"/>
      <c r="T411" s="1638">
        <v>-23389</v>
      </c>
      <c r="U411" s="1639"/>
    </row>
    <row r="412" spans="2:21" ht="20.100000000000001" customHeight="1" thickBot="1">
      <c r="B412" s="1979"/>
      <c r="C412" s="1980"/>
      <c r="D412" s="1980"/>
      <c r="E412" s="1980"/>
      <c r="F412" s="1947"/>
      <c r="G412" s="1947"/>
      <c r="H412" s="1947"/>
      <c r="I412" s="1924"/>
      <c r="J412" s="1924"/>
      <c r="K412" s="1924"/>
      <c r="L412" s="1955"/>
      <c r="M412" s="1955"/>
      <c r="N412" s="1948"/>
      <c r="O412" s="1948"/>
      <c r="P412" s="1948"/>
      <c r="Q412" s="1948"/>
      <c r="R412" s="1924"/>
      <c r="S412" s="1924"/>
      <c r="T412" s="1924"/>
      <c r="U412" s="2409"/>
    </row>
    <row r="413" spans="2:21" ht="20.100000000000001" customHeight="1" thickBot="1">
      <c r="B413" s="2181"/>
      <c r="C413" s="2182"/>
      <c r="D413" s="2182"/>
      <c r="E413" s="2182"/>
      <c r="F413" s="2182"/>
      <c r="G413" s="2182"/>
      <c r="H413" s="2182"/>
      <c r="I413" s="2182"/>
      <c r="J413" s="2182"/>
      <c r="K413" s="2182"/>
      <c r="L413" s="2182"/>
      <c r="M413" s="2182"/>
      <c r="N413" s="2182"/>
      <c r="O413" s="2182"/>
      <c r="P413" s="2182"/>
      <c r="Q413" s="2182"/>
      <c r="R413" s="2182"/>
      <c r="S413" s="2182"/>
      <c r="T413" s="2182"/>
      <c r="U413" s="2183"/>
    </row>
    <row r="414" spans="2:21" ht="20.100000000000001" customHeight="1" thickBot="1">
      <c r="B414" s="871" t="s">
        <v>256</v>
      </c>
      <c r="C414" s="872"/>
      <c r="D414" s="872"/>
      <c r="E414" s="872"/>
      <c r="F414" s="872"/>
      <c r="G414" s="872"/>
      <c r="H414" s="872"/>
      <c r="I414" s="1811">
        <f>SUM(I250:K411)</f>
        <v>425909411.60999995</v>
      </c>
      <c r="J414" s="1812"/>
      <c r="K414" s="1813"/>
      <c r="L414" s="872"/>
      <c r="M414" s="872"/>
      <c r="N414" s="872"/>
      <c r="O414" s="872"/>
      <c r="P414" s="872"/>
      <c r="Q414" s="873"/>
      <c r="R414" s="1925">
        <f>SUM(R250:S411)</f>
        <v>226234655</v>
      </c>
      <c r="S414" s="1926"/>
      <c r="T414" s="1925">
        <f>SUM(T250:U411)</f>
        <v>27969337</v>
      </c>
      <c r="U414" s="1926"/>
    </row>
    <row r="415" spans="2:21" ht="12" customHeight="1">
      <c r="B415" s="384"/>
      <c r="C415" s="384"/>
      <c r="D415" s="384"/>
      <c r="E415" s="384"/>
      <c r="F415" s="384"/>
      <c r="G415" s="384"/>
      <c r="H415" s="384"/>
      <c r="I415" s="384"/>
      <c r="J415" s="384"/>
      <c r="K415" s="384"/>
      <c r="L415" s="384"/>
      <c r="M415" s="384"/>
      <c r="N415" s="384"/>
      <c r="O415" s="384"/>
      <c r="P415" s="384"/>
      <c r="Q415" s="384"/>
      <c r="R415" s="385"/>
      <c r="S415" s="385"/>
      <c r="T415" s="385"/>
      <c r="U415" s="385"/>
    </row>
    <row r="416" spans="2:21" ht="12" thickBot="1"/>
    <row r="417" spans="2:22" ht="50.1" customHeight="1" thickBot="1">
      <c r="B417" s="2612" t="s">
        <v>1872</v>
      </c>
      <c r="C417" s="2420"/>
      <c r="D417" s="2420"/>
      <c r="E417" s="2420"/>
      <c r="F417" s="2420"/>
      <c r="G417" s="2420"/>
      <c r="H417" s="2420"/>
      <c r="I417" s="2420" t="s">
        <v>1873</v>
      </c>
      <c r="J417" s="2420"/>
      <c r="K417" s="2420"/>
      <c r="L417" s="2420"/>
      <c r="M417" s="2420"/>
      <c r="N417" s="2419" t="s">
        <v>1874</v>
      </c>
      <c r="O417" s="2420"/>
      <c r="P417" s="2420"/>
      <c r="Q417" s="2419" t="s">
        <v>1875</v>
      </c>
      <c r="R417" s="2420"/>
      <c r="S417" s="2420"/>
      <c r="T417" s="2419" t="s">
        <v>1876</v>
      </c>
      <c r="U417" s="2420"/>
      <c r="V417" s="2677"/>
    </row>
    <row r="418" spans="2:22" ht="15" customHeight="1">
      <c r="B418" s="2610" t="s">
        <v>295</v>
      </c>
      <c r="C418" s="2611"/>
      <c r="D418" s="2611"/>
      <c r="E418" s="2611"/>
      <c r="F418" s="2611"/>
      <c r="G418" s="2611"/>
      <c r="H418" s="2611"/>
      <c r="I418" s="2358" t="s">
        <v>797</v>
      </c>
      <c r="J418" s="2359"/>
      <c r="K418" s="2359"/>
      <c r="L418" s="2359"/>
      <c r="M418" s="2359"/>
      <c r="N418" s="2359"/>
      <c r="O418" s="2359"/>
      <c r="P418" s="2359"/>
      <c r="Q418" s="2359"/>
      <c r="R418" s="2359"/>
      <c r="S418" s="2360"/>
      <c r="T418" s="2678">
        <f>+M64</f>
        <v>113633057</v>
      </c>
      <c r="U418" s="2679"/>
      <c r="V418" s="2680"/>
    </row>
    <row r="419" spans="2:22" ht="15" customHeight="1" thickBot="1">
      <c r="B419" s="1993" t="s">
        <v>796</v>
      </c>
      <c r="C419" s="1994"/>
      <c r="D419" s="1994"/>
      <c r="E419" s="1994"/>
      <c r="F419" s="1994"/>
      <c r="G419" s="1994"/>
      <c r="H419" s="1994"/>
      <c r="I419" s="2748" t="s">
        <v>797</v>
      </c>
      <c r="J419" s="2749"/>
      <c r="K419" s="2749"/>
      <c r="L419" s="2749"/>
      <c r="M419" s="2749"/>
      <c r="N419" s="2749"/>
      <c r="O419" s="2749"/>
      <c r="P419" s="2749"/>
      <c r="Q419" s="2749"/>
      <c r="R419" s="2749"/>
      <c r="S419" s="2750"/>
      <c r="T419" s="1916">
        <f>SUMIF('MATRIZCTAS(a)'!$AA$7:$AA$1599,'Parametros Cuadros de Notas'!$C109,'MATRIZCTAS(a)'!$AH$7:$AH$1599)+SUMIF('MATRIZCTAS(a)'!$AA$7:$AA$1599,'Parametros Cuadros de Notas'!$C110,'MATRIZCTAS(a)'!$AH$7:$AH$1599)</f>
        <v>114691456</v>
      </c>
      <c r="U419" s="1917"/>
      <c r="V419" s="1918"/>
    </row>
    <row r="421" spans="2:22" ht="12" thickBot="1"/>
    <row r="422" spans="2:22" ht="20.100000000000001" customHeight="1" thickBot="1">
      <c r="B422" s="331" t="s">
        <v>1560</v>
      </c>
      <c r="C422" s="332"/>
      <c r="D422" s="332"/>
      <c r="E422" s="332"/>
      <c r="F422" s="333"/>
      <c r="G422" s="333"/>
      <c r="H422" s="333"/>
      <c r="I422" s="334"/>
      <c r="J422" s="334" t="s">
        <v>1877</v>
      </c>
      <c r="K422" s="313"/>
      <c r="L422" s="313"/>
      <c r="M422" s="325" t="s">
        <v>1885</v>
      </c>
      <c r="N422" s="1678">
        <f>SUM(N423:N440)</f>
        <v>1934457879</v>
      </c>
      <c r="O422" s="1679"/>
      <c r="P422" s="1680"/>
    </row>
    <row r="423" spans="2:22" ht="15" customHeight="1">
      <c r="B423" s="804" t="s">
        <v>681</v>
      </c>
      <c r="C423" s="601"/>
      <c r="D423" s="601"/>
      <c r="E423" s="601"/>
      <c r="F423" s="608"/>
      <c r="G423" s="608"/>
      <c r="H423" s="608"/>
      <c r="I423" s="608"/>
      <c r="J423" s="608"/>
      <c r="K423" s="608"/>
      <c r="L423" s="608"/>
      <c r="M423" s="608"/>
      <c r="N423" s="2421">
        <f>+'FECU(a)'!F33-N424</f>
        <v>1427056</v>
      </c>
      <c r="O423" s="2422"/>
      <c r="P423" s="2423"/>
    </row>
    <row r="424" spans="2:22" ht="15" customHeight="1">
      <c r="B424" s="801" t="s">
        <v>841</v>
      </c>
      <c r="C424" s="604"/>
      <c r="D424" s="604"/>
      <c r="E424" s="604"/>
      <c r="F424" s="562"/>
      <c r="G424" s="562"/>
      <c r="H424" s="562"/>
      <c r="I424" s="562"/>
      <c r="J424" s="562"/>
      <c r="K424" s="562"/>
      <c r="L424" s="562"/>
      <c r="M424" s="562"/>
      <c r="N424" s="2416">
        <f>+'FECU(a)'!E34</f>
        <v>398691</v>
      </c>
      <c r="O424" s="2417"/>
      <c r="P424" s="2418"/>
      <c r="R424" s="359">
        <f>+N424+N428+N430+N431+N434+N436+N426</f>
        <v>54668947</v>
      </c>
    </row>
    <row r="425" spans="2:22" ht="15" customHeight="1">
      <c r="B425" s="801" t="s">
        <v>1743</v>
      </c>
      <c r="C425" s="604"/>
      <c r="D425" s="604"/>
      <c r="E425" s="604"/>
      <c r="F425" s="562"/>
      <c r="G425" s="562"/>
      <c r="H425" s="562"/>
      <c r="I425" s="562"/>
      <c r="J425" s="562"/>
      <c r="K425" s="562"/>
      <c r="L425" s="562"/>
      <c r="M425" s="562"/>
      <c r="N425" s="1863">
        <f>(+'FECU(a)'!F11)-N426-N440</f>
        <v>1249337363.8599999</v>
      </c>
      <c r="O425" s="1864"/>
      <c r="P425" s="1865"/>
    </row>
    <row r="426" spans="2:22" ht="15" customHeight="1">
      <c r="B426" s="801" t="s">
        <v>841</v>
      </c>
      <c r="C426" s="604"/>
      <c r="D426" s="604"/>
      <c r="E426" s="604"/>
      <c r="F426" s="562"/>
      <c r="G426" s="562"/>
      <c r="H426" s="562"/>
      <c r="I426" s="562"/>
      <c r="J426" s="562"/>
      <c r="K426" s="562"/>
      <c r="L426" s="562"/>
      <c r="M426" s="562"/>
      <c r="N426" s="1863">
        <v>24367850</v>
      </c>
      <c r="O426" s="1864"/>
      <c r="P426" s="1865"/>
      <c r="R426" s="301" t="s">
        <v>625</v>
      </c>
    </row>
    <row r="427" spans="2:22" ht="15" customHeight="1">
      <c r="B427" s="801" t="s">
        <v>1832</v>
      </c>
      <c r="C427" s="604"/>
      <c r="D427" s="604"/>
      <c r="E427" s="604"/>
      <c r="F427" s="562"/>
      <c r="G427" s="562"/>
      <c r="H427" s="562"/>
      <c r="I427" s="562"/>
      <c r="J427" s="562"/>
      <c r="K427" s="562"/>
      <c r="L427" s="562"/>
      <c r="M427" s="562"/>
      <c r="N427" s="1863">
        <f>SUMIF('MATRIZCTAS(a)'!$AA$7:$AA$1599,'Parametros Cuadros de Notas'!$C113,'MATRIZCTAS(a)'!$AH$7:$AH$1599)-N428</f>
        <v>77277325</v>
      </c>
      <c r="O427" s="1864"/>
      <c r="P427" s="1865"/>
    </row>
    <row r="428" spans="2:22" ht="15" customHeight="1">
      <c r="B428" s="801" t="s">
        <v>841</v>
      </c>
      <c r="C428" s="604"/>
      <c r="D428" s="604"/>
      <c r="E428" s="604"/>
      <c r="F428" s="562"/>
      <c r="G428" s="562"/>
      <c r="H428" s="562"/>
      <c r="I428" s="562"/>
      <c r="J428" s="562"/>
      <c r="K428" s="562"/>
      <c r="L428" s="562"/>
      <c r="M428" s="562"/>
      <c r="N428" s="1863">
        <f>1401811+10663906+5384249</f>
        <v>17449966</v>
      </c>
      <c r="O428" s="1864"/>
      <c r="P428" s="1865"/>
    </row>
    <row r="429" spans="2:22" ht="15" customHeight="1">
      <c r="B429" s="602" t="s">
        <v>1833</v>
      </c>
      <c r="C429" s="604"/>
      <c r="D429" s="604"/>
      <c r="E429" s="604"/>
      <c r="F429" s="562"/>
      <c r="G429" s="562"/>
      <c r="H429" s="562"/>
      <c r="I429" s="562"/>
      <c r="J429" s="562"/>
      <c r="K429" s="562"/>
      <c r="L429" s="562"/>
      <c r="M429" s="562"/>
      <c r="N429" s="1863">
        <f>+'FECU(a)'!F23-N430</f>
        <v>203855311</v>
      </c>
      <c r="O429" s="1864"/>
      <c r="P429" s="1865"/>
    </row>
    <row r="430" spans="2:22" ht="15" customHeight="1">
      <c r="B430" s="801" t="s">
        <v>841</v>
      </c>
      <c r="C430" s="604"/>
      <c r="D430" s="604"/>
      <c r="E430" s="604"/>
      <c r="F430" s="562"/>
      <c r="G430" s="562"/>
      <c r="H430" s="562"/>
      <c r="I430" s="562"/>
      <c r="J430" s="562"/>
      <c r="K430" s="562"/>
      <c r="L430" s="562"/>
      <c r="M430" s="562"/>
      <c r="N430" s="1863">
        <v>10915429</v>
      </c>
      <c r="O430" s="1864"/>
      <c r="P430" s="1865"/>
      <c r="S430" s="359">
        <v>55068296</v>
      </c>
    </row>
    <row r="431" spans="2:22" ht="15" customHeight="1">
      <c r="B431" s="801" t="s">
        <v>1250</v>
      </c>
      <c r="C431" s="604"/>
      <c r="D431" s="604"/>
      <c r="E431" s="604"/>
      <c r="F431" s="562"/>
      <c r="G431" s="562"/>
      <c r="H431" s="562"/>
      <c r="I431" s="562"/>
      <c r="J431" s="562"/>
      <c r="K431" s="562"/>
      <c r="L431" s="562"/>
      <c r="M431" s="562"/>
      <c r="N431" s="1863">
        <f>+'FECU(a)'!F44+'FECU(a)'!F45+'FECU(a)'!F46+'FECU(a)'!F47</f>
        <v>510482</v>
      </c>
      <c r="O431" s="1864"/>
      <c r="P431" s="1865"/>
      <c r="R431" s="359"/>
      <c r="S431" s="359">
        <f>+N426+N430+N434+N436+N428+N431+N424</f>
        <v>54668947</v>
      </c>
    </row>
    <row r="432" spans="2:22" ht="15" customHeight="1">
      <c r="B432" s="801" t="s">
        <v>545</v>
      </c>
      <c r="C432" s="604"/>
      <c r="D432" s="604"/>
      <c r="E432" s="604"/>
      <c r="F432" s="562"/>
      <c r="G432" s="562"/>
      <c r="H432" s="562"/>
      <c r="I432" s="562"/>
      <c r="J432" s="562"/>
      <c r="K432" s="562"/>
      <c r="L432" s="562"/>
      <c r="M432" s="562"/>
      <c r="N432" s="1863">
        <f>+P60</f>
        <v>49157718</v>
      </c>
      <c r="O432" s="1864"/>
      <c r="P432" s="1865"/>
      <c r="S432" s="359">
        <f>+S430-S431</f>
        <v>399349</v>
      </c>
    </row>
    <row r="433" spans="2:19" ht="15" customHeight="1">
      <c r="B433" s="801" t="s">
        <v>73</v>
      </c>
      <c r="C433" s="604"/>
      <c r="D433" s="604"/>
      <c r="E433" s="604"/>
      <c r="F433" s="562"/>
      <c r="G433" s="562"/>
      <c r="H433" s="562"/>
      <c r="I433" s="562"/>
      <c r="J433" s="562"/>
      <c r="K433" s="562"/>
      <c r="L433" s="562"/>
      <c r="M433" s="562"/>
      <c r="N433" s="1863">
        <f>+N449-N434</f>
        <v>31899900</v>
      </c>
      <c r="O433" s="1864"/>
      <c r="P433" s="1865"/>
    </row>
    <row r="434" spans="2:19" ht="15" customHeight="1">
      <c r="B434" s="801" t="s">
        <v>841</v>
      </c>
      <c r="C434" s="604"/>
      <c r="D434" s="604"/>
      <c r="E434" s="604"/>
      <c r="F434" s="562"/>
      <c r="G434" s="562"/>
      <c r="H434" s="562"/>
      <c r="I434" s="562"/>
      <c r="J434" s="562"/>
      <c r="K434" s="562"/>
      <c r="L434" s="562"/>
      <c r="M434" s="562"/>
      <c r="N434" s="1863">
        <v>1026529</v>
      </c>
      <c r="O434" s="1864"/>
      <c r="P434" s="1865"/>
    </row>
    <row r="435" spans="2:19" ht="15" customHeight="1">
      <c r="B435" s="801" t="s">
        <v>182</v>
      </c>
      <c r="C435" s="604"/>
      <c r="D435" s="604"/>
      <c r="E435" s="604"/>
      <c r="F435" s="562"/>
      <c r="G435" s="562"/>
      <c r="H435" s="562"/>
      <c r="I435" s="562"/>
      <c r="J435" s="562"/>
      <c r="K435" s="562"/>
      <c r="L435" s="562"/>
      <c r="M435" s="562"/>
      <c r="N435" s="1863">
        <f>+M64+M65-N436</f>
        <v>113633057</v>
      </c>
      <c r="O435" s="1864"/>
      <c r="P435" s="1865"/>
    </row>
    <row r="436" spans="2:19" ht="15" hidden="1" customHeight="1">
      <c r="B436" s="801" t="s">
        <v>841</v>
      </c>
      <c r="C436" s="604"/>
      <c r="D436" s="604"/>
      <c r="E436" s="604"/>
      <c r="F436" s="562"/>
      <c r="G436" s="562"/>
      <c r="H436" s="562"/>
      <c r="I436" s="562"/>
      <c r="J436" s="562"/>
      <c r="K436" s="562"/>
      <c r="L436" s="562"/>
      <c r="M436" s="562"/>
      <c r="N436" s="1863">
        <v>0</v>
      </c>
      <c r="O436" s="1864"/>
      <c r="P436" s="1865"/>
    </row>
    <row r="437" spans="2:19" ht="15" customHeight="1">
      <c r="B437" s="801" t="s">
        <v>551</v>
      </c>
      <c r="C437" s="604"/>
      <c r="D437" s="604"/>
      <c r="E437" s="604"/>
      <c r="F437" s="562"/>
      <c r="G437" s="562"/>
      <c r="H437" s="562"/>
      <c r="I437" s="562"/>
      <c r="J437" s="562"/>
      <c r="K437" s="562"/>
      <c r="L437" s="562"/>
      <c r="M437" s="562"/>
      <c r="N437" s="1863">
        <f>+M68</f>
        <v>114691456</v>
      </c>
      <c r="O437" s="1864"/>
      <c r="P437" s="1865"/>
    </row>
    <row r="438" spans="2:19" ht="15" customHeight="1">
      <c r="B438" s="808" t="s">
        <v>1689</v>
      </c>
      <c r="C438" s="623"/>
      <c r="D438" s="623"/>
      <c r="E438" s="623"/>
      <c r="F438" s="615"/>
      <c r="G438" s="615"/>
      <c r="H438" s="615"/>
      <c r="I438" s="615"/>
      <c r="J438" s="615"/>
      <c r="K438" s="615"/>
      <c r="L438" s="615"/>
      <c r="M438" s="615"/>
      <c r="N438" s="1863">
        <f>+P56</f>
        <v>3332717</v>
      </c>
      <c r="O438" s="1864"/>
      <c r="P438" s="1865"/>
    </row>
    <row r="439" spans="2:19" ht="15" customHeight="1">
      <c r="B439" s="808" t="s">
        <v>359</v>
      </c>
      <c r="C439" s="623"/>
      <c r="D439" s="623"/>
      <c r="E439" s="623"/>
      <c r="F439" s="615"/>
      <c r="G439" s="615"/>
      <c r="H439" s="615"/>
      <c r="I439" s="615"/>
      <c r="J439" s="615"/>
      <c r="K439" s="615"/>
      <c r="L439" s="615"/>
      <c r="M439" s="615"/>
      <c r="N439" s="1863">
        <f>+P73</f>
        <v>33581884</v>
      </c>
      <c r="O439" s="1864"/>
      <c r="P439" s="1865"/>
    </row>
    <row r="440" spans="2:19" ht="15" customHeight="1" thickBot="1">
      <c r="B440" s="822" t="s">
        <v>183</v>
      </c>
      <c r="C440" s="606"/>
      <c r="D440" s="606"/>
      <c r="E440" s="606"/>
      <c r="F440" s="609"/>
      <c r="G440" s="609"/>
      <c r="H440" s="609"/>
      <c r="I440" s="609"/>
      <c r="J440" s="609"/>
      <c r="K440" s="609"/>
      <c r="L440" s="609"/>
      <c r="M440" s="609"/>
      <c r="N440" s="2381">
        <f>+'Cuadros Notas'!I137</f>
        <v>1595144.14</v>
      </c>
      <c r="O440" s="2382"/>
      <c r="P440" s="2383"/>
    </row>
    <row r="442" spans="2:19" ht="12" thickBot="1"/>
    <row r="443" spans="2:19" ht="20.100000000000001" customHeight="1" thickBot="1">
      <c r="B443" s="331" t="s">
        <v>545</v>
      </c>
      <c r="C443" s="332"/>
      <c r="D443" s="332"/>
      <c r="E443" s="332"/>
      <c r="F443" s="333"/>
      <c r="G443" s="333"/>
      <c r="H443" s="333"/>
      <c r="I443" s="334"/>
      <c r="J443" s="334" t="s">
        <v>1182</v>
      </c>
      <c r="K443" s="313"/>
      <c r="L443" s="313"/>
      <c r="M443" s="325" t="s">
        <v>1885</v>
      </c>
      <c r="N443" s="1678">
        <f>SUM(N444:N445)</f>
        <v>49066344</v>
      </c>
      <c r="O443" s="1679"/>
      <c r="P443" s="1680"/>
      <c r="R443" s="556">
        <v>44134529</v>
      </c>
      <c r="S443" s="556">
        <f>+N443-R443</f>
        <v>4931815</v>
      </c>
    </row>
    <row r="444" spans="2:19" ht="15" customHeight="1">
      <c r="B444" s="801" t="s">
        <v>1183</v>
      </c>
      <c r="C444" s="604"/>
      <c r="D444" s="604"/>
      <c r="E444" s="604"/>
      <c r="F444" s="562"/>
      <c r="G444" s="562"/>
      <c r="H444" s="562"/>
      <c r="I444" s="562"/>
      <c r="J444" s="562"/>
      <c r="K444" s="562"/>
      <c r="L444" s="562"/>
      <c r="M444" s="562"/>
      <c r="N444" s="1863">
        <f>SUMIF('MATRIZCTAS(a)'!$AA$7:$AA$1599,'Parametros Cuadros de Notas'!$C117,'MATRIZCTAS(a)'!$AH$7:$AH$1599)-'MATRIZCTAS(a)'!AH106</f>
        <v>49066344</v>
      </c>
      <c r="O444" s="1864"/>
      <c r="P444" s="1865"/>
    </row>
    <row r="445" spans="2:19" ht="15" customHeight="1" thickBot="1">
      <c r="B445" s="822"/>
      <c r="C445" s="607"/>
      <c r="D445" s="607"/>
      <c r="E445" s="607"/>
      <c r="F445" s="609"/>
      <c r="G445" s="609"/>
      <c r="H445" s="609"/>
      <c r="I445" s="609"/>
      <c r="J445" s="609"/>
      <c r="K445" s="609"/>
      <c r="L445" s="609"/>
      <c r="M445" s="609"/>
      <c r="N445" s="2381"/>
      <c r="O445" s="2382"/>
      <c r="P445" s="2383"/>
    </row>
    <row r="446" spans="2:19" ht="15" hidden="1" customHeight="1" thickBot="1">
      <c r="B446" s="429" t="s">
        <v>1186</v>
      </c>
      <c r="C446" s="597"/>
      <c r="D446" s="597"/>
      <c r="E446" s="597"/>
      <c r="F446" s="327"/>
      <c r="G446" s="327"/>
      <c r="H446" s="327"/>
      <c r="I446" s="327"/>
      <c r="J446" s="327"/>
      <c r="K446" s="327"/>
      <c r="L446" s="327"/>
      <c r="M446" s="327"/>
      <c r="N446" s="1684">
        <f>SUMIF('MATRIZCTAS(a)'!$AA$7:$AA$1599,'Parametros Cuadros de Notas'!$C119,'MATRIZCTAS(a)'!$AH$7:$AH$1599)</f>
        <v>0</v>
      </c>
      <c r="O446" s="1685"/>
      <c r="P446" s="1686"/>
    </row>
    <row r="448" spans="2:19" ht="12" thickBot="1"/>
    <row r="449" spans="1:19" ht="13.5" thickBot="1">
      <c r="B449" s="302" t="s">
        <v>73</v>
      </c>
      <c r="C449" s="332"/>
      <c r="D449" s="332"/>
      <c r="E449" s="332"/>
      <c r="F449" s="333"/>
      <c r="G449" s="333"/>
      <c r="H449" s="333"/>
      <c r="I449" s="334"/>
      <c r="J449" s="334" t="s">
        <v>1164</v>
      </c>
      <c r="K449" s="313"/>
      <c r="L449" s="313"/>
      <c r="M449" s="325" t="s">
        <v>1885</v>
      </c>
      <c r="N449" s="1678">
        <f>SUM(N450:N451)</f>
        <v>32926429</v>
      </c>
      <c r="O449" s="1679"/>
      <c r="P449" s="1680"/>
      <c r="R449" s="556">
        <v>32852369</v>
      </c>
      <c r="S449" s="556">
        <f>+N449-R449</f>
        <v>74060</v>
      </c>
    </row>
    <row r="450" spans="1:19" ht="12.75">
      <c r="B450" s="808" t="s">
        <v>475</v>
      </c>
      <c r="C450" s="623"/>
      <c r="D450" s="623"/>
      <c r="E450" s="623"/>
      <c r="F450" s="615"/>
      <c r="G450" s="615"/>
      <c r="H450" s="615"/>
      <c r="I450" s="615"/>
      <c r="J450" s="615"/>
      <c r="K450" s="615"/>
      <c r="L450" s="615"/>
      <c r="M450" s="615"/>
      <c r="N450" s="1863">
        <f>SUMIF('MATRIZCTAS(a)'!$AA$7:$AA$1599,'Parametros Cuadros de Notas'!$C120,'MATRIZCTAS(a)'!$AH$7:$AH$1599)</f>
        <v>22703804</v>
      </c>
      <c r="O450" s="1864"/>
      <c r="P450" s="1865"/>
    </row>
    <row r="451" spans="1:19" ht="13.5" thickBot="1">
      <c r="B451" s="822" t="s">
        <v>1185</v>
      </c>
      <c r="C451" s="606"/>
      <c r="D451" s="606"/>
      <c r="E451" s="606"/>
      <c r="F451" s="609"/>
      <c r="G451" s="609"/>
      <c r="H451" s="609"/>
      <c r="I451" s="609"/>
      <c r="J451" s="609"/>
      <c r="K451" s="609"/>
      <c r="L451" s="609"/>
      <c r="M451" s="609"/>
      <c r="N451" s="2381">
        <f>SUMIF('MATRIZCTAS(a)'!$AA$7:$AA$1599,'Parametros Cuadros de Notas'!$C121,'MATRIZCTAS(a)'!$AH$7:$AH$1599)</f>
        <v>10222625</v>
      </c>
      <c r="O451" s="2382"/>
      <c r="P451" s="2383"/>
    </row>
    <row r="452" spans="1:19" ht="12.75">
      <c r="B452" s="442"/>
      <c r="C452" s="443"/>
      <c r="D452" s="443"/>
      <c r="E452" s="443"/>
      <c r="F452" s="336"/>
      <c r="G452" s="336"/>
      <c r="H452" s="336"/>
      <c r="I452" s="336"/>
      <c r="J452" s="336"/>
      <c r="K452" s="336"/>
      <c r="L452" s="336"/>
      <c r="M452" s="336"/>
      <c r="N452" s="440"/>
      <c r="O452" s="441"/>
      <c r="P452" s="441"/>
    </row>
    <row r="453" spans="1:19" ht="12" thickBot="1">
      <c r="A453" s="424"/>
      <c r="B453" s="424"/>
      <c r="C453" s="424"/>
      <c r="D453" s="424"/>
      <c r="E453" s="424"/>
      <c r="F453" s="424"/>
      <c r="G453" s="424"/>
      <c r="H453" s="424"/>
      <c r="I453" s="424"/>
      <c r="J453" s="424"/>
      <c r="K453" s="424"/>
      <c r="L453" s="424"/>
      <c r="M453" s="424"/>
      <c r="N453" s="424"/>
      <c r="O453" s="424"/>
      <c r="P453" s="424"/>
      <c r="Q453" s="424"/>
    </row>
    <row r="454" spans="1:19" ht="20.100000000000001" customHeight="1" thickBot="1">
      <c r="A454" s="424"/>
      <c r="B454" s="331" t="s">
        <v>870</v>
      </c>
      <c r="C454" s="332"/>
      <c r="D454" s="332"/>
      <c r="E454" s="332"/>
      <c r="F454" s="333"/>
      <c r="G454" s="333"/>
      <c r="H454" s="333"/>
      <c r="I454" s="334"/>
      <c r="J454" s="334" t="s">
        <v>184</v>
      </c>
      <c r="K454" s="313"/>
      <c r="L454" s="313"/>
      <c r="M454" s="325" t="s">
        <v>1885</v>
      </c>
      <c r="N454" s="1678">
        <f>SUM(N455:N456)</f>
        <v>100137</v>
      </c>
      <c r="O454" s="1679"/>
      <c r="P454" s="1680"/>
      <c r="Q454" s="424"/>
      <c r="R454" s="556">
        <v>101044</v>
      </c>
      <c r="S454" s="556">
        <f>+N454-R454</f>
        <v>-907</v>
      </c>
    </row>
    <row r="455" spans="1:19" ht="15" customHeight="1">
      <c r="A455" s="424"/>
      <c r="B455" s="804" t="s">
        <v>185</v>
      </c>
      <c r="C455" s="601"/>
      <c r="D455" s="601"/>
      <c r="E455" s="601"/>
      <c r="F455" s="608"/>
      <c r="G455" s="608"/>
      <c r="H455" s="608"/>
      <c r="I455" s="608"/>
      <c r="J455" s="608"/>
      <c r="K455" s="608"/>
      <c r="L455" s="608"/>
      <c r="M455" s="608"/>
      <c r="N455" s="2421">
        <f>SUMIF('MATRIZCTAS(a)'!$AA$7:$AA$1599,'Parametros Cuadros de Notas'!$C123,'MATRIZCTAS(a)'!$AH$7:$AH$1599)</f>
        <v>83978</v>
      </c>
      <c r="O455" s="2422"/>
      <c r="P455" s="2423"/>
      <c r="Q455" s="424"/>
    </row>
    <row r="456" spans="1:19" ht="15" customHeight="1" thickBot="1">
      <c r="A456" s="424"/>
      <c r="B456" s="446" t="s">
        <v>186</v>
      </c>
      <c r="C456" s="326"/>
      <c r="D456" s="326"/>
      <c r="E456" s="326"/>
      <c r="F456" s="447"/>
      <c r="G456" s="447"/>
      <c r="H456" s="447"/>
      <c r="I456" s="447"/>
      <c r="J456" s="447"/>
      <c r="K456" s="447"/>
      <c r="L456" s="447"/>
      <c r="M456" s="447"/>
      <c r="N456" s="2751">
        <f>SUMIF('MATRIZCTAS(a)'!$AA$7:$AA$1599,'Parametros Cuadros de Notas'!$C124,'MATRIZCTAS(a)'!$AH$7:$AH$1599)</f>
        <v>16159</v>
      </c>
      <c r="O456" s="2752"/>
      <c r="P456" s="2753"/>
      <c r="Q456" s="424"/>
    </row>
    <row r="457" spans="1:19">
      <c r="A457" s="424"/>
      <c r="B457" s="424"/>
      <c r="C457" s="424"/>
      <c r="D457" s="424"/>
      <c r="E457" s="424"/>
      <c r="F457" s="424"/>
      <c r="G457" s="424"/>
      <c r="H457" s="424"/>
      <c r="I457" s="424"/>
      <c r="J457" s="424"/>
      <c r="K457" s="424"/>
      <c r="L457" s="424"/>
      <c r="M457" s="424"/>
      <c r="N457" s="424"/>
      <c r="O457" s="424"/>
      <c r="P457" s="424"/>
      <c r="Q457" s="424"/>
    </row>
    <row r="458" spans="1:19" ht="12" thickBot="1">
      <c r="A458" s="424"/>
      <c r="B458" s="424"/>
      <c r="C458" s="424"/>
      <c r="D458" s="424"/>
      <c r="E458" s="424"/>
      <c r="F458" s="424"/>
      <c r="G458" s="424"/>
      <c r="H458" s="424"/>
      <c r="I458" s="424"/>
      <c r="J458" s="424"/>
      <c r="K458" s="424"/>
      <c r="L458" s="424"/>
      <c r="M458" s="424"/>
      <c r="N458" s="424"/>
      <c r="O458" s="424"/>
      <c r="P458" s="424"/>
      <c r="Q458" s="424"/>
    </row>
    <row r="459" spans="1:19" ht="20.100000000000001" customHeight="1" thickBot="1">
      <c r="A459" s="424"/>
      <c r="B459" s="331" t="s">
        <v>998</v>
      </c>
      <c r="C459" s="332"/>
      <c r="D459" s="332"/>
      <c r="E459" s="332"/>
      <c r="F459" s="333"/>
      <c r="G459" s="333"/>
      <c r="H459" s="333"/>
      <c r="I459" s="334"/>
      <c r="J459" s="334" t="s">
        <v>187</v>
      </c>
      <c r="K459" s="313"/>
      <c r="L459" s="313"/>
      <c r="M459" s="325" t="s">
        <v>1885</v>
      </c>
      <c r="N459" s="1678">
        <f>SUM(N460:N466)</f>
        <v>9593535</v>
      </c>
      <c r="O459" s="1679"/>
      <c r="P459" s="1680"/>
      <c r="Q459" s="424"/>
      <c r="R459" s="874">
        <v>6033289</v>
      </c>
      <c r="S459" s="874">
        <f>+N459-R459</f>
        <v>3560246</v>
      </c>
    </row>
    <row r="460" spans="1:19" ht="15" customHeight="1">
      <c r="A460" s="424"/>
      <c r="B460" s="602" t="s">
        <v>188</v>
      </c>
      <c r="C460" s="604"/>
      <c r="D460" s="604"/>
      <c r="E460" s="604"/>
      <c r="F460" s="562"/>
      <c r="G460" s="562"/>
      <c r="H460" s="562"/>
      <c r="I460" s="562"/>
      <c r="J460" s="562"/>
      <c r="K460" s="562"/>
      <c r="L460" s="562"/>
      <c r="M460" s="562"/>
      <c r="N460" s="1863">
        <f>SUMIF('MATRIZCTAS(a)'!$AA$7:$AA$1599,'Parametros Cuadros de Notas'!$C126,'MATRIZCTAS(a)'!$AH$7:$AH$1599)</f>
        <v>181537</v>
      </c>
      <c r="O460" s="1864"/>
      <c r="P460" s="1865"/>
      <c r="Q460" s="424"/>
    </row>
    <row r="461" spans="1:19" ht="15" customHeight="1">
      <c r="A461" s="424"/>
      <c r="B461" s="602" t="s">
        <v>1660</v>
      </c>
      <c r="C461" s="604"/>
      <c r="D461" s="604"/>
      <c r="E461" s="604"/>
      <c r="F461" s="562"/>
      <c r="G461" s="562"/>
      <c r="H461" s="562"/>
      <c r="I461" s="562"/>
      <c r="J461" s="562"/>
      <c r="K461" s="562"/>
      <c r="L461" s="562"/>
      <c r="M461" s="562"/>
      <c r="N461" s="1863">
        <f>SUMIF('MATRIZCTAS(a)'!$AA$7:$AA$1599,'Parametros Cuadros de Notas'!$C129,'MATRIZCTAS(a)'!$AH$7:$AH$1599)</f>
        <v>-6792</v>
      </c>
      <c r="O461" s="1864"/>
      <c r="P461" s="1865"/>
      <c r="Q461" s="424"/>
    </row>
    <row r="462" spans="1:19" ht="15" customHeight="1">
      <c r="A462" s="424"/>
      <c r="B462" s="602" t="s">
        <v>465</v>
      </c>
      <c r="C462" s="604"/>
      <c r="D462" s="604"/>
      <c r="E462" s="604"/>
      <c r="F462" s="562"/>
      <c r="G462" s="562"/>
      <c r="H462" s="562"/>
      <c r="I462" s="562"/>
      <c r="J462" s="562"/>
      <c r="K462" s="562"/>
      <c r="L462" s="562"/>
      <c r="M462" s="562"/>
      <c r="N462" s="1863">
        <f>SUMIF('MATRIZCTAS(a)'!$AA$7:$AA$1599,'Parametros Cuadros de Notas'!$C130,'MATRIZCTAS(a)'!$AH$7:$AH$1599)</f>
        <v>0</v>
      </c>
      <c r="O462" s="1864"/>
      <c r="P462" s="1865"/>
      <c r="Q462" s="424"/>
    </row>
    <row r="463" spans="1:19" ht="15" customHeight="1">
      <c r="A463" s="424"/>
      <c r="B463" s="808" t="s">
        <v>475</v>
      </c>
      <c r="C463" s="604"/>
      <c r="D463" s="623"/>
      <c r="E463" s="623"/>
      <c r="F463" s="615"/>
      <c r="G463" s="615"/>
      <c r="H463" s="615"/>
      <c r="I463" s="615"/>
      <c r="J463" s="615"/>
      <c r="K463" s="615"/>
      <c r="L463" s="615"/>
      <c r="M463" s="615"/>
      <c r="N463" s="1863">
        <f>SUMIF('MATRIZCTAS(a)'!$AA$7:$AA$1599,'Parametros Cuadros de Notas'!$C133,'MATRIZCTAS(a)'!$AH$7:$AH$1599)</f>
        <v>0</v>
      </c>
      <c r="O463" s="1864"/>
      <c r="P463" s="1865"/>
      <c r="Q463" s="424"/>
    </row>
    <row r="464" spans="1:19" ht="15" customHeight="1">
      <c r="A464" s="424"/>
      <c r="B464" s="808" t="s">
        <v>476</v>
      </c>
      <c r="C464" s="827"/>
      <c r="D464" s="623"/>
      <c r="E464" s="623"/>
      <c r="F464" s="615"/>
      <c r="G464" s="615"/>
      <c r="H464" s="615"/>
      <c r="I464" s="615"/>
      <c r="J464" s="615"/>
      <c r="K464" s="615"/>
      <c r="L464" s="615"/>
      <c r="M464" s="615"/>
      <c r="N464" s="1863">
        <f>SUMIF('MATRIZCTAS(a)'!$AA$7:$AA$1599,'Parametros Cuadros de Notas'!$C134,'MATRIZCTAS(a)'!$AH$7:$AH$1599)</f>
        <v>-446817</v>
      </c>
      <c r="O464" s="1864"/>
      <c r="P464" s="1865"/>
      <c r="Q464" s="424"/>
    </row>
    <row r="465" spans="1:19" ht="15" hidden="1" customHeight="1">
      <c r="A465" s="424"/>
      <c r="B465" s="828" t="s">
        <v>1026</v>
      </c>
      <c r="C465" s="623"/>
      <c r="D465" s="623"/>
      <c r="E465" s="623"/>
      <c r="F465" s="615"/>
      <c r="G465" s="615"/>
      <c r="H465" s="615"/>
      <c r="I465" s="615"/>
      <c r="J465" s="615"/>
      <c r="K465" s="615"/>
      <c r="L465" s="615"/>
      <c r="M465" s="615"/>
      <c r="N465" s="1863">
        <f>SUMIF('MATRIZCTAS(a)'!$AA$7:$AA$1599,'Parametros Cuadros de Notas'!$C135,'MATRIZCTAS(a)'!$AH$7:$AH$1599)</f>
        <v>0</v>
      </c>
      <c r="O465" s="1864"/>
      <c r="P465" s="1865"/>
      <c r="Q465" s="424"/>
    </row>
    <row r="466" spans="1:19" ht="15" customHeight="1" thickBot="1">
      <c r="A466" s="424"/>
      <c r="B466" s="822" t="s">
        <v>1456</v>
      </c>
      <c r="C466" s="606"/>
      <c r="D466" s="606"/>
      <c r="E466" s="606"/>
      <c r="F466" s="609"/>
      <c r="G466" s="609"/>
      <c r="H466" s="609"/>
      <c r="I466" s="609"/>
      <c r="J466" s="609"/>
      <c r="K466" s="609"/>
      <c r="L466" s="609"/>
      <c r="M466" s="609"/>
      <c r="N466" s="2381">
        <f>SUMIF('MATRIZCTAS(a)'!$AA$7:$AA$1599,'Parametros Cuadros de Notas'!$C131,'MATRIZCTAS(a)'!$AH$7:$AH$1599)</f>
        <v>9865607</v>
      </c>
      <c r="O466" s="2382"/>
      <c r="P466" s="2383"/>
      <c r="Q466" s="424"/>
    </row>
    <row r="467" spans="1:19" ht="15" customHeight="1">
      <c r="A467" s="424"/>
      <c r="B467" s="888"/>
      <c r="C467" s="619"/>
      <c r="D467" s="619"/>
      <c r="E467" s="619"/>
      <c r="F467" s="621"/>
      <c r="G467" s="621"/>
      <c r="H467" s="621"/>
      <c r="I467" s="621"/>
      <c r="J467" s="621"/>
      <c r="K467" s="621"/>
      <c r="L467" s="621"/>
      <c r="M467" s="621"/>
      <c r="N467" s="880"/>
      <c r="O467" s="881"/>
      <c r="P467" s="881"/>
      <c r="Q467" s="424"/>
    </row>
    <row r="468" spans="1:19" ht="12" thickBot="1">
      <c r="A468" s="424"/>
      <c r="B468" s="424"/>
      <c r="C468" s="424"/>
      <c r="D468" s="424"/>
      <c r="E468" s="424"/>
      <c r="F468" s="424"/>
      <c r="G468" s="424"/>
      <c r="H468" s="424"/>
      <c r="I468" s="424"/>
      <c r="J468" s="424"/>
      <c r="K468" s="424"/>
      <c r="L468" s="424"/>
      <c r="M468" s="424"/>
      <c r="N468" s="424"/>
      <c r="O468" s="424"/>
      <c r="P468" s="424"/>
      <c r="Q468" s="424"/>
    </row>
    <row r="469" spans="1:19" ht="13.5" thickBot="1">
      <c r="A469" s="424"/>
      <c r="B469" s="331" t="s">
        <v>998</v>
      </c>
      <c r="C469" s="332"/>
      <c r="D469" s="332"/>
      <c r="E469" s="332"/>
      <c r="F469" s="333"/>
      <c r="G469" s="333"/>
      <c r="H469" s="333"/>
      <c r="I469" s="334"/>
      <c r="J469" s="334" t="s">
        <v>2648</v>
      </c>
      <c r="K469" s="313"/>
      <c r="L469" s="313"/>
      <c r="M469" s="325" t="s">
        <v>1885</v>
      </c>
      <c r="N469" s="1678">
        <f>SUM(N470:N471)</f>
        <v>1338592</v>
      </c>
      <c r="O469" s="1679"/>
      <c r="P469" s="1680"/>
      <c r="Q469" s="424"/>
      <c r="R469" s="874">
        <v>1338592</v>
      </c>
      <c r="S469" s="874">
        <f>+N469-R469</f>
        <v>0</v>
      </c>
    </row>
    <row r="470" spans="1:19" ht="13.5" thickBot="1">
      <c r="A470" s="424"/>
      <c r="B470" s="890" t="s">
        <v>2649</v>
      </c>
      <c r="C470" s="825"/>
      <c r="D470" s="825"/>
      <c r="E470" s="825"/>
      <c r="F470" s="826"/>
      <c r="G470" s="826"/>
      <c r="H470" s="826"/>
      <c r="I470" s="826"/>
      <c r="J470" s="826"/>
      <c r="K470" s="826"/>
      <c r="L470" s="826"/>
      <c r="M470" s="826"/>
      <c r="N470" s="1681">
        <f>+'MATRIZCTAS(a)'!AH629</f>
        <v>1338592</v>
      </c>
      <c r="O470" s="1682"/>
      <c r="P470" s="1683"/>
      <c r="Q470" s="424"/>
    </row>
    <row r="471" spans="1:19" ht="13.5" hidden="1" thickBot="1">
      <c r="A471" s="424"/>
      <c r="B471" s="889" t="s">
        <v>1805</v>
      </c>
      <c r="C471" s="816"/>
      <c r="D471" s="816"/>
      <c r="E471" s="816"/>
      <c r="F471" s="817"/>
      <c r="G471" s="817"/>
      <c r="H471" s="817"/>
      <c r="I471" s="817"/>
      <c r="J471" s="817"/>
      <c r="K471" s="817"/>
      <c r="L471" s="817"/>
      <c r="M471" s="817"/>
      <c r="N471" s="1684" t="s">
        <v>1805</v>
      </c>
      <c r="O471" s="1685"/>
      <c r="P471" s="1686"/>
      <c r="Q471" s="424"/>
    </row>
    <row r="472" spans="1:19">
      <c r="A472" s="424"/>
      <c r="B472" s="424"/>
      <c r="C472" s="424"/>
      <c r="D472" s="424"/>
      <c r="E472" s="424"/>
      <c r="F472" s="424"/>
      <c r="G472" s="424"/>
      <c r="H472" s="424"/>
      <c r="I472" s="424"/>
      <c r="J472" s="424"/>
      <c r="K472" s="424"/>
      <c r="L472" s="424"/>
      <c r="M472" s="424"/>
      <c r="N472" s="424"/>
      <c r="O472" s="424"/>
      <c r="P472" s="424"/>
      <c r="Q472" s="424"/>
    </row>
    <row r="473" spans="1:19" ht="12" thickBot="1"/>
    <row r="474" spans="1:19" ht="20.100000000000001" customHeight="1" thickBot="1">
      <c r="B474" s="331" t="s">
        <v>998</v>
      </c>
      <c r="C474" s="332"/>
      <c r="D474" s="332"/>
      <c r="E474" s="332"/>
      <c r="F474" s="333"/>
      <c r="G474" s="333"/>
      <c r="H474" s="333"/>
      <c r="I474" s="334"/>
      <c r="J474" s="334" t="s">
        <v>1661</v>
      </c>
      <c r="K474" s="313"/>
      <c r="L474" s="313"/>
      <c r="M474" s="325" t="s">
        <v>1885</v>
      </c>
      <c r="N474" s="1678">
        <f>SUM(N475:N476)</f>
        <v>154401</v>
      </c>
      <c r="O474" s="1679"/>
      <c r="P474" s="1680"/>
      <c r="R474" s="556">
        <v>26767868</v>
      </c>
      <c r="S474" s="556">
        <f>+N474-R474</f>
        <v>-26613467</v>
      </c>
    </row>
    <row r="475" spans="1:19" ht="15" customHeight="1">
      <c r="B475" s="800" t="s">
        <v>896</v>
      </c>
      <c r="C475" s="601"/>
      <c r="D475" s="601"/>
      <c r="E475" s="601"/>
      <c r="F475" s="608"/>
      <c r="G475" s="608"/>
      <c r="H475" s="608"/>
      <c r="I475" s="608"/>
      <c r="J475" s="608"/>
      <c r="K475" s="608"/>
      <c r="L475" s="608"/>
      <c r="M475" s="608"/>
      <c r="N475" s="2421">
        <f>SUMIF('MATRIZCTAS(a)'!$AA$7:$AA$1599,'Parametros Cuadros de Notas'!$C137,'MATRIZCTAS(a)'!$AH$7:$AH$1599)</f>
        <v>154401</v>
      </c>
      <c r="O475" s="2422"/>
      <c r="P475" s="2423"/>
    </row>
    <row r="476" spans="1:19" ht="15" customHeight="1" thickBot="1">
      <c r="B476" s="605" t="s">
        <v>1201</v>
      </c>
      <c r="C476" s="607"/>
      <c r="D476" s="607"/>
      <c r="E476" s="607"/>
      <c r="F476" s="609"/>
      <c r="G476" s="609"/>
      <c r="H476" s="609"/>
      <c r="I476" s="609"/>
      <c r="J476" s="609"/>
      <c r="K476" s="609"/>
      <c r="L476" s="609"/>
      <c r="M476" s="609"/>
      <c r="N476" s="2381">
        <f>SUMIF('MATRIZCTAS(a)'!$AA$7:$AA$1599,'Parametros Cuadros de Notas'!$C141,'MATRIZCTAS(a)'!$AH$7:$AH$1599)</f>
        <v>0</v>
      </c>
      <c r="O476" s="2382"/>
      <c r="P476" s="2383"/>
    </row>
    <row r="478" spans="1:19" ht="12" thickBot="1"/>
    <row r="479" spans="1:19" ht="20.100000000000001" customHeight="1" thickBot="1">
      <c r="B479" s="331" t="s">
        <v>1662</v>
      </c>
      <c r="C479" s="332"/>
      <c r="D479" s="332"/>
      <c r="E479" s="332"/>
      <c r="F479" s="333"/>
      <c r="G479" s="333"/>
      <c r="H479" s="333"/>
      <c r="I479" s="334"/>
      <c r="J479" s="334" t="s">
        <v>1663</v>
      </c>
      <c r="K479" s="313"/>
      <c r="L479" s="313"/>
      <c r="M479" s="325" t="s">
        <v>1885</v>
      </c>
      <c r="N479" s="1678">
        <f>SUM(N480:N481)</f>
        <v>1526914</v>
      </c>
      <c r="O479" s="1679"/>
      <c r="P479" s="1680"/>
      <c r="R479" s="556">
        <v>1123549</v>
      </c>
      <c r="S479" s="556">
        <f>+N479-R479</f>
        <v>403365</v>
      </c>
    </row>
    <row r="480" spans="1:19" ht="15" hidden="1" customHeight="1">
      <c r="B480" s="304" t="s">
        <v>1664</v>
      </c>
      <c r="C480" s="305"/>
      <c r="D480" s="305"/>
      <c r="E480" s="305"/>
      <c r="F480" s="307"/>
      <c r="G480" s="307"/>
      <c r="H480" s="307"/>
      <c r="I480" s="307"/>
      <c r="J480" s="307"/>
      <c r="K480" s="307"/>
      <c r="L480" s="307"/>
      <c r="M480" s="307"/>
      <c r="N480" s="2739">
        <f>SUMIF('MATRIZCTAS(a)'!$AA$7:$AA$1599,'Parametros Cuadros de Notas'!$C143,'MATRIZCTAS(a)'!$AH$7:$AH$1599)</f>
        <v>831591</v>
      </c>
      <c r="O480" s="2740"/>
      <c r="P480" s="2741"/>
    </row>
    <row r="481" spans="2:19" ht="15" customHeight="1" thickBot="1">
      <c r="B481" s="822" t="s">
        <v>1665</v>
      </c>
      <c r="C481" s="606"/>
      <c r="D481" s="606"/>
      <c r="E481" s="606"/>
      <c r="F481" s="609"/>
      <c r="G481" s="609"/>
      <c r="H481" s="609"/>
      <c r="I481" s="609"/>
      <c r="J481" s="609"/>
      <c r="K481" s="609"/>
      <c r="L481" s="609"/>
      <c r="M481" s="609"/>
      <c r="N481" s="2381">
        <f>SUMIF('MATRIZCTAS(a)'!$AA$7:$AA$1599,'Parametros Cuadros de Notas'!$C144,'MATRIZCTAS(a)'!$AH$7:$AH$1599)</f>
        <v>695323</v>
      </c>
      <c r="O481" s="2382"/>
      <c r="P481" s="2383"/>
    </row>
    <row r="483" spans="2:19" ht="12" thickBot="1"/>
    <row r="484" spans="2:19" ht="20.100000000000001" customHeight="1" thickBot="1">
      <c r="B484" s="331" t="s">
        <v>1666</v>
      </c>
      <c r="C484" s="332"/>
      <c r="D484" s="332"/>
      <c r="E484" s="332"/>
      <c r="F484" s="333"/>
      <c r="G484" s="333"/>
      <c r="H484" s="333"/>
      <c r="I484" s="334"/>
      <c r="J484" s="334" t="s">
        <v>1667</v>
      </c>
      <c r="K484" s="313"/>
      <c r="L484" s="313"/>
      <c r="M484" s="325" t="s">
        <v>1885</v>
      </c>
      <c r="N484" s="1678">
        <f>SUM(N485:N489)</f>
        <v>827705</v>
      </c>
      <c r="O484" s="1679"/>
      <c r="P484" s="1680"/>
      <c r="R484" s="874">
        <v>1139117</v>
      </c>
      <c r="S484" s="874">
        <f>+R484-N484</f>
        <v>311412</v>
      </c>
    </row>
    <row r="485" spans="2:19" ht="15" hidden="1" customHeight="1">
      <c r="B485" s="602" t="s">
        <v>642</v>
      </c>
      <c r="C485" s="604"/>
      <c r="D485" s="604"/>
      <c r="E485" s="604"/>
      <c r="F485" s="562"/>
      <c r="G485" s="562"/>
      <c r="H485" s="562"/>
      <c r="I485" s="562"/>
      <c r="J485" s="562"/>
      <c r="K485" s="562"/>
      <c r="L485" s="562"/>
      <c r="M485" s="562"/>
      <c r="N485" s="1928">
        <v>0</v>
      </c>
      <c r="O485" s="2742"/>
      <c r="P485" s="2743"/>
    </row>
    <row r="486" spans="2:19" ht="15" customHeight="1">
      <c r="B486" s="828" t="s">
        <v>613</v>
      </c>
      <c r="C486" s="623"/>
      <c r="D486" s="623"/>
      <c r="E486" s="623"/>
      <c r="F486" s="615"/>
      <c r="G486" s="615"/>
      <c r="H486" s="615"/>
      <c r="I486" s="615"/>
      <c r="J486" s="615"/>
      <c r="K486" s="615"/>
      <c r="L486" s="615"/>
      <c r="M486" s="615"/>
      <c r="N486" s="1863">
        <v>21291</v>
      </c>
      <c r="O486" s="1864"/>
      <c r="P486" s="1865"/>
    </row>
    <row r="487" spans="2:19" ht="15" customHeight="1">
      <c r="B487" s="828" t="s">
        <v>612</v>
      </c>
      <c r="C487" s="623"/>
      <c r="D487" s="623"/>
      <c r="E487" s="623"/>
      <c r="F487" s="615"/>
      <c r="G487" s="615"/>
      <c r="H487" s="615"/>
      <c r="I487" s="615"/>
      <c r="J487" s="615"/>
      <c r="K487" s="615"/>
      <c r="L487" s="615"/>
      <c r="M487" s="615"/>
      <c r="N487" s="1863">
        <v>71353</v>
      </c>
      <c r="O487" s="1864"/>
      <c r="P487" s="1865"/>
    </row>
    <row r="488" spans="2:19" ht="15" customHeight="1">
      <c r="B488" s="828" t="s">
        <v>2596</v>
      </c>
      <c r="C488" s="623"/>
      <c r="D488" s="623"/>
      <c r="E488" s="623"/>
      <c r="F488" s="615"/>
      <c r="G488" s="615"/>
      <c r="H488" s="615"/>
      <c r="I488" s="615"/>
      <c r="J488" s="615"/>
      <c r="K488" s="615"/>
      <c r="L488" s="615"/>
      <c r="M488" s="615"/>
      <c r="N488" s="1863">
        <v>93635</v>
      </c>
      <c r="O488" s="1864"/>
      <c r="P488" s="1865"/>
    </row>
    <row r="489" spans="2:19" ht="15" customHeight="1" thickBot="1">
      <c r="B489" s="605" t="s">
        <v>643</v>
      </c>
      <c r="C489" s="606"/>
      <c r="D489" s="606"/>
      <c r="E489" s="606"/>
      <c r="F489" s="609"/>
      <c r="G489" s="609"/>
      <c r="H489" s="609"/>
      <c r="I489" s="609"/>
      <c r="J489" s="609"/>
      <c r="K489" s="609"/>
      <c r="L489" s="609"/>
      <c r="M489" s="609"/>
      <c r="N489" s="2381">
        <v>641426</v>
      </c>
      <c r="O489" s="2382"/>
      <c r="P489" s="2383"/>
    </row>
    <row r="491" spans="2:19" ht="12" thickBot="1"/>
    <row r="492" spans="2:19" ht="20.100000000000001" customHeight="1" thickBot="1">
      <c r="B492" s="331" t="s">
        <v>939</v>
      </c>
      <c r="C492" s="332"/>
      <c r="D492" s="332"/>
      <c r="E492" s="332"/>
      <c r="F492" s="333"/>
      <c r="G492" s="333"/>
      <c r="H492" s="333"/>
      <c r="I492" s="334"/>
      <c r="J492" s="334" t="s">
        <v>940</v>
      </c>
      <c r="K492" s="313"/>
      <c r="L492" s="313"/>
      <c r="M492" s="325" t="s">
        <v>1885</v>
      </c>
      <c r="N492" s="1678">
        <f>SUM(N493:N495)</f>
        <v>1913536</v>
      </c>
      <c r="O492" s="1679"/>
      <c r="P492" s="1680"/>
      <c r="R492" s="556">
        <v>1725241</v>
      </c>
      <c r="S492" s="556">
        <f>+N492-R492</f>
        <v>188295</v>
      </c>
    </row>
    <row r="493" spans="2:19" ht="15" hidden="1" customHeight="1">
      <c r="B493" s="304" t="s">
        <v>941</v>
      </c>
      <c r="C493" s="305"/>
      <c r="D493" s="305"/>
      <c r="E493" s="305"/>
      <c r="F493" s="307"/>
      <c r="G493" s="307"/>
      <c r="H493" s="307"/>
      <c r="I493" s="307"/>
      <c r="J493" s="307"/>
      <c r="K493" s="307"/>
      <c r="L493" s="307"/>
      <c r="M493" s="307"/>
      <c r="N493" s="2739">
        <f>-SUMIF('MATRIZCTAS(a)'!$AA$7:$AA$1599,'Parametros Cuadros de Notas'!$C148,'MATRIZCTAS(a)'!$AH$7:$AH$1599)</f>
        <v>0</v>
      </c>
      <c r="O493" s="2740"/>
      <c r="P493" s="2741"/>
    </row>
    <row r="494" spans="2:19" ht="15" customHeight="1" thickBot="1">
      <c r="B494" s="605" t="s">
        <v>1417</v>
      </c>
      <c r="C494" s="607"/>
      <c r="D494" s="607"/>
      <c r="E494" s="607"/>
      <c r="F494" s="609"/>
      <c r="G494" s="609"/>
      <c r="H494" s="609"/>
      <c r="I494" s="609"/>
      <c r="J494" s="609"/>
      <c r="K494" s="609"/>
      <c r="L494" s="609"/>
      <c r="M494" s="609"/>
      <c r="N494" s="2744">
        <f>-SUMIF('MATRIZCTAS(a)'!$AA$7:$AA$1599,'Parametros Cuadros de Notas'!$C149,'MATRIZCTAS(a)'!$AH$7:$AH$1599)</f>
        <v>1913536</v>
      </c>
      <c r="O494" s="2745"/>
      <c r="P494" s="2746"/>
    </row>
    <row r="495" spans="2:19" ht="15" hidden="1" customHeight="1" thickBot="1">
      <c r="B495" s="427" t="s">
        <v>261</v>
      </c>
      <c r="C495" s="428"/>
      <c r="D495" s="428"/>
      <c r="E495" s="428"/>
      <c r="F495" s="327"/>
      <c r="G495" s="327"/>
      <c r="H495" s="327"/>
      <c r="I495" s="327"/>
      <c r="J495" s="327"/>
      <c r="K495" s="327"/>
      <c r="L495" s="327"/>
      <c r="M495" s="327"/>
      <c r="N495" s="2413">
        <f>-SUMIF('MATRIZCTAS(a)'!$AA$7:$AA$1599,'Parametros Cuadros de Notas'!$C150,'MATRIZCTAS(a)'!$AH$7:$AH$1599)</f>
        <v>0</v>
      </c>
      <c r="O495" s="2414"/>
      <c r="P495" s="2415"/>
    </row>
    <row r="497" spans="1:19" ht="12" thickBot="1"/>
    <row r="498" spans="1:19" ht="20.100000000000001" customHeight="1" thickBot="1">
      <c r="B498" s="331" t="s">
        <v>1572</v>
      </c>
      <c r="C498" s="332"/>
      <c r="D498" s="332"/>
      <c r="E498" s="332"/>
      <c r="F498" s="333"/>
      <c r="G498" s="333"/>
      <c r="H498" s="333"/>
      <c r="I498" s="334"/>
      <c r="J498" s="334" t="s">
        <v>262</v>
      </c>
      <c r="K498" s="313"/>
      <c r="L498" s="313"/>
      <c r="M498" s="325" t="s">
        <v>1885</v>
      </c>
      <c r="N498" s="1678">
        <f>SUM(N499:N505)</f>
        <v>1923972</v>
      </c>
      <c r="O498" s="1679"/>
      <c r="P498" s="1680"/>
      <c r="R498" s="874">
        <v>2632116</v>
      </c>
      <c r="S498" s="874">
        <f>+R498-N498</f>
        <v>708144</v>
      </c>
    </row>
    <row r="499" spans="1:19" ht="15" customHeight="1">
      <c r="B499" s="602" t="s">
        <v>614</v>
      </c>
      <c r="C499" s="604"/>
      <c r="D499" s="604"/>
      <c r="E499" s="604"/>
      <c r="F499" s="562"/>
      <c r="G499" s="562"/>
      <c r="H499" s="562"/>
      <c r="I499" s="562"/>
      <c r="J499" s="562"/>
      <c r="K499" s="562"/>
      <c r="L499" s="562"/>
      <c r="M499" s="562"/>
      <c r="N499" s="1863">
        <v>211264</v>
      </c>
      <c r="O499" s="1864"/>
      <c r="P499" s="1865"/>
    </row>
    <row r="500" spans="1:19" ht="15" customHeight="1">
      <c r="B500" s="602" t="s">
        <v>615</v>
      </c>
      <c r="C500" s="604"/>
      <c r="D500" s="604"/>
      <c r="E500" s="604"/>
      <c r="F500" s="562"/>
      <c r="G500" s="562"/>
      <c r="H500" s="562"/>
      <c r="I500" s="562"/>
      <c r="J500" s="562"/>
      <c r="K500" s="562"/>
      <c r="L500" s="562"/>
      <c r="M500" s="562"/>
      <c r="N500" s="1863">
        <v>265464</v>
      </c>
      <c r="O500" s="1864"/>
      <c r="P500" s="1865"/>
    </row>
    <row r="501" spans="1:19" ht="15" customHeight="1">
      <c r="B501" s="602" t="s">
        <v>1100</v>
      </c>
      <c r="C501" s="604"/>
      <c r="D501" s="604"/>
      <c r="E501" s="604"/>
      <c r="F501" s="562"/>
      <c r="G501" s="562"/>
      <c r="H501" s="562"/>
      <c r="I501" s="562"/>
      <c r="J501" s="562"/>
      <c r="K501" s="562"/>
      <c r="L501" s="562"/>
      <c r="M501" s="562"/>
      <c r="N501" s="1863">
        <v>433730</v>
      </c>
      <c r="O501" s="1864"/>
      <c r="P501" s="1865"/>
    </row>
    <row r="502" spans="1:19" ht="15" customHeight="1">
      <c r="B502" s="602" t="s">
        <v>263</v>
      </c>
      <c r="C502" s="604"/>
      <c r="D502" s="604"/>
      <c r="E502" s="604"/>
      <c r="F502" s="562"/>
      <c r="G502" s="562"/>
      <c r="H502" s="562"/>
      <c r="I502" s="562"/>
      <c r="J502" s="562"/>
      <c r="K502" s="562"/>
      <c r="L502" s="562"/>
      <c r="M502" s="562"/>
      <c r="N502" s="1863">
        <v>993913</v>
      </c>
      <c r="O502" s="1864"/>
      <c r="P502" s="1865"/>
    </row>
    <row r="503" spans="1:19" ht="15" customHeight="1">
      <c r="B503" s="602" t="s">
        <v>1050</v>
      </c>
      <c r="C503" s="623"/>
      <c r="D503" s="623"/>
      <c r="E503" s="623"/>
      <c r="F503" s="615"/>
      <c r="G503" s="615"/>
      <c r="H503" s="615"/>
      <c r="I503" s="615"/>
      <c r="J503" s="615"/>
      <c r="K503" s="615"/>
      <c r="L503" s="615"/>
      <c r="M503" s="615"/>
      <c r="N503" s="2424">
        <v>6454</v>
      </c>
      <c r="O503" s="2425"/>
      <c r="P503" s="2426"/>
    </row>
    <row r="504" spans="1:19" ht="15" customHeight="1" thickBot="1">
      <c r="B504" s="605" t="s">
        <v>1054</v>
      </c>
      <c r="C504" s="607"/>
      <c r="D504" s="607"/>
      <c r="E504" s="607"/>
      <c r="F504" s="609"/>
      <c r="G504" s="609"/>
      <c r="H504" s="609"/>
      <c r="I504" s="609"/>
      <c r="J504" s="609"/>
      <c r="K504" s="609"/>
      <c r="L504" s="609"/>
      <c r="M504" s="609"/>
      <c r="N504" s="2381">
        <v>13147</v>
      </c>
      <c r="O504" s="2382"/>
      <c r="P504" s="2383"/>
    </row>
    <row r="505" spans="1:19" ht="15" hidden="1" customHeight="1" thickBot="1">
      <c r="B505" s="429" t="s">
        <v>389</v>
      </c>
      <c r="C505" s="428"/>
      <c r="D505" s="428"/>
      <c r="E505" s="428"/>
      <c r="F505" s="327"/>
      <c r="G505" s="327"/>
      <c r="H505" s="327"/>
      <c r="I505" s="327"/>
      <c r="J505" s="327"/>
      <c r="K505" s="327"/>
      <c r="L505" s="327"/>
      <c r="M505" s="327"/>
      <c r="N505" s="2378">
        <v>0</v>
      </c>
      <c r="O505" s="2379"/>
      <c r="P505" s="2380"/>
    </row>
    <row r="507" spans="1:19" ht="12" thickBot="1"/>
    <row r="508" spans="1:19" ht="20.100000000000001" hidden="1" customHeight="1" thickBot="1">
      <c r="B508" s="331" t="s">
        <v>338</v>
      </c>
      <c r="C508" s="332"/>
      <c r="D508" s="332"/>
      <c r="E508" s="332"/>
      <c r="F508" s="333"/>
      <c r="G508" s="333"/>
      <c r="H508" s="333"/>
      <c r="I508" s="334"/>
      <c r="J508" s="334" t="s">
        <v>850</v>
      </c>
      <c r="K508" s="313"/>
      <c r="L508" s="313"/>
      <c r="M508" s="325" t="s">
        <v>1885</v>
      </c>
      <c r="N508" s="1678">
        <f>SUM(N509:N509)</f>
        <v>0</v>
      </c>
      <c r="O508" s="1679"/>
      <c r="P508" s="1680"/>
    </row>
    <row r="509" spans="1:19" ht="15" hidden="1" customHeight="1" thickBot="1">
      <c r="B509" s="308" t="s">
        <v>1381</v>
      </c>
      <c r="C509" s="306"/>
      <c r="D509" s="306"/>
      <c r="E509" s="306"/>
      <c r="F509" s="309"/>
      <c r="G509" s="309"/>
      <c r="H509" s="309"/>
      <c r="I509" s="309"/>
      <c r="J509" s="309"/>
      <c r="K509" s="309"/>
      <c r="L509" s="309"/>
      <c r="M509" s="309"/>
      <c r="N509" s="1983">
        <f>-SUMIF('MATRIZCTAS(a)'!$AA$7:$AA$1599,'Parametros Cuadros de Notas'!$C156,'MATRIZCTAS(a)'!$AH$7:$AH$1599)</f>
        <v>0</v>
      </c>
      <c r="O509" s="1984"/>
      <c r="P509" s="1985"/>
    </row>
    <row r="510" spans="1:19" hidden="1"/>
    <row r="511" spans="1:19" ht="12" hidden="1" thickBot="1">
      <c r="A511" s="424"/>
      <c r="B511" s="424"/>
      <c r="C511" s="424"/>
      <c r="D511" s="424"/>
      <c r="E511" s="424"/>
      <c r="F511" s="424"/>
      <c r="G511" s="424"/>
      <c r="H511" s="424"/>
      <c r="I511" s="424"/>
      <c r="J511" s="424"/>
      <c r="K511" s="424"/>
      <c r="L511" s="424"/>
      <c r="M511" s="424"/>
      <c r="N511" s="424"/>
      <c r="O511" s="424"/>
      <c r="P511" s="424"/>
      <c r="Q511" s="424"/>
    </row>
    <row r="512" spans="1:19" ht="20.100000000000001" customHeight="1" thickBot="1">
      <c r="A512" s="424"/>
      <c r="B512" s="331" t="s">
        <v>998</v>
      </c>
      <c r="C512" s="332"/>
      <c r="D512" s="332"/>
      <c r="E512" s="332"/>
      <c r="F512" s="333"/>
      <c r="G512" s="333"/>
      <c r="H512" s="333"/>
      <c r="I512" s="334"/>
      <c r="J512" s="334" t="s">
        <v>812</v>
      </c>
      <c r="K512" s="313"/>
      <c r="L512" s="313"/>
      <c r="M512" s="325" t="s">
        <v>1885</v>
      </c>
      <c r="N512" s="1678">
        <f>SUM(N513:N517)</f>
        <v>15845038</v>
      </c>
      <c r="O512" s="1679"/>
      <c r="P512" s="1680"/>
      <c r="Q512" s="424"/>
      <c r="R512" s="874">
        <v>13012844</v>
      </c>
      <c r="S512" s="874">
        <f>+N512-R512</f>
        <v>2832194</v>
      </c>
    </row>
    <row r="513" spans="1:28" ht="15" customHeight="1">
      <c r="A513" s="424"/>
      <c r="B513" s="602" t="s">
        <v>813</v>
      </c>
      <c r="C513" s="604"/>
      <c r="D513" s="604"/>
      <c r="E513" s="604"/>
      <c r="F513" s="562"/>
      <c r="G513" s="562"/>
      <c r="H513" s="562"/>
      <c r="I513" s="562"/>
      <c r="J513" s="562"/>
      <c r="K513" s="562"/>
      <c r="L513" s="562"/>
      <c r="M513" s="562"/>
      <c r="N513" s="1863">
        <f>-SUMIF('MATRIZCTAS(a)'!$AA$7:$AA$1599,'Parametros Cuadros de Notas'!$C158,'MATRIZCTAS(a)'!$AH$7:$AH$1599)</f>
        <v>15212724</v>
      </c>
      <c r="O513" s="1864"/>
      <c r="P513" s="1865"/>
      <c r="Q513" s="424"/>
      <c r="S513" s="561"/>
    </row>
    <row r="514" spans="1:28" ht="15" customHeight="1">
      <c r="A514" s="424"/>
      <c r="B514" s="602" t="s">
        <v>1379</v>
      </c>
      <c r="C514" s="623"/>
      <c r="D514" s="623"/>
      <c r="E514" s="623"/>
      <c r="F514" s="615"/>
      <c r="G514" s="615"/>
      <c r="H514" s="615"/>
      <c r="I514" s="615"/>
      <c r="J514" s="615"/>
      <c r="K514" s="615"/>
      <c r="L514" s="615"/>
      <c r="M514" s="615"/>
      <c r="N514" s="1863">
        <f>-SUMIF('MATRIZCTAS(a)'!$AA$7:$AA$1599,'Parametros Cuadros de Notas'!$C159,'MATRIZCTAS(a)'!$AH$7:$AH$1599)</f>
        <v>595456</v>
      </c>
      <c r="O514" s="1864"/>
      <c r="P514" s="1865"/>
      <c r="Q514" s="424"/>
      <c r="R514" s="301" t="s">
        <v>1805</v>
      </c>
      <c r="S514" s="359" t="s">
        <v>1805</v>
      </c>
    </row>
    <row r="515" spans="1:28" ht="15" customHeight="1">
      <c r="A515" s="424"/>
      <c r="B515" s="602" t="s">
        <v>2587</v>
      </c>
      <c r="C515" s="623"/>
      <c r="D515" s="623"/>
      <c r="E515" s="623"/>
      <c r="F515" s="615"/>
      <c r="G515" s="615"/>
      <c r="H515" s="615"/>
      <c r="I515" s="615"/>
      <c r="J515" s="615"/>
      <c r="K515" s="615"/>
      <c r="L515" s="615"/>
      <c r="M515" s="615"/>
      <c r="N515" s="1863">
        <f>-'MATRIZCTAS(a)'!AH366</f>
        <v>8601</v>
      </c>
      <c r="O515" s="1864"/>
      <c r="P515" s="1865"/>
      <c r="Q515" s="424"/>
      <c r="S515" s="359"/>
    </row>
    <row r="516" spans="1:28" ht="15" customHeight="1">
      <c r="A516" s="424"/>
      <c r="B516" s="602" t="s">
        <v>1380</v>
      </c>
      <c r="C516" s="623"/>
      <c r="D516" s="623"/>
      <c r="E516" s="623"/>
      <c r="F516" s="615"/>
      <c r="G516" s="615"/>
      <c r="H516" s="615"/>
      <c r="I516" s="615"/>
      <c r="J516" s="615"/>
      <c r="K516" s="615"/>
      <c r="L516" s="615"/>
      <c r="M516" s="615"/>
      <c r="N516" s="1863">
        <f>-SUMIF('MATRIZCTAS(a)'!$AA$7:$AA$1599,'Parametros Cuadros de Notas'!$C160,'MATRIZCTAS(a)'!$AH$7:$AH$1599)</f>
        <v>726</v>
      </c>
      <c r="O516" s="1864"/>
      <c r="P516" s="1865"/>
      <c r="Q516" s="424"/>
      <c r="R516" s="359" t="s">
        <v>1805</v>
      </c>
    </row>
    <row r="517" spans="1:28" ht="15" customHeight="1" thickBot="1">
      <c r="A517" s="424"/>
      <c r="B517" s="605" t="s">
        <v>814</v>
      </c>
      <c r="C517" s="606"/>
      <c r="D517" s="606"/>
      <c r="E517" s="606"/>
      <c r="F517" s="609"/>
      <c r="G517" s="609"/>
      <c r="H517" s="609"/>
      <c r="I517" s="609"/>
      <c r="J517" s="609"/>
      <c r="K517" s="609"/>
      <c r="L517" s="609"/>
      <c r="M517" s="609"/>
      <c r="N517" s="2381">
        <f>-SUMIF('MATRIZCTAS(a)'!$AA$7:$AA$1599,'Parametros Cuadros de Notas'!$C161,'MATRIZCTAS(a)'!$AH$7:$AH$1599)</f>
        <v>27531</v>
      </c>
      <c r="O517" s="2382"/>
      <c r="P517" s="2383"/>
      <c r="Q517" s="424"/>
      <c r="R517" s="359" t="s">
        <v>1805</v>
      </c>
    </row>
    <row r="518" spans="1:28">
      <c r="A518" s="424"/>
      <c r="B518" s="424"/>
      <c r="C518" s="424"/>
      <c r="D518" s="424"/>
      <c r="E518" s="424"/>
      <c r="F518" s="424"/>
      <c r="G518" s="424"/>
      <c r="H518" s="424"/>
      <c r="I518" s="424"/>
      <c r="J518" s="424"/>
      <c r="K518" s="424"/>
      <c r="L518" s="424"/>
      <c r="M518" s="424"/>
      <c r="N518" s="424"/>
      <c r="O518" s="424"/>
      <c r="P518" s="424"/>
      <c r="Q518" s="424"/>
    </row>
    <row r="519" spans="1:28" ht="12" thickBot="1"/>
    <row r="520" spans="1:28" ht="35.1" customHeight="1" thickBot="1">
      <c r="B520" s="1991" t="s">
        <v>1021</v>
      </c>
      <c r="C520" s="1992"/>
      <c r="D520" s="1992"/>
      <c r="E520" s="1992"/>
      <c r="F520" s="1992"/>
      <c r="G520" s="1992"/>
      <c r="H520" s="1992"/>
      <c r="I520" s="1992"/>
      <c r="J520" s="1992"/>
      <c r="K520" s="1981" t="s">
        <v>815</v>
      </c>
      <c r="L520" s="1981"/>
      <c r="M520" s="1981"/>
      <c r="N520" s="1981" t="s">
        <v>970</v>
      </c>
      <c r="O520" s="1981"/>
      <c r="P520" s="1981"/>
      <c r="Q520" s="1981" t="s">
        <v>971</v>
      </c>
      <c r="R520" s="1981"/>
      <c r="S520" s="1982"/>
    </row>
    <row r="521" spans="1:28" ht="20.100000000000001" customHeight="1">
      <c r="B521" s="1150" t="s">
        <v>1459</v>
      </c>
      <c r="C521" s="1151"/>
      <c r="D521" s="1151"/>
      <c r="E521" s="1152"/>
      <c r="F521" s="1152"/>
      <c r="G521" s="1152"/>
      <c r="H521" s="1152"/>
      <c r="I521" s="1152"/>
      <c r="J521" s="1152"/>
      <c r="K521" s="2376">
        <f>SUM(K522:K526)</f>
        <v>691789</v>
      </c>
      <c r="L521" s="2377"/>
      <c r="M521" s="2377"/>
      <c r="N521" s="2376">
        <f>SUM(N522:N526)</f>
        <v>181307</v>
      </c>
      <c r="O521" s="2377"/>
      <c r="P521" s="2377"/>
      <c r="Q521" s="2376">
        <f>SUM(Q522:Q526)</f>
        <v>510482</v>
      </c>
      <c r="R521" s="2377"/>
      <c r="S521" s="2672"/>
    </row>
    <row r="522" spans="1:28" ht="15" customHeight="1">
      <c r="B522" s="1153" t="s">
        <v>1460</v>
      </c>
      <c r="C522" s="1154"/>
      <c r="D522" s="1154"/>
      <c r="E522" s="1155"/>
      <c r="F522" s="1155"/>
      <c r="G522" s="1155"/>
      <c r="H522" s="1155"/>
      <c r="I522" s="1155"/>
      <c r="J522" s="1155"/>
      <c r="K522" s="2681">
        <f>SUMIF('MATRIZCTAS(a)'!$AA$7:$AA$1599,'Parametros Cuadros de Notas'!$C163,'MATRIZCTAS(a)'!$AH$7:$AH$1599)</f>
        <v>496335</v>
      </c>
      <c r="L522" s="2682"/>
      <c r="M522" s="2682"/>
      <c r="N522" s="2681">
        <f>-SUMIF('MATRIZCTAS(a)'!$AA$7:$AA$1599,'Parametros Cuadros de Notas'!$C170,'MATRIZCTAS(a)'!$AH$7:$AH$1599)</f>
        <v>156579</v>
      </c>
      <c r="O522" s="2682"/>
      <c r="P522" s="2682"/>
      <c r="Q522" s="2681">
        <f t="shared" ref="Q522:Q527" si="3">+K522-N522</f>
        <v>339756</v>
      </c>
      <c r="R522" s="2682"/>
      <c r="S522" s="2683"/>
    </row>
    <row r="523" spans="1:28" ht="15" customHeight="1">
      <c r="B523" s="1156" t="s">
        <v>355</v>
      </c>
      <c r="C523" s="1108"/>
      <c r="D523" s="1108"/>
      <c r="E523" s="806"/>
      <c r="F523" s="806"/>
      <c r="G523" s="806"/>
      <c r="H523" s="806"/>
      <c r="I523" s="806"/>
      <c r="J523" s="806"/>
      <c r="K523" s="1673">
        <f>SUMIF('MATRIZCTAS(a)'!$AA$7:$AA$1599,'Parametros Cuadros de Notas'!$C164,'MATRIZCTAS(a)'!$AH$7:$AH$1599)</f>
        <v>0</v>
      </c>
      <c r="L523" s="1674"/>
      <c r="M523" s="1674"/>
      <c r="N523" s="1673">
        <f>-SUMIF('MATRIZCTAS(a)'!$AA$7:$AA$1599,'Parametros Cuadros de Notas'!$C171,'MATRIZCTAS(a)'!$AH$7:$AH$1599)</f>
        <v>0</v>
      </c>
      <c r="O523" s="1674"/>
      <c r="P523" s="1674"/>
      <c r="Q523" s="1673">
        <f t="shared" si="3"/>
        <v>0</v>
      </c>
      <c r="R523" s="1674"/>
      <c r="S523" s="1675"/>
    </row>
    <row r="524" spans="1:28" ht="15" customHeight="1">
      <c r="B524" s="1156" t="s">
        <v>1461</v>
      </c>
      <c r="C524" s="1108"/>
      <c r="D524" s="1108"/>
      <c r="E524" s="806"/>
      <c r="F524" s="806"/>
      <c r="G524" s="806"/>
      <c r="H524" s="806"/>
      <c r="I524" s="806"/>
      <c r="J524" s="806"/>
      <c r="K524" s="1673">
        <f>SUMIF('MATRIZCTAS(a)'!$AA$7:$AA$1599,'Parametros Cuadros de Notas'!$C165,'MATRIZCTAS(a)'!$AH$7:$AH$1599)</f>
        <v>180856</v>
      </c>
      <c r="L524" s="1674"/>
      <c r="M524" s="1674"/>
      <c r="N524" s="1673">
        <f>-SUMIF('MATRIZCTAS(a)'!$AA$7:$AA$1599,'Parametros Cuadros de Notas'!$C172,'MATRIZCTAS(a)'!$AH$7:$AH$1599)</f>
        <v>22910</v>
      </c>
      <c r="O524" s="1674"/>
      <c r="P524" s="1674"/>
      <c r="Q524" s="1673">
        <f t="shared" si="3"/>
        <v>157946</v>
      </c>
      <c r="R524" s="1674"/>
      <c r="S524" s="1675"/>
      <c r="AB524" s="163"/>
    </row>
    <row r="525" spans="1:28" ht="15" customHeight="1">
      <c r="B525" s="1156" t="s">
        <v>429</v>
      </c>
      <c r="C525" s="1108"/>
      <c r="D525" s="1108"/>
      <c r="E525" s="806"/>
      <c r="F525" s="806"/>
      <c r="G525" s="806"/>
      <c r="H525" s="806"/>
      <c r="I525" s="806"/>
      <c r="J525" s="806"/>
      <c r="K525" s="1673">
        <f>SUMIF('MATRIZCTAS(a)'!$AA$7:$AA$1599,'Parametros Cuadros de Notas'!$C166,'MATRIZCTAS(a)'!$AH$7:$AH$1599)</f>
        <v>14598</v>
      </c>
      <c r="L525" s="1674"/>
      <c r="M525" s="1674"/>
      <c r="N525" s="1673">
        <f>-SUMIF('MATRIZCTAS(a)'!$AA$7:$AA$1599,'Parametros Cuadros de Notas'!$C173,'MATRIZCTAS(a)'!$AH$7:$AH$1599)</f>
        <v>1818</v>
      </c>
      <c r="O525" s="1674"/>
      <c r="P525" s="1674"/>
      <c r="Q525" s="1673">
        <f t="shared" si="3"/>
        <v>12780</v>
      </c>
      <c r="R525" s="1674"/>
      <c r="S525" s="1675"/>
    </row>
    <row r="526" spans="1:28" ht="15" customHeight="1">
      <c r="B526" s="1157" t="s">
        <v>357</v>
      </c>
      <c r="C526" s="1158"/>
      <c r="D526" s="1158"/>
      <c r="E526" s="1089"/>
      <c r="F526" s="1089"/>
      <c r="G526" s="1089"/>
      <c r="H526" s="1089"/>
      <c r="I526" s="1089"/>
      <c r="J526" s="1089"/>
      <c r="K526" s="1919">
        <f>SUMIF('MATRIZCTAS(a)'!$AA$7:$AA$1599,'Parametros Cuadros de Notas'!$C167,'MATRIZCTAS(a)'!$AH$7:$AH$1599)</f>
        <v>0</v>
      </c>
      <c r="L526" s="1920"/>
      <c r="M526" s="1920"/>
      <c r="N526" s="1919">
        <f>-SUMIF('MATRIZCTAS(a)'!$AA$7:$AA$1599,'Parametros Cuadros de Notas'!$C174,'MATRIZCTAS(a)'!$AH$7:$AH$1599)</f>
        <v>0</v>
      </c>
      <c r="O526" s="1920"/>
      <c r="P526" s="1920"/>
      <c r="Q526" s="1919">
        <f t="shared" si="3"/>
        <v>0</v>
      </c>
      <c r="R526" s="1920"/>
      <c r="S526" s="1921"/>
      <c r="AB526" s="163"/>
    </row>
    <row r="527" spans="1:28" ht="20.100000000000001" customHeight="1" thickBot="1">
      <c r="B527" s="1159" t="s">
        <v>1462</v>
      </c>
      <c r="C527" s="1160"/>
      <c r="D527" s="1160"/>
      <c r="E527" s="1161"/>
      <c r="F527" s="1161"/>
      <c r="G527" s="1161"/>
      <c r="H527" s="1161"/>
      <c r="I527" s="1161"/>
      <c r="J527" s="1161"/>
      <c r="K527" s="1996">
        <f ca="1">+M64+M65+N527</f>
        <v>119171729</v>
      </c>
      <c r="L527" s="1997"/>
      <c r="M527" s="1997"/>
      <c r="N527" s="1996">
        <f ca="1">-SUMIF('MATRIZCTAS(a)'!$AA$7:$AA$1776,'Parametros Cuadros de Notas'!$C175,'MATRIZCTAS(a)'!$AH$7:$AH$1456)</f>
        <v>5538672</v>
      </c>
      <c r="O527" s="1997"/>
      <c r="P527" s="1997"/>
      <c r="Q527" s="1996">
        <f t="shared" ca="1" si="3"/>
        <v>113633057</v>
      </c>
      <c r="R527" s="1997"/>
      <c r="S527" s="2373"/>
      <c r="W527" s="335"/>
    </row>
    <row r="528" spans="1:28" ht="9.9499999999999993" customHeight="1" thickBot="1">
      <c r="B528" s="1162"/>
      <c r="C528" s="1162"/>
      <c r="D528" s="1162"/>
      <c r="E528" s="1163"/>
      <c r="F528" s="1163"/>
      <c r="G528" s="1163"/>
      <c r="H528" s="1163"/>
      <c r="I528" s="1163"/>
      <c r="J528" s="1163"/>
      <c r="K528" s="1922"/>
      <c r="L528" s="1923"/>
      <c r="M528" s="1923"/>
      <c r="N528" s="1922"/>
      <c r="O528" s="1923"/>
      <c r="P528" s="1923"/>
      <c r="Q528" s="1922"/>
      <c r="R528" s="1923"/>
      <c r="S528" s="1923"/>
    </row>
    <row r="529" spans="2:30" ht="20.100000000000001" customHeight="1" thickBot="1">
      <c r="B529" s="1124" t="s">
        <v>1555</v>
      </c>
      <c r="C529" s="1164"/>
      <c r="D529" s="1164"/>
      <c r="E529" s="1110"/>
      <c r="F529" s="1110"/>
      <c r="G529" s="1110"/>
      <c r="H529" s="1110"/>
      <c r="I529" s="1110"/>
      <c r="J529" s="1110"/>
      <c r="K529" s="1861">
        <f ca="1">+K521+K527</f>
        <v>119863518</v>
      </c>
      <c r="L529" s="1862"/>
      <c r="M529" s="1862"/>
      <c r="N529" s="1861">
        <f ca="1">+N521+N527</f>
        <v>5719979</v>
      </c>
      <c r="O529" s="1862"/>
      <c r="P529" s="1862"/>
      <c r="Q529" s="1861">
        <f ca="1">+Q521+Q527</f>
        <v>114143539</v>
      </c>
      <c r="R529" s="1862"/>
      <c r="S529" s="2655"/>
    </row>
    <row r="531" spans="2:30" ht="12" thickBot="1">
      <c r="B531" s="1056"/>
      <c r="C531" s="424"/>
      <c r="D531" s="424"/>
      <c r="E531" s="1057">
        <v>40999</v>
      </c>
      <c r="F531" s="424"/>
    </row>
    <row r="532" spans="2:30" ht="35.25" customHeight="1" thickBot="1">
      <c r="B532" s="2613" t="s">
        <v>142</v>
      </c>
      <c r="C532" s="2068"/>
      <c r="D532" s="2068"/>
      <c r="E532" s="2068"/>
      <c r="F532" s="2068"/>
      <c r="G532" s="1847" t="s">
        <v>143</v>
      </c>
      <c r="H532" s="1847"/>
      <c r="I532" s="1847"/>
      <c r="J532" s="1847" t="s">
        <v>144</v>
      </c>
      <c r="K532" s="1847"/>
      <c r="L532" s="1847"/>
      <c r="M532" s="1847" t="s">
        <v>145</v>
      </c>
      <c r="N532" s="1847"/>
      <c r="O532" s="1847"/>
      <c r="P532" s="1847" t="s">
        <v>146</v>
      </c>
      <c r="Q532" s="1847"/>
      <c r="R532" s="1847"/>
      <c r="S532" s="1847" t="s">
        <v>147</v>
      </c>
      <c r="T532" s="1847"/>
      <c r="U532" s="1847"/>
      <c r="V532" s="1847" t="s">
        <v>148</v>
      </c>
      <c r="W532" s="1847"/>
      <c r="X532" s="1848"/>
    </row>
    <row r="533" spans="2:30" ht="24.95" customHeight="1">
      <c r="B533" s="2659" t="s">
        <v>1557</v>
      </c>
      <c r="C533" s="2660"/>
      <c r="D533" s="2660"/>
      <c r="E533" s="2660"/>
      <c r="F533" s="2660"/>
      <c r="G533" s="2663">
        <v>511250000</v>
      </c>
      <c r="H533" s="2663"/>
      <c r="I533" s="2663"/>
      <c r="J533" s="2374">
        <v>161997</v>
      </c>
      <c r="K533" s="2375"/>
      <c r="L533" s="2375"/>
      <c r="M533" s="2614">
        <v>39083</v>
      </c>
      <c r="N533" s="2614"/>
      <c r="O533" s="2614"/>
      <c r="P533" s="2704">
        <f>+'MATRIZCTAS(a)'!AH602</f>
        <v>0</v>
      </c>
      <c r="Q533" s="2705"/>
      <c r="R533" s="2705"/>
      <c r="S533" s="1876">
        <v>-1229946</v>
      </c>
      <c r="T533" s="1877"/>
      <c r="U533" s="1877"/>
      <c r="V533" s="2687">
        <v>36</v>
      </c>
      <c r="W533" s="2688"/>
      <c r="X533" s="2689"/>
    </row>
    <row r="534" spans="2:30" ht="24.95" customHeight="1">
      <c r="B534" s="2661" t="s">
        <v>1794</v>
      </c>
      <c r="C534" s="2662"/>
      <c r="D534" s="2662"/>
      <c r="E534" s="2662"/>
      <c r="F534" s="2662"/>
      <c r="G534" s="2663">
        <v>514420000</v>
      </c>
      <c r="H534" s="2663"/>
      <c r="I534" s="2663"/>
      <c r="J534" s="2619">
        <v>119937</v>
      </c>
      <c r="K534" s="2620"/>
      <c r="L534" s="2620"/>
      <c r="M534" s="2615">
        <v>39083</v>
      </c>
      <c r="N534" s="2615"/>
      <c r="O534" s="2615"/>
      <c r="P534" s="2702">
        <f>+'MATRIZCTAS(a)'!AH593+'MATRIZCTAS(a)'!AH594+'MATRIZCTAS(a)'!AH634+'MATRIZCTAS(a)'!AH635+'MATRIZCTAS(a)'!AH636</f>
        <v>50396</v>
      </c>
      <c r="Q534" s="2703"/>
      <c r="R534" s="2703"/>
      <c r="S534" s="1676">
        <f>-1507523-451644</f>
        <v>-1959167</v>
      </c>
      <c r="T534" s="1677"/>
      <c r="U534" s="1677"/>
      <c r="V534" s="2693">
        <v>36</v>
      </c>
      <c r="W534" s="2694"/>
      <c r="X534" s="2695"/>
    </row>
    <row r="535" spans="2:30" ht="24.95" customHeight="1">
      <c r="B535" s="2661" t="s">
        <v>536</v>
      </c>
      <c r="C535" s="2662"/>
      <c r="D535" s="2662"/>
      <c r="E535" s="2662"/>
      <c r="F535" s="2662"/>
      <c r="G535" s="2663">
        <v>514320000</v>
      </c>
      <c r="H535" s="2663"/>
      <c r="I535" s="2663"/>
      <c r="J535" s="2619">
        <v>7833436</v>
      </c>
      <c r="K535" s="2620"/>
      <c r="L535" s="2620"/>
      <c r="M535" s="2615">
        <v>39083</v>
      </c>
      <c r="N535" s="2615"/>
      <c r="O535" s="2615"/>
      <c r="P535" s="2702">
        <f>+S616+S619+S622+S625+S628+S631+S634+S637+S640+S646+S655+S643+S649+S611+S652</f>
        <v>11342706</v>
      </c>
      <c r="Q535" s="2703"/>
      <c r="R535" s="2703"/>
      <c r="S535" s="1676">
        <v>0</v>
      </c>
      <c r="T535" s="1677"/>
      <c r="U535" s="1677"/>
      <c r="V535" s="2693">
        <v>0</v>
      </c>
      <c r="W535" s="2694"/>
      <c r="X535" s="2695"/>
      <c r="AD535" s="359"/>
    </row>
    <row r="536" spans="2:30" ht="24.95" customHeight="1">
      <c r="B536" s="1112" t="s">
        <v>998</v>
      </c>
      <c r="C536" s="1113"/>
      <c r="D536" s="1113"/>
      <c r="E536" s="1113"/>
      <c r="F536" s="1114"/>
      <c r="G536" s="2607">
        <v>511211000</v>
      </c>
      <c r="H536" s="2608"/>
      <c r="I536" s="2609"/>
      <c r="J536" s="2709">
        <v>930001</v>
      </c>
      <c r="K536" s="2710"/>
      <c r="L536" s="2711"/>
      <c r="M536" s="2616">
        <v>39083</v>
      </c>
      <c r="N536" s="2617"/>
      <c r="O536" s="2618"/>
      <c r="P536" s="2706">
        <f>+'MATRIZCTAS(a)'!AH622</f>
        <v>38658</v>
      </c>
      <c r="Q536" s="2707"/>
      <c r="R536" s="2708"/>
      <c r="S536" s="2699">
        <v>0</v>
      </c>
      <c r="T536" s="2700"/>
      <c r="U536" s="2701"/>
      <c r="V536" s="2684">
        <v>0</v>
      </c>
      <c r="W536" s="2685"/>
      <c r="X536" s="2686"/>
    </row>
    <row r="537" spans="2:30" ht="24.95" customHeight="1" thickBot="1">
      <c r="B537" s="1115" t="s">
        <v>2647</v>
      </c>
      <c r="C537" s="1116"/>
      <c r="D537" s="1116"/>
      <c r="E537" s="1116"/>
      <c r="F537" s="1117"/>
      <c r="G537" s="2766">
        <v>514410000</v>
      </c>
      <c r="H537" s="2767"/>
      <c r="I537" s="2768"/>
      <c r="J537" s="2390">
        <v>1338592</v>
      </c>
      <c r="K537" s="2391"/>
      <c r="L537" s="2392"/>
      <c r="M537" s="2393">
        <v>40511</v>
      </c>
      <c r="N537" s="2394"/>
      <c r="O537" s="2395"/>
      <c r="P537" s="2396">
        <v>1338592</v>
      </c>
      <c r="Q537" s="2397"/>
      <c r="R537" s="2398"/>
      <c r="S537" s="2690">
        <v>0</v>
      </c>
      <c r="T537" s="2691"/>
      <c r="U537" s="2692"/>
      <c r="V537" s="2402">
        <v>0</v>
      </c>
      <c r="W537" s="2403"/>
      <c r="X537" s="2404"/>
    </row>
    <row r="538" spans="2:30" ht="20.100000000000001" customHeight="1" thickBot="1">
      <c r="B538" s="2604" t="s">
        <v>1333</v>
      </c>
      <c r="C538" s="2605"/>
      <c r="D538" s="2605"/>
      <c r="E538" s="2605"/>
      <c r="F538" s="2605"/>
      <c r="G538" s="2606"/>
      <c r="H538" s="2606"/>
      <c r="I538" s="2606"/>
      <c r="J538" s="2399">
        <f>SUM(J533:J537)</f>
        <v>10383963</v>
      </c>
      <c r="K538" s="2400"/>
      <c r="L538" s="2401"/>
      <c r="M538" s="2606"/>
      <c r="N538" s="2606"/>
      <c r="O538" s="2606"/>
      <c r="P538" s="1861">
        <f>SUM(P533:P537)</f>
        <v>12770352</v>
      </c>
      <c r="Q538" s="1862"/>
      <c r="R538" s="1862"/>
      <c r="S538" s="2039">
        <f>SUM(S533:S536)</f>
        <v>-3189113</v>
      </c>
      <c r="T538" s="2673"/>
      <c r="U538" s="2673"/>
      <c r="V538" s="2670"/>
      <c r="W538" s="2670"/>
      <c r="X538" s="2671"/>
    </row>
    <row r="539" spans="2:30" ht="12" thickBot="1"/>
    <row r="540" spans="2:30" ht="20.100000000000001" customHeight="1">
      <c r="B540" s="1986" t="s">
        <v>2642</v>
      </c>
      <c r="C540" s="1987"/>
      <c r="D540" s="1987"/>
      <c r="E540" s="1987"/>
      <c r="F540" s="1987"/>
      <c r="G540" s="1987"/>
      <c r="H540" s="1987"/>
      <c r="I540" s="1987"/>
      <c r="J540" s="1987" t="s">
        <v>1382</v>
      </c>
      <c r="K540" s="1987"/>
      <c r="L540" s="1987"/>
      <c r="M540" s="1987"/>
      <c r="N540" s="1987"/>
      <c r="O540" s="1987"/>
      <c r="P540" s="1987" t="s">
        <v>1383</v>
      </c>
      <c r="Q540" s="1987"/>
      <c r="R540" s="1987"/>
      <c r="S540" s="1987"/>
      <c r="T540" s="1987"/>
      <c r="U540" s="2384"/>
    </row>
    <row r="541" spans="2:30" ht="35.1" customHeight="1" thickBot="1">
      <c r="B541" s="1988"/>
      <c r="C541" s="1989"/>
      <c r="D541" s="1989"/>
      <c r="E541" s="1989"/>
      <c r="F541" s="1989"/>
      <c r="G541" s="1989"/>
      <c r="H541" s="1989"/>
      <c r="I541" s="1989"/>
      <c r="J541" s="1878" t="s">
        <v>149</v>
      </c>
      <c r="K541" s="1878"/>
      <c r="L541" s="1878"/>
      <c r="M541" s="1878" t="s">
        <v>150</v>
      </c>
      <c r="N541" s="1878"/>
      <c r="O541" s="1878"/>
      <c r="P541" s="1878" t="s">
        <v>151</v>
      </c>
      <c r="Q541" s="1878"/>
      <c r="R541" s="1878"/>
      <c r="S541" s="1878" t="s">
        <v>150</v>
      </c>
      <c r="T541" s="1878"/>
      <c r="U541" s="1927"/>
      <c r="W541" s="482"/>
      <c r="X541" s="482"/>
      <c r="Y541" s="482"/>
      <c r="Z541" s="482"/>
    </row>
    <row r="542" spans="2:30" ht="15" customHeight="1">
      <c r="B542" s="1958" t="s">
        <v>1791</v>
      </c>
      <c r="C542" s="1959"/>
      <c r="D542" s="1959"/>
      <c r="E542" s="1959"/>
      <c r="F542" s="1959"/>
      <c r="G542" s="1959"/>
      <c r="H542" s="1959"/>
      <c r="I542" s="1960"/>
      <c r="J542" s="1859">
        <f>8834+11945+1763529</f>
        <v>1784308</v>
      </c>
      <c r="K542" s="1860"/>
      <c r="L542" s="1860"/>
      <c r="M542" s="1859"/>
      <c r="N542" s="1860"/>
      <c r="O542" s="1860"/>
      <c r="P542" s="1859"/>
      <c r="Q542" s="1860"/>
      <c r="R542" s="1860"/>
      <c r="S542" s="1859"/>
      <c r="T542" s="1860"/>
      <c r="U542" s="1936"/>
      <c r="W542" s="482"/>
      <c r="X542" s="482"/>
      <c r="Y542" s="482"/>
      <c r="Z542" s="482"/>
    </row>
    <row r="543" spans="2:30" ht="15" customHeight="1">
      <c r="B543" s="801" t="s">
        <v>1792</v>
      </c>
      <c r="C543" s="819"/>
      <c r="D543" s="562"/>
      <c r="E543" s="562"/>
      <c r="F543" s="562"/>
      <c r="G543" s="562"/>
      <c r="H543" s="562"/>
      <c r="I543" s="613"/>
      <c r="J543" s="1856">
        <v>0</v>
      </c>
      <c r="K543" s="1857"/>
      <c r="L543" s="1857"/>
      <c r="M543" s="1856"/>
      <c r="N543" s="1857"/>
      <c r="O543" s="1857"/>
      <c r="P543" s="1856"/>
      <c r="Q543" s="1857"/>
      <c r="R543" s="1857"/>
      <c r="S543" s="1928">
        <f>49939+1636850</f>
        <v>1686789</v>
      </c>
      <c r="T543" s="1929"/>
      <c r="U543" s="1930"/>
      <c r="W543" s="482"/>
      <c r="X543" s="482"/>
      <c r="Y543" s="482"/>
      <c r="Z543" s="482"/>
    </row>
    <row r="544" spans="2:30" ht="15" customHeight="1">
      <c r="B544" s="602" t="s">
        <v>1463</v>
      </c>
      <c r="C544" s="603"/>
      <c r="D544" s="562"/>
      <c r="E544" s="562"/>
      <c r="F544" s="562"/>
      <c r="G544" s="562"/>
      <c r="H544" s="562"/>
      <c r="I544" s="613"/>
      <c r="J544" s="1856">
        <v>162841</v>
      </c>
      <c r="K544" s="1857"/>
      <c r="L544" s="1857"/>
      <c r="M544" s="1856"/>
      <c r="N544" s="1857"/>
      <c r="O544" s="1857"/>
      <c r="P544" s="1856"/>
      <c r="Q544" s="1857"/>
      <c r="R544" s="1857"/>
      <c r="S544" s="1856"/>
      <c r="T544" s="1857"/>
      <c r="U544" s="1858"/>
      <c r="W544" s="482"/>
      <c r="X544" s="482"/>
      <c r="Y544" s="482"/>
      <c r="Z544" s="482"/>
    </row>
    <row r="545" spans="2:30" ht="15" customHeight="1">
      <c r="B545" s="801" t="s">
        <v>1087</v>
      </c>
      <c r="C545" s="603"/>
      <c r="D545" s="562"/>
      <c r="E545" s="562"/>
      <c r="F545" s="562"/>
      <c r="G545" s="562"/>
      <c r="H545" s="562"/>
      <c r="I545" s="613"/>
      <c r="J545" s="1856">
        <v>2030</v>
      </c>
      <c r="K545" s="1857"/>
      <c r="L545" s="1857"/>
      <c r="M545" s="1856"/>
      <c r="N545" s="1857"/>
      <c r="O545" s="1857"/>
      <c r="P545" s="1856"/>
      <c r="Q545" s="1857"/>
      <c r="R545" s="1857"/>
      <c r="S545" s="1856"/>
      <c r="T545" s="1857"/>
      <c r="U545" s="1858"/>
    </row>
    <row r="546" spans="2:30" ht="15" customHeight="1">
      <c r="B546" s="602" t="s">
        <v>627</v>
      </c>
      <c r="C546" s="603"/>
      <c r="D546" s="562"/>
      <c r="E546" s="562"/>
      <c r="F546" s="562"/>
      <c r="G546" s="562"/>
      <c r="H546" s="562"/>
      <c r="I546" s="613"/>
      <c r="J546" s="1928">
        <f>42814+2578810</f>
        <v>2621624</v>
      </c>
      <c r="K546" s="1929"/>
      <c r="L546" s="1995"/>
      <c r="M546" s="1928"/>
      <c r="N546" s="1929"/>
      <c r="O546" s="1995"/>
      <c r="P546" s="1928"/>
      <c r="Q546" s="1929"/>
      <c r="R546" s="1995"/>
      <c r="S546" s="1928"/>
      <c r="T546" s="1929"/>
      <c r="U546" s="1930"/>
    </row>
    <row r="547" spans="2:30" ht="15" customHeight="1">
      <c r="B547" s="801" t="s">
        <v>1620</v>
      </c>
      <c r="C547" s="603"/>
      <c r="D547" s="562"/>
      <c r="E547" s="562"/>
      <c r="F547" s="562"/>
      <c r="G547" s="562"/>
      <c r="H547" s="562"/>
      <c r="I547" s="613"/>
      <c r="J547" s="1928">
        <v>153632</v>
      </c>
      <c r="K547" s="1929"/>
      <c r="L547" s="1995"/>
      <c r="M547" s="1928"/>
      <c r="N547" s="1929"/>
      <c r="O547" s="1995"/>
      <c r="P547" s="1928"/>
      <c r="Q547" s="1929"/>
      <c r="R547" s="1995"/>
      <c r="S547" s="1928"/>
      <c r="T547" s="1929"/>
      <c r="U547" s="1930"/>
    </row>
    <row r="548" spans="2:30" ht="15" customHeight="1">
      <c r="B548" s="823" t="s">
        <v>1793</v>
      </c>
      <c r="C548" s="834"/>
      <c r="D548" s="824"/>
      <c r="E548" s="824"/>
      <c r="F548" s="824"/>
      <c r="G548" s="824"/>
      <c r="H548" s="824"/>
      <c r="I548" s="835"/>
      <c r="J548" s="1937">
        <v>30755</v>
      </c>
      <c r="K548" s="1938"/>
      <c r="L548" s="1938"/>
      <c r="M548" s="1937"/>
      <c r="N548" s="1938"/>
      <c r="O548" s="1938"/>
      <c r="P548" s="1937"/>
      <c r="Q548" s="1938"/>
      <c r="R548" s="1938"/>
      <c r="S548" s="1937">
        <v>0</v>
      </c>
      <c r="T548" s="1938"/>
      <c r="U548" s="2674"/>
    </row>
    <row r="549" spans="2:30" ht="15" customHeight="1">
      <c r="B549" s="801" t="s">
        <v>626</v>
      </c>
      <c r="C549" s="836"/>
      <c r="D549" s="667"/>
      <c r="E549" s="667"/>
      <c r="F549" s="667"/>
      <c r="G549" s="667"/>
      <c r="H549" s="667"/>
      <c r="I549" s="837"/>
      <c r="J549" s="1879">
        <v>30501</v>
      </c>
      <c r="K549" s="1880"/>
      <c r="L549" s="2389"/>
      <c r="M549" s="1879"/>
      <c r="N549" s="1880"/>
      <c r="O549" s="2389"/>
      <c r="P549" s="1879"/>
      <c r="Q549" s="1880"/>
      <c r="R549" s="2389"/>
      <c r="S549" s="1879">
        <v>0</v>
      </c>
      <c r="T549" s="1880"/>
      <c r="U549" s="1881"/>
    </row>
    <row r="550" spans="2:30" ht="15" customHeight="1">
      <c r="B550" s="838" t="s">
        <v>1621</v>
      </c>
      <c r="C550" s="839"/>
      <c r="D550" s="563"/>
      <c r="E550" s="563"/>
      <c r="F550" s="563"/>
      <c r="G550" s="563"/>
      <c r="H550" s="563"/>
      <c r="I550" s="840"/>
      <c r="J550" s="1911"/>
      <c r="K550" s="1912"/>
      <c r="L550" s="1912"/>
      <c r="M550" s="1911">
        <v>2273284</v>
      </c>
      <c r="N550" s="1912"/>
      <c r="O550" s="1912"/>
      <c r="P550" s="1911"/>
      <c r="Q550" s="1912"/>
      <c r="R550" s="1912"/>
      <c r="S550" s="1911"/>
      <c r="T550" s="1912"/>
      <c r="U550" s="1913"/>
    </row>
    <row r="551" spans="2:30" ht="15" customHeight="1">
      <c r="B551" s="841" t="s">
        <v>757</v>
      </c>
      <c r="C551" s="842"/>
      <c r="D551" s="843"/>
      <c r="E551" s="843"/>
      <c r="F551" s="843"/>
      <c r="G551" s="843"/>
      <c r="H551" s="843"/>
      <c r="I551" s="844"/>
      <c r="J551" s="2350">
        <f>SUM(J542:J550)</f>
        <v>4785691</v>
      </c>
      <c r="K551" s="2351"/>
      <c r="L551" s="2351"/>
      <c r="M551" s="2350">
        <f>SUM(M542:M550)</f>
        <v>2273284</v>
      </c>
      <c r="N551" s="2351"/>
      <c r="O551" s="2351"/>
      <c r="P551" s="2350">
        <f>SUM(P542:P550)</f>
        <v>0</v>
      </c>
      <c r="Q551" s="2351"/>
      <c r="R551" s="2351"/>
      <c r="S551" s="2350">
        <f>SUM(S542:S550)</f>
        <v>1686789</v>
      </c>
      <c r="T551" s="2351"/>
      <c r="U551" s="2388"/>
      <c r="X551" s="359"/>
    </row>
    <row r="552" spans="2:30" ht="15" customHeight="1" thickBot="1">
      <c r="B552" s="845" t="s">
        <v>758</v>
      </c>
      <c r="C552" s="846"/>
      <c r="D552" s="847"/>
      <c r="E552" s="847"/>
      <c r="F552" s="847"/>
      <c r="G552" s="847"/>
      <c r="H552" s="847"/>
      <c r="I552" s="848"/>
      <c r="J552" s="1934">
        <v>0</v>
      </c>
      <c r="K552" s="1935"/>
      <c r="L552" s="1935"/>
      <c r="M552" s="1934">
        <v>0</v>
      </c>
      <c r="N552" s="1935"/>
      <c r="O552" s="1935"/>
      <c r="P552" s="1934"/>
      <c r="Q552" s="1935"/>
      <c r="R552" s="1935"/>
      <c r="S552" s="2385"/>
      <c r="T552" s="2386"/>
      <c r="U552" s="2387"/>
    </row>
    <row r="553" spans="2:30" ht="24.95" customHeight="1" thickBot="1">
      <c r="B553" s="803" t="s">
        <v>116</v>
      </c>
      <c r="C553" s="797"/>
      <c r="D553" s="849"/>
      <c r="E553" s="849"/>
      <c r="F553" s="849"/>
      <c r="G553" s="849"/>
      <c r="H553" s="849"/>
      <c r="I553" s="850"/>
      <c r="J553" s="1670">
        <f>+J551+J552</f>
        <v>4785691</v>
      </c>
      <c r="K553" s="1671"/>
      <c r="L553" s="1671"/>
      <c r="M553" s="1670">
        <f>+M551+M552</f>
        <v>2273284</v>
      </c>
      <c r="N553" s="1671"/>
      <c r="O553" s="1671"/>
      <c r="P553" s="1670">
        <f>+P551+P552</f>
        <v>0</v>
      </c>
      <c r="Q553" s="1671"/>
      <c r="R553" s="1671"/>
      <c r="S553" s="1670">
        <f>+S551+S552</f>
        <v>1686789</v>
      </c>
      <c r="T553" s="1671"/>
      <c r="U553" s="1672"/>
      <c r="AD553" s="359"/>
    </row>
    <row r="555" spans="2:30" ht="12" thickBot="1">
      <c r="AC555" s="359"/>
    </row>
    <row r="556" spans="2:30" ht="20.100000000000001" customHeight="1">
      <c r="B556" s="1986" t="s">
        <v>2563</v>
      </c>
      <c r="C556" s="1987"/>
      <c r="D556" s="1987"/>
      <c r="E556" s="1987"/>
      <c r="F556" s="1987"/>
      <c r="G556" s="1987"/>
      <c r="H556" s="1987"/>
      <c r="I556" s="1987"/>
      <c r="J556" s="1987" t="s">
        <v>1382</v>
      </c>
      <c r="K556" s="1987"/>
      <c r="L556" s="1987"/>
      <c r="M556" s="1987"/>
      <c r="N556" s="1987"/>
      <c r="O556" s="1987"/>
      <c r="P556" s="1987" t="s">
        <v>1383</v>
      </c>
      <c r="Q556" s="1987"/>
      <c r="R556" s="1987"/>
      <c r="S556" s="1987"/>
      <c r="T556" s="1987"/>
      <c r="U556" s="2384"/>
      <c r="AC556" s="359"/>
    </row>
    <row r="557" spans="2:30" ht="35.1" customHeight="1" thickBot="1">
      <c r="B557" s="1988"/>
      <c r="C557" s="1989"/>
      <c r="D557" s="1989"/>
      <c r="E557" s="1989"/>
      <c r="F557" s="1989"/>
      <c r="G557" s="1989"/>
      <c r="H557" s="1989"/>
      <c r="I557" s="1989"/>
      <c r="J557" s="1878" t="s">
        <v>149</v>
      </c>
      <c r="K557" s="1878"/>
      <c r="L557" s="1878"/>
      <c r="M557" s="1878" t="s">
        <v>150</v>
      </c>
      <c r="N557" s="1878"/>
      <c r="O557" s="1878"/>
      <c r="P557" s="1878" t="s">
        <v>151</v>
      </c>
      <c r="Q557" s="1878"/>
      <c r="R557" s="1878"/>
      <c r="S557" s="1878" t="s">
        <v>150</v>
      </c>
      <c r="T557" s="1878"/>
      <c r="U557" s="1927"/>
    </row>
    <row r="558" spans="2:30" ht="15" customHeight="1">
      <c r="B558" s="1958" t="s">
        <v>1791</v>
      </c>
      <c r="C558" s="1959"/>
      <c r="D558" s="1959"/>
      <c r="E558" s="1959"/>
      <c r="F558" s="1959"/>
      <c r="G558" s="1959"/>
      <c r="H558" s="1959"/>
      <c r="I558" s="1960"/>
      <c r="J558" s="1876">
        <v>2490454</v>
      </c>
      <c r="K558" s="1877"/>
      <c r="L558" s="1877"/>
      <c r="M558" s="1876"/>
      <c r="N558" s="1877"/>
      <c r="O558" s="1877"/>
      <c r="P558" s="1859"/>
      <c r="Q558" s="1860"/>
      <c r="R558" s="1860"/>
      <c r="S558" s="1859"/>
      <c r="T558" s="1860"/>
      <c r="U558" s="1936"/>
      <c r="W558" s="478"/>
      <c r="X558" s="1977"/>
      <c r="Y558" s="1978"/>
      <c r="Z558" s="1978"/>
      <c r="AA558" s="1977"/>
      <c r="AB558" s="1978"/>
      <c r="AC558" s="1978"/>
      <c r="AD558" s="478"/>
    </row>
    <row r="559" spans="2:30" ht="15" customHeight="1">
      <c r="B559" s="801" t="s">
        <v>1792</v>
      </c>
      <c r="C559" s="819"/>
      <c r="D559" s="562"/>
      <c r="E559" s="562"/>
      <c r="F559" s="562"/>
      <c r="G559" s="562"/>
      <c r="H559" s="562"/>
      <c r="I559" s="613"/>
      <c r="J559" s="1676">
        <v>82052</v>
      </c>
      <c r="K559" s="1677"/>
      <c r="L559" s="1677"/>
      <c r="M559" s="1676"/>
      <c r="N559" s="1677"/>
      <c r="O559" s="1677"/>
      <c r="P559" s="1856"/>
      <c r="Q559" s="1857"/>
      <c r="R559" s="1857"/>
      <c r="S559" s="1856">
        <v>3262998</v>
      </c>
      <c r="T559" s="1857"/>
      <c r="U559" s="1858"/>
      <c r="W559" s="478"/>
      <c r="X559" s="1977"/>
      <c r="Y559" s="1978"/>
      <c r="Z559" s="1978"/>
      <c r="AA559" s="1977"/>
      <c r="AB559" s="1978"/>
      <c r="AC559" s="1978"/>
      <c r="AD559" s="478"/>
    </row>
    <row r="560" spans="2:30" ht="15" customHeight="1">
      <c r="B560" s="602" t="s">
        <v>1463</v>
      </c>
      <c r="C560" s="603"/>
      <c r="D560" s="562"/>
      <c r="E560" s="562"/>
      <c r="F560" s="562"/>
      <c r="G560" s="562"/>
      <c r="H560" s="562"/>
      <c r="I560" s="613"/>
      <c r="J560" s="1676">
        <v>156521</v>
      </c>
      <c r="K560" s="1677"/>
      <c r="L560" s="1677"/>
      <c r="M560" s="1676"/>
      <c r="N560" s="1677"/>
      <c r="O560" s="1677"/>
      <c r="P560" s="1856"/>
      <c r="Q560" s="1857"/>
      <c r="R560" s="1857"/>
      <c r="S560" s="1856"/>
      <c r="T560" s="1857"/>
      <c r="U560" s="1858"/>
      <c r="W560" s="478"/>
      <c r="X560" s="1977"/>
      <c r="Y560" s="1978"/>
      <c r="Z560" s="1978"/>
      <c r="AA560" s="1977"/>
      <c r="AB560" s="1978"/>
      <c r="AC560" s="1978"/>
      <c r="AD560" s="478"/>
    </row>
    <row r="561" spans="2:31" ht="15" customHeight="1">
      <c r="B561" s="801" t="s">
        <v>1087</v>
      </c>
      <c r="C561" s="603"/>
      <c r="D561" s="562"/>
      <c r="E561" s="562"/>
      <c r="F561" s="562"/>
      <c r="G561" s="562"/>
      <c r="H561" s="562"/>
      <c r="I561" s="613"/>
      <c r="J561" s="1676">
        <v>1127</v>
      </c>
      <c r="K561" s="1677"/>
      <c r="L561" s="1677"/>
      <c r="M561" s="1676"/>
      <c r="N561" s="1677"/>
      <c r="O561" s="1677"/>
      <c r="P561" s="1856"/>
      <c r="Q561" s="1857"/>
      <c r="R561" s="1857"/>
      <c r="S561" s="1856"/>
      <c r="T561" s="1857"/>
      <c r="U561" s="1858"/>
      <c r="W561" s="478"/>
      <c r="X561" s="1977"/>
      <c r="Y561" s="1978"/>
      <c r="Z561" s="1978"/>
      <c r="AA561" s="1977"/>
      <c r="AB561" s="1978"/>
      <c r="AC561" s="1978"/>
      <c r="AD561" s="478"/>
    </row>
    <row r="562" spans="2:31" ht="15" customHeight="1">
      <c r="B562" s="801" t="s">
        <v>1793</v>
      </c>
      <c r="C562" s="603"/>
      <c r="D562" s="562"/>
      <c r="E562" s="562"/>
      <c r="F562" s="562"/>
      <c r="G562" s="562"/>
      <c r="H562" s="562"/>
      <c r="I562" s="613"/>
      <c r="J562" s="1676"/>
      <c r="K562" s="1677"/>
      <c r="L562" s="1677"/>
      <c r="M562" s="1676">
        <v>0</v>
      </c>
      <c r="N562" s="1677"/>
      <c r="O562" s="1677"/>
      <c r="P562" s="1856"/>
      <c r="Q562" s="1857"/>
      <c r="R562" s="1857"/>
      <c r="S562" s="1856"/>
      <c r="T562" s="1857"/>
      <c r="U562" s="1858"/>
      <c r="W562" s="478"/>
      <c r="X562" s="1977"/>
      <c r="Y562" s="1978"/>
      <c r="Z562" s="1978"/>
      <c r="AA562" s="1977"/>
      <c r="AB562" s="1978"/>
      <c r="AC562" s="1978"/>
      <c r="AD562" s="478"/>
    </row>
    <row r="563" spans="2:31" ht="15" customHeight="1">
      <c r="B563" s="602" t="s">
        <v>627</v>
      </c>
      <c r="C563" s="603"/>
      <c r="D563" s="562"/>
      <c r="E563" s="562"/>
      <c r="F563" s="562"/>
      <c r="G563" s="562"/>
      <c r="H563" s="562"/>
      <c r="I563" s="613"/>
      <c r="J563" s="1676">
        <v>2914388</v>
      </c>
      <c r="K563" s="1677"/>
      <c r="L563" s="1677"/>
      <c r="M563" s="1676"/>
      <c r="N563" s="1677"/>
      <c r="O563" s="1677"/>
      <c r="P563" s="1856"/>
      <c r="Q563" s="1857"/>
      <c r="R563" s="1857"/>
      <c r="S563" s="1856"/>
      <c r="T563" s="1857"/>
      <c r="U563" s="1858"/>
      <c r="W563" s="478"/>
      <c r="X563" s="1977"/>
      <c r="Y563" s="1978"/>
      <c r="Z563" s="1978"/>
      <c r="AA563" s="1977"/>
      <c r="AB563" s="1978"/>
      <c r="AC563" s="1978"/>
      <c r="AD563" s="478"/>
    </row>
    <row r="564" spans="2:31" ht="15" customHeight="1">
      <c r="B564" s="801" t="s">
        <v>1620</v>
      </c>
      <c r="C564" s="603"/>
      <c r="D564" s="562"/>
      <c r="E564" s="562"/>
      <c r="F564" s="562"/>
      <c r="G564" s="562"/>
      <c r="H564" s="562"/>
      <c r="I564" s="613"/>
      <c r="J564" s="1676">
        <v>313716</v>
      </c>
      <c r="K564" s="1677"/>
      <c r="L564" s="1677"/>
      <c r="M564" s="1676"/>
      <c r="N564" s="1677"/>
      <c r="O564" s="1677"/>
      <c r="P564" s="1856"/>
      <c r="Q564" s="1857"/>
      <c r="R564" s="1857"/>
      <c r="S564" s="1856"/>
      <c r="T564" s="1857"/>
      <c r="U564" s="1858"/>
      <c r="W564" s="478"/>
      <c r="X564" s="1977"/>
      <c r="Y564" s="1978"/>
      <c r="Z564" s="1978"/>
      <c r="AA564" s="1977"/>
      <c r="AB564" s="1978"/>
      <c r="AC564" s="1978"/>
      <c r="AD564" s="478"/>
    </row>
    <row r="565" spans="2:31" ht="15" customHeight="1">
      <c r="B565" s="801" t="s">
        <v>1376</v>
      </c>
      <c r="C565" s="603"/>
      <c r="D565" s="562"/>
      <c r="E565" s="562"/>
      <c r="F565" s="562"/>
      <c r="G565" s="562"/>
      <c r="H565" s="562"/>
      <c r="I565" s="613"/>
      <c r="J565" s="1676">
        <v>10692</v>
      </c>
      <c r="K565" s="1677"/>
      <c r="L565" s="1677"/>
      <c r="M565" s="1676"/>
      <c r="N565" s="1677"/>
      <c r="O565" s="1677"/>
      <c r="P565" s="1856"/>
      <c r="Q565" s="1857"/>
      <c r="R565" s="1857"/>
      <c r="S565" s="1856"/>
      <c r="T565" s="1857"/>
      <c r="U565" s="1858"/>
      <c r="W565" s="478"/>
      <c r="X565" s="1977"/>
      <c r="Y565" s="1978"/>
      <c r="Z565" s="1978"/>
      <c r="AA565" s="1977"/>
      <c r="AB565" s="1978"/>
      <c r="AC565" s="1978"/>
      <c r="AD565" s="478"/>
    </row>
    <row r="566" spans="2:31" ht="15" hidden="1" customHeight="1">
      <c r="B566" s="801" t="s">
        <v>756</v>
      </c>
      <c r="C566" s="603"/>
      <c r="D566" s="562"/>
      <c r="E566" s="562"/>
      <c r="F566" s="562"/>
      <c r="G566" s="562"/>
      <c r="H566" s="562"/>
      <c r="I566" s="613"/>
      <c r="J566" s="1676"/>
      <c r="K566" s="1677"/>
      <c r="L566" s="1677"/>
      <c r="M566" s="1676" t="s">
        <v>1805</v>
      </c>
      <c r="N566" s="1677"/>
      <c r="O566" s="1677"/>
      <c r="P566" s="1856"/>
      <c r="Q566" s="1857"/>
      <c r="R566" s="1857"/>
      <c r="S566" s="1856"/>
      <c r="T566" s="1857"/>
      <c r="U566" s="1858"/>
      <c r="W566" s="478"/>
      <c r="X566" s="1977"/>
      <c r="Y566" s="1978"/>
      <c r="Z566" s="1978"/>
      <c r="AA566" s="1977"/>
      <c r="AB566" s="1978"/>
      <c r="AC566" s="1978"/>
      <c r="AD566" s="478"/>
    </row>
    <row r="567" spans="2:31" ht="15" customHeight="1">
      <c r="B567" s="838" t="s">
        <v>1793</v>
      </c>
      <c r="C567" s="839"/>
      <c r="D567" s="563"/>
      <c r="E567" s="563"/>
      <c r="F567" s="563"/>
      <c r="G567" s="563"/>
      <c r="H567" s="563"/>
      <c r="I567" s="840"/>
      <c r="J567" s="851"/>
      <c r="K567" s="851"/>
      <c r="L567" s="851"/>
      <c r="M567" s="2355"/>
      <c r="N567" s="2356"/>
      <c r="O567" s="2357"/>
      <c r="P567" s="1911"/>
      <c r="Q567" s="1912"/>
      <c r="R567" s="1912"/>
      <c r="S567" s="1911">
        <v>823693</v>
      </c>
      <c r="T567" s="1912"/>
      <c r="U567" s="1913"/>
      <c r="W567" s="478"/>
      <c r="X567" s="479"/>
      <c r="Y567" s="479"/>
      <c r="Z567" s="479"/>
      <c r="AA567" s="479"/>
      <c r="AB567" s="479"/>
      <c r="AC567" s="479"/>
      <c r="AD567" s="480"/>
      <c r="AE567" s="359"/>
    </row>
    <row r="568" spans="2:31" ht="15" customHeight="1">
      <c r="B568" s="838" t="s">
        <v>1621</v>
      </c>
      <c r="C568" s="839"/>
      <c r="D568" s="563"/>
      <c r="E568" s="563"/>
      <c r="F568" s="563"/>
      <c r="G568" s="563"/>
      <c r="H568" s="563"/>
      <c r="I568" s="840"/>
      <c r="J568" s="1931"/>
      <c r="K568" s="2348"/>
      <c r="L568" s="2348"/>
      <c r="M568" s="1931">
        <v>2594596</v>
      </c>
      <c r="N568" s="2348"/>
      <c r="O568" s="2348"/>
      <c r="P568" s="1911"/>
      <c r="Q568" s="1912"/>
      <c r="R568" s="1912"/>
      <c r="S568" s="1911"/>
      <c r="T568" s="1912"/>
      <c r="U568" s="1913"/>
      <c r="W568" s="478"/>
      <c r="X568" s="1977"/>
      <c r="Y568" s="1978"/>
      <c r="Z568" s="1978"/>
      <c r="AA568" s="1977"/>
      <c r="AB568" s="1978"/>
      <c r="AC568" s="1978"/>
      <c r="AD568" s="480"/>
      <c r="AE568" s="359"/>
    </row>
    <row r="569" spans="2:31" ht="20.100000000000001" customHeight="1">
      <c r="B569" s="841" t="s">
        <v>757</v>
      </c>
      <c r="C569" s="842"/>
      <c r="D569" s="843"/>
      <c r="E569" s="843"/>
      <c r="F569" s="843"/>
      <c r="G569" s="843"/>
      <c r="H569" s="843"/>
      <c r="I569" s="844"/>
      <c r="J569" s="2350">
        <f>SUM(J556:J567)</f>
        <v>5968950</v>
      </c>
      <c r="K569" s="2351"/>
      <c r="L569" s="2351"/>
      <c r="M569" s="2350">
        <f>+M559+M562+M568</f>
        <v>2594596</v>
      </c>
      <c r="N569" s="2351"/>
      <c r="O569" s="2351"/>
      <c r="P569" s="2350">
        <f>SUM(P556:P567)</f>
        <v>0</v>
      </c>
      <c r="Q569" s="2351"/>
      <c r="R569" s="2351"/>
      <c r="S569" s="2352">
        <f>SUM(S556:S567)</f>
        <v>4086691</v>
      </c>
      <c r="T569" s="2353"/>
      <c r="U569" s="2354"/>
      <c r="W569" s="478"/>
      <c r="X569" s="480"/>
      <c r="Y569" s="478"/>
      <c r="Z569" s="478"/>
      <c r="AA569" s="478"/>
      <c r="AB569" s="478"/>
      <c r="AC569" s="480"/>
      <c r="AD569" s="478"/>
    </row>
    <row r="570" spans="2:31" ht="15" customHeight="1" thickBot="1">
      <c r="B570" s="845" t="s">
        <v>758</v>
      </c>
      <c r="C570" s="846"/>
      <c r="D570" s="847"/>
      <c r="E570" s="847"/>
      <c r="F570" s="847"/>
      <c r="G570" s="847"/>
      <c r="H570" s="847"/>
      <c r="I570" s="848"/>
      <c r="J570" s="1934"/>
      <c r="K570" s="1935"/>
      <c r="L570" s="1935"/>
      <c r="M570" s="1934">
        <v>0</v>
      </c>
      <c r="N570" s="1935"/>
      <c r="O570" s="1935"/>
      <c r="P570" s="1934"/>
      <c r="Q570" s="1935"/>
      <c r="R570" s="1935"/>
      <c r="S570" s="1934"/>
      <c r="T570" s="1935"/>
      <c r="U570" s="2349"/>
      <c r="X570" s="359"/>
      <c r="AC570" s="359"/>
    </row>
    <row r="571" spans="2:31" ht="24.95" customHeight="1" thickBot="1">
      <c r="B571" s="803" t="s">
        <v>116</v>
      </c>
      <c r="C571" s="797"/>
      <c r="D571" s="849"/>
      <c r="E571" s="849"/>
      <c r="F571" s="849"/>
      <c r="G571" s="849"/>
      <c r="H571" s="849"/>
      <c r="I571" s="850"/>
      <c r="J571" s="1670">
        <f>+J569+J570</f>
        <v>5968950</v>
      </c>
      <c r="K571" s="1671"/>
      <c r="L571" s="1671"/>
      <c r="M571" s="1670">
        <f>+M569+M570</f>
        <v>2594596</v>
      </c>
      <c r="N571" s="1671"/>
      <c r="O571" s="1671"/>
      <c r="P571" s="1670">
        <f>+P569+P570</f>
        <v>0</v>
      </c>
      <c r="Q571" s="1671"/>
      <c r="R571" s="1671"/>
      <c r="S571" s="1670">
        <f>+S569+S570</f>
        <v>4086691</v>
      </c>
      <c r="T571" s="1671"/>
      <c r="U571" s="1672"/>
      <c r="X571" s="359" t="s">
        <v>1805</v>
      </c>
    </row>
    <row r="573" spans="2:31" ht="12" thickBot="1"/>
    <row r="574" spans="2:31" ht="20.100000000000001" customHeight="1" thickBot="1">
      <c r="B574" s="1956"/>
      <c r="C574" s="1957"/>
      <c r="D574" s="1957"/>
      <c r="E574" s="1957"/>
      <c r="F574" s="1957"/>
      <c r="G574" s="313"/>
      <c r="H574" s="313"/>
      <c r="I574" s="313"/>
      <c r="J574" s="313"/>
      <c r="K574" s="313"/>
      <c r="L574" s="313"/>
      <c r="M574" s="313"/>
      <c r="N574" s="313"/>
      <c r="O574" s="313"/>
      <c r="P574" s="313"/>
      <c r="Q574" s="313"/>
      <c r="R574" s="337"/>
      <c r="S574" s="1973" t="s">
        <v>1885</v>
      </c>
      <c r="T574" s="1957"/>
      <c r="U574" s="1974"/>
    </row>
    <row r="575" spans="2:31" ht="15" customHeight="1">
      <c r="B575" s="2757" t="s">
        <v>978</v>
      </c>
      <c r="C575" s="2758"/>
      <c r="D575" s="2758"/>
      <c r="E575" s="2758"/>
      <c r="F575" s="2758"/>
      <c r="G575" s="2758"/>
      <c r="H575" s="2758"/>
      <c r="I575" s="2758"/>
      <c r="J575" s="2758"/>
      <c r="K575" s="2758"/>
      <c r="L575" s="2758"/>
      <c r="M575" s="2758"/>
      <c r="N575" s="2758"/>
      <c r="O575" s="2758"/>
      <c r="P575" s="2758"/>
      <c r="Q575" s="2758"/>
      <c r="R575" s="2758"/>
      <c r="S575" s="1876">
        <f>-'MATRIZCTAS(a)'!AH1760-'MATRIZCTAS(a)'!AH1761</f>
        <v>-1534431</v>
      </c>
      <c r="T575" s="1914"/>
      <c r="U575" s="1915"/>
    </row>
    <row r="576" spans="2:31" ht="15" customHeight="1">
      <c r="B576" s="2060" t="s">
        <v>979</v>
      </c>
      <c r="C576" s="2061"/>
      <c r="D576" s="2061"/>
      <c r="E576" s="2061"/>
      <c r="F576" s="2061"/>
      <c r="G576" s="2061"/>
      <c r="H576" s="2061"/>
      <c r="I576" s="2061"/>
      <c r="J576" s="2061"/>
      <c r="K576" s="2061"/>
      <c r="L576" s="2061"/>
      <c r="M576" s="2061"/>
      <c r="N576" s="2061"/>
      <c r="O576" s="2061"/>
      <c r="P576" s="2061"/>
      <c r="Q576" s="2061"/>
      <c r="R576" s="2061"/>
      <c r="S576" s="1676">
        <f>+(+J551-S551)-(+J569-S569)</f>
        <v>1216643</v>
      </c>
      <c r="T576" s="1676"/>
      <c r="U576" s="1910"/>
    </row>
    <row r="577" spans="2:30" ht="15" hidden="1" customHeight="1">
      <c r="B577" s="2060" t="s">
        <v>980</v>
      </c>
      <c r="C577" s="2061"/>
      <c r="D577" s="2061"/>
      <c r="E577" s="2061"/>
      <c r="F577" s="2061"/>
      <c r="G577" s="2061"/>
      <c r="H577" s="2061"/>
      <c r="I577" s="2061"/>
      <c r="J577" s="2061"/>
      <c r="K577" s="2061"/>
      <c r="L577" s="2061"/>
      <c r="M577" s="2061"/>
      <c r="N577" s="2061"/>
      <c r="O577" s="2061"/>
      <c r="P577" s="2061"/>
      <c r="Q577" s="2061"/>
      <c r="R577" s="2061"/>
      <c r="S577" s="1676">
        <f>-M570</f>
        <v>0</v>
      </c>
      <c r="T577" s="1676"/>
      <c r="U577" s="1910"/>
      <c r="AD577" s="359"/>
    </row>
    <row r="578" spans="2:30" ht="15" hidden="1" customHeight="1">
      <c r="B578" s="2343" t="s">
        <v>1641</v>
      </c>
      <c r="C578" s="2344"/>
      <c r="D578" s="2344"/>
      <c r="E578" s="2344"/>
      <c r="F578" s="2344"/>
      <c r="G578" s="2344"/>
      <c r="H578" s="2344"/>
      <c r="I578" s="2344"/>
      <c r="J578" s="2344"/>
      <c r="K578" s="2344"/>
      <c r="L578" s="2344"/>
      <c r="M578" s="2344"/>
      <c r="N578" s="2344"/>
      <c r="O578" s="2344"/>
      <c r="P578" s="2344"/>
      <c r="Q578" s="2344"/>
      <c r="R578" s="2344"/>
      <c r="S578" s="1931"/>
      <c r="T578" s="1932"/>
      <c r="U578" s="1933"/>
    </row>
    <row r="579" spans="2:30" ht="20.100000000000001" customHeight="1" thickBot="1">
      <c r="B579" s="809" t="s">
        <v>116</v>
      </c>
      <c r="C579" s="852"/>
      <c r="D579" s="852"/>
      <c r="E579" s="852"/>
      <c r="F579" s="852"/>
      <c r="G579" s="810"/>
      <c r="H579" s="810"/>
      <c r="I579" s="810"/>
      <c r="J579" s="810"/>
      <c r="K579" s="810"/>
      <c r="L579" s="810"/>
      <c r="M579" s="810"/>
      <c r="N579" s="810"/>
      <c r="O579" s="810"/>
      <c r="P579" s="810"/>
      <c r="Q579" s="810"/>
      <c r="R579" s="810"/>
      <c r="S579" s="2345">
        <f>SUM(S575:S578)</f>
        <v>-317788</v>
      </c>
      <c r="T579" s="2346"/>
      <c r="U579" s="2347"/>
      <c r="AC579" s="359"/>
      <c r="AD579" s="359"/>
    </row>
    <row r="580" spans="2:30">
      <c r="U580" s="301" t="s">
        <v>1805</v>
      </c>
      <c r="AC580" s="359"/>
    </row>
    <row r="581" spans="2:30" ht="12" thickBot="1">
      <c r="U581" s="359" t="s">
        <v>1805</v>
      </c>
    </row>
    <row r="582" spans="2:30" ht="50.1" customHeight="1" thickBot="1">
      <c r="B582" s="2747" t="s">
        <v>296</v>
      </c>
      <c r="C582" s="1823"/>
      <c r="D582" s="1823"/>
      <c r="E582" s="1823"/>
      <c r="F582" s="1823"/>
      <c r="G582" s="1823" t="s">
        <v>297</v>
      </c>
      <c r="H582" s="1823"/>
      <c r="I582" s="1823"/>
      <c r="J582" s="1823" t="s">
        <v>300</v>
      </c>
      <c r="K582" s="1823"/>
      <c r="L582" s="1823"/>
      <c r="M582" s="1823"/>
      <c r="N582" s="1823"/>
      <c r="O582" s="1823" t="s">
        <v>1052</v>
      </c>
      <c r="P582" s="1823"/>
      <c r="Q582" s="1823" t="s">
        <v>848</v>
      </c>
      <c r="R582" s="1823"/>
      <c r="S582" s="1823" t="s">
        <v>847</v>
      </c>
      <c r="T582" s="1823"/>
      <c r="U582" s="1823" t="s">
        <v>1438</v>
      </c>
      <c r="V582" s="1823"/>
      <c r="W582" s="1823" t="s">
        <v>1439</v>
      </c>
      <c r="X582" s="2004"/>
    </row>
    <row r="583" spans="2:30" ht="15" customHeight="1" thickBot="1">
      <c r="B583" s="1966" t="s">
        <v>298</v>
      </c>
      <c r="C583" s="1963"/>
      <c r="D583" s="1963"/>
      <c r="E583" s="1963"/>
      <c r="F583" s="1963"/>
      <c r="G583" s="1963" t="s">
        <v>299</v>
      </c>
      <c r="H583" s="1963"/>
      <c r="I583" s="1963"/>
      <c r="J583" s="1970"/>
      <c r="K583" s="1970"/>
      <c r="L583" s="1970"/>
      <c r="M583" s="1970"/>
      <c r="N583" s="1970"/>
      <c r="O583" s="1964"/>
      <c r="P583" s="1964"/>
      <c r="Q583" s="1965"/>
      <c r="R583" s="1965"/>
      <c r="S583" s="1965"/>
      <c r="T583" s="1965"/>
      <c r="U583" s="1965"/>
      <c r="V583" s="1965"/>
      <c r="W583" s="1965"/>
      <c r="X583" s="2005"/>
    </row>
    <row r="584" spans="2:30" ht="15" customHeight="1">
      <c r="B584" s="1961"/>
      <c r="C584" s="1962"/>
      <c r="D584" s="1962"/>
      <c r="E584" s="1962"/>
      <c r="F584" s="1962"/>
      <c r="G584" s="1962"/>
      <c r="H584" s="1962"/>
      <c r="I584" s="1962"/>
      <c r="J584" s="1967"/>
      <c r="K584" s="1968"/>
      <c r="L584" s="1968"/>
      <c r="M584" s="1968"/>
      <c r="N584" s="1969"/>
      <c r="O584" s="1866" t="s">
        <v>2532</v>
      </c>
      <c r="P584" s="1866"/>
      <c r="Q584" s="1867">
        <f>+'MATRIZCTAS(a)'!AH29</f>
        <v>1553</v>
      </c>
      <c r="R584" s="1867"/>
      <c r="S584" s="1867"/>
      <c r="T584" s="1867"/>
      <c r="U584" s="1867"/>
      <c r="V584" s="1867"/>
      <c r="W584" s="1867"/>
      <c r="X584" s="2003"/>
    </row>
    <row r="585" spans="2:30" ht="15" customHeight="1">
      <c r="B585" s="1631"/>
      <c r="C585" s="1632"/>
      <c r="D585" s="1632"/>
      <c r="E585" s="1632"/>
      <c r="F585" s="1632"/>
      <c r="G585" s="1632"/>
      <c r="H585" s="1632"/>
      <c r="I585" s="1632"/>
      <c r="J585" s="2297" t="s">
        <v>301</v>
      </c>
      <c r="K585" s="2298"/>
      <c r="L585" s="2298"/>
      <c r="M585" s="2298"/>
      <c r="N585" s="2299"/>
      <c r="O585" s="1866" t="s">
        <v>842</v>
      </c>
      <c r="P585" s="1866"/>
      <c r="Q585" s="1630">
        <f>+'MATRIZCTAS(a)'!AH13</f>
        <v>1059740</v>
      </c>
      <c r="R585" s="1630"/>
      <c r="S585" s="1630"/>
      <c r="T585" s="1630"/>
      <c r="U585" s="1630"/>
      <c r="V585" s="1630"/>
      <c r="W585" s="1633"/>
      <c r="X585" s="1634"/>
    </row>
    <row r="586" spans="2:30" ht="15" customHeight="1">
      <c r="B586" s="1631"/>
      <c r="C586" s="1632"/>
      <c r="D586" s="1632"/>
      <c r="E586" s="1632"/>
      <c r="F586" s="1632"/>
      <c r="G586" s="1632"/>
      <c r="H586" s="1632"/>
      <c r="I586" s="1632"/>
      <c r="J586" s="2300"/>
      <c r="K586" s="2301"/>
      <c r="L586" s="2301"/>
      <c r="M586" s="2301"/>
      <c r="N586" s="2302"/>
      <c r="O586" s="2292" t="s">
        <v>843</v>
      </c>
      <c r="P586" s="2293"/>
      <c r="Q586" s="1630">
        <f>+'MATRIZCTAS(a)'!AH14</f>
        <v>381</v>
      </c>
      <c r="R586" s="1630"/>
      <c r="S586" s="1630"/>
      <c r="T586" s="1630"/>
      <c r="U586" s="1630"/>
      <c r="V586" s="1630"/>
      <c r="W586" s="1633"/>
      <c r="X586" s="1634"/>
    </row>
    <row r="587" spans="2:30" ht="15" customHeight="1">
      <c r="B587" s="1631"/>
      <c r="C587" s="1632"/>
      <c r="D587" s="1632"/>
      <c r="E587" s="1632"/>
      <c r="F587" s="1632"/>
      <c r="G587" s="1632"/>
      <c r="H587" s="1632"/>
      <c r="I587" s="1632"/>
      <c r="J587" s="2300"/>
      <c r="K587" s="2301"/>
      <c r="L587" s="2301"/>
      <c r="M587" s="2301"/>
      <c r="N587" s="2302"/>
      <c r="O587" s="2292" t="s">
        <v>1604</v>
      </c>
      <c r="P587" s="2293"/>
      <c r="Q587" s="1630">
        <f>+'MATRIZCTAS(a)'!AH31</f>
        <v>498</v>
      </c>
      <c r="R587" s="1630"/>
      <c r="S587" s="1630"/>
      <c r="T587" s="1630"/>
      <c r="U587" s="1630"/>
      <c r="V587" s="1630"/>
      <c r="W587" s="1633"/>
      <c r="X587" s="1634"/>
    </row>
    <row r="588" spans="2:30" ht="15" customHeight="1">
      <c r="B588" s="1631"/>
      <c r="C588" s="1632"/>
      <c r="D588" s="1632"/>
      <c r="E588" s="1632"/>
      <c r="F588" s="1632"/>
      <c r="G588" s="1632"/>
      <c r="H588" s="1632"/>
      <c r="I588" s="1632"/>
      <c r="J588" s="2300"/>
      <c r="K588" s="2301"/>
      <c r="L588" s="2301"/>
      <c r="M588" s="2301"/>
      <c r="N588" s="2302"/>
      <c r="O588" s="2292" t="s">
        <v>1605</v>
      </c>
      <c r="P588" s="2293"/>
      <c r="Q588" s="1630">
        <f>+'MATRIZCTAS(a)'!AH61</f>
        <v>5410</v>
      </c>
      <c r="R588" s="1630"/>
      <c r="S588" s="1630"/>
      <c r="T588" s="1630"/>
      <c r="U588" s="1630"/>
      <c r="V588" s="1630"/>
      <c r="W588" s="1633"/>
      <c r="X588" s="1634"/>
    </row>
    <row r="589" spans="2:30" ht="15" customHeight="1">
      <c r="B589" s="1631"/>
      <c r="C589" s="1632"/>
      <c r="D589" s="1632"/>
      <c r="E589" s="1632"/>
      <c r="F589" s="1632"/>
      <c r="G589" s="1632"/>
      <c r="H589" s="1632"/>
      <c r="I589" s="1632"/>
      <c r="J589" s="2300"/>
      <c r="K589" s="2301"/>
      <c r="L589" s="2301"/>
      <c r="M589" s="2301"/>
      <c r="N589" s="2302"/>
      <c r="O589" s="1866" t="s">
        <v>1606</v>
      </c>
      <c r="P589" s="1866"/>
      <c r="Q589" s="1630">
        <f>+'MATRIZCTAS(a)'!AH62</f>
        <v>17091</v>
      </c>
      <c r="R589" s="1630"/>
      <c r="S589" s="1630"/>
      <c r="T589" s="1630"/>
      <c r="U589" s="1630"/>
      <c r="V589" s="1630"/>
      <c r="W589" s="1633"/>
      <c r="X589" s="1634"/>
    </row>
    <row r="590" spans="2:30" ht="15" customHeight="1">
      <c r="B590" s="1631"/>
      <c r="C590" s="1632"/>
      <c r="D590" s="1632"/>
      <c r="E590" s="1632"/>
      <c r="F590" s="1632"/>
      <c r="G590" s="1632"/>
      <c r="H590" s="1632"/>
      <c r="I590" s="1632"/>
      <c r="J590" s="2300"/>
      <c r="K590" s="2301"/>
      <c r="L590" s="2301"/>
      <c r="M590" s="2301"/>
      <c r="N590" s="2302"/>
      <c r="O590" s="2292" t="s">
        <v>1199</v>
      </c>
      <c r="P590" s="2293"/>
      <c r="Q590" s="2675">
        <f>+'MATRIZCTAS(a)'!AH65</f>
        <v>25473</v>
      </c>
      <c r="R590" s="2676"/>
      <c r="S590" s="1630"/>
      <c r="T590" s="1630"/>
      <c r="U590" s="1630"/>
      <c r="V590" s="1630"/>
      <c r="W590" s="1633"/>
      <c r="X590" s="1634"/>
    </row>
    <row r="591" spans="2:30" ht="15" customHeight="1">
      <c r="B591" s="1631"/>
      <c r="C591" s="1632"/>
      <c r="D591" s="1632"/>
      <c r="E591" s="1632"/>
      <c r="F591" s="1632"/>
      <c r="G591" s="1632"/>
      <c r="H591" s="1632"/>
      <c r="I591" s="1632"/>
      <c r="J591" s="2300"/>
      <c r="K591" s="2301"/>
      <c r="L591" s="2301"/>
      <c r="M591" s="2301"/>
      <c r="N591" s="2302"/>
      <c r="O591" s="2292" t="s">
        <v>1200</v>
      </c>
      <c r="P591" s="2293"/>
      <c r="Q591" s="1630">
        <f>+'MATRIZCTAS(a)'!AH67</f>
        <v>952</v>
      </c>
      <c r="R591" s="1630"/>
      <c r="S591" s="1630"/>
      <c r="T591" s="1630"/>
      <c r="U591" s="1630"/>
      <c r="V591" s="1630"/>
      <c r="W591" s="1633"/>
      <c r="X591" s="1634"/>
    </row>
    <row r="592" spans="2:30" ht="15" customHeight="1">
      <c r="B592" s="1631"/>
      <c r="C592" s="1632"/>
      <c r="D592" s="1632"/>
      <c r="E592" s="1632"/>
      <c r="F592" s="1632"/>
      <c r="G592" s="1632"/>
      <c r="H592" s="1632"/>
      <c r="I592" s="1632"/>
      <c r="J592" s="2303"/>
      <c r="K592" s="2304"/>
      <c r="L592" s="2304"/>
      <c r="M592" s="2304"/>
      <c r="N592" s="2305"/>
      <c r="O592" s="2292" t="s">
        <v>2588</v>
      </c>
      <c r="P592" s="2293"/>
      <c r="Q592" s="1630">
        <f>+'MATRIZCTAS(a)'!AH70</f>
        <v>-457</v>
      </c>
      <c r="R592" s="1630"/>
      <c r="S592" s="1630"/>
      <c r="T592" s="1630"/>
      <c r="U592" s="1630"/>
      <c r="V592" s="1630"/>
      <c r="W592" s="1633"/>
      <c r="X592" s="1634"/>
    </row>
    <row r="593" spans="2:31" ht="15" customHeight="1">
      <c r="B593" s="1631"/>
      <c r="C593" s="1632"/>
      <c r="D593" s="1632"/>
      <c r="E593" s="1632"/>
      <c r="F593" s="1632"/>
      <c r="G593" s="1632"/>
      <c r="H593" s="1632"/>
      <c r="I593" s="1632"/>
      <c r="J593" s="1457"/>
      <c r="K593" s="1458"/>
      <c r="L593" s="1458"/>
      <c r="M593" s="1458"/>
      <c r="N593" s="1459"/>
      <c r="O593" s="2292" t="s">
        <v>3496</v>
      </c>
      <c r="P593" s="2293"/>
      <c r="Q593" s="1630">
        <f>+MATRIZCTAS!AH69</f>
        <v>8433</v>
      </c>
      <c r="R593" s="1630"/>
      <c r="S593" s="1630"/>
      <c r="T593" s="1630"/>
      <c r="U593" s="1630"/>
      <c r="V593" s="1630"/>
      <c r="W593" s="1633"/>
      <c r="X593" s="1634"/>
    </row>
    <row r="594" spans="2:31" ht="15" customHeight="1">
      <c r="B594" s="1631"/>
      <c r="C594" s="1632"/>
      <c r="D594" s="1632"/>
      <c r="E594" s="1632"/>
      <c r="F594" s="1632"/>
      <c r="G594" s="1632"/>
      <c r="H594" s="1632"/>
      <c r="I594" s="1632"/>
      <c r="J594" s="1901" t="s">
        <v>1051</v>
      </c>
      <c r="K594" s="1901"/>
      <c r="L594" s="1901"/>
      <c r="M594" s="1901"/>
      <c r="N594" s="1901"/>
      <c r="O594" s="1866"/>
      <c r="P594" s="1866"/>
      <c r="Q594" s="1630"/>
      <c r="R594" s="1630"/>
      <c r="S594" s="1630"/>
      <c r="T594" s="1630"/>
      <c r="U594" s="1630"/>
      <c r="V594" s="1630"/>
      <c r="W594" s="1630">
        <v>3037560</v>
      </c>
      <c r="X594" s="1998"/>
    </row>
    <row r="595" spans="2:31" ht="15.75" customHeight="1" thickBot="1">
      <c r="B595" s="1631"/>
      <c r="C595" s="1632"/>
      <c r="D595" s="1632"/>
      <c r="E595" s="1632"/>
      <c r="F595" s="1632"/>
      <c r="G595" s="1632"/>
      <c r="H595" s="1632"/>
      <c r="I595" s="1632"/>
      <c r="J595" s="1900" t="s">
        <v>1287</v>
      </c>
      <c r="K595" s="1901"/>
      <c r="L595" s="1901"/>
      <c r="M595" s="1901"/>
      <c r="N595" s="1901"/>
      <c r="O595" s="1866"/>
      <c r="P595" s="1866"/>
      <c r="Q595" s="1839"/>
      <c r="R595" s="1839"/>
      <c r="S595" s="1839"/>
      <c r="T595" s="1839"/>
      <c r="U595" s="1839"/>
      <c r="V595" s="1839"/>
      <c r="W595" s="1630">
        <f>-1298839-208-48046-26535-157105-151148</f>
        <v>-1681881</v>
      </c>
      <c r="X595" s="1998"/>
    </row>
    <row r="596" spans="2:31" ht="15" customHeight="1" thickBot="1">
      <c r="B596" s="2289" t="s">
        <v>983</v>
      </c>
      <c r="C596" s="2227"/>
      <c r="D596" s="2227"/>
      <c r="E596" s="2227"/>
      <c r="F596" s="2227"/>
      <c r="G596" s="2227" t="s">
        <v>844</v>
      </c>
      <c r="H596" s="2227"/>
      <c r="I596" s="2227"/>
      <c r="J596" s="2056"/>
      <c r="K596" s="2056"/>
      <c r="L596" s="2056"/>
      <c r="M596" s="2056"/>
      <c r="N596" s="2056"/>
      <c r="O596" s="2025"/>
      <c r="P596" s="2025"/>
      <c r="Q596" s="1999"/>
      <c r="R596" s="1999"/>
      <c r="S596" s="1999"/>
      <c r="T596" s="1999"/>
      <c r="U596" s="1999"/>
      <c r="V596" s="1999"/>
      <c r="W596" s="1999"/>
      <c r="X596" s="2000"/>
    </row>
    <row r="597" spans="2:31" ht="20.100000000000001" customHeight="1">
      <c r="B597" s="627"/>
      <c r="C597" s="628"/>
      <c r="D597" s="628"/>
      <c r="E597" s="628"/>
      <c r="F597" s="629"/>
      <c r="G597" s="2268"/>
      <c r="H597" s="2268"/>
      <c r="I597" s="2268"/>
      <c r="J597" s="2306" t="s">
        <v>845</v>
      </c>
      <c r="K597" s="2307"/>
      <c r="L597" s="2307"/>
      <c r="M597" s="2307"/>
      <c r="N597" s="2307"/>
      <c r="O597" s="2057"/>
      <c r="P597" s="2057"/>
      <c r="Q597" s="2696">
        <v>241502118</v>
      </c>
      <c r="R597" s="2696"/>
      <c r="S597" s="1868"/>
      <c r="T597" s="1868"/>
      <c r="U597" s="1868"/>
      <c r="V597" s="1868"/>
      <c r="W597" s="1868">
        <v>-672642</v>
      </c>
      <c r="X597" s="2001"/>
    </row>
    <row r="598" spans="2:31" ht="18" customHeight="1">
      <c r="B598" s="630"/>
      <c r="C598" s="631"/>
      <c r="D598" s="631"/>
      <c r="E598" s="631"/>
      <c r="F598" s="632"/>
      <c r="G598" s="633"/>
      <c r="H598" s="634"/>
      <c r="I598" s="635"/>
      <c r="J598" s="2754" t="s">
        <v>302</v>
      </c>
      <c r="K598" s="2755"/>
      <c r="L598" s="2755"/>
      <c r="M598" s="2755"/>
      <c r="N598" s="2756"/>
      <c r="O598" s="636"/>
      <c r="P598" s="637"/>
      <c r="Q598" s="877"/>
      <c r="R598" s="878"/>
      <c r="S598" s="2336">
        <v>1190685</v>
      </c>
      <c r="T598" s="2337"/>
      <c r="U598" s="877"/>
      <c r="V598" s="878"/>
      <c r="W598" s="877"/>
      <c r="X598" s="638"/>
    </row>
    <row r="599" spans="2:31" ht="19.5" customHeight="1">
      <c r="B599" s="639"/>
      <c r="C599" s="640"/>
      <c r="D599" s="640"/>
      <c r="E599" s="640"/>
      <c r="F599" s="641"/>
      <c r="G599" s="1632"/>
      <c r="H599" s="1632"/>
      <c r="I599" s="1632"/>
      <c r="J599" s="1900" t="s">
        <v>1051</v>
      </c>
      <c r="K599" s="1901"/>
      <c r="L599" s="1901"/>
      <c r="M599" s="1901"/>
      <c r="N599" s="1901"/>
      <c r="O599" s="1866"/>
      <c r="P599" s="1866"/>
      <c r="Q599" s="1839"/>
      <c r="R599" s="1839"/>
      <c r="S599" s="2336">
        <v>414</v>
      </c>
      <c r="T599" s="2337"/>
      <c r="U599" s="1839"/>
      <c r="V599" s="1839"/>
      <c r="W599" s="1839">
        <v>4735</v>
      </c>
      <c r="X599" s="2002"/>
    </row>
    <row r="600" spans="2:31" ht="19.5" customHeight="1">
      <c r="B600" s="639"/>
      <c r="C600" s="640"/>
      <c r="D600" s="640"/>
      <c r="E600" s="640"/>
      <c r="F600" s="641"/>
      <c r="G600" s="1632"/>
      <c r="H600" s="1632"/>
      <c r="I600" s="1632"/>
      <c r="J600" s="1900" t="s">
        <v>2610</v>
      </c>
      <c r="K600" s="1901"/>
      <c r="L600" s="1901"/>
      <c r="M600" s="1901"/>
      <c r="N600" s="1901"/>
      <c r="O600" s="1866"/>
      <c r="P600" s="1866"/>
      <c r="Q600" s="1839"/>
      <c r="R600" s="1839"/>
      <c r="S600" s="2336">
        <v>2393</v>
      </c>
      <c r="T600" s="2337"/>
      <c r="U600" s="1839"/>
      <c r="V600" s="1839"/>
      <c r="W600" s="1839">
        <v>2393</v>
      </c>
      <c r="X600" s="2002"/>
    </row>
    <row r="601" spans="2:31" ht="21.75" customHeight="1" thickBot="1">
      <c r="B601" s="642"/>
      <c r="C601" s="643"/>
      <c r="D601" s="643"/>
      <c r="E601" s="643"/>
      <c r="F601" s="644"/>
      <c r="G601" s="1632"/>
      <c r="H601" s="1632"/>
      <c r="I601" s="1632"/>
      <c r="J601" s="1900" t="s">
        <v>846</v>
      </c>
      <c r="K601" s="1901"/>
      <c r="L601" s="1901"/>
      <c r="M601" s="1901"/>
      <c r="N601" s="1901"/>
      <c r="O601" s="1866"/>
      <c r="P601" s="1866"/>
      <c r="Q601" s="1839"/>
      <c r="R601" s="1839"/>
      <c r="S601" s="2075">
        <v>0</v>
      </c>
      <c r="T601" s="2076"/>
      <c r="U601" s="1839"/>
      <c r="V601" s="1839"/>
      <c r="W601" s="1839">
        <v>-547421</v>
      </c>
      <c r="X601" s="2002"/>
    </row>
    <row r="602" spans="2:31" ht="35.1" hidden="1" customHeight="1" thickBot="1">
      <c r="B602" s="2283" t="s">
        <v>1797</v>
      </c>
      <c r="C602" s="2227"/>
      <c r="D602" s="2227"/>
      <c r="E602" s="2227"/>
      <c r="F602" s="2227"/>
      <c r="G602" s="2279" t="s">
        <v>1798</v>
      </c>
      <c r="H602" s="2227"/>
      <c r="I602" s="2227"/>
      <c r="J602" s="2288"/>
      <c r="K602" s="2288"/>
      <c r="L602" s="2288"/>
      <c r="M602" s="2288"/>
      <c r="N602" s="2288"/>
      <c r="O602" s="2025"/>
      <c r="P602" s="2025"/>
      <c r="Q602" s="2339"/>
      <c r="R602" s="2339"/>
      <c r="S602" s="1999"/>
      <c r="T602" s="1999"/>
      <c r="U602" s="1999"/>
      <c r="V602" s="1999"/>
      <c r="W602" s="1999"/>
      <c r="X602" s="2000"/>
    </row>
    <row r="603" spans="2:31" ht="20.100000000000001" hidden="1" customHeight="1" thickBot="1">
      <c r="B603" s="2267"/>
      <c r="C603" s="2268"/>
      <c r="D603" s="2268"/>
      <c r="E603" s="2268"/>
      <c r="F603" s="2268"/>
      <c r="G603" s="2268"/>
      <c r="H603" s="2268"/>
      <c r="I603" s="2268"/>
      <c r="J603" s="2051" t="s">
        <v>849</v>
      </c>
      <c r="K603" s="2051"/>
      <c r="L603" s="2051"/>
      <c r="M603" s="2051"/>
      <c r="N603" s="2051"/>
      <c r="O603" s="2057"/>
      <c r="P603" s="2057"/>
      <c r="Q603" s="2338"/>
      <c r="R603" s="2338"/>
      <c r="S603" s="1868">
        <v>0</v>
      </c>
      <c r="T603" s="1868"/>
      <c r="U603" s="1868">
        <v>0</v>
      </c>
      <c r="V603" s="1868"/>
      <c r="W603" s="1868">
        <v>0</v>
      </c>
      <c r="X603" s="2001"/>
    </row>
    <row r="604" spans="2:31" ht="27" customHeight="1" thickBot="1">
      <c r="B604" s="2283" t="s">
        <v>423</v>
      </c>
      <c r="C604" s="2227"/>
      <c r="D604" s="2227"/>
      <c r="E604" s="2227"/>
      <c r="F604" s="2227"/>
      <c r="G604" s="2279" t="s">
        <v>424</v>
      </c>
      <c r="H604" s="2227"/>
      <c r="I604" s="2227"/>
      <c r="J604" s="2288"/>
      <c r="K604" s="2288"/>
      <c r="L604" s="2288"/>
      <c r="M604" s="2288"/>
      <c r="N604" s="2288"/>
      <c r="O604" s="2025"/>
      <c r="P604" s="2025"/>
      <c r="Q604" s="2339"/>
      <c r="R604" s="2339"/>
      <c r="S604" s="1999"/>
      <c r="T604" s="1999"/>
      <c r="U604" s="1999"/>
      <c r="V604" s="1999"/>
      <c r="W604" s="1999"/>
      <c r="X604" s="2000"/>
    </row>
    <row r="605" spans="2:31" ht="15" hidden="1" customHeight="1">
      <c r="B605" s="2267"/>
      <c r="C605" s="2268"/>
      <c r="D605" s="2268"/>
      <c r="E605" s="2268"/>
      <c r="F605" s="2268"/>
      <c r="G605" s="2268"/>
      <c r="H605" s="2268"/>
      <c r="I605" s="2268"/>
      <c r="J605" s="2051" t="s">
        <v>849</v>
      </c>
      <c r="K605" s="2051"/>
      <c r="L605" s="2051"/>
      <c r="M605" s="2051"/>
      <c r="N605" s="2051"/>
      <c r="O605" s="2057"/>
      <c r="P605" s="2057"/>
      <c r="Q605" s="2338"/>
      <c r="R605" s="2338"/>
      <c r="S605" s="1868">
        <f>+'MATRIZCTAS(a)'!AH462</f>
        <v>0</v>
      </c>
      <c r="T605" s="1868"/>
      <c r="U605" s="1868">
        <v>0</v>
      </c>
      <c r="V605" s="1868"/>
      <c r="W605" s="1868">
        <v>0</v>
      </c>
      <c r="X605" s="2001"/>
    </row>
    <row r="606" spans="2:31" ht="24.95" customHeight="1" thickBot="1">
      <c r="B606" s="2275"/>
      <c r="C606" s="2276"/>
      <c r="D606" s="2276"/>
      <c r="E606" s="2276"/>
      <c r="F606" s="2276"/>
      <c r="G606" s="2276"/>
      <c r="H606" s="2276"/>
      <c r="I606" s="2276"/>
      <c r="J606" s="2285" t="s">
        <v>425</v>
      </c>
      <c r="K606" s="2024"/>
      <c r="L606" s="2024"/>
      <c r="M606" s="2024"/>
      <c r="N606" s="2024"/>
      <c r="O606" s="2022"/>
      <c r="P606" s="2022"/>
      <c r="Q606" s="2658"/>
      <c r="R606" s="2658"/>
      <c r="S606" s="2224"/>
      <c r="T606" s="2224"/>
      <c r="U606" s="2224">
        <v>5000</v>
      </c>
      <c r="V606" s="2224"/>
      <c r="W606" s="2224">
        <v>-72554</v>
      </c>
      <c r="X606" s="2225"/>
      <c r="AE606" s="395"/>
    </row>
    <row r="607" spans="2:31" ht="15" customHeight="1" thickBot="1">
      <c r="B607" s="2280" t="s">
        <v>1607</v>
      </c>
      <c r="C607" s="2281"/>
      <c r="D607" s="2281"/>
      <c r="E607" s="2281"/>
      <c r="F607" s="2282"/>
      <c r="G607" s="2284" t="s">
        <v>1203</v>
      </c>
      <c r="H607" s="2281"/>
      <c r="I607" s="2282"/>
      <c r="J607" s="2290"/>
      <c r="K607" s="2291"/>
      <c r="L607" s="2291"/>
      <c r="M607" s="2291"/>
      <c r="N607" s="2291"/>
      <c r="O607" s="2066"/>
      <c r="P607" s="2066"/>
      <c r="Q607" s="2006"/>
      <c r="R607" s="2006"/>
      <c r="S607" s="2006"/>
      <c r="T607" s="2006"/>
      <c r="U607" s="2006"/>
      <c r="V607" s="2006"/>
      <c r="W607" s="2006"/>
      <c r="X607" s="2007"/>
      <c r="AE607" s="395"/>
    </row>
    <row r="608" spans="2:31" ht="17.25" customHeight="1">
      <c r="B608" s="645"/>
      <c r="C608" s="612"/>
      <c r="D608" s="612"/>
      <c r="E608" s="612"/>
      <c r="F608" s="646"/>
      <c r="G608" s="647"/>
      <c r="H608" s="612"/>
      <c r="I608" s="646"/>
      <c r="J608" s="2277" t="s">
        <v>214</v>
      </c>
      <c r="K608" s="2277"/>
      <c r="L608" s="2277"/>
      <c r="M608" s="2277"/>
      <c r="N608" s="2278"/>
      <c r="O608" s="2759"/>
      <c r="P608" s="2759"/>
      <c r="Q608" s="2010"/>
      <c r="R608" s="2010"/>
      <c r="S608" s="2010"/>
      <c r="T608" s="2010"/>
      <c r="U608" s="2340">
        <f>-'MATRIZCTAS(a)'!AH988</f>
        <v>656400</v>
      </c>
      <c r="V608" s="2341"/>
      <c r="W608" s="2010"/>
      <c r="X608" s="2011"/>
      <c r="AE608" s="395"/>
    </row>
    <row r="609" spans="2:31" ht="18" customHeight="1" thickBot="1">
      <c r="B609" s="648"/>
      <c r="C609" s="649"/>
      <c r="D609" s="649"/>
      <c r="E609" s="649"/>
      <c r="F609" s="650"/>
      <c r="G609" s="651"/>
      <c r="H609" s="649"/>
      <c r="I609" s="650"/>
      <c r="J609" s="2286"/>
      <c r="K609" s="2287"/>
      <c r="L609" s="2287"/>
      <c r="M609" s="2287"/>
      <c r="N609" s="2287"/>
      <c r="O609" s="2657"/>
      <c r="P609" s="2657"/>
      <c r="Q609" s="2008"/>
      <c r="R609" s="2008"/>
      <c r="S609" s="2008"/>
      <c r="T609" s="2008"/>
      <c r="U609" s="2008"/>
      <c r="V609" s="2008"/>
      <c r="W609" s="2008"/>
      <c r="X609" s="2009"/>
      <c r="AE609" s="395"/>
    </row>
    <row r="610" spans="2:31" ht="15" customHeight="1" thickBot="1">
      <c r="B610" s="2283" t="s">
        <v>352</v>
      </c>
      <c r="C610" s="2227"/>
      <c r="D610" s="2227"/>
      <c r="E610" s="2227"/>
      <c r="F610" s="2227"/>
      <c r="G610" s="2279" t="s">
        <v>353</v>
      </c>
      <c r="H610" s="2227"/>
      <c r="I610" s="2227"/>
      <c r="J610" s="2288"/>
      <c r="K610" s="2288"/>
      <c r="L610" s="2288"/>
      <c r="M610" s="2288"/>
      <c r="N610" s="2288"/>
      <c r="O610" s="2025"/>
      <c r="P610" s="2025"/>
      <c r="Q610" s="2339"/>
      <c r="R610" s="2339"/>
      <c r="S610" s="1999"/>
      <c r="T610" s="1999"/>
      <c r="U610" s="1999"/>
      <c r="V610" s="1999"/>
      <c r="W610" s="1999"/>
      <c r="X610" s="2000"/>
    </row>
    <row r="611" spans="2:31" ht="15" customHeight="1">
      <c r="B611" s="2308"/>
      <c r="C611" s="2309"/>
      <c r="D611" s="2309"/>
      <c r="E611" s="2309"/>
      <c r="F611" s="2310"/>
      <c r="G611" s="2312"/>
      <c r="H611" s="2313"/>
      <c r="I611" s="2314"/>
      <c r="J611" s="1901" t="s">
        <v>214</v>
      </c>
      <c r="K611" s="1901"/>
      <c r="L611" s="1901"/>
      <c r="M611" s="1901"/>
      <c r="N611" s="1901"/>
      <c r="O611" s="2330"/>
      <c r="P611" s="2331"/>
      <c r="Q611" s="2760"/>
      <c r="R611" s="2761"/>
      <c r="S611" s="1869">
        <f>+'MATRIZCTAS(a)'!AH455</f>
        <v>186979</v>
      </c>
      <c r="T611" s="1870"/>
      <c r="U611" s="1869"/>
      <c r="V611" s="1870"/>
      <c r="W611" s="1869">
        <v>0</v>
      </c>
      <c r="X611" s="2333"/>
    </row>
    <row r="612" spans="2:31" ht="15" customHeight="1">
      <c r="B612" s="652"/>
      <c r="C612" s="653"/>
      <c r="D612" s="653"/>
      <c r="E612" s="653"/>
      <c r="F612" s="654"/>
      <c r="G612" s="655"/>
      <c r="H612" s="656"/>
      <c r="I612" s="657"/>
      <c r="J612" s="658" t="s">
        <v>1051</v>
      </c>
      <c r="K612" s="659"/>
      <c r="L612" s="659"/>
      <c r="M612" s="659"/>
      <c r="N612" s="660"/>
      <c r="O612" s="661"/>
      <c r="P612" s="662"/>
      <c r="Q612" s="663"/>
      <c r="R612" s="664"/>
      <c r="S612" s="2328">
        <v>126</v>
      </c>
      <c r="T612" s="2329"/>
      <c r="U612" s="665"/>
      <c r="V612" s="666"/>
      <c r="W612" s="2328">
        <v>1345</v>
      </c>
      <c r="X612" s="2332"/>
    </row>
    <row r="613" spans="2:31" ht="15" customHeight="1" thickBot="1">
      <c r="B613" s="2311"/>
      <c r="C613" s="2295"/>
      <c r="D613" s="2295"/>
      <c r="E613" s="2295"/>
      <c r="F613" s="2296"/>
      <c r="G613" s="2294"/>
      <c r="H613" s="2295"/>
      <c r="I613" s="2296"/>
      <c r="J613" s="2315" t="s">
        <v>590</v>
      </c>
      <c r="K613" s="2316"/>
      <c r="L613" s="2316"/>
      <c r="M613" s="2316"/>
      <c r="N613" s="2317"/>
      <c r="O613" s="2064"/>
      <c r="P613" s="2065"/>
      <c r="Q613" s="2697"/>
      <c r="R613" s="2698"/>
      <c r="S613" s="2058">
        <v>0</v>
      </c>
      <c r="T613" s="2059"/>
      <c r="U613" s="2058"/>
      <c r="V613" s="2059"/>
      <c r="W613" s="2058">
        <v>-208261</v>
      </c>
      <c r="X613" s="2335"/>
    </row>
    <row r="614" spans="2:31" ht="15" customHeight="1" thickBot="1">
      <c r="B614" s="2283" t="s">
        <v>935</v>
      </c>
      <c r="C614" s="2227"/>
      <c r="D614" s="2227"/>
      <c r="E614" s="2227"/>
      <c r="F614" s="2227"/>
      <c r="G614" s="2227" t="s">
        <v>1610</v>
      </c>
      <c r="H614" s="2227"/>
      <c r="I614" s="2227"/>
      <c r="J614" s="2056"/>
      <c r="K614" s="2056"/>
      <c r="L614" s="2056"/>
      <c r="M614" s="2056"/>
      <c r="N614" s="2056"/>
      <c r="O614" s="2025"/>
      <c r="P614" s="2025"/>
      <c r="Q614" s="1999"/>
      <c r="R614" s="1999"/>
      <c r="S614" s="1999"/>
      <c r="T614" s="1999"/>
      <c r="U614" s="1999"/>
      <c r="V614" s="1999"/>
      <c r="W614" s="1999"/>
      <c r="X614" s="2000"/>
    </row>
    <row r="615" spans="2:31" ht="15" customHeight="1">
      <c r="B615" s="2267"/>
      <c r="C615" s="2268"/>
      <c r="D615" s="2268"/>
      <c r="E615" s="2268"/>
      <c r="F615" s="2268"/>
      <c r="G615" s="2266">
        <v>0.2475</v>
      </c>
      <c r="H615" s="1962"/>
      <c r="I615" s="1962"/>
      <c r="J615" s="1901" t="s">
        <v>1288</v>
      </c>
      <c r="K615" s="1901"/>
      <c r="L615" s="1901"/>
      <c r="M615" s="1901"/>
      <c r="N615" s="1901"/>
      <c r="O615" s="2057"/>
      <c r="P615" s="2057"/>
      <c r="Q615" s="2021"/>
      <c r="R615" s="2021"/>
      <c r="S615" s="2073">
        <f>+'MATRIZCTAS(a)'!AH521+'MATRIZCTAS(a)'!AH534+MATRIZCTAS!AH520</f>
        <v>284012</v>
      </c>
      <c r="T615" s="2074"/>
      <c r="U615" s="1868"/>
      <c r="V615" s="1868"/>
      <c r="W615" s="2073">
        <f>+MATRIZCTAS!AH1294</f>
        <v>-5216</v>
      </c>
      <c r="X615" s="2334"/>
    </row>
    <row r="616" spans="2:31" ht="15" customHeight="1" thickBot="1">
      <c r="B616" s="1631"/>
      <c r="C616" s="1632"/>
      <c r="D616" s="1632"/>
      <c r="E616" s="1632"/>
      <c r="F616" s="1632"/>
      <c r="G616" s="1632"/>
      <c r="H616" s="1632"/>
      <c r="I616" s="1632"/>
      <c r="J616" s="1901" t="s">
        <v>214</v>
      </c>
      <c r="K616" s="1901"/>
      <c r="L616" s="1901"/>
      <c r="M616" s="1901"/>
      <c r="N616" s="1901"/>
      <c r="O616" s="1866"/>
      <c r="P616" s="1866"/>
      <c r="Q616" s="1839"/>
      <c r="R616" s="1839"/>
      <c r="S616" s="2075">
        <f>+'MATRIZCTAS(a)'!AH491</f>
        <v>0</v>
      </c>
      <c r="T616" s="2076"/>
      <c r="U616" s="1839"/>
      <c r="V616" s="1839"/>
      <c r="W616" s="1839">
        <v>0</v>
      </c>
      <c r="X616" s="2002"/>
    </row>
    <row r="617" spans="2:31" ht="15" customHeight="1" thickBot="1">
      <c r="B617" s="2283" t="s">
        <v>938</v>
      </c>
      <c r="C617" s="2227"/>
      <c r="D617" s="2227"/>
      <c r="E617" s="2227"/>
      <c r="F617" s="2227"/>
      <c r="G617" s="2227" t="s">
        <v>1611</v>
      </c>
      <c r="H617" s="2227"/>
      <c r="I617" s="2227"/>
      <c r="J617" s="2056"/>
      <c r="K617" s="2056"/>
      <c r="L617" s="2056"/>
      <c r="M617" s="2056"/>
      <c r="N617" s="2056"/>
      <c r="O617" s="2025"/>
      <c r="P617" s="2025"/>
      <c r="Q617" s="1999"/>
      <c r="R617" s="1999"/>
      <c r="S617" s="1999"/>
      <c r="T617" s="1999"/>
      <c r="U617" s="1999"/>
      <c r="V617" s="1999"/>
      <c r="W617" s="1999"/>
      <c r="X617" s="2000"/>
    </row>
    <row r="618" spans="2:31" ht="15" customHeight="1">
      <c r="B618" s="2267"/>
      <c r="C618" s="2268"/>
      <c r="D618" s="2268"/>
      <c r="E618" s="2268"/>
      <c r="F618" s="2268"/>
      <c r="G618" s="2266">
        <v>3.1099999999999999E-2</v>
      </c>
      <c r="H618" s="1962"/>
      <c r="I618" s="1962"/>
      <c r="J618" s="1901" t="s">
        <v>1288</v>
      </c>
      <c r="K618" s="1901"/>
      <c r="L618" s="1901"/>
      <c r="M618" s="1901"/>
      <c r="N618" s="1901"/>
      <c r="O618" s="2057"/>
      <c r="P618" s="2057"/>
      <c r="Q618" s="2021"/>
      <c r="R618" s="2021"/>
      <c r="S618" s="2073">
        <f>+'MATRIZCTAS(a)'!AH531+'MATRIZCTAS(a)'!AH533</f>
        <v>0</v>
      </c>
      <c r="T618" s="2074"/>
      <c r="U618" s="1868"/>
      <c r="V618" s="1868"/>
      <c r="W618" s="1868">
        <f>-'MATRIZCTAS(a)'!AH1291</f>
        <v>0</v>
      </c>
      <c r="X618" s="2001"/>
    </row>
    <row r="619" spans="2:31" ht="15" customHeight="1" thickBot="1">
      <c r="B619" s="1631"/>
      <c r="C619" s="1632"/>
      <c r="D619" s="1632"/>
      <c r="E619" s="1632"/>
      <c r="F619" s="1632"/>
      <c r="G619" s="1632"/>
      <c r="H619" s="1632"/>
      <c r="I619" s="1632"/>
      <c r="J619" s="1901" t="s">
        <v>214</v>
      </c>
      <c r="K619" s="1901"/>
      <c r="L619" s="1901"/>
      <c r="M619" s="1901"/>
      <c r="N619" s="1901"/>
      <c r="O619" s="1866"/>
      <c r="P619" s="1866"/>
      <c r="Q619" s="1839"/>
      <c r="R619" s="1839"/>
      <c r="S619" s="2075">
        <f>+'MATRIZCTAS(a)'!AH492</f>
        <v>0</v>
      </c>
      <c r="T619" s="2076"/>
      <c r="U619" s="1839"/>
      <c r="V619" s="1839"/>
      <c r="W619" s="1839">
        <v>0</v>
      </c>
      <c r="X619" s="2002"/>
    </row>
    <row r="620" spans="2:31" ht="15" customHeight="1" thickBot="1">
      <c r="B620" s="2283" t="s">
        <v>683</v>
      </c>
      <c r="C620" s="2227"/>
      <c r="D620" s="2227"/>
      <c r="E620" s="2227"/>
      <c r="F620" s="2227"/>
      <c r="G620" s="2227" t="s">
        <v>462</v>
      </c>
      <c r="H620" s="2227"/>
      <c r="I620" s="2227"/>
      <c r="J620" s="2056"/>
      <c r="K620" s="2056"/>
      <c r="L620" s="2056"/>
      <c r="M620" s="2056"/>
      <c r="N620" s="2056"/>
      <c r="O620" s="2025"/>
      <c r="P620" s="2025"/>
      <c r="Q620" s="1999"/>
      <c r="R620" s="1999"/>
      <c r="S620" s="1999"/>
      <c r="T620" s="1999"/>
      <c r="U620" s="1999"/>
      <c r="V620" s="1999"/>
      <c r="W620" s="1999"/>
      <c r="X620" s="2000"/>
    </row>
    <row r="621" spans="2:31" ht="15" customHeight="1">
      <c r="B621" s="2267"/>
      <c r="C621" s="2268"/>
      <c r="D621" s="2268"/>
      <c r="E621" s="2268"/>
      <c r="F621" s="2268"/>
      <c r="G621" s="2664">
        <v>0.95</v>
      </c>
      <c r="H621" s="1962"/>
      <c r="I621" s="1962"/>
      <c r="J621" s="1901" t="s">
        <v>1267</v>
      </c>
      <c r="K621" s="1901"/>
      <c r="L621" s="1901"/>
      <c r="M621" s="1901"/>
      <c r="N621" s="1901"/>
      <c r="O621" s="2057"/>
      <c r="P621" s="2057"/>
      <c r="Q621" s="2021"/>
      <c r="R621" s="2021"/>
      <c r="S621" s="2073">
        <f>+'MATRIZCTAS(a)'!AH497+'MATRIZCTAS(a)'!AH498</f>
        <v>0</v>
      </c>
      <c r="T621" s="2074"/>
      <c r="U621" s="1868"/>
      <c r="V621" s="1868"/>
      <c r="W621" s="1868">
        <f>-'MATRIZCTAS(a)'!AH1252</f>
        <v>0</v>
      </c>
      <c r="X621" s="2001"/>
    </row>
    <row r="622" spans="2:31" ht="15" customHeight="1" thickBot="1">
      <c r="B622" s="1631"/>
      <c r="C622" s="1632"/>
      <c r="D622" s="1632"/>
      <c r="E622" s="1632"/>
      <c r="F622" s="1632"/>
      <c r="G622" s="1632"/>
      <c r="H622" s="1632"/>
      <c r="I622" s="1632"/>
      <c r="J622" s="1901" t="s">
        <v>214</v>
      </c>
      <c r="K622" s="1901"/>
      <c r="L622" s="1901"/>
      <c r="M622" s="1901"/>
      <c r="N622" s="1901"/>
      <c r="O622" s="1866"/>
      <c r="P622" s="1866"/>
      <c r="Q622" s="1839"/>
      <c r="R622" s="1839"/>
      <c r="S622" s="2075">
        <f>+'MATRIZCTAS(a)'!AH481+MATRIZCTAS!AH466</f>
        <v>0</v>
      </c>
      <c r="T622" s="2076"/>
      <c r="U622" s="1839"/>
      <c r="V622" s="1839"/>
      <c r="W622" s="1839">
        <v>0</v>
      </c>
      <c r="X622" s="2002"/>
    </row>
    <row r="623" spans="2:31" ht="15" customHeight="1" thickBot="1">
      <c r="B623" s="2283" t="s">
        <v>936</v>
      </c>
      <c r="C623" s="2227"/>
      <c r="D623" s="2227"/>
      <c r="E623" s="2227"/>
      <c r="F623" s="2227"/>
      <c r="G623" s="2227" t="s">
        <v>1609</v>
      </c>
      <c r="H623" s="2227"/>
      <c r="I623" s="2227"/>
      <c r="J623" s="2056"/>
      <c r="K623" s="2056"/>
      <c r="L623" s="2056"/>
      <c r="M623" s="2056"/>
      <c r="N623" s="2056"/>
      <c r="O623" s="2025"/>
      <c r="P623" s="2025"/>
      <c r="Q623" s="1999"/>
      <c r="R623" s="1999"/>
      <c r="S623" s="1999"/>
      <c r="T623" s="1999"/>
      <c r="U623" s="1999"/>
      <c r="V623" s="1999"/>
      <c r="W623" s="1999"/>
      <c r="X623" s="2000"/>
    </row>
    <row r="624" spans="2:31" ht="15" customHeight="1">
      <c r="B624" s="2267"/>
      <c r="C624" s="2268"/>
      <c r="D624" s="2268"/>
      <c r="E624" s="2268"/>
      <c r="F624" s="2268"/>
      <c r="G624" s="1962" t="s">
        <v>937</v>
      </c>
      <c r="H624" s="1962"/>
      <c r="I624" s="1962"/>
      <c r="J624" s="1901" t="s">
        <v>1288</v>
      </c>
      <c r="K624" s="1901"/>
      <c r="L624" s="1901"/>
      <c r="M624" s="1901"/>
      <c r="N624" s="1901"/>
      <c r="O624" s="2057"/>
      <c r="P624" s="2057"/>
      <c r="Q624" s="2021"/>
      <c r="R624" s="2021"/>
      <c r="S624" s="2073">
        <f>+'MATRIZCTAS(a)'!AH530+'MATRIZCTAS(a)'!AH532+MATRIZCTAS!AH490</f>
        <v>501590</v>
      </c>
      <c r="T624" s="2074"/>
      <c r="U624" s="1868"/>
      <c r="V624" s="1868"/>
      <c r="W624" s="1868">
        <f>+MATRIZCTAS!AH1292</f>
        <v>175371</v>
      </c>
      <c r="X624" s="2001"/>
    </row>
    <row r="625" spans="2:24" ht="15" customHeight="1" thickBot="1">
      <c r="B625" s="1631"/>
      <c r="C625" s="1632"/>
      <c r="D625" s="1632"/>
      <c r="E625" s="1632"/>
      <c r="F625" s="1632"/>
      <c r="G625" s="1632"/>
      <c r="H625" s="1632"/>
      <c r="I625" s="1632"/>
      <c r="J625" s="1901" t="s">
        <v>214</v>
      </c>
      <c r="K625" s="1901"/>
      <c r="L625" s="1901"/>
      <c r="M625" s="1901"/>
      <c r="N625" s="1901"/>
      <c r="O625" s="1866"/>
      <c r="P625" s="1866"/>
      <c r="Q625" s="1839"/>
      <c r="R625" s="1839"/>
      <c r="S625" s="2075">
        <f>+'MATRIZCTAS(a)'!AH484+'MATRIZCTAS(a)'!AH487</f>
        <v>0</v>
      </c>
      <c r="T625" s="2076"/>
      <c r="U625" s="1839"/>
      <c r="V625" s="1839"/>
      <c r="W625" s="1839">
        <v>0</v>
      </c>
      <c r="X625" s="2002"/>
    </row>
    <row r="626" spans="2:24" ht="24" customHeight="1" thickBot="1">
      <c r="B626" s="2283" t="s">
        <v>1093</v>
      </c>
      <c r="C626" s="2227"/>
      <c r="D626" s="2227"/>
      <c r="E626" s="2227"/>
      <c r="F626" s="2227"/>
      <c r="G626" s="2227" t="s">
        <v>891</v>
      </c>
      <c r="H626" s="2227"/>
      <c r="I626" s="2227"/>
      <c r="J626" s="2056"/>
      <c r="K626" s="2056"/>
      <c r="L626" s="2056"/>
      <c r="M626" s="2056"/>
      <c r="N626" s="2056"/>
      <c r="O626" s="2025"/>
      <c r="P626" s="2025"/>
      <c r="Q626" s="1999"/>
      <c r="R626" s="1999"/>
      <c r="S626" s="1999"/>
      <c r="T626" s="1999"/>
      <c r="U626" s="1999"/>
      <c r="V626" s="1999"/>
      <c r="W626" s="1999"/>
      <c r="X626" s="2000"/>
    </row>
    <row r="627" spans="2:24" ht="15" customHeight="1">
      <c r="B627" s="2267"/>
      <c r="C627" s="2268"/>
      <c r="D627" s="2268"/>
      <c r="E627" s="2268"/>
      <c r="F627" s="2268"/>
      <c r="G627" s="1962" t="s">
        <v>1094</v>
      </c>
      <c r="H627" s="1962"/>
      <c r="I627" s="1962"/>
      <c r="J627" s="1901" t="s">
        <v>1267</v>
      </c>
      <c r="K627" s="1901"/>
      <c r="L627" s="1901"/>
      <c r="M627" s="1901"/>
      <c r="N627" s="1901"/>
      <c r="O627" s="2057"/>
      <c r="P627" s="2057"/>
      <c r="Q627" s="2021"/>
      <c r="R627" s="2021"/>
      <c r="S627" s="2073">
        <f>+'MATRIZCTAS(a)'!AH506+'MATRIZCTAS(a)'!AH507+MATRIZCTAS!AH519</f>
        <v>113104</v>
      </c>
      <c r="T627" s="2074"/>
      <c r="U627" s="1868">
        <v>0</v>
      </c>
      <c r="V627" s="1868"/>
      <c r="W627" s="1868">
        <f>+MATRIZCTAS!AH1267</f>
        <v>-14274</v>
      </c>
      <c r="X627" s="2001"/>
    </row>
    <row r="628" spans="2:24" ht="15" customHeight="1" thickBot="1">
      <c r="B628" s="1631"/>
      <c r="C628" s="1632"/>
      <c r="D628" s="1632"/>
      <c r="E628" s="1632"/>
      <c r="F628" s="1632"/>
      <c r="G628" s="1632"/>
      <c r="H628" s="1632"/>
      <c r="I628" s="1632"/>
      <c r="J628" s="1901" t="s">
        <v>214</v>
      </c>
      <c r="K628" s="1901"/>
      <c r="L628" s="1901"/>
      <c r="M628" s="1901"/>
      <c r="N628" s="1901"/>
      <c r="O628" s="1866"/>
      <c r="P628" s="1866"/>
      <c r="Q628" s="1839"/>
      <c r="R628" s="1839"/>
      <c r="S628" s="1839">
        <f>+'MATRIZCTAS(a)'!AH494+'MATRIZCTAS(a)'!AH542</f>
        <v>0</v>
      </c>
      <c r="T628" s="1839"/>
      <c r="U628" s="1839"/>
      <c r="V628" s="1839"/>
      <c r="W628" s="1839">
        <v>0</v>
      </c>
      <c r="X628" s="2002"/>
    </row>
    <row r="629" spans="2:24" ht="24.95" customHeight="1" thickBot="1">
      <c r="B629" s="2283" t="s">
        <v>50</v>
      </c>
      <c r="C629" s="2227"/>
      <c r="D629" s="2227"/>
      <c r="E629" s="2227"/>
      <c r="F629" s="2227"/>
      <c r="G629" s="2227" t="s">
        <v>461</v>
      </c>
      <c r="H629" s="2227"/>
      <c r="I629" s="2227"/>
      <c r="J629" s="2056"/>
      <c r="K629" s="2056"/>
      <c r="L629" s="2056"/>
      <c r="M629" s="2056"/>
      <c r="N629" s="2056"/>
      <c r="O629" s="2025"/>
      <c r="P629" s="2025"/>
      <c r="Q629" s="1999"/>
      <c r="R629" s="1999"/>
      <c r="S629" s="1999"/>
      <c r="T629" s="1999"/>
      <c r="U629" s="1999"/>
      <c r="V629" s="1999"/>
      <c r="W629" s="1999"/>
      <c r="X629" s="2000"/>
    </row>
    <row r="630" spans="2:24" ht="15" customHeight="1">
      <c r="B630" s="2267"/>
      <c r="C630" s="2268"/>
      <c r="D630" s="2268"/>
      <c r="E630" s="2268"/>
      <c r="F630" s="2268"/>
      <c r="G630" s="1962" t="s">
        <v>934</v>
      </c>
      <c r="H630" s="1962"/>
      <c r="I630" s="1962"/>
      <c r="J630" s="1901" t="s">
        <v>1267</v>
      </c>
      <c r="K630" s="1901"/>
      <c r="L630" s="1901"/>
      <c r="M630" s="1901"/>
      <c r="N630" s="1901"/>
      <c r="O630" s="2057"/>
      <c r="P630" s="2057"/>
      <c r="Q630" s="2021"/>
      <c r="R630" s="2021"/>
      <c r="S630" s="2073">
        <f>+'MATRIZCTAS(a)'!AH495+MATRIZCTAS!AH543</f>
        <v>15196564</v>
      </c>
      <c r="T630" s="2074"/>
      <c r="U630" s="1868"/>
      <c r="V630" s="1868"/>
      <c r="W630" s="1868">
        <f>+MATRIZCTAS!AH1246</f>
        <v>-1259553</v>
      </c>
      <c r="X630" s="2001"/>
    </row>
    <row r="631" spans="2:24" ht="15" customHeight="1" thickBot="1">
      <c r="B631" s="1631"/>
      <c r="C631" s="1632"/>
      <c r="D631" s="1632"/>
      <c r="E631" s="1632"/>
      <c r="F631" s="1632"/>
      <c r="G631" s="1632"/>
      <c r="H631" s="1632"/>
      <c r="I631" s="1632"/>
      <c r="J631" s="1901" t="s">
        <v>214</v>
      </c>
      <c r="K631" s="1901"/>
      <c r="L631" s="1901"/>
      <c r="M631" s="1901"/>
      <c r="N631" s="1901"/>
      <c r="O631" s="1866"/>
      <c r="P631" s="1866"/>
      <c r="Q631" s="1839"/>
      <c r="R631" s="1839"/>
      <c r="S631" s="2075">
        <f>+'MATRIZCTAS(a)'!AH516</f>
        <v>33574</v>
      </c>
      <c r="T631" s="2076"/>
      <c r="U631" s="1839"/>
      <c r="V631" s="1839"/>
      <c r="W631" s="1839">
        <v>0</v>
      </c>
      <c r="X631" s="2002"/>
    </row>
    <row r="632" spans="2:24" ht="24.95" customHeight="1" thickBot="1">
      <c r="B632" s="2283" t="s">
        <v>932</v>
      </c>
      <c r="C632" s="2227"/>
      <c r="D632" s="2227"/>
      <c r="E632" s="2227"/>
      <c r="F632" s="2227"/>
      <c r="G632" s="2227" t="s">
        <v>933</v>
      </c>
      <c r="H632" s="2227"/>
      <c r="I632" s="2227"/>
      <c r="J632" s="2056"/>
      <c r="K632" s="2056"/>
      <c r="L632" s="2056"/>
      <c r="M632" s="2056"/>
      <c r="N632" s="2056"/>
      <c r="O632" s="2025"/>
      <c r="P632" s="2025"/>
      <c r="Q632" s="1999"/>
      <c r="R632" s="1999"/>
      <c r="S632" s="1999"/>
      <c r="T632" s="1999"/>
      <c r="U632" s="1999"/>
      <c r="V632" s="1999"/>
      <c r="W632" s="1999"/>
      <c r="X632" s="2000"/>
    </row>
    <row r="633" spans="2:24" ht="15" customHeight="1">
      <c r="B633" s="2267"/>
      <c r="C633" s="2268"/>
      <c r="D633" s="2268"/>
      <c r="E633" s="2268"/>
      <c r="F633" s="2268"/>
      <c r="G633" s="2266"/>
      <c r="H633" s="1962"/>
      <c r="I633" s="1962"/>
      <c r="J633" s="1901" t="s">
        <v>1267</v>
      </c>
      <c r="K633" s="1901"/>
      <c r="L633" s="1901"/>
      <c r="M633" s="1901"/>
      <c r="N633" s="1901"/>
      <c r="O633" s="2057"/>
      <c r="P633" s="2057"/>
      <c r="Q633" s="2021"/>
      <c r="R633" s="2021"/>
      <c r="S633" s="2073">
        <f>+'MATRIZCTAS(a)'!AH485+'MATRIZCTAS(a)'!AH496</f>
        <v>0</v>
      </c>
      <c r="T633" s="2074"/>
      <c r="U633" s="1868"/>
      <c r="V633" s="1868"/>
      <c r="W633" s="1868">
        <v>0</v>
      </c>
      <c r="X633" s="2001"/>
    </row>
    <row r="634" spans="2:24" ht="15" customHeight="1" thickBot="1">
      <c r="B634" s="1631"/>
      <c r="C634" s="1632"/>
      <c r="D634" s="1632"/>
      <c r="E634" s="1632"/>
      <c r="F634" s="1632"/>
      <c r="G634" s="1632"/>
      <c r="H634" s="1632"/>
      <c r="I634" s="1632"/>
      <c r="J634" s="1901" t="s">
        <v>214</v>
      </c>
      <c r="K634" s="1901"/>
      <c r="L634" s="1901"/>
      <c r="M634" s="1901"/>
      <c r="N634" s="1901"/>
      <c r="O634" s="1866"/>
      <c r="P634" s="1866"/>
      <c r="Q634" s="1839"/>
      <c r="R634" s="1839"/>
      <c r="S634" s="2075">
        <f>+'MATRIZCTAS(a)'!AH526</f>
        <v>8396</v>
      </c>
      <c r="T634" s="2076"/>
      <c r="U634" s="1839"/>
      <c r="V634" s="1839"/>
      <c r="W634" s="1839">
        <v>0</v>
      </c>
      <c r="X634" s="2002"/>
    </row>
    <row r="635" spans="2:24" ht="35.1" customHeight="1" thickBot="1">
      <c r="B635" s="2283" t="s">
        <v>888</v>
      </c>
      <c r="C635" s="2227"/>
      <c r="D635" s="2227"/>
      <c r="E635" s="2227"/>
      <c r="F635" s="2227"/>
      <c r="G635" s="2227" t="s">
        <v>464</v>
      </c>
      <c r="H635" s="2227"/>
      <c r="I635" s="2227"/>
      <c r="J635" s="2056"/>
      <c r="K635" s="2056"/>
      <c r="L635" s="2056"/>
      <c r="M635" s="2056"/>
      <c r="N635" s="2056"/>
      <c r="O635" s="2025"/>
      <c r="P635" s="2025"/>
      <c r="Q635" s="1999"/>
      <c r="R635" s="1999"/>
      <c r="S635" s="1999"/>
      <c r="T635" s="1999"/>
      <c r="U635" s="1999"/>
      <c r="V635" s="1999"/>
      <c r="W635" s="1999"/>
      <c r="X635" s="2000"/>
    </row>
    <row r="636" spans="2:24" ht="15" customHeight="1">
      <c r="B636" s="2267"/>
      <c r="C636" s="2268"/>
      <c r="D636" s="2268"/>
      <c r="E636" s="2268"/>
      <c r="F636" s="2268"/>
      <c r="G636" s="1962"/>
      <c r="H636" s="1962"/>
      <c r="I636" s="1962"/>
      <c r="J636" s="1901" t="s">
        <v>1267</v>
      </c>
      <c r="K636" s="1901"/>
      <c r="L636" s="1901"/>
      <c r="M636" s="1901"/>
      <c r="N636" s="1901"/>
      <c r="O636" s="2057"/>
      <c r="P636" s="2057"/>
      <c r="Q636" s="2021"/>
      <c r="R636" s="2021"/>
      <c r="S636" s="2073">
        <f>+'MATRIZCTAS(a)'!AH502+'MATRIZCTAS(a)'!AH504</f>
        <v>0</v>
      </c>
      <c r="T636" s="2074"/>
      <c r="U636" s="1868">
        <v>0</v>
      </c>
      <c r="V636" s="1868"/>
      <c r="W636" s="1868">
        <v>0</v>
      </c>
      <c r="X636" s="2001"/>
    </row>
    <row r="637" spans="2:24" ht="15" customHeight="1" thickBot="1">
      <c r="B637" s="1631"/>
      <c r="C637" s="1632"/>
      <c r="D637" s="1632"/>
      <c r="E637" s="1632"/>
      <c r="F637" s="1632"/>
      <c r="G637" s="1632"/>
      <c r="H637" s="1632"/>
      <c r="I637" s="1632"/>
      <c r="J637" s="1901" t="s">
        <v>214</v>
      </c>
      <c r="K637" s="1901"/>
      <c r="L637" s="1901"/>
      <c r="M637" s="1901"/>
      <c r="N637" s="1901"/>
      <c r="O637" s="1866"/>
      <c r="P637" s="1866"/>
      <c r="Q637" s="1839"/>
      <c r="R637" s="1839"/>
      <c r="S637" s="2075">
        <f>+'MATRIZCTAS(a)'!AH500+'MATRIZCTAS(a)'!AH499</f>
        <v>5016</v>
      </c>
      <c r="T637" s="2076"/>
      <c r="U637" s="1839"/>
      <c r="V637" s="1839"/>
      <c r="W637" s="1839">
        <v>0</v>
      </c>
      <c r="X637" s="2002"/>
    </row>
    <row r="638" spans="2:24" ht="15" customHeight="1" thickBot="1">
      <c r="B638" s="2283" t="s">
        <v>1518</v>
      </c>
      <c r="C638" s="2227"/>
      <c r="D638" s="2227"/>
      <c r="E638" s="2227"/>
      <c r="F638" s="2227"/>
      <c r="G638" s="2227" t="s">
        <v>1608</v>
      </c>
      <c r="H638" s="2227"/>
      <c r="I638" s="2227"/>
      <c r="J638" s="2056"/>
      <c r="K638" s="2056"/>
      <c r="L638" s="2056"/>
      <c r="M638" s="2056"/>
      <c r="N638" s="2056"/>
      <c r="O638" s="2025"/>
      <c r="P638" s="2025"/>
      <c r="Q638" s="1999"/>
      <c r="R638" s="1999"/>
      <c r="S638" s="1999"/>
      <c r="T638" s="1999"/>
      <c r="U638" s="1999"/>
      <c r="V638" s="1999"/>
      <c r="W638" s="1999"/>
      <c r="X638" s="2000"/>
    </row>
    <row r="639" spans="2:24" ht="15" customHeight="1">
      <c r="B639" s="2267"/>
      <c r="C639" s="2268"/>
      <c r="D639" s="2268"/>
      <c r="E639" s="2268"/>
      <c r="F639" s="2268"/>
      <c r="G639" s="2664">
        <v>0.5</v>
      </c>
      <c r="H639" s="1962"/>
      <c r="I639" s="1962"/>
      <c r="J639" s="1901" t="s">
        <v>1288</v>
      </c>
      <c r="K639" s="1901"/>
      <c r="L639" s="1901"/>
      <c r="M639" s="1901"/>
      <c r="N639" s="1901"/>
      <c r="O639" s="2057"/>
      <c r="P639" s="2057"/>
      <c r="Q639" s="2021"/>
      <c r="R639" s="2021"/>
      <c r="S639" s="2073">
        <f>+'MATRIZCTAS(a)'!AH525+'MATRIZCTAS(a)'!AH535</f>
        <v>0</v>
      </c>
      <c r="T639" s="2074"/>
      <c r="U639" s="1868">
        <v>0</v>
      </c>
      <c r="V639" s="1868"/>
      <c r="W639" s="1868">
        <f>+MATRIZCTAS!AH1295</f>
        <v>15672</v>
      </c>
      <c r="X639" s="2001"/>
    </row>
    <row r="640" spans="2:24" ht="15" customHeight="1" thickBot="1">
      <c r="B640" s="1631"/>
      <c r="C640" s="1632"/>
      <c r="D640" s="1632"/>
      <c r="E640" s="1632"/>
      <c r="F640" s="1632"/>
      <c r="G640" s="1632"/>
      <c r="H640" s="1632"/>
      <c r="I640" s="1632"/>
      <c r="J640" s="1901" t="s">
        <v>214</v>
      </c>
      <c r="K640" s="1901"/>
      <c r="L640" s="1901"/>
      <c r="M640" s="1901"/>
      <c r="N640" s="1901"/>
      <c r="O640" s="1866"/>
      <c r="P640" s="1866"/>
      <c r="Q640" s="1839"/>
      <c r="R640" s="1839"/>
      <c r="S640" s="2075">
        <f>+'MATRIZCTAS(a)'!AH537</f>
        <v>0</v>
      </c>
      <c r="T640" s="2076"/>
      <c r="U640" s="1839"/>
      <c r="V640" s="1839"/>
      <c r="W640" s="1839">
        <v>0</v>
      </c>
      <c r="X640" s="2002"/>
    </row>
    <row r="641" spans="2:24" ht="15" customHeight="1" thickBot="1">
      <c r="B641" s="2283" t="s">
        <v>889</v>
      </c>
      <c r="C641" s="2227"/>
      <c r="D641" s="2227"/>
      <c r="E641" s="2227"/>
      <c r="F641" s="2227"/>
      <c r="G641" s="2227" t="s">
        <v>463</v>
      </c>
      <c r="H641" s="2227"/>
      <c r="I641" s="2227"/>
      <c r="J641" s="2056"/>
      <c r="K641" s="2056"/>
      <c r="L641" s="2056"/>
      <c r="M641" s="2056"/>
      <c r="N641" s="2056"/>
      <c r="O641" s="2025"/>
      <c r="P641" s="2025"/>
      <c r="Q641" s="1999"/>
      <c r="R641" s="1999"/>
      <c r="S641" s="1999"/>
      <c r="T641" s="1999"/>
      <c r="U641" s="1999"/>
      <c r="V641" s="1999"/>
      <c r="W641" s="1999"/>
      <c r="X641" s="2000"/>
    </row>
    <row r="642" spans="2:24" ht="15" customHeight="1">
      <c r="B642" s="2267"/>
      <c r="C642" s="2268"/>
      <c r="D642" s="2268"/>
      <c r="E642" s="2268"/>
      <c r="F642" s="2268"/>
      <c r="G642" s="1962" t="s">
        <v>890</v>
      </c>
      <c r="H642" s="1962"/>
      <c r="I642" s="1962"/>
      <c r="J642" s="1901" t="s">
        <v>1267</v>
      </c>
      <c r="K642" s="1901"/>
      <c r="L642" s="1901"/>
      <c r="M642" s="1901"/>
      <c r="N642" s="1901"/>
      <c r="O642" s="2057"/>
      <c r="P642" s="2057"/>
      <c r="Q642" s="2021"/>
      <c r="R642" s="2021"/>
      <c r="S642" s="2073">
        <f>+'MATRIZCTAS(a)'!AH508+'MATRIZCTAS(a)'!AH509+MATRIZCTAS!AH544</f>
        <v>3531</v>
      </c>
      <c r="T642" s="2074"/>
      <c r="U642" s="1868">
        <v>0</v>
      </c>
      <c r="V642" s="1868"/>
      <c r="W642" s="1868">
        <f>+MATRIZCTAS!AH1268</f>
        <v>-22737</v>
      </c>
      <c r="X642" s="2001"/>
    </row>
    <row r="643" spans="2:24" ht="15" customHeight="1" thickBot="1">
      <c r="B643" s="1631"/>
      <c r="C643" s="1632"/>
      <c r="D643" s="1632"/>
      <c r="E643" s="1632"/>
      <c r="F643" s="1632"/>
      <c r="G643" s="1632"/>
      <c r="H643" s="1632"/>
      <c r="I643" s="1632"/>
      <c r="J643" s="1901" t="s">
        <v>214</v>
      </c>
      <c r="K643" s="1901"/>
      <c r="L643" s="1901"/>
      <c r="M643" s="1901"/>
      <c r="N643" s="1901"/>
      <c r="O643" s="1866"/>
      <c r="P643" s="1866"/>
      <c r="Q643" s="1839"/>
      <c r="R643" s="1839"/>
      <c r="S643" s="2075">
        <f>+'MATRIZCTAS(a)'!AH517</f>
        <v>2197852</v>
      </c>
      <c r="T643" s="2076"/>
      <c r="U643" s="1839"/>
      <c r="V643" s="1839"/>
      <c r="W643" s="1839"/>
      <c r="X643" s="2002"/>
    </row>
    <row r="644" spans="2:24" ht="15" customHeight="1" thickBot="1">
      <c r="B644" s="2283" t="s">
        <v>655</v>
      </c>
      <c r="C644" s="2227"/>
      <c r="D644" s="2227"/>
      <c r="E644" s="2227"/>
      <c r="F644" s="2227"/>
      <c r="G644" s="2227" t="s">
        <v>656</v>
      </c>
      <c r="H644" s="2227"/>
      <c r="I644" s="2227"/>
      <c r="J644" s="2056"/>
      <c r="K644" s="2056"/>
      <c r="L644" s="2056"/>
      <c r="M644" s="2056"/>
      <c r="N644" s="2056"/>
      <c r="O644" s="2025"/>
      <c r="P644" s="2025"/>
      <c r="Q644" s="1999"/>
      <c r="R644" s="1999"/>
      <c r="S644" s="1999"/>
      <c r="T644" s="1999"/>
      <c r="U644" s="1999"/>
      <c r="V644" s="1999"/>
      <c r="W644" s="1999"/>
      <c r="X644" s="2000"/>
    </row>
    <row r="645" spans="2:24" ht="15" customHeight="1">
      <c r="B645" s="2267"/>
      <c r="C645" s="2268"/>
      <c r="D645" s="2268"/>
      <c r="E645" s="2268"/>
      <c r="F645" s="2268"/>
      <c r="G645" s="1962" t="s">
        <v>654</v>
      </c>
      <c r="H645" s="1962"/>
      <c r="I645" s="1962"/>
      <c r="J645" s="2051" t="s">
        <v>1267</v>
      </c>
      <c r="K645" s="2051"/>
      <c r="L645" s="2051"/>
      <c r="M645" s="2051"/>
      <c r="N645" s="2051"/>
      <c r="O645" s="2057"/>
      <c r="P645" s="2057"/>
      <c r="Q645" s="2021"/>
      <c r="R645" s="2021"/>
      <c r="S645" s="2073">
        <f>+'MATRIZCTAS(a)'!AH511+'MATRIZCTAS(a)'!AH512+MATRIZCTAS!AH545</f>
        <v>-80930</v>
      </c>
      <c r="T645" s="2074"/>
      <c r="U645" s="1868"/>
      <c r="V645" s="1868"/>
      <c r="W645" s="1868">
        <f>+MATRIZCTAS!AH1274</f>
        <v>-7715</v>
      </c>
      <c r="X645" s="2001"/>
    </row>
    <row r="646" spans="2:24" ht="15" customHeight="1" thickBot="1">
      <c r="B646" s="2275"/>
      <c r="C646" s="2276"/>
      <c r="D646" s="2276"/>
      <c r="E646" s="2276"/>
      <c r="F646" s="2276"/>
      <c r="G646" s="2226"/>
      <c r="H646" s="2226"/>
      <c r="I646" s="2226"/>
      <c r="J646" s="1901" t="s">
        <v>214</v>
      </c>
      <c r="K646" s="1901"/>
      <c r="L646" s="1901"/>
      <c r="M646" s="1901"/>
      <c r="N646" s="1901"/>
      <c r="O646" s="2022"/>
      <c r="P646" s="2022"/>
      <c r="Q646" s="2023"/>
      <c r="R646" s="2023"/>
      <c r="S646" s="2075">
        <f>+'MATRIZCTAS(a)'!AH513</f>
        <v>1461220</v>
      </c>
      <c r="T646" s="2076"/>
      <c r="U646" s="2224"/>
      <c r="V646" s="2224"/>
      <c r="W646" s="2224">
        <v>0</v>
      </c>
      <c r="X646" s="2225"/>
    </row>
    <row r="647" spans="2:24" ht="15" hidden="1" customHeight="1" thickBot="1">
      <c r="B647" s="2283" t="s">
        <v>1286</v>
      </c>
      <c r="C647" s="2227"/>
      <c r="D647" s="2227"/>
      <c r="E647" s="2227"/>
      <c r="F647" s="2227"/>
      <c r="G647" s="2227" t="s">
        <v>17</v>
      </c>
      <c r="H647" s="2227"/>
      <c r="I647" s="2227"/>
      <c r="J647" s="2056"/>
      <c r="K647" s="2056"/>
      <c r="L647" s="2056"/>
      <c r="M647" s="2056"/>
      <c r="N647" s="2056"/>
      <c r="O647" s="2025"/>
      <c r="P647" s="2025"/>
      <c r="Q647" s="1999"/>
      <c r="R647" s="1999"/>
      <c r="S647" s="1999"/>
      <c r="T647" s="1999"/>
      <c r="U647" s="1999"/>
      <c r="V647" s="1999"/>
      <c r="W647" s="1999"/>
      <c r="X647" s="2000"/>
    </row>
    <row r="648" spans="2:24" ht="15" hidden="1" customHeight="1">
      <c r="B648" s="2267"/>
      <c r="C648" s="2268"/>
      <c r="D648" s="2268"/>
      <c r="E648" s="2268"/>
      <c r="F648" s="2268"/>
      <c r="G648" s="1962" t="s">
        <v>654</v>
      </c>
      <c r="H648" s="1962"/>
      <c r="I648" s="1962"/>
      <c r="J648" s="2051" t="s">
        <v>1267</v>
      </c>
      <c r="K648" s="2051"/>
      <c r="L648" s="2051"/>
      <c r="M648" s="2051"/>
      <c r="N648" s="2051"/>
      <c r="O648" s="2057"/>
      <c r="P648" s="2057"/>
      <c r="Q648" s="2021"/>
      <c r="R648" s="2021"/>
      <c r="S648" s="2073">
        <f>+'MATRIZCTAS(a)'!AH514+'MATRIZCTAS(a)'!AH523</f>
        <v>0</v>
      </c>
      <c r="T648" s="2074"/>
      <c r="U648" s="1868"/>
      <c r="V648" s="1868"/>
      <c r="W648" s="1868">
        <f>-'MATRIZCTAS(a)'!AH1270</f>
        <v>0</v>
      </c>
      <c r="X648" s="2001"/>
    </row>
    <row r="649" spans="2:24" ht="15" hidden="1" customHeight="1" thickBot="1">
      <c r="B649" s="2275"/>
      <c r="C649" s="2276"/>
      <c r="D649" s="2276"/>
      <c r="E649" s="2276"/>
      <c r="F649" s="2276"/>
      <c r="G649" s="2226"/>
      <c r="H649" s="2226"/>
      <c r="I649" s="2226"/>
      <c r="J649" s="1901" t="s">
        <v>214</v>
      </c>
      <c r="K649" s="1901"/>
      <c r="L649" s="1901"/>
      <c r="M649" s="1901"/>
      <c r="N649" s="1901"/>
      <c r="O649" s="2022"/>
      <c r="P649" s="2022"/>
      <c r="Q649" s="2023"/>
      <c r="R649" s="2023"/>
      <c r="S649" s="2075">
        <f>+'MATRIZCTAS(a)'!AH515</f>
        <v>0</v>
      </c>
      <c r="T649" s="2076"/>
      <c r="U649" s="2224"/>
      <c r="V649" s="2224"/>
      <c r="W649" s="2224">
        <v>0</v>
      </c>
      <c r="X649" s="2225"/>
    </row>
    <row r="650" spans="2:24" ht="15" customHeight="1" thickBot="1">
      <c r="B650" s="2283" t="s">
        <v>1903</v>
      </c>
      <c r="C650" s="2227"/>
      <c r="D650" s="2227"/>
      <c r="E650" s="2227"/>
      <c r="F650" s="2227"/>
      <c r="G650" s="2227"/>
      <c r="H650" s="2227"/>
      <c r="I650" s="2227"/>
      <c r="J650" s="2056"/>
      <c r="K650" s="2056"/>
      <c r="L650" s="2056"/>
      <c r="M650" s="2056"/>
      <c r="N650" s="2056"/>
      <c r="O650" s="2025"/>
      <c r="P650" s="2025"/>
      <c r="Q650" s="1999"/>
      <c r="R650" s="1999"/>
      <c r="S650" s="1999"/>
      <c r="T650" s="1999"/>
      <c r="U650" s="1999"/>
      <c r="V650" s="1999"/>
      <c r="W650" s="1999"/>
      <c r="X650" s="2000"/>
    </row>
    <row r="651" spans="2:24" ht="15" customHeight="1">
      <c r="B651" s="2267"/>
      <c r="C651" s="2268"/>
      <c r="D651" s="2268"/>
      <c r="E651" s="2268"/>
      <c r="F651" s="2268"/>
      <c r="G651" s="2266">
        <v>0.28110000000000002</v>
      </c>
      <c r="H651" s="1962"/>
      <c r="I651" s="1962"/>
      <c r="J651" s="2051" t="s">
        <v>1267</v>
      </c>
      <c r="K651" s="2051"/>
      <c r="L651" s="2051"/>
      <c r="M651" s="2051"/>
      <c r="N651" s="2051"/>
      <c r="O651" s="2057"/>
      <c r="P651" s="2057"/>
      <c r="Q651" s="2021"/>
      <c r="R651" s="2021"/>
      <c r="S651" s="2073">
        <f>+'MATRIZCTAS(a)'!AH539+'MATRIZCTAS(a)'!AH540+MATRIZCTAS!AH547</f>
        <v>-22080</v>
      </c>
      <c r="T651" s="2074"/>
      <c r="U651" s="1868"/>
      <c r="V651" s="1868"/>
      <c r="W651" s="1868">
        <f>+MATRIZCTAS!AH1237</f>
        <v>-8484</v>
      </c>
      <c r="X651" s="2001"/>
    </row>
    <row r="652" spans="2:24" ht="15" customHeight="1" thickBot="1">
      <c r="B652" s="2275"/>
      <c r="C652" s="2276"/>
      <c r="D652" s="2276"/>
      <c r="E652" s="2276"/>
      <c r="F652" s="2276"/>
      <c r="G652" s="2226"/>
      <c r="H652" s="2226"/>
      <c r="I652" s="2226"/>
      <c r="J652" s="1901" t="s">
        <v>214</v>
      </c>
      <c r="K652" s="1901"/>
      <c r="L652" s="1901"/>
      <c r="M652" s="1901"/>
      <c r="N652" s="1901"/>
      <c r="O652" s="2022"/>
      <c r="P652" s="2022"/>
      <c r="Q652" s="2023"/>
      <c r="R652" s="2023"/>
      <c r="S652" s="2075">
        <f>+'MATRIZCTAS(a)'!AH541</f>
        <v>1979778</v>
      </c>
      <c r="T652" s="2076"/>
      <c r="U652" s="2224"/>
      <c r="V652" s="2224"/>
      <c r="W652" s="2224"/>
      <c r="X652" s="2225"/>
    </row>
    <row r="653" spans="2:24" ht="15" customHeight="1" thickBot="1">
      <c r="B653" s="2283" t="s">
        <v>1506</v>
      </c>
      <c r="C653" s="2227"/>
      <c r="D653" s="2227"/>
      <c r="E653" s="2227"/>
      <c r="F653" s="2227"/>
      <c r="G653" s="2227" t="s">
        <v>1511</v>
      </c>
      <c r="H653" s="2227"/>
      <c r="I653" s="2227"/>
      <c r="J653" s="2056"/>
      <c r="K653" s="2056"/>
      <c r="L653" s="2056"/>
      <c r="M653" s="2056"/>
      <c r="N653" s="2056"/>
      <c r="O653" s="2025"/>
      <c r="P653" s="2025"/>
      <c r="Q653" s="1999"/>
      <c r="R653" s="1999"/>
      <c r="S653" s="1999"/>
      <c r="T653" s="1999"/>
      <c r="U653" s="1999"/>
      <c r="V653" s="1999"/>
      <c r="W653" s="1999"/>
      <c r="X653" s="2000"/>
    </row>
    <row r="654" spans="2:24" ht="15" customHeight="1">
      <c r="B654" s="2267"/>
      <c r="C654" s="2268"/>
      <c r="D654" s="2268"/>
      <c r="E654" s="2268"/>
      <c r="F654" s="2268"/>
      <c r="G654" s="2312" t="s">
        <v>1510</v>
      </c>
      <c r="H654" s="2313"/>
      <c r="I654" s="2314"/>
      <c r="J654" s="2051" t="s">
        <v>1267</v>
      </c>
      <c r="K654" s="2051"/>
      <c r="L654" s="2051"/>
      <c r="M654" s="2051"/>
      <c r="N654" s="2051"/>
      <c r="O654" s="2057"/>
      <c r="P654" s="2057"/>
      <c r="Q654" s="2021"/>
      <c r="R654" s="2021"/>
      <c r="S654" s="2073">
        <f>+'MATRIZCTAS(a)'!AH527+'MATRIZCTAS(a)'!AH528+MATRIZCTAS!AH546</f>
        <v>-1222284</v>
      </c>
      <c r="T654" s="2074"/>
      <c r="U654" s="1868"/>
      <c r="V654" s="1868"/>
      <c r="W654" s="1868">
        <f>+MATRIZCTAS!AH1290</f>
        <v>261078</v>
      </c>
      <c r="X654" s="2001"/>
    </row>
    <row r="655" spans="2:24" ht="15" customHeight="1" thickBot="1">
      <c r="B655" s="2275"/>
      <c r="C655" s="2276"/>
      <c r="D655" s="2276"/>
      <c r="E655" s="2276"/>
      <c r="F655" s="2276"/>
      <c r="G655" s="2226"/>
      <c r="H655" s="2226"/>
      <c r="I655" s="2226"/>
      <c r="J655" s="2024" t="s">
        <v>214</v>
      </c>
      <c r="K655" s="2024"/>
      <c r="L655" s="2024"/>
      <c r="M655" s="2024"/>
      <c r="N655" s="2024"/>
      <c r="O655" s="2022"/>
      <c r="P655" s="2022"/>
      <c r="Q655" s="2023"/>
      <c r="R655" s="2023"/>
      <c r="S655" s="2075">
        <f>+'MATRIZCTAS(a)'!AH529</f>
        <v>5469891</v>
      </c>
      <c r="T655" s="2076"/>
      <c r="U655" s="2224"/>
      <c r="V655" s="2224"/>
      <c r="W655" s="2224">
        <v>0</v>
      </c>
      <c r="X655" s="2225"/>
    </row>
    <row r="656" spans="2:24" ht="11.25" customHeight="1"/>
    <row r="657" spans="1:20" ht="24.95" customHeight="1">
      <c r="S657" s="2342"/>
      <c r="T657" s="1976"/>
    </row>
    <row r="659" spans="1:20" ht="12" thickBot="1">
      <c r="A659" s="425"/>
      <c r="B659" s="425"/>
      <c r="C659" s="425"/>
      <c r="D659" s="425"/>
      <c r="E659" s="425"/>
      <c r="F659" s="425"/>
      <c r="G659" s="425"/>
      <c r="H659" s="425"/>
      <c r="I659" s="425"/>
      <c r="J659" s="425"/>
      <c r="K659" s="425"/>
      <c r="L659" s="425"/>
      <c r="M659" s="425"/>
      <c r="N659" s="425"/>
      <c r="O659" s="425"/>
      <c r="P659" s="425"/>
      <c r="Q659" s="425"/>
      <c r="R659" s="425"/>
      <c r="S659" s="425"/>
    </row>
    <row r="660" spans="1:20" ht="12.75">
      <c r="A660" s="425"/>
      <c r="B660" s="1756"/>
      <c r="C660" s="1725"/>
      <c r="D660" s="1725"/>
      <c r="E660" s="1725"/>
      <c r="F660" s="1725"/>
      <c r="G660" s="1725"/>
      <c r="H660" s="1725"/>
      <c r="I660" s="1725"/>
      <c r="J660" s="1725"/>
      <c r="K660" s="1725"/>
      <c r="L660" s="1725"/>
      <c r="M660" s="2634"/>
      <c r="N660" s="2634"/>
      <c r="O660" s="2634"/>
      <c r="P660" s="2634"/>
      <c r="Q660" s="2634"/>
      <c r="R660" s="2635"/>
    </row>
    <row r="661" spans="1:20" ht="12" thickBot="1">
      <c r="B661" s="1757"/>
      <c r="C661" s="1726"/>
      <c r="D661" s="1726"/>
      <c r="E661" s="1726"/>
      <c r="F661" s="1726"/>
      <c r="G661" s="1726"/>
      <c r="H661" s="1726"/>
      <c r="I661" s="1726"/>
      <c r="J661" s="1726"/>
      <c r="K661" s="1726"/>
      <c r="L661" s="1726"/>
      <c r="M661" s="1754"/>
      <c r="N661" s="1754"/>
      <c r="O661" s="1754"/>
      <c r="P661" s="1754"/>
      <c r="Q661" s="1754"/>
      <c r="R661" s="1755"/>
    </row>
    <row r="662" spans="1:20" ht="15" customHeight="1">
      <c r="B662" s="2667"/>
      <c r="C662" s="2668"/>
      <c r="D662" s="2668"/>
      <c r="E662" s="2669"/>
      <c r="F662" s="2048"/>
      <c r="G662" s="2048"/>
      <c r="H662" s="2048"/>
      <c r="I662" s="2048"/>
      <c r="J662" s="2042"/>
      <c r="K662" s="2043"/>
      <c r="L662" s="2044"/>
      <c r="M662" s="2714"/>
      <c r="N662" s="2714"/>
      <c r="O662" s="2714"/>
      <c r="P662" s="2737"/>
      <c r="Q662" s="2737"/>
      <c r="R662" s="2738"/>
    </row>
    <row r="663" spans="1:20" ht="15" customHeight="1">
      <c r="B663" s="2665"/>
      <c r="C663" s="2666"/>
      <c r="D663" s="2666"/>
      <c r="E663" s="2666"/>
      <c r="F663" s="2047"/>
      <c r="G663" s="2047"/>
      <c r="H663" s="2047"/>
      <c r="I663" s="2047"/>
      <c r="J663" s="2079"/>
      <c r="K663" s="2080"/>
      <c r="L663" s="2081"/>
      <c r="M663" s="2265"/>
      <c r="N663" s="2265"/>
      <c r="O663" s="2265"/>
      <c r="P663" s="2077"/>
      <c r="Q663" s="2077"/>
      <c r="R663" s="2078"/>
    </row>
    <row r="664" spans="1:20" ht="15" customHeight="1">
      <c r="B664" s="2665"/>
      <c r="C664" s="2666"/>
      <c r="D664" s="2666"/>
      <c r="E664" s="2666"/>
      <c r="F664" s="2047"/>
      <c r="G664" s="2047"/>
      <c r="H664" s="2047"/>
      <c r="I664" s="2047"/>
      <c r="J664" s="2079"/>
      <c r="K664" s="2080"/>
      <c r="L664" s="2081"/>
      <c r="M664" s="2265"/>
      <c r="N664" s="2265"/>
      <c r="O664" s="2265"/>
      <c r="P664" s="2077"/>
      <c r="Q664" s="2077"/>
      <c r="R664" s="2078"/>
    </row>
    <row r="665" spans="1:20" ht="15" customHeight="1" thickBot="1">
      <c r="B665" s="2045"/>
      <c r="C665" s="2046"/>
      <c r="D665" s="2046"/>
      <c r="E665" s="2046"/>
      <c r="F665" s="2072"/>
      <c r="G665" s="2072"/>
      <c r="H665" s="2072"/>
      <c r="I665" s="2072"/>
      <c r="J665" s="2069"/>
      <c r="K665" s="2070"/>
      <c r="L665" s="2071"/>
      <c r="M665" s="2713"/>
      <c r="N665" s="2713"/>
      <c r="O665" s="2713"/>
      <c r="P665" s="2049"/>
      <c r="Q665" s="2049"/>
      <c r="R665" s="2050"/>
    </row>
    <row r="666" spans="1:20" ht="15" customHeight="1" thickBot="1">
      <c r="B666" s="2082"/>
      <c r="C666" s="2083"/>
      <c r="D666" s="2083"/>
      <c r="E666" s="2083"/>
      <c r="F666" s="2083"/>
      <c r="G666" s="2083"/>
      <c r="H666" s="2083"/>
      <c r="I666" s="2083"/>
      <c r="J666" s="2083"/>
      <c r="K666" s="2083"/>
      <c r="L666" s="2083"/>
      <c r="M666" s="2039"/>
      <c r="N666" s="2039"/>
      <c r="O666" s="2039"/>
      <c r="P666" s="2039"/>
      <c r="Q666" s="2039"/>
      <c r="R666" s="2055"/>
    </row>
    <row r="667" spans="1:20" ht="15" customHeight="1">
      <c r="B667" s="357"/>
      <c r="C667" s="358"/>
      <c r="D667" s="369"/>
      <c r="E667" s="370"/>
      <c r="F667" s="391"/>
      <c r="G667" s="392"/>
      <c r="H667" s="392"/>
      <c r="I667" s="393"/>
      <c r="J667" s="2079"/>
      <c r="K667" s="2080"/>
      <c r="L667" s="2081"/>
      <c r="M667" s="2262"/>
      <c r="N667" s="2263"/>
      <c r="O667" s="2264"/>
      <c r="P667" s="2217"/>
      <c r="Q667" s="2217"/>
      <c r="R667" s="2218"/>
    </row>
    <row r="668" spans="1:20" ht="15" customHeight="1">
      <c r="B668" s="357"/>
      <c r="C668" s="358"/>
      <c r="D668" s="369"/>
      <c r="E668" s="358"/>
      <c r="F668" s="394"/>
      <c r="G668" s="358"/>
      <c r="H668" s="369"/>
      <c r="I668" s="370"/>
      <c r="J668" s="2079"/>
      <c r="K668" s="2080"/>
      <c r="L668" s="2081"/>
      <c r="M668" s="2262"/>
      <c r="N668" s="2263"/>
      <c r="O668" s="2264"/>
      <c r="P668" s="2217"/>
      <c r="Q668" s="2217"/>
      <c r="R668" s="2218"/>
    </row>
    <row r="669" spans="1:20" ht="15" customHeight="1">
      <c r="B669" s="357"/>
      <c r="C669" s="362"/>
      <c r="D669" s="362"/>
      <c r="E669" s="363"/>
      <c r="F669" s="394"/>
      <c r="G669" s="362"/>
      <c r="H669" s="362"/>
      <c r="I669" s="363"/>
      <c r="J669" s="2079"/>
      <c r="K669" s="2080"/>
      <c r="L669" s="2081"/>
      <c r="M669" s="2262"/>
      <c r="N669" s="2263"/>
      <c r="O669" s="2264"/>
      <c r="P669" s="2217"/>
      <c r="Q669" s="2217"/>
      <c r="R669" s="2218"/>
    </row>
    <row r="670" spans="1:20" ht="15" customHeight="1" thickBot="1">
      <c r="B670" s="357"/>
      <c r="C670" s="362"/>
      <c r="D670" s="362"/>
      <c r="E670" s="363"/>
      <c r="F670" s="394"/>
      <c r="G670" s="362"/>
      <c r="H670" s="362"/>
      <c r="I670" s="363"/>
      <c r="J670" s="2079"/>
      <c r="K670" s="2080"/>
      <c r="L670" s="2081"/>
      <c r="M670" s="2262"/>
      <c r="N670" s="2263"/>
      <c r="O670" s="2264"/>
      <c r="P670" s="2217"/>
      <c r="Q670" s="2217"/>
      <c r="R670" s="2218"/>
    </row>
    <row r="671" spans="1:20" ht="15" customHeight="1" thickBot="1">
      <c r="B671" s="2082"/>
      <c r="C671" s="2083"/>
      <c r="D671" s="2083"/>
      <c r="E671" s="2083"/>
      <c r="F671" s="2083"/>
      <c r="G671" s="2083"/>
      <c r="H671" s="2083"/>
      <c r="I671" s="2083"/>
      <c r="J671" s="2083"/>
      <c r="K671" s="2083"/>
      <c r="L671" s="2083"/>
      <c r="M671" s="2039"/>
      <c r="N671" s="2039"/>
      <c r="O671" s="2039"/>
      <c r="P671" s="2039"/>
      <c r="Q671" s="2039"/>
      <c r="R671" s="2055"/>
    </row>
    <row r="672" spans="1:20" ht="15" customHeight="1" thickBot="1">
      <c r="B672" s="361"/>
      <c r="C672" s="362"/>
      <c r="D672" s="362"/>
      <c r="E672" s="363"/>
      <c r="F672" s="364"/>
      <c r="G672" s="362"/>
      <c r="H672" s="362"/>
      <c r="I672" s="363"/>
      <c r="J672" s="364"/>
      <c r="K672" s="362"/>
      <c r="L672" s="363"/>
      <c r="M672" s="365"/>
      <c r="N672" s="366"/>
      <c r="O672" s="367"/>
      <c r="P672" s="365"/>
      <c r="Q672" s="366"/>
      <c r="R672" s="368"/>
    </row>
    <row r="673" spans="2:29" ht="13.5" thickBot="1">
      <c r="B673" s="2269"/>
      <c r="C673" s="2270"/>
      <c r="D673" s="2270"/>
      <c r="E673" s="2270"/>
      <c r="F673" s="2270"/>
      <c r="G673" s="2270"/>
      <c r="H673" s="2270"/>
      <c r="I673" s="2270"/>
      <c r="J673" s="2270"/>
      <c r="K673" s="2270"/>
      <c r="L673" s="2270"/>
      <c r="M673" s="2039"/>
      <c r="N673" s="2039"/>
      <c r="O673" s="2039"/>
      <c r="P673" s="2039"/>
      <c r="Q673" s="2039"/>
      <c r="R673" s="2055"/>
    </row>
    <row r="674" spans="2:29" ht="12.75">
      <c r="B674" s="378"/>
      <c r="C674" s="378"/>
      <c r="D674" s="378"/>
      <c r="E674" s="378"/>
      <c r="F674" s="378"/>
      <c r="G674" s="378"/>
      <c r="H674" s="378"/>
      <c r="I674" s="378"/>
      <c r="J674" s="378"/>
      <c r="K674" s="378"/>
      <c r="L674" s="378"/>
      <c r="M674" s="377"/>
      <c r="N674" s="377"/>
      <c r="O674" s="377"/>
      <c r="P674" s="377"/>
      <c r="Q674" s="377"/>
      <c r="R674" s="377"/>
    </row>
    <row r="675" spans="2:29" ht="12" thickBot="1"/>
    <row r="676" spans="2:29" ht="35.1" customHeight="1" thickBot="1">
      <c r="B676" s="2067" t="s">
        <v>1784</v>
      </c>
      <c r="C676" s="2068"/>
      <c r="D676" s="2068"/>
      <c r="E676" s="2068"/>
      <c r="F676" s="2068"/>
      <c r="G676" s="1847" t="s">
        <v>143</v>
      </c>
      <c r="H676" s="1847"/>
      <c r="I676" s="1847"/>
      <c r="J676" s="1847" t="s">
        <v>1405</v>
      </c>
      <c r="K676" s="1847"/>
      <c r="L676" s="1847"/>
      <c r="M676" s="1847" t="s">
        <v>1406</v>
      </c>
      <c r="N676" s="1847"/>
      <c r="O676" s="1847"/>
      <c r="P676" s="1847" t="s">
        <v>1781</v>
      </c>
      <c r="Q676" s="1847"/>
      <c r="R676" s="1847"/>
      <c r="S676" s="1847" t="s">
        <v>147</v>
      </c>
      <c r="T676" s="1847"/>
      <c r="U676" s="1847"/>
      <c r="V676" s="1847" t="s">
        <v>148</v>
      </c>
      <c r="W676" s="1847"/>
      <c r="X676" s="1847"/>
      <c r="Y676" s="2326" t="s">
        <v>1783</v>
      </c>
      <c r="Z676" s="2327"/>
      <c r="AA676" s="1848"/>
    </row>
    <row r="677" spans="2:29" ht="30" customHeight="1" thickBot="1">
      <c r="B677" s="1902" t="s">
        <v>1404</v>
      </c>
      <c r="C677" s="1903"/>
      <c r="D677" s="1903"/>
      <c r="E677" s="1903"/>
      <c r="F677" s="1903"/>
      <c r="G677" s="1904">
        <v>524470000</v>
      </c>
      <c r="H677" s="1904"/>
      <c r="I677" s="1904"/>
      <c r="J677" s="2040">
        <f>6432482/1000</f>
        <v>6432.482</v>
      </c>
      <c r="K677" s="2040"/>
      <c r="L677" s="2041"/>
      <c r="M677" s="2712">
        <v>37895</v>
      </c>
      <c r="N677" s="2712"/>
      <c r="O677" s="2712"/>
      <c r="P677" s="1919">
        <v>0</v>
      </c>
      <c r="Q677" s="1919"/>
      <c r="R677" s="1920"/>
      <c r="S677" s="1919">
        <v>6432</v>
      </c>
      <c r="T677" s="1920"/>
      <c r="U677" s="1920"/>
      <c r="V677" s="2320">
        <v>24</v>
      </c>
      <c r="W677" s="2320"/>
      <c r="X677" s="2321"/>
      <c r="Y677" s="2322">
        <v>24</v>
      </c>
      <c r="Z677" s="2323"/>
      <c r="AA677" s="2324"/>
    </row>
    <row r="678" spans="2:29" ht="20.100000000000001" customHeight="1" thickBot="1">
      <c r="B678" s="853" t="s">
        <v>1333</v>
      </c>
      <c r="C678" s="854"/>
      <c r="D678" s="854"/>
      <c r="E678" s="854"/>
      <c r="F678" s="854"/>
      <c r="G678" s="855"/>
      <c r="H678" s="855"/>
      <c r="I678" s="856"/>
      <c r="J678" s="2018">
        <f>SUM(J677:J677)</f>
        <v>6432.482</v>
      </c>
      <c r="K678" s="2019"/>
      <c r="L678" s="2020"/>
      <c r="M678" s="2221"/>
      <c r="N678" s="2221"/>
      <c r="O678" s="2221"/>
      <c r="P678" s="1861">
        <f>SUM(P677:P677)</f>
        <v>0</v>
      </c>
      <c r="Q678" s="1861"/>
      <c r="R678" s="1862"/>
      <c r="S678" s="1861">
        <f>SUM(S677:S677)</f>
        <v>6432</v>
      </c>
      <c r="T678" s="1862"/>
      <c r="U678" s="1862"/>
      <c r="V678" s="2325"/>
      <c r="W678" s="2318"/>
      <c r="X678" s="2318"/>
      <c r="Y678" s="2318"/>
      <c r="Z678" s="2318"/>
      <c r="AA678" s="2319"/>
    </row>
    <row r="680" spans="2:29" ht="12" thickBot="1"/>
    <row r="681" spans="2:29" ht="35.1" customHeight="1" thickBot="1">
      <c r="B681" s="1905" t="s">
        <v>1757</v>
      </c>
      <c r="C681" s="1906"/>
      <c r="D681" s="1906"/>
      <c r="E681" s="1906"/>
      <c r="F681" s="1906"/>
      <c r="G681" s="1906"/>
      <c r="H681" s="1906"/>
      <c r="I681" s="1907"/>
      <c r="J681" s="1847" t="s">
        <v>143</v>
      </c>
      <c r="K681" s="1847"/>
      <c r="L681" s="1847"/>
      <c r="M681" s="1846" t="s">
        <v>1549</v>
      </c>
      <c r="N681" s="1847"/>
      <c r="O681" s="1847"/>
      <c r="P681" s="1846" t="s">
        <v>1550</v>
      </c>
      <c r="Q681" s="1847"/>
      <c r="R681" s="1848"/>
      <c r="AC681" s="359"/>
    </row>
    <row r="682" spans="2:29" ht="24.95" customHeight="1">
      <c r="B682" s="2016" t="s">
        <v>246</v>
      </c>
      <c r="C682" s="2017"/>
      <c r="D682" s="2017"/>
      <c r="E682" s="2017"/>
      <c r="F682" s="2017"/>
      <c r="G682" s="2017"/>
      <c r="H682" s="2017"/>
      <c r="I682" s="2017"/>
      <c r="J682" s="2261">
        <v>531201100</v>
      </c>
      <c r="K682" s="2261"/>
      <c r="L682" s="2261"/>
      <c r="M682" s="1859">
        <v>180</v>
      </c>
      <c r="N682" s="1859"/>
      <c r="O682" s="1860"/>
      <c r="P682" s="1876">
        <v>16041</v>
      </c>
      <c r="Q682" s="1876"/>
      <c r="R682" s="2063"/>
    </row>
    <row r="683" spans="2:29" ht="24.95" customHeight="1">
      <c r="B683" s="2012" t="s">
        <v>1507</v>
      </c>
      <c r="C683" s="2013"/>
      <c r="D683" s="2013"/>
      <c r="E683" s="2013"/>
      <c r="F683" s="2013"/>
      <c r="G683" s="2013"/>
      <c r="H683" s="2013"/>
      <c r="I683" s="2013"/>
      <c r="J683" s="1798">
        <v>531201100</v>
      </c>
      <c r="K683" s="1798"/>
      <c r="L683" s="1798"/>
      <c r="M683" s="1856">
        <v>140</v>
      </c>
      <c r="N683" s="1856"/>
      <c r="O683" s="1857"/>
      <c r="P683" s="1676">
        <v>37443</v>
      </c>
      <c r="Q683" s="1676"/>
      <c r="R683" s="2062"/>
    </row>
    <row r="684" spans="2:29" ht="24.95" customHeight="1">
      <c r="B684" s="2012" t="s">
        <v>459</v>
      </c>
      <c r="C684" s="2013"/>
      <c r="D684" s="2013"/>
      <c r="E684" s="2013"/>
      <c r="F684" s="2013"/>
      <c r="G684" s="2013"/>
      <c r="H684" s="2013"/>
      <c r="I684" s="2013"/>
      <c r="J684" s="1798">
        <v>531201100</v>
      </c>
      <c r="K684" s="1798"/>
      <c r="L684" s="1798"/>
      <c r="M684" s="1856">
        <v>100</v>
      </c>
      <c r="N684" s="1856"/>
      <c r="O684" s="1857"/>
      <c r="P684" s="1676">
        <v>26745</v>
      </c>
      <c r="Q684" s="1676"/>
      <c r="R684" s="2062"/>
    </row>
    <row r="685" spans="2:29" ht="24.95" customHeight="1">
      <c r="B685" s="2012" t="s">
        <v>460</v>
      </c>
      <c r="C685" s="2013"/>
      <c r="D685" s="2013"/>
      <c r="E685" s="2013"/>
      <c r="F685" s="2013"/>
      <c r="G685" s="2013"/>
      <c r="H685" s="2013"/>
      <c r="I685" s="2013"/>
      <c r="J685" s="1798">
        <v>531201100</v>
      </c>
      <c r="K685" s="1798"/>
      <c r="L685" s="1798"/>
      <c r="M685" s="1856">
        <v>100</v>
      </c>
      <c r="N685" s="1856"/>
      <c r="O685" s="1857"/>
      <c r="P685" s="1676">
        <v>26745</v>
      </c>
      <c r="Q685" s="1676"/>
      <c r="R685" s="2062"/>
    </row>
    <row r="686" spans="2:29" ht="24.95" customHeight="1">
      <c r="B686" s="2094" t="s">
        <v>766</v>
      </c>
      <c r="C686" s="2095"/>
      <c r="D686" s="2095"/>
      <c r="E686" s="2095"/>
      <c r="F686" s="2095"/>
      <c r="G686" s="2095"/>
      <c r="H686" s="2095"/>
      <c r="I686" s="2095"/>
      <c r="J686" s="2028">
        <v>531201100</v>
      </c>
      <c r="K686" s="2028"/>
      <c r="L686" s="2028"/>
      <c r="M686" s="2026">
        <v>100</v>
      </c>
      <c r="N686" s="2026"/>
      <c r="O686" s="2027"/>
      <c r="P686" s="2273">
        <v>26745</v>
      </c>
      <c r="Q686" s="2273"/>
      <c r="R686" s="2274"/>
    </row>
    <row r="687" spans="2:29" ht="24.95" customHeight="1">
      <c r="B687" s="1874" t="s">
        <v>2597</v>
      </c>
      <c r="C687" s="1875"/>
      <c r="D687" s="1875"/>
      <c r="E687" s="1875"/>
      <c r="F687" s="1875"/>
      <c r="G687" s="1875"/>
      <c r="H687" s="1875"/>
      <c r="I687" s="1875"/>
      <c r="J687" s="2028">
        <v>531201100</v>
      </c>
      <c r="K687" s="2028"/>
      <c r="L687" s="2028"/>
      <c r="M687" s="1856">
        <v>100</v>
      </c>
      <c r="N687" s="1856"/>
      <c r="O687" s="1857"/>
      <c r="P687" s="2219">
        <v>17833</v>
      </c>
      <c r="Q687" s="2219"/>
      <c r="R687" s="2220"/>
    </row>
    <row r="688" spans="2:29" ht="24.95" customHeight="1">
      <c r="B688" s="1874" t="s">
        <v>2598</v>
      </c>
      <c r="C688" s="1875"/>
      <c r="D688" s="1875"/>
      <c r="E688" s="1875"/>
      <c r="F688" s="1875"/>
      <c r="G688" s="1875"/>
      <c r="H688" s="1875"/>
      <c r="I688" s="1875"/>
      <c r="J688" s="2028">
        <v>531201100</v>
      </c>
      <c r="K688" s="2028"/>
      <c r="L688" s="2028"/>
      <c r="M688" s="1856">
        <v>100</v>
      </c>
      <c r="N688" s="1856"/>
      <c r="O688" s="1857"/>
      <c r="P688" s="2219">
        <v>17825</v>
      </c>
      <c r="Q688" s="2219"/>
      <c r="R688" s="2220"/>
    </row>
    <row r="689" spans="2:30" ht="24.95" customHeight="1" thickBot="1">
      <c r="B689" s="2762" t="s">
        <v>2599</v>
      </c>
      <c r="C689" s="2763"/>
      <c r="D689" s="2763"/>
      <c r="E689" s="2763"/>
      <c r="F689" s="2763"/>
      <c r="G689" s="2763"/>
      <c r="H689" s="2763"/>
      <c r="I689" s="2763"/>
      <c r="J689" s="2028">
        <v>531201100</v>
      </c>
      <c r="K689" s="2028"/>
      <c r="L689" s="2028"/>
      <c r="M689" s="1856">
        <v>100</v>
      </c>
      <c r="N689" s="1856"/>
      <c r="O689" s="1857"/>
      <c r="P689" s="2764">
        <v>17833</v>
      </c>
      <c r="Q689" s="2764"/>
      <c r="R689" s="2765"/>
    </row>
    <row r="690" spans="2:30" ht="20.100000000000001" customHeight="1" thickBot="1">
      <c r="B690" s="610" t="s">
        <v>1333</v>
      </c>
      <c r="C690" s="769"/>
      <c r="D690" s="769"/>
      <c r="E690" s="769"/>
      <c r="F690" s="769"/>
      <c r="G690" s="770"/>
      <c r="H690" s="770"/>
      <c r="I690" s="771"/>
      <c r="J690" s="2215"/>
      <c r="K690" s="2216"/>
      <c r="L690" s="2216"/>
      <c r="M690" s="1840">
        <f>SUM(M682:O689)</f>
        <v>920</v>
      </c>
      <c r="N690" s="1841"/>
      <c r="O690" s="1890"/>
      <c r="P690" s="1670">
        <f>SUM(P682:R689)</f>
        <v>187210</v>
      </c>
      <c r="Q690" s="1670"/>
      <c r="R690" s="1672"/>
      <c r="AD690" s="359"/>
    </row>
    <row r="692" spans="2:30" ht="12.75" customHeight="1" thickBot="1"/>
    <row r="693" spans="2:30" ht="50.1" customHeight="1" thickBot="1">
      <c r="B693" s="2067" t="s">
        <v>556</v>
      </c>
      <c r="C693" s="2068"/>
      <c r="D693" s="2068"/>
      <c r="E693" s="2068"/>
      <c r="F693" s="2068"/>
      <c r="G693" s="1846" t="s">
        <v>558</v>
      </c>
      <c r="H693" s="1847"/>
      <c r="I693" s="1847"/>
      <c r="J693" s="1846" t="s">
        <v>252</v>
      </c>
      <c r="K693" s="1847"/>
      <c r="L693" s="1847"/>
      <c r="M693" s="1846" t="s">
        <v>559</v>
      </c>
      <c r="N693" s="1847"/>
      <c r="O693" s="1847"/>
      <c r="P693" s="1846" t="s">
        <v>560</v>
      </c>
      <c r="Q693" s="1847"/>
      <c r="R693" s="1847"/>
      <c r="S693" s="1846" t="s">
        <v>1442</v>
      </c>
      <c r="T693" s="1847"/>
      <c r="U693" s="1847"/>
      <c r="V693" s="1846" t="s">
        <v>267</v>
      </c>
      <c r="W693" s="1847"/>
      <c r="X693" s="1848"/>
    </row>
    <row r="694" spans="2:30" ht="24.95" customHeight="1">
      <c r="B694" s="2271" t="s">
        <v>557</v>
      </c>
      <c r="C694" s="2272"/>
      <c r="D694" s="2272"/>
      <c r="E694" s="2272"/>
      <c r="F694" s="2272"/>
      <c r="G694" s="1894">
        <v>186115</v>
      </c>
      <c r="H694" s="1895"/>
      <c r="I694" s="1896"/>
      <c r="J694" s="1897">
        <f>-1163570+494</f>
        <v>-1163076</v>
      </c>
      <c r="K694" s="1898"/>
      <c r="L694" s="1899"/>
      <c r="M694" s="1894">
        <v>17739982</v>
      </c>
      <c r="N694" s="1895"/>
      <c r="O694" s="1896"/>
      <c r="P694" s="1894">
        <v>11147</v>
      </c>
      <c r="Q694" s="1895"/>
      <c r="R694" s="1896"/>
      <c r="S694" s="1897">
        <v>-678319</v>
      </c>
      <c r="T694" s="1898"/>
      <c r="U694" s="1899"/>
      <c r="V694" s="1897">
        <v>-1163076</v>
      </c>
      <c r="W694" s="1898"/>
      <c r="X694" s="1909"/>
    </row>
    <row r="695" spans="2:30" ht="24.95" customHeight="1" thickBot="1">
      <c r="B695" s="2014" t="s">
        <v>1131</v>
      </c>
      <c r="C695" s="2015"/>
      <c r="D695" s="2015"/>
      <c r="E695" s="2015"/>
      <c r="F695" s="2015"/>
      <c r="G695" s="1824">
        <v>2121</v>
      </c>
      <c r="H695" s="1825"/>
      <c r="I695" s="1826"/>
      <c r="J695" s="1808">
        <v>-1798</v>
      </c>
      <c r="K695" s="1809"/>
      <c r="L695" s="1810"/>
      <c r="M695" s="1824">
        <v>0</v>
      </c>
      <c r="N695" s="1825"/>
      <c r="O695" s="1826"/>
      <c r="P695" s="1824">
        <v>0</v>
      </c>
      <c r="Q695" s="1825"/>
      <c r="R695" s="1826"/>
      <c r="S695" s="1824">
        <v>162598</v>
      </c>
      <c r="T695" s="1825"/>
      <c r="U695" s="1826"/>
      <c r="V695" s="1808">
        <v>-1798</v>
      </c>
      <c r="W695" s="1809"/>
      <c r="X695" s="1908"/>
    </row>
    <row r="696" spans="2:30" ht="30" customHeight="1" thickBot="1">
      <c r="B696" s="310" t="s">
        <v>1333</v>
      </c>
      <c r="C696" s="379"/>
      <c r="D696" s="379"/>
      <c r="E696" s="379"/>
      <c r="F696" s="379"/>
      <c r="G696" s="1840">
        <f>SUM(G694:I695)</f>
        <v>188236</v>
      </c>
      <c r="H696" s="1841"/>
      <c r="I696" s="1890"/>
      <c r="J696" s="1840">
        <f>SUM(J694:L695)</f>
        <v>-1164874</v>
      </c>
      <c r="K696" s="1841"/>
      <c r="L696" s="1890"/>
      <c r="M696" s="1840">
        <f>SUM(M694:O695)</f>
        <v>17739982</v>
      </c>
      <c r="N696" s="1841"/>
      <c r="O696" s="1890"/>
      <c r="P696" s="1840">
        <f>SUM(P694:R695)</f>
        <v>11147</v>
      </c>
      <c r="Q696" s="1841"/>
      <c r="R696" s="1890"/>
      <c r="S696" s="1840">
        <f>SUM(S694:U695)</f>
        <v>-515721</v>
      </c>
      <c r="T696" s="1841"/>
      <c r="U696" s="1890"/>
      <c r="V696" s="1840">
        <f>SUM(V694:X695)</f>
        <v>-1164874</v>
      </c>
      <c r="W696" s="1841"/>
      <c r="X696" s="1842"/>
    </row>
    <row r="698" spans="2:30">
      <c r="X698" s="301" t="s">
        <v>1805</v>
      </c>
    </row>
    <row r="699" spans="2:30" ht="12" thickBot="1">
      <c r="X699" s="359" t="s">
        <v>1805</v>
      </c>
    </row>
    <row r="700" spans="2:30" ht="20.100000000000001" customHeight="1">
      <c r="B700" s="1871" t="s">
        <v>1170</v>
      </c>
      <c r="C700" s="1872"/>
      <c r="D700" s="1872"/>
      <c r="E700" s="1872"/>
      <c r="F700" s="1872"/>
      <c r="G700" s="1872"/>
      <c r="H700" s="1872"/>
      <c r="I700" s="1872"/>
      <c r="J700" s="1872"/>
      <c r="K700" s="1872"/>
      <c r="L700" s="1872"/>
      <c r="M700" s="1872"/>
      <c r="N700" s="1872"/>
      <c r="O700" s="1872"/>
      <c r="P700" s="1872"/>
      <c r="Q700" s="1872"/>
      <c r="R700" s="1872"/>
      <c r="S700" s="1872"/>
      <c r="T700" s="1872"/>
      <c r="U700" s="1873"/>
    </row>
    <row r="701" spans="2:30" ht="50.1" customHeight="1">
      <c r="B701" s="1731" t="s">
        <v>349</v>
      </c>
      <c r="C701" s="1732"/>
      <c r="D701" s="1732"/>
      <c r="E701" s="1732"/>
      <c r="F701" s="1786"/>
      <c r="G701" s="1786"/>
      <c r="H701" s="1786"/>
      <c r="I701" s="1794" t="s">
        <v>1171</v>
      </c>
      <c r="J701" s="1794"/>
      <c r="K701" s="1794"/>
      <c r="L701" s="1794"/>
      <c r="M701" s="1794"/>
      <c r="N701" s="1990" t="s">
        <v>234</v>
      </c>
      <c r="O701" s="1786"/>
      <c r="P701" s="1786"/>
      <c r="Q701" s="1786"/>
      <c r="R701" s="1886" t="s">
        <v>1448</v>
      </c>
      <c r="S701" s="1887"/>
      <c r="T701" s="1882" t="s">
        <v>1132</v>
      </c>
      <c r="U701" s="1883"/>
    </row>
    <row r="702" spans="2:30" ht="35.1" customHeight="1">
      <c r="B702" s="1849" t="s">
        <v>1002</v>
      </c>
      <c r="C702" s="1850"/>
      <c r="D702" s="1850"/>
      <c r="E702" s="1850"/>
      <c r="F702" s="1787" t="s">
        <v>350</v>
      </c>
      <c r="G702" s="1787"/>
      <c r="H702" s="1787"/>
      <c r="I702" s="1768" t="s">
        <v>232</v>
      </c>
      <c r="J702" s="1768"/>
      <c r="K702" s="1768"/>
      <c r="L702" s="1768" t="s">
        <v>233</v>
      </c>
      <c r="M702" s="1768"/>
      <c r="N702" s="1787"/>
      <c r="O702" s="1787"/>
      <c r="P702" s="1787"/>
      <c r="Q702" s="1787"/>
      <c r="R702" s="1888"/>
      <c r="S702" s="1889"/>
      <c r="T702" s="1884"/>
      <c r="U702" s="1885"/>
    </row>
    <row r="703" spans="2:30" ht="12" customHeight="1" thickBot="1">
      <c r="B703" s="1851"/>
      <c r="C703" s="1852"/>
      <c r="D703" s="1852"/>
      <c r="E703" s="1852"/>
      <c r="F703" s="1788"/>
      <c r="G703" s="1788"/>
      <c r="H703" s="1788"/>
      <c r="I703" s="1891"/>
      <c r="J703" s="1891"/>
      <c r="K703" s="1891"/>
      <c r="L703" s="1891"/>
      <c r="M703" s="1891"/>
      <c r="N703" s="1788"/>
      <c r="O703" s="1788"/>
      <c r="P703" s="1788"/>
      <c r="Q703" s="1788"/>
      <c r="R703" s="1891" t="s">
        <v>1885</v>
      </c>
      <c r="S703" s="1891"/>
      <c r="T703" s="1892" t="s">
        <v>1885</v>
      </c>
      <c r="U703" s="1893"/>
    </row>
    <row r="704" spans="2:30" ht="13.5" thickBot="1">
      <c r="B704" s="774" t="s">
        <v>1382</v>
      </c>
      <c r="C704" s="775"/>
      <c r="D704" s="775"/>
      <c r="E704" s="775"/>
      <c r="F704" s="1854"/>
      <c r="G704" s="1854"/>
      <c r="H704" s="1854"/>
      <c r="I704" s="1853"/>
      <c r="J704" s="1853"/>
      <c r="K704" s="1853"/>
      <c r="L704" s="1853"/>
      <c r="M704" s="1853"/>
      <c r="N704" s="776"/>
      <c r="O704" s="775"/>
      <c r="P704" s="776"/>
      <c r="Q704" s="775"/>
      <c r="R704" s="1853"/>
      <c r="S704" s="1853"/>
      <c r="T704" s="1853"/>
      <c r="U704" s="2240"/>
    </row>
    <row r="705" spans="2:21">
      <c r="B705" s="1708" t="s">
        <v>2628</v>
      </c>
      <c r="C705" s="1709"/>
      <c r="D705" s="1709"/>
      <c r="E705" s="1709"/>
      <c r="F705" s="2084" t="s">
        <v>2547</v>
      </c>
      <c r="G705" s="1709"/>
      <c r="H705" s="2089"/>
      <c r="I705" s="2084">
        <v>4000000</v>
      </c>
      <c r="J705" s="1709"/>
      <c r="K705" s="1709"/>
      <c r="L705" s="2085">
        <v>38113</v>
      </c>
      <c r="M705" s="2086"/>
      <c r="N705" s="2085">
        <v>41487</v>
      </c>
      <c r="O705" s="2086"/>
      <c r="P705" s="2087"/>
      <c r="Q705" s="2088"/>
      <c r="R705" s="2230">
        <v>2060560</v>
      </c>
      <c r="S705" s="2231"/>
      <c r="T705" s="2228">
        <v>1257488.8743041409</v>
      </c>
      <c r="U705" s="2229"/>
    </row>
    <row r="706" spans="2:21">
      <c r="B706" s="1648" t="s">
        <v>2602</v>
      </c>
      <c r="C706" s="1649"/>
      <c r="D706" s="1649"/>
      <c r="E706" s="1649"/>
      <c r="F706" s="1702" t="s">
        <v>2547</v>
      </c>
      <c r="G706" s="1703"/>
      <c r="H706" s="1704"/>
      <c r="I706" s="1702">
        <v>5000000</v>
      </c>
      <c r="J706" s="1703"/>
      <c r="K706" s="1703"/>
      <c r="L706" s="1666">
        <v>38118</v>
      </c>
      <c r="M706" s="1667"/>
      <c r="N706" s="1666">
        <v>41487</v>
      </c>
      <c r="O706" s="1667"/>
      <c r="P706" s="1707"/>
      <c r="Q706" s="1705"/>
      <c r="R706" s="1668">
        <v>2575700</v>
      </c>
      <c r="S706" s="1669"/>
      <c r="T706" s="1700">
        <v>1599430.4234004281</v>
      </c>
      <c r="U706" s="1701"/>
    </row>
    <row r="707" spans="2:21">
      <c r="B707" s="1648" t="s">
        <v>2628</v>
      </c>
      <c r="C707" s="1649"/>
      <c r="D707" s="1649"/>
      <c r="E707" s="1687"/>
      <c r="F707" s="1702" t="s">
        <v>2547</v>
      </c>
      <c r="G707" s="1703"/>
      <c r="H707" s="1704"/>
      <c r="I707" s="1702">
        <v>1000000</v>
      </c>
      <c r="J707" s="1703"/>
      <c r="K707" s="1704"/>
      <c r="L707" s="1666">
        <v>38251</v>
      </c>
      <c r="M707" s="1667"/>
      <c r="N707" s="1666">
        <v>42705</v>
      </c>
      <c r="O707" s="1667"/>
      <c r="P707" s="1707"/>
      <c r="Q707" s="1707"/>
      <c r="R707" s="1668">
        <v>515140</v>
      </c>
      <c r="S707" s="1669"/>
      <c r="T707" s="1700">
        <v>283349.64381638169</v>
      </c>
      <c r="U707" s="1701"/>
    </row>
    <row r="708" spans="2:21">
      <c r="B708" s="1648" t="s">
        <v>2628</v>
      </c>
      <c r="C708" s="1649"/>
      <c r="D708" s="1649"/>
      <c r="E708" s="1687"/>
      <c r="F708" s="1702" t="s">
        <v>2547</v>
      </c>
      <c r="G708" s="1703"/>
      <c r="H708" s="1704"/>
      <c r="I708" s="1702">
        <v>1000000</v>
      </c>
      <c r="J708" s="1703"/>
      <c r="K708" s="1704"/>
      <c r="L708" s="1666">
        <v>38264</v>
      </c>
      <c r="M708" s="1667"/>
      <c r="N708" s="1666">
        <v>41723</v>
      </c>
      <c r="O708" s="1667"/>
      <c r="P708" s="1707"/>
      <c r="Q708" s="1707"/>
      <c r="R708" s="1668">
        <v>515140</v>
      </c>
      <c r="S708" s="1669"/>
      <c r="T708" s="1700">
        <v>253966.03668080346</v>
      </c>
      <c r="U708" s="1701"/>
    </row>
    <row r="709" spans="2:21">
      <c r="B709" s="1648" t="s">
        <v>2628</v>
      </c>
      <c r="C709" s="1649"/>
      <c r="D709" s="1649"/>
      <c r="E709" s="1687"/>
      <c r="F709" s="1702" t="s">
        <v>2547</v>
      </c>
      <c r="G709" s="1703"/>
      <c r="H709" s="1704"/>
      <c r="I709" s="1702">
        <v>1000000</v>
      </c>
      <c r="J709" s="1703"/>
      <c r="K709" s="1704"/>
      <c r="L709" s="1666">
        <v>38286</v>
      </c>
      <c r="M709" s="1667"/>
      <c r="N709" s="1666">
        <v>41723</v>
      </c>
      <c r="O709" s="1667"/>
      <c r="P709" s="1707"/>
      <c r="Q709" s="1707"/>
      <c r="R709" s="1668">
        <v>515140</v>
      </c>
      <c r="S709" s="1669"/>
      <c r="T709" s="1700">
        <v>269067.14597879903</v>
      </c>
      <c r="U709" s="1701"/>
    </row>
    <row r="710" spans="2:21">
      <c r="B710" s="1648" t="s">
        <v>2628</v>
      </c>
      <c r="C710" s="1649"/>
      <c r="D710" s="1649"/>
      <c r="E710" s="1687"/>
      <c r="F710" s="1702" t="s">
        <v>2547</v>
      </c>
      <c r="G710" s="1703"/>
      <c r="H710" s="1704"/>
      <c r="I710" s="1702">
        <v>4000000</v>
      </c>
      <c r="J710" s="1703"/>
      <c r="K710" s="1704"/>
      <c r="L710" s="1666">
        <v>38525</v>
      </c>
      <c r="M710" s="1667"/>
      <c r="N710" s="1666">
        <v>45734</v>
      </c>
      <c r="O710" s="1667"/>
      <c r="P710" s="1707"/>
      <c r="Q710" s="1707"/>
      <c r="R710" s="1668">
        <v>2060560</v>
      </c>
      <c r="S710" s="1669"/>
      <c r="T710" s="1700">
        <v>864793.20699826605</v>
      </c>
      <c r="U710" s="1701"/>
    </row>
    <row r="711" spans="2:21">
      <c r="B711" s="1648" t="s">
        <v>2601</v>
      </c>
      <c r="C711" s="1649"/>
      <c r="D711" s="1649"/>
      <c r="E711" s="1687"/>
      <c r="F711" s="1702" t="s">
        <v>2547</v>
      </c>
      <c r="G711" s="1703"/>
      <c r="H711" s="1704"/>
      <c r="I711" s="1702">
        <v>1000000</v>
      </c>
      <c r="J711" s="1703"/>
      <c r="K711" s="1704"/>
      <c r="L711" s="1666">
        <v>38539</v>
      </c>
      <c r="M711" s="1667"/>
      <c r="N711" s="1666">
        <v>45734</v>
      </c>
      <c r="O711" s="1667"/>
      <c r="P711" s="1707"/>
      <c r="Q711" s="1707"/>
      <c r="R711" s="1668">
        <v>515140</v>
      </c>
      <c r="S711" s="1669"/>
      <c r="T711" s="1700">
        <v>225365.41338118602</v>
      </c>
      <c r="U711" s="1701"/>
    </row>
    <row r="712" spans="2:21">
      <c r="B712" s="1648" t="s">
        <v>2601</v>
      </c>
      <c r="C712" s="1649"/>
      <c r="D712" s="1649"/>
      <c r="E712" s="1687"/>
      <c r="F712" s="1702" t="s">
        <v>2547</v>
      </c>
      <c r="G712" s="1703"/>
      <c r="H712" s="1704"/>
      <c r="I712" s="1702">
        <v>1000000</v>
      </c>
      <c r="J712" s="1703"/>
      <c r="K712" s="1704"/>
      <c r="L712" s="1666">
        <v>38558</v>
      </c>
      <c r="M712" s="1667"/>
      <c r="N712" s="1666">
        <v>45734</v>
      </c>
      <c r="O712" s="1667"/>
      <c r="P712" s="1707"/>
      <c r="Q712" s="1707"/>
      <c r="R712" s="1668">
        <v>515140</v>
      </c>
      <c r="S712" s="1669"/>
      <c r="T712" s="1700">
        <v>200484.08675306739</v>
      </c>
      <c r="U712" s="1701"/>
    </row>
    <row r="713" spans="2:21">
      <c r="B713" s="1648" t="s">
        <v>2602</v>
      </c>
      <c r="C713" s="1649"/>
      <c r="D713" s="1649"/>
      <c r="E713" s="1687"/>
      <c r="F713" s="1702" t="s">
        <v>2547</v>
      </c>
      <c r="G713" s="1703"/>
      <c r="H713" s="1704"/>
      <c r="I713" s="1702">
        <v>2000000</v>
      </c>
      <c r="J713" s="1703"/>
      <c r="K713" s="1704"/>
      <c r="L713" s="1666">
        <v>38261</v>
      </c>
      <c r="M713" s="1667"/>
      <c r="N713" s="1666">
        <v>41723</v>
      </c>
      <c r="O713" s="1667"/>
      <c r="P713" s="1707"/>
      <c r="Q713" s="1707"/>
      <c r="R713" s="1668">
        <v>1030280</v>
      </c>
      <c r="S713" s="1669"/>
      <c r="T713" s="1700">
        <v>527145.27957355452</v>
      </c>
      <c r="U713" s="1701"/>
    </row>
    <row r="714" spans="2:21">
      <c r="B714" s="1648" t="s">
        <v>2602</v>
      </c>
      <c r="C714" s="1649"/>
      <c r="D714" s="1649"/>
      <c r="E714" s="1687"/>
      <c r="F714" s="1702" t="s">
        <v>2547</v>
      </c>
      <c r="G714" s="1703"/>
      <c r="H714" s="1704"/>
      <c r="I714" s="1702">
        <v>3000000</v>
      </c>
      <c r="J714" s="1703"/>
      <c r="K714" s="1704"/>
      <c r="L714" s="1666">
        <v>38281</v>
      </c>
      <c r="M714" s="1667"/>
      <c r="N714" s="1666">
        <v>41723</v>
      </c>
      <c r="O714" s="1667"/>
      <c r="P714" s="1707"/>
      <c r="Q714" s="1707"/>
      <c r="R714" s="1668">
        <v>1545420</v>
      </c>
      <c r="S714" s="1669"/>
      <c r="T714" s="1700">
        <v>797884.67963535688</v>
      </c>
      <c r="U714" s="1701"/>
    </row>
    <row r="715" spans="2:21">
      <c r="B715" s="1648" t="s">
        <v>2602</v>
      </c>
      <c r="C715" s="1649"/>
      <c r="D715" s="1649"/>
      <c r="E715" s="1687"/>
      <c r="F715" s="1702" t="s">
        <v>2547</v>
      </c>
      <c r="G715" s="1703"/>
      <c r="H715" s="1704"/>
      <c r="I715" s="1702">
        <v>3000000</v>
      </c>
      <c r="J715" s="1703"/>
      <c r="K715" s="1704"/>
      <c r="L715" s="1666">
        <v>38566</v>
      </c>
      <c r="M715" s="1667"/>
      <c r="N715" s="1666">
        <v>45734</v>
      </c>
      <c r="O715" s="1667"/>
      <c r="P715" s="1707"/>
      <c r="Q715" s="1707"/>
      <c r="R715" s="1668">
        <v>1545420</v>
      </c>
      <c r="S715" s="1669"/>
      <c r="T715" s="1700">
        <v>578190.60608682665</v>
      </c>
      <c r="U715" s="1701"/>
    </row>
    <row r="716" spans="2:21">
      <c r="B716" s="1648" t="s">
        <v>2601</v>
      </c>
      <c r="C716" s="1649"/>
      <c r="D716" s="1649"/>
      <c r="E716" s="1687"/>
      <c r="F716" s="1702" t="s">
        <v>2547</v>
      </c>
      <c r="G716" s="1703"/>
      <c r="H716" s="1704"/>
      <c r="I716" s="1702">
        <v>5000000</v>
      </c>
      <c r="J716" s="1703"/>
      <c r="K716" s="1704"/>
      <c r="L716" s="1666">
        <v>38488</v>
      </c>
      <c r="M716" s="1667"/>
      <c r="N716" s="1666">
        <v>46419</v>
      </c>
      <c r="O716" s="1667"/>
      <c r="P716" s="1707"/>
      <c r="Q716" s="1707"/>
      <c r="R716" s="1668">
        <v>2575700</v>
      </c>
      <c r="S716" s="1669"/>
      <c r="T716" s="1700">
        <v>1181596.7250587596</v>
      </c>
      <c r="U716" s="1701"/>
    </row>
    <row r="717" spans="2:21">
      <c r="B717" s="1648" t="s">
        <v>2601</v>
      </c>
      <c r="C717" s="1649"/>
      <c r="D717" s="1649"/>
      <c r="E717" s="1687"/>
      <c r="F717" s="1702" t="s">
        <v>2547</v>
      </c>
      <c r="G717" s="1703"/>
      <c r="H717" s="1704"/>
      <c r="I717" s="1702">
        <v>7000000</v>
      </c>
      <c r="J717" s="1703"/>
      <c r="K717" s="1704"/>
      <c r="L717" s="1666">
        <v>38489</v>
      </c>
      <c r="M717" s="1667"/>
      <c r="N717" s="1666">
        <v>46419</v>
      </c>
      <c r="O717" s="1667"/>
      <c r="P717" s="1707"/>
      <c r="Q717" s="1707"/>
      <c r="R717" s="1668">
        <v>3605980</v>
      </c>
      <c r="S717" s="1669"/>
      <c r="T717" s="1700">
        <v>1692114.1248646937</v>
      </c>
      <c r="U717" s="1701"/>
    </row>
    <row r="718" spans="2:21">
      <c r="B718" s="1648" t="s">
        <v>2628</v>
      </c>
      <c r="C718" s="1649"/>
      <c r="D718" s="1649"/>
      <c r="E718" s="1687"/>
      <c r="F718" s="1702" t="s">
        <v>2547</v>
      </c>
      <c r="G718" s="1703"/>
      <c r="H718" s="1704"/>
      <c r="I718" s="1702">
        <v>3000000</v>
      </c>
      <c r="J718" s="1703"/>
      <c r="K718" s="1704"/>
      <c r="L718" s="1666">
        <v>38594</v>
      </c>
      <c r="M718" s="1667"/>
      <c r="N718" s="1666">
        <v>42705</v>
      </c>
      <c r="O718" s="1667"/>
      <c r="P718" s="1707"/>
      <c r="Q718" s="1707"/>
      <c r="R718" s="1668">
        <v>1545420</v>
      </c>
      <c r="S718" s="1669"/>
      <c r="T718" s="1700">
        <v>517692.04074078146</v>
      </c>
      <c r="U718" s="1701"/>
    </row>
    <row r="719" spans="2:21">
      <c r="B719" s="1648" t="s">
        <v>2628</v>
      </c>
      <c r="C719" s="1649"/>
      <c r="D719" s="1649"/>
      <c r="E719" s="1687"/>
      <c r="F719" s="1702" t="s">
        <v>2547</v>
      </c>
      <c r="G719" s="1703"/>
      <c r="H719" s="1704"/>
      <c r="I719" s="1702">
        <v>2000000</v>
      </c>
      <c r="J719" s="1703"/>
      <c r="K719" s="1704"/>
      <c r="L719" s="1666">
        <v>38596</v>
      </c>
      <c r="M719" s="1667"/>
      <c r="N719" s="1666">
        <v>42705</v>
      </c>
      <c r="O719" s="1667"/>
      <c r="P719" s="1707"/>
      <c r="Q719" s="1707"/>
      <c r="R719" s="1668">
        <v>1030280</v>
      </c>
      <c r="S719" s="1669"/>
      <c r="T719" s="1700">
        <v>329830.40925830952</v>
      </c>
      <c r="U719" s="1701"/>
    </row>
    <row r="720" spans="2:21">
      <c r="B720" s="1648" t="s">
        <v>2601</v>
      </c>
      <c r="C720" s="1649"/>
      <c r="D720" s="1649"/>
      <c r="E720" s="1687"/>
      <c r="F720" s="1702" t="s">
        <v>2547</v>
      </c>
      <c r="G720" s="1703"/>
      <c r="H720" s="1704"/>
      <c r="I720" s="1702">
        <v>4500000</v>
      </c>
      <c r="J720" s="1703"/>
      <c r="K720" s="1704"/>
      <c r="L720" s="1666">
        <v>38630</v>
      </c>
      <c r="M720" s="1667"/>
      <c r="N720" s="1666">
        <v>45734</v>
      </c>
      <c r="O720" s="1667"/>
      <c r="P720" s="1707"/>
      <c r="Q720" s="1707"/>
      <c r="R720" s="1668">
        <v>2318130</v>
      </c>
      <c r="S720" s="1669"/>
      <c r="T720" s="1700">
        <v>624457.22144511901</v>
      </c>
      <c r="U720" s="1701"/>
    </row>
    <row r="721" spans="2:21">
      <c r="B721" s="1648" t="s">
        <v>2601</v>
      </c>
      <c r="C721" s="1649"/>
      <c r="D721" s="1649"/>
      <c r="E721" s="1687"/>
      <c r="F721" s="1702" t="s">
        <v>2547</v>
      </c>
      <c r="G721" s="1703"/>
      <c r="H721" s="1704"/>
      <c r="I721" s="1702">
        <v>10000000</v>
      </c>
      <c r="J721" s="1703"/>
      <c r="K721" s="1704"/>
      <c r="L721" s="1666">
        <v>38492</v>
      </c>
      <c r="M721" s="1667"/>
      <c r="N721" s="1666">
        <v>46419</v>
      </c>
      <c r="O721" s="1667"/>
      <c r="P721" s="1707"/>
      <c r="Q721" s="1707"/>
      <c r="R721" s="1668">
        <v>5151400</v>
      </c>
      <c r="S721" s="1669"/>
      <c r="T721" s="1700">
        <v>2413482.6815245626</v>
      </c>
      <c r="U721" s="1701"/>
    </row>
    <row r="722" spans="2:21">
      <c r="B722" s="1648" t="s">
        <v>2628</v>
      </c>
      <c r="C722" s="1649"/>
      <c r="D722" s="1649"/>
      <c r="E722" s="1687"/>
      <c r="F722" s="1702" t="s">
        <v>2547</v>
      </c>
      <c r="G722" s="1703"/>
      <c r="H722" s="1704"/>
      <c r="I722" s="1702">
        <v>10000000</v>
      </c>
      <c r="J722" s="1703"/>
      <c r="K722" s="1704"/>
      <c r="L722" s="1666">
        <v>38497</v>
      </c>
      <c r="M722" s="1667"/>
      <c r="N722" s="1666">
        <v>46419</v>
      </c>
      <c r="O722" s="1667"/>
      <c r="P722" s="1707"/>
      <c r="Q722" s="1707"/>
      <c r="R722" s="1668">
        <v>5151400</v>
      </c>
      <c r="S722" s="1669"/>
      <c r="T722" s="1700">
        <v>2365295.2188422726</v>
      </c>
      <c r="U722" s="1701"/>
    </row>
    <row r="723" spans="2:21">
      <c r="B723" s="1648" t="s">
        <v>2602</v>
      </c>
      <c r="C723" s="1649"/>
      <c r="D723" s="1649"/>
      <c r="E723" s="1687"/>
      <c r="F723" s="1702" t="s">
        <v>2547</v>
      </c>
      <c r="G723" s="1703"/>
      <c r="H723" s="1704"/>
      <c r="I723" s="1702">
        <v>1067000</v>
      </c>
      <c r="J723" s="1703"/>
      <c r="K723" s="1704"/>
      <c r="L723" s="1666">
        <v>38636</v>
      </c>
      <c r="M723" s="1667"/>
      <c r="N723" s="1666">
        <v>46419</v>
      </c>
      <c r="O723" s="1667"/>
      <c r="P723" s="1707"/>
      <c r="Q723" s="1707"/>
      <c r="R723" s="1668">
        <v>549654.38</v>
      </c>
      <c r="S723" s="1669"/>
      <c r="T723" s="1700">
        <v>161110.45348307537</v>
      </c>
      <c r="U723" s="1701"/>
    </row>
    <row r="724" spans="2:21">
      <c r="B724" s="1648" t="s">
        <v>2628</v>
      </c>
      <c r="C724" s="1649"/>
      <c r="D724" s="1649"/>
      <c r="E724" s="1687"/>
      <c r="F724" s="1702" t="s">
        <v>2547</v>
      </c>
      <c r="G724" s="1703"/>
      <c r="H724" s="1704"/>
      <c r="I724" s="1702">
        <v>2500000</v>
      </c>
      <c r="J724" s="1703"/>
      <c r="K724" s="1704"/>
      <c r="L724" s="1666">
        <v>38636</v>
      </c>
      <c r="M724" s="1667"/>
      <c r="N724" s="1666">
        <v>46419</v>
      </c>
      <c r="O724" s="1667"/>
      <c r="P724" s="1707"/>
      <c r="Q724" s="1707"/>
      <c r="R724" s="1668">
        <v>1287850</v>
      </c>
      <c r="S724" s="1669"/>
      <c r="T724" s="1700">
        <v>372406.25810346915</v>
      </c>
      <c r="U724" s="1701"/>
    </row>
    <row r="725" spans="2:21">
      <c r="B725" s="1648" t="s">
        <v>2601</v>
      </c>
      <c r="C725" s="1649"/>
      <c r="D725" s="1649"/>
      <c r="E725" s="1687"/>
      <c r="F725" s="1702" t="s">
        <v>2547</v>
      </c>
      <c r="G725" s="1703"/>
      <c r="H725" s="1704"/>
      <c r="I725" s="1702">
        <v>2500000</v>
      </c>
      <c r="J725" s="1703"/>
      <c r="K725" s="1704"/>
      <c r="L725" s="1666">
        <v>38636</v>
      </c>
      <c r="M725" s="1667"/>
      <c r="N725" s="1666">
        <v>46419</v>
      </c>
      <c r="O725" s="1667"/>
      <c r="P725" s="1707"/>
      <c r="Q725" s="1707"/>
      <c r="R725" s="1668">
        <v>1287850</v>
      </c>
      <c r="S725" s="1669"/>
      <c r="T725" s="1700">
        <v>374246.83206296456</v>
      </c>
      <c r="U725" s="1701"/>
    </row>
    <row r="726" spans="2:21">
      <c r="B726" s="1648" t="s">
        <v>2628</v>
      </c>
      <c r="C726" s="1649"/>
      <c r="D726" s="1649"/>
      <c r="E726" s="1687"/>
      <c r="F726" s="1702" t="s">
        <v>2547</v>
      </c>
      <c r="G726" s="1703"/>
      <c r="H726" s="1704"/>
      <c r="I726" s="1702">
        <v>2000000</v>
      </c>
      <c r="J726" s="1703"/>
      <c r="K726" s="1704"/>
      <c r="L726" s="1666">
        <v>38665</v>
      </c>
      <c r="M726" s="1667"/>
      <c r="N726" s="1666">
        <v>42114</v>
      </c>
      <c r="O726" s="1667"/>
      <c r="P726" s="1707"/>
      <c r="Q726" s="1707"/>
      <c r="R726" s="1668">
        <v>1030280</v>
      </c>
      <c r="S726" s="1669"/>
      <c r="T726" s="1700">
        <v>269611.65860125411</v>
      </c>
      <c r="U726" s="1701"/>
    </row>
    <row r="727" spans="2:21">
      <c r="B727" s="1648" t="s">
        <v>2601</v>
      </c>
      <c r="C727" s="1649"/>
      <c r="D727" s="1649"/>
      <c r="E727" s="1687"/>
      <c r="F727" s="1702" t="s">
        <v>2547</v>
      </c>
      <c r="G727" s="1703"/>
      <c r="H727" s="1704"/>
      <c r="I727" s="1702">
        <v>3790000</v>
      </c>
      <c r="J727" s="1703"/>
      <c r="K727" s="1704"/>
      <c r="L727" s="1666">
        <v>38666</v>
      </c>
      <c r="M727" s="1667"/>
      <c r="N727" s="1666">
        <v>42705</v>
      </c>
      <c r="O727" s="1667"/>
      <c r="P727" s="1707"/>
      <c r="Q727" s="1707"/>
      <c r="R727" s="1668">
        <v>1952380.5999999999</v>
      </c>
      <c r="S727" s="1669"/>
      <c r="T727" s="1700">
        <v>534419.29992686212</v>
      </c>
      <c r="U727" s="1701"/>
    </row>
    <row r="728" spans="2:21">
      <c r="B728" s="1648" t="s">
        <v>2601</v>
      </c>
      <c r="C728" s="1649"/>
      <c r="D728" s="1649"/>
      <c r="E728" s="1687"/>
      <c r="F728" s="1702" t="s">
        <v>2547</v>
      </c>
      <c r="G728" s="1703"/>
      <c r="H728" s="1704"/>
      <c r="I728" s="1702">
        <v>3000000</v>
      </c>
      <c r="J728" s="1703"/>
      <c r="K728" s="1704"/>
      <c r="L728" s="1666">
        <v>38649</v>
      </c>
      <c r="M728" s="1667"/>
      <c r="N728" s="1666">
        <v>42114</v>
      </c>
      <c r="O728" s="1667"/>
      <c r="P728" s="1707"/>
      <c r="Q728" s="1707"/>
      <c r="R728" s="1668">
        <v>1545420</v>
      </c>
      <c r="S728" s="1669"/>
      <c r="T728" s="1700">
        <v>467100.51257034903</v>
      </c>
      <c r="U728" s="1701"/>
    </row>
    <row r="729" spans="2:21">
      <c r="B729" s="1648" t="s">
        <v>2601</v>
      </c>
      <c r="C729" s="1649"/>
      <c r="D729" s="1649"/>
      <c r="E729" s="1687"/>
      <c r="F729" s="1702" t="s">
        <v>2547</v>
      </c>
      <c r="G729" s="1703"/>
      <c r="H729" s="1704"/>
      <c r="I729" s="1702">
        <v>4000000</v>
      </c>
      <c r="J729" s="1703"/>
      <c r="K729" s="1704"/>
      <c r="L729" s="1666">
        <v>38771</v>
      </c>
      <c r="M729" s="1667"/>
      <c r="N729" s="1666">
        <v>42275</v>
      </c>
      <c r="O729" s="1667"/>
      <c r="P729" s="1707"/>
      <c r="Q729" s="1707"/>
      <c r="R729" s="1668">
        <v>2060560</v>
      </c>
      <c r="S729" s="1669"/>
      <c r="T729" s="1700">
        <v>489896.25822095689</v>
      </c>
      <c r="U729" s="1701"/>
    </row>
    <row r="730" spans="2:21">
      <c r="B730" s="1648" t="s">
        <v>2602</v>
      </c>
      <c r="C730" s="1649"/>
      <c r="D730" s="1649"/>
      <c r="E730" s="1687"/>
      <c r="F730" s="1702" t="s">
        <v>2547</v>
      </c>
      <c r="G730" s="1703"/>
      <c r="H730" s="1704"/>
      <c r="I730" s="1702">
        <v>1000000</v>
      </c>
      <c r="J730" s="1703"/>
      <c r="K730" s="1704"/>
      <c r="L730" s="1666">
        <v>38772</v>
      </c>
      <c r="M730" s="1667"/>
      <c r="N730" s="1666">
        <v>42275</v>
      </c>
      <c r="O730" s="1667"/>
      <c r="P730" s="1707"/>
      <c r="Q730" s="1707"/>
      <c r="R730" s="1668">
        <v>515140</v>
      </c>
      <c r="S730" s="1669"/>
      <c r="T730" s="1700">
        <v>121935.68775893701</v>
      </c>
      <c r="U730" s="1701"/>
    </row>
    <row r="731" spans="2:21">
      <c r="B731" s="1648" t="s">
        <v>2628</v>
      </c>
      <c r="C731" s="1649"/>
      <c r="D731" s="1649"/>
      <c r="E731" s="1687"/>
      <c r="F731" s="1702" t="s">
        <v>2547</v>
      </c>
      <c r="G731" s="1703"/>
      <c r="H731" s="1704"/>
      <c r="I731" s="1702">
        <v>5000000</v>
      </c>
      <c r="J731" s="1703"/>
      <c r="K731" s="1704"/>
      <c r="L731" s="1666">
        <v>38832</v>
      </c>
      <c r="M731" s="1667"/>
      <c r="N731" s="1666">
        <v>41723</v>
      </c>
      <c r="O731" s="1667"/>
      <c r="P731" s="1707"/>
      <c r="Q731" s="1707"/>
      <c r="R731" s="1668">
        <v>2575700</v>
      </c>
      <c r="S731" s="1669"/>
      <c r="T731" s="1700">
        <v>591401.36463847337</v>
      </c>
      <c r="U731" s="1701"/>
    </row>
    <row r="732" spans="2:21">
      <c r="B732" s="1648" t="s">
        <v>309</v>
      </c>
      <c r="C732" s="1649"/>
      <c r="D732" s="1649"/>
      <c r="E732" s="1687"/>
      <c r="F732" s="1702" t="s">
        <v>2548</v>
      </c>
      <c r="G732" s="1703"/>
      <c r="H732" s="1704"/>
      <c r="I732" s="1702">
        <v>2000000</v>
      </c>
      <c r="J732" s="1703"/>
      <c r="K732" s="1704"/>
      <c r="L732" s="1666">
        <v>38854</v>
      </c>
      <c r="M732" s="1667"/>
      <c r="N732" s="1666">
        <v>41723</v>
      </c>
      <c r="O732" s="1667"/>
      <c r="P732" s="1707"/>
      <c r="Q732" s="1707"/>
      <c r="R732" s="1668">
        <v>1030280</v>
      </c>
      <c r="S732" s="1669"/>
      <c r="T732" s="1700">
        <v>249838.8614463493</v>
      </c>
      <c r="U732" s="1701"/>
    </row>
    <row r="733" spans="2:21">
      <c r="B733" s="1648" t="s">
        <v>2628</v>
      </c>
      <c r="C733" s="1649"/>
      <c r="D733" s="1649"/>
      <c r="E733" s="1687"/>
      <c r="F733" s="1702" t="s">
        <v>2547</v>
      </c>
      <c r="G733" s="1703"/>
      <c r="H733" s="1704"/>
      <c r="I733" s="1702">
        <v>1000000</v>
      </c>
      <c r="J733" s="1703"/>
      <c r="K733" s="1704"/>
      <c r="L733" s="1666">
        <v>38855</v>
      </c>
      <c r="M733" s="1667"/>
      <c r="N733" s="1666">
        <v>41723</v>
      </c>
      <c r="O733" s="1667"/>
      <c r="P733" s="1707"/>
      <c r="Q733" s="1707"/>
      <c r="R733" s="1668">
        <v>515140</v>
      </c>
      <c r="S733" s="1669"/>
      <c r="T733" s="1700">
        <v>121854.97480726632</v>
      </c>
      <c r="U733" s="1701"/>
    </row>
    <row r="734" spans="2:21">
      <c r="B734" s="1648" t="s">
        <v>2628</v>
      </c>
      <c r="C734" s="1649"/>
      <c r="D734" s="1649"/>
      <c r="E734" s="1687"/>
      <c r="F734" s="1702" t="s">
        <v>2547</v>
      </c>
      <c r="G734" s="1703"/>
      <c r="H734" s="1704"/>
      <c r="I734" s="1702">
        <v>1000000</v>
      </c>
      <c r="J734" s="1703"/>
      <c r="K734" s="1704"/>
      <c r="L734" s="1666">
        <v>38861</v>
      </c>
      <c r="M734" s="1667"/>
      <c r="N734" s="1666">
        <v>41723</v>
      </c>
      <c r="O734" s="1667"/>
      <c r="P734" s="1707"/>
      <c r="Q734" s="1707"/>
      <c r="R734" s="1668">
        <v>515140</v>
      </c>
      <c r="S734" s="1669"/>
      <c r="T734" s="1700">
        <v>134799.78642682976</v>
      </c>
      <c r="U734" s="1701"/>
    </row>
    <row r="735" spans="2:21">
      <c r="B735" s="1648" t="s">
        <v>310</v>
      </c>
      <c r="C735" s="1649"/>
      <c r="D735" s="1649"/>
      <c r="E735" s="1687"/>
      <c r="F735" s="1702" t="s">
        <v>2547</v>
      </c>
      <c r="G735" s="1703"/>
      <c r="H735" s="1704"/>
      <c r="I735" s="1702">
        <v>1000000</v>
      </c>
      <c r="J735" s="1703"/>
      <c r="K735" s="1704"/>
      <c r="L735" s="1666">
        <v>38863</v>
      </c>
      <c r="M735" s="1667"/>
      <c r="N735" s="1666">
        <v>41723</v>
      </c>
      <c r="O735" s="1667"/>
      <c r="P735" s="1707"/>
      <c r="Q735" s="1707"/>
      <c r="R735" s="1668">
        <v>515140</v>
      </c>
      <c r="S735" s="1669"/>
      <c r="T735" s="1700">
        <v>130439.05723000754</v>
      </c>
      <c r="U735" s="1701"/>
    </row>
    <row r="736" spans="2:21">
      <c r="B736" s="1648" t="s">
        <v>2628</v>
      </c>
      <c r="C736" s="1649"/>
      <c r="D736" s="1649"/>
      <c r="E736" s="1687"/>
      <c r="F736" s="1702" t="s">
        <v>2547</v>
      </c>
      <c r="G736" s="1703"/>
      <c r="H736" s="1704"/>
      <c r="I736" s="1702">
        <v>1000000</v>
      </c>
      <c r="J736" s="1703"/>
      <c r="K736" s="1704"/>
      <c r="L736" s="1666">
        <v>38876</v>
      </c>
      <c r="M736" s="1667"/>
      <c r="N736" s="1666">
        <v>41723</v>
      </c>
      <c r="O736" s="1667"/>
      <c r="P736" s="1707"/>
      <c r="Q736" s="1707"/>
      <c r="R736" s="1668">
        <v>515140</v>
      </c>
      <c r="S736" s="1669"/>
      <c r="T736" s="1700">
        <v>145935.02285339579</v>
      </c>
      <c r="U736" s="1701"/>
    </row>
    <row r="737" spans="2:21">
      <c r="B737" s="1648" t="s">
        <v>2628</v>
      </c>
      <c r="C737" s="1649"/>
      <c r="D737" s="1649"/>
      <c r="E737" s="1687"/>
      <c r="F737" s="1702" t="s">
        <v>2547</v>
      </c>
      <c r="G737" s="1703"/>
      <c r="H737" s="1704"/>
      <c r="I737" s="1702">
        <v>4200000</v>
      </c>
      <c r="J737" s="1703"/>
      <c r="K737" s="1704"/>
      <c r="L737" s="1666">
        <v>38891</v>
      </c>
      <c r="M737" s="1667"/>
      <c r="N737" s="1666">
        <v>43913</v>
      </c>
      <c r="O737" s="1667"/>
      <c r="P737" s="1707"/>
      <c r="Q737" s="1707"/>
      <c r="R737" s="1668">
        <v>2934876</v>
      </c>
      <c r="S737" s="1669"/>
      <c r="T737" s="1700">
        <v>553709.49040485779</v>
      </c>
      <c r="U737" s="1701"/>
    </row>
    <row r="738" spans="2:21">
      <c r="B738" s="1648" t="s">
        <v>309</v>
      </c>
      <c r="C738" s="1649"/>
      <c r="D738" s="1649"/>
      <c r="E738" s="1687"/>
      <c r="F738" s="1702" t="s">
        <v>2548</v>
      </c>
      <c r="G738" s="1703"/>
      <c r="H738" s="1704"/>
      <c r="I738" s="1702">
        <v>4000000</v>
      </c>
      <c r="J738" s="1703"/>
      <c r="K738" s="1704"/>
      <c r="L738" s="1666">
        <v>38936</v>
      </c>
      <c r="M738" s="1667"/>
      <c r="N738" s="1666">
        <v>42705</v>
      </c>
      <c r="O738" s="1667"/>
      <c r="P738" s="1707"/>
      <c r="Q738" s="1707"/>
      <c r="R738" s="1668">
        <v>2060560</v>
      </c>
      <c r="S738" s="1669"/>
      <c r="T738" s="1700">
        <v>573508.63619319117</v>
      </c>
      <c r="U738" s="1701"/>
    </row>
    <row r="739" spans="2:21">
      <c r="B739" s="1648" t="s">
        <v>2603</v>
      </c>
      <c r="C739" s="1649"/>
      <c r="D739" s="1649"/>
      <c r="E739" s="1687"/>
      <c r="F739" s="1702" t="s">
        <v>2547</v>
      </c>
      <c r="G739" s="1703"/>
      <c r="H739" s="1704"/>
      <c r="I739" s="1702">
        <v>2000000</v>
      </c>
      <c r="J739" s="1703"/>
      <c r="K739" s="1704"/>
      <c r="L739" s="1666">
        <v>39037</v>
      </c>
      <c r="M739" s="1667"/>
      <c r="N739" s="1666">
        <v>42114</v>
      </c>
      <c r="O739" s="1667"/>
      <c r="P739" s="1707"/>
      <c r="Q739" s="1707"/>
      <c r="R739" s="1668">
        <v>1030280</v>
      </c>
      <c r="S739" s="1669"/>
      <c r="T739" s="1700">
        <v>226949.39780131262</v>
      </c>
      <c r="U739" s="1701"/>
    </row>
    <row r="740" spans="2:21">
      <c r="B740" s="1648" t="s">
        <v>2603</v>
      </c>
      <c r="C740" s="1649"/>
      <c r="D740" s="1649"/>
      <c r="E740" s="1687"/>
      <c r="F740" s="1702" t="s">
        <v>2547</v>
      </c>
      <c r="G740" s="1703"/>
      <c r="H740" s="1704"/>
      <c r="I740" s="1702">
        <v>2000000</v>
      </c>
      <c r="J740" s="1703"/>
      <c r="K740" s="1704"/>
      <c r="L740" s="1666">
        <v>39038</v>
      </c>
      <c r="M740" s="1667"/>
      <c r="N740" s="1666">
        <v>42114</v>
      </c>
      <c r="O740" s="1667"/>
      <c r="P740" s="1707"/>
      <c r="Q740" s="1707"/>
      <c r="R740" s="1668">
        <v>1030280</v>
      </c>
      <c r="S740" s="1669"/>
      <c r="T740" s="1700">
        <v>234110.3863353139</v>
      </c>
      <c r="U740" s="1701"/>
    </row>
    <row r="741" spans="2:21">
      <c r="B741" s="1648" t="s">
        <v>311</v>
      </c>
      <c r="C741" s="1649"/>
      <c r="D741" s="1649"/>
      <c r="E741" s="1687"/>
      <c r="F741" s="1702" t="s">
        <v>2548</v>
      </c>
      <c r="G741" s="1703"/>
      <c r="H741" s="1704"/>
      <c r="I741" s="1702">
        <v>5000000</v>
      </c>
      <c r="J741" s="1703"/>
      <c r="K741" s="1704"/>
      <c r="L741" s="1666">
        <v>39038</v>
      </c>
      <c r="M741" s="1667"/>
      <c r="N741" s="1666">
        <v>42114</v>
      </c>
      <c r="O741" s="1667"/>
      <c r="P741" s="1707"/>
      <c r="Q741" s="1707"/>
      <c r="R741" s="1668">
        <v>2575700</v>
      </c>
      <c r="S741" s="1669"/>
      <c r="T741" s="1700">
        <v>586673.7801126847</v>
      </c>
      <c r="U741" s="1701"/>
    </row>
    <row r="742" spans="2:21">
      <c r="B742" s="1648" t="s">
        <v>2603</v>
      </c>
      <c r="C742" s="1649"/>
      <c r="D742" s="1649"/>
      <c r="E742" s="1687"/>
      <c r="F742" s="1702" t="s">
        <v>2547</v>
      </c>
      <c r="G742" s="1703"/>
      <c r="H742" s="1704"/>
      <c r="I742" s="1702">
        <v>3000000</v>
      </c>
      <c r="J742" s="1703"/>
      <c r="K742" s="1704"/>
      <c r="L742" s="1666">
        <v>39041</v>
      </c>
      <c r="M742" s="1667"/>
      <c r="N742" s="1666">
        <v>42758</v>
      </c>
      <c r="O742" s="1667"/>
      <c r="P742" s="1707"/>
      <c r="Q742" s="1707"/>
      <c r="R742" s="1668">
        <v>1545420</v>
      </c>
      <c r="S742" s="1669"/>
      <c r="T742" s="1700">
        <v>358665.54572363384</v>
      </c>
      <c r="U742" s="1701"/>
    </row>
    <row r="743" spans="2:21">
      <c r="B743" s="1648" t="s">
        <v>2628</v>
      </c>
      <c r="C743" s="1649"/>
      <c r="D743" s="1649"/>
      <c r="E743" s="1687"/>
      <c r="F743" s="1702" t="s">
        <v>2547</v>
      </c>
      <c r="G743" s="1703"/>
      <c r="H743" s="1704"/>
      <c r="I743" s="1702">
        <v>1000000</v>
      </c>
      <c r="J743" s="1703"/>
      <c r="K743" s="1704"/>
      <c r="L743" s="1666">
        <v>39055</v>
      </c>
      <c r="M743" s="1667"/>
      <c r="N743" s="1666">
        <v>42939</v>
      </c>
      <c r="O743" s="1667"/>
      <c r="P743" s="1707"/>
      <c r="Q743" s="1707"/>
      <c r="R743" s="1668">
        <v>515140</v>
      </c>
      <c r="S743" s="1669"/>
      <c r="T743" s="1700">
        <v>117592.22081019607</v>
      </c>
      <c r="U743" s="1701"/>
    </row>
    <row r="744" spans="2:21">
      <c r="B744" s="1648" t="s">
        <v>2628</v>
      </c>
      <c r="C744" s="1649"/>
      <c r="D744" s="1649"/>
      <c r="E744" s="1687"/>
      <c r="F744" s="1702" t="s">
        <v>2547</v>
      </c>
      <c r="G744" s="1703"/>
      <c r="H744" s="1704"/>
      <c r="I744" s="1702">
        <v>2000000</v>
      </c>
      <c r="J744" s="1703"/>
      <c r="K744" s="1704"/>
      <c r="L744" s="1666">
        <v>39245</v>
      </c>
      <c r="M744" s="1667"/>
      <c r="N744" s="1666">
        <v>46419</v>
      </c>
      <c r="O744" s="1667"/>
      <c r="P744" s="1707"/>
      <c r="Q744" s="1707"/>
      <c r="R744" s="1668">
        <v>1030280</v>
      </c>
      <c r="S744" s="1669"/>
      <c r="T744" s="1700">
        <v>245393.16512664966</v>
      </c>
      <c r="U744" s="1701"/>
    </row>
    <row r="745" spans="2:21">
      <c r="B745" s="1648" t="s">
        <v>2602</v>
      </c>
      <c r="C745" s="1649"/>
      <c r="D745" s="1649"/>
      <c r="E745" s="1687"/>
      <c r="F745" s="1702" t="s">
        <v>2547</v>
      </c>
      <c r="G745" s="1703"/>
      <c r="H745" s="1704"/>
      <c r="I745" s="1702">
        <v>3485000</v>
      </c>
      <c r="J745" s="1703"/>
      <c r="K745" s="1704"/>
      <c r="L745" s="1666">
        <v>39255</v>
      </c>
      <c r="M745" s="1667"/>
      <c r="N745" s="1666">
        <v>46419</v>
      </c>
      <c r="O745" s="1667"/>
      <c r="P745" s="1707"/>
      <c r="Q745" s="1707"/>
      <c r="R745" s="1668">
        <v>1795262.9</v>
      </c>
      <c r="S745" s="1669"/>
      <c r="T745" s="1700">
        <v>424665.08154176036</v>
      </c>
      <c r="U745" s="1701"/>
    </row>
    <row r="746" spans="2:21">
      <c r="B746" s="1648" t="s">
        <v>309</v>
      </c>
      <c r="C746" s="1649"/>
      <c r="D746" s="1649"/>
      <c r="E746" s="1687"/>
      <c r="F746" s="1702" t="s">
        <v>2548</v>
      </c>
      <c r="G746" s="1703"/>
      <c r="H746" s="1704"/>
      <c r="I746" s="1702">
        <v>3000000</v>
      </c>
      <c r="J746" s="1703"/>
      <c r="K746" s="1704"/>
      <c r="L746" s="1666">
        <v>39290</v>
      </c>
      <c r="M746" s="1667"/>
      <c r="N746" s="1666">
        <v>42895</v>
      </c>
      <c r="O746" s="1667"/>
      <c r="P746" s="1707"/>
      <c r="Q746" s="1707"/>
      <c r="R746" s="1668">
        <v>1545420</v>
      </c>
      <c r="S746" s="1669"/>
      <c r="T746" s="1700">
        <v>295258.15356757562</v>
      </c>
      <c r="U746" s="1701"/>
    </row>
    <row r="747" spans="2:21">
      <c r="B747" s="1648" t="s">
        <v>2602</v>
      </c>
      <c r="C747" s="1649"/>
      <c r="D747" s="1649"/>
      <c r="E747" s="1687"/>
      <c r="F747" s="1702" t="s">
        <v>2547</v>
      </c>
      <c r="G747" s="1703"/>
      <c r="H747" s="1704"/>
      <c r="I747" s="1702">
        <v>4015000</v>
      </c>
      <c r="J747" s="1703"/>
      <c r="K747" s="1704"/>
      <c r="L747" s="1666">
        <v>39293</v>
      </c>
      <c r="M747" s="1667"/>
      <c r="N747" s="1666">
        <v>46419</v>
      </c>
      <c r="O747" s="1667"/>
      <c r="P747" s="1707"/>
      <c r="Q747" s="1707"/>
      <c r="R747" s="1668">
        <v>2068287.0999999999</v>
      </c>
      <c r="S747" s="1669"/>
      <c r="T747" s="1700">
        <v>418169.89977951394</v>
      </c>
      <c r="U747" s="1701"/>
    </row>
    <row r="748" spans="2:21">
      <c r="B748" s="1648" t="s">
        <v>309</v>
      </c>
      <c r="C748" s="1649"/>
      <c r="D748" s="1649"/>
      <c r="E748" s="1687"/>
      <c r="F748" s="1702" t="s">
        <v>2548</v>
      </c>
      <c r="G748" s="1703"/>
      <c r="H748" s="1704"/>
      <c r="I748" s="1702">
        <v>5000000</v>
      </c>
      <c r="J748" s="1703"/>
      <c r="K748" s="1704"/>
      <c r="L748" s="1666">
        <v>39301</v>
      </c>
      <c r="M748" s="1667"/>
      <c r="N748" s="1666">
        <v>43444</v>
      </c>
      <c r="O748" s="1667"/>
      <c r="P748" s="1707"/>
      <c r="Q748" s="1707"/>
      <c r="R748" s="1668">
        <v>2575700</v>
      </c>
      <c r="S748" s="1669"/>
      <c r="T748" s="1700">
        <v>502024.3125294894</v>
      </c>
      <c r="U748" s="1701"/>
    </row>
    <row r="749" spans="2:21">
      <c r="B749" s="1648" t="s">
        <v>311</v>
      </c>
      <c r="C749" s="1649"/>
      <c r="D749" s="1649"/>
      <c r="E749" s="1687"/>
      <c r="F749" s="1702" t="s">
        <v>2548</v>
      </c>
      <c r="G749" s="1703"/>
      <c r="H749" s="1704"/>
      <c r="I749" s="1702">
        <v>10000000</v>
      </c>
      <c r="J749" s="1703"/>
      <c r="K749" s="1704"/>
      <c r="L749" s="1666">
        <v>39317</v>
      </c>
      <c r="M749" s="1667"/>
      <c r="N749" s="1666">
        <v>42975</v>
      </c>
      <c r="O749" s="1667"/>
      <c r="P749" s="1707"/>
      <c r="Q749" s="1707"/>
      <c r="R749" s="1668">
        <v>5151400</v>
      </c>
      <c r="S749" s="1669"/>
      <c r="T749" s="1700">
        <v>958701.01826751977</v>
      </c>
      <c r="U749" s="1701"/>
    </row>
    <row r="750" spans="2:21">
      <c r="B750" s="1648" t="s">
        <v>251</v>
      </c>
      <c r="C750" s="1649"/>
      <c r="D750" s="1649"/>
      <c r="E750" s="1687"/>
      <c r="F750" s="1702" t="s">
        <v>2549</v>
      </c>
      <c r="G750" s="1703"/>
      <c r="H750" s="1704"/>
      <c r="I750" s="1702">
        <v>10000000</v>
      </c>
      <c r="J750" s="1703"/>
      <c r="K750" s="1704"/>
      <c r="L750" s="1666">
        <v>39322</v>
      </c>
      <c r="M750" s="1667"/>
      <c r="N750" s="1666">
        <v>44606</v>
      </c>
      <c r="O750" s="1667"/>
      <c r="P750" s="1707"/>
      <c r="Q750" s="1707"/>
      <c r="R750" s="1668">
        <v>5151400</v>
      </c>
      <c r="S750" s="1669"/>
      <c r="T750" s="1700">
        <v>974320.81870437879</v>
      </c>
      <c r="U750" s="1701"/>
    </row>
    <row r="751" spans="2:21">
      <c r="B751" s="1648" t="s">
        <v>2628</v>
      </c>
      <c r="C751" s="1649"/>
      <c r="D751" s="1649"/>
      <c r="E751" s="1687"/>
      <c r="F751" s="1702" t="s">
        <v>2547</v>
      </c>
      <c r="G751" s="1703"/>
      <c r="H751" s="1704"/>
      <c r="I751" s="1702">
        <v>2000000</v>
      </c>
      <c r="J751" s="1703"/>
      <c r="K751" s="1704"/>
      <c r="L751" s="1666">
        <v>39329</v>
      </c>
      <c r="M751" s="1667"/>
      <c r="N751" s="1666">
        <v>41723</v>
      </c>
      <c r="O751" s="1667"/>
      <c r="P751" s="1707"/>
      <c r="Q751" s="1707"/>
      <c r="R751" s="1668">
        <v>1030280</v>
      </c>
      <c r="S751" s="1669"/>
      <c r="T751" s="1700">
        <v>187956.33552713832</v>
      </c>
      <c r="U751" s="1701"/>
    </row>
    <row r="752" spans="2:21">
      <c r="B752" s="1648" t="s">
        <v>2602</v>
      </c>
      <c r="C752" s="1649"/>
      <c r="D752" s="1649"/>
      <c r="E752" s="1687"/>
      <c r="F752" s="1702" t="s">
        <v>2547</v>
      </c>
      <c r="G752" s="1703"/>
      <c r="H752" s="1704"/>
      <c r="I752" s="1702">
        <v>10000000</v>
      </c>
      <c r="J752" s="1703"/>
      <c r="K752" s="1704"/>
      <c r="L752" s="1666">
        <v>39374</v>
      </c>
      <c r="M752" s="1667"/>
      <c r="N752" s="1666">
        <v>42895</v>
      </c>
      <c r="O752" s="1667"/>
      <c r="P752" s="1707"/>
      <c r="Q752" s="1707"/>
      <c r="R752" s="1668">
        <v>5151400</v>
      </c>
      <c r="S752" s="1669"/>
      <c r="T752" s="1700">
        <v>579391.51349373162</v>
      </c>
      <c r="U752" s="1701"/>
    </row>
    <row r="753" spans="2:21">
      <c r="B753" s="1648" t="s">
        <v>2603</v>
      </c>
      <c r="C753" s="1649"/>
      <c r="D753" s="1649"/>
      <c r="E753" s="1687"/>
      <c r="F753" s="1702" t="s">
        <v>2547</v>
      </c>
      <c r="G753" s="1703"/>
      <c r="H753" s="1704"/>
      <c r="I753" s="1702">
        <v>12500000</v>
      </c>
      <c r="J753" s="1703"/>
      <c r="K753" s="1704"/>
      <c r="L753" s="1666">
        <v>39483</v>
      </c>
      <c r="M753" s="1667"/>
      <c r="N753" s="1666">
        <v>42895</v>
      </c>
      <c r="O753" s="1667"/>
      <c r="P753" s="1707"/>
      <c r="Q753" s="1707"/>
      <c r="R753" s="1668">
        <v>6439250</v>
      </c>
      <c r="S753" s="1669"/>
      <c r="T753" s="1700">
        <v>92519.643313052133</v>
      </c>
      <c r="U753" s="1701"/>
    </row>
    <row r="754" spans="2:21">
      <c r="B754" s="1648" t="s">
        <v>2602</v>
      </c>
      <c r="C754" s="1649"/>
      <c r="D754" s="1649"/>
      <c r="E754" s="1687"/>
      <c r="F754" s="1702" t="s">
        <v>2547</v>
      </c>
      <c r="G754" s="1703"/>
      <c r="H754" s="1704"/>
      <c r="I754" s="1702">
        <v>1000000</v>
      </c>
      <c r="J754" s="1703"/>
      <c r="K754" s="1704"/>
      <c r="L754" s="1666">
        <v>39736</v>
      </c>
      <c r="M754" s="1667"/>
      <c r="N754" s="1666">
        <v>42836</v>
      </c>
      <c r="O754" s="1667"/>
      <c r="P754" s="1707"/>
      <c r="Q754" s="1707"/>
      <c r="R754" s="1668">
        <v>698780</v>
      </c>
      <c r="S754" s="1669"/>
      <c r="T754" s="1700">
        <v>170346.84448942135</v>
      </c>
      <c r="U754" s="1701"/>
    </row>
    <row r="755" spans="2:21">
      <c r="B755" s="1648" t="s">
        <v>251</v>
      </c>
      <c r="C755" s="1649"/>
      <c r="D755" s="1649"/>
      <c r="E755" s="1687"/>
      <c r="F755" s="1702" t="s">
        <v>2549</v>
      </c>
      <c r="G755" s="1703"/>
      <c r="H755" s="1704"/>
      <c r="I755" s="1702">
        <v>4000000</v>
      </c>
      <c r="J755" s="1703"/>
      <c r="K755" s="1704"/>
      <c r="L755" s="1666">
        <v>39736</v>
      </c>
      <c r="M755" s="1667"/>
      <c r="N755" s="1666">
        <v>42836</v>
      </c>
      <c r="O755" s="1667"/>
      <c r="P755" s="1707"/>
      <c r="Q755" s="1707"/>
      <c r="R755" s="1668">
        <v>2795120</v>
      </c>
      <c r="S755" s="1669"/>
      <c r="T755" s="1700">
        <v>701177.42929586954</v>
      </c>
      <c r="U755" s="1701"/>
    </row>
    <row r="756" spans="2:21">
      <c r="B756" s="1648" t="s">
        <v>251</v>
      </c>
      <c r="C756" s="1649"/>
      <c r="D756" s="1649"/>
      <c r="E756" s="1687"/>
      <c r="F756" s="1702" t="s">
        <v>2549</v>
      </c>
      <c r="G756" s="1703"/>
      <c r="H756" s="1704"/>
      <c r="I756" s="1702">
        <v>5000000</v>
      </c>
      <c r="J756" s="1703"/>
      <c r="K756" s="1704"/>
      <c r="L756" s="1666">
        <v>39749</v>
      </c>
      <c r="M756" s="1667"/>
      <c r="N756" s="1666">
        <v>43160</v>
      </c>
      <c r="O756" s="1667"/>
      <c r="P756" s="1707"/>
      <c r="Q756" s="1707"/>
      <c r="R756" s="1668">
        <v>2575700</v>
      </c>
      <c r="S756" s="1669"/>
      <c r="T756" s="1700">
        <v>684333.29578411346</v>
      </c>
      <c r="U756" s="1701"/>
    </row>
    <row r="757" spans="2:21">
      <c r="B757" s="1648" t="s">
        <v>312</v>
      </c>
      <c r="C757" s="1649"/>
      <c r="D757" s="1649"/>
      <c r="E757" s="1687"/>
      <c r="F757" s="1702" t="s">
        <v>2547</v>
      </c>
      <c r="G757" s="1703"/>
      <c r="H757" s="1704"/>
      <c r="I757" s="1702">
        <v>4550000</v>
      </c>
      <c r="J757" s="1703"/>
      <c r="K757" s="1704"/>
      <c r="L757" s="1666">
        <v>39792</v>
      </c>
      <c r="M757" s="1667"/>
      <c r="N757" s="1666">
        <v>43221</v>
      </c>
      <c r="O757" s="1667"/>
      <c r="P757" s="1707"/>
      <c r="Q757" s="1707"/>
      <c r="R757" s="1668">
        <v>3658882.5</v>
      </c>
      <c r="S757" s="1669"/>
      <c r="T757" s="1700">
        <v>873976.1277776286</v>
      </c>
      <c r="U757" s="1701"/>
    </row>
    <row r="758" spans="2:21">
      <c r="B758" s="1648" t="s">
        <v>308</v>
      </c>
      <c r="C758" s="1649"/>
      <c r="D758" s="1649"/>
      <c r="E758" s="1687"/>
      <c r="F758" s="1702" t="s">
        <v>2549</v>
      </c>
      <c r="G758" s="1703"/>
      <c r="H758" s="1704"/>
      <c r="I758" s="1702">
        <v>2000000</v>
      </c>
      <c r="J758" s="1703"/>
      <c r="K758" s="1704"/>
      <c r="L758" s="1666">
        <v>39959</v>
      </c>
      <c r="M758" s="1667"/>
      <c r="N758" s="1666">
        <v>41464</v>
      </c>
      <c r="O758" s="1667"/>
      <c r="P758" s="1707"/>
      <c r="Q758" s="1707"/>
      <c r="R758" s="1668">
        <v>1030280</v>
      </c>
      <c r="S758" s="1669"/>
      <c r="T758" s="1700">
        <v>164721.21580596117</v>
      </c>
      <c r="U758" s="1701"/>
    </row>
    <row r="759" spans="2:21">
      <c r="B759" s="1648" t="s">
        <v>312</v>
      </c>
      <c r="C759" s="1649"/>
      <c r="D759" s="1649"/>
      <c r="E759" s="1687"/>
      <c r="F759" s="1702" t="s">
        <v>2547</v>
      </c>
      <c r="G759" s="1703"/>
      <c r="H759" s="1704"/>
      <c r="I759" s="1702">
        <v>3016000</v>
      </c>
      <c r="J759" s="1703"/>
      <c r="K759" s="1704"/>
      <c r="L759" s="1666">
        <v>40030</v>
      </c>
      <c r="M759" s="1667"/>
      <c r="N759" s="1666">
        <v>41093</v>
      </c>
      <c r="O759" s="1667"/>
      <c r="P759" s="1707"/>
      <c r="Q759" s="1707"/>
      <c r="R759" s="1668">
        <v>1553662.24</v>
      </c>
      <c r="S759" s="1669"/>
      <c r="T759" s="1700">
        <v>73057.039036512608</v>
      </c>
      <c r="U759" s="1701"/>
    </row>
    <row r="760" spans="2:21">
      <c r="B760" s="1648" t="s">
        <v>251</v>
      </c>
      <c r="C760" s="1649"/>
      <c r="D760" s="1649"/>
      <c r="E760" s="1687"/>
      <c r="F760" s="1702" t="s">
        <v>2549</v>
      </c>
      <c r="G760" s="1703"/>
      <c r="H760" s="1704"/>
      <c r="I760" s="1702">
        <v>1000000</v>
      </c>
      <c r="J760" s="1703"/>
      <c r="K760" s="1704"/>
      <c r="L760" s="1666">
        <v>40109</v>
      </c>
      <c r="M760" s="1667"/>
      <c r="N760" s="1666">
        <v>43556</v>
      </c>
      <c r="O760" s="1667"/>
      <c r="P760" s="1707"/>
      <c r="Q760" s="1707"/>
      <c r="R760" s="1668">
        <v>515140</v>
      </c>
      <c r="S760" s="1669"/>
      <c r="T760" s="1700">
        <v>45453.238296792493</v>
      </c>
      <c r="U760" s="1701"/>
    </row>
    <row r="761" spans="2:21">
      <c r="B761" s="1648" t="s">
        <v>2603</v>
      </c>
      <c r="C761" s="1649"/>
      <c r="D761" s="1649"/>
      <c r="E761" s="1687"/>
      <c r="F761" s="1702" t="s">
        <v>2547</v>
      </c>
      <c r="G761" s="1703"/>
      <c r="H761" s="1704"/>
      <c r="I761" s="1702">
        <v>3000000</v>
      </c>
      <c r="J761" s="1703"/>
      <c r="K761" s="1704"/>
      <c r="L761" s="1666">
        <v>40113</v>
      </c>
      <c r="M761" s="1667"/>
      <c r="N761" s="1666">
        <v>43556</v>
      </c>
      <c r="O761" s="1667"/>
      <c r="P761" s="1707"/>
      <c r="Q761" s="1707"/>
      <c r="R761" s="1668">
        <v>1545420</v>
      </c>
      <c r="S761" s="1669"/>
      <c r="T761" s="1700">
        <v>126498.61199346674</v>
      </c>
      <c r="U761" s="1701"/>
    </row>
    <row r="762" spans="2:21">
      <c r="B762" s="1648" t="s">
        <v>251</v>
      </c>
      <c r="C762" s="1649"/>
      <c r="D762" s="1649"/>
      <c r="E762" s="1687"/>
      <c r="F762" s="1702" t="s">
        <v>2549</v>
      </c>
      <c r="G762" s="1703"/>
      <c r="H762" s="1704"/>
      <c r="I762" s="1702">
        <v>1500000</v>
      </c>
      <c r="J762" s="1703"/>
      <c r="K762" s="1704"/>
      <c r="L762" s="1666">
        <v>40113</v>
      </c>
      <c r="M762" s="1667"/>
      <c r="N762" s="1666">
        <v>43556</v>
      </c>
      <c r="O762" s="1667"/>
      <c r="P762" s="1707"/>
      <c r="Q762" s="1707"/>
      <c r="R762" s="1668">
        <v>772710</v>
      </c>
      <c r="S762" s="1669"/>
      <c r="T762" s="1700">
        <v>62731.5153330178</v>
      </c>
      <c r="U762" s="1701"/>
    </row>
    <row r="763" spans="2:21">
      <c r="B763" s="1648" t="s">
        <v>251</v>
      </c>
      <c r="C763" s="1649"/>
      <c r="D763" s="1649"/>
      <c r="E763" s="1687"/>
      <c r="F763" s="1702" t="s">
        <v>2549</v>
      </c>
      <c r="G763" s="1703"/>
      <c r="H763" s="1704"/>
      <c r="I763" s="1702">
        <v>2000000</v>
      </c>
      <c r="J763" s="1703"/>
      <c r="K763" s="1704"/>
      <c r="L763" s="1666">
        <v>40288</v>
      </c>
      <c r="M763" s="1667"/>
      <c r="N763" s="1666">
        <v>43556</v>
      </c>
      <c r="O763" s="1667"/>
      <c r="P763" s="1707"/>
      <c r="Q763" s="1707"/>
      <c r="R763" s="1668">
        <v>1030280</v>
      </c>
      <c r="S763" s="1669"/>
      <c r="T763" s="1700">
        <v>62599.48019317491</v>
      </c>
      <c r="U763" s="1701"/>
    </row>
    <row r="764" spans="2:21">
      <c r="B764" s="1648" t="s">
        <v>251</v>
      </c>
      <c r="C764" s="1649"/>
      <c r="D764" s="1649"/>
      <c r="E764" s="1687"/>
      <c r="F764" s="1702" t="s">
        <v>2549</v>
      </c>
      <c r="G764" s="1703"/>
      <c r="H764" s="1704"/>
      <c r="I764" s="1702">
        <v>5000000</v>
      </c>
      <c r="J764" s="1703"/>
      <c r="K764" s="1704"/>
      <c r="L764" s="1666">
        <v>40291</v>
      </c>
      <c r="M764" s="1667"/>
      <c r="N764" s="1666">
        <v>46371</v>
      </c>
      <c r="O764" s="1667"/>
      <c r="P764" s="1707"/>
      <c r="Q764" s="1707"/>
      <c r="R764" s="1668">
        <v>2575700</v>
      </c>
      <c r="S764" s="1669"/>
      <c r="T764" s="1700">
        <v>149281.90958861727</v>
      </c>
      <c r="U764" s="1701"/>
    </row>
    <row r="765" spans="2:21">
      <c r="B765" s="1648" t="s">
        <v>312</v>
      </c>
      <c r="C765" s="1649"/>
      <c r="D765" s="1649"/>
      <c r="E765" s="1687"/>
      <c r="F765" s="1702" t="s">
        <v>2547</v>
      </c>
      <c r="G765" s="1703"/>
      <c r="H765" s="1704"/>
      <c r="I765" s="1702">
        <v>1800000</v>
      </c>
      <c r="J765" s="1703"/>
      <c r="K765" s="1704"/>
      <c r="L765" s="1666">
        <v>40301</v>
      </c>
      <c r="M765" s="1667"/>
      <c r="N765" s="1666">
        <v>46371</v>
      </c>
      <c r="O765" s="1667"/>
      <c r="P765" s="1707"/>
      <c r="Q765" s="1707"/>
      <c r="R765" s="1668">
        <v>927252</v>
      </c>
      <c r="S765" s="1669"/>
      <c r="T765" s="1700">
        <v>47401.532499699737</v>
      </c>
      <c r="U765" s="1701"/>
    </row>
    <row r="766" spans="2:21">
      <c r="B766" s="1648" t="s">
        <v>251</v>
      </c>
      <c r="C766" s="1649"/>
      <c r="D766" s="1649"/>
      <c r="E766" s="1687"/>
      <c r="F766" s="1702" t="s">
        <v>2549</v>
      </c>
      <c r="G766" s="1703"/>
      <c r="H766" s="1704"/>
      <c r="I766" s="1702">
        <v>3000000</v>
      </c>
      <c r="J766" s="1703"/>
      <c r="K766" s="1704"/>
      <c r="L766" s="1666">
        <v>40305</v>
      </c>
      <c r="M766" s="1667"/>
      <c r="N766" s="1666">
        <v>43850</v>
      </c>
      <c r="O766" s="1667"/>
      <c r="P766" s="1707"/>
      <c r="Q766" s="1707"/>
      <c r="R766" s="1668">
        <v>1545420</v>
      </c>
      <c r="S766" s="1669"/>
      <c r="T766" s="1700">
        <v>135970.27687549707</v>
      </c>
      <c r="U766" s="1701"/>
    </row>
    <row r="767" spans="2:21">
      <c r="B767" s="1648" t="s">
        <v>2602</v>
      </c>
      <c r="C767" s="1649"/>
      <c r="D767" s="1649"/>
      <c r="E767" s="1687"/>
      <c r="F767" s="1702" t="s">
        <v>2547</v>
      </c>
      <c r="G767" s="1703"/>
      <c r="H767" s="1704"/>
      <c r="I767" s="1702">
        <v>2000000</v>
      </c>
      <c r="J767" s="1703"/>
      <c r="K767" s="1704"/>
      <c r="L767" s="1666">
        <v>40318</v>
      </c>
      <c r="M767" s="1667"/>
      <c r="N767" s="1666">
        <v>43028</v>
      </c>
      <c r="O767" s="1667"/>
      <c r="P767" s="1707"/>
      <c r="Q767" s="1707"/>
      <c r="R767" s="1668">
        <v>1030280</v>
      </c>
      <c r="S767" s="1669"/>
      <c r="T767" s="1700">
        <v>113733.44969931524</v>
      </c>
      <c r="U767" s="1701"/>
    </row>
    <row r="768" spans="2:21">
      <c r="B768" s="1648" t="s">
        <v>312</v>
      </c>
      <c r="C768" s="1649"/>
      <c r="D768" s="1649"/>
      <c r="E768" s="1687"/>
      <c r="F768" s="1702" t="s">
        <v>2547</v>
      </c>
      <c r="G768" s="1703"/>
      <c r="H768" s="1704"/>
      <c r="I768" s="1702">
        <v>2000000</v>
      </c>
      <c r="J768" s="1703"/>
      <c r="K768" s="1704"/>
      <c r="L768" s="1666">
        <v>40323</v>
      </c>
      <c r="M768" s="1667"/>
      <c r="N768" s="1666">
        <v>42479</v>
      </c>
      <c r="O768" s="1667"/>
      <c r="P768" s="1707"/>
      <c r="Q768" s="1707"/>
      <c r="R768" s="1668">
        <v>1030280</v>
      </c>
      <c r="S768" s="1669"/>
      <c r="T768" s="1700">
        <v>106014.705278554</v>
      </c>
      <c r="U768" s="1701"/>
    </row>
    <row r="769" spans="2:21">
      <c r="B769" s="1648" t="s">
        <v>251</v>
      </c>
      <c r="C769" s="1649"/>
      <c r="D769" s="1649"/>
      <c r="E769" s="1687"/>
      <c r="F769" s="1702" t="s">
        <v>2549</v>
      </c>
      <c r="G769" s="1703"/>
      <c r="H769" s="1704"/>
      <c r="I769" s="1702">
        <v>2000000</v>
      </c>
      <c r="J769" s="1703"/>
      <c r="K769" s="1704"/>
      <c r="L769" s="1666">
        <v>40325</v>
      </c>
      <c r="M769" s="1667"/>
      <c r="N769" s="1666">
        <v>42895</v>
      </c>
      <c r="O769" s="1667"/>
      <c r="P769" s="1707"/>
      <c r="Q769" s="1707"/>
      <c r="R769" s="1668">
        <v>1030280</v>
      </c>
      <c r="S769" s="1669"/>
      <c r="T769" s="1700">
        <v>79395.973075570771</v>
      </c>
      <c r="U769" s="1701"/>
    </row>
    <row r="770" spans="2:21">
      <c r="B770" s="1648" t="s">
        <v>308</v>
      </c>
      <c r="C770" s="1649"/>
      <c r="D770" s="1649"/>
      <c r="E770" s="1687"/>
      <c r="F770" s="1702" t="s">
        <v>2549</v>
      </c>
      <c r="G770" s="1703"/>
      <c r="H770" s="1704"/>
      <c r="I770" s="1702">
        <v>2000000</v>
      </c>
      <c r="J770" s="1703"/>
      <c r="K770" s="1704"/>
      <c r="L770" s="1666">
        <v>40353</v>
      </c>
      <c r="M770" s="1667"/>
      <c r="N770" s="1666">
        <v>43955</v>
      </c>
      <c r="O770" s="1667"/>
      <c r="P770" s="1707"/>
      <c r="Q770" s="1707"/>
      <c r="R770" s="1668">
        <v>1030280</v>
      </c>
      <c r="S770" s="1669"/>
      <c r="T770" s="1700">
        <v>87392.87505700998</v>
      </c>
      <c r="U770" s="1701"/>
    </row>
    <row r="771" spans="2:21">
      <c r="B771" s="1648" t="s">
        <v>251</v>
      </c>
      <c r="C771" s="1649"/>
      <c r="D771" s="1649"/>
      <c r="E771" s="1687"/>
      <c r="F771" s="1702" t="s">
        <v>2549</v>
      </c>
      <c r="G771" s="1703"/>
      <c r="H771" s="1704"/>
      <c r="I771" s="1702">
        <v>2000000</v>
      </c>
      <c r="J771" s="1703"/>
      <c r="K771" s="1704"/>
      <c r="L771" s="1666">
        <v>40358</v>
      </c>
      <c r="M771" s="1667"/>
      <c r="N771" s="1666">
        <v>43955</v>
      </c>
      <c r="O771" s="1667"/>
      <c r="P771" s="1707"/>
      <c r="Q771" s="1707"/>
      <c r="R771" s="1668">
        <v>1030280</v>
      </c>
      <c r="S771" s="1669"/>
      <c r="T771" s="1700">
        <v>98095.969186486211</v>
      </c>
      <c r="U771" s="1701"/>
    </row>
    <row r="772" spans="2:21">
      <c r="B772" s="1648" t="s">
        <v>308</v>
      </c>
      <c r="C772" s="1649"/>
      <c r="D772" s="1649"/>
      <c r="E772" s="1687"/>
      <c r="F772" s="1702" t="s">
        <v>2549</v>
      </c>
      <c r="G772" s="1703"/>
      <c r="H772" s="1704"/>
      <c r="I772" s="1702">
        <v>2000000</v>
      </c>
      <c r="J772" s="1703"/>
      <c r="K772" s="1704"/>
      <c r="L772" s="1666">
        <v>40358</v>
      </c>
      <c r="M772" s="1667"/>
      <c r="N772" s="1666">
        <v>43955</v>
      </c>
      <c r="O772" s="1667"/>
      <c r="P772" s="1707"/>
      <c r="Q772" s="1707"/>
      <c r="R772" s="1668">
        <v>1030280</v>
      </c>
      <c r="S772" s="1669"/>
      <c r="T772" s="1700">
        <v>98152.108918208629</v>
      </c>
      <c r="U772" s="1701"/>
    </row>
    <row r="773" spans="2:21">
      <c r="B773" s="1648" t="s">
        <v>251</v>
      </c>
      <c r="C773" s="1649"/>
      <c r="D773" s="1649"/>
      <c r="E773" s="1687"/>
      <c r="F773" s="1702" t="s">
        <v>2549</v>
      </c>
      <c r="G773" s="1703"/>
      <c r="H773" s="1704"/>
      <c r="I773" s="1702">
        <v>2000000</v>
      </c>
      <c r="J773" s="1703"/>
      <c r="K773" s="1704"/>
      <c r="L773" s="1666">
        <v>40359</v>
      </c>
      <c r="M773" s="1667"/>
      <c r="N773" s="1666">
        <v>43955</v>
      </c>
      <c r="O773" s="1667"/>
      <c r="P773" s="1707"/>
      <c r="Q773" s="1707"/>
      <c r="R773" s="1668">
        <v>1030280</v>
      </c>
      <c r="S773" s="1669"/>
      <c r="T773" s="1700">
        <v>102385.04632734042</v>
      </c>
      <c r="U773" s="1701"/>
    </row>
    <row r="774" spans="2:21">
      <c r="B774" s="1648" t="s">
        <v>251</v>
      </c>
      <c r="C774" s="1649"/>
      <c r="D774" s="1649"/>
      <c r="E774" s="1687"/>
      <c r="F774" s="1702" t="s">
        <v>2549</v>
      </c>
      <c r="G774" s="1703"/>
      <c r="H774" s="1704"/>
      <c r="I774" s="1702">
        <v>3000000</v>
      </c>
      <c r="J774" s="1703"/>
      <c r="K774" s="1704"/>
      <c r="L774" s="1666">
        <v>40389</v>
      </c>
      <c r="M774" s="1667"/>
      <c r="N774" s="1666">
        <v>43775</v>
      </c>
      <c r="O774" s="1667"/>
      <c r="P774" s="1707"/>
      <c r="Q774" s="1707"/>
      <c r="R774" s="1668">
        <v>1545420</v>
      </c>
      <c r="S774" s="1669"/>
      <c r="T774" s="1700">
        <v>83787.653269131435</v>
      </c>
      <c r="U774" s="1701"/>
    </row>
    <row r="775" spans="2:21">
      <c r="B775" s="1648" t="s">
        <v>251</v>
      </c>
      <c r="C775" s="1649"/>
      <c r="D775" s="1649"/>
      <c r="E775" s="1687"/>
      <c r="F775" s="1702" t="s">
        <v>2549</v>
      </c>
      <c r="G775" s="1703"/>
      <c r="H775" s="1704"/>
      <c r="I775" s="1702">
        <v>2000000</v>
      </c>
      <c r="J775" s="1703"/>
      <c r="K775" s="1704"/>
      <c r="L775" s="1666">
        <v>40389</v>
      </c>
      <c r="M775" s="1667"/>
      <c r="N775" s="1666">
        <v>43775</v>
      </c>
      <c r="O775" s="1667"/>
      <c r="P775" s="1707"/>
      <c r="Q775" s="1707"/>
      <c r="R775" s="1668">
        <v>1030280</v>
      </c>
      <c r="S775" s="1669"/>
      <c r="T775" s="1700">
        <v>54190.861534643918</v>
      </c>
      <c r="U775" s="1701"/>
    </row>
    <row r="776" spans="2:21">
      <c r="B776" s="1648" t="s">
        <v>251</v>
      </c>
      <c r="C776" s="1649"/>
      <c r="D776" s="1649"/>
      <c r="E776" s="1687"/>
      <c r="F776" s="1702" t="s">
        <v>2549</v>
      </c>
      <c r="G776" s="1703"/>
      <c r="H776" s="1704"/>
      <c r="I776" s="1702">
        <v>2000000</v>
      </c>
      <c r="J776" s="1703"/>
      <c r="K776" s="1704"/>
      <c r="L776" s="1666">
        <v>40402</v>
      </c>
      <c r="M776" s="1667"/>
      <c r="N776" s="1666">
        <v>43851</v>
      </c>
      <c r="O776" s="1667"/>
      <c r="P776" s="1707"/>
      <c r="Q776" s="1707"/>
      <c r="R776" s="1668">
        <v>1030280</v>
      </c>
      <c r="S776" s="1669"/>
      <c r="T776" s="1700">
        <v>21069.521449833177</v>
      </c>
      <c r="U776" s="1701"/>
    </row>
    <row r="777" spans="2:21">
      <c r="B777" s="1648" t="s">
        <v>312</v>
      </c>
      <c r="C777" s="1649"/>
      <c r="D777" s="1649"/>
      <c r="E777" s="1687"/>
      <c r="F777" s="1702" t="s">
        <v>2547</v>
      </c>
      <c r="G777" s="1703"/>
      <c r="H777" s="1704"/>
      <c r="I777" s="1702">
        <v>2000000</v>
      </c>
      <c r="J777" s="1703"/>
      <c r="K777" s="1704"/>
      <c r="L777" s="1666">
        <v>40403</v>
      </c>
      <c r="M777" s="1667"/>
      <c r="N777" s="1666">
        <v>43943</v>
      </c>
      <c r="O777" s="1667"/>
      <c r="P777" s="1707"/>
      <c r="Q777" s="1707"/>
      <c r="R777" s="1668">
        <v>1030280</v>
      </c>
      <c r="S777" s="1669"/>
      <c r="T777" s="1700">
        <v>28115.912247339496</v>
      </c>
      <c r="U777" s="1701"/>
    </row>
    <row r="778" spans="2:21">
      <c r="B778" s="1648" t="s">
        <v>2603</v>
      </c>
      <c r="C778" s="1649"/>
      <c r="D778" s="1649"/>
      <c r="E778" s="1687"/>
      <c r="F778" s="1702" t="s">
        <v>2547</v>
      </c>
      <c r="G778" s="1703"/>
      <c r="H778" s="1704"/>
      <c r="I778" s="1702">
        <v>2000000</v>
      </c>
      <c r="J778" s="1703"/>
      <c r="K778" s="1704"/>
      <c r="L778" s="1666">
        <v>40407</v>
      </c>
      <c r="M778" s="1667"/>
      <c r="N778" s="1666">
        <v>43851</v>
      </c>
      <c r="O778" s="1667"/>
      <c r="P778" s="1707"/>
      <c r="Q778" s="1707"/>
      <c r="R778" s="1668">
        <v>1030280</v>
      </c>
      <c r="S778" s="1669"/>
      <c r="T778" s="1700">
        <v>9131.7304483333137</v>
      </c>
      <c r="U778" s="1701"/>
    </row>
    <row r="779" spans="2:21">
      <c r="B779" s="1648" t="s">
        <v>309</v>
      </c>
      <c r="C779" s="1649"/>
      <c r="D779" s="1649"/>
      <c r="E779" s="1687"/>
      <c r="F779" s="1702" t="s">
        <v>2548</v>
      </c>
      <c r="G779" s="1703"/>
      <c r="H779" s="1704"/>
      <c r="I779" s="1702">
        <v>1000000</v>
      </c>
      <c r="J779" s="1703"/>
      <c r="K779" s="1704"/>
      <c r="L779" s="1666">
        <v>40407</v>
      </c>
      <c r="M779" s="1667"/>
      <c r="N779" s="1666">
        <v>43851</v>
      </c>
      <c r="O779" s="1667"/>
      <c r="P779" s="1707"/>
      <c r="Q779" s="1707"/>
      <c r="R779" s="1668">
        <v>515140</v>
      </c>
      <c r="S779" s="1669"/>
      <c r="T779" s="1700">
        <v>4884.2612855407642</v>
      </c>
      <c r="U779" s="1701"/>
    </row>
    <row r="780" spans="2:21">
      <c r="B780" s="1648" t="s">
        <v>2603</v>
      </c>
      <c r="C780" s="1649"/>
      <c r="D780" s="1649"/>
      <c r="E780" s="1687"/>
      <c r="F780" s="1702" t="s">
        <v>2547</v>
      </c>
      <c r="G780" s="1703"/>
      <c r="H780" s="1704"/>
      <c r="I780" s="1702">
        <v>2000000</v>
      </c>
      <c r="J780" s="1703"/>
      <c r="K780" s="1704"/>
      <c r="L780" s="1666">
        <v>40408</v>
      </c>
      <c r="M780" s="1667"/>
      <c r="N780" s="1666">
        <v>43851</v>
      </c>
      <c r="O780" s="1667"/>
      <c r="P780" s="1707"/>
      <c r="Q780" s="1707"/>
      <c r="R780" s="1668">
        <v>1030280</v>
      </c>
      <c r="S780" s="1669"/>
      <c r="T780" s="1700">
        <v>3207.1773993384559</v>
      </c>
      <c r="U780" s="1701"/>
    </row>
    <row r="781" spans="2:21">
      <c r="B781" s="1648" t="s">
        <v>2603</v>
      </c>
      <c r="C781" s="1649"/>
      <c r="D781" s="1649"/>
      <c r="E781" s="1687"/>
      <c r="F781" s="1702" t="s">
        <v>2547</v>
      </c>
      <c r="G781" s="1703"/>
      <c r="H781" s="1704"/>
      <c r="I781" s="1702">
        <v>830000</v>
      </c>
      <c r="J781" s="1703"/>
      <c r="K781" s="1704"/>
      <c r="L781" s="1666">
        <v>40408</v>
      </c>
      <c r="M781" s="1667"/>
      <c r="N781" s="1666">
        <v>43943</v>
      </c>
      <c r="O781" s="1667"/>
      <c r="P781" s="1707"/>
      <c r="Q781" s="1707"/>
      <c r="R781" s="1668">
        <v>427566.2</v>
      </c>
      <c r="S781" s="1669"/>
      <c r="T781" s="1700">
        <v>1218.7842233050615</v>
      </c>
      <c r="U781" s="1701"/>
    </row>
    <row r="782" spans="2:21">
      <c r="B782" s="1648" t="s">
        <v>251</v>
      </c>
      <c r="C782" s="1649"/>
      <c r="D782" s="1649"/>
      <c r="E782" s="1687"/>
      <c r="F782" s="1702" t="s">
        <v>2549</v>
      </c>
      <c r="G782" s="1703"/>
      <c r="H782" s="1704"/>
      <c r="I782" s="1702">
        <v>2000000</v>
      </c>
      <c r="J782" s="1703"/>
      <c r="K782" s="1704"/>
      <c r="L782" s="1666">
        <v>40409</v>
      </c>
      <c r="M782" s="1667"/>
      <c r="N782" s="1666">
        <v>43943</v>
      </c>
      <c r="O782" s="1667"/>
      <c r="P782" s="1707"/>
      <c r="Q782" s="1707"/>
      <c r="R782" s="1668">
        <v>1030280</v>
      </c>
      <c r="S782" s="1669"/>
      <c r="T782" s="1700">
        <v>17281.421928944532</v>
      </c>
      <c r="U782" s="1701"/>
    </row>
    <row r="783" spans="2:21">
      <c r="B783" s="1648" t="s">
        <v>2603</v>
      </c>
      <c r="C783" s="1649"/>
      <c r="D783" s="1649"/>
      <c r="E783" s="1687"/>
      <c r="F783" s="1702" t="s">
        <v>2547</v>
      </c>
      <c r="G783" s="1703"/>
      <c r="H783" s="1704"/>
      <c r="I783" s="1702">
        <v>5000000</v>
      </c>
      <c r="J783" s="1703"/>
      <c r="K783" s="1704"/>
      <c r="L783" s="1666">
        <v>40414</v>
      </c>
      <c r="M783" s="1667"/>
      <c r="N783" s="1666">
        <v>43943</v>
      </c>
      <c r="O783" s="1667"/>
      <c r="P783" s="1707"/>
      <c r="Q783" s="1707"/>
      <c r="R783" s="1668">
        <v>2575700</v>
      </c>
      <c r="S783" s="1669"/>
      <c r="T783" s="1700">
        <v>27919.35448406823</v>
      </c>
      <c r="U783" s="1701"/>
    </row>
    <row r="784" spans="2:21">
      <c r="B784" s="1648" t="s">
        <v>2603</v>
      </c>
      <c r="C784" s="1649"/>
      <c r="D784" s="1649"/>
      <c r="E784" s="1687"/>
      <c r="F784" s="1702" t="s">
        <v>2547</v>
      </c>
      <c r="G784" s="1703"/>
      <c r="H784" s="1704"/>
      <c r="I784" s="1702">
        <v>2000000</v>
      </c>
      <c r="J784" s="1703"/>
      <c r="K784" s="1704"/>
      <c r="L784" s="1666">
        <v>40436</v>
      </c>
      <c r="M784" s="1667"/>
      <c r="N784" s="1666">
        <v>43851</v>
      </c>
      <c r="O784" s="1667"/>
      <c r="P784" s="1707"/>
      <c r="Q784" s="1707"/>
      <c r="R784" s="1668">
        <v>1030280</v>
      </c>
      <c r="S784" s="1669"/>
      <c r="T784" s="1700">
        <v>-12874.131165608298</v>
      </c>
      <c r="U784" s="1701"/>
    </row>
    <row r="785" spans="2:21">
      <c r="B785" s="1648" t="s">
        <v>309</v>
      </c>
      <c r="C785" s="1649"/>
      <c r="D785" s="1649"/>
      <c r="E785" s="1687"/>
      <c r="F785" s="1702" t="s">
        <v>2548</v>
      </c>
      <c r="G785" s="1703"/>
      <c r="H785" s="1704"/>
      <c r="I785" s="1702">
        <v>2000000</v>
      </c>
      <c r="J785" s="1703"/>
      <c r="K785" s="1704"/>
      <c r="L785" s="1666">
        <v>40449</v>
      </c>
      <c r="M785" s="1667"/>
      <c r="N785" s="1666">
        <v>43851</v>
      </c>
      <c r="O785" s="1667"/>
      <c r="P785" s="1707"/>
      <c r="Q785" s="1707"/>
      <c r="R785" s="1668">
        <v>1030280</v>
      </c>
      <c r="S785" s="1669"/>
      <c r="T785" s="1700">
        <v>-31302.872602822958</v>
      </c>
      <c r="U785" s="1701"/>
    </row>
    <row r="786" spans="2:21">
      <c r="B786" s="1648" t="s">
        <v>2603</v>
      </c>
      <c r="C786" s="1649"/>
      <c r="D786" s="1649"/>
      <c r="E786" s="1687"/>
      <c r="F786" s="1702" t="s">
        <v>2547</v>
      </c>
      <c r="G786" s="1703"/>
      <c r="H786" s="1704"/>
      <c r="I786" s="1702">
        <v>2500000</v>
      </c>
      <c r="J786" s="1703"/>
      <c r="K786" s="1704"/>
      <c r="L786" s="1666">
        <v>40449</v>
      </c>
      <c r="M786" s="1667"/>
      <c r="N786" s="1666">
        <v>43851</v>
      </c>
      <c r="O786" s="1667"/>
      <c r="P786" s="1707"/>
      <c r="Q786" s="1707"/>
      <c r="R786" s="1668">
        <v>1287850</v>
      </c>
      <c r="S786" s="1669"/>
      <c r="T786" s="1700">
        <v>-40272.027737042401</v>
      </c>
      <c r="U786" s="1701"/>
    </row>
    <row r="787" spans="2:21">
      <c r="B787" s="1648" t="s">
        <v>2603</v>
      </c>
      <c r="C787" s="1649"/>
      <c r="D787" s="1649"/>
      <c r="E787" s="1687"/>
      <c r="F787" s="1702" t="s">
        <v>2547</v>
      </c>
      <c r="G787" s="1703"/>
      <c r="H787" s="1704"/>
      <c r="I787" s="1702">
        <v>1085000</v>
      </c>
      <c r="J787" s="1703"/>
      <c r="K787" s="1704"/>
      <c r="L787" s="1666">
        <v>40458</v>
      </c>
      <c r="M787" s="1667"/>
      <c r="N787" s="1666">
        <v>43943</v>
      </c>
      <c r="O787" s="1667"/>
      <c r="P787" s="1707"/>
      <c r="Q787" s="1707"/>
      <c r="R787" s="1668">
        <v>558926.9</v>
      </c>
      <c r="S787" s="1669"/>
      <c r="T787" s="1700">
        <v>-20629.672768281074</v>
      </c>
      <c r="U787" s="1701"/>
    </row>
    <row r="788" spans="2:21">
      <c r="B788" s="1648" t="s">
        <v>2603</v>
      </c>
      <c r="C788" s="1649"/>
      <c r="D788" s="1649"/>
      <c r="E788" s="1687"/>
      <c r="F788" s="1702" t="s">
        <v>2547</v>
      </c>
      <c r="G788" s="1703"/>
      <c r="H788" s="1704"/>
      <c r="I788" s="1702">
        <v>5000000</v>
      </c>
      <c r="J788" s="1703"/>
      <c r="K788" s="1704"/>
      <c r="L788" s="1666">
        <v>40492</v>
      </c>
      <c r="M788" s="1667"/>
      <c r="N788" s="1666">
        <v>43235</v>
      </c>
      <c r="O788" s="1667"/>
      <c r="P788" s="1707"/>
      <c r="Q788" s="1707"/>
      <c r="R788" s="1668">
        <v>2575700</v>
      </c>
      <c r="S788" s="1669"/>
      <c r="T788" s="1700">
        <v>-126925.503250279</v>
      </c>
      <c r="U788" s="1701"/>
    </row>
    <row r="789" spans="2:21">
      <c r="B789" s="1648" t="s">
        <v>2603</v>
      </c>
      <c r="C789" s="1649"/>
      <c r="D789" s="1649"/>
      <c r="E789" s="1687"/>
      <c r="F789" s="1702" t="s">
        <v>2547</v>
      </c>
      <c r="G789" s="1703"/>
      <c r="H789" s="1704"/>
      <c r="I789" s="1702">
        <v>2000000</v>
      </c>
      <c r="J789" s="1703"/>
      <c r="K789" s="1704"/>
      <c r="L789" s="1666">
        <v>40504</v>
      </c>
      <c r="M789" s="1667"/>
      <c r="N789" s="1666">
        <v>43943</v>
      </c>
      <c r="O789" s="1667"/>
      <c r="P789" s="1707"/>
      <c r="Q789" s="1707"/>
      <c r="R789" s="1668">
        <v>1030280</v>
      </c>
      <c r="S789" s="1669"/>
      <c r="T789" s="1700">
        <v>-56290.411416690331</v>
      </c>
      <c r="U789" s="1701"/>
    </row>
    <row r="790" spans="2:21">
      <c r="B790" s="1648" t="s">
        <v>2602</v>
      </c>
      <c r="C790" s="1649"/>
      <c r="D790" s="1649"/>
      <c r="E790" s="1687"/>
      <c r="F790" s="1702" t="s">
        <v>2547</v>
      </c>
      <c r="G790" s="1703"/>
      <c r="H790" s="1704"/>
      <c r="I790" s="1702">
        <v>1000000</v>
      </c>
      <c r="J790" s="1703"/>
      <c r="K790" s="1704"/>
      <c r="L790" s="1666">
        <v>40505</v>
      </c>
      <c r="M790" s="1667"/>
      <c r="N790" s="1666">
        <v>43943</v>
      </c>
      <c r="O790" s="1667"/>
      <c r="P790" s="1707"/>
      <c r="Q790" s="1707"/>
      <c r="R790" s="1668">
        <v>515140</v>
      </c>
      <c r="S790" s="1669"/>
      <c r="T790" s="1700">
        <v>-23980.652207133826</v>
      </c>
      <c r="U790" s="1701"/>
    </row>
    <row r="791" spans="2:21">
      <c r="B791" s="1648" t="s">
        <v>312</v>
      </c>
      <c r="C791" s="1649"/>
      <c r="D791" s="1649"/>
      <c r="E791" s="1687"/>
      <c r="F791" s="1702" t="s">
        <v>2547</v>
      </c>
      <c r="G791" s="1703"/>
      <c r="H791" s="1704"/>
      <c r="I791" s="1702">
        <v>4750000</v>
      </c>
      <c r="J791" s="1703"/>
      <c r="K791" s="1704"/>
      <c r="L791" s="1666">
        <v>40512</v>
      </c>
      <c r="M791" s="1667"/>
      <c r="N791" s="1666">
        <v>42895</v>
      </c>
      <c r="O791" s="1667"/>
      <c r="P791" s="1707"/>
      <c r="Q791" s="1707"/>
      <c r="R791" s="1668">
        <v>2446915</v>
      </c>
      <c r="S791" s="1669"/>
      <c r="T791" s="1700">
        <v>-68842.27863073675</v>
      </c>
      <c r="U791" s="1701"/>
    </row>
    <row r="792" spans="2:21">
      <c r="B792" s="1648" t="s">
        <v>309</v>
      </c>
      <c r="C792" s="1649"/>
      <c r="D792" s="1649"/>
      <c r="E792" s="1687"/>
      <c r="F792" s="1702" t="s">
        <v>2548</v>
      </c>
      <c r="G792" s="1703"/>
      <c r="H792" s="1704"/>
      <c r="I792" s="1702">
        <v>3000000</v>
      </c>
      <c r="J792" s="1703"/>
      <c r="K792" s="1704"/>
      <c r="L792" s="1666">
        <v>40528</v>
      </c>
      <c r="M792" s="1667"/>
      <c r="N792" s="1666">
        <v>43084</v>
      </c>
      <c r="O792" s="1667"/>
      <c r="P792" s="1707"/>
      <c r="Q792" s="1707"/>
      <c r="R792" s="1668">
        <v>2096340</v>
      </c>
      <c r="S792" s="1669"/>
      <c r="T792" s="1700">
        <v>-186446.22867737827</v>
      </c>
      <c r="U792" s="1701"/>
    </row>
    <row r="793" spans="2:21">
      <c r="B793" s="1648" t="s">
        <v>312</v>
      </c>
      <c r="C793" s="1649"/>
      <c r="D793" s="1649"/>
      <c r="E793" s="1687"/>
      <c r="F793" s="1702" t="s">
        <v>2547</v>
      </c>
      <c r="G793" s="1703"/>
      <c r="H793" s="1704"/>
      <c r="I793" s="1702">
        <v>1500000</v>
      </c>
      <c r="J793" s="1703"/>
      <c r="K793" s="1704"/>
      <c r="L793" s="1666">
        <v>40505</v>
      </c>
      <c r="M793" s="1667"/>
      <c r="N793" s="1666">
        <v>43235</v>
      </c>
      <c r="O793" s="1667"/>
      <c r="P793" s="1707"/>
      <c r="Q793" s="1707"/>
      <c r="R793" s="1668">
        <v>772710</v>
      </c>
      <c r="S793" s="1669"/>
      <c r="T793" s="1700">
        <v>-28907.056328053499</v>
      </c>
      <c r="U793" s="1701"/>
    </row>
    <row r="794" spans="2:21">
      <c r="B794" s="1648" t="s">
        <v>312</v>
      </c>
      <c r="C794" s="1649"/>
      <c r="D794" s="1649"/>
      <c r="E794" s="1687"/>
      <c r="F794" s="1702" t="s">
        <v>2547</v>
      </c>
      <c r="G794" s="1703"/>
      <c r="H794" s="1704"/>
      <c r="I794" s="1702">
        <v>1000000</v>
      </c>
      <c r="J794" s="1703"/>
      <c r="K794" s="1704"/>
      <c r="L794" s="1666">
        <v>40500</v>
      </c>
      <c r="M794" s="1667"/>
      <c r="N794" s="1666">
        <v>43235</v>
      </c>
      <c r="O794" s="1667"/>
      <c r="P794" s="1707"/>
      <c r="Q794" s="1707"/>
      <c r="R794" s="1668">
        <v>515140</v>
      </c>
      <c r="S794" s="1669"/>
      <c r="T794" s="1700">
        <v>-14084.8650320173</v>
      </c>
      <c r="U794" s="1701"/>
    </row>
    <row r="795" spans="2:21">
      <c r="B795" s="1648" t="s">
        <v>251</v>
      </c>
      <c r="C795" s="1649"/>
      <c r="D795" s="1649"/>
      <c r="E795" s="1687"/>
      <c r="F795" s="1702" t="s">
        <v>2549</v>
      </c>
      <c r="G795" s="1703"/>
      <c r="H795" s="1704"/>
      <c r="I795" s="1702">
        <v>2000000</v>
      </c>
      <c r="J795" s="1703"/>
      <c r="K795" s="1704"/>
      <c r="L795" s="1666">
        <v>40549</v>
      </c>
      <c r="M795" s="1667"/>
      <c r="N795" s="1666">
        <v>43084</v>
      </c>
      <c r="O795" s="1667"/>
      <c r="P795" s="1707"/>
      <c r="Q795" s="1707"/>
      <c r="R795" s="1668">
        <v>1397560</v>
      </c>
      <c r="S795" s="1669"/>
      <c r="T795" s="1700">
        <v>-83138.197194116656</v>
      </c>
      <c r="U795" s="1701"/>
    </row>
    <row r="796" spans="2:21">
      <c r="B796" s="1648" t="s">
        <v>251</v>
      </c>
      <c r="C796" s="1649"/>
      <c r="D796" s="1649"/>
      <c r="E796" s="1687"/>
      <c r="F796" s="1702" t="s">
        <v>2549</v>
      </c>
      <c r="G796" s="1703"/>
      <c r="H796" s="1704"/>
      <c r="I796" s="1702">
        <v>3000000</v>
      </c>
      <c r="J796" s="1703"/>
      <c r="K796" s="1704"/>
      <c r="L796" s="1666">
        <v>40568</v>
      </c>
      <c r="M796" s="1667"/>
      <c r="N796" s="1666">
        <v>44111</v>
      </c>
      <c r="O796" s="1667"/>
      <c r="P796" s="1707"/>
      <c r="Q796" s="1707"/>
      <c r="R796" s="1668">
        <v>1545420</v>
      </c>
      <c r="S796" s="1669"/>
      <c r="T796" s="1700">
        <v>-33887.64505791245</v>
      </c>
      <c r="U796" s="1701"/>
    </row>
    <row r="797" spans="2:21">
      <c r="B797" s="1648" t="s">
        <v>2602</v>
      </c>
      <c r="C797" s="1649"/>
      <c r="D797" s="1649"/>
      <c r="E797" s="1687"/>
      <c r="F797" s="1702" t="s">
        <v>2547</v>
      </c>
      <c r="G797" s="1703"/>
      <c r="H797" s="1704"/>
      <c r="I797" s="1702">
        <v>2000000</v>
      </c>
      <c r="J797" s="1703"/>
      <c r="K797" s="1704"/>
      <c r="L797" s="1666">
        <v>40569</v>
      </c>
      <c r="M797" s="1667"/>
      <c r="N797" s="1666">
        <v>44111</v>
      </c>
      <c r="O797" s="1667"/>
      <c r="P797" s="1707"/>
      <c r="Q797" s="1707"/>
      <c r="R797" s="1668">
        <v>1030280</v>
      </c>
      <c r="S797" s="1669"/>
      <c r="T797" s="1700">
        <v>-25924.578327683965</v>
      </c>
      <c r="U797" s="1701"/>
    </row>
    <row r="798" spans="2:21">
      <c r="B798" s="1648" t="s">
        <v>2602</v>
      </c>
      <c r="C798" s="1649"/>
      <c r="D798" s="1649"/>
      <c r="E798" s="1687"/>
      <c r="F798" s="1702" t="s">
        <v>2547</v>
      </c>
      <c r="G798" s="1703"/>
      <c r="H798" s="1704"/>
      <c r="I798" s="1702">
        <v>2000000</v>
      </c>
      <c r="J798" s="1703"/>
      <c r="K798" s="1704"/>
      <c r="L798" s="1666">
        <v>40569</v>
      </c>
      <c r="M798" s="1667"/>
      <c r="N798" s="1666">
        <v>44211</v>
      </c>
      <c r="O798" s="1667"/>
      <c r="P798" s="1707"/>
      <c r="Q798" s="1707"/>
      <c r="R798" s="1668">
        <v>1030280</v>
      </c>
      <c r="S798" s="1669"/>
      <c r="T798" s="1700">
        <v>-25199.493432797841</v>
      </c>
      <c r="U798" s="1701"/>
    </row>
    <row r="799" spans="2:21">
      <c r="B799" s="1648" t="s">
        <v>2602</v>
      </c>
      <c r="C799" s="1649"/>
      <c r="D799" s="1649"/>
      <c r="E799" s="1687"/>
      <c r="F799" s="1702" t="s">
        <v>2547</v>
      </c>
      <c r="G799" s="1703"/>
      <c r="H799" s="1704"/>
      <c r="I799" s="1702">
        <v>1500000</v>
      </c>
      <c r="J799" s="1703"/>
      <c r="K799" s="1704"/>
      <c r="L799" s="1666">
        <v>40570</v>
      </c>
      <c r="M799" s="1667"/>
      <c r="N799" s="1666">
        <v>44216</v>
      </c>
      <c r="O799" s="1667"/>
      <c r="P799" s="1707"/>
      <c r="Q799" s="1707"/>
      <c r="R799" s="1668">
        <v>772710</v>
      </c>
      <c r="S799" s="1669"/>
      <c r="T799" s="1700">
        <v>-20860.956041026628</v>
      </c>
      <c r="U799" s="1701"/>
    </row>
    <row r="800" spans="2:21">
      <c r="B800" s="1648" t="s">
        <v>2602</v>
      </c>
      <c r="C800" s="1649"/>
      <c r="D800" s="1649"/>
      <c r="E800" s="1687"/>
      <c r="F800" s="1702" t="s">
        <v>2547</v>
      </c>
      <c r="G800" s="1703"/>
      <c r="H800" s="1704"/>
      <c r="I800" s="1702">
        <v>2000000</v>
      </c>
      <c r="J800" s="1703"/>
      <c r="K800" s="1704"/>
      <c r="L800" s="1666">
        <v>40571</v>
      </c>
      <c r="M800" s="1667"/>
      <c r="N800" s="1666">
        <v>44211</v>
      </c>
      <c r="O800" s="1667"/>
      <c r="P800" s="1707"/>
      <c r="Q800" s="1707"/>
      <c r="R800" s="1668">
        <v>1030280</v>
      </c>
      <c r="S800" s="1669"/>
      <c r="T800" s="1700">
        <v>-40980.890188212274</v>
      </c>
      <c r="U800" s="1701"/>
    </row>
    <row r="801" spans="2:21">
      <c r="B801" s="1648" t="s">
        <v>312</v>
      </c>
      <c r="C801" s="1649"/>
      <c r="D801" s="1649"/>
      <c r="E801" s="1687"/>
      <c r="F801" s="1702" t="s">
        <v>2547</v>
      </c>
      <c r="G801" s="1703"/>
      <c r="H801" s="1704"/>
      <c r="I801" s="1702">
        <v>2000000</v>
      </c>
      <c r="J801" s="1703"/>
      <c r="K801" s="1704"/>
      <c r="L801" s="1666">
        <v>40571</v>
      </c>
      <c r="M801" s="1667"/>
      <c r="N801" s="1666">
        <v>44218</v>
      </c>
      <c r="O801" s="1667"/>
      <c r="P801" s="1707"/>
      <c r="Q801" s="1707"/>
      <c r="R801" s="1668">
        <v>1030280</v>
      </c>
      <c r="S801" s="1669"/>
      <c r="T801" s="1700">
        <v>-38346.615331605659</v>
      </c>
      <c r="U801" s="1701"/>
    </row>
    <row r="802" spans="2:21">
      <c r="B802" s="1648" t="s">
        <v>2602</v>
      </c>
      <c r="C802" s="1649"/>
      <c r="D802" s="1649"/>
      <c r="E802" s="1687"/>
      <c r="F802" s="1702" t="s">
        <v>2547</v>
      </c>
      <c r="G802" s="1703"/>
      <c r="H802" s="1704"/>
      <c r="I802" s="1702">
        <v>3000000</v>
      </c>
      <c r="J802" s="1703"/>
      <c r="K802" s="1704"/>
      <c r="L802" s="1666">
        <v>40571</v>
      </c>
      <c r="M802" s="1667"/>
      <c r="N802" s="1666">
        <v>44218</v>
      </c>
      <c r="O802" s="1667"/>
      <c r="P802" s="1707"/>
      <c r="Q802" s="1707"/>
      <c r="R802" s="1668">
        <v>1545420</v>
      </c>
      <c r="S802" s="1669"/>
      <c r="T802" s="1700">
        <v>-51595.034055779222</v>
      </c>
      <c r="U802" s="1701"/>
    </row>
    <row r="803" spans="2:21">
      <c r="B803" s="1648" t="s">
        <v>310</v>
      </c>
      <c r="C803" s="1649"/>
      <c r="D803" s="1649"/>
      <c r="E803" s="1687"/>
      <c r="F803" s="1702" t="s">
        <v>2547</v>
      </c>
      <c r="G803" s="1703"/>
      <c r="H803" s="1704"/>
      <c r="I803" s="1702">
        <v>2000000</v>
      </c>
      <c r="J803" s="1703"/>
      <c r="K803" s="1704"/>
      <c r="L803" s="1666">
        <v>40574</v>
      </c>
      <c r="M803" s="1667"/>
      <c r="N803" s="1666">
        <v>44218</v>
      </c>
      <c r="O803" s="1667"/>
      <c r="P803" s="1707"/>
      <c r="Q803" s="1707"/>
      <c r="R803" s="1668">
        <v>1030280</v>
      </c>
      <c r="S803" s="1669"/>
      <c r="T803" s="1700">
        <v>-40240.158752028015</v>
      </c>
      <c r="U803" s="1701"/>
    </row>
    <row r="804" spans="2:21">
      <c r="B804" s="1648" t="s">
        <v>2603</v>
      </c>
      <c r="C804" s="1649"/>
      <c r="D804" s="1649"/>
      <c r="E804" s="1687"/>
      <c r="F804" s="1702" t="s">
        <v>2547</v>
      </c>
      <c r="G804" s="1703"/>
      <c r="H804" s="1704"/>
      <c r="I804" s="1702">
        <v>3000000</v>
      </c>
      <c r="J804" s="1703"/>
      <c r="K804" s="1704"/>
      <c r="L804" s="1666">
        <v>40576</v>
      </c>
      <c r="M804" s="1667"/>
      <c r="N804" s="1666">
        <v>44219</v>
      </c>
      <c r="O804" s="1667"/>
      <c r="P804" s="1707"/>
      <c r="Q804" s="1707"/>
      <c r="R804" s="1668">
        <v>1545420</v>
      </c>
      <c r="S804" s="1669"/>
      <c r="T804" s="1700">
        <v>-68163.00573711656</v>
      </c>
      <c r="U804" s="1701"/>
    </row>
    <row r="805" spans="2:21">
      <c r="B805" s="1648" t="s">
        <v>2602</v>
      </c>
      <c r="C805" s="1649"/>
      <c r="D805" s="1649"/>
      <c r="E805" s="1687"/>
      <c r="F805" s="1702" t="s">
        <v>2547</v>
      </c>
      <c r="G805" s="1703"/>
      <c r="H805" s="1704"/>
      <c r="I805" s="1702">
        <v>2000000</v>
      </c>
      <c r="J805" s="1703"/>
      <c r="K805" s="1704"/>
      <c r="L805" s="1666">
        <v>40584</v>
      </c>
      <c r="M805" s="1667"/>
      <c r="N805" s="1666">
        <v>43224</v>
      </c>
      <c r="O805" s="1667"/>
      <c r="P805" s="1707"/>
      <c r="Q805" s="1707"/>
      <c r="R805" s="1668">
        <v>1030280</v>
      </c>
      <c r="S805" s="1669"/>
      <c r="T805" s="1700">
        <v>-55429.300470623188</v>
      </c>
      <c r="U805" s="1701"/>
    </row>
    <row r="806" spans="2:21">
      <c r="B806" s="1648" t="s">
        <v>308</v>
      </c>
      <c r="C806" s="1649"/>
      <c r="D806" s="1649"/>
      <c r="E806" s="1687"/>
      <c r="F806" s="1702" t="s">
        <v>2549</v>
      </c>
      <c r="G806" s="1703"/>
      <c r="H806" s="1704"/>
      <c r="I806" s="1702">
        <v>2000000</v>
      </c>
      <c r="J806" s="1703"/>
      <c r="K806" s="1704"/>
      <c r="L806" s="1666">
        <v>40585</v>
      </c>
      <c r="M806" s="1667"/>
      <c r="N806" s="1666">
        <v>44219</v>
      </c>
      <c r="O806" s="1667"/>
      <c r="P806" s="1707"/>
      <c r="Q806" s="1707"/>
      <c r="R806" s="1668">
        <v>1030280</v>
      </c>
      <c r="S806" s="1669"/>
      <c r="T806" s="1700">
        <v>-58252.808014681214</v>
      </c>
      <c r="U806" s="1701"/>
    </row>
    <row r="807" spans="2:21">
      <c r="B807" s="1648" t="s">
        <v>310</v>
      </c>
      <c r="C807" s="1649"/>
      <c r="D807" s="1649"/>
      <c r="E807" s="1687"/>
      <c r="F807" s="1702" t="s">
        <v>2547</v>
      </c>
      <c r="G807" s="1703"/>
      <c r="H807" s="1704"/>
      <c r="I807" s="1702">
        <v>1000000</v>
      </c>
      <c r="J807" s="1703"/>
      <c r="K807" s="1704"/>
      <c r="L807" s="1666">
        <v>40591</v>
      </c>
      <c r="M807" s="1667"/>
      <c r="N807" s="1666">
        <v>43851</v>
      </c>
      <c r="O807" s="1667"/>
      <c r="P807" s="1707"/>
      <c r="Q807" s="1707"/>
      <c r="R807" s="1668">
        <v>515140</v>
      </c>
      <c r="S807" s="1669"/>
      <c r="T807" s="1700">
        <v>-34060.108624914836</v>
      </c>
      <c r="U807" s="1701"/>
    </row>
    <row r="808" spans="2:21">
      <c r="B808" s="1648" t="s">
        <v>309</v>
      </c>
      <c r="C808" s="1649"/>
      <c r="D808" s="1649"/>
      <c r="E808" s="1687"/>
      <c r="F808" s="1702" t="s">
        <v>2548</v>
      </c>
      <c r="G808" s="1703"/>
      <c r="H808" s="1704"/>
      <c r="I808" s="1702">
        <v>2000000</v>
      </c>
      <c r="J808" s="1703"/>
      <c r="K808" s="1704"/>
      <c r="L808" s="1666">
        <v>40599</v>
      </c>
      <c r="M808" s="1667"/>
      <c r="N808" s="1666">
        <v>44219</v>
      </c>
      <c r="O808" s="1667"/>
      <c r="P808" s="1707"/>
      <c r="Q808" s="1707"/>
      <c r="R808" s="1668">
        <v>1030280</v>
      </c>
      <c r="S808" s="1669"/>
      <c r="T808" s="1700">
        <v>-60521.422852720832</v>
      </c>
      <c r="U808" s="1701"/>
    </row>
    <row r="809" spans="2:21">
      <c r="B809" s="1648" t="s">
        <v>2603</v>
      </c>
      <c r="C809" s="1649"/>
      <c r="D809" s="1649"/>
      <c r="E809" s="1687"/>
      <c r="F809" s="1702" t="s">
        <v>2547</v>
      </c>
      <c r="G809" s="1703"/>
      <c r="H809" s="1704"/>
      <c r="I809" s="1702">
        <v>2000000</v>
      </c>
      <c r="J809" s="1703"/>
      <c r="K809" s="1704"/>
      <c r="L809" s="1666">
        <v>40603</v>
      </c>
      <c r="M809" s="1667"/>
      <c r="N809" s="1666">
        <v>43527</v>
      </c>
      <c r="O809" s="1667"/>
      <c r="P809" s="1707"/>
      <c r="Q809" s="1707"/>
      <c r="R809" s="1668">
        <v>1030280</v>
      </c>
      <c r="S809" s="1669"/>
      <c r="T809" s="1700">
        <v>-56430.069295983994</v>
      </c>
      <c r="U809" s="1701"/>
    </row>
    <row r="810" spans="2:21">
      <c r="B810" s="1648" t="s">
        <v>2603</v>
      </c>
      <c r="C810" s="1649"/>
      <c r="D810" s="1649"/>
      <c r="E810" s="1687"/>
      <c r="F810" s="1702" t="s">
        <v>2547</v>
      </c>
      <c r="G810" s="1703"/>
      <c r="H810" s="1704"/>
      <c r="I810" s="1702">
        <v>2000000</v>
      </c>
      <c r="J810" s="1703"/>
      <c r="K810" s="1704"/>
      <c r="L810" s="1666">
        <v>40617</v>
      </c>
      <c r="M810" s="1667"/>
      <c r="N810" s="1666">
        <v>43527</v>
      </c>
      <c r="O810" s="1667"/>
      <c r="P810" s="1707"/>
      <c r="Q810" s="1707"/>
      <c r="R810" s="1668">
        <v>1030280</v>
      </c>
      <c r="S810" s="1669"/>
      <c r="T810" s="1700">
        <v>-41730.010826739366</v>
      </c>
      <c r="U810" s="1701"/>
    </row>
    <row r="811" spans="2:21">
      <c r="B811" s="1648" t="s">
        <v>310</v>
      </c>
      <c r="C811" s="1649"/>
      <c r="D811" s="1649"/>
      <c r="E811" s="1687"/>
      <c r="F811" s="1702" t="s">
        <v>2547</v>
      </c>
      <c r="G811" s="1703"/>
      <c r="H811" s="1704"/>
      <c r="I811" s="1702">
        <v>2000000</v>
      </c>
      <c r="J811" s="1703"/>
      <c r="K811" s="1704"/>
      <c r="L811" s="1666">
        <v>40623</v>
      </c>
      <c r="M811" s="1667"/>
      <c r="N811" s="1666">
        <v>43775</v>
      </c>
      <c r="O811" s="1667"/>
      <c r="P811" s="1707"/>
      <c r="Q811" s="1707"/>
      <c r="R811" s="1668">
        <v>1030280</v>
      </c>
      <c r="S811" s="1669"/>
      <c r="T811" s="1700">
        <v>-59548.814171394566</v>
      </c>
      <c r="U811" s="1701"/>
    </row>
    <row r="812" spans="2:21">
      <c r="B812" s="1648" t="s">
        <v>2602</v>
      </c>
      <c r="C812" s="1649"/>
      <c r="D812" s="1649"/>
      <c r="E812" s="1687"/>
      <c r="F812" s="1702" t="s">
        <v>2547</v>
      </c>
      <c r="G812" s="1703"/>
      <c r="H812" s="1704"/>
      <c r="I812" s="1702">
        <v>1000000</v>
      </c>
      <c r="J812" s="1703"/>
      <c r="K812" s="1704"/>
      <c r="L812" s="1666">
        <v>40623</v>
      </c>
      <c r="M812" s="1667"/>
      <c r="N812" s="1666">
        <v>43527</v>
      </c>
      <c r="O812" s="1667"/>
      <c r="P812" s="1707"/>
      <c r="Q812" s="1707"/>
      <c r="R812" s="1668">
        <v>515140</v>
      </c>
      <c r="S812" s="1669"/>
      <c r="T812" s="1700">
        <v>-22294.635587044992</v>
      </c>
      <c r="U812" s="1701"/>
    </row>
    <row r="813" spans="2:21">
      <c r="B813" s="1648" t="s">
        <v>251</v>
      </c>
      <c r="C813" s="1649"/>
      <c r="D813" s="1649"/>
      <c r="E813" s="1687"/>
      <c r="F813" s="1702" t="s">
        <v>2549</v>
      </c>
      <c r="G813" s="1703"/>
      <c r="H813" s="1704"/>
      <c r="I813" s="1702">
        <v>2400000</v>
      </c>
      <c r="J813" s="1703"/>
      <c r="K813" s="1704"/>
      <c r="L813" s="1666">
        <v>40632</v>
      </c>
      <c r="M813" s="1667"/>
      <c r="N813" s="1666">
        <v>43084</v>
      </c>
      <c r="O813" s="1667"/>
      <c r="P813" s="1707"/>
      <c r="Q813" s="1707"/>
      <c r="R813" s="1668">
        <v>1677072</v>
      </c>
      <c r="S813" s="1669"/>
      <c r="T813" s="1700">
        <v>-27796.565250274725</v>
      </c>
      <c r="U813" s="1701"/>
    </row>
    <row r="814" spans="2:21">
      <c r="B814" s="1648" t="s">
        <v>312</v>
      </c>
      <c r="C814" s="1649"/>
      <c r="D814" s="1649"/>
      <c r="E814" s="1687"/>
      <c r="F814" s="1702" t="s">
        <v>2547</v>
      </c>
      <c r="G814" s="1703"/>
      <c r="H814" s="1704"/>
      <c r="I814" s="1702">
        <v>1000000</v>
      </c>
      <c r="J814" s="1703"/>
      <c r="K814" s="1704"/>
      <c r="L814" s="1666">
        <v>40637</v>
      </c>
      <c r="M814" s="1667"/>
      <c r="N814" s="1666">
        <v>43775</v>
      </c>
      <c r="O814" s="1667"/>
      <c r="P814" s="1707"/>
      <c r="Q814" s="1707"/>
      <c r="R814" s="1668">
        <v>515140</v>
      </c>
      <c r="S814" s="1669"/>
      <c r="T814" s="1700">
        <v>-37284.259141116287</v>
      </c>
      <c r="U814" s="1701"/>
    </row>
    <row r="815" spans="2:21">
      <c r="B815" s="1648" t="s">
        <v>312</v>
      </c>
      <c r="C815" s="1649"/>
      <c r="D815" s="1649"/>
      <c r="E815" s="1687"/>
      <c r="F815" s="1702" t="s">
        <v>2547</v>
      </c>
      <c r="G815" s="1703"/>
      <c r="H815" s="1704"/>
      <c r="I815" s="1702">
        <v>4235095.6500000004</v>
      </c>
      <c r="J815" s="1703"/>
      <c r="K815" s="1704"/>
      <c r="L815" s="1666">
        <v>40648</v>
      </c>
      <c r="M815" s="1667"/>
      <c r="N815" s="1666">
        <v>44727</v>
      </c>
      <c r="O815" s="1667"/>
      <c r="P815" s="1707"/>
      <c r="Q815" s="1707"/>
      <c r="R815" s="1668">
        <v>2181667.1731410003</v>
      </c>
      <c r="S815" s="1669"/>
      <c r="T815" s="1700">
        <v>-150440.04755650507</v>
      </c>
      <c r="U815" s="1701"/>
    </row>
    <row r="816" spans="2:21">
      <c r="B816" s="1648" t="s">
        <v>309</v>
      </c>
      <c r="C816" s="1649"/>
      <c r="D816" s="1649"/>
      <c r="E816" s="1687"/>
      <c r="F816" s="1702" t="s">
        <v>2548</v>
      </c>
      <c r="G816" s="1703"/>
      <c r="H816" s="1704"/>
      <c r="I816" s="1702">
        <v>2000000</v>
      </c>
      <c r="J816" s="1703"/>
      <c r="K816" s="1704"/>
      <c r="L816" s="1666">
        <v>40653</v>
      </c>
      <c r="M816" s="1667"/>
      <c r="N816" s="1666">
        <v>43943</v>
      </c>
      <c r="O816" s="1667"/>
      <c r="P816" s="1707"/>
      <c r="Q816" s="1707"/>
      <c r="R816" s="1668">
        <v>1030280</v>
      </c>
      <c r="S816" s="1669"/>
      <c r="T816" s="1700">
        <v>-89736.504048144678</v>
      </c>
      <c r="U816" s="1701"/>
    </row>
    <row r="817" spans="2:21">
      <c r="B817" s="1648" t="s">
        <v>312</v>
      </c>
      <c r="C817" s="1649"/>
      <c r="D817" s="1649"/>
      <c r="E817" s="1687"/>
      <c r="F817" s="1702" t="s">
        <v>2547</v>
      </c>
      <c r="G817" s="1703"/>
      <c r="H817" s="1704"/>
      <c r="I817" s="1702">
        <v>1000000</v>
      </c>
      <c r="J817" s="1703"/>
      <c r="K817" s="1704"/>
      <c r="L817" s="1666">
        <v>40665</v>
      </c>
      <c r="M817" s="1667"/>
      <c r="N817" s="1666">
        <v>43235</v>
      </c>
      <c r="O817" s="1667"/>
      <c r="P817" s="1707"/>
      <c r="Q817" s="1707"/>
      <c r="R817" s="1668">
        <v>515140</v>
      </c>
      <c r="S817" s="1669"/>
      <c r="T817" s="1700">
        <v>-38459.151674617002</v>
      </c>
      <c r="U817" s="1701"/>
    </row>
    <row r="818" spans="2:21">
      <c r="B818" s="1648" t="s">
        <v>2603</v>
      </c>
      <c r="C818" s="1649"/>
      <c r="D818" s="1649"/>
      <c r="E818" s="1687"/>
      <c r="F818" s="1702" t="s">
        <v>2547</v>
      </c>
      <c r="G818" s="1703"/>
      <c r="H818" s="1704"/>
      <c r="I818" s="1702">
        <v>2000000</v>
      </c>
      <c r="J818" s="1703"/>
      <c r="K818" s="1704"/>
      <c r="L818" s="1666">
        <v>40665</v>
      </c>
      <c r="M818" s="1667"/>
      <c r="N818" s="1666">
        <v>43235</v>
      </c>
      <c r="O818" s="1667"/>
      <c r="P818" s="1707"/>
      <c r="Q818" s="1707"/>
      <c r="R818" s="1668">
        <v>1030280</v>
      </c>
      <c r="S818" s="1669"/>
      <c r="T818" s="1700">
        <v>-88538.605845818995</v>
      </c>
      <c r="U818" s="1701"/>
    </row>
    <row r="819" spans="2:21">
      <c r="B819" s="1648" t="s">
        <v>312</v>
      </c>
      <c r="C819" s="1649"/>
      <c r="D819" s="1649"/>
      <c r="E819" s="1687"/>
      <c r="F819" s="1702" t="s">
        <v>2547</v>
      </c>
      <c r="G819" s="1703"/>
      <c r="H819" s="1704"/>
      <c r="I819" s="1702">
        <v>1500000</v>
      </c>
      <c r="J819" s="1703"/>
      <c r="K819" s="1704"/>
      <c r="L819" s="1666">
        <v>40668</v>
      </c>
      <c r="M819" s="1667"/>
      <c r="N819" s="1666">
        <v>43775</v>
      </c>
      <c r="O819" s="1667"/>
      <c r="P819" s="1707"/>
      <c r="Q819" s="1707"/>
      <c r="R819" s="1668">
        <v>772710</v>
      </c>
      <c r="S819" s="1669"/>
      <c r="T819" s="1700">
        <v>-76891.484920422663</v>
      </c>
      <c r="U819" s="1701"/>
    </row>
    <row r="820" spans="2:21">
      <c r="B820" s="1648" t="s">
        <v>310</v>
      </c>
      <c r="C820" s="1649"/>
      <c r="D820" s="1649"/>
      <c r="E820" s="1687"/>
      <c r="F820" s="1702" t="s">
        <v>2547</v>
      </c>
      <c r="G820" s="1703"/>
      <c r="H820" s="1704"/>
      <c r="I820" s="1702">
        <v>2000000</v>
      </c>
      <c r="J820" s="1703"/>
      <c r="K820" s="1704"/>
      <c r="L820" s="1666">
        <v>40675</v>
      </c>
      <c r="M820" s="1667"/>
      <c r="N820" s="1666">
        <v>43943</v>
      </c>
      <c r="O820" s="1667"/>
      <c r="P820" s="1707"/>
      <c r="Q820" s="1707"/>
      <c r="R820" s="1668">
        <v>1030280</v>
      </c>
      <c r="S820" s="1669"/>
      <c r="T820" s="1700">
        <v>-97697.490956885507</v>
      </c>
      <c r="U820" s="1701"/>
    </row>
    <row r="821" spans="2:21">
      <c r="B821" s="1648" t="s">
        <v>2603</v>
      </c>
      <c r="C821" s="1649"/>
      <c r="D821" s="1649"/>
      <c r="E821" s="1687"/>
      <c r="F821" s="1702" t="s">
        <v>2547</v>
      </c>
      <c r="G821" s="1703"/>
      <c r="H821" s="1704"/>
      <c r="I821" s="1702">
        <v>2000000</v>
      </c>
      <c r="J821" s="1703"/>
      <c r="K821" s="1704"/>
      <c r="L821" s="1666">
        <v>40676</v>
      </c>
      <c r="M821" s="1667"/>
      <c r="N821" s="1666">
        <v>43943</v>
      </c>
      <c r="O821" s="1667"/>
      <c r="P821" s="1707"/>
      <c r="Q821" s="1707"/>
      <c r="R821" s="1668">
        <v>1030280</v>
      </c>
      <c r="S821" s="1669"/>
      <c r="T821" s="1700">
        <v>-93113.49688600353</v>
      </c>
      <c r="U821" s="1701"/>
    </row>
    <row r="822" spans="2:21">
      <c r="B822" s="1648" t="s">
        <v>310</v>
      </c>
      <c r="C822" s="1649"/>
      <c r="D822" s="1649"/>
      <c r="E822" s="1687"/>
      <c r="F822" s="1702" t="s">
        <v>2547</v>
      </c>
      <c r="G822" s="1703"/>
      <c r="H822" s="1704"/>
      <c r="I822" s="1702">
        <v>1700000</v>
      </c>
      <c r="J822" s="1703"/>
      <c r="K822" s="1704"/>
      <c r="L822" s="1666">
        <v>40683</v>
      </c>
      <c r="M822" s="1667"/>
      <c r="N822" s="1666">
        <v>44219</v>
      </c>
      <c r="O822" s="1667"/>
      <c r="P822" s="1707"/>
      <c r="Q822" s="1707"/>
      <c r="R822" s="1668">
        <v>875738</v>
      </c>
      <c r="S822" s="1669"/>
      <c r="T822" s="1700">
        <v>-73505.568086040323</v>
      </c>
      <c r="U822" s="1701"/>
    </row>
    <row r="823" spans="2:21">
      <c r="B823" s="1648" t="s">
        <v>310</v>
      </c>
      <c r="C823" s="1649"/>
      <c r="D823" s="1649"/>
      <c r="E823" s="1687"/>
      <c r="F823" s="1702" t="s">
        <v>2547</v>
      </c>
      <c r="G823" s="1703"/>
      <c r="H823" s="1704"/>
      <c r="I823" s="1702">
        <v>2000000</v>
      </c>
      <c r="J823" s="1703"/>
      <c r="K823" s="1704"/>
      <c r="L823" s="1666">
        <v>40687</v>
      </c>
      <c r="M823" s="1667"/>
      <c r="N823" s="1666">
        <v>44219</v>
      </c>
      <c r="O823" s="1667"/>
      <c r="P823" s="1707"/>
      <c r="Q823" s="1707"/>
      <c r="R823" s="1668">
        <v>1030280</v>
      </c>
      <c r="S823" s="1669"/>
      <c r="T823" s="1700">
        <v>-75424.660007098108</v>
      </c>
      <c r="U823" s="1701"/>
    </row>
    <row r="824" spans="2:21">
      <c r="B824" s="1648" t="s">
        <v>312</v>
      </c>
      <c r="C824" s="1649"/>
      <c r="D824" s="1649"/>
      <c r="E824" s="1687"/>
      <c r="F824" s="1702" t="s">
        <v>2547</v>
      </c>
      <c r="G824" s="1703"/>
      <c r="H824" s="1704"/>
      <c r="I824" s="1702">
        <v>2970315.96</v>
      </c>
      <c r="J824" s="1703"/>
      <c r="K824" s="1704"/>
      <c r="L824" s="1666">
        <v>40688</v>
      </c>
      <c r="M824" s="1667"/>
      <c r="N824" s="1666">
        <v>44728</v>
      </c>
      <c r="O824" s="1667"/>
      <c r="P824" s="1707"/>
      <c r="Q824" s="1707"/>
      <c r="R824" s="1668">
        <v>1530128.5636344</v>
      </c>
      <c r="S824" s="1669"/>
      <c r="T824" s="1700">
        <v>-120287.66464515356</v>
      </c>
      <c r="U824" s="1701"/>
    </row>
    <row r="825" spans="2:21">
      <c r="B825" s="1648" t="s">
        <v>251</v>
      </c>
      <c r="C825" s="1649"/>
      <c r="D825" s="1649"/>
      <c r="E825" s="1687"/>
      <c r="F825" s="1702" t="s">
        <v>2549</v>
      </c>
      <c r="G825" s="1703"/>
      <c r="H825" s="1704"/>
      <c r="I825" s="1702">
        <v>5000000</v>
      </c>
      <c r="J825" s="1703"/>
      <c r="K825" s="1704"/>
      <c r="L825" s="1666">
        <v>40689</v>
      </c>
      <c r="M825" s="1667"/>
      <c r="N825" s="1666">
        <v>44350</v>
      </c>
      <c r="O825" s="1667"/>
      <c r="P825" s="1707"/>
      <c r="Q825" s="1707"/>
      <c r="R825" s="1668">
        <v>2575700</v>
      </c>
      <c r="S825" s="1669"/>
      <c r="T825" s="1700">
        <v>-218409.64221266378</v>
      </c>
      <c r="U825" s="1701"/>
    </row>
    <row r="826" spans="2:21">
      <c r="B826" s="1648" t="s">
        <v>312</v>
      </c>
      <c r="C826" s="1649"/>
      <c r="D826" s="1649"/>
      <c r="E826" s="1687"/>
      <c r="F826" s="1702" t="s">
        <v>2547</v>
      </c>
      <c r="G826" s="1703"/>
      <c r="H826" s="1704"/>
      <c r="I826" s="1702">
        <v>2000000</v>
      </c>
      <c r="J826" s="1703"/>
      <c r="K826" s="1704"/>
      <c r="L826" s="1666">
        <v>40702</v>
      </c>
      <c r="M826" s="1667"/>
      <c r="N826" s="1666">
        <v>42411</v>
      </c>
      <c r="O826" s="1667"/>
      <c r="P826" s="1707"/>
      <c r="Q826" s="1707"/>
      <c r="R826" s="1668">
        <v>1030280</v>
      </c>
      <c r="S826" s="1669"/>
      <c r="T826" s="1700">
        <v>-88843.181831488502</v>
      </c>
      <c r="U826" s="1701"/>
    </row>
    <row r="827" spans="2:21">
      <c r="B827" s="1648" t="s">
        <v>2603</v>
      </c>
      <c r="C827" s="1649"/>
      <c r="D827" s="1649"/>
      <c r="E827" s="1687"/>
      <c r="F827" s="1702" t="s">
        <v>2547</v>
      </c>
      <c r="G827" s="1703"/>
      <c r="H827" s="1704"/>
      <c r="I827" s="1702">
        <v>2000000</v>
      </c>
      <c r="J827" s="1703"/>
      <c r="K827" s="1704"/>
      <c r="L827" s="1666">
        <v>40707</v>
      </c>
      <c r="M827" s="1667"/>
      <c r="N827" s="1666">
        <v>42411</v>
      </c>
      <c r="O827" s="1667"/>
      <c r="P827" s="1707"/>
      <c r="Q827" s="1707"/>
      <c r="R827" s="1668">
        <v>1030280</v>
      </c>
      <c r="S827" s="1669"/>
      <c r="T827" s="1700">
        <v>-88820.258002480376</v>
      </c>
      <c r="U827" s="1701"/>
    </row>
    <row r="828" spans="2:21">
      <c r="B828" s="1648" t="s">
        <v>309</v>
      </c>
      <c r="C828" s="1649"/>
      <c r="D828" s="1649"/>
      <c r="E828" s="1687"/>
      <c r="F828" s="1702" t="s">
        <v>2548</v>
      </c>
      <c r="G828" s="1703"/>
      <c r="H828" s="1704"/>
      <c r="I828" s="1702">
        <v>3000000</v>
      </c>
      <c r="J828" s="1703"/>
      <c r="K828" s="1704"/>
      <c r="L828" s="1666">
        <v>40708</v>
      </c>
      <c r="M828" s="1667"/>
      <c r="N828" s="1666">
        <v>42475</v>
      </c>
      <c r="O828" s="1667"/>
      <c r="P828" s="1707"/>
      <c r="Q828" s="1707"/>
      <c r="R828" s="1668">
        <v>1545420</v>
      </c>
      <c r="S828" s="1669"/>
      <c r="T828" s="1700">
        <v>-146713.90638426412</v>
      </c>
      <c r="U828" s="1701"/>
    </row>
    <row r="829" spans="2:21">
      <c r="B829" s="1648" t="s">
        <v>251</v>
      </c>
      <c r="C829" s="1649"/>
      <c r="D829" s="1649"/>
      <c r="E829" s="1687"/>
      <c r="F829" s="1702" t="s">
        <v>2549</v>
      </c>
      <c r="G829" s="1703"/>
      <c r="H829" s="1704"/>
      <c r="I829" s="1702">
        <v>3000000</v>
      </c>
      <c r="J829" s="1703"/>
      <c r="K829" s="1704"/>
      <c r="L829" s="1666">
        <v>40709</v>
      </c>
      <c r="M829" s="1667"/>
      <c r="N829" s="1666">
        <v>42475</v>
      </c>
      <c r="O829" s="1667"/>
      <c r="P829" s="1707"/>
      <c r="Q829" s="1707"/>
      <c r="R829" s="1668">
        <v>1545420</v>
      </c>
      <c r="S829" s="1669"/>
      <c r="T829" s="1700">
        <v>-141893.68949618447</v>
      </c>
      <c r="U829" s="1701"/>
    </row>
    <row r="830" spans="2:21">
      <c r="B830" s="1648" t="s">
        <v>251</v>
      </c>
      <c r="C830" s="1649"/>
      <c r="D830" s="1649"/>
      <c r="E830" s="1687"/>
      <c r="F830" s="1702" t="s">
        <v>2549</v>
      </c>
      <c r="G830" s="1703"/>
      <c r="H830" s="1704"/>
      <c r="I830" s="1702">
        <v>2000000</v>
      </c>
      <c r="J830" s="1703"/>
      <c r="K830" s="1704"/>
      <c r="L830" s="1666">
        <v>40723</v>
      </c>
      <c r="M830" s="1667"/>
      <c r="N830" s="1666">
        <v>42475</v>
      </c>
      <c r="O830" s="1667"/>
      <c r="P830" s="1707"/>
      <c r="Q830" s="1707"/>
      <c r="R830" s="1668">
        <v>1030280</v>
      </c>
      <c r="S830" s="1669"/>
      <c r="T830" s="1700">
        <v>-88956.693104126025</v>
      </c>
      <c r="U830" s="1701"/>
    </row>
    <row r="831" spans="2:21">
      <c r="B831" s="1648" t="s">
        <v>310</v>
      </c>
      <c r="C831" s="1649"/>
      <c r="D831" s="1649"/>
      <c r="E831" s="1687"/>
      <c r="F831" s="1702" t="s">
        <v>2547</v>
      </c>
      <c r="G831" s="1703"/>
      <c r="H831" s="1704"/>
      <c r="I831" s="1702">
        <v>1500000</v>
      </c>
      <c r="J831" s="1703"/>
      <c r="K831" s="1704"/>
      <c r="L831" s="1666">
        <v>40732</v>
      </c>
      <c r="M831" s="1667"/>
      <c r="N831" s="1666">
        <v>42475</v>
      </c>
      <c r="O831" s="1667"/>
      <c r="P831" s="1707"/>
      <c r="Q831" s="1707"/>
      <c r="R831" s="1668">
        <v>772710</v>
      </c>
      <c r="S831" s="1669"/>
      <c r="T831" s="1700">
        <v>-79465.977027592482</v>
      </c>
      <c r="U831" s="1701"/>
    </row>
    <row r="832" spans="2:21">
      <c r="B832" s="1648" t="s">
        <v>312</v>
      </c>
      <c r="C832" s="1649"/>
      <c r="D832" s="1649"/>
      <c r="E832" s="1687"/>
      <c r="F832" s="1702" t="s">
        <v>2547</v>
      </c>
      <c r="G832" s="1703"/>
      <c r="H832" s="1704"/>
      <c r="I832" s="1702">
        <v>2000000</v>
      </c>
      <c r="J832" s="1703"/>
      <c r="K832" s="1704"/>
      <c r="L832" s="1666">
        <v>40742</v>
      </c>
      <c r="M832" s="1667"/>
      <c r="N832" s="1666">
        <v>42541</v>
      </c>
      <c r="O832" s="1667"/>
      <c r="P832" s="1707"/>
      <c r="Q832" s="1707"/>
      <c r="R832" s="1668">
        <v>1030280</v>
      </c>
      <c r="S832" s="1669"/>
      <c r="T832" s="1700">
        <v>-107933.65848370513</v>
      </c>
      <c r="U832" s="1701"/>
    </row>
    <row r="833" spans="2:21">
      <c r="B833" s="1648" t="s">
        <v>309</v>
      </c>
      <c r="C833" s="1649"/>
      <c r="D833" s="1649"/>
      <c r="E833" s="1687"/>
      <c r="F833" s="1702" t="s">
        <v>2548</v>
      </c>
      <c r="G833" s="1703"/>
      <c r="H833" s="1704"/>
      <c r="I833" s="1702">
        <v>2000000</v>
      </c>
      <c r="J833" s="1703"/>
      <c r="K833" s="1704"/>
      <c r="L833" s="1666">
        <v>40742</v>
      </c>
      <c r="M833" s="1667"/>
      <c r="N833" s="1666">
        <v>42541</v>
      </c>
      <c r="O833" s="1667"/>
      <c r="P833" s="1707"/>
      <c r="Q833" s="1707"/>
      <c r="R833" s="1668">
        <v>1030280</v>
      </c>
      <c r="S833" s="1669"/>
      <c r="T833" s="1700">
        <v>-109471.79290536966</v>
      </c>
      <c r="U833" s="1701"/>
    </row>
    <row r="834" spans="2:21">
      <c r="B834" s="1648" t="s">
        <v>311</v>
      </c>
      <c r="C834" s="1649"/>
      <c r="D834" s="1649"/>
      <c r="E834" s="1687"/>
      <c r="F834" s="1702" t="s">
        <v>2548</v>
      </c>
      <c r="G834" s="1703"/>
      <c r="H834" s="1704"/>
      <c r="I834" s="1702">
        <v>1600000</v>
      </c>
      <c r="J834" s="1703"/>
      <c r="K834" s="1704"/>
      <c r="L834" s="1666">
        <v>40757</v>
      </c>
      <c r="M834" s="1667"/>
      <c r="N834" s="1666">
        <v>43028</v>
      </c>
      <c r="O834" s="1667"/>
      <c r="P834" s="1707"/>
      <c r="Q834" s="1707"/>
      <c r="R834" s="1668">
        <v>824224</v>
      </c>
      <c r="S834" s="1669"/>
      <c r="T834" s="1700">
        <v>-102827.21766949678</v>
      </c>
      <c r="U834" s="1701"/>
    </row>
    <row r="835" spans="2:21">
      <c r="B835" s="1648" t="s">
        <v>251</v>
      </c>
      <c r="C835" s="1649"/>
      <c r="D835" s="1649"/>
      <c r="E835" s="1687"/>
      <c r="F835" s="1702" t="s">
        <v>2549</v>
      </c>
      <c r="G835" s="1703"/>
      <c r="H835" s="1704"/>
      <c r="I835" s="1702">
        <v>2000000</v>
      </c>
      <c r="J835" s="1703"/>
      <c r="K835" s="1704"/>
      <c r="L835" s="1666">
        <v>40759</v>
      </c>
      <c r="M835" s="1667"/>
      <c r="N835" s="1666">
        <v>43256</v>
      </c>
      <c r="O835" s="1667"/>
      <c r="P835" s="1707"/>
      <c r="Q835" s="1707"/>
      <c r="R835" s="1668">
        <v>1030280</v>
      </c>
      <c r="S835" s="1669"/>
      <c r="T835" s="1700">
        <v>-119198.29509000923</v>
      </c>
      <c r="U835" s="1701"/>
    </row>
    <row r="836" spans="2:21">
      <c r="B836" s="1648" t="s">
        <v>310</v>
      </c>
      <c r="C836" s="1649"/>
      <c r="D836" s="1649"/>
      <c r="E836" s="1687"/>
      <c r="F836" s="1702" t="s">
        <v>2547</v>
      </c>
      <c r="G836" s="1703"/>
      <c r="H836" s="1704"/>
      <c r="I836" s="1702">
        <v>3000000</v>
      </c>
      <c r="J836" s="1703"/>
      <c r="K836" s="1704"/>
      <c r="L836" s="1666">
        <v>40763</v>
      </c>
      <c r="M836" s="1667"/>
      <c r="N836" s="1666">
        <v>43119</v>
      </c>
      <c r="O836" s="1667"/>
      <c r="P836" s="1707"/>
      <c r="Q836" s="1707"/>
      <c r="R836" s="1668">
        <v>1545420</v>
      </c>
      <c r="S836" s="1669"/>
      <c r="T836" s="1700">
        <v>-123564.94337963033</v>
      </c>
      <c r="U836" s="1701"/>
    </row>
    <row r="837" spans="2:21">
      <c r="B837" s="1648" t="s">
        <v>312</v>
      </c>
      <c r="C837" s="1649"/>
      <c r="D837" s="1649"/>
      <c r="E837" s="1687"/>
      <c r="F837" s="1702" t="s">
        <v>2547</v>
      </c>
      <c r="G837" s="1703"/>
      <c r="H837" s="1704"/>
      <c r="I837" s="1702">
        <v>3000000</v>
      </c>
      <c r="J837" s="1703"/>
      <c r="K837" s="1704"/>
      <c r="L837" s="1666">
        <v>40764</v>
      </c>
      <c r="M837" s="1667"/>
      <c r="N837" s="1666">
        <v>43851</v>
      </c>
      <c r="O837" s="1667"/>
      <c r="P837" s="1707"/>
      <c r="Q837" s="1707"/>
      <c r="R837" s="1668">
        <v>1545420</v>
      </c>
      <c r="S837" s="1669"/>
      <c r="T837" s="1700">
        <v>-132067.37854823261</v>
      </c>
      <c r="U837" s="1701"/>
    </row>
    <row r="838" spans="2:21">
      <c r="B838" s="1648" t="s">
        <v>310</v>
      </c>
      <c r="C838" s="1649"/>
      <c r="D838" s="1649"/>
      <c r="E838" s="1687"/>
      <c r="F838" s="1702" t="s">
        <v>2547</v>
      </c>
      <c r="G838" s="1703"/>
      <c r="H838" s="1704"/>
      <c r="I838" s="1702">
        <v>2000000</v>
      </c>
      <c r="J838" s="1703"/>
      <c r="K838" s="1704"/>
      <c r="L838" s="1666">
        <v>40765</v>
      </c>
      <c r="M838" s="1667"/>
      <c r="N838" s="1666">
        <v>43119</v>
      </c>
      <c r="O838" s="1667"/>
      <c r="P838" s="1707"/>
      <c r="Q838" s="1707"/>
      <c r="R838" s="1668">
        <v>1030280</v>
      </c>
      <c r="S838" s="1669"/>
      <c r="T838" s="1700">
        <v>-83482.102667655214</v>
      </c>
      <c r="U838" s="1701"/>
    </row>
    <row r="839" spans="2:21">
      <c r="B839" s="1648" t="s">
        <v>2602</v>
      </c>
      <c r="C839" s="1649"/>
      <c r="D839" s="1649"/>
      <c r="E839" s="1687"/>
      <c r="F839" s="1702" t="s">
        <v>2547</v>
      </c>
      <c r="G839" s="1703"/>
      <c r="H839" s="1704"/>
      <c r="I839" s="1702">
        <v>2000000</v>
      </c>
      <c r="J839" s="1703"/>
      <c r="K839" s="1704"/>
      <c r="L839" s="1666">
        <v>40766</v>
      </c>
      <c r="M839" s="1667"/>
      <c r="N839" s="1666">
        <v>44350</v>
      </c>
      <c r="O839" s="1667"/>
      <c r="P839" s="1707"/>
      <c r="Q839" s="1707"/>
      <c r="R839" s="1668">
        <v>1030280</v>
      </c>
      <c r="S839" s="1669"/>
      <c r="T839" s="1700">
        <v>-88847.94068160688</v>
      </c>
      <c r="U839" s="1701"/>
    </row>
    <row r="840" spans="2:21">
      <c r="B840" s="1648" t="s">
        <v>312</v>
      </c>
      <c r="C840" s="1649"/>
      <c r="D840" s="1649"/>
      <c r="E840" s="1687"/>
      <c r="F840" s="1702" t="s">
        <v>2547</v>
      </c>
      <c r="G840" s="1703"/>
      <c r="H840" s="1704"/>
      <c r="I840" s="1702">
        <v>2500000</v>
      </c>
      <c r="J840" s="1703"/>
      <c r="K840" s="1704"/>
      <c r="L840" s="1666">
        <v>40767</v>
      </c>
      <c r="M840" s="1667"/>
      <c r="N840" s="1666">
        <v>42381</v>
      </c>
      <c r="O840" s="1667"/>
      <c r="P840" s="1707"/>
      <c r="Q840" s="1707"/>
      <c r="R840" s="1668">
        <v>1287850</v>
      </c>
      <c r="S840" s="1669"/>
      <c r="T840" s="1700">
        <v>-112067.22679374344</v>
      </c>
      <c r="U840" s="1701"/>
    </row>
    <row r="841" spans="2:21">
      <c r="B841" s="1648" t="s">
        <v>310</v>
      </c>
      <c r="C841" s="1649"/>
      <c r="D841" s="1649"/>
      <c r="E841" s="1687"/>
      <c r="F841" s="1702" t="s">
        <v>2547</v>
      </c>
      <c r="G841" s="1703"/>
      <c r="H841" s="1704"/>
      <c r="I841" s="1702">
        <v>2000000</v>
      </c>
      <c r="J841" s="1703"/>
      <c r="K841" s="1704"/>
      <c r="L841" s="1666">
        <v>40774</v>
      </c>
      <c r="M841" s="1667"/>
      <c r="N841" s="1666">
        <v>43256</v>
      </c>
      <c r="O841" s="1667"/>
      <c r="P841" s="1707"/>
      <c r="Q841" s="1707"/>
      <c r="R841" s="1668">
        <v>1030280</v>
      </c>
      <c r="S841" s="1669"/>
      <c r="T841" s="1700">
        <v>-104772.07356855785</v>
      </c>
      <c r="U841" s="1701"/>
    </row>
    <row r="842" spans="2:21">
      <c r="B842" s="1648" t="s">
        <v>2602</v>
      </c>
      <c r="C842" s="1649"/>
      <c r="D842" s="1649"/>
      <c r="E842" s="1687"/>
      <c r="F842" s="1702" t="s">
        <v>2547</v>
      </c>
      <c r="G842" s="1703"/>
      <c r="H842" s="1704"/>
      <c r="I842" s="1702">
        <v>2000000</v>
      </c>
      <c r="J842" s="1703"/>
      <c r="K842" s="1704"/>
      <c r="L842" s="1666">
        <v>40774</v>
      </c>
      <c r="M842" s="1667"/>
      <c r="N842" s="1666">
        <v>44551</v>
      </c>
      <c r="O842" s="1667"/>
      <c r="P842" s="1707"/>
      <c r="Q842" s="1707"/>
      <c r="R842" s="1668">
        <v>1030280</v>
      </c>
      <c r="S842" s="1669"/>
      <c r="T842" s="1700">
        <v>-92297.254941887106</v>
      </c>
      <c r="U842" s="1701"/>
    </row>
    <row r="843" spans="2:21">
      <c r="B843" s="1648" t="s">
        <v>2603</v>
      </c>
      <c r="C843" s="1649"/>
      <c r="D843" s="1649"/>
      <c r="E843" s="1687"/>
      <c r="F843" s="1702" t="s">
        <v>2547</v>
      </c>
      <c r="G843" s="1703"/>
      <c r="H843" s="1704"/>
      <c r="I843" s="1702">
        <v>2000000</v>
      </c>
      <c r="J843" s="1703"/>
      <c r="K843" s="1704"/>
      <c r="L843" s="1666">
        <v>40777</v>
      </c>
      <c r="M843" s="1667"/>
      <c r="N843" s="1666">
        <v>44127</v>
      </c>
      <c r="O843" s="1667"/>
      <c r="P843" s="1707"/>
      <c r="Q843" s="1707"/>
      <c r="R843" s="1668">
        <v>1030280</v>
      </c>
      <c r="S843" s="1669"/>
      <c r="T843" s="1700">
        <v>-94271.930571013363</v>
      </c>
      <c r="U843" s="1701"/>
    </row>
    <row r="844" spans="2:21">
      <c r="B844" s="1648" t="s">
        <v>310</v>
      </c>
      <c r="C844" s="1649"/>
      <c r="D844" s="1649"/>
      <c r="E844" s="1687"/>
      <c r="F844" s="1702" t="s">
        <v>2547</v>
      </c>
      <c r="G844" s="1703"/>
      <c r="H844" s="1704"/>
      <c r="I844" s="1702">
        <v>1000000</v>
      </c>
      <c r="J844" s="1703"/>
      <c r="K844" s="1704"/>
      <c r="L844" s="1666">
        <v>40778</v>
      </c>
      <c r="M844" s="1667"/>
      <c r="N844" s="1666">
        <v>43256</v>
      </c>
      <c r="O844" s="1667"/>
      <c r="P844" s="1707"/>
      <c r="Q844" s="1707"/>
      <c r="R844" s="1668">
        <v>515140</v>
      </c>
      <c r="S844" s="1669"/>
      <c r="T844" s="1700">
        <v>-54007.490180458874</v>
      </c>
      <c r="U844" s="1701"/>
    </row>
    <row r="845" spans="2:21">
      <c r="B845" s="1648" t="s">
        <v>2602</v>
      </c>
      <c r="C845" s="1649"/>
      <c r="D845" s="1649"/>
      <c r="E845" s="1687"/>
      <c r="F845" s="1702" t="s">
        <v>2547</v>
      </c>
      <c r="G845" s="1703"/>
      <c r="H845" s="1704"/>
      <c r="I845" s="1702">
        <v>2000000</v>
      </c>
      <c r="J845" s="1703"/>
      <c r="K845" s="1704"/>
      <c r="L845" s="1666">
        <v>40781</v>
      </c>
      <c r="M845" s="1667"/>
      <c r="N845" s="1666">
        <v>43028</v>
      </c>
      <c r="O845" s="1667"/>
      <c r="P845" s="1707"/>
      <c r="Q845" s="1707"/>
      <c r="R845" s="1668">
        <v>1030280</v>
      </c>
      <c r="S845" s="1669"/>
      <c r="T845" s="1700">
        <v>-105190.77259296854</v>
      </c>
      <c r="U845" s="1701"/>
    </row>
    <row r="846" spans="2:21">
      <c r="B846" s="1648" t="s">
        <v>2602</v>
      </c>
      <c r="C846" s="1649"/>
      <c r="D846" s="1649"/>
      <c r="E846" s="1687"/>
      <c r="F846" s="1702" t="s">
        <v>2547</v>
      </c>
      <c r="G846" s="1703"/>
      <c r="H846" s="1704"/>
      <c r="I846" s="1702">
        <v>2000000</v>
      </c>
      <c r="J846" s="1703"/>
      <c r="K846" s="1704"/>
      <c r="L846" s="1666">
        <v>40799</v>
      </c>
      <c r="M846" s="1667"/>
      <c r="N846" s="1666">
        <v>44334</v>
      </c>
      <c r="O846" s="1667"/>
      <c r="P846" s="1707"/>
      <c r="Q846" s="1707"/>
      <c r="R846" s="1668">
        <v>1030280</v>
      </c>
      <c r="S846" s="1669"/>
      <c r="T846" s="1700">
        <v>-80664.482747524511</v>
      </c>
      <c r="U846" s="1701"/>
    </row>
    <row r="847" spans="2:21">
      <c r="B847" s="1648" t="s">
        <v>309</v>
      </c>
      <c r="C847" s="1649"/>
      <c r="D847" s="1649"/>
      <c r="E847" s="1687"/>
      <c r="F847" s="1702" t="s">
        <v>2548</v>
      </c>
      <c r="G847" s="1703"/>
      <c r="H847" s="1704"/>
      <c r="I847" s="1702">
        <v>2000000</v>
      </c>
      <c r="J847" s="1703"/>
      <c r="K847" s="1704"/>
      <c r="L847" s="1666">
        <v>40806</v>
      </c>
      <c r="M847" s="1667"/>
      <c r="N847" s="1666">
        <v>43084</v>
      </c>
      <c r="O847" s="1667"/>
      <c r="P847" s="1707"/>
      <c r="Q847" s="1707"/>
      <c r="R847" s="1668">
        <v>1397560</v>
      </c>
      <c r="S847" s="1669"/>
      <c r="T847" s="1700">
        <v>-56328.273775055073</v>
      </c>
      <c r="U847" s="1701"/>
    </row>
    <row r="848" spans="2:21">
      <c r="B848" s="1648" t="s">
        <v>251</v>
      </c>
      <c r="C848" s="1649"/>
      <c r="D848" s="1649"/>
      <c r="E848" s="1687"/>
      <c r="F848" s="1702" t="s">
        <v>2549</v>
      </c>
      <c r="G848" s="1703"/>
      <c r="H848" s="1704"/>
      <c r="I848" s="1702">
        <v>1466000</v>
      </c>
      <c r="J848" s="1703"/>
      <c r="K848" s="1704"/>
      <c r="L848" s="1666">
        <v>40807</v>
      </c>
      <c r="M848" s="1667"/>
      <c r="N848" s="1666">
        <v>43851</v>
      </c>
      <c r="O848" s="1667"/>
      <c r="P848" s="1707"/>
      <c r="Q848" s="1707"/>
      <c r="R848" s="1668">
        <v>755195.24</v>
      </c>
      <c r="S848" s="1669"/>
      <c r="T848" s="1700">
        <v>-20604.90574381419</v>
      </c>
      <c r="U848" s="1701"/>
    </row>
    <row r="849" spans="2:21">
      <c r="B849" s="1648" t="s">
        <v>251</v>
      </c>
      <c r="C849" s="1649"/>
      <c r="D849" s="1649"/>
      <c r="E849" s="1687"/>
      <c r="F849" s="1702" t="s">
        <v>2549</v>
      </c>
      <c r="G849" s="1703"/>
      <c r="H849" s="1704"/>
      <c r="I849" s="1702">
        <v>5000000</v>
      </c>
      <c r="J849" s="1703"/>
      <c r="K849" s="1704"/>
      <c r="L849" s="1666">
        <v>40808</v>
      </c>
      <c r="M849" s="1667"/>
      <c r="N849" s="1666">
        <v>43235</v>
      </c>
      <c r="O849" s="1667"/>
      <c r="P849" s="1707"/>
      <c r="Q849" s="1707"/>
      <c r="R849" s="1668">
        <v>2575700</v>
      </c>
      <c r="S849" s="1669"/>
      <c r="T849" s="1700">
        <v>-73265.536134877693</v>
      </c>
      <c r="U849" s="1701"/>
    </row>
    <row r="850" spans="2:21">
      <c r="B850" s="1648" t="s">
        <v>251</v>
      </c>
      <c r="C850" s="1649"/>
      <c r="D850" s="1649"/>
      <c r="E850" s="1687"/>
      <c r="F850" s="1702" t="s">
        <v>2549</v>
      </c>
      <c r="G850" s="1703"/>
      <c r="H850" s="1704"/>
      <c r="I850" s="1702">
        <v>2000000</v>
      </c>
      <c r="J850" s="1703"/>
      <c r="K850" s="1704"/>
      <c r="L850" s="1666">
        <v>40808</v>
      </c>
      <c r="M850" s="1667"/>
      <c r="N850" s="1666">
        <v>43851</v>
      </c>
      <c r="O850" s="1667"/>
      <c r="P850" s="1707"/>
      <c r="Q850" s="1707"/>
      <c r="R850" s="1668">
        <v>1030280</v>
      </c>
      <c r="S850" s="1669"/>
      <c r="T850" s="1700">
        <v>4867.4397904824</v>
      </c>
      <c r="U850" s="1701"/>
    </row>
    <row r="851" spans="2:21">
      <c r="B851" s="1648" t="s">
        <v>251</v>
      </c>
      <c r="C851" s="1649"/>
      <c r="D851" s="1649"/>
      <c r="E851" s="1687"/>
      <c r="F851" s="1702" t="s">
        <v>2549</v>
      </c>
      <c r="G851" s="1703"/>
      <c r="H851" s="1704"/>
      <c r="I851" s="1702">
        <v>1000000</v>
      </c>
      <c r="J851" s="1703"/>
      <c r="K851" s="1704"/>
      <c r="L851" s="1666">
        <v>40808</v>
      </c>
      <c r="M851" s="1667"/>
      <c r="N851" s="1666">
        <v>43851</v>
      </c>
      <c r="O851" s="1667"/>
      <c r="P851" s="1707"/>
      <c r="Q851" s="1707"/>
      <c r="R851" s="1668">
        <v>515140</v>
      </c>
      <c r="S851" s="1669"/>
      <c r="T851" s="1700">
        <v>6098.0881571440259</v>
      </c>
      <c r="U851" s="1701"/>
    </row>
    <row r="852" spans="2:21">
      <c r="B852" s="1648" t="s">
        <v>310</v>
      </c>
      <c r="C852" s="1649"/>
      <c r="D852" s="1649"/>
      <c r="E852" s="1687"/>
      <c r="F852" s="1702" t="s">
        <v>2547</v>
      </c>
      <c r="G852" s="1703"/>
      <c r="H852" s="1704"/>
      <c r="I852" s="1702">
        <v>1800000</v>
      </c>
      <c r="J852" s="1703"/>
      <c r="K852" s="1704"/>
      <c r="L852" s="1666">
        <v>40808</v>
      </c>
      <c r="M852" s="1667"/>
      <c r="N852" s="1666">
        <v>44216</v>
      </c>
      <c r="O852" s="1667"/>
      <c r="P852" s="1707"/>
      <c r="Q852" s="1707"/>
      <c r="R852" s="1668">
        <v>927252</v>
      </c>
      <c r="S852" s="1669"/>
      <c r="T852" s="1700">
        <v>6187.3189839330735</v>
      </c>
      <c r="U852" s="1701"/>
    </row>
    <row r="853" spans="2:21">
      <c r="B853" s="1648" t="s">
        <v>310</v>
      </c>
      <c r="C853" s="1649"/>
      <c r="D853" s="1649"/>
      <c r="E853" s="1687"/>
      <c r="F853" s="1702" t="s">
        <v>2547</v>
      </c>
      <c r="G853" s="1703"/>
      <c r="H853" s="1704"/>
      <c r="I853" s="1702">
        <v>2000000</v>
      </c>
      <c r="J853" s="1703"/>
      <c r="K853" s="1704"/>
      <c r="L853" s="1666">
        <v>40808</v>
      </c>
      <c r="M853" s="1667"/>
      <c r="N853" s="1666">
        <v>44216</v>
      </c>
      <c r="O853" s="1667"/>
      <c r="P853" s="1707"/>
      <c r="Q853" s="1707"/>
      <c r="R853" s="1668">
        <v>1030280</v>
      </c>
      <c r="S853" s="1669"/>
      <c r="T853" s="1700">
        <v>11774.83239024505</v>
      </c>
      <c r="U853" s="1701"/>
    </row>
    <row r="854" spans="2:21">
      <c r="B854" s="1648" t="s">
        <v>2602</v>
      </c>
      <c r="C854" s="1649"/>
      <c r="D854" s="1649"/>
      <c r="E854" s="1687"/>
      <c r="F854" s="1702" t="s">
        <v>2547</v>
      </c>
      <c r="G854" s="1703"/>
      <c r="H854" s="1704"/>
      <c r="I854" s="1702">
        <v>2000000</v>
      </c>
      <c r="J854" s="1703"/>
      <c r="K854" s="1704"/>
      <c r="L854" s="1666">
        <v>40809</v>
      </c>
      <c r="M854" s="1667"/>
      <c r="N854" s="1666">
        <v>44423</v>
      </c>
      <c r="O854" s="1667"/>
      <c r="P854" s="1707"/>
      <c r="Q854" s="1707"/>
      <c r="R854" s="1668">
        <v>1030280</v>
      </c>
      <c r="S854" s="1669"/>
      <c r="T854" s="1700">
        <v>6116.7215912927641</v>
      </c>
      <c r="U854" s="1701"/>
    </row>
    <row r="855" spans="2:21">
      <c r="B855" s="1648" t="s">
        <v>308</v>
      </c>
      <c r="C855" s="1649"/>
      <c r="D855" s="1649"/>
      <c r="E855" s="1687"/>
      <c r="F855" s="1702" t="s">
        <v>2549</v>
      </c>
      <c r="G855" s="1703"/>
      <c r="H855" s="1704"/>
      <c r="I855" s="1702">
        <v>2000000</v>
      </c>
      <c r="J855" s="1703"/>
      <c r="K855" s="1704"/>
      <c r="L855" s="1666">
        <v>40809</v>
      </c>
      <c r="M855" s="1667"/>
      <c r="N855" s="1666">
        <v>44216</v>
      </c>
      <c r="O855" s="1667"/>
      <c r="P855" s="1707"/>
      <c r="Q855" s="1707"/>
      <c r="R855" s="1668">
        <v>1030280</v>
      </c>
      <c r="S855" s="1669"/>
      <c r="T855" s="1700">
        <v>3089.3275327028241</v>
      </c>
      <c r="U855" s="1701"/>
    </row>
    <row r="856" spans="2:21">
      <c r="B856" s="1648" t="s">
        <v>312</v>
      </c>
      <c r="C856" s="1649"/>
      <c r="D856" s="1649"/>
      <c r="E856" s="1687"/>
      <c r="F856" s="1702" t="s">
        <v>2547</v>
      </c>
      <c r="G856" s="1703"/>
      <c r="H856" s="1704"/>
      <c r="I856" s="1702">
        <v>2000000</v>
      </c>
      <c r="J856" s="1703"/>
      <c r="K856" s="1704"/>
      <c r="L856" s="1666">
        <v>40813</v>
      </c>
      <c r="M856" s="1667"/>
      <c r="N856" s="1666">
        <v>44334</v>
      </c>
      <c r="O856" s="1667"/>
      <c r="P856" s="1707"/>
      <c r="Q856" s="1707"/>
      <c r="R856" s="1668">
        <v>1030280</v>
      </c>
      <c r="S856" s="1669"/>
      <c r="T856" s="1700">
        <v>-23712.75743591832</v>
      </c>
      <c r="U856" s="1701"/>
    </row>
    <row r="857" spans="2:21">
      <c r="B857" s="1648" t="s">
        <v>312</v>
      </c>
      <c r="C857" s="1649"/>
      <c r="D857" s="1649"/>
      <c r="E857" s="1687"/>
      <c r="F857" s="1702" t="s">
        <v>2547</v>
      </c>
      <c r="G857" s="1703"/>
      <c r="H857" s="1704"/>
      <c r="I857" s="1702">
        <v>2000000</v>
      </c>
      <c r="J857" s="1703"/>
      <c r="K857" s="1704"/>
      <c r="L857" s="1666">
        <v>40815</v>
      </c>
      <c r="M857" s="1667"/>
      <c r="N857" s="1666">
        <v>43028</v>
      </c>
      <c r="O857" s="1667"/>
      <c r="P857" s="1707"/>
      <c r="Q857" s="1707"/>
      <c r="R857" s="1668">
        <v>1030280</v>
      </c>
      <c r="S857" s="1669"/>
      <c r="T857" s="1700">
        <v>-1975.8269732149784</v>
      </c>
      <c r="U857" s="1701"/>
    </row>
    <row r="858" spans="2:21">
      <c r="B858" s="1648" t="s">
        <v>312</v>
      </c>
      <c r="C858" s="1649"/>
      <c r="D858" s="1649"/>
      <c r="E858" s="1687"/>
      <c r="F858" s="1702" t="s">
        <v>2547</v>
      </c>
      <c r="G858" s="1703"/>
      <c r="H858" s="1704"/>
      <c r="I858" s="1702">
        <v>1000000</v>
      </c>
      <c r="J858" s="1703"/>
      <c r="K858" s="1704"/>
      <c r="L858" s="1666">
        <v>40816</v>
      </c>
      <c r="M858" s="1667"/>
      <c r="N858" s="1666">
        <v>43851</v>
      </c>
      <c r="O858" s="1667"/>
      <c r="P858" s="1707"/>
      <c r="Q858" s="1707"/>
      <c r="R858" s="1668">
        <v>515140</v>
      </c>
      <c r="S858" s="1669"/>
      <c r="T858" s="1700">
        <v>7970.900328965392</v>
      </c>
      <c r="U858" s="1701"/>
    </row>
    <row r="859" spans="2:21">
      <c r="B859" s="1648" t="s">
        <v>251</v>
      </c>
      <c r="C859" s="1649"/>
      <c r="D859" s="1649"/>
      <c r="E859" s="1687"/>
      <c r="F859" s="1702" t="s">
        <v>2549</v>
      </c>
      <c r="G859" s="1703"/>
      <c r="H859" s="1704"/>
      <c r="I859" s="1702">
        <v>428000</v>
      </c>
      <c r="J859" s="1703"/>
      <c r="K859" s="1704"/>
      <c r="L859" s="1666">
        <v>39408</v>
      </c>
      <c r="M859" s="1667"/>
      <c r="N859" s="1666">
        <v>46447</v>
      </c>
      <c r="O859" s="1667"/>
      <c r="P859" s="869"/>
      <c r="Q859" s="870"/>
      <c r="R859" s="1668">
        <v>9421431</v>
      </c>
      <c r="S859" s="1669"/>
      <c r="T859" s="1700">
        <v>-2460491</v>
      </c>
      <c r="U859" s="1701"/>
    </row>
    <row r="860" spans="2:21">
      <c r="B860" s="1648" t="s">
        <v>2602</v>
      </c>
      <c r="C860" s="1649"/>
      <c r="D860" s="1649"/>
      <c r="E860" s="1687"/>
      <c r="F860" s="1702" t="s">
        <v>2547</v>
      </c>
      <c r="G860" s="1703"/>
      <c r="H860" s="1704"/>
      <c r="I860" s="1702">
        <v>494816.4</v>
      </c>
      <c r="J860" s="1703"/>
      <c r="K860" s="1704"/>
      <c r="L860" s="1666">
        <v>39406</v>
      </c>
      <c r="M860" s="1667"/>
      <c r="N860" s="1666">
        <v>46447</v>
      </c>
      <c r="O860" s="1667"/>
      <c r="P860" s="1705"/>
      <c r="Q860" s="1706"/>
      <c r="R860" s="1668">
        <v>10892240</v>
      </c>
      <c r="S860" s="1669"/>
      <c r="T860" s="1700">
        <v>-1663208</v>
      </c>
      <c r="U860" s="1701"/>
    </row>
    <row r="861" spans="2:21">
      <c r="B861" s="1648" t="s">
        <v>309</v>
      </c>
      <c r="C861" s="1649"/>
      <c r="D861" s="1649"/>
      <c r="E861" s="1687"/>
      <c r="F861" s="1702" t="s">
        <v>2548</v>
      </c>
      <c r="G861" s="1703"/>
      <c r="H861" s="1704"/>
      <c r="I861" s="1702">
        <v>1000000</v>
      </c>
      <c r="J861" s="1703"/>
      <c r="K861" s="1704"/>
      <c r="L861" s="1666">
        <v>40794</v>
      </c>
      <c r="M861" s="1667"/>
      <c r="N861" s="1666">
        <v>44447</v>
      </c>
      <c r="O861" s="1667"/>
      <c r="P861" s="1705"/>
      <c r="Q861" s="1706"/>
      <c r="R861" s="1668">
        <v>515140</v>
      </c>
      <c r="S861" s="1669"/>
      <c r="T861" s="1700">
        <v>1797</v>
      </c>
      <c r="U861" s="1701"/>
    </row>
    <row r="862" spans="2:21">
      <c r="B862" s="1648" t="s">
        <v>309</v>
      </c>
      <c r="C862" s="1649"/>
      <c r="D862" s="1649"/>
      <c r="E862" s="1687"/>
      <c r="F862" s="1702" t="s">
        <v>2548</v>
      </c>
      <c r="G862" s="1703"/>
      <c r="H862" s="1704"/>
      <c r="I862" s="1702">
        <v>1000000</v>
      </c>
      <c r="J862" s="1703"/>
      <c r="K862" s="1704"/>
      <c r="L862" s="1666">
        <v>40795</v>
      </c>
      <c r="M862" s="1667"/>
      <c r="N862" s="1666">
        <v>44448</v>
      </c>
      <c r="O862" s="1667"/>
      <c r="P862" s="1705"/>
      <c r="Q862" s="1706"/>
      <c r="R862" s="1668">
        <v>515140</v>
      </c>
      <c r="S862" s="1669"/>
      <c r="T862" s="1700">
        <v>306</v>
      </c>
      <c r="U862" s="1701"/>
    </row>
    <row r="863" spans="2:21">
      <c r="B863" s="1648" t="s">
        <v>309</v>
      </c>
      <c r="C863" s="1649"/>
      <c r="D863" s="1649"/>
      <c r="E863" s="1687"/>
      <c r="F863" s="1702" t="s">
        <v>2548</v>
      </c>
      <c r="G863" s="1703"/>
      <c r="H863" s="1704"/>
      <c r="I863" s="1702">
        <v>1000000</v>
      </c>
      <c r="J863" s="1703"/>
      <c r="K863" s="1704"/>
      <c r="L863" s="1666">
        <v>40798</v>
      </c>
      <c r="M863" s="1667"/>
      <c r="N863" s="1666">
        <v>44452</v>
      </c>
      <c r="O863" s="1667"/>
      <c r="P863" s="1707"/>
      <c r="Q863" s="1707"/>
      <c r="R863" s="1668">
        <v>515140</v>
      </c>
      <c r="S863" s="1669"/>
      <c r="T863" s="1700">
        <v>791</v>
      </c>
      <c r="U863" s="1701"/>
    </row>
    <row r="864" spans="2:21" ht="12" thickBot="1">
      <c r="B864" s="1795"/>
      <c r="C864" s="1796"/>
      <c r="D864" s="1796"/>
      <c r="E864" s="1797"/>
      <c r="F864" s="2212"/>
      <c r="G864" s="2213"/>
      <c r="H864" s="2214"/>
      <c r="I864" s="2728"/>
      <c r="J864" s="2728"/>
      <c r="K864" s="2728"/>
      <c r="L864" s="2241"/>
      <c r="M864" s="2241"/>
      <c r="N864" s="2241"/>
      <c r="O864" s="2241"/>
      <c r="P864" s="2241"/>
      <c r="Q864" s="2241"/>
      <c r="R864" s="2211"/>
      <c r="S864" s="2211"/>
      <c r="T864" s="2222"/>
      <c r="U864" s="2223"/>
    </row>
    <row r="865" spans="2:21" ht="12" thickBot="1">
      <c r="B865" s="2181"/>
      <c r="C865" s="2182"/>
      <c r="D865" s="2182"/>
      <c r="E865" s="2182"/>
      <c r="F865" s="2182"/>
      <c r="G865" s="2182"/>
      <c r="H865" s="2182"/>
      <c r="I865" s="2182"/>
      <c r="J865" s="2182"/>
      <c r="K865" s="2182"/>
      <c r="L865" s="2182"/>
      <c r="M865" s="2182"/>
      <c r="N865" s="2182"/>
      <c r="O865" s="2182"/>
      <c r="P865" s="2182"/>
      <c r="Q865" s="2182"/>
      <c r="R865" s="2182"/>
      <c r="S865" s="2182"/>
      <c r="T865" s="2182"/>
      <c r="U865" s="2183"/>
    </row>
    <row r="866" spans="2:21" ht="13.5" thickBot="1">
      <c r="B866" s="871" t="s">
        <v>256</v>
      </c>
      <c r="C866" s="872"/>
      <c r="D866" s="872"/>
      <c r="E866" s="872"/>
      <c r="F866" s="872"/>
      <c r="G866" s="872"/>
      <c r="H866" s="872"/>
      <c r="I866" s="1811">
        <f>SUM(I705:K863)</f>
        <v>419182228.00999993</v>
      </c>
      <c r="J866" s="1812"/>
      <c r="K866" s="1813"/>
      <c r="L866" s="872"/>
      <c r="M866" s="872"/>
      <c r="N866" s="872"/>
      <c r="O866" s="872"/>
      <c r="P866" s="872"/>
      <c r="Q866" s="873"/>
      <c r="R866" s="2256">
        <f>SUM(R705:S863)</f>
        <v>240506523.79677543</v>
      </c>
      <c r="S866" s="2256"/>
      <c r="T866" s="2256">
        <f>SUM(T705:U863)</f>
        <v>22699074.045522958</v>
      </c>
      <c r="U866" s="2257"/>
    </row>
    <row r="867" spans="2:21" ht="12.75">
      <c r="B867" s="384"/>
      <c r="C867" s="384"/>
      <c r="D867" s="384"/>
      <c r="E867" s="384"/>
      <c r="F867" s="384"/>
      <c r="G867" s="384"/>
      <c r="H867" s="384"/>
      <c r="I867" s="384"/>
      <c r="J867" s="384"/>
      <c r="K867" s="384"/>
      <c r="L867" s="384"/>
      <c r="M867" s="384"/>
      <c r="N867" s="384"/>
      <c r="O867" s="384"/>
      <c r="P867" s="384"/>
      <c r="Q867" s="384"/>
      <c r="R867" s="385"/>
      <c r="S867" s="385"/>
      <c r="T867" s="385"/>
      <c r="U867" s="385"/>
    </row>
    <row r="868" spans="2:21" ht="12" thickBot="1"/>
    <row r="869" spans="2:21" ht="12.75">
      <c r="B869" s="1756" t="s">
        <v>900</v>
      </c>
      <c r="C869" s="1725"/>
      <c r="D869" s="1725"/>
      <c r="E869" s="1725"/>
      <c r="F869" s="2090" t="s">
        <v>1855</v>
      </c>
      <c r="G869" s="1725"/>
      <c r="H869" s="1725"/>
      <c r="I869" s="1725"/>
      <c r="J869" s="1725" t="s">
        <v>901</v>
      </c>
      <c r="K869" s="1725"/>
      <c r="L869" s="1725"/>
      <c r="M869" s="2634" t="s">
        <v>902</v>
      </c>
      <c r="N869" s="2634"/>
      <c r="O869" s="2634"/>
      <c r="P869" s="2634"/>
      <c r="Q869" s="2634"/>
      <c r="R869" s="2635"/>
    </row>
    <row r="870" spans="2:21" ht="12" thickBot="1">
      <c r="B870" s="1757"/>
      <c r="C870" s="1726"/>
      <c r="D870" s="1726"/>
      <c r="E870" s="1726"/>
      <c r="F870" s="1726"/>
      <c r="G870" s="1726"/>
      <c r="H870" s="1726"/>
      <c r="I870" s="1726"/>
      <c r="J870" s="1726"/>
      <c r="K870" s="1726"/>
      <c r="L870" s="1726"/>
      <c r="M870" s="1754"/>
      <c r="N870" s="1754"/>
      <c r="O870" s="1754"/>
      <c r="P870" s="1754" t="s">
        <v>904</v>
      </c>
      <c r="Q870" s="1754"/>
      <c r="R870" s="1755"/>
    </row>
    <row r="871" spans="2:21" ht="12" customHeight="1">
      <c r="B871" s="736" t="s">
        <v>1421</v>
      </c>
      <c r="C871" s="764"/>
      <c r="D871" s="764"/>
      <c r="E871" s="765"/>
      <c r="F871" s="738" t="s">
        <v>816</v>
      </c>
      <c r="G871" s="705"/>
      <c r="H871" s="705"/>
      <c r="I871" s="705"/>
      <c r="J871" s="1722" t="s">
        <v>903</v>
      </c>
      <c r="K871" s="1723"/>
      <c r="L871" s="1724"/>
      <c r="M871" s="2245">
        <v>4952000</v>
      </c>
      <c r="N871" s="2246"/>
      <c r="O871" s="2247"/>
      <c r="P871" s="2258">
        <v>2466067</v>
      </c>
      <c r="Q871" s="2259"/>
      <c r="R871" s="2260"/>
      <c r="U871" s="359"/>
    </row>
    <row r="872" spans="2:21">
      <c r="B872" s="736" t="s">
        <v>1422</v>
      </c>
      <c r="C872" s="737"/>
      <c r="D872" s="737"/>
      <c r="E872" s="738"/>
      <c r="F872" s="738" t="s">
        <v>690</v>
      </c>
      <c r="G872" s="564"/>
      <c r="H872" s="564"/>
      <c r="I872" s="564"/>
      <c r="J872" s="1660" t="s">
        <v>1849</v>
      </c>
      <c r="K872" s="1661"/>
      <c r="L872" s="1662"/>
      <c r="M872" s="1736">
        <v>4550000</v>
      </c>
      <c r="N872" s="1737"/>
      <c r="O872" s="1738"/>
      <c r="P872" s="1717">
        <v>3445470.2829999998</v>
      </c>
      <c r="Q872" s="1718"/>
      <c r="R872" s="1719"/>
    </row>
    <row r="873" spans="2:21">
      <c r="B873" s="736" t="s">
        <v>2622</v>
      </c>
      <c r="C873" s="795"/>
      <c r="D873" s="795"/>
      <c r="E873" s="796"/>
      <c r="F873" s="796" t="s">
        <v>2624</v>
      </c>
      <c r="G873" s="564"/>
      <c r="H873" s="690"/>
      <c r="I873" s="796"/>
      <c r="J873" s="1660" t="s">
        <v>903</v>
      </c>
      <c r="K873" s="1661"/>
      <c r="L873" s="1662"/>
      <c r="M873" s="1736">
        <v>5000000</v>
      </c>
      <c r="N873" s="1737"/>
      <c r="O873" s="1738"/>
      <c r="P873" s="1717">
        <v>2930502.5580000002</v>
      </c>
      <c r="Q873" s="1718"/>
      <c r="R873" s="1719"/>
    </row>
    <row r="874" spans="2:21">
      <c r="B874" s="736" t="s">
        <v>1423</v>
      </c>
      <c r="C874" s="737"/>
      <c r="D874" s="737"/>
      <c r="E874" s="738"/>
      <c r="F874" s="738" t="s">
        <v>691</v>
      </c>
      <c r="G874" s="564"/>
      <c r="H874" s="564"/>
      <c r="I874" s="564"/>
      <c r="J874" s="1660" t="s">
        <v>903</v>
      </c>
      <c r="K874" s="1661"/>
      <c r="L874" s="1662"/>
      <c r="M874" s="1736">
        <v>13500000</v>
      </c>
      <c r="N874" s="1737"/>
      <c r="O874" s="1738"/>
      <c r="P874" s="1717">
        <v>7210869.6399999997</v>
      </c>
      <c r="Q874" s="1718"/>
      <c r="R874" s="1719"/>
    </row>
    <row r="875" spans="2:21">
      <c r="B875" s="736" t="s">
        <v>1424</v>
      </c>
      <c r="C875" s="737"/>
      <c r="D875" s="737"/>
      <c r="E875" s="738"/>
      <c r="F875" s="2726" t="s">
        <v>692</v>
      </c>
      <c r="G875" s="2726"/>
      <c r="H875" s="2726"/>
      <c r="I875" s="2727"/>
      <c r="J875" s="1660" t="s">
        <v>1057</v>
      </c>
      <c r="K875" s="1661"/>
      <c r="L875" s="1662"/>
      <c r="M875" s="1736">
        <v>4200000</v>
      </c>
      <c r="N875" s="1737"/>
      <c r="O875" s="1738"/>
      <c r="P875" s="1717">
        <v>2817734.8139999998</v>
      </c>
      <c r="Q875" s="1718"/>
      <c r="R875" s="1719"/>
    </row>
    <row r="876" spans="2:21">
      <c r="B876" s="736" t="s">
        <v>1425</v>
      </c>
      <c r="C876" s="737"/>
      <c r="D876" s="737"/>
      <c r="E876" s="738"/>
      <c r="F876" s="738" t="s">
        <v>693</v>
      </c>
      <c r="G876" s="564"/>
      <c r="H876" s="564"/>
      <c r="I876" s="564"/>
      <c r="J876" s="1660" t="s">
        <v>903</v>
      </c>
      <c r="K876" s="1661"/>
      <c r="L876" s="1662"/>
      <c r="M876" s="1736">
        <v>5000000</v>
      </c>
      <c r="N876" s="1737"/>
      <c r="O876" s="1738"/>
      <c r="P876" s="1717">
        <v>2645993.2009999999</v>
      </c>
      <c r="Q876" s="1718"/>
      <c r="R876" s="1719"/>
    </row>
    <row r="877" spans="2:21">
      <c r="B877" s="766" t="s">
        <v>1426</v>
      </c>
      <c r="C877" s="737"/>
      <c r="D877" s="737"/>
      <c r="E877" s="738"/>
      <c r="F877" s="738" t="s">
        <v>1843</v>
      </c>
      <c r="G877" s="564"/>
      <c r="H877" s="564"/>
      <c r="I877" s="564"/>
      <c r="J877" s="1660" t="s">
        <v>903</v>
      </c>
      <c r="K877" s="1661"/>
      <c r="L877" s="1662"/>
      <c r="M877" s="1736">
        <v>4000000</v>
      </c>
      <c r="N877" s="1737"/>
      <c r="O877" s="1738"/>
      <c r="P877" s="1717">
        <v>2150006.307</v>
      </c>
      <c r="Q877" s="1718"/>
      <c r="R877" s="1719"/>
    </row>
    <row r="878" spans="2:21">
      <c r="B878" s="736" t="s">
        <v>1427</v>
      </c>
      <c r="C878" s="737"/>
      <c r="D878" s="737"/>
      <c r="E878" s="738"/>
      <c r="F878" s="2726" t="s">
        <v>1844</v>
      </c>
      <c r="G878" s="2726"/>
      <c r="H878" s="2726"/>
      <c r="I878" s="2727"/>
      <c r="J878" s="1660" t="s">
        <v>903</v>
      </c>
      <c r="K878" s="1661"/>
      <c r="L878" s="1662"/>
      <c r="M878" s="1736">
        <v>32250000</v>
      </c>
      <c r="N878" s="1737"/>
      <c r="O878" s="1738"/>
      <c r="P878" s="1717">
        <v>17084529.820999999</v>
      </c>
      <c r="Q878" s="1718"/>
      <c r="R878" s="1719"/>
    </row>
    <row r="879" spans="2:21">
      <c r="B879" s="736" t="s">
        <v>1428</v>
      </c>
      <c r="C879" s="737"/>
      <c r="D879" s="737"/>
      <c r="E879" s="738"/>
      <c r="F879" s="738" t="s">
        <v>1845</v>
      </c>
      <c r="G879" s="564"/>
      <c r="H879" s="564"/>
      <c r="I879" s="564"/>
      <c r="J879" s="1660" t="s">
        <v>903</v>
      </c>
      <c r="K879" s="1661"/>
      <c r="L879" s="1662"/>
      <c r="M879" s="1736">
        <v>10000000</v>
      </c>
      <c r="N879" s="1737"/>
      <c r="O879" s="1738"/>
      <c r="P879" s="1717">
        <v>5089978.5829999996</v>
      </c>
      <c r="Q879" s="1718"/>
      <c r="R879" s="1719"/>
    </row>
    <row r="880" spans="2:21">
      <c r="B880" s="736" t="s">
        <v>1429</v>
      </c>
      <c r="C880" s="737"/>
      <c r="D880" s="737"/>
      <c r="E880" s="738"/>
      <c r="F880" s="738" t="s">
        <v>1846</v>
      </c>
      <c r="G880" s="564"/>
      <c r="H880" s="564"/>
      <c r="I880" s="564"/>
      <c r="J880" s="1660" t="s">
        <v>1057</v>
      </c>
      <c r="K880" s="1661"/>
      <c r="L880" s="1662"/>
      <c r="M880" s="1736">
        <v>5000000</v>
      </c>
      <c r="N880" s="1737"/>
      <c r="O880" s="1738"/>
      <c r="P880" s="1717">
        <v>2970809.753</v>
      </c>
      <c r="Q880" s="1718"/>
      <c r="R880" s="1719"/>
    </row>
    <row r="881" spans="2:21">
      <c r="B881" s="736" t="s">
        <v>1430</v>
      </c>
      <c r="C881" s="737"/>
      <c r="D881" s="737"/>
      <c r="E881" s="738"/>
      <c r="F881" s="738" t="s">
        <v>1847</v>
      </c>
      <c r="G881" s="564"/>
      <c r="H881" s="564"/>
      <c r="I881" s="564"/>
      <c r="J881" s="1660" t="s">
        <v>903</v>
      </c>
      <c r="K881" s="1661"/>
      <c r="L881" s="1662"/>
      <c r="M881" s="1736">
        <v>10000000</v>
      </c>
      <c r="N881" s="1737"/>
      <c r="O881" s="1738"/>
      <c r="P881" s="1717">
        <v>5345928.7340000002</v>
      </c>
      <c r="Q881" s="1718"/>
      <c r="R881" s="1719"/>
    </row>
    <row r="882" spans="2:21">
      <c r="B882" s="736" t="s">
        <v>1035</v>
      </c>
      <c r="C882" s="737"/>
      <c r="D882" s="737"/>
      <c r="E882" s="738"/>
      <c r="F882" s="738" t="s">
        <v>1039</v>
      </c>
      <c r="G882" s="564"/>
      <c r="H882" s="690"/>
      <c r="I882" s="738"/>
      <c r="J882" s="1660" t="s">
        <v>903</v>
      </c>
      <c r="K882" s="1661"/>
      <c r="L882" s="1662"/>
      <c r="M882" s="1736">
        <v>15000000</v>
      </c>
      <c r="N882" s="1737"/>
      <c r="O882" s="1738"/>
      <c r="P882" s="1717">
        <v>8139064.7300000004</v>
      </c>
      <c r="Q882" s="1718"/>
      <c r="R882" s="1719"/>
    </row>
    <row r="883" spans="2:21">
      <c r="B883" s="736" t="s">
        <v>1036</v>
      </c>
      <c r="C883" s="737"/>
      <c r="D883" s="737"/>
      <c r="E883" s="738"/>
      <c r="F883" s="738" t="s">
        <v>1040</v>
      </c>
      <c r="G883" s="690"/>
      <c r="H883" s="737"/>
      <c r="I883" s="738"/>
      <c r="J883" s="1660" t="s">
        <v>903</v>
      </c>
      <c r="K883" s="1661"/>
      <c r="L883" s="1662"/>
      <c r="M883" s="1736">
        <v>3000000</v>
      </c>
      <c r="N883" s="1737"/>
      <c r="O883" s="1738"/>
      <c r="P883" s="1717">
        <v>1609158.8189999999</v>
      </c>
      <c r="Q883" s="1718"/>
      <c r="R883" s="1719"/>
    </row>
    <row r="884" spans="2:21">
      <c r="B884" s="736" t="s">
        <v>1037</v>
      </c>
      <c r="C884" s="737"/>
      <c r="D884" s="737"/>
      <c r="E884" s="738"/>
      <c r="F884" s="738" t="s">
        <v>1041</v>
      </c>
      <c r="G884" s="690"/>
      <c r="H884" s="737"/>
      <c r="I884" s="738"/>
      <c r="J884" s="1660" t="s">
        <v>903</v>
      </c>
      <c r="K884" s="1661"/>
      <c r="L884" s="1662"/>
      <c r="M884" s="1736">
        <v>7600000</v>
      </c>
      <c r="N884" s="1737"/>
      <c r="O884" s="1738"/>
      <c r="P884" s="1717">
        <v>4313617.2180000003</v>
      </c>
      <c r="Q884" s="1718"/>
      <c r="R884" s="1719"/>
    </row>
    <row r="885" spans="2:21">
      <c r="B885" s="736" t="s">
        <v>2621</v>
      </c>
      <c r="C885" s="795"/>
      <c r="D885" s="795"/>
      <c r="E885" s="796"/>
      <c r="F885" s="796" t="s">
        <v>2623</v>
      </c>
      <c r="G885" s="690"/>
      <c r="H885" s="795"/>
      <c r="I885" s="796"/>
      <c r="J885" s="1660" t="s">
        <v>903</v>
      </c>
      <c r="K885" s="1661"/>
      <c r="L885" s="1662"/>
      <c r="M885" s="1736">
        <v>4000000</v>
      </c>
      <c r="N885" s="1737"/>
      <c r="O885" s="1738"/>
      <c r="P885" s="1717">
        <v>2099890.9010000001</v>
      </c>
      <c r="Q885" s="1718"/>
      <c r="R885" s="1719"/>
    </row>
    <row r="886" spans="2:21">
      <c r="B886" s="736" t="s">
        <v>1038</v>
      </c>
      <c r="C886" s="737"/>
      <c r="D886" s="737"/>
      <c r="E886" s="738"/>
      <c r="F886" s="738" t="s">
        <v>1042</v>
      </c>
      <c r="G886" s="690"/>
      <c r="H886" s="737"/>
      <c r="I886" s="738"/>
      <c r="J886" s="1660" t="s">
        <v>903</v>
      </c>
      <c r="K886" s="1661"/>
      <c r="L886" s="1662"/>
      <c r="M886" s="1736">
        <v>3000000</v>
      </c>
      <c r="N886" s="1737"/>
      <c r="O886" s="1738"/>
      <c r="P886" s="1717">
        <v>1588846.9369999999</v>
      </c>
      <c r="Q886" s="1718"/>
      <c r="R886" s="1719"/>
    </row>
    <row r="887" spans="2:21">
      <c r="B887" s="736" t="s">
        <v>1886</v>
      </c>
      <c r="C887" s="737"/>
      <c r="D887" s="737"/>
      <c r="E887" s="738"/>
      <c r="F887" s="738" t="s">
        <v>1888</v>
      </c>
      <c r="G887" s="690"/>
      <c r="H887" s="737"/>
      <c r="I887" s="738"/>
      <c r="J887" s="1660" t="s">
        <v>903</v>
      </c>
      <c r="K887" s="1661"/>
      <c r="L887" s="1662"/>
      <c r="M887" s="1736">
        <v>9500000</v>
      </c>
      <c r="N887" s="1737"/>
      <c r="O887" s="1738"/>
      <c r="P887" s="1717">
        <v>5711052.4699999997</v>
      </c>
      <c r="Q887" s="1718"/>
      <c r="R887" s="1719"/>
    </row>
    <row r="888" spans="2:21">
      <c r="B888" s="736" t="s">
        <v>1887</v>
      </c>
      <c r="C888" s="737"/>
      <c r="D888" s="737"/>
      <c r="E888" s="738"/>
      <c r="F888" s="738" t="s">
        <v>1889</v>
      </c>
      <c r="G888" s="690"/>
      <c r="H888" s="737"/>
      <c r="I888" s="738"/>
      <c r="J888" s="1660" t="s">
        <v>1057</v>
      </c>
      <c r="K888" s="1661"/>
      <c r="L888" s="1662"/>
      <c r="M888" s="1736">
        <v>11400000</v>
      </c>
      <c r="N888" s="1737"/>
      <c r="O888" s="1738"/>
      <c r="P888" s="1717">
        <v>7268371.9280000003</v>
      </c>
      <c r="Q888" s="1718"/>
      <c r="R888" s="1719"/>
    </row>
    <row r="889" spans="2:21">
      <c r="B889" s="736" t="s">
        <v>2620</v>
      </c>
      <c r="C889" s="795"/>
      <c r="D889" s="795"/>
      <c r="E889" s="796"/>
      <c r="F889" s="796" t="s">
        <v>2625</v>
      </c>
      <c r="G889" s="690"/>
      <c r="H889" s="795"/>
      <c r="I889" s="796"/>
      <c r="J889" s="1660" t="s">
        <v>903</v>
      </c>
      <c r="K889" s="1661"/>
      <c r="L889" s="1662"/>
      <c r="M889" s="1736">
        <v>4000000</v>
      </c>
      <c r="N889" s="1737"/>
      <c r="O889" s="1738"/>
      <c r="P889" s="1717">
        <v>2261616.1260000002</v>
      </c>
      <c r="Q889" s="1718"/>
      <c r="R889" s="1719"/>
    </row>
    <row r="890" spans="2:21">
      <c r="B890" s="736" t="s">
        <v>2594</v>
      </c>
      <c r="C890" s="737"/>
      <c r="D890" s="737"/>
      <c r="E890" s="738"/>
      <c r="F890" s="738" t="s">
        <v>2595</v>
      </c>
      <c r="G890" s="737"/>
      <c r="H890" s="737"/>
      <c r="I890" s="738"/>
      <c r="J890" s="1660" t="s">
        <v>903</v>
      </c>
      <c r="K890" s="1661"/>
      <c r="L890" s="1662"/>
      <c r="M890" s="1736">
        <v>9500000</v>
      </c>
      <c r="N890" s="1737"/>
      <c r="O890" s="1738"/>
      <c r="P890" s="1717">
        <v>5193737.4390000002</v>
      </c>
      <c r="Q890" s="1718"/>
      <c r="R890" s="1719"/>
    </row>
    <row r="891" spans="2:21">
      <c r="B891" s="736" t="s">
        <v>2650</v>
      </c>
      <c r="C891" s="882"/>
      <c r="D891" s="882"/>
      <c r="E891" s="883"/>
      <c r="F891" s="883" t="s">
        <v>2651</v>
      </c>
      <c r="G891" s="882"/>
      <c r="H891" s="882"/>
      <c r="I891" s="883"/>
      <c r="J891" s="1660"/>
      <c r="K891" s="1661"/>
      <c r="L891" s="1662"/>
      <c r="M891" s="1736">
        <v>2000000</v>
      </c>
      <c r="N891" s="1737"/>
      <c r="O891" s="1738"/>
      <c r="P891" s="1717">
        <v>1045779.9840000001</v>
      </c>
      <c r="Q891" s="1718"/>
      <c r="R891" s="1719"/>
      <c r="S891" s="359"/>
    </row>
    <row r="892" spans="2:21">
      <c r="B892" s="736" t="s">
        <v>2573</v>
      </c>
      <c r="C892" s="737"/>
      <c r="D892" s="737"/>
      <c r="E892" s="738"/>
      <c r="F892" s="738" t="s">
        <v>2574</v>
      </c>
      <c r="G892" s="737"/>
      <c r="H892" s="737"/>
      <c r="I892" s="738"/>
      <c r="J892" s="1660" t="s">
        <v>903</v>
      </c>
      <c r="K892" s="1661"/>
      <c r="L892" s="1662"/>
      <c r="M892" s="1736">
        <v>10700000</v>
      </c>
      <c r="N892" s="1737"/>
      <c r="O892" s="1738"/>
      <c r="P892" s="1717">
        <v>5614085.5489999996</v>
      </c>
      <c r="Q892" s="1718"/>
      <c r="R892" s="1719"/>
      <c r="S892" s="359">
        <f>+P894+P904</f>
        <v>117538636.63699998</v>
      </c>
    </row>
    <row r="893" spans="2:21" ht="12" thickBot="1">
      <c r="B893" s="736" t="s">
        <v>1431</v>
      </c>
      <c r="C893" s="696"/>
      <c r="D893" s="696"/>
      <c r="E893" s="767"/>
      <c r="F893" s="737" t="s">
        <v>1848</v>
      </c>
      <c r="G893" s="690"/>
      <c r="H893" s="690"/>
      <c r="I893" s="690"/>
      <c r="J893" s="1660" t="s">
        <v>1432</v>
      </c>
      <c r="K893" s="1661"/>
      <c r="L893" s="1662"/>
      <c r="M893" s="1779">
        <v>286770.56</v>
      </c>
      <c r="N893" s="1780"/>
      <c r="O893" s="1781"/>
      <c r="P893" s="1717">
        <v>6449824.4110000003</v>
      </c>
      <c r="Q893" s="1718"/>
      <c r="R893" s="1719"/>
      <c r="S893" s="359">
        <f>+P894+P901+P904+P920+P934+P940+P946+P949</f>
        <v>203800806.76799995</v>
      </c>
    </row>
    <row r="894" spans="2:21" ht="13.5" thickBot="1">
      <c r="B894" s="1746" t="s">
        <v>315</v>
      </c>
      <c r="C894" s="1747"/>
      <c r="D894" s="1747"/>
      <c r="E894" s="1747"/>
      <c r="F894" s="1747"/>
      <c r="G894" s="1747"/>
      <c r="H894" s="1747"/>
      <c r="I894" s="1747"/>
      <c r="J894" s="1747"/>
      <c r="K894" s="1747"/>
      <c r="L894" s="1747"/>
      <c r="M894" s="1814" t="s">
        <v>1668</v>
      </c>
      <c r="N894" s="1814"/>
      <c r="O894" s="1815"/>
      <c r="P894" s="1836">
        <f>SUM(P871:R893)</f>
        <v>105452937.20599999</v>
      </c>
      <c r="Q894" s="1837"/>
      <c r="R894" s="1838"/>
      <c r="S894" s="359">
        <v>117538636</v>
      </c>
    </row>
    <row r="895" spans="2:21">
      <c r="B895" s="731" t="s">
        <v>1890</v>
      </c>
      <c r="C895" s="717"/>
      <c r="D895" s="721"/>
      <c r="E895" s="732"/>
      <c r="F895" s="733" t="s">
        <v>976</v>
      </c>
      <c r="G895" s="734"/>
      <c r="H895" s="735"/>
      <c r="I895" s="732"/>
      <c r="J895" s="2729" t="s">
        <v>903</v>
      </c>
      <c r="K895" s="2729"/>
      <c r="L895" s="2729"/>
      <c r="M895" s="1745">
        <v>17500000</v>
      </c>
      <c r="N895" s="1745"/>
      <c r="O895" s="1745"/>
      <c r="P895" s="2235">
        <v>9889953.9719999991</v>
      </c>
      <c r="Q895" s="2235"/>
      <c r="R895" s="2236"/>
      <c r="S895" s="301">
        <v>117538636</v>
      </c>
      <c r="T895" s="425"/>
      <c r="U895" s="359"/>
    </row>
    <row r="896" spans="2:21">
      <c r="B896" s="736" t="s">
        <v>2569</v>
      </c>
      <c r="C896" s="737"/>
      <c r="D896" s="737"/>
      <c r="E896" s="738"/>
      <c r="F896" s="739" t="s">
        <v>2571</v>
      </c>
      <c r="G896" s="737"/>
      <c r="H896" s="737"/>
      <c r="I896" s="738"/>
      <c r="J896" s="1660" t="s">
        <v>903</v>
      </c>
      <c r="K896" s="1661"/>
      <c r="L896" s="1662"/>
      <c r="M896" s="1736">
        <v>5000000</v>
      </c>
      <c r="N896" s="1737"/>
      <c r="O896" s="1738"/>
      <c r="P896" s="1717">
        <v>2576996.8760000002</v>
      </c>
      <c r="Q896" s="1718"/>
      <c r="R896" s="1719"/>
      <c r="S896" s="359">
        <f>+S895-S894</f>
        <v>0</v>
      </c>
    </row>
    <row r="897" spans="2:21">
      <c r="B897" s="736" t="s">
        <v>2592</v>
      </c>
      <c r="C897" s="737"/>
      <c r="D897" s="737"/>
      <c r="E897" s="738"/>
      <c r="F897" s="739" t="s">
        <v>2593</v>
      </c>
      <c r="G897" s="737"/>
      <c r="H897" s="737"/>
      <c r="I897" s="738"/>
      <c r="J897" s="1660" t="s">
        <v>903</v>
      </c>
      <c r="K897" s="1661"/>
      <c r="L897" s="1662"/>
      <c r="M897" s="1736">
        <v>11500000</v>
      </c>
      <c r="N897" s="1737"/>
      <c r="O897" s="1738"/>
      <c r="P897" s="1717">
        <v>6085432.0159999998</v>
      </c>
      <c r="Q897" s="1718"/>
      <c r="R897" s="1719"/>
    </row>
    <row r="898" spans="2:21">
      <c r="B898" s="736" t="s">
        <v>2570</v>
      </c>
      <c r="C898" s="737"/>
      <c r="D898" s="737"/>
      <c r="E898" s="738"/>
      <c r="F898" s="740" t="s">
        <v>2572</v>
      </c>
      <c r="G898" s="737"/>
      <c r="H898" s="737"/>
      <c r="I898" s="738"/>
      <c r="J898" s="1660" t="s">
        <v>903</v>
      </c>
      <c r="K898" s="1661"/>
      <c r="L898" s="1662"/>
      <c r="M898" s="1736">
        <v>9000000</v>
      </c>
      <c r="N898" s="1737"/>
      <c r="O898" s="1738"/>
      <c r="P898" s="1717">
        <v>4748300</v>
      </c>
      <c r="Q898" s="1718"/>
      <c r="R898" s="1719"/>
    </row>
    <row r="899" spans="2:21" ht="13.5" customHeight="1">
      <c r="B899" s="690" t="s">
        <v>2656</v>
      </c>
      <c r="C899" s="907"/>
      <c r="D899" s="907"/>
      <c r="E899" s="908"/>
      <c r="F899" s="739" t="s">
        <v>2657</v>
      </c>
      <c r="G899" s="905"/>
      <c r="H899" s="905"/>
      <c r="I899" s="906"/>
      <c r="J899" s="1660" t="s">
        <v>903</v>
      </c>
      <c r="K899" s="1661"/>
      <c r="L899" s="1662"/>
      <c r="M899" s="1654">
        <v>3650000</v>
      </c>
      <c r="N899" s="1655"/>
      <c r="O899" s="1656"/>
      <c r="P899" s="1663">
        <f>1781078.568*0</f>
        <v>0</v>
      </c>
      <c r="Q899" s="1664"/>
      <c r="R899" s="1665"/>
      <c r="T899" s="425"/>
      <c r="U899" s="359"/>
    </row>
    <row r="900" spans="2:21" ht="12" thickBot="1">
      <c r="B900" s="741" t="s">
        <v>1891</v>
      </c>
      <c r="C900" s="609"/>
      <c r="D900" s="742"/>
      <c r="E900" s="743"/>
      <c r="F900" s="744" t="s">
        <v>1892</v>
      </c>
      <c r="G900" s="609"/>
      <c r="H900" s="742"/>
      <c r="I900" s="743"/>
      <c r="J900" s="1778" t="s">
        <v>903</v>
      </c>
      <c r="K900" s="1778"/>
      <c r="L900" s="1778"/>
      <c r="M900" s="1748">
        <v>19915000</v>
      </c>
      <c r="N900" s="1749"/>
      <c r="O900" s="1750"/>
      <c r="P900" s="2718">
        <v>11135866.205</v>
      </c>
      <c r="Q900" s="2719"/>
      <c r="R900" s="2720"/>
      <c r="T900" s="425"/>
      <c r="U900" s="359"/>
    </row>
    <row r="901" spans="2:21" ht="13.5" thickBot="1">
      <c r="B901" s="713" t="s">
        <v>1113</v>
      </c>
      <c r="C901" s="714"/>
      <c r="D901" s="714"/>
      <c r="E901" s="714"/>
      <c r="F901" s="715"/>
      <c r="G901" s="715"/>
      <c r="H901" s="715"/>
      <c r="I901" s="715"/>
      <c r="J901" s="715"/>
      <c r="K901" s="715"/>
      <c r="L901" s="715"/>
      <c r="M901" s="715"/>
      <c r="N901" s="715"/>
      <c r="O901" s="716"/>
      <c r="P901" s="1782">
        <f>SUM(P895:R900)</f>
        <v>34436549.068999998</v>
      </c>
      <c r="Q901" s="1783"/>
      <c r="R901" s="1784"/>
      <c r="S901" s="301" t="s">
        <v>2619</v>
      </c>
      <c r="T901" s="425"/>
      <c r="U901" s="359"/>
    </row>
    <row r="902" spans="2:21">
      <c r="B902" s="690" t="s">
        <v>1046</v>
      </c>
      <c r="C902" s="760"/>
      <c r="D902" s="760"/>
      <c r="E902" s="761"/>
      <c r="F902" s="762" t="s">
        <v>1048</v>
      </c>
      <c r="G902" s="763"/>
      <c r="H902" s="763"/>
      <c r="I902" s="763"/>
      <c r="J902" s="1751" t="s">
        <v>1432</v>
      </c>
      <c r="K902" s="1752"/>
      <c r="L902" s="1753"/>
      <c r="M902" s="2207">
        <v>50000</v>
      </c>
      <c r="N902" s="2208"/>
      <c r="O902" s="2209"/>
      <c r="P902" s="1688">
        <v>1107540.919</v>
      </c>
      <c r="Q902" s="1689"/>
      <c r="R902" s="1690"/>
      <c r="T902" s="425"/>
      <c r="U902" s="359"/>
    </row>
    <row r="903" spans="2:21" ht="13.5" customHeight="1" thickBot="1">
      <c r="B903" s="690" t="s">
        <v>1047</v>
      </c>
      <c r="C903" s="907"/>
      <c r="D903" s="907"/>
      <c r="E903" s="908"/>
      <c r="F903" s="909" t="s">
        <v>1049</v>
      </c>
      <c r="G903" s="910"/>
      <c r="H903" s="910"/>
      <c r="I903" s="911"/>
      <c r="J903" s="1739" t="s">
        <v>1432</v>
      </c>
      <c r="K903" s="1740"/>
      <c r="L903" s="1741"/>
      <c r="M903" s="1654">
        <v>490000</v>
      </c>
      <c r="N903" s="1655"/>
      <c r="O903" s="1656"/>
      <c r="P903" s="1663">
        <v>10978158.512</v>
      </c>
      <c r="Q903" s="1664"/>
      <c r="R903" s="1665"/>
      <c r="T903" s="425"/>
      <c r="U903" s="359"/>
    </row>
    <row r="904" spans="2:21" ht="13.5" thickBot="1">
      <c r="B904" s="713"/>
      <c r="C904" s="714"/>
      <c r="D904" s="714"/>
      <c r="E904" s="714"/>
      <c r="F904" s="715"/>
      <c r="G904" s="715"/>
      <c r="H904" s="715"/>
      <c r="I904" s="715"/>
      <c r="J904" s="715"/>
      <c r="K904" s="715"/>
      <c r="L904" s="715"/>
      <c r="M904" s="715"/>
      <c r="N904" s="715"/>
      <c r="O904" s="716"/>
      <c r="P904" s="2199">
        <f>SUM(P902:R903)</f>
        <v>12085699.431</v>
      </c>
      <c r="Q904" s="1837"/>
      <c r="R904" s="1838"/>
      <c r="S904" s="359">
        <f>+P904+P940</f>
        <v>13270174.941</v>
      </c>
      <c r="T904" s="425"/>
      <c r="U904" s="359"/>
    </row>
    <row r="905" spans="2:21">
      <c r="B905" s="694" t="s">
        <v>1508</v>
      </c>
      <c r="C905" s="749"/>
      <c r="D905" s="750"/>
      <c r="E905" s="751"/>
      <c r="F905" s="752" t="s">
        <v>1508</v>
      </c>
      <c r="G905" s="753"/>
      <c r="H905" s="750"/>
      <c r="I905" s="754"/>
      <c r="J905" s="2715" t="s">
        <v>1509</v>
      </c>
      <c r="K905" s="2716"/>
      <c r="L905" s="2717"/>
      <c r="M905" s="1691">
        <v>25198.44</v>
      </c>
      <c r="N905" s="1692"/>
      <c r="O905" s="1693"/>
      <c r="P905" s="2253">
        <v>1074324.6440000001</v>
      </c>
      <c r="Q905" s="2254"/>
      <c r="R905" s="2255"/>
      <c r="T905" s="474"/>
    </row>
    <row r="906" spans="2:21">
      <c r="B906" s="690" t="s">
        <v>1850</v>
      </c>
      <c r="C906" s="564"/>
      <c r="D906" s="703"/>
      <c r="E906" s="745"/>
      <c r="F906" s="710" t="s">
        <v>1850</v>
      </c>
      <c r="G906" s="598"/>
      <c r="H906" s="703"/>
      <c r="I906" s="723"/>
      <c r="J906" s="1739" t="s">
        <v>1509</v>
      </c>
      <c r="K906" s="1740"/>
      <c r="L906" s="1741"/>
      <c r="M906" s="2734">
        <v>0.48</v>
      </c>
      <c r="N906" s="2735"/>
      <c r="O906" s="2736"/>
      <c r="P906" s="1663">
        <v>9.907</v>
      </c>
      <c r="Q906" s="1664"/>
      <c r="R906" s="1665"/>
      <c r="T906" s="474"/>
    </row>
    <row r="907" spans="2:21">
      <c r="B907" s="690" t="s">
        <v>1851</v>
      </c>
      <c r="C907" s="564"/>
      <c r="D907" s="703"/>
      <c r="E907" s="745"/>
      <c r="F907" s="710" t="s">
        <v>1851</v>
      </c>
      <c r="G907" s="598"/>
      <c r="H907" s="703"/>
      <c r="I907" s="723"/>
      <c r="J907" s="1739" t="s">
        <v>1509</v>
      </c>
      <c r="K907" s="1740"/>
      <c r="L907" s="1741"/>
      <c r="M907" s="1654">
        <v>20634</v>
      </c>
      <c r="N907" s="1655"/>
      <c r="O907" s="1656"/>
      <c r="P907" s="1663">
        <v>560142.89599999995</v>
      </c>
      <c r="Q907" s="1664"/>
      <c r="R907" s="1665"/>
      <c r="T907" s="474"/>
    </row>
    <row r="908" spans="2:21">
      <c r="B908" s="690" t="s">
        <v>1852</v>
      </c>
      <c r="C908" s="564"/>
      <c r="D908" s="703"/>
      <c r="E908" s="745"/>
      <c r="F908" s="710" t="s">
        <v>1852</v>
      </c>
      <c r="G908" s="598"/>
      <c r="H908" s="703"/>
      <c r="I908" s="723"/>
      <c r="J908" s="1739" t="s">
        <v>1509</v>
      </c>
      <c r="K908" s="1740"/>
      <c r="L908" s="1741"/>
      <c r="M908" s="1654">
        <v>111931</v>
      </c>
      <c r="N908" s="1655"/>
      <c r="O908" s="1656"/>
      <c r="P908" s="1663">
        <v>1666983.4739999999</v>
      </c>
      <c r="Q908" s="1664"/>
      <c r="R908" s="1665"/>
      <c r="T908" s="474"/>
    </row>
    <row r="909" spans="2:21">
      <c r="B909" s="690" t="s">
        <v>2590</v>
      </c>
      <c r="C909" s="564"/>
      <c r="D909" s="703"/>
      <c r="E909" s="598"/>
      <c r="F909" s="755" t="s">
        <v>2590</v>
      </c>
      <c r="G909" s="598"/>
      <c r="H909" s="703"/>
      <c r="I909" s="723"/>
      <c r="J909" s="1739" t="s">
        <v>1509</v>
      </c>
      <c r="K909" s="1740"/>
      <c r="L909" s="1741"/>
      <c r="M909" s="1654">
        <v>285543</v>
      </c>
      <c r="N909" s="1655"/>
      <c r="O909" s="1656"/>
      <c r="P909" s="1663">
        <v>3147735.0430000001</v>
      </c>
      <c r="Q909" s="1664"/>
      <c r="R909" s="1665"/>
      <c r="T909" s="474"/>
    </row>
    <row r="910" spans="2:21">
      <c r="B910" s="690" t="s">
        <v>2652</v>
      </c>
      <c r="C910" s="564"/>
      <c r="D910" s="879"/>
      <c r="E910" s="598"/>
      <c r="F910" s="755" t="s">
        <v>2652</v>
      </c>
      <c r="G910" s="598"/>
      <c r="H910" s="879"/>
      <c r="I910" s="723"/>
      <c r="J910" s="1739" t="s">
        <v>2568</v>
      </c>
      <c r="K910" s="1740"/>
      <c r="L910" s="1741"/>
      <c r="M910" s="1654">
        <v>418648205</v>
      </c>
      <c r="N910" s="1655"/>
      <c r="O910" s="1656"/>
      <c r="P910" s="1663">
        <v>418648</v>
      </c>
      <c r="Q910" s="1664"/>
      <c r="R910" s="1665"/>
      <c r="T910" s="474"/>
    </row>
    <row r="911" spans="2:21" ht="12.75">
      <c r="B911" s="695" t="s">
        <v>1853</v>
      </c>
      <c r="C911" s="731"/>
      <c r="D911" s="756"/>
      <c r="E911" s="757"/>
      <c r="F911" s="758" t="s">
        <v>1853</v>
      </c>
      <c r="G911" s="756"/>
      <c r="H911" s="756"/>
      <c r="I911" s="759"/>
      <c r="J911" s="1739" t="s">
        <v>1509</v>
      </c>
      <c r="K911" s="1740"/>
      <c r="L911" s="1741"/>
      <c r="M911" s="1654">
        <v>131406.04500000001</v>
      </c>
      <c r="N911" s="1655"/>
      <c r="O911" s="1656"/>
      <c r="P911" s="1663">
        <v>1701425.996</v>
      </c>
      <c r="Q911" s="1664"/>
      <c r="R911" s="1665"/>
      <c r="S911" s="359"/>
      <c r="T911" s="474"/>
    </row>
    <row r="912" spans="2:21">
      <c r="B912" s="564" t="s">
        <v>2658</v>
      </c>
      <c r="C912" s="598"/>
      <c r="D912" s="904"/>
      <c r="E912" s="598"/>
      <c r="F912" s="912" t="s">
        <v>2658</v>
      </c>
      <c r="G912" s="598"/>
      <c r="H912" s="904"/>
      <c r="I912" s="723"/>
      <c r="J912" s="1651" t="s">
        <v>903</v>
      </c>
      <c r="K912" s="1652"/>
      <c r="L912" s="1653"/>
      <c r="M912" s="1654">
        <v>1318890.33</v>
      </c>
      <c r="N912" s="1655"/>
      <c r="O912" s="1656"/>
      <c r="P912" s="1657">
        <v>687748.55099999998</v>
      </c>
      <c r="Q912" s="1658"/>
      <c r="R912" s="1659"/>
      <c r="S912" s="359"/>
      <c r="T912" s="474"/>
    </row>
    <row r="913" spans="2:21">
      <c r="B913" s="564" t="s">
        <v>2659</v>
      </c>
      <c r="C913" s="598"/>
      <c r="D913" s="904"/>
      <c r="E913" s="598"/>
      <c r="F913" s="912" t="s">
        <v>2659</v>
      </c>
      <c r="G913" s="598"/>
      <c r="H913" s="904"/>
      <c r="I913" s="723"/>
      <c r="J913" s="1651" t="s">
        <v>2568</v>
      </c>
      <c r="K913" s="1652"/>
      <c r="L913" s="1653"/>
      <c r="M913" s="1654">
        <v>334942707.37</v>
      </c>
      <c r="N913" s="1655"/>
      <c r="O913" s="1656"/>
      <c r="P913" s="1657">
        <v>334942.70699999999</v>
      </c>
      <c r="Q913" s="1658"/>
      <c r="R913" s="1659"/>
      <c r="S913" s="359"/>
      <c r="T913" s="474"/>
    </row>
    <row r="914" spans="2:21">
      <c r="B914" s="564" t="s">
        <v>2660</v>
      </c>
      <c r="C914" s="598"/>
      <c r="D914" s="904"/>
      <c r="E914" s="598"/>
      <c r="F914" s="912" t="s">
        <v>2660</v>
      </c>
      <c r="G914" s="598"/>
      <c r="H914" s="904"/>
      <c r="I914" s="723"/>
      <c r="J914" s="1651" t="s">
        <v>2568</v>
      </c>
      <c r="K914" s="1652"/>
      <c r="L914" s="1653"/>
      <c r="M914" s="1654">
        <v>27731485.100000001</v>
      </c>
      <c r="N914" s="1655"/>
      <c r="O914" s="1656"/>
      <c r="P914" s="1657">
        <v>27731.485000000001</v>
      </c>
      <c r="Q914" s="1658"/>
      <c r="R914" s="1659"/>
      <c r="S914" s="359"/>
      <c r="T914" s="474"/>
    </row>
    <row r="915" spans="2:21">
      <c r="B915" s="564" t="s">
        <v>2661</v>
      </c>
      <c r="C915" s="598"/>
      <c r="D915" s="904"/>
      <c r="E915" s="598"/>
      <c r="F915" s="912" t="s">
        <v>2661</v>
      </c>
      <c r="G915" s="598"/>
      <c r="H915" s="904"/>
      <c r="I915" s="723"/>
      <c r="J915" s="1651" t="s">
        <v>2568</v>
      </c>
      <c r="K915" s="1652"/>
      <c r="L915" s="1653"/>
      <c r="M915" s="1654">
        <v>1003741349</v>
      </c>
      <c r="N915" s="1655"/>
      <c r="O915" s="1656"/>
      <c r="P915" s="1657">
        <v>1003741.349</v>
      </c>
      <c r="Q915" s="1658"/>
      <c r="R915" s="1659"/>
      <c r="S915" s="359"/>
      <c r="T915" s="474"/>
    </row>
    <row r="916" spans="2:21">
      <c r="B916" s="564" t="s">
        <v>2662</v>
      </c>
      <c r="C916" s="598"/>
      <c r="D916" s="904"/>
      <c r="E916" s="598"/>
      <c r="F916" s="912" t="s">
        <v>2662</v>
      </c>
      <c r="G916" s="598"/>
      <c r="H916" s="904"/>
      <c r="I916" s="723"/>
      <c r="J916" s="1651" t="s">
        <v>2568</v>
      </c>
      <c r="K916" s="1652"/>
      <c r="L916" s="1653"/>
      <c r="M916" s="1654">
        <v>1240112132</v>
      </c>
      <c r="N916" s="1655"/>
      <c r="O916" s="1656"/>
      <c r="P916" s="1657">
        <v>1240112.132</v>
      </c>
      <c r="Q916" s="1658"/>
      <c r="R916" s="1659"/>
      <c r="S916" s="359"/>
      <c r="T916" s="474"/>
    </row>
    <row r="917" spans="2:21">
      <c r="B917" s="564" t="s">
        <v>2664</v>
      </c>
      <c r="C917" s="598"/>
      <c r="D917" s="904"/>
      <c r="E917" s="598"/>
      <c r="F917" s="912" t="s">
        <v>2664</v>
      </c>
      <c r="G917" s="598"/>
      <c r="H917" s="904"/>
      <c r="I917" s="723"/>
      <c r="J917" s="1651" t="s">
        <v>2568</v>
      </c>
      <c r="K917" s="1652"/>
      <c r="L917" s="1653"/>
      <c r="M917" s="1654">
        <v>176525345.5</v>
      </c>
      <c r="N917" s="1655"/>
      <c r="O917" s="1656"/>
      <c r="P917" s="1657">
        <v>176525.34599999999</v>
      </c>
      <c r="Q917" s="1658"/>
      <c r="R917" s="1659"/>
      <c r="S917" s="359"/>
      <c r="T917" s="474"/>
    </row>
    <row r="918" spans="2:21">
      <c r="B918" s="564" t="s">
        <v>2665</v>
      </c>
      <c r="C918" s="598"/>
      <c r="D918" s="904"/>
      <c r="E918" s="598"/>
      <c r="F918" s="912" t="s">
        <v>2665</v>
      </c>
      <c r="G918" s="598"/>
      <c r="H918" s="904"/>
      <c r="I918" s="723"/>
      <c r="J918" s="1651" t="s">
        <v>2568</v>
      </c>
      <c r="K918" s="1652"/>
      <c r="L918" s="1653"/>
      <c r="M918" s="1654">
        <v>387939240.10000002</v>
      </c>
      <c r="N918" s="1655"/>
      <c r="O918" s="1656"/>
      <c r="P918" s="1657">
        <v>387939.24</v>
      </c>
      <c r="Q918" s="1658"/>
      <c r="R918" s="1659"/>
      <c r="S918" s="359"/>
      <c r="T918" s="474"/>
    </row>
    <row r="919" spans="2:21" ht="12" thickBot="1">
      <c r="B919" s="564" t="s">
        <v>2663</v>
      </c>
      <c r="C919" s="598"/>
      <c r="D919" s="904"/>
      <c r="E919" s="598"/>
      <c r="F919" s="913" t="s">
        <v>2663</v>
      </c>
      <c r="G919" s="598"/>
      <c r="H919" s="904"/>
      <c r="I919" s="723"/>
      <c r="J919" s="1651" t="s">
        <v>2568</v>
      </c>
      <c r="K919" s="1652"/>
      <c r="L919" s="1653"/>
      <c r="M919" s="1654">
        <v>180578881.19999999</v>
      </c>
      <c r="N919" s="1655"/>
      <c r="O919" s="1656"/>
      <c r="P919" s="1657">
        <v>180578.88099999999</v>
      </c>
      <c r="Q919" s="1658"/>
      <c r="R919" s="1659"/>
      <c r="S919" s="359"/>
      <c r="T919" s="474"/>
    </row>
    <row r="920" spans="2:21" ht="13.5" thickBot="1">
      <c r="B920" s="1746" t="s">
        <v>314</v>
      </c>
      <c r="C920" s="1747"/>
      <c r="D920" s="1747"/>
      <c r="E920" s="1747"/>
      <c r="F920" s="1747"/>
      <c r="G920" s="1747"/>
      <c r="H920" s="1747"/>
      <c r="I920" s="1747"/>
      <c r="J920" s="1747"/>
      <c r="K920" s="1747"/>
      <c r="L920" s="1747"/>
      <c r="M920" s="1747"/>
      <c r="N920" s="1747"/>
      <c r="O920" s="2130"/>
      <c r="P920" s="1836">
        <f>SUM(P905:R919)</f>
        <v>12608589.650999999</v>
      </c>
      <c r="Q920" s="1837"/>
      <c r="R920" s="1838"/>
      <c r="S920" s="359" t="s">
        <v>2619</v>
      </c>
      <c r="T920" s="425"/>
      <c r="U920" s="359"/>
    </row>
    <row r="921" spans="2:21">
      <c r="B921" s="564" t="s">
        <v>2618</v>
      </c>
      <c r="C921" s="598"/>
      <c r="D921" s="703"/>
      <c r="E921" s="745"/>
      <c r="F921" s="738" t="s">
        <v>2618</v>
      </c>
      <c r="G921" s="598"/>
      <c r="H921" s="703"/>
      <c r="I921" s="723"/>
      <c r="J921" s="1651" t="s">
        <v>903</v>
      </c>
      <c r="K921" s="1652"/>
      <c r="L921" s="1653"/>
      <c r="M921" s="1694">
        <v>19928</v>
      </c>
      <c r="N921" s="1695"/>
      <c r="O921" s="1696"/>
      <c r="P921" s="1697">
        <v>939301.68500000006</v>
      </c>
      <c r="Q921" s="1698"/>
      <c r="R921" s="1699"/>
      <c r="T921" s="475"/>
    </row>
    <row r="922" spans="2:21">
      <c r="B922" s="564" t="s">
        <v>2655</v>
      </c>
      <c r="C922" s="598"/>
      <c r="D922" s="879"/>
      <c r="E922" s="745"/>
      <c r="F922" s="883" t="s">
        <v>2655</v>
      </c>
      <c r="G922" s="598"/>
      <c r="H922" s="879"/>
      <c r="I922" s="723"/>
      <c r="J922" s="1651" t="s">
        <v>903</v>
      </c>
      <c r="K922" s="1652"/>
      <c r="L922" s="1653"/>
      <c r="M922" s="1694">
        <v>70000</v>
      </c>
      <c r="N922" s="1695"/>
      <c r="O922" s="1696"/>
      <c r="P922" s="1697">
        <v>474528.6</v>
      </c>
      <c r="Q922" s="1698"/>
      <c r="R922" s="1699"/>
      <c r="T922" s="475"/>
    </row>
    <row r="923" spans="2:21">
      <c r="B923" s="564" t="s">
        <v>1433</v>
      </c>
      <c r="C923" s="598"/>
      <c r="D923" s="703"/>
      <c r="E923" s="745"/>
      <c r="F923" s="738" t="s">
        <v>1433</v>
      </c>
      <c r="G923" s="598"/>
      <c r="H923" s="703"/>
      <c r="I923" s="723"/>
      <c r="J923" s="1651" t="s">
        <v>903</v>
      </c>
      <c r="K923" s="1652"/>
      <c r="L923" s="1653"/>
      <c r="M923" s="1694">
        <v>353351</v>
      </c>
      <c r="N923" s="1695"/>
      <c r="O923" s="1696"/>
      <c r="P923" s="1697">
        <v>6990764.5690000001</v>
      </c>
      <c r="Q923" s="1698"/>
      <c r="R923" s="1699"/>
      <c r="T923" s="475"/>
    </row>
    <row r="924" spans="2:21">
      <c r="B924" s="564" t="s">
        <v>2654</v>
      </c>
      <c r="C924" s="598"/>
      <c r="D924" s="879"/>
      <c r="E924" s="745"/>
      <c r="F924" s="883" t="s">
        <v>2654</v>
      </c>
      <c r="G924" s="598"/>
      <c r="H924" s="879"/>
      <c r="I924" s="723"/>
      <c r="J924" s="1651" t="s">
        <v>903</v>
      </c>
      <c r="K924" s="1652"/>
      <c r="L924" s="1653"/>
      <c r="M924" s="1694">
        <v>17000</v>
      </c>
      <c r="N924" s="1695"/>
      <c r="O924" s="1696"/>
      <c r="P924" s="1697">
        <v>511588.76199999999</v>
      </c>
      <c r="Q924" s="1698"/>
      <c r="R924" s="1699"/>
      <c r="T924" s="475"/>
    </row>
    <row r="925" spans="2:21">
      <c r="B925" s="564" t="s">
        <v>2615</v>
      </c>
      <c r="C925" s="598"/>
      <c r="D925" s="703"/>
      <c r="E925" s="745"/>
      <c r="F925" s="738" t="s">
        <v>2615</v>
      </c>
      <c r="G925" s="598"/>
      <c r="H925" s="703"/>
      <c r="I925" s="723"/>
      <c r="J925" s="1651" t="s">
        <v>903</v>
      </c>
      <c r="K925" s="1652"/>
      <c r="L925" s="1653"/>
      <c r="M925" s="1694">
        <v>20000</v>
      </c>
      <c r="N925" s="1695"/>
      <c r="O925" s="1696"/>
      <c r="P925" s="1697">
        <v>161339.72399999999</v>
      </c>
      <c r="Q925" s="1698"/>
      <c r="R925" s="1699"/>
      <c r="T925" s="475"/>
    </row>
    <row r="926" spans="2:21">
      <c r="B926" s="564" t="s">
        <v>2653</v>
      </c>
      <c r="C926" s="598"/>
      <c r="D926" s="879"/>
      <c r="E926" s="745"/>
      <c r="F926" s="883" t="s">
        <v>2653</v>
      </c>
      <c r="G926" s="598"/>
      <c r="H926" s="879"/>
      <c r="I926" s="723"/>
      <c r="J926" s="1651" t="s">
        <v>903</v>
      </c>
      <c r="K926" s="1652"/>
      <c r="L926" s="1653"/>
      <c r="M926" s="1694">
        <v>45000</v>
      </c>
      <c r="N926" s="1695"/>
      <c r="O926" s="1696"/>
      <c r="P926" s="1697">
        <v>451010.75400000002</v>
      </c>
      <c r="Q926" s="1698"/>
      <c r="R926" s="1699"/>
      <c r="T926" s="475"/>
    </row>
    <row r="927" spans="2:21">
      <c r="B927" s="564" t="s">
        <v>1043</v>
      </c>
      <c r="C927" s="598"/>
      <c r="D927" s="703"/>
      <c r="E927" s="745"/>
      <c r="F927" s="738" t="s">
        <v>1043</v>
      </c>
      <c r="G927" s="598"/>
      <c r="H927" s="703"/>
      <c r="I927" s="723"/>
      <c r="J927" s="1651" t="s">
        <v>903</v>
      </c>
      <c r="K927" s="1652"/>
      <c r="L927" s="1653"/>
      <c r="M927" s="1694">
        <v>20000</v>
      </c>
      <c r="N927" s="1695"/>
      <c r="O927" s="1696"/>
      <c r="P927" s="1697">
        <v>560673.79200000002</v>
      </c>
      <c r="Q927" s="1698"/>
      <c r="R927" s="1699"/>
      <c r="T927" s="475"/>
    </row>
    <row r="928" spans="2:21">
      <c r="B928" s="564" t="s">
        <v>1854</v>
      </c>
      <c r="C928" s="598"/>
      <c r="D928" s="703"/>
      <c r="E928" s="745"/>
      <c r="F928" s="738" t="s">
        <v>1854</v>
      </c>
      <c r="G928" s="598"/>
      <c r="H928" s="703"/>
      <c r="I928" s="723"/>
      <c r="J928" s="1651" t="s">
        <v>903</v>
      </c>
      <c r="K928" s="1652"/>
      <c r="L928" s="1653"/>
      <c r="M928" s="1694">
        <v>50956</v>
      </c>
      <c r="N928" s="1695"/>
      <c r="O928" s="1696"/>
      <c r="P928" s="1697">
        <v>1524939.2890000001</v>
      </c>
      <c r="Q928" s="1698"/>
      <c r="R928" s="1699"/>
      <c r="T928" s="475"/>
    </row>
    <row r="929" spans="2:20">
      <c r="B929" s="564" t="s">
        <v>2616</v>
      </c>
      <c r="C929" s="598"/>
      <c r="D929" s="703"/>
      <c r="E929" s="746"/>
      <c r="F929" s="738" t="s">
        <v>2616</v>
      </c>
      <c r="G929" s="598"/>
      <c r="H929" s="703"/>
      <c r="I929" s="723"/>
      <c r="J929" s="1651" t="s">
        <v>903</v>
      </c>
      <c r="K929" s="1652"/>
      <c r="L929" s="1653"/>
      <c r="M929" s="1694">
        <v>30230</v>
      </c>
      <c r="N929" s="1695"/>
      <c r="O929" s="1696"/>
      <c r="P929" s="1697">
        <v>448793.55800000002</v>
      </c>
      <c r="Q929" s="1698"/>
      <c r="R929" s="1699"/>
      <c r="T929" s="475"/>
    </row>
    <row r="930" spans="2:20">
      <c r="B930" s="564" t="s">
        <v>1796</v>
      </c>
      <c r="C930" s="598"/>
      <c r="D930" s="703"/>
      <c r="E930" s="746"/>
      <c r="F930" s="738" t="s">
        <v>1796</v>
      </c>
      <c r="G930" s="598"/>
      <c r="H930" s="703"/>
      <c r="I930" s="723"/>
      <c r="J930" s="1651" t="s">
        <v>903</v>
      </c>
      <c r="K930" s="1652"/>
      <c r="L930" s="1653"/>
      <c r="M930" s="1694">
        <v>83479</v>
      </c>
      <c r="N930" s="1695"/>
      <c r="O930" s="1696"/>
      <c r="P930" s="1697">
        <v>2740273.89</v>
      </c>
      <c r="Q930" s="1698"/>
      <c r="R930" s="1699"/>
      <c r="T930" s="475"/>
    </row>
    <row r="931" spans="2:20">
      <c r="B931" s="564" t="s">
        <v>2591</v>
      </c>
      <c r="C931" s="598"/>
      <c r="D931" s="703"/>
      <c r="E931" s="746"/>
      <c r="F931" s="738" t="s">
        <v>2591</v>
      </c>
      <c r="G931" s="598"/>
      <c r="H931" s="703"/>
      <c r="I931" s="723"/>
      <c r="J931" s="1651" t="s">
        <v>903</v>
      </c>
      <c r="K931" s="1652"/>
      <c r="L931" s="1653"/>
      <c r="M931" s="1694">
        <v>11000</v>
      </c>
      <c r="N931" s="1695"/>
      <c r="O931" s="1696"/>
      <c r="P931" s="1697">
        <v>272979.505</v>
      </c>
      <c r="Q931" s="1698"/>
      <c r="R931" s="1699"/>
      <c r="T931" s="475"/>
    </row>
    <row r="932" spans="2:20">
      <c r="B932" s="564" t="s">
        <v>2617</v>
      </c>
      <c r="C932" s="598"/>
      <c r="D932" s="703"/>
      <c r="E932" s="745"/>
      <c r="F932" s="738" t="s">
        <v>2617</v>
      </c>
      <c r="G932" s="598"/>
      <c r="H932" s="703"/>
      <c r="I932" s="723"/>
      <c r="J932" s="1651" t="s">
        <v>903</v>
      </c>
      <c r="K932" s="1652"/>
      <c r="L932" s="1653"/>
      <c r="M932" s="1694">
        <v>63802</v>
      </c>
      <c r="N932" s="1695"/>
      <c r="O932" s="1696"/>
      <c r="P932" s="1697">
        <v>1378384.01</v>
      </c>
      <c r="Q932" s="1698"/>
      <c r="R932" s="1699"/>
      <c r="T932" s="475"/>
    </row>
    <row r="933" spans="2:20" ht="12" thickBot="1">
      <c r="B933" s="747" t="s">
        <v>1044</v>
      </c>
      <c r="C933" s="598"/>
      <c r="D933" s="703"/>
      <c r="E933" s="748"/>
      <c r="F933" s="738" t="s">
        <v>1044</v>
      </c>
      <c r="G933" s="598"/>
      <c r="H933" s="703"/>
      <c r="I933" s="723"/>
      <c r="J933" s="1651" t="s">
        <v>903</v>
      </c>
      <c r="K933" s="1652"/>
      <c r="L933" s="1653"/>
      <c r="M933" s="1694">
        <v>175472</v>
      </c>
      <c r="N933" s="1695"/>
      <c r="O933" s="1696"/>
      <c r="P933" s="1697">
        <v>11483454.455</v>
      </c>
      <c r="Q933" s="1698"/>
      <c r="R933" s="1699"/>
      <c r="S933" s="359"/>
      <c r="T933" s="475"/>
    </row>
    <row r="934" spans="2:20" ht="13.5" thickBot="1">
      <c r="B934" s="2131" t="s">
        <v>537</v>
      </c>
      <c r="C934" s="2132"/>
      <c r="D934" s="2132"/>
      <c r="E934" s="2132"/>
      <c r="F934" s="2132"/>
      <c r="G934" s="2132"/>
      <c r="H934" s="2132"/>
      <c r="I934" s="2132"/>
      <c r="J934" s="2132"/>
      <c r="K934" s="2132"/>
      <c r="L934" s="2132"/>
      <c r="M934" s="2132"/>
      <c r="N934" s="2132"/>
      <c r="O934" s="2133"/>
      <c r="P934" s="2199">
        <f>SUM(P921:R933)</f>
        <v>27938032.593000002</v>
      </c>
      <c r="Q934" s="1837"/>
      <c r="R934" s="1838"/>
      <c r="S934" s="301" t="s">
        <v>2619</v>
      </c>
      <c r="T934" s="799"/>
    </row>
    <row r="935" spans="2:20">
      <c r="B935" s="705" t="s">
        <v>2612</v>
      </c>
      <c r="C935" s="706"/>
      <c r="D935" s="707"/>
      <c r="E935" s="706"/>
      <c r="F935" s="708" t="s">
        <v>2612</v>
      </c>
      <c r="G935" s="706"/>
      <c r="H935" s="707"/>
      <c r="I935" s="709"/>
      <c r="J935" s="2204" t="s">
        <v>903</v>
      </c>
      <c r="K935" s="2205"/>
      <c r="L935" s="2206"/>
      <c r="M935" s="2207">
        <v>18500</v>
      </c>
      <c r="N935" s="2208"/>
      <c r="O935" s="2209"/>
      <c r="P935" s="2731">
        <v>186669.644</v>
      </c>
      <c r="Q935" s="2732"/>
      <c r="R935" s="2733"/>
      <c r="T935" s="425"/>
    </row>
    <row r="936" spans="2:20">
      <c r="B936" s="694" t="s">
        <v>2542</v>
      </c>
      <c r="C936" s="598"/>
      <c r="D936" s="703"/>
      <c r="E936" s="598"/>
      <c r="F936" s="710" t="s">
        <v>2535</v>
      </c>
      <c r="G936" s="562"/>
      <c r="H936" s="711"/>
      <c r="I936" s="613"/>
      <c r="J936" s="1805" t="s">
        <v>903</v>
      </c>
      <c r="K936" s="1806"/>
      <c r="L936" s="1807"/>
      <c r="M936" s="1654">
        <v>30891</v>
      </c>
      <c r="N936" s="1655"/>
      <c r="O936" s="1656"/>
      <c r="P936" s="1765">
        <v>173413.70300000001</v>
      </c>
      <c r="Q936" s="1766"/>
      <c r="R936" s="1767"/>
      <c r="T936" s="425"/>
    </row>
    <row r="937" spans="2:20">
      <c r="B937" s="690" t="s">
        <v>2540</v>
      </c>
      <c r="C937" s="598"/>
      <c r="D937" s="703"/>
      <c r="E937" s="598"/>
      <c r="F937" s="710" t="s">
        <v>2536</v>
      </c>
      <c r="G937" s="562"/>
      <c r="H937" s="711"/>
      <c r="I937" s="613"/>
      <c r="J937" s="1802" t="s">
        <v>903</v>
      </c>
      <c r="K937" s="1803"/>
      <c r="L937" s="1804"/>
      <c r="M937" s="1654">
        <v>83500</v>
      </c>
      <c r="N937" s="1655"/>
      <c r="O937" s="1656"/>
      <c r="P937" s="1765">
        <v>552700.946</v>
      </c>
      <c r="Q937" s="1766"/>
      <c r="R937" s="1767"/>
      <c r="T937" s="425"/>
    </row>
    <row r="938" spans="2:20">
      <c r="B938" s="690" t="s">
        <v>2541</v>
      </c>
      <c r="C938" s="667"/>
      <c r="D938" s="712"/>
      <c r="E938" s="667"/>
      <c r="F938" s="710" t="s">
        <v>2537</v>
      </c>
      <c r="G938" s="562"/>
      <c r="H938" s="711"/>
      <c r="I938" s="613"/>
      <c r="J938" s="1802" t="s">
        <v>903</v>
      </c>
      <c r="K938" s="1803"/>
      <c r="L938" s="1804"/>
      <c r="M938" s="1694">
        <v>163800</v>
      </c>
      <c r="N938" s="1695"/>
      <c r="O938" s="1696"/>
      <c r="P938" s="1765">
        <v>269911.44199999998</v>
      </c>
      <c r="Q938" s="1766"/>
      <c r="R938" s="1767"/>
      <c r="T938" s="425"/>
    </row>
    <row r="939" spans="2:20" ht="12" thickBot="1">
      <c r="B939" s="564" t="s">
        <v>1893</v>
      </c>
      <c r="C939" s="562"/>
      <c r="D939" s="711"/>
      <c r="E939" s="562"/>
      <c r="F939" s="710" t="s">
        <v>1894</v>
      </c>
      <c r="G939" s="562"/>
      <c r="H939" s="711"/>
      <c r="I939" s="613"/>
      <c r="J939" s="2730" t="s">
        <v>1895</v>
      </c>
      <c r="K939" s="1652"/>
      <c r="L939" s="1653"/>
      <c r="M939" s="1694">
        <v>316</v>
      </c>
      <c r="N939" s="1695"/>
      <c r="O939" s="1696"/>
      <c r="P939" s="1697">
        <v>1779.7750000000001</v>
      </c>
      <c r="Q939" s="1698"/>
      <c r="R939" s="1699"/>
      <c r="T939" s="425"/>
    </row>
    <row r="940" spans="2:20" ht="13.5" thickBot="1">
      <c r="B940" s="713" t="s">
        <v>358</v>
      </c>
      <c r="C940" s="714"/>
      <c r="D940" s="714"/>
      <c r="E940" s="714"/>
      <c r="F940" s="715"/>
      <c r="G940" s="715"/>
      <c r="H940" s="715"/>
      <c r="I940" s="715"/>
      <c r="J940" s="715"/>
      <c r="K940" s="715"/>
      <c r="L940" s="715"/>
      <c r="M940" s="715"/>
      <c r="N940" s="715"/>
      <c r="O940" s="716"/>
      <c r="P940" s="1782">
        <f>SUM(P935:R939)</f>
        <v>1184475.51</v>
      </c>
      <c r="Q940" s="1783"/>
      <c r="R940" s="1784"/>
      <c r="S940" s="301" t="s">
        <v>2619</v>
      </c>
      <c r="T940" s="425"/>
    </row>
    <row r="941" spans="2:20">
      <c r="B941" s="690" t="s">
        <v>2544</v>
      </c>
      <c r="C941" s="717"/>
      <c r="D941" s="718"/>
      <c r="E941" s="719"/>
      <c r="F941" s="710" t="s">
        <v>2567</v>
      </c>
      <c r="G941" s="720"/>
      <c r="H941" s="721"/>
      <c r="I941" s="722"/>
      <c r="J941" s="1651" t="s">
        <v>2568</v>
      </c>
      <c r="K941" s="1652"/>
      <c r="L941" s="1653"/>
      <c r="M941" s="2207">
        <v>116755</v>
      </c>
      <c r="N941" s="2208"/>
      <c r="O941" s="2209"/>
      <c r="P941" s="2723">
        <v>2656217.1140000001</v>
      </c>
      <c r="Q941" s="2724"/>
      <c r="R941" s="2725"/>
      <c r="T941" s="425"/>
    </row>
    <row r="942" spans="2:20">
      <c r="B942" s="564" t="s">
        <v>2545</v>
      </c>
      <c r="C942" s="598"/>
      <c r="D942" s="703"/>
      <c r="E942" s="598"/>
      <c r="F942" s="710" t="s">
        <v>1896</v>
      </c>
      <c r="G942" s="598"/>
      <c r="H942" s="703"/>
      <c r="I942" s="723"/>
      <c r="J942" s="1651" t="s">
        <v>903</v>
      </c>
      <c r="K942" s="1652"/>
      <c r="L942" s="1653"/>
      <c r="M942" s="1654">
        <v>27502</v>
      </c>
      <c r="N942" s="1655"/>
      <c r="O942" s="1656"/>
      <c r="P942" s="1657">
        <v>908273.78300000005</v>
      </c>
      <c r="Q942" s="1658"/>
      <c r="R942" s="1659"/>
      <c r="T942" s="425"/>
    </row>
    <row r="943" spans="2:20">
      <c r="B943" s="564" t="s">
        <v>2614</v>
      </c>
      <c r="C943" s="598"/>
      <c r="D943" s="794"/>
      <c r="E943" s="598"/>
      <c r="F943" s="710" t="s">
        <v>2613</v>
      </c>
      <c r="G943" s="598"/>
      <c r="H943" s="794"/>
      <c r="I943" s="723"/>
      <c r="J943" s="1651" t="s">
        <v>903</v>
      </c>
      <c r="K943" s="1652"/>
      <c r="L943" s="1653"/>
      <c r="M943" s="1654">
        <v>1580</v>
      </c>
      <c r="N943" s="1655"/>
      <c r="O943" s="1656"/>
      <c r="P943" s="1657">
        <v>823039.39099999995</v>
      </c>
      <c r="Q943" s="1658"/>
      <c r="R943" s="1659"/>
      <c r="T943" s="425"/>
    </row>
    <row r="944" spans="2:20">
      <c r="B944" s="564" t="s">
        <v>2546</v>
      </c>
      <c r="C944" s="598"/>
      <c r="D944" s="703"/>
      <c r="E944" s="598"/>
      <c r="F944" s="710" t="s">
        <v>2538</v>
      </c>
      <c r="G944" s="598"/>
      <c r="H944" s="703"/>
      <c r="I944" s="723"/>
      <c r="J944" s="1651" t="s">
        <v>903</v>
      </c>
      <c r="K944" s="1652"/>
      <c r="L944" s="1653"/>
      <c r="M944" s="1654">
        <v>28120</v>
      </c>
      <c r="N944" s="1655"/>
      <c r="O944" s="1656"/>
      <c r="P944" s="1657">
        <v>942003.82400000002</v>
      </c>
      <c r="Q944" s="1658"/>
      <c r="R944" s="1659"/>
      <c r="T944" s="425"/>
    </row>
    <row r="945" spans="2:21" ht="12" thickBot="1">
      <c r="B945" s="564" t="s">
        <v>2543</v>
      </c>
      <c r="C945" s="717"/>
      <c r="D945" s="718"/>
      <c r="E945" s="717"/>
      <c r="F945" s="710" t="s">
        <v>2539</v>
      </c>
      <c r="G945" s="717"/>
      <c r="H945" s="718"/>
      <c r="I945" s="724"/>
      <c r="J945" s="1651" t="s">
        <v>903</v>
      </c>
      <c r="K945" s="1652"/>
      <c r="L945" s="1653"/>
      <c r="M945" s="1654">
        <v>106020</v>
      </c>
      <c r="N945" s="1655"/>
      <c r="O945" s="1656"/>
      <c r="P945" s="1657">
        <v>4758631.1960000005</v>
      </c>
      <c r="Q945" s="1658"/>
      <c r="R945" s="1659"/>
      <c r="T945" s="425"/>
    </row>
    <row r="946" spans="2:21" ht="13.5" thickBot="1">
      <c r="B946" s="725" t="s">
        <v>1081</v>
      </c>
      <c r="C946" s="715"/>
      <c r="D946" s="715"/>
      <c r="E946" s="715"/>
      <c r="F946" s="715"/>
      <c r="G946" s="715"/>
      <c r="H946" s="715"/>
      <c r="I946" s="715"/>
      <c r="J946" s="715"/>
      <c r="K946" s="715"/>
      <c r="L946" s="715"/>
      <c r="M946" s="715"/>
      <c r="N946" s="715"/>
      <c r="O946" s="716"/>
      <c r="P946" s="2199">
        <f>SUM(P941:R945)</f>
        <v>10088165.308</v>
      </c>
      <c r="Q946" s="2200"/>
      <c r="R946" s="2201"/>
      <c r="S946" s="301" t="s">
        <v>2619</v>
      </c>
      <c r="T946" s="425"/>
    </row>
    <row r="947" spans="2:21">
      <c r="B947" s="726" t="s">
        <v>288</v>
      </c>
      <c r="C947" s="727"/>
      <c r="D947" s="727"/>
      <c r="E947" s="727"/>
      <c r="F947" s="728"/>
      <c r="G947" s="727"/>
      <c r="H947" s="727"/>
      <c r="I947" s="729"/>
      <c r="J947" s="728"/>
      <c r="K947" s="704" t="s">
        <v>2589</v>
      </c>
      <c r="L947" s="729"/>
      <c r="M947" s="728"/>
      <c r="N947" s="727"/>
      <c r="O947" s="729"/>
      <c r="P947" s="2250">
        <v>2822</v>
      </c>
      <c r="Q947" s="2251"/>
      <c r="R947" s="2252"/>
      <c r="S947" s="359"/>
      <c r="T947" s="425"/>
    </row>
    <row r="948" spans="2:21" ht="12" thickBot="1">
      <c r="B948" s="857" t="s">
        <v>2626</v>
      </c>
      <c r="C948" s="858"/>
      <c r="D948" s="858"/>
      <c r="E948" s="858"/>
      <c r="F948" s="859"/>
      <c r="G948" s="858"/>
      <c r="H948" s="858"/>
      <c r="I948" s="860"/>
      <c r="J948" s="1651" t="s">
        <v>903</v>
      </c>
      <c r="K948" s="1652"/>
      <c r="L948" s="1653"/>
      <c r="M948" s="859"/>
      <c r="N948" s="858"/>
      <c r="O948" s="860"/>
      <c r="P948" s="1657">
        <v>3536</v>
      </c>
      <c r="Q948" s="1658"/>
      <c r="R948" s="1659"/>
      <c r="S948" s="359"/>
      <c r="T948" s="425"/>
    </row>
    <row r="949" spans="2:21" ht="13.5" thickBot="1">
      <c r="B949" s="1746" t="s">
        <v>1045</v>
      </c>
      <c r="C949" s="1747"/>
      <c r="D949" s="1747"/>
      <c r="E949" s="1747"/>
      <c r="F949" s="715"/>
      <c r="G949" s="715"/>
      <c r="H949" s="715"/>
      <c r="I949" s="715"/>
      <c r="J949" s="730"/>
      <c r="K949" s="715"/>
      <c r="L949" s="716"/>
      <c r="M949" s="715"/>
      <c r="N949" s="715"/>
      <c r="O949" s="715"/>
      <c r="P949" s="2199">
        <f>SUM(P947:R948)</f>
        <v>6358</v>
      </c>
      <c r="Q949" s="1837"/>
      <c r="R949" s="1838"/>
      <c r="T949" s="425"/>
    </row>
    <row r="950" spans="2:21" ht="13.5" thickBot="1">
      <c r="B950" s="1789" t="s">
        <v>1333</v>
      </c>
      <c r="C950" s="1790"/>
      <c r="D950" s="1790"/>
      <c r="E950" s="1790"/>
      <c r="F950" s="1790"/>
      <c r="G950" s="1790"/>
      <c r="H950" s="1790"/>
      <c r="I950" s="1790"/>
      <c r="J950" s="1790"/>
      <c r="K950" s="1790"/>
      <c r="L950" s="1790"/>
      <c r="M950" s="1790"/>
      <c r="N950" s="1790"/>
      <c r="O950" s="1791"/>
      <c r="P950" s="2232">
        <f>+P949+P946+P940+P934+P920+P904+P901+P894</f>
        <v>203800806.76800001</v>
      </c>
      <c r="Q950" s="2233"/>
      <c r="R950" s="2234"/>
      <c r="S950" s="301">
        <v>203800807</v>
      </c>
      <c r="T950" s="799" t="s">
        <v>1805</v>
      </c>
    </row>
    <row r="951" spans="2:21">
      <c r="S951" s="359">
        <f>+S950-P950</f>
        <v>0.23199999332427979</v>
      </c>
      <c r="T951" s="425"/>
    </row>
    <row r="952" spans="2:21" ht="12" thickBot="1">
      <c r="T952" s="425"/>
    </row>
    <row r="953" spans="2:21" ht="50.1" customHeight="1" thickBot="1">
      <c r="B953" s="1792" t="s">
        <v>552</v>
      </c>
      <c r="C953" s="1793"/>
      <c r="D953" s="1793"/>
      <c r="E953" s="1793"/>
      <c r="F953" s="1793"/>
      <c r="G953" s="2210" t="s">
        <v>553</v>
      </c>
      <c r="H953" s="2210"/>
      <c r="I953" s="2210"/>
      <c r="J953" s="2210"/>
      <c r="K953" s="2210" t="s">
        <v>554</v>
      </c>
      <c r="L953" s="2210"/>
      <c r="M953" s="2210"/>
      <c r="N953" s="2210"/>
      <c r="O953" s="2420" t="s">
        <v>555</v>
      </c>
      <c r="P953" s="2420"/>
      <c r="Q953" s="2420"/>
      <c r="R953" s="2677"/>
      <c r="T953" s="425"/>
    </row>
    <row r="954" spans="2:21" ht="30" customHeight="1" thickBot="1">
      <c r="B954" s="2091">
        <v>1083298390</v>
      </c>
      <c r="C954" s="2092"/>
      <c r="D954" s="2092"/>
      <c r="E954" s="2092"/>
      <c r="F954" s="2093"/>
      <c r="G954" s="1785">
        <v>1098129889</v>
      </c>
      <c r="H954" s="1785"/>
      <c r="I954" s="1785"/>
      <c r="J954" s="1785"/>
      <c r="K954" s="1785">
        <v>1117620476</v>
      </c>
      <c r="L954" s="1785"/>
      <c r="M954" s="1785"/>
      <c r="N954" s="1785"/>
      <c r="O954" s="2197">
        <f>+K954-G954</f>
        <v>19490587</v>
      </c>
      <c r="P954" s="2197"/>
      <c r="Q954" s="2197"/>
      <c r="R954" s="2198"/>
      <c r="T954" s="425"/>
    </row>
    <row r="955" spans="2:21">
      <c r="T955" s="425"/>
    </row>
    <row r="956" spans="2:21">
      <c r="T956" s="425"/>
    </row>
    <row r="957" spans="2:21" ht="12" thickBot="1"/>
    <row r="958" spans="2:21" ht="20.100000000000001" customHeight="1">
      <c r="B958" s="1939" t="s">
        <v>348</v>
      </c>
      <c r="C958" s="1940"/>
      <c r="D958" s="1940"/>
      <c r="E958" s="1940"/>
      <c r="F958" s="1940"/>
      <c r="G958" s="1940"/>
      <c r="H958" s="1940"/>
      <c r="I958" s="1940"/>
      <c r="J958" s="1940"/>
      <c r="K958" s="1940"/>
      <c r="L958" s="1940"/>
      <c r="M958" s="1940"/>
      <c r="N958" s="1940"/>
      <c r="O958" s="1940"/>
      <c r="P958" s="1940"/>
      <c r="Q958" s="1940"/>
      <c r="R958" s="1940"/>
      <c r="S958" s="1940"/>
      <c r="T958" s="1940"/>
      <c r="U958" s="1941"/>
    </row>
    <row r="959" spans="2:21" ht="50.1" customHeight="1">
      <c r="B959" s="1731" t="s">
        <v>349</v>
      </c>
      <c r="C959" s="1732"/>
      <c r="D959" s="1732"/>
      <c r="E959" s="1732"/>
      <c r="F959" s="1786" t="s">
        <v>350</v>
      </c>
      <c r="G959" s="1786"/>
      <c r="H959" s="1786"/>
      <c r="I959" s="1794" t="s">
        <v>1642</v>
      </c>
      <c r="J959" s="1794"/>
      <c r="K959" s="1794"/>
      <c r="L959" s="1794"/>
      <c r="M959" s="1794"/>
      <c r="N959" s="1786" t="s">
        <v>1643</v>
      </c>
      <c r="O959" s="1786"/>
      <c r="P959" s="1786" t="s">
        <v>1644</v>
      </c>
      <c r="Q959" s="1786"/>
      <c r="R959" s="1990" t="s">
        <v>235</v>
      </c>
      <c r="S959" s="2202"/>
      <c r="T959" s="1990" t="s">
        <v>237</v>
      </c>
      <c r="U959" s="2248"/>
    </row>
    <row r="960" spans="2:21" ht="30" customHeight="1">
      <c r="B960" s="1849" t="s">
        <v>1002</v>
      </c>
      <c r="C960" s="1850"/>
      <c r="D960" s="1850"/>
      <c r="E960" s="1850"/>
      <c r="F960" s="1787"/>
      <c r="G960" s="1787"/>
      <c r="H960" s="1787"/>
      <c r="I960" s="1768" t="s">
        <v>236</v>
      </c>
      <c r="J960" s="1768"/>
      <c r="K960" s="1768"/>
      <c r="L960" s="1768"/>
      <c r="M960" s="1768"/>
      <c r="N960" s="1787"/>
      <c r="O960" s="1787"/>
      <c r="P960" s="1787"/>
      <c r="Q960" s="1787"/>
      <c r="R960" s="2203"/>
      <c r="S960" s="2203"/>
      <c r="T960" s="2203"/>
      <c r="U960" s="2249"/>
    </row>
    <row r="961" spans="2:21" ht="12" customHeight="1" thickBot="1">
      <c r="B961" s="1851"/>
      <c r="C961" s="1852"/>
      <c r="D961" s="1852"/>
      <c r="E961" s="1852"/>
      <c r="F961" s="1788"/>
      <c r="G961" s="1788"/>
      <c r="H961" s="1788"/>
      <c r="I961" s="1944"/>
      <c r="J961" s="1944"/>
      <c r="K961" s="1944"/>
      <c r="L961" s="1944"/>
      <c r="M961" s="1944"/>
      <c r="N961" s="1788"/>
      <c r="O961" s="1788"/>
      <c r="P961" s="1788"/>
      <c r="Q961" s="1788"/>
      <c r="R961" s="1944" t="s">
        <v>1885</v>
      </c>
      <c r="S961" s="1944"/>
      <c r="T961" s="1944" t="s">
        <v>1885</v>
      </c>
      <c r="U961" s="2410"/>
    </row>
    <row r="962" spans="2:21" ht="20.100000000000001" customHeight="1" thickBot="1">
      <c r="B962" s="433" t="s">
        <v>1003</v>
      </c>
      <c r="C962" s="434"/>
      <c r="D962" s="434"/>
      <c r="E962" s="434"/>
      <c r="F962" s="1854"/>
      <c r="G962" s="1854"/>
      <c r="H962" s="1854"/>
      <c r="I962" s="1853"/>
      <c r="J962" s="1853"/>
      <c r="K962" s="1853"/>
      <c r="L962" s="2369"/>
      <c r="M962" s="2369"/>
      <c r="N962" s="435"/>
      <c r="O962" s="434"/>
      <c r="P962" s="435"/>
      <c r="Q962" s="434"/>
      <c r="R962" s="1853"/>
      <c r="S962" s="1853"/>
      <c r="T962" s="1853"/>
      <c r="U962" s="2240"/>
    </row>
    <row r="963" spans="2:21" ht="11.25" customHeight="1">
      <c r="B963" s="2242" t="s">
        <v>312</v>
      </c>
      <c r="C963" s="2243"/>
      <c r="D963" s="2243"/>
      <c r="E963" s="2244"/>
      <c r="F963" s="1758" t="s">
        <v>2547</v>
      </c>
      <c r="G963" s="1758"/>
      <c r="H963" s="1758"/>
      <c r="I963" s="1742">
        <v>12000000</v>
      </c>
      <c r="J963" s="1743"/>
      <c r="K963" s="1744"/>
      <c r="L963" s="2721"/>
      <c r="M963" s="2722"/>
      <c r="N963" s="1772">
        <v>40785</v>
      </c>
      <c r="O963" s="1773"/>
      <c r="P963" s="1772">
        <v>40823</v>
      </c>
      <c r="Q963" s="2239"/>
      <c r="R963" s="1720">
        <v>3361800</v>
      </c>
      <c r="S963" s="2194"/>
      <c r="T963" s="1720">
        <v>138588.38219340055</v>
      </c>
      <c r="U963" s="1721"/>
    </row>
    <row r="964" spans="2:21" ht="11.25" customHeight="1">
      <c r="B964" s="1710" t="s">
        <v>2600</v>
      </c>
      <c r="C964" s="1711"/>
      <c r="D964" s="1711"/>
      <c r="E964" s="1712"/>
      <c r="F964" s="1713" t="s">
        <v>2547</v>
      </c>
      <c r="G964" s="1713"/>
      <c r="H964" s="1713"/>
      <c r="I964" s="1714">
        <v>1550000</v>
      </c>
      <c r="J964" s="1715"/>
      <c r="K964" s="1716"/>
      <c r="L964" s="1734"/>
      <c r="M964" s="1735"/>
      <c r="N964" s="1729">
        <v>40787</v>
      </c>
      <c r="O964" s="1730"/>
      <c r="P964" s="1729">
        <v>40819</v>
      </c>
      <c r="Q964" s="1730"/>
      <c r="R964" s="1727">
        <v>798467</v>
      </c>
      <c r="S964" s="1728"/>
      <c r="T964" s="1727">
        <v>-77620.308878228985</v>
      </c>
      <c r="U964" s="1733"/>
    </row>
    <row r="965" spans="2:21" ht="11.25" customHeight="1">
      <c r="B965" s="1710" t="s">
        <v>310</v>
      </c>
      <c r="C965" s="1711"/>
      <c r="D965" s="1711"/>
      <c r="E965" s="1712"/>
      <c r="F965" s="1713" t="s">
        <v>2547</v>
      </c>
      <c r="G965" s="1713"/>
      <c r="H965" s="1713"/>
      <c r="I965" s="1714">
        <v>1954438</v>
      </c>
      <c r="J965" s="1715"/>
      <c r="K965" s="1716"/>
      <c r="L965" s="1734"/>
      <c r="M965" s="1735"/>
      <c r="N965" s="1729">
        <v>40788</v>
      </c>
      <c r="O965" s="1730"/>
      <c r="P965" s="1729">
        <v>40821</v>
      </c>
      <c r="Q965" s="1730"/>
      <c r="R965" s="1727">
        <v>1006809</v>
      </c>
      <c r="S965" s="1728"/>
      <c r="T965" s="1727">
        <v>-104799.92755136493</v>
      </c>
      <c r="U965" s="1733"/>
    </row>
    <row r="966" spans="2:21" ht="11.25" customHeight="1">
      <c r="B966" s="1710" t="s">
        <v>2600</v>
      </c>
      <c r="C966" s="1711"/>
      <c r="D966" s="1711"/>
      <c r="E966" s="1712"/>
      <c r="F966" s="1713" t="s">
        <v>2547</v>
      </c>
      <c r="G966" s="1713"/>
      <c r="H966" s="1713"/>
      <c r="I966" s="1714">
        <v>5410000</v>
      </c>
      <c r="J966" s="1715"/>
      <c r="K966" s="1716"/>
      <c r="L966" s="1734"/>
      <c r="M966" s="1735"/>
      <c r="N966" s="1729">
        <v>40788</v>
      </c>
      <c r="O966" s="1730"/>
      <c r="P966" s="1729">
        <v>40820</v>
      </c>
      <c r="Q966" s="1730"/>
      <c r="R966" s="1727">
        <v>2786907</v>
      </c>
      <c r="S966" s="1728"/>
      <c r="T966" s="1727">
        <v>-286126.75001492928</v>
      </c>
      <c r="U966" s="1733"/>
    </row>
    <row r="967" spans="2:21" ht="11.25" customHeight="1">
      <c r="B967" s="1710" t="s">
        <v>2601</v>
      </c>
      <c r="C967" s="1711"/>
      <c r="D967" s="1711"/>
      <c r="E967" s="1712"/>
      <c r="F967" s="1713" t="s">
        <v>2547</v>
      </c>
      <c r="G967" s="1713"/>
      <c r="H967" s="1713"/>
      <c r="I967" s="1714">
        <v>4250000</v>
      </c>
      <c r="J967" s="1715"/>
      <c r="K967" s="1716"/>
      <c r="L967" s="1734"/>
      <c r="M967" s="1735"/>
      <c r="N967" s="1729">
        <v>40791</v>
      </c>
      <c r="O967" s="1730"/>
      <c r="P967" s="1729">
        <v>40821</v>
      </c>
      <c r="Q967" s="1730"/>
      <c r="R967" s="1727">
        <v>2189345</v>
      </c>
      <c r="S967" s="1728"/>
      <c r="T967" s="1727">
        <v>-225719.48576800007</v>
      </c>
      <c r="U967" s="1733"/>
    </row>
    <row r="968" spans="2:21" ht="11.25" customHeight="1">
      <c r="B968" s="1710" t="s">
        <v>1512</v>
      </c>
      <c r="C968" s="1711"/>
      <c r="D968" s="1711"/>
      <c r="E968" s="1712"/>
      <c r="F968" s="1713" t="s">
        <v>2547</v>
      </c>
      <c r="G968" s="1713"/>
      <c r="H968" s="1713"/>
      <c r="I968" s="1714">
        <v>7500000</v>
      </c>
      <c r="J968" s="1715"/>
      <c r="K968" s="1716"/>
      <c r="L968" s="1734"/>
      <c r="M968" s="1735"/>
      <c r="N968" s="1729">
        <v>40792</v>
      </c>
      <c r="O968" s="1730"/>
      <c r="P968" s="1729">
        <v>40822</v>
      </c>
      <c r="Q968" s="1730"/>
      <c r="R968" s="1727">
        <v>3863550</v>
      </c>
      <c r="S968" s="1728"/>
      <c r="T968" s="1727">
        <v>-383957.18774682516</v>
      </c>
      <c r="U968" s="1733"/>
    </row>
    <row r="969" spans="2:21" ht="11.25" customHeight="1">
      <c r="B969" s="1710" t="s">
        <v>312</v>
      </c>
      <c r="C969" s="1711"/>
      <c r="D969" s="1711"/>
      <c r="E969" s="1712"/>
      <c r="F969" s="1713" t="s">
        <v>2547</v>
      </c>
      <c r="G969" s="1713"/>
      <c r="H969" s="1713"/>
      <c r="I969" s="1714">
        <v>1500000</v>
      </c>
      <c r="J969" s="1715"/>
      <c r="K969" s="1716"/>
      <c r="L969" s="1734"/>
      <c r="M969" s="1735"/>
      <c r="N969" s="1729">
        <v>40793</v>
      </c>
      <c r="O969" s="1730"/>
      <c r="P969" s="1729">
        <v>40823</v>
      </c>
      <c r="Q969" s="1730"/>
      <c r="R969" s="1727">
        <v>420225</v>
      </c>
      <c r="S969" s="1728"/>
      <c r="T969" s="1727">
        <v>-3190.0894178323906</v>
      </c>
      <c r="U969" s="1733"/>
    </row>
    <row r="970" spans="2:21" ht="11.25" customHeight="1">
      <c r="B970" s="1710" t="s">
        <v>312</v>
      </c>
      <c r="C970" s="1711"/>
      <c r="D970" s="1711"/>
      <c r="E970" s="1712"/>
      <c r="F970" s="1713" t="s">
        <v>2547</v>
      </c>
      <c r="G970" s="1713"/>
      <c r="H970" s="1713"/>
      <c r="I970" s="1714">
        <v>9000000</v>
      </c>
      <c r="J970" s="1715"/>
      <c r="K970" s="1716"/>
      <c r="L970" s="1734"/>
      <c r="M970" s="1735"/>
      <c r="N970" s="1729">
        <v>40793</v>
      </c>
      <c r="O970" s="1730"/>
      <c r="P970" s="1729">
        <v>40827</v>
      </c>
      <c r="Q970" s="1730"/>
      <c r="R970" s="1727">
        <v>4636260</v>
      </c>
      <c r="S970" s="1728"/>
      <c r="T970" s="1727">
        <v>-446442.269214442</v>
      </c>
      <c r="U970" s="1733"/>
    </row>
    <row r="971" spans="2:21" ht="11.25" customHeight="1">
      <c r="B971" s="1710" t="s">
        <v>310</v>
      </c>
      <c r="C971" s="1711"/>
      <c r="D971" s="1711"/>
      <c r="E971" s="1712"/>
      <c r="F971" s="1713" t="s">
        <v>2547</v>
      </c>
      <c r="G971" s="1713"/>
      <c r="H971" s="1713"/>
      <c r="I971" s="1714">
        <v>1229488</v>
      </c>
      <c r="J971" s="1715"/>
      <c r="K971" s="1716"/>
      <c r="L971" s="1734"/>
      <c r="M971" s="1735"/>
      <c r="N971" s="1729">
        <v>40793</v>
      </c>
      <c r="O971" s="1730"/>
      <c r="P971" s="1729">
        <v>40821</v>
      </c>
      <c r="Q971" s="1730"/>
      <c r="R971" s="1727">
        <v>633358</v>
      </c>
      <c r="S971" s="1728"/>
      <c r="T971" s="1727">
        <v>-63074.964907354923</v>
      </c>
      <c r="U971" s="1733"/>
    </row>
    <row r="972" spans="2:21" ht="11.25" customHeight="1">
      <c r="B972" s="1710" t="s">
        <v>310</v>
      </c>
      <c r="C972" s="1711"/>
      <c r="D972" s="1711"/>
      <c r="E972" s="1712"/>
      <c r="F972" s="1713" t="s">
        <v>2547</v>
      </c>
      <c r="G972" s="1713"/>
      <c r="H972" s="1713"/>
      <c r="I972" s="1714">
        <v>769297</v>
      </c>
      <c r="J972" s="1715"/>
      <c r="K972" s="1716"/>
      <c r="L972" s="1734"/>
      <c r="M972" s="1735"/>
      <c r="N972" s="1729">
        <v>40794</v>
      </c>
      <c r="O972" s="1730"/>
      <c r="P972" s="1729">
        <v>40829</v>
      </c>
      <c r="Q972" s="1730"/>
      <c r="R972" s="1727">
        <v>396296</v>
      </c>
      <c r="S972" s="1728"/>
      <c r="T972" s="1727">
        <v>-39480.01546264717</v>
      </c>
      <c r="U972" s="1733"/>
    </row>
    <row r="973" spans="2:21" ht="11.25" customHeight="1">
      <c r="B973" s="1710" t="s">
        <v>310</v>
      </c>
      <c r="C973" s="1711"/>
      <c r="D973" s="1711"/>
      <c r="E973" s="1712"/>
      <c r="F973" s="1713" t="s">
        <v>2547</v>
      </c>
      <c r="G973" s="1713"/>
      <c r="H973" s="1713"/>
      <c r="I973" s="1714">
        <v>266729</v>
      </c>
      <c r="J973" s="1715"/>
      <c r="K973" s="1716"/>
      <c r="L973" s="1734"/>
      <c r="M973" s="1735"/>
      <c r="N973" s="1729">
        <v>40794</v>
      </c>
      <c r="O973" s="1730"/>
      <c r="P973" s="1729">
        <v>40829</v>
      </c>
      <c r="Q973" s="1730"/>
      <c r="R973" s="1727">
        <v>137403</v>
      </c>
      <c r="S973" s="1728"/>
      <c r="T973" s="1727">
        <v>-13688.425658147809</v>
      </c>
      <c r="U973" s="1733"/>
    </row>
    <row r="974" spans="2:21" ht="11.25" customHeight="1">
      <c r="B974" s="1710" t="s">
        <v>309</v>
      </c>
      <c r="C974" s="1711"/>
      <c r="D974" s="1711"/>
      <c r="E974" s="1712"/>
      <c r="F974" s="1713" t="s">
        <v>2548</v>
      </c>
      <c r="G974" s="1713"/>
      <c r="H974" s="1713"/>
      <c r="I974" s="1714">
        <v>8600000</v>
      </c>
      <c r="J974" s="1715"/>
      <c r="K974" s="1716"/>
      <c r="L974" s="1734"/>
      <c r="M974" s="1735"/>
      <c r="N974" s="1729">
        <v>40794</v>
      </c>
      <c r="O974" s="1730"/>
      <c r="P974" s="1729">
        <v>40823</v>
      </c>
      <c r="Q974" s="1730"/>
      <c r="R974" s="1727">
        <v>2409290</v>
      </c>
      <c r="S974" s="1728"/>
      <c r="T974" s="1727">
        <v>-13736.587737906442</v>
      </c>
      <c r="U974" s="1733"/>
    </row>
    <row r="975" spans="2:21" ht="11.25" customHeight="1">
      <c r="B975" s="1710" t="s">
        <v>2601</v>
      </c>
      <c r="C975" s="1711"/>
      <c r="D975" s="1711"/>
      <c r="E975" s="1712"/>
      <c r="F975" s="1713" t="s">
        <v>2547</v>
      </c>
      <c r="G975" s="1713"/>
      <c r="H975" s="1713"/>
      <c r="I975" s="1714">
        <v>4900000</v>
      </c>
      <c r="J975" s="1715"/>
      <c r="K975" s="1716"/>
      <c r="L975" s="1734"/>
      <c r="M975" s="1735"/>
      <c r="N975" s="1729">
        <v>40795</v>
      </c>
      <c r="O975" s="1730"/>
      <c r="P975" s="1729">
        <v>40828</v>
      </c>
      <c r="Q975" s="1730"/>
      <c r="R975" s="1727">
        <v>2524186</v>
      </c>
      <c r="S975" s="1728"/>
      <c r="T975" s="1727">
        <v>-247191.76471397231</v>
      </c>
      <c r="U975" s="1733"/>
    </row>
    <row r="976" spans="2:21" ht="11.25" customHeight="1">
      <c r="B976" s="1710" t="s">
        <v>2601</v>
      </c>
      <c r="C976" s="1711"/>
      <c r="D976" s="1711"/>
      <c r="E976" s="1712"/>
      <c r="F976" s="1713" t="s">
        <v>2547</v>
      </c>
      <c r="G976" s="1713"/>
      <c r="H976" s="1713"/>
      <c r="I976" s="1714">
        <v>1180000</v>
      </c>
      <c r="J976" s="1715"/>
      <c r="K976" s="1716"/>
      <c r="L976" s="1734"/>
      <c r="M976" s="1735"/>
      <c r="N976" s="1729">
        <v>40798</v>
      </c>
      <c r="O976" s="1730"/>
      <c r="P976" s="1729">
        <v>40829</v>
      </c>
      <c r="Q976" s="1730"/>
      <c r="R976" s="1727">
        <v>607865</v>
      </c>
      <c r="S976" s="1728"/>
      <c r="T976" s="1727">
        <v>-55504.675106256545</v>
      </c>
      <c r="U976" s="1733"/>
    </row>
    <row r="977" spans="2:21" ht="11.25" customHeight="1">
      <c r="B977" s="1710" t="s">
        <v>1512</v>
      </c>
      <c r="C977" s="1711"/>
      <c r="D977" s="1711"/>
      <c r="E977" s="1712"/>
      <c r="F977" s="1713" t="s">
        <v>2547</v>
      </c>
      <c r="G977" s="1713"/>
      <c r="H977" s="1713"/>
      <c r="I977" s="1714">
        <v>9200000</v>
      </c>
      <c r="J977" s="1715"/>
      <c r="K977" s="1716"/>
      <c r="L977" s="861"/>
      <c r="M977" s="862"/>
      <c r="N977" s="1729">
        <v>40799</v>
      </c>
      <c r="O977" s="1730"/>
      <c r="P977" s="1729">
        <v>40830</v>
      </c>
      <c r="Q977" s="1730"/>
      <c r="R977" s="1727">
        <v>4739288</v>
      </c>
      <c r="S977" s="1728"/>
      <c r="T977" s="1727">
        <v>-367880.3405676689</v>
      </c>
      <c r="U977" s="1733"/>
    </row>
    <row r="978" spans="2:21" ht="11.25" customHeight="1">
      <c r="B978" s="1710" t="s">
        <v>2601</v>
      </c>
      <c r="C978" s="1711"/>
      <c r="D978" s="1711"/>
      <c r="E978" s="1712"/>
      <c r="F978" s="1713" t="s">
        <v>2547</v>
      </c>
      <c r="G978" s="1713"/>
      <c r="H978" s="1713"/>
      <c r="I978" s="1714">
        <v>1302990</v>
      </c>
      <c r="J978" s="1715"/>
      <c r="K978" s="1716"/>
      <c r="L978" s="861"/>
      <c r="M978" s="862"/>
      <c r="N978" s="1729">
        <v>40806</v>
      </c>
      <c r="O978" s="1730"/>
      <c r="P978" s="1729">
        <v>40829</v>
      </c>
      <c r="Q978" s="1730"/>
      <c r="R978" s="1727">
        <v>671222</v>
      </c>
      <c r="S978" s="1728"/>
      <c r="T978" s="1727">
        <v>-34877.076555682848</v>
      </c>
      <c r="U978" s="1733"/>
    </row>
    <row r="979" spans="2:21" ht="11.25" customHeight="1">
      <c r="B979" s="1710" t="s">
        <v>2601</v>
      </c>
      <c r="C979" s="1711"/>
      <c r="D979" s="1711"/>
      <c r="E979" s="1712"/>
      <c r="F979" s="1713" t="s">
        <v>2547</v>
      </c>
      <c r="G979" s="1713"/>
      <c r="H979" s="1713"/>
      <c r="I979" s="1714">
        <v>1600000</v>
      </c>
      <c r="J979" s="1715"/>
      <c r="K979" s="1716"/>
      <c r="L979" s="861"/>
      <c r="M979" s="862"/>
      <c r="N979" s="1729">
        <v>40809</v>
      </c>
      <c r="O979" s="1730"/>
      <c r="P979" s="1729">
        <v>40823</v>
      </c>
      <c r="Q979" s="1730"/>
      <c r="R979" s="1727">
        <v>824224</v>
      </c>
      <c r="S979" s="1728"/>
      <c r="T979" s="1727">
        <v>7767.8945501268536</v>
      </c>
      <c r="U979" s="1733"/>
    </row>
    <row r="980" spans="2:21" ht="11.25" customHeight="1">
      <c r="B980" s="1710" t="s">
        <v>2601</v>
      </c>
      <c r="C980" s="1711"/>
      <c r="D980" s="1711"/>
      <c r="E980" s="1712"/>
      <c r="F980" s="1713" t="s">
        <v>2547</v>
      </c>
      <c r="G980" s="1713"/>
      <c r="H980" s="1713"/>
      <c r="I980" s="1714">
        <v>3650000</v>
      </c>
      <c r="J980" s="1715"/>
      <c r="K980" s="1716"/>
      <c r="L980" s="861"/>
      <c r="M980" s="862"/>
      <c r="N980" s="1729">
        <v>40812</v>
      </c>
      <c r="O980" s="1730"/>
      <c r="P980" s="1729">
        <v>40827</v>
      </c>
      <c r="Q980" s="1730"/>
      <c r="R980" s="1727">
        <v>1880261</v>
      </c>
      <c r="S980" s="1728"/>
      <c r="T980" s="1727">
        <v>-18496.180715400511</v>
      </c>
      <c r="U980" s="1733"/>
    </row>
    <row r="981" spans="2:21" ht="11.25" customHeight="1">
      <c r="B981" s="1710" t="s">
        <v>2601</v>
      </c>
      <c r="C981" s="1711"/>
      <c r="D981" s="1711"/>
      <c r="E981" s="1712"/>
      <c r="F981" s="1713" t="s">
        <v>2547</v>
      </c>
      <c r="G981" s="1713"/>
      <c r="H981" s="1713"/>
      <c r="I981" s="1714">
        <v>1000000</v>
      </c>
      <c r="J981" s="1715"/>
      <c r="K981" s="1716"/>
      <c r="L981" s="861"/>
      <c r="M981" s="862"/>
      <c r="N981" s="1729">
        <v>40815</v>
      </c>
      <c r="O981" s="1730"/>
      <c r="P981" s="1729">
        <v>40819</v>
      </c>
      <c r="Q981" s="1730"/>
      <c r="R981" s="1727">
        <v>515140</v>
      </c>
      <c r="S981" s="1728"/>
      <c r="T981" s="1727">
        <v>-989.56753144347749</v>
      </c>
      <c r="U981" s="1733"/>
    </row>
    <row r="982" spans="2:21" ht="11.25" customHeight="1">
      <c r="B982" s="1710" t="s">
        <v>309</v>
      </c>
      <c r="C982" s="1711"/>
      <c r="D982" s="1711"/>
      <c r="E982" s="1712"/>
      <c r="F982" s="1713" t="s">
        <v>2548</v>
      </c>
      <c r="G982" s="1713"/>
      <c r="H982" s="1713"/>
      <c r="I982" s="1714">
        <v>8500000</v>
      </c>
      <c r="J982" s="1715"/>
      <c r="K982" s="1716"/>
      <c r="L982" s="861"/>
      <c r="M982" s="862"/>
      <c r="N982" s="1729">
        <v>40816</v>
      </c>
      <c r="O982" s="1730"/>
      <c r="P982" s="1729">
        <v>40854</v>
      </c>
      <c r="Q982" s="1730"/>
      <c r="R982" s="1727">
        <v>2381275</v>
      </c>
      <c r="S982" s="1728"/>
      <c r="T982" s="1727">
        <v>7300.5040669084283</v>
      </c>
      <c r="U982" s="1733"/>
    </row>
    <row r="983" spans="2:21" ht="11.25" customHeight="1">
      <c r="B983" s="1710" t="s">
        <v>2603</v>
      </c>
      <c r="C983" s="1711"/>
      <c r="D983" s="1711"/>
      <c r="E983" s="1712"/>
      <c r="F983" s="1713" t="s">
        <v>2547</v>
      </c>
      <c r="G983" s="1713"/>
      <c r="H983" s="1713"/>
      <c r="I983" s="1714">
        <v>100000</v>
      </c>
      <c r="J983" s="1715"/>
      <c r="K983" s="1716"/>
      <c r="L983" s="861"/>
      <c r="M983" s="862"/>
      <c r="N983" s="1729">
        <v>40753</v>
      </c>
      <c r="O983" s="1730"/>
      <c r="P983" s="1729">
        <v>41068</v>
      </c>
      <c r="Q983" s="1730"/>
      <c r="R983" s="1727">
        <v>2201269</v>
      </c>
      <c r="S983" s="1728"/>
      <c r="T983" s="1727">
        <v>9685.2140945256215</v>
      </c>
      <c r="U983" s="1733"/>
    </row>
    <row r="984" spans="2:21" ht="11.25" customHeight="1">
      <c r="B984" s="1710" t="s">
        <v>312</v>
      </c>
      <c r="C984" s="1711"/>
      <c r="D984" s="1711"/>
      <c r="E984" s="1712"/>
      <c r="F984" s="1713" t="s">
        <v>2547</v>
      </c>
      <c r="G984" s="1713"/>
      <c r="H984" s="1713"/>
      <c r="I984" s="1714">
        <v>200000</v>
      </c>
      <c r="J984" s="1715"/>
      <c r="K984" s="1716"/>
      <c r="L984" s="861"/>
      <c r="M984" s="862"/>
      <c r="N984" s="1729">
        <v>40763</v>
      </c>
      <c r="O984" s="1730"/>
      <c r="P984" s="1729">
        <v>41068</v>
      </c>
      <c r="Q984" s="1730"/>
      <c r="R984" s="1727">
        <v>4402538</v>
      </c>
      <c r="S984" s="1728"/>
      <c r="T984" s="1727">
        <v>4455.1984834817858</v>
      </c>
      <c r="U984" s="1733"/>
    </row>
    <row r="985" spans="2:21" ht="11.25" customHeight="1">
      <c r="B985" s="1710" t="s">
        <v>310</v>
      </c>
      <c r="C985" s="1711"/>
      <c r="D985" s="1711"/>
      <c r="E985" s="1712"/>
      <c r="F985" s="1713" t="s">
        <v>2547</v>
      </c>
      <c r="G985" s="1713"/>
      <c r="H985" s="1713"/>
      <c r="I985" s="1714">
        <v>250000</v>
      </c>
      <c r="J985" s="1715"/>
      <c r="K985" s="1716"/>
      <c r="L985" s="861"/>
      <c r="M985" s="862"/>
      <c r="N985" s="1729">
        <v>40763</v>
      </c>
      <c r="O985" s="1730"/>
      <c r="P985" s="1729">
        <v>41068</v>
      </c>
      <c r="Q985" s="1730"/>
      <c r="R985" s="1727">
        <v>5503173</v>
      </c>
      <c r="S985" s="1728"/>
      <c r="T985" s="1727">
        <v>6537.5195138047939</v>
      </c>
      <c r="U985" s="1733"/>
    </row>
    <row r="986" spans="2:21" ht="11.25" customHeight="1">
      <c r="B986" s="1710" t="s">
        <v>312</v>
      </c>
      <c r="C986" s="1711"/>
      <c r="D986" s="1711"/>
      <c r="E986" s="1712"/>
      <c r="F986" s="1713" t="s">
        <v>2547</v>
      </c>
      <c r="G986" s="1713"/>
      <c r="H986" s="1713"/>
      <c r="I986" s="1714">
        <v>100000</v>
      </c>
      <c r="J986" s="1715"/>
      <c r="K986" s="1716"/>
      <c r="L986" s="861"/>
      <c r="M986" s="862"/>
      <c r="N986" s="1729">
        <v>40795</v>
      </c>
      <c r="O986" s="1730"/>
      <c r="P986" s="1729">
        <v>41068</v>
      </c>
      <c r="Q986" s="1730"/>
      <c r="R986" s="1727">
        <v>2201269</v>
      </c>
      <c r="S986" s="1728"/>
      <c r="T986" s="1727">
        <v>0</v>
      </c>
      <c r="U986" s="1733"/>
    </row>
    <row r="987" spans="2:21" ht="11.25" customHeight="1" thickBot="1">
      <c r="B987" s="1759"/>
      <c r="C987" s="1760"/>
      <c r="D987" s="1760"/>
      <c r="E987" s="1761"/>
      <c r="F987" s="1769"/>
      <c r="G987" s="1770"/>
      <c r="H987" s="1771"/>
      <c r="I987" s="2127"/>
      <c r="J987" s="2128"/>
      <c r="K987" s="2129"/>
      <c r="L987" s="1776"/>
      <c r="M987" s="1777"/>
      <c r="N987" s="1774"/>
      <c r="O987" s="1775"/>
      <c r="P987" s="1774"/>
      <c r="Q987" s="1775"/>
      <c r="R987" s="2195"/>
      <c r="S987" s="2196"/>
      <c r="T987" s="2237"/>
      <c r="U987" s="2238"/>
    </row>
    <row r="988" spans="2:21" ht="13.5" thickBot="1">
      <c r="B988" s="863" t="s">
        <v>1004</v>
      </c>
      <c r="C988" s="864"/>
      <c r="D988" s="865"/>
      <c r="E988" s="865"/>
      <c r="F988" s="865"/>
      <c r="G988" s="865"/>
      <c r="H988" s="865"/>
      <c r="I988" s="1762">
        <f>SUM(I963:K987)</f>
        <v>86012942</v>
      </c>
      <c r="J988" s="1763"/>
      <c r="K988" s="1764"/>
      <c r="L988" s="866"/>
      <c r="M988" s="867"/>
      <c r="N988" s="864"/>
      <c r="O988" s="865"/>
      <c r="P988" s="864"/>
      <c r="Q988" s="865"/>
      <c r="R988" s="1762">
        <f>SUM(R963:S987)</f>
        <v>51091420</v>
      </c>
      <c r="S988" s="1764"/>
      <c r="T988" s="1762">
        <f>SUM(T963:U987)</f>
        <v>-2208440.904645856</v>
      </c>
      <c r="U988" s="2174"/>
    </row>
    <row r="989" spans="2:21">
      <c r="B989" s="1710" t="s">
        <v>2603</v>
      </c>
      <c r="C989" s="1711"/>
      <c r="D989" s="1711"/>
      <c r="E989" s="1712"/>
      <c r="F989" s="1758" t="s">
        <v>2547</v>
      </c>
      <c r="G989" s="1758"/>
      <c r="H989" s="1758"/>
      <c r="I989" s="1742">
        <v>350000</v>
      </c>
      <c r="J989" s="1743"/>
      <c r="K989" s="1744"/>
      <c r="L989" s="1734"/>
      <c r="M989" s="1735"/>
      <c r="N989" s="1772">
        <v>40682</v>
      </c>
      <c r="O989" s="1773"/>
      <c r="P989" s="1772">
        <v>41068</v>
      </c>
      <c r="Q989" s="2239"/>
      <c r="R989" s="1720">
        <v>7704442</v>
      </c>
      <c r="S989" s="2194"/>
      <c r="T989" s="1720">
        <v>-65423.621208520577</v>
      </c>
      <c r="U989" s="1721"/>
    </row>
    <row r="990" spans="2:21">
      <c r="B990" s="1710" t="s">
        <v>312</v>
      </c>
      <c r="C990" s="1711"/>
      <c r="D990" s="1711"/>
      <c r="E990" s="1712"/>
      <c r="F990" s="1713" t="s">
        <v>2547</v>
      </c>
      <c r="G990" s="1713"/>
      <c r="H990" s="1713"/>
      <c r="I990" s="1714">
        <v>150000</v>
      </c>
      <c r="J990" s="1715"/>
      <c r="K990" s="1716"/>
      <c r="L990" s="1734"/>
      <c r="M990" s="1735"/>
      <c r="N990" s="1729">
        <v>40693</v>
      </c>
      <c r="O990" s="1730"/>
      <c r="P990" s="1729">
        <v>41068</v>
      </c>
      <c r="Q990" s="1730"/>
      <c r="R990" s="1727">
        <v>3301904</v>
      </c>
      <c r="S990" s="1728"/>
      <c r="T990" s="1727">
        <v>-31380.093666263016</v>
      </c>
      <c r="U990" s="1733"/>
    </row>
    <row r="991" spans="2:21">
      <c r="B991" s="1710" t="s">
        <v>312</v>
      </c>
      <c r="C991" s="1711"/>
      <c r="D991" s="1711"/>
      <c r="E991" s="1712"/>
      <c r="F991" s="1713" t="s">
        <v>2547</v>
      </c>
      <c r="G991" s="1713"/>
      <c r="H991" s="1713"/>
      <c r="I991" s="1714">
        <v>200000</v>
      </c>
      <c r="J991" s="1715"/>
      <c r="K991" s="1716"/>
      <c r="L991" s="1734"/>
      <c r="M991" s="1735"/>
      <c r="N991" s="1729">
        <v>40696</v>
      </c>
      <c r="O991" s="1730"/>
      <c r="P991" s="1729">
        <v>41068</v>
      </c>
      <c r="Q991" s="1730"/>
      <c r="R991" s="1727">
        <v>4402538</v>
      </c>
      <c r="S991" s="1728"/>
      <c r="T991" s="1727">
        <v>-34479.362176511211</v>
      </c>
      <c r="U991" s="1733"/>
    </row>
    <row r="992" spans="2:21">
      <c r="B992" s="1710" t="s">
        <v>2602</v>
      </c>
      <c r="C992" s="1711"/>
      <c r="D992" s="1711"/>
      <c r="E992" s="1712"/>
      <c r="F992" s="1713" t="s">
        <v>2547</v>
      </c>
      <c r="G992" s="1713"/>
      <c r="H992" s="1713"/>
      <c r="I992" s="1714">
        <v>300000</v>
      </c>
      <c r="J992" s="1715"/>
      <c r="K992" s="1716"/>
      <c r="L992" s="1734"/>
      <c r="M992" s="1735"/>
      <c r="N992" s="1729">
        <v>40723</v>
      </c>
      <c r="O992" s="1730"/>
      <c r="P992" s="1729">
        <v>41068</v>
      </c>
      <c r="Q992" s="1730"/>
      <c r="R992" s="1727">
        <v>6603807</v>
      </c>
      <c r="S992" s="1728"/>
      <c r="T992" s="1727">
        <v>-53171.825378945665</v>
      </c>
      <c r="U992" s="1733"/>
    </row>
    <row r="993" spans="2:21">
      <c r="B993" s="1710" t="s">
        <v>2627</v>
      </c>
      <c r="C993" s="1711"/>
      <c r="D993" s="1711"/>
      <c r="E993" s="1712"/>
      <c r="F993" s="1713" t="s">
        <v>2547</v>
      </c>
      <c r="G993" s="1713"/>
      <c r="H993" s="1713"/>
      <c r="I993" s="1714">
        <v>8600000</v>
      </c>
      <c r="J993" s="1715"/>
      <c r="K993" s="1716"/>
      <c r="L993" s="1734"/>
      <c r="M993" s="1735"/>
      <c r="N993" s="1729">
        <v>40794</v>
      </c>
      <c r="O993" s="1730"/>
      <c r="P993" s="1729">
        <v>40823</v>
      </c>
      <c r="Q993" s="1730"/>
      <c r="R993" s="1727">
        <v>2409290</v>
      </c>
      <c r="S993" s="1728"/>
      <c r="T993" s="1727">
        <v>4956.9684965940878</v>
      </c>
      <c r="U993" s="1733"/>
    </row>
    <row r="994" spans="2:21">
      <c r="B994" s="1710" t="s">
        <v>2601</v>
      </c>
      <c r="C994" s="1711"/>
      <c r="D994" s="1711"/>
      <c r="E994" s="1712"/>
      <c r="F994" s="1713" t="s">
        <v>2547</v>
      </c>
      <c r="G994" s="1713"/>
      <c r="H994" s="1713"/>
      <c r="I994" s="1714">
        <v>1700000</v>
      </c>
      <c r="J994" s="1715"/>
      <c r="K994" s="1716"/>
      <c r="L994" s="1734"/>
      <c r="M994" s="1735"/>
      <c r="N994" s="1729">
        <v>40798</v>
      </c>
      <c r="O994" s="1730"/>
      <c r="P994" s="1729">
        <v>40819</v>
      </c>
      <c r="Q994" s="1730"/>
      <c r="R994" s="1727">
        <v>875738</v>
      </c>
      <c r="S994" s="1728"/>
      <c r="T994" s="1727">
        <v>80022.09360325188</v>
      </c>
      <c r="U994" s="1733"/>
    </row>
    <row r="995" spans="2:21">
      <c r="B995" s="1710" t="s">
        <v>310</v>
      </c>
      <c r="C995" s="1711"/>
      <c r="D995" s="1711"/>
      <c r="E995" s="1712"/>
      <c r="F995" s="1713" t="s">
        <v>2547</v>
      </c>
      <c r="G995" s="1713"/>
      <c r="H995" s="1713"/>
      <c r="I995" s="1714">
        <v>361000</v>
      </c>
      <c r="J995" s="1715"/>
      <c r="K995" s="1716"/>
      <c r="L995" s="1734"/>
      <c r="M995" s="1735"/>
      <c r="N995" s="1729">
        <v>40799</v>
      </c>
      <c r="O995" s="1730"/>
      <c r="P995" s="1729">
        <v>40829</v>
      </c>
      <c r="Q995" s="1730"/>
      <c r="R995" s="1727">
        <v>185966</v>
      </c>
      <c r="S995" s="1728"/>
      <c r="T995" s="1727">
        <v>13471.296022457493</v>
      </c>
      <c r="U995" s="1733"/>
    </row>
    <row r="996" spans="2:21">
      <c r="B996" s="1710" t="s">
        <v>310</v>
      </c>
      <c r="C996" s="1711"/>
      <c r="D996" s="1711"/>
      <c r="E996" s="1712"/>
      <c r="F996" s="1713" t="s">
        <v>2547</v>
      </c>
      <c r="G996" s="1713"/>
      <c r="H996" s="1713"/>
      <c r="I996" s="1714">
        <v>408296</v>
      </c>
      <c r="J996" s="1715"/>
      <c r="K996" s="1716"/>
      <c r="L996" s="1734"/>
      <c r="M996" s="1735"/>
      <c r="N996" s="1729">
        <v>40801</v>
      </c>
      <c r="O996" s="1730"/>
      <c r="P996" s="1729">
        <v>40829</v>
      </c>
      <c r="Q996" s="1730"/>
      <c r="R996" s="1727">
        <v>210330</v>
      </c>
      <c r="S996" s="1728"/>
      <c r="T996" s="1727">
        <v>14800.186839231461</v>
      </c>
      <c r="U996" s="1733"/>
    </row>
    <row r="997" spans="2:21">
      <c r="B997" s="1710" t="s">
        <v>312</v>
      </c>
      <c r="C997" s="1711"/>
      <c r="D997" s="1711"/>
      <c r="E997" s="1712"/>
      <c r="F997" s="1713" t="s">
        <v>2547</v>
      </c>
      <c r="G997" s="1713"/>
      <c r="H997" s="1713"/>
      <c r="I997" s="1714">
        <v>760848</v>
      </c>
      <c r="J997" s="1715"/>
      <c r="K997" s="1716"/>
      <c r="L997" s="1734"/>
      <c r="M997" s="1735"/>
      <c r="N997" s="1729">
        <v>40802</v>
      </c>
      <c r="O997" s="1730"/>
      <c r="P997" s="1729">
        <v>40819</v>
      </c>
      <c r="Q997" s="1730"/>
      <c r="R997" s="1727">
        <v>391943</v>
      </c>
      <c r="S997" s="1728"/>
      <c r="T997" s="1727">
        <v>26581.933633259297</v>
      </c>
      <c r="U997" s="1733"/>
    </row>
    <row r="998" spans="2:21">
      <c r="B998" s="1710" t="s">
        <v>312</v>
      </c>
      <c r="C998" s="1711"/>
      <c r="D998" s="1711"/>
      <c r="E998" s="1712"/>
      <c r="F998" s="1713" t="s">
        <v>2547</v>
      </c>
      <c r="G998" s="1713"/>
      <c r="H998" s="1713"/>
      <c r="I998" s="1714">
        <v>781000</v>
      </c>
      <c r="J998" s="1715"/>
      <c r="K998" s="1716"/>
      <c r="L998" s="1734"/>
      <c r="M998" s="1735"/>
      <c r="N998" s="1729">
        <v>40802</v>
      </c>
      <c r="O998" s="1730"/>
      <c r="P998" s="1729">
        <v>40823</v>
      </c>
      <c r="Q998" s="1730"/>
      <c r="R998" s="1727">
        <v>218797</v>
      </c>
      <c r="S998" s="1728"/>
      <c r="T998" s="1727">
        <v>-83.690382754883558</v>
      </c>
      <c r="U998" s="1733"/>
    </row>
    <row r="999" spans="2:21">
      <c r="B999" s="1710" t="s">
        <v>310</v>
      </c>
      <c r="C999" s="1711"/>
      <c r="D999" s="1711"/>
      <c r="E999" s="1712"/>
      <c r="F999" s="1713" t="s">
        <v>2547</v>
      </c>
      <c r="G999" s="1713"/>
      <c r="H999" s="1713"/>
      <c r="I999" s="1714">
        <v>483000</v>
      </c>
      <c r="J999" s="1715"/>
      <c r="K999" s="1716"/>
      <c r="L999" s="1734"/>
      <c r="M999" s="1735"/>
      <c r="N999" s="1729">
        <v>40807</v>
      </c>
      <c r="O999" s="1730"/>
      <c r="P999" s="1729">
        <v>40819</v>
      </c>
      <c r="Q999" s="1730"/>
      <c r="R999" s="1727">
        <v>248813</v>
      </c>
      <c r="S999" s="1728"/>
      <c r="T999" s="1727">
        <v>7016.2376367908037</v>
      </c>
      <c r="U999" s="1733"/>
    </row>
    <row r="1000" spans="2:21">
      <c r="B1000" s="1710" t="s">
        <v>309</v>
      </c>
      <c r="C1000" s="1711"/>
      <c r="D1000" s="1711"/>
      <c r="E1000" s="1712"/>
      <c r="F1000" s="1713" t="s">
        <v>2548</v>
      </c>
      <c r="G1000" s="1713"/>
      <c r="H1000" s="1713"/>
      <c r="I1000" s="1714">
        <v>2700000</v>
      </c>
      <c r="J1000" s="1715"/>
      <c r="K1000" s="1716"/>
      <c r="L1000" s="1734"/>
      <c r="M1000" s="1735"/>
      <c r="N1000" s="1729">
        <v>40808</v>
      </c>
      <c r="O1000" s="1730"/>
      <c r="P1000" s="1729">
        <v>40823</v>
      </c>
      <c r="Q1000" s="1730"/>
      <c r="R1000" s="1727">
        <v>756405</v>
      </c>
      <c r="S1000" s="1728"/>
      <c r="T1000" s="1727">
        <v>14626.140553452136</v>
      </c>
      <c r="U1000" s="1733"/>
    </row>
    <row r="1001" spans="2:21">
      <c r="B1001" s="1710" t="s">
        <v>1512</v>
      </c>
      <c r="C1001" s="1711"/>
      <c r="D1001" s="1711"/>
      <c r="E1001" s="1712"/>
      <c r="F1001" s="1713" t="s">
        <v>2547</v>
      </c>
      <c r="G1001" s="1713"/>
      <c r="H1001" s="1713"/>
      <c r="I1001" s="1714">
        <v>900000</v>
      </c>
      <c r="J1001" s="1715"/>
      <c r="K1001" s="1716"/>
      <c r="L1001" s="1734"/>
      <c r="M1001" s="1735"/>
      <c r="N1001" s="1729">
        <v>40809</v>
      </c>
      <c r="O1001" s="1730"/>
      <c r="P1001" s="1729">
        <v>40819</v>
      </c>
      <c r="Q1001" s="1730"/>
      <c r="R1001" s="1727">
        <v>463626</v>
      </c>
      <c r="S1001" s="1728"/>
      <c r="T1001" s="1727">
        <v>-13014.600310760423</v>
      </c>
      <c r="U1001" s="1733"/>
    </row>
    <row r="1002" spans="2:21">
      <c r="B1002" s="1710" t="s">
        <v>1512</v>
      </c>
      <c r="C1002" s="1711"/>
      <c r="D1002" s="1711"/>
      <c r="E1002" s="1712"/>
      <c r="F1002" s="1713" t="s">
        <v>2547</v>
      </c>
      <c r="G1002" s="1713"/>
      <c r="H1002" s="1713"/>
      <c r="I1002" s="1714">
        <v>890000</v>
      </c>
      <c r="J1002" s="1715"/>
      <c r="K1002" s="1716"/>
      <c r="L1002" s="1734"/>
      <c r="M1002" s="1735"/>
      <c r="N1002" s="1729">
        <v>40809</v>
      </c>
      <c r="O1002" s="1730"/>
      <c r="P1002" s="1729">
        <v>40819</v>
      </c>
      <c r="Q1002" s="1730"/>
      <c r="R1002" s="1727">
        <v>458475</v>
      </c>
      <c r="S1002" s="1728"/>
      <c r="T1002" s="1727">
        <v>-12869.993640640851</v>
      </c>
      <c r="U1002" s="1733"/>
    </row>
    <row r="1003" spans="2:21">
      <c r="B1003" s="1710" t="s">
        <v>1512</v>
      </c>
      <c r="C1003" s="1711"/>
      <c r="D1003" s="1711"/>
      <c r="E1003" s="1712"/>
      <c r="F1003" s="1713" t="s">
        <v>2547</v>
      </c>
      <c r="G1003" s="1713"/>
      <c r="H1003" s="1713"/>
      <c r="I1003" s="1714">
        <v>150000</v>
      </c>
      <c r="J1003" s="1715"/>
      <c r="K1003" s="1716"/>
      <c r="L1003" s="1734"/>
      <c r="M1003" s="1735"/>
      <c r="N1003" s="1729">
        <v>40809</v>
      </c>
      <c r="O1003" s="1730"/>
      <c r="P1003" s="1729">
        <v>40820</v>
      </c>
      <c r="Q1003" s="1730"/>
      <c r="R1003" s="1727">
        <v>77271</v>
      </c>
      <c r="S1003" s="1728"/>
      <c r="T1003" s="1727">
        <v>-2174.1314976948042</v>
      </c>
      <c r="U1003" s="1733"/>
    </row>
    <row r="1004" spans="2:21">
      <c r="B1004" s="1710" t="s">
        <v>1512</v>
      </c>
      <c r="C1004" s="1711"/>
      <c r="D1004" s="1711"/>
      <c r="E1004" s="1712"/>
      <c r="F1004" s="1713" t="s">
        <v>2547</v>
      </c>
      <c r="G1004" s="1713"/>
      <c r="H1004" s="1713"/>
      <c r="I1004" s="1714">
        <v>160000</v>
      </c>
      <c r="J1004" s="1715"/>
      <c r="K1004" s="1716"/>
      <c r="L1004" s="1734"/>
      <c r="M1004" s="1735"/>
      <c r="N1004" s="1729">
        <v>40809</v>
      </c>
      <c r="O1004" s="1730"/>
      <c r="P1004" s="1729">
        <v>40829</v>
      </c>
      <c r="Q1004" s="1730"/>
      <c r="R1004" s="1727">
        <v>82422</v>
      </c>
      <c r="S1004" s="1728"/>
      <c r="T1004" s="1727">
        <v>-2336.5205615782065</v>
      </c>
      <c r="U1004" s="1733"/>
    </row>
    <row r="1005" spans="2:21">
      <c r="B1005" s="1710" t="s">
        <v>1512</v>
      </c>
      <c r="C1005" s="1711"/>
      <c r="D1005" s="1711"/>
      <c r="E1005" s="1712"/>
      <c r="F1005" s="1713" t="s">
        <v>2547</v>
      </c>
      <c r="G1005" s="1713"/>
      <c r="H1005" s="1713"/>
      <c r="I1005" s="1714">
        <v>120000</v>
      </c>
      <c r="J1005" s="1715"/>
      <c r="K1005" s="1716"/>
      <c r="L1005" s="1734"/>
      <c r="M1005" s="1735"/>
      <c r="N1005" s="1729">
        <v>40809</v>
      </c>
      <c r="O1005" s="1730"/>
      <c r="P1005" s="1729">
        <v>40829</v>
      </c>
      <c r="Q1005" s="1730"/>
      <c r="R1005" s="1727">
        <v>61817</v>
      </c>
      <c r="S1005" s="1728"/>
      <c r="T1005" s="1727">
        <v>-1752.3904211836473</v>
      </c>
      <c r="U1005" s="1733"/>
    </row>
    <row r="1006" spans="2:21">
      <c r="B1006" s="1710" t="s">
        <v>2601</v>
      </c>
      <c r="C1006" s="1711"/>
      <c r="D1006" s="1711"/>
      <c r="E1006" s="1712"/>
      <c r="F1006" s="1713" t="s">
        <v>2547</v>
      </c>
      <c r="G1006" s="1713"/>
      <c r="H1006" s="1713"/>
      <c r="I1006" s="1714">
        <v>528546</v>
      </c>
      <c r="J1006" s="1715"/>
      <c r="K1006" s="1716"/>
      <c r="L1006" s="1734"/>
      <c r="M1006" s="1735"/>
      <c r="N1006" s="1729">
        <v>40809</v>
      </c>
      <c r="O1006" s="1730"/>
      <c r="P1006" s="1729">
        <v>40819</v>
      </c>
      <c r="Q1006" s="1730"/>
      <c r="R1006" s="1727">
        <v>272275</v>
      </c>
      <c r="S1006" s="1728"/>
      <c r="T1006" s="1727">
        <v>-2544.9384764731913</v>
      </c>
      <c r="U1006" s="1733"/>
    </row>
    <row r="1007" spans="2:21">
      <c r="B1007" s="1710" t="s">
        <v>2601</v>
      </c>
      <c r="C1007" s="1711"/>
      <c r="D1007" s="1711"/>
      <c r="E1007" s="1712"/>
      <c r="F1007" s="1713" t="s">
        <v>2547</v>
      </c>
      <c r="G1007" s="1713"/>
      <c r="H1007" s="1713"/>
      <c r="I1007" s="1714">
        <v>531740</v>
      </c>
      <c r="J1007" s="1715"/>
      <c r="K1007" s="1716"/>
      <c r="L1007" s="1734"/>
      <c r="M1007" s="1735"/>
      <c r="N1007" s="1729">
        <v>40809</v>
      </c>
      <c r="O1007" s="1730"/>
      <c r="P1007" s="1729">
        <v>40819</v>
      </c>
      <c r="Q1007" s="1730"/>
      <c r="R1007" s="1727">
        <v>273921</v>
      </c>
      <c r="S1007" s="1728"/>
      <c r="T1007" s="1727">
        <v>-2560.3174223806427</v>
      </c>
      <c r="U1007" s="1733"/>
    </row>
    <row r="1008" spans="2:21">
      <c r="B1008" s="1710" t="s">
        <v>2601</v>
      </c>
      <c r="C1008" s="1711"/>
      <c r="D1008" s="1711"/>
      <c r="E1008" s="1712"/>
      <c r="F1008" s="1713" t="s">
        <v>2547</v>
      </c>
      <c r="G1008" s="1713"/>
      <c r="H1008" s="1713"/>
      <c r="I1008" s="1714">
        <v>743481</v>
      </c>
      <c r="J1008" s="1715"/>
      <c r="K1008" s="1716"/>
      <c r="L1008" s="1734"/>
      <c r="M1008" s="1735"/>
      <c r="N1008" s="1729">
        <v>40809</v>
      </c>
      <c r="O1008" s="1730"/>
      <c r="P1008" s="1729">
        <v>40829</v>
      </c>
      <c r="Q1008" s="1730"/>
      <c r="R1008" s="1727">
        <v>382997</v>
      </c>
      <c r="S1008" s="1728"/>
      <c r="T1008" s="1727">
        <v>-3585.1534327985628</v>
      </c>
      <c r="U1008" s="1733"/>
    </row>
    <row r="1009" spans="2:21">
      <c r="B1009" s="1710" t="s">
        <v>312</v>
      </c>
      <c r="C1009" s="1711"/>
      <c r="D1009" s="1711"/>
      <c r="E1009" s="1712"/>
      <c r="F1009" s="1713" t="s">
        <v>2547</v>
      </c>
      <c r="G1009" s="1713"/>
      <c r="H1009" s="1713"/>
      <c r="I1009" s="1714">
        <v>1600000</v>
      </c>
      <c r="J1009" s="1715"/>
      <c r="K1009" s="1716"/>
      <c r="L1009" s="1734"/>
      <c r="M1009" s="1735"/>
      <c r="N1009" s="1729">
        <v>40809</v>
      </c>
      <c r="O1009" s="1730"/>
      <c r="P1009" s="1729">
        <v>40823</v>
      </c>
      <c r="Q1009" s="1730"/>
      <c r="R1009" s="1727">
        <v>448240</v>
      </c>
      <c r="S1009" s="1728"/>
      <c r="T1009" s="1727">
        <v>4911.254123510239</v>
      </c>
      <c r="U1009" s="1733"/>
    </row>
    <row r="1010" spans="2:21">
      <c r="B1010" s="1710" t="s">
        <v>2601</v>
      </c>
      <c r="C1010" s="1711"/>
      <c r="D1010" s="1711"/>
      <c r="E1010" s="1712"/>
      <c r="F1010" s="1713" t="s">
        <v>2547</v>
      </c>
      <c r="G1010" s="1713"/>
      <c r="H1010" s="1713"/>
      <c r="I1010" s="1714">
        <v>1000000</v>
      </c>
      <c r="J1010" s="1715"/>
      <c r="K1010" s="1716"/>
      <c r="L1010" s="1734"/>
      <c r="M1010" s="1735"/>
      <c r="N1010" s="1729">
        <v>40815</v>
      </c>
      <c r="O1010" s="1730"/>
      <c r="P1010" s="1729">
        <v>40819</v>
      </c>
      <c r="Q1010" s="1730"/>
      <c r="R1010" s="1727">
        <v>515140</v>
      </c>
      <c r="S1010" s="1728"/>
      <c r="T1010" s="1727">
        <v>-666.83469317221443</v>
      </c>
      <c r="U1010" s="1733"/>
    </row>
    <row r="1011" spans="2:21">
      <c r="B1011" s="1710" t="s">
        <v>309</v>
      </c>
      <c r="C1011" s="1711"/>
      <c r="D1011" s="1711"/>
      <c r="E1011" s="1712"/>
      <c r="F1011" s="1713" t="s">
        <v>2548</v>
      </c>
      <c r="G1011" s="1713"/>
      <c r="H1011" s="1713"/>
      <c r="I1011" s="1714">
        <v>8500000</v>
      </c>
      <c r="J1011" s="1715"/>
      <c r="K1011" s="1716"/>
      <c r="L1011" s="1734"/>
      <c r="M1011" s="1735"/>
      <c r="N1011" s="1729">
        <v>40816</v>
      </c>
      <c r="O1011" s="1730"/>
      <c r="P1011" s="1729">
        <v>40823</v>
      </c>
      <c r="Q1011" s="1730"/>
      <c r="R1011" s="1727">
        <v>2381275</v>
      </c>
      <c r="S1011" s="1728"/>
      <c r="T1011" s="1727">
        <v>-10675.673783769305</v>
      </c>
      <c r="U1011" s="1733"/>
    </row>
    <row r="1012" spans="2:21">
      <c r="B1012" s="1710" t="s">
        <v>2602</v>
      </c>
      <c r="C1012" s="1711"/>
      <c r="D1012" s="1711"/>
      <c r="E1012" s="1712"/>
      <c r="F1012" s="1713" t="s">
        <v>2547</v>
      </c>
      <c r="G1012" s="1713"/>
      <c r="H1012" s="1713"/>
      <c r="I1012" s="1714">
        <v>200000</v>
      </c>
      <c r="J1012" s="1715"/>
      <c r="K1012" s="1716"/>
      <c r="L1012" s="1734"/>
      <c r="M1012" s="1735"/>
      <c r="N1012" s="1729">
        <v>40744</v>
      </c>
      <c r="O1012" s="1730"/>
      <c r="P1012" s="1729">
        <v>41068</v>
      </c>
      <c r="Q1012" s="1730"/>
      <c r="R1012" s="1727">
        <v>4402538</v>
      </c>
      <c r="S1012" s="1728"/>
      <c r="T1012" s="1727">
        <v>-10266.326940197159</v>
      </c>
      <c r="U1012" s="1733"/>
    </row>
    <row r="1013" spans="2:21">
      <c r="B1013" s="1710" t="s">
        <v>2602</v>
      </c>
      <c r="C1013" s="1711"/>
      <c r="D1013" s="1711"/>
      <c r="E1013" s="1712"/>
      <c r="F1013" s="1713" t="s">
        <v>2547</v>
      </c>
      <c r="G1013" s="1713"/>
      <c r="H1013" s="1713"/>
      <c r="I1013" s="1714">
        <v>150000</v>
      </c>
      <c r="J1013" s="1715"/>
      <c r="K1013" s="1716"/>
      <c r="L1013" s="1734"/>
      <c r="M1013" s="1735"/>
      <c r="N1013" s="1729">
        <v>40750</v>
      </c>
      <c r="O1013" s="1730"/>
      <c r="P1013" s="1729">
        <v>41068</v>
      </c>
      <c r="Q1013" s="1730"/>
      <c r="R1013" s="1727">
        <v>3301904</v>
      </c>
      <c r="S1013" s="1728"/>
      <c r="T1013" s="1727">
        <v>-15399.490410295737</v>
      </c>
      <c r="U1013" s="1733"/>
    </row>
    <row r="1014" spans="2:21">
      <c r="B1014" s="1710" t="s">
        <v>2602</v>
      </c>
      <c r="C1014" s="1711"/>
      <c r="D1014" s="1711"/>
      <c r="E1014" s="1712"/>
      <c r="F1014" s="1713" t="s">
        <v>2547</v>
      </c>
      <c r="G1014" s="1713"/>
      <c r="H1014" s="1713"/>
      <c r="I1014" s="1714">
        <v>100000</v>
      </c>
      <c r="J1014" s="1715"/>
      <c r="K1014" s="1716"/>
      <c r="L1014" s="1734"/>
      <c r="M1014" s="1735"/>
      <c r="N1014" s="1729">
        <v>40750</v>
      </c>
      <c r="O1014" s="1730"/>
      <c r="P1014" s="1729">
        <v>41068</v>
      </c>
      <c r="Q1014" s="1730"/>
      <c r="R1014" s="1727">
        <v>2201269</v>
      </c>
      <c r="S1014" s="1728"/>
      <c r="T1014" s="1727">
        <v>-9297.8055307445975</v>
      </c>
      <c r="U1014" s="1733"/>
    </row>
    <row r="1015" spans="2:21">
      <c r="B1015" s="1710" t="s">
        <v>312</v>
      </c>
      <c r="C1015" s="1711"/>
      <c r="D1015" s="1711"/>
      <c r="E1015" s="1712"/>
      <c r="F1015" s="1713" t="s">
        <v>2547</v>
      </c>
      <c r="G1015" s="1713"/>
      <c r="H1015" s="1713"/>
      <c r="I1015" s="1714">
        <v>100000</v>
      </c>
      <c r="J1015" s="1715"/>
      <c r="K1015" s="1716"/>
      <c r="L1015" s="1734"/>
      <c r="M1015" s="1735"/>
      <c r="N1015" s="1729">
        <v>40750</v>
      </c>
      <c r="O1015" s="1730"/>
      <c r="P1015" s="1729">
        <v>41068</v>
      </c>
      <c r="Q1015" s="1730"/>
      <c r="R1015" s="1727">
        <v>2201269</v>
      </c>
      <c r="S1015" s="1728"/>
      <c r="T1015" s="1727">
        <v>-8329.2841212920357</v>
      </c>
      <c r="U1015" s="1733"/>
    </row>
    <row r="1016" spans="2:21">
      <c r="B1016" s="1710" t="s">
        <v>2603</v>
      </c>
      <c r="C1016" s="1711"/>
      <c r="D1016" s="1711"/>
      <c r="E1016" s="1712"/>
      <c r="F1016" s="1713" t="s">
        <v>2547</v>
      </c>
      <c r="G1016" s="1713"/>
      <c r="H1016" s="1713"/>
      <c r="I1016" s="1714">
        <v>100000</v>
      </c>
      <c r="J1016" s="1715"/>
      <c r="K1016" s="1716"/>
      <c r="L1016" s="1734"/>
      <c r="M1016" s="1735"/>
      <c r="N1016" s="1729">
        <v>40774</v>
      </c>
      <c r="O1016" s="1730"/>
      <c r="P1016" s="1729">
        <v>41068</v>
      </c>
      <c r="Q1016" s="1730"/>
      <c r="R1016" s="1727">
        <v>2201269</v>
      </c>
      <c r="S1016" s="1728"/>
      <c r="T1016" s="1727">
        <v>1452.7821141788434</v>
      </c>
      <c r="U1016" s="1733"/>
    </row>
    <row r="1017" spans="2:21">
      <c r="B1017" s="1710"/>
      <c r="C1017" s="1711"/>
      <c r="D1017" s="1711"/>
      <c r="E1017" s="1712"/>
      <c r="F1017" s="1713"/>
      <c r="G1017" s="1713"/>
      <c r="H1017" s="1713"/>
      <c r="I1017" s="1714"/>
      <c r="J1017" s="1715"/>
      <c r="K1017" s="1716"/>
      <c r="L1017" s="1734"/>
      <c r="M1017" s="1735"/>
      <c r="N1017" s="1729"/>
      <c r="O1017" s="1730"/>
      <c r="P1017" s="1729"/>
      <c r="Q1017" s="1730"/>
      <c r="R1017" s="1727"/>
      <c r="S1017" s="1728"/>
      <c r="T1017" s="1727"/>
      <c r="U1017" s="1733"/>
    </row>
    <row r="1018" spans="2:21" ht="12" thickBot="1">
      <c r="B1018" s="2157"/>
      <c r="C1018" s="2158"/>
      <c r="D1018" s="2158"/>
      <c r="E1018" s="2159"/>
      <c r="F1018" s="2155"/>
      <c r="G1018" s="2155"/>
      <c r="H1018" s="2155"/>
      <c r="I1018" s="2123"/>
      <c r="J1018" s="2156"/>
      <c r="K1018" s="2154"/>
      <c r="L1018" s="1734"/>
      <c r="M1018" s="1735"/>
      <c r="N1018" s="2125"/>
      <c r="O1018" s="2126"/>
      <c r="P1018" s="2125"/>
      <c r="Q1018" s="2126"/>
      <c r="R1018" s="2123"/>
      <c r="S1018" s="2154"/>
      <c r="T1018" s="2123"/>
      <c r="U1018" s="2124"/>
    </row>
    <row r="1019" spans="2:21" ht="13.5" thickBot="1">
      <c r="B1019" s="863" t="s">
        <v>1359</v>
      </c>
      <c r="C1019" s="864"/>
      <c r="D1019" s="865"/>
      <c r="E1019" s="865"/>
      <c r="F1019" s="865"/>
      <c r="G1019" s="865"/>
      <c r="H1019" s="865"/>
      <c r="I1019" s="1762">
        <f>SUM(I989:K1018)</f>
        <v>32567911</v>
      </c>
      <c r="J1019" s="1763"/>
      <c r="K1019" s="1764"/>
      <c r="L1019" s="864"/>
      <c r="M1019" s="865"/>
      <c r="N1019" s="864"/>
      <c r="O1019" s="865"/>
      <c r="P1019" s="864"/>
      <c r="Q1019" s="865"/>
      <c r="R1019" s="1762">
        <f>SUM(R989:S1018)</f>
        <v>47035681</v>
      </c>
      <c r="S1019" s="1764"/>
      <c r="T1019" s="1762">
        <f>SUM(T989:U1018)</f>
        <v>-112173.16103325051</v>
      </c>
      <c r="U1019" s="2174"/>
    </row>
    <row r="1020" spans="2:21" ht="12" thickBot="1">
      <c r="B1020" s="2181"/>
      <c r="C1020" s="2182"/>
      <c r="D1020" s="2182"/>
      <c r="E1020" s="2182"/>
      <c r="F1020" s="2182"/>
      <c r="G1020" s="2182"/>
      <c r="H1020" s="2182"/>
      <c r="I1020" s="2182"/>
      <c r="J1020" s="2182"/>
      <c r="K1020" s="2182"/>
      <c r="L1020" s="2182"/>
      <c r="M1020" s="2182"/>
      <c r="N1020" s="2182"/>
      <c r="O1020" s="2182"/>
      <c r="P1020" s="2182"/>
      <c r="Q1020" s="2182"/>
      <c r="R1020" s="2182"/>
      <c r="S1020" s="2182"/>
      <c r="T1020" s="2182"/>
      <c r="U1020" s="2183"/>
    </row>
    <row r="1021" spans="2:21" ht="12.75" thickBot="1">
      <c r="B1021" s="868" t="s">
        <v>712</v>
      </c>
      <c r="C1021" s="864"/>
      <c r="D1021" s="865"/>
      <c r="E1021" s="865"/>
      <c r="F1021" s="865"/>
      <c r="G1021" s="865"/>
      <c r="H1021" s="865"/>
      <c r="I1021" s="1762">
        <f>+I988-I1019</f>
        <v>53445031</v>
      </c>
      <c r="J1021" s="1763"/>
      <c r="K1021" s="1764"/>
      <c r="L1021" s="864"/>
      <c r="M1021" s="865"/>
      <c r="N1021" s="864"/>
      <c r="O1021" s="865"/>
      <c r="P1021" s="864"/>
      <c r="Q1021" s="865"/>
      <c r="R1021" s="1762">
        <f>+R988-R1019</f>
        <v>4055739</v>
      </c>
      <c r="S1021" s="1764"/>
      <c r="T1021" s="1762">
        <f>+T988+T1019</f>
        <v>-2320614.0656791064</v>
      </c>
      <c r="U1021" s="1764"/>
    </row>
    <row r="1024" spans="2:21" ht="12" thickBot="1"/>
    <row r="1025" spans="2:31" ht="69.95" customHeight="1" thickBot="1">
      <c r="B1025" s="2187"/>
      <c r="C1025" s="1906"/>
      <c r="D1025" s="1906"/>
      <c r="E1025" s="2188"/>
      <c r="F1025" s="2149" t="s">
        <v>564</v>
      </c>
      <c r="G1025" s="1906"/>
      <c r="H1025" s="2150"/>
      <c r="I1025" s="2173" t="s">
        <v>565</v>
      </c>
      <c r="J1025" s="1906"/>
      <c r="K1025" s="2150"/>
      <c r="L1025" s="2173" t="s">
        <v>566</v>
      </c>
      <c r="M1025" s="1906"/>
      <c r="N1025" s="2150"/>
      <c r="O1025" s="2173" t="s">
        <v>397</v>
      </c>
      <c r="P1025" s="1906"/>
      <c r="Q1025" s="2150"/>
      <c r="R1025" s="2173" t="s">
        <v>567</v>
      </c>
      <c r="S1025" s="1906"/>
      <c r="T1025" s="2150"/>
      <c r="U1025" s="2176" t="s">
        <v>568</v>
      </c>
      <c r="V1025" s="2177"/>
      <c r="W1025" s="2178" t="s">
        <v>398</v>
      </c>
      <c r="X1025" s="2179"/>
      <c r="Y1025" s="2180"/>
      <c r="Z1025" s="1843" t="s">
        <v>2533</v>
      </c>
      <c r="AA1025" s="1844"/>
      <c r="AB1025" s="2175"/>
      <c r="AC1025" s="1843" t="s">
        <v>2534</v>
      </c>
      <c r="AD1025" s="1844"/>
      <c r="AE1025" s="1845"/>
    </row>
    <row r="1026" spans="2:31" ht="30" customHeight="1">
      <c r="B1026" s="2134" t="s">
        <v>1842</v>
      </c>
      <c r="C1026" s="2135"/>
      <c r="D1026" s="2135"/>
      <c r="E1026" s="2136"/>
      <c r="F1026" s="2146">
        <v>1037926351</v>
      </c>
      <c r="G1026" s="2147"/>
      <c r="H1026" s="2148"/>
      <c r="I1026" s="1830">
        <v>1072723213</v>
      </c>
      <c r="J1026" s="1831"/>
      <c r="K1026" s="1832"/>
      <c r="L1026" s="1830">
        <v>1071658957</v>
      </c>
      <c r="M1026" s="1831"/>
      <c r="N1026" s="1832"/>
      <c r="O1026" s="1830">
        <v>1064256</v>
      </c>
      <c r="P1026" s="1831"/>
      <c r="Q1026" s="1832"/>
      <c r="R1026" s="1830">
        <v>1158409822</v>
      </c>
      <c r="S1026" s="1831"/>
      <c r="T1026" s="1832"/>
      <c r="U1026" s="2163">
        <v>1248967006</v>
      </c>
      <c r="V1026" s="2164"/>
      <c r="W1026" s="2163">
        <v>87013070</v>
      </c>
      <c r="X1026" s="2189"/>
      <c r="Y1026" s="2164"/>
      <c r="Z1026" s="1830">
        <v>1161215240</v>
      </c>
      <c r="AA1026" s="1831"/>
      <c r="AB1026" s="1832"/>
      <c r="AC1026" s="1830">
        <f>+Z1026-R1026</f>
        <v>2805418</v>
      </c>
      <c r="AD1026" s="1831"/>
      <c r="AE1026" s="1832"/>
    </row>
    <row r="1027" spans="2:31" ht="39.950000000000003" customHeight="1">
      <c r="B1027" s="2099" t="s">
        <v>1377</v>
      </c>
      <c r="C1027" s="2100"/>
      <c r="D1027" s="2100"/>
      <c r="E1027" s="2101"/>
      <c r="F1027" s="2137"/>
      <c r="G1027" s="2138"/>
      <c r="H1027" s="2139"/>
      <c r="I1027" s="1833">
        <v>165483714</v>
      </c>
      <c r="J1027" s="1834"/>
      <c r="K1027" s="1835"/>
      <c r="L1027" s="2143"/>
      <c r="M1027" s="2144"/>
      <c r="N1027" s="2145"/>
      <c r="O1027" s="2143"/>
      <c r="P1027" s="2144"/>
      <c r="Q1027" s="2145"/>
      <c r="R1027" s="1833">
        <v>178634509</v>
      </c>
      <c r="S1027" s="1834"/>
      <c r="T1027" s="1835"/>
      <c r="U1027" s="2165"/>
      <c r="V1027" s="2166"/>
      <c r="W1027" s="2165"/>
      <c r="X1027" s="2190"/>
      <c r="Y1027" s="2166"/>
      <c r="Z1027" s="1833">
        <v>179052888</v>
      </c>
      <c r="AA1027" s="1834"/>
      <c r="AB1027" s="1835"/>
      <c r="AC1027" s="1833">
        <f>+Z1027-R1027</f>
        <v>418379</v>
      </c>
      <c r="AD1027" s="1834"/>
      <c r="AE1027" s="1835"/>
    </row>
    <row r="1028" spans="2:31" ht="30" customHeight="1" thickBot="1">
      <c r="B1028" s="2151" t="s">
        <v>247</v>
      </c>
      <c r="C1028" s="2152"/>
      <c r="D1028" s="2152"/>
      <c r="E1028" s="2153"/>
      <c r="F1028" s="1799"/>
      <c r="G1028" s="1800"/>
      <c r="H1028" s="1801"/>
      <c r="I1028" s="2140"/>
      <c r="J1028" s="2141"/>
      <c r="K1028" s="2142"/>
      <c r="L1028" s="2140"/>
      <c r="M1028" s="2141"/>
      <c r="N1028" s="2142"/>
      <c r="O1028" s="2140"/>
      <c r="P1028" s="2141"/>
      <c r="Q1028" s="2142"/>
      <c r="R1028" s="2170">
        <v>292718910</v>
      </c>
      <c r="S1028" s="2171"/>
      <c r="T1028" s="2172"/>
      <c r="U1028" s="1799"/>
      <c r="V1028" s="1801"/>
      <c r="W1028" s="1799"/>
      <c r="X1028" s="1800"/>
      <c r="Y1028" s="1801"/>
      <c r="Z1028" s="2160">
        <v>292808197</v>
      </c>
      <c r="AA1028" s="2161"/>
      <c r="AB1028" s="2162"/>
      <c r="AC1028" s="1799">
        <f>+Z1028-R1028</f>
        <v>89287</v>
      </c>
      <c r="AD1028" s="1800"/>
      <c r="AE1028" s="1801"/>
    </row>
    <row r="1029" spans="2:31" ht="20.100000000000001" customHeight="1" thickBot="1">
      <c r="B1029" s="2191" t="s">
        <v>116</v>
      </c>
      <c r="C1029" s="2192"/>
      <c r="D1029" s="2192"/>
      <c r="E1029" s="2193"/>
      <c r="F1029" s="2184">
        <f>+F1026</f>
        <v>1037926351</v>
      </c>
      <c r="G1029" s="2185"/>
      <c r="H1029" s="2186"/>
      <c r="I1029" s="1827">
        <f>+I1026+I1027</f>
        <v>1238206927</v>
      </c>
      <c r="J1029" s="1828"/>
      <c r="K1029" s="1829"/>
      <c r="L1029" s="1827">
        <f>+L1026</f>
        <v>1071658957</v>
      </c>
      <c r="M1029" s="1828"/>
      <c r="N1029" s="1829"/>
      <c r="O1029" s="1827">
        <f>+O1026</f>
        <v>1064256</v>
      </c>
      <c r="P1029" s="1828"/>
      <c r="Q1029" s="1829"/>
      <c r="R1029" s="1827">
        <f>+R1026+R1027+R1028</f>
        <v>1629763241</v>
      </c>
      <c r="S1029" s="1828"/>
      <c r="T1029" s="1829"/>
      <c r="U1029" s="2167">
        <f>+U1026+U1027</f>
        <v>1248967006</v>
      </c>
      <c r="V1029" s="2168"/>
      <c r="W1029" s="2167">
        <f>+W1026+W1027</f>
        <v>87013070</v>
      </c>
      <c r="X1029" s="2169"/>
      <c r="Y1029" s="2168"/>
      <c r="Z1029" s="1827">
        <f>+Z1026+Z1027+Z1028</f>
        <v>1633076325</v>
      </c>
      <c r="AA1029" s="1828"/>
      <c r="AB1029" s="1829"/>
      <c r="AC1029" s="1827">
        <f>+AC1026+AC1027+AC1028</f>
        <v>3313084</v>
      </c>
      <c r="AD1029" s="1828"/>
      <c r="AE1029" s="1829"/>
    </row>
    <row r="1030" spans="2:31">
      <c r="F1030" s="476"/>
      <c r="G1030" s="476"/>
      <c r="H1030" s="476"/>
      <c r="I1030" s="476"/>
      <c r="J1030" s="476"/>
      <c r="K1030" s="476"/>
      <c r="L1030" s="476"/>
      <c r="M1030" s="476"/>
    </row>
    <row r="1031" spans="2:31">
      <c r="F1031" s="163"/>
      <c r="G1031" s="163"/>
      <c r="H1031" s="163"/>
      <c r="I1031" s="163"/>
      <c r="J1031" s="163"/>
      <c r="K1031" s="163"/>
      <c r="L1031" s="163"/>
      <c r="M1031" s="163"/>
      <c r="N1031" s="163"/>
    </row>
    <row r="1032" spans="2:31" ht="12" thickBot="1"/>
    <row r="1033" spans="2:31" ht="30" customHeight="1" thickBot="1">
      <c r="B1033" s="2105" t="s">
        <v>961</v>
      </c>
      <c r="C1033" s="2106"/>
      <c r="D1033" s="2106"/>
      <c r="E1033" s="2106"/>
      <c r="F1033" s="2106"/>
      <c r="G1033" s="2106"/>
      <c r="H1033" s="2106"/>
      <c r="I1033" s="2106"/>
      <c r="J1033" s="2106"/>
      <c r="K1033" s="2107"/>
    </row>
    <row r="1034" spans="2:31" ht="30" customHeight="1">
      <c r="B1034" s="2096" t="s">
        <v>1771</v>
      </c>
      <c r="C1034" s="2097"/>
      <c r="D1034" s="2097"/>
      <c r="E1034" s="2097"/>
      <c r="F1034" s="2097"/>
      <c r="G1034" s="2097"/>
      <c r="H1034" s="2098"/>
      <c r="I1034" s="2108">
        <v>3152114</v>
      </c>
      <c r="J1034" s="2109"/>
      <c r="K1034" s="2110"/>
    </row>
    <row r="1035" spans="2:31" ht="20.100000000000001" customHeight="1">
      <c r="B1035" s="2120" t="s">
        <v>1772</v>
      </c>
      <c r="C1035" s="2121"/>
      <c r="D1035" s="2121"/>
      <c r="E1035" s="2121"/>
      <c r="F1035" s="2121"/>
      <c r="G1035" s="2121"/>
      <c r="H1035" s="2122"/>
      <c r="I1035" s="2111">
        <v>788028</v>
      </c>
      <c r="J1035" s="2112"/>
      <c r="K1035" s="2113"/>
    </row>
    <row r="1036" spans="2:31" ht="20.100000000000001" customHeight="1">
      <c r="B1036" s="2120" t="s">
        <v>1773</v>
      </c>
      <c r="C1036" s="2121"/>
      <c r="D1036" s="2121"/>
      <c r="E1036" s="2121"/>
      <c r="F1036" s="2121"/>
      <c r="G1036" s="2121"/>
      <c r="H1036" s="2122"/>
      <c r="I1036" s="2114" t="s">
        <v>2611</v>
      </c>
      <c r="J1036" s="2115"/>
      <c r="K1036" s="2116"/>
    </row>
    <row r="1037" spans="2:31" ht="39.950000000000003" customHeight="1">
      <c r="B1037" s="2120" t="s">
        <v>1774</v>
      </c>
      <c r="C1037" s="2121"/>
      <c r="D1037" s="2121"/>
      <c r="E1037" s="2121"/>
      <c r="F1037" s="2121"/>
      <c r="G1037" s="2121"/>
      <c r="H1037" s="2122"/>
      <c r="I1037" s="2111">
        <v>11824335</v>
      </c>
      <c r="J1037" s="2112"/>
      <c r="K1037" s="2113"/>
    </row>
    <row r="1038" spans="2:31" ht="69.95" customHeight="1" thickBot="1">
      <c r="B1038" s="2102" t="s">
        <v>1775</v>
      </c>
      <c r="C1038" s="2103"/>
      <c r="D1038" s="2103"/>
      <c r="E1038" s="2103"/>
      <c r="F1038" s="2103"/>
      <c r="G1038" s="2103"/>
      <c r="H1038" s="2104"/>
      <c r="I1038" s="2117">
        <v>3.8408420606132115E-2</v>
      </c>
      <c r="J1038" s="2118"/>
      <c r="K1038" s="2119"/>
    </row>
  </sheetData>
  <mergeCells count="4865">
    <mergeCell ref="I371:K371"/>
    <mergeCell ref="L376:M376"/>
    <mergeCell ref="G537:I537"/>
    <mergeCell ref="T389:U389"/>
    <mergeCell ref="T390:U390"/>
    <mergeCell ref="T395:U395"/>
    <mergeCell ref="T396:U396"/>
    <mergeCell ref="R411:S411"/>
    <mergeCell ref="T411:U411"/>
    <mergeCell ref="I410:K410"/>
    <mergeCell ref="T409:U409"/>
    <mergeCell ref="T410:U410"/>
    <mergeCell ref="L410:M410"/>
    <mergeCell ref="N410:O410"/>
    <mergeCell ref="R410:S410"/>
    <mergeCell ref="I276:K276"/>
    <mergeCell ref="I277:K277"/>
    <mergeCell ref="R373:S373"/>
    <mergeCell ref="L372:M372"/>
    <mergeCell ref="N372:O372"/>
    <mergeCell ref="R372:S372"/>
    <mergeCell ref="L368:M368"/>
    <mergeCell ref="N368:O368"/>
    <mergeCell ref="R368:S368"/>
    <mergeCell ref="I283:K283"/>
    <mergeCell ref="T371:U371"/>
    <mergeCell ref="L370:M370"/>
    <mergeCell ref="N370:O370"/>
    <mergeCell ref="R370:S370"/>
    <mergeCell ref="T370:U370"/>
    <mergeCell ref="R369:S369"/>
    <mergeCell ref="N369:O369"/>
    <mergeCell ref="T372:U372"/>
    <mergeCell ref="I367:K367"/>
    <mergeCell ref="T400:U400"/>
    <mergeCell ref="T401:U401"/>
    <mergeCell ref="T402:U402"/>
    <mergeCell ref="I408:K408"/>
    <mergeCell ref="I409:K409"/>
    <mergeCell ref="I274:K274"/>
    <mergeCell ref="L374:M374"/>
    <mergeCell ref="N374:O374"/>
    <mergeCell ref="R375:S375"/>
    <mergeCell ref="I272:K272"/>
    <mergeCell ref="T375:U375"/>
    <mergeCell ref="R374:S374"/>
    <mergeCell ref="T374:U374"/>
    <mergeCell ref="I373:K373"/>
    <mergeCell ref="I374:K374"/>
    <mergeCell ref="T397:U397"/>
    <mergeCell ref="L408:M408"/>
    <mergeCell ref="R408:S408"/>
    <mergeCell ref="N408:O408"/>
    <mergeCell ref="I287:K287"/>
    <mergeCell ref="L367:M367"/>
    <mergeCell ref="I300:K300"/>
    <mergeCell ref="I301:K301"/>
    <mergeCell ref="I302:K302"/>
    <mergeCell ref="I303:K303"/>
    <mergeCell ref="I288:K288"/>
    <mergeCell ref="T368:U368"/>
    <mergeCell ref="T408:U408"/>
    <mergeCell ref="I368:K368"/>
    <mergeCell ref="N366:O366"/>
    <mergeCell ref="I275:K275"/>
    <mergeCell ref="I365:K365"/>
    <mergeCell ref="I251:K251"/>
    <mergeCell ref="I252:K252"/>
    <mergeCell ref="I253:K253"/>
    <mergeCell ref="I254:K254"/>
    <mergeCell ref="T398:U398"/>
    <mergeCell ref="T399:U399"/>
    <mergeCell ref="T391:U391"/>
    <mergeCell ref="T392:U392"/>
    <mergeCell ref="T393:U393"/>
    <mergeCell ref="T394:U394"/>
    <mergeCell ref="I263:K263"/>
    <mergeCell ref="I264:K264"/>
    <mergeCell ref="I265:K265"/>
    <mergeCell ref="L358:M358"/>
    <mergeCell ref="I360:K360"/>
    <mergeCell ref="L359:M359"/>
    <mergeCell ref="I358:K358"/>
    <mergeCell ref="T355:U355"/>
    <mergeCell ref="L356:M356"/>
    <mergeCell ref="N356:O356"/>
    <mergeCell ref="N357:O357"/>
    <mergeCell ref="I266:K266"/>
    <mergeCell ref="I267:K267"/>
    <mergeCell ref="N375:O375"/>
    <mergeCell ref="T373:U373"/>
    <mergeCell ref="I278:K278"/>
    <mergeCell ref="I279:K279"/>
    <mergeCell ref="I280:K280"/>
    <mergeCell ref="I281:K281"/>
    <mergeCell ref="N371:O371"/>
    <mergeCell ref="I282:K282"/>
    <mergeCell ref="I307:K307"/>
    <mergeCell ref="I335:K335"/>
    <mergeCell ref="R313:S313"/>
    <mergeCell ref="N340:O340"/>
    <mergeCell ref="L346:M346"/>
    <mergeCell ref="L318:M318"/>
    <mergeCell ref="L319:M319"/>
    <mergeCell ref="L317:M317"/>
    <mergeCell ref="L314:M314"/>
    <mergeCell ref="R381:S381"/>
    <mergeCell ref="L377:M377"/>
    <mergeCell ref="I313:K313"/>
    <mergeCell ref="T357:U357"/>
    <mergeCell ref="L355:M355"/>
    <mergeCell ref="N355:O355"/>
    <mergeCell ref="R355:S355"/>
    <mergeCell ref="I321:K321"/>
    <mergeCell ref="I357:K357"/>
    <mergeCell ref="I322:K322"/>
    <mergeCell ref="I343:K343"/>
    <mergeCell ref="I328:K328"/>
    <mergeCell ref="N360:O360"/>
    <mergeCell ref="R360:S360"/>
    <mergeCell ref="I323:K323"/>
    <mergeCell ref="I324:K324"/>
    <mergeCell ref="N376:O376"/>
    <mergeCell ref="R376:S376"/>
    <mergeCell ref="T376:U376"/>
    <mergeCell ref="I375:K375"/>
    <mergeCell ref="I376:K376"/>
    <mergeCell ref="L375:M375"/>
    <mergeCell ref="L373:M373"/>
    <mergeCell ref="N325:O325"/>
    <mergeCell ref="L325:M325"/>
    <mergeCell ref="R327:S327"/>
    <mergeCell ref="I336:K336"/>
    <mergeCell ref="R330:S330"/>
    <mergeCell ref="R331:S331"/>
    <mergeCell ref="R335:S335"/>
    <mergeCell ref="L334:M334"/>
    <mergeCell ref="R326:S326"/>
    <mergeCell ref="N332:O332"/>
    <mergeCell ref="I366:K366"/>
    <mergeCell ref="T363:U363"/>
    <mergeCell ref="I308:K308"/>
    <mergeCell ref="I309:K309"/>
    <mergeCell ref="I310:K310"/>
    <mergeCell ref="N364:O364"/>
    <mergeCell ref="I356:K356"/>
    <mergeCell ref="L362:M362"/>
    <mergeCell ref="N362:O362"/>
    <mergeCell ref="R362:S362"/>
    <mergeCell ref="I341:K341"/>
    <mergeCell ref="T358:U358"/>
    <mergeCell ref="I337:K337"/>
    <mergeCell ref="I311:K311"/>
    <mergeCell ref="I353:K353"/>
    <mergeCell ref="I339:K339"/>
    <mergeCell ref="L365:M365"/>
    <mergeCell ref="L366:M366"/>
    <mergeCell ref="T365:U365"/>
    <mergeCell ref="N365:O365"/>
    <mergeCell ref="R366:S366"/>
    <mergeCell ref="R365:S365"/>
    <mergeCell ref="I327:K327"/>
    <mergeCell ref="L349:M349"/>
    <mergeCell ref="I333:K333"/>
    <mergeCell ref="I342:K342"/>
    <mergeCell ref="T360:U360"/>
    <mergeCell ref="I359:K359"/>
    <mergeCell ref="I351:K351"/>
    <mergeCell ref="I352:K352"/>
    <mergeCell ref="L351:M351"/>
    <mergeCell ref="R349:S349"/>
    <mergeCell ref="N349:O349"/>
    <mergeCell ref="I354:K354"/>
    <mergeCell ref="R350:S350"/>
    <mergeCell ref="I350:K350"/>
    <mergeCell ref="N358:O358"/>
    <mergeCell ref="N350:O350"/>
    <mergeCell ref="L352:M352"/>
    <mergeCell ref="N352:O352"/>
    <mergeCell ref="R352:S352"/>
    <mergeCell ref="T346:U346"/>
    <mergeCell ref="L328:M328"/>
    <mergeCell ref="T333:U333"/>
    <mergeCell ref="I312:K312"/>
    <mergeCell ref="I314:K314"/>
    <mergeCell ref="I315:K315"/>
    <mergeCell ref="I346:K346"/>
    <mergeCell ref="R346:S346"/>
    <mergeCell ref="L347:M347"/>
    <mergeCell ref="L353:M353"/>
    <mergeCell ref="N353:O353"/>
    <mergeCell ref="R353:S353"/>
    <mergeCell ref="N351:O351"/>
    <mergeCell ref="T351:U351"/>
    <mergeCell ref="L350:M350"/>
    <mergeCell ref="L340:M340"/>
    <mergeCell ref="I329:K329"/>
    <mergeCell ref="I330:K330"/>
    <mergeCell ref="I331:K331"/>
    <mergeCell ref="I332:K332"/>
    <mergeCell ref="R343:S343"/>
    <mergeCell ref="R345:S345"/>
    <mergeCell ref="T341:U341"/>
    <mergeCell ref="L341:M341"/>
    <mergeCell ref="I344:K344"/>
    <mergeCell ref="L344:M344"/>
    <mergeCell ref="T342:U342"/>
    <mergeCell ref="T347:U347"/>
    <mergeCell ref="N341:O341"/>
    <mergeCell ref="T352:U352"/>
    <mergeCell ref="N315:O315"/>
    <mergeCell ref="T339:U339"/>
    <mergeCell ref="T334:U334"/>
    <mergeCell ref="R322:S322"/>
    <mergeCell ref="I325:K325"/>
    <mergeCell ref="T380:U380"/>
    <mergeCell ref="R356:S356"/>
    <mergeCell ref="T356:U356"/>
    <mergeCell ref="I355:K355"/>
    <mergeCell ref="R357:S357"/>
    <mergeCell ref="R358:S358"/>
    <mergeCell ref="R380:S380"/>
    <mergeCell ref="T364:U364"/>
    <mergeCell ref="I363:K363"/>
    <mergeCell ref="I364:K364"/>
    <mergeCell ref="L363:M363"/>
    <mergeCell ref="N363:O363"/>
    <mergeCell ref="R363:S363"/>
    <mergeCell ref="R364:S364"/>
    <mergeCell ref="L364:M364"/>
    <mergeCell ref="I361:K361"/>
    <mergeCell ref="I369:K369"/>
    <mergeCell ref="I370:K370"/>
    <mergeCell ref="T369:U369"/>
    <mergeCell ref="L369:M369"/>
    <mergeCell ref="N378:O378"/>
    <mergeCell ref="N359:O359"/>
    <mergeCell ref="R359:S359"/>
    <mergeCell ref="L361:M361"/>
    <mergeCell ref="N373:O373"/>
    <mergeCell ref="I372:K372"/>
    <mergeCell ref="L371:M371"/>
    <mergeCell ref="R371:S371"/>
    <mergeCell ref="R367:S367"/>
    <mergeCell ref="T367:U367"/>
    <mergeCell ref="T366:U366"/>
    <mergeCell ref="N367:O367"/>
    <mergeCell ref="T382:U382"/>
    <mergeCell ref="T383:U383"/>
    <mergeCell ref="T384:U384"/>
    <mergeCell ref="T385:U385"/>
    <mergeCell ref="T386:U386"/>
    <mergeCell ref="T387:U387"/>
    <mergeCell ref="T348:U348"/>
    <mergeCell ref="I347:K347"/>
    <mergeCell ref="I348:K348"/>
    <mergeCell ref="N377:O377"/>
    <mergeCell ref="T345:U345"/>
    <mergeCell ref="I345:K345"/>
    <mergeCell ref="L348:M348"/>
    <mergeCell ref="N348:O348"/>
    <mergeCell ref="R348:S348"/>
    <mergeCell ref="I349:K349"/>
    <mergeCell ref="N347:O347"/>
    <mergeCell ref="N379:O379"/>
    <mergeCell ref="N380:O380"/>
    <mergeCell ref="T362:U362"/>
    <mergeCell ref="I362:K362"/>
    <mergeCell ref="N361:O361"/>
    <mergeCell ref="R361:S361"/>
    <mergeCell ref="T361:U361"/>
    <mergeCell ref="T359:U359"/>
    <mergeCell ref="L360:M360"/>
    <mergeCell ref="L354:M354"/>
    <mergeCell ref="N354:O354"/>
    <mergeCell ref="R354:S354"/>
    <mergeCell ref="T354:U354"/>
    <mergeCell ref="R351:S351"/>
    <mergeCell ref="T378:U378"/>
    <mergeCell ref="P225:Q225"/>
    <mergeCell ref="P222:Q222"/>
    <mergeCell ref="P223:Q223"/>
    <mergeCell ref="T226:U226"/>
    <mergeCell ref="T227:U227"/>
    <mergeCell ref="T228:U228"/>
    <mergeCell ref="T229:U229"/>
    <mergeCell ref="T230:U230"/>
    <mergeCell ref="T231:U231"/>
    <mergeCell ref="R217:S217"/>
    <mergeCell ref="R226:S226"/>
    <mergeCell ref="R406:S406"/>
    <mergeCell ref="T350:U350"/>
    <mergeCell ref="R344:S344"/>
    <mergeCell ref="T353:U353"/>
    <mergeCell ref="T379:U379"/>
    <mergeCell ref="R340:S340"/>
    <mergeCell ref="T340:U340"/>
    <mergeCell ref="R402:S402"/>
    <mergeCell ref="R403:S403"/>
    <mergeCell ref="R404:S404"/>
    <mergeCell ref="R400:S400"/>
    <mergeCell ref="R401:S401"/>
    <mergeCell ref="T388:U388"/>
    <mergeCell ref="T232:U232"/>
    <mergeCell ref="T233:U233"/>
    <mergeCell ref="R231:S231"/>
    <mergeCell ref="R232:S232"/>
    <mergeCell ref="R233:S233"/>
    <mergeCell ref="R292:S292"/>
    <mergeCell ref="R295:S295"/>
    <mergeCell ref="T381:U381"/>
    <mergeCell ref="B193:E193"/>
    <mergeCell ref="B194:E194"/>
    <mergeCell ref="B689:I689"/>
    <mergeCell ref="J689:L689"/>
    <mergeCell ref="M689:O689"/>
    <mergeCell ref="P689:R689"/>
    <mergeCell ref="J687:L687"/>
    <mergeCell ref="M687:O687"/>
    <mergeCell ref="P687:R687"/>
    <mergeCell ref="B688:I688"/>
    <mergeCell ref="B187:E187"/>
    <mergeCell ref="B188:E188"/>
    <mergeCell ref="B189:E189"/>
    <mergeCell ref="B190:E190"/>
    <mergeCell ref="B191:E191"/>
    <mergeCell ref="B192:E192"/>
    <mergeCell ref="B195:E195"/>
    <mergeCell ref="B196:E196"/>
    <mergeCell ref="B197:E197"/>
    <mergeCell ref="B198:E198"/>
    <mergeCell ref="B199:E199"/>
    <mergeCell ref="B200:E200"/>
    <mergeCell ref="B201:E201"/>
    <mergeCell ref="B202:E202"/>
    <mergeCell ref="B207:E207"/>
    <mergeCell ref="F211:H211"/>
    <mergeCell ref="B208:E208"/>
    <mergeCell ref="N231:O231"/>
    <mergeCell ref="N227:O227"/>
    <mergeCell ref="R222:S222"/>
    <mergeCell ref="R223:S223"/>
    <mergeCell ref="P233:Q233"/>
    <mergeCell ref="J556:O556"/>
    <mergeCell ref="U654:V654"/>
    <mergeCell ref="U651:V651"/>
    <mergeCell ref="S651:T651"/>
    <mergeCell ref="U650:V650"/>
    <mergeCell ref="S652:T652"/>
    <mergeCell ref="O603:P603"/>
    <mergeCell ref="O652:P652"/>
    <mergeCell ref="Q636:R636"/>
    <mergeCell ref="Q610:R610"/>
    <mergeCell ref="Q617:R617"/>
    <mergeCell ref="O631:P631"/>
    <mergeCell ref="O606:P606"/>
    <mergeCell ref="Q592:R592"/>
    <mergeCell ref="O591:P591"/>
    <mergeCell ref="O650:P650"/>
    <mergeCell ref="J650:N650"/>
    <mergeCell ref="O596:P596"/>
    <mergeCell ref="S611:T611"/>
    <mergeCell ref="S607:T607"/>
    <mergeCell ref="U639:V639"/>
    <mergeCell ref="S650:T650"/>
    <mergeCell ref="S639:T639"/>
    <mergeCell ref="Q641:R641"/>
    <mergeCell ref="S644:T644"/>
    <mergeCell ref="S632:T632"/>
    <mergeCell ref="S636:T636"/>
    <mergeCell ref="Q649:R649"/>
    <mergeCell ref="S637:T637"/>
    <mergeCell ref="S624:T624"/>
    <mergeCell ref="U633:V633"/>
    <mergeCell ref="S604:T604"/>
    <mergeCell ref="N260:O260"/>
    <mergeCell ref="R261:S261"/>
    <mergeCell ref="R259:S259"/>
    <mergeCell ref="N279:O279"/>
    <mergeCell ref="Q602:R602"/>
    <mergeCell ref="P547:R547"/>
    <mergeCell ref="M549:O549"/>
    <mergeCell ref="J598:N598"/>
    <mergeCell ref="P549:R549"/>
    <mergeCell ref="J582:N582"/>
    <mergeCell ref="B575:R575"/>
    <mergeCell ref="O594:P594"/>
    <mergeCell ref="M553:O553"/>
    <mergeCell ref="B650:F650"/>
    <mergeCell ref="B646:F646"/>
    <mergeCell ref="G650:I650"/>
    <mergeCell ref="G646:I646"/>
    <mergeCell ref="J644:N644"/>
    <mergeCell ref="S603:T603"/>
    <mergeCell ref="Q608:R608"/>
    <mergeCell ref="O608:P608"/>
    <mergeCell ref="Q605:R605"/>
    <mergeCell ref="Q611:R611"/>
    <mergeCell ref="S642:T642"/>
    <mergeCell ref="S618:T618"/>
    <mergeCell ref="S619:T619"/>
    <mergeCell ref="Q644:R644"/>
    <mergeCell ref="S617:T617"/>
    <mergeCell ref="S620:T620"/>
    <mergeCell ref="S623:T623"/>
    <mergeCell ref="Q624:R624"/>
    <mergeCell ref="S635:T635"/>
    <mergeCell ref="N251:O251"/>
    <mergeCell ref="N252:O252"/>
    <mergeCell ref="N253:O253"/>
    <mergeCell ref="N266:O266"/>
    <mergeCell ref="N259:O259"/>
    <mergeCell ref="N262:O262"/>
    <mergeCell ref="N263:O263"/>
    <mergeCell ref="N254:O254"/>
    <mergeCell ref="N256:O256"/>
    <mergeCell ref="N255:O255"/>
    <mergeCell ref="N257:O257"/>
    <mergeCell ref="N265:O265"/>
    <mergeCell ref="R263:S263"/>
    <mergeCell ref="N268:O268"/>
    <mergeCell ref="R273:S273"/>
    <mergeCell ref="R262:S262"/>
    <mergeCell ref="R265:S265"/>
    <mergeCell ref="R264:S264"/>
    <mergeCell ref="R267:S267"/>
    <mergeCell ref="N267:O267"/>
    <mergeCell ref="R268:S268"/>
    <mergeCell ref="R271:S271"/>
    <mergeCell ref="N261:O261"/>
    <mergeCell ref="N272:O272"/>
    <mergeCell ref="N271:O271"/>
    <mergeCell ref="R272:S272"/>
    <mergeCell ref="N273:O273"/>
    <mergeCell ref="N258:O258"/>
    <mergeCell ref="R260:S260"/>
    <mergeCell ref="R266:S266"/>
    <mergeCell ref="N264:O264"/>
    <mergeCell ref="N269:O269"/>
    <mergeCell ref="T258:U258"/>
    <mergeCell ref="T259:U259"/>
    <mergeCell ref="T260:U260"/>
    <mergeCell ref="R269:S269"/>
    <mergeCell ref="R270:S270"/>
    <mergeCell ref="T272:U272"/>
    <mergeCell ref="T270:U270"/>
    <mergeCell ref="T266:U266"/>
    <mergeCell ref="T269:U269"/>
    <mergeCell ref="T268:U268"/>
    <mergeCell ref="N293:O293"/>
    <mergeCell ref="T261:U261"/>
    <mergeCell ref="N281:O281"/>
    <mergeCell ref="N292:O292"/>
    <mergeCell ref="N291:O291"/>
    <mergeCell ref="T281:U281"/>
    <mergeCell ref="T276:U276"/>
    <mergeCell ref="N270:O270"/>
    <mergeCell ref="N285:O285"/>
    <mergeCell ref="N275:O275"/>
    <mergeCell ref="N280:O280"/>
    <mergeCell ref="N289:O289"/>
    <mergeCell ref="R274:S274"/>
    <mergeCell ref="N286:O286"/>
    <mergeCell ref="N288:O288"/>
    <mergeCell ref="R288:S288"/>
    <mergeCell ref="R285:S285"/>
    <mergeCell ref="N278:O278"/>
    <mergeCell ref="R278:S278"/>
    <mergeCell ref="R280:S280"/>
    <mergeCell ref="N277:O277"/>
    <mergeCell ref="N274:O274"/>
    <mergeCell ref="R276:S276"/>
    <mergeCell ref="R283:S283"/>
    <mergeCell ref="R279:S279"/>
    <mergeCell ref="T262:U262"/>
    <mergeCell ref="T263:U263"/>
    <mergeCell ref="T264:U264"/>
    <mergeCell ref="T265:U265"/>
    <mergeCell ref="T271:U271"/>
    <mergeCell ref="T273:U273"/>
    <mergeCell ref="T267:U267"/>
    <mergeCell ref="L292:M292"/>
    <mergeCell ref="N284:O284"/>
    <mergeCell ref="R296:S296"/>
    <mergeCell ref="N282:O282"/>
    <mergeCell ref="N283:O283"/>
    <mergeCell ref="T274:U274"/>
    <mergeCell ref="T275:U275"/>
    <mergeCell ref="T282:U282"/>
    <mergeCell ref="T283:U283"/>
    <mergeCell ref="T280:U280"/>
    <mergeCell ref="N276:O276"/>
    <mergeCell ref="L278:M278"/>
    <mergeCell ref="L276:M276"/>
    <mergeCell ref="L277:M277"/>
    <mergeCell ref="L270:M270"/>
    <mergeCell ref="L271:M271"/>
    <mergeCell ref="L275:M275"/>
    <mergeCell ref="L274:M274"/>
    <mergeCell ref="L273:M273"/>
    <mergeCell ref="L282:M282"/>
    <mergeCell ref="L285:M285"/>
    <mergeCell ref="L286:M286"/>
    <mergeCell ref="I293:K293"/>
    <mergeCell ref="T293:U293"/>
    <mergeCell ref="R289:S289"/>
    <mergeCell ref="T277:U277"/>
    <mergeCell ref="R291:S291"/>
    <mergeCell ref="R281:S281"/>
    <mergeCell ref="R282:S282"/>
    <mergeCell ref="R284:S284"/>
    <mergeCell ref="T292:U292"/>
    <mergeCell ref="R286:S286"/>
    <mergeCell ref="R290:S290"/>
    <mergeCell ref="T289:U289"/>
    <mergeCell ref="T290:U290"/>
    <mergeCell ref="T291:U291"/>
    <mergeCell ref="N290:O290"/>
    <mergeCell ref="T286:U286"/>
    <mergeCell ref="T287:U287"/>
    <mergeCell ref="N287:O287"/>
    <mergeCell ref="T288:U288"/>
    <mergeCell ref="T285:U285"/>
    <mergeCell ref="R287:S287"/>
    <mergeCell ref="T279:U279"/>
    <mergeCell ref="T278:U278"/>
    <mergeCell ref="T284:U284"/>
    <mergeCell ref="R277:S277"/>
    <mergeCell ref="I291:K291"/>
    <mergeCell ref="I292:K292"/>
    <mergeCell ref="I289:K289"/>
    <mergeCell ref="I290:K290"/>
    <mergeCell ref="I284:K284"/>
    <mergeCell ref="I285:K285"/>
    <mergeCell ref="I286:K286"/>
    <mergeCell ref="L301:M301"/>
    <mergeCell ref="L305:M305"/>
    <mergeCell ref="L295:M295"/>
    <mergeCell ref="N299:O299"/>
    <mergeCell ref="L298:M298"/>
    <mergeCell ref="L294:M294"/>
    <mergeCell ref="N295:O295"/>
    <mergeCell ref="L297:M297"/>
    <mergeCell ref="N297:O297"/>
    <mergeCell ref="L296:M296"/>
    <mergeCell ref="I294:K294"/>
    <mergeCell ref="I295:K295"/>
    <mergeCell ref="T296:U296"/>
    <mergeCell ref="N296:O296"/>
    <mergeCell ref="N298:O298"/>
    <mergeCell ref="R297:S297"/>
    <mergeCell ref="T298:U298"/>
    <mergeCell ref="T294:U294"/>
    <mergeCell ref="T295:U295"/>
    <mergeCell ref="R294:S294"/>
    <mergeCell ref="I296:K296"/>
    <mergeCell ref="I297:K297"/>
    <mergeCell ref="I304:K304"/>
    <mergeCell ref="I298:K298"/>
    <mergeCell ref="I299:K299"/>
    <mergeCell ref="I305:K305"/>
    <mergeCell ref="I306:K306"/>
    <mergeCell ref="T316:U316"/>
    <mergeCell ref="T377:U377"/>
    <mergeCell ref="T308:U308"/>
    <mergeCell ref="T315:U315"/>
    <mergeCell ref="T314:U314"/>
    <mergeCell ref="T312:U312"/>
    <mergeCell ref="T309:U309"/>
    <mergeCell ref="T310:U310"/>
    <mergeCell ref="T305:U305"/>
    <mergeCell ref="L299:M299"/>
    <mergeCell ref="N306:O306"/>
    <mergeCell ref="R307:S307"/>
    <mergeCell ref="R300:S300"/>
    <mergeCell ref="R301:S301"/>
    <mergeCell ref="T300:U300"/>
    <mergeCell ref="R304:S304"/>
    <mergeCell ref="T299:U299"/>
    <mergeCell ref="L300:M300"/>
    <mergeCell ref="T304:U304"/>
    <mergeCell ref="T301:U301"/>
    <mergeCell ref="R303:S303"/>
    <mergeCell ref="R302:S302"/>
    <mergeCell ref="R299:S299"/>
    <mergeCell ref="N303:O303"/>
    <mergeCell ref="N300:O300"/>
    <mergeCell ref="N301:O301"/>
    <mergeCell ref="T302:U302"/>
    <mergeCell ref="L342:M342"/>
    <mergeCell ref="N342:O342"/>
    <mergeCell ref="R342:S342"/>
    <mergeCell ref="R305:S305"/>
    <mergeCell ref="R306:S306"/>
    <mergeCell ref="R317:S317"/>
    <mergeCell ref="T412:U412"/>
    <mergeCell ref="N397:O397"/>
    <mergeCell ref="T403:U403"/>
    <mergeCell ref="T404:U404"/>
    <mergeCell ref="T405:U405"/>
    <mergeCell ref="R398:S398"/>
    <mergeCell ref="R397:S397"/>
    <mergeCell ref="T406:U406"/>
    <mergeCell ref="T407:U407"/>
    <mergeCell ref="N302:O302"/>
    <mergeCell ref="L302:M302"/>
    <mergeCell ref="L303:M303"/>
    <mergeCell ref="R395:S395"/>
    <mergeCell ref="L304:M304"/>
    <mergeCell ref="N304:O304"/>
    <mergeCell ref="R310:S310"/>
    <mergeCell ref="N305:O305"/>
    <mergeCell ref="R387:S387"/>
    <mergeCell ref="R389:S389"/>
    <mergeCell ref="L308:M308"/>
    <mergeCell ref="L309:M309"/>
    <mergeCell ref="L306:M306"/>
    <mergeCell ref="R311:S311"/>
    <mergeCell ref="N311:O311"/>
    <mergeCell ref="N308:O308"/>
    <mergeCell ref="N307:O307"/>
    <mergeCell ref="R309:S309"/>
    <mergeCell ref="L311:M311"/>
    <mergeCell ref="L310:M310"/>
    <mergeCell ref="T318:U318"/>
    <mergeCell ref="I318:K318"/>
    <mergeCell ref="I316:K316"/>
    <mergeCell ref="I317:K317"/>
    <mergeCell ref="N316:O316"/>
    <mergeCell ref="F412:H412"/>
    <mergeCell ref="L412:M412"/>
    <mergeCell ref="I412:K412"/>
    <mergeCell ref="I334:K334"/>
    <mergeCell ref="I338:K338"/>
    <mergeCell ref="L357:M357"/>
    <mergeCell ref="I340:K340"/>
    <mergeCell ref="R320:S320"/>
    <mergeCell ref="I320:K320"/>
    <mergeCell ref="I319:K319"/>
    <mergeCell ref="R379:S379"/>
    <mergeCell ref="L343:M343"/>
    <mergeCell ref="N343:O343"/>
    <mergeCell ref="L345:M345"/>
    <mergeCell ref="N345:O345"/>
    <mergeCell ref="N329:O329"/>
    <mergeCell ref="R396:S396"/>
    <mergeCell ref="R384:S384"/>
    <mergeCell ref="R385:S385"/>
    <mergeCell ref="R386:S386"/>
    <mergeCell ref="P412:Q412"/>
    <mergeCell ref="N393:O393"/>
    <mergeCell ref="N395:O395"/>
    <mergeCell ref="N396:O396"/>
    <mergeCell ref="R391:S391"/>
    <mergeCell ref="R338:S338"/>
    <mergeCell ref="R325:S325"/>
    <mergeCell ref="I326:K326"/>
    <mergeCell ref="L409:M409"/>
    <mergeCell ref="N409:O409"/>
    <mergeCell ref="R409:S409"/>
    <mergeCell ref="N411:O411"/>
    <mergeCell ref="N391:O391"/>
    <mergeCell ref="L406:M406"/>
    <mergeCell ref="L407:M407"/>
    <mergeCell ref="I384:K384"/>
    <mergeCell ref="N462:P462"/>
    <mergeCell ref="N466:P466"/>
    <mergeCell ref="N451:P451"/>
    <mergeCell ref="N438:P438"/>
    <mergeCell ref="N449:P449"/>
    <mergeCell ref="N456:P456"/>
    <mergeCell ref="N440:P440"/>
    <mergeCell ref="N455:P455"/>
    <mergeCell ref="N445:P445"/>
    <mergeCell ref="N463:P463"/>
    <mergeCell ref="R393:S393"/>
    <mergeCell ref="R394:S394"/>
    <mergeCell ref="R390:S390"/>
    <mergeCell ref="R407:S407"/>
    <mergeCell ref="R405:S405"/>
    <mergeCell ref="R399:S399"/>
    <mergeCell ref="R392:S392"/>
    <mergeCell ref="N412:O412"/>
    <mergeCell ref="R388:S388"/>
    <mergeCell ref="N385:O385"/>
    <mergeCell ref="L293:M293"/>
    <mergeCell ref="N407:O407"/>
    <mergeCell ref="L323:M323"/>
    <mergeCell ref="N321:O321"/>
    <mergeCell ref="L329:M329"/>
    <mergeCell ref="N326:O326"/>
    <mergeCell ref="L321:M321"/>
    <mergeCell ref="L322:M322"/>
    <mergeCell ref="N425:P425"/>
    <mergeCell ref="N346:O346"/>
    <mergeCell ref="N323:O323"/>
    <mergeCell ref="N398:O398"/>
    <mergeCell ref="N336:O336"/>
    <mergeCell ref="N394:O394"/>
    <mergeCell ref="N392:O392"/>
    <mergeCell ref="B413:U413"/>
    <mergeCell ref="R383:S383"/>
    <mergeCell ref="Q417:S417"/>
    <mergeCell ref="I419:S419"/>
    <mergeCell ref="L312:M312"/>
    <mergeCell ref="N314:O314"/>
    <mergeCell ref="R378:S378"/>
    <mergeCell ref="R315:S315"/>
    <mergeCell ref="N317:O317"/>
    <mergeCell ref="N318:O318"/>
    <mergeCell ref="R316:S316"/>
    <mergeCell ref="N344:O344"/>
    <mergeCell ref="R347:S347"/>
    <mergeCell ref="R341:S341"/>
    <mergeCell ref="N312:O312"/>
    <mergeCell ref="R318:S318"/>
    <mergeCell ref="R314:S314"/>
    <mergeCell ref="N517:P517"/>
    <mergeCell ref="K522:M522"/>
    <mergeCell ref="N486:P486"/>
    <mergeCell ref="N492:P492"/>
    <mergeCell ref="N480:P480"/>
    <mergeCell ref="N386:O386"/>
    <mergeCell ref="N387:O387"/>
    <mergeCell ref="L404:M404"/>
    <mergeCell ref="L405:M405"/>
    <mergeCell ref="B582:F582"/>
    <mergeCell ref="B585:F585"/>
    <mergeCell ref="L307:M307"/>
    <mergeCell ref="N402:O402"/>
    <mergeCell ref="N403:O403"/>
    <mergeCell ref="N404:O404"/>
    <mergeCell ref="N405:O405"/>
    <mergeCell ref="N406:O406"/>
    <mergeCell ref="G533:I533"/>
    <mergeCell ref="B535:F535"/>
    <mergeCell ref="N429:P429"/>
    <mergeCell ref="N439:P439"/>
    <mergeCell ref="N432:P432"/>
    <mergeCell ref="N459:P459"/>
    <mergeCell ref="N427:P427"/>
    <mergeCell ref="N437:P437"/>
    <mergeCell ref="N431:P431"/>
    <mergeCell ref="N435:P435"/>
    <mergeCell ref="N446:P446"/>
    <mergeCell ref="N433:P433"/>
    <mergeCell ref="N428:P428"/>
    <mergeCell ref="N450:P450"/>
    <mergeCell ref="L411:M411"/>
    <mergeCell ref="I258:K258"/>
    <mergeCell ref="I259:K259"/>
    <mergeCell ref="I255:K255"/>
    <mergeCell ref="L260:M260"/>
    <mergeCell ref="L264:M264"/>
    <mergeCell ref="L262:M262"/>
    <mergeCell ref="I260:K260"/>
    <mergeCell ref="N388:O388"/>
    <mergeCell ref="N389:O389"/>
    <mergeCell ref="N390:O390"/>
    <mergeCell ref="N335:O335"/>
    <mergeCell ref="K526:M526"/>
    <mergeCell ref="N460:P460"/>
    <mergeCell ref="N454:P454"/>
    <mergeCell ref="N508:P508"/>
    <mergeCell ref="N465:P465"/>
    <mergeCell ref="N493:P493"/>
    <mergeCell ref="N498:P498"/>
    <mergeCell ref="N485:P485"/>
    <mergeCell ref="N464:P464"/>
    <mergeCell ref="N522:P522"/>
    <mergeCell ref="N461:P461"/>
    <mergeCell ref="N399:O399"/>
    <mergeCell ref="N400:O400"/>
    <mergeCell ref="N401:O401"/>
    <mergeCell ref="I417:M417"/>
    <mergeCell ref="N481:P481"/>
    <mergeCell ref="L265:M265"/>
    <mergeCell ref="N494:P494"/>
    <mergeCell ref="L259:M259"/>
    <mergeCell ref="N526:P526"/>
    <mergeCell ref="N516:P516"/>
    <mergeCell ref="L272:M272"/>
    <mergeCell ref="I269:K269"/>
    <mergeCell ref="I270:K270"/>
    <mergeCell ref="I271:K271"/>
    <mergeCell ref="N319:O319"/>
    <mergeCell ref="L280:M280"/>
    <mergeCell ref="L281:M281"/>
    <mergeCell ref="L279:M279"/>
    <mergeCell ref="L251:M251"/>
    <mergeCell ref="L257:M257"/>
    <mergeCell ref="I273:K273"/>
    <mergeCell ref="L380:M380"/>
    <mergeCell ref="L381:M381"/>
    <mergeCell ref="L382:M382"/>
    <mergeCell ref="L383:M383"/>
    <mergeCell ref="L333:M333"/>
    <mergeCell ref="L331:M331"/>
    <mergeCell ref="N333:O333"/>
    <mergeCell ref="L330:M330"/>
    <mergeCell ref="L283:M283"/>
    <mergeCell ref="L284:M284"/>
    <mergeCell ref="N320:O320"/>
    <mergeCell ref="L320:M320"/>
    <mergeCell ref="L288:M288"/>
    <mergeCell ref="L287:M287"/>
    <mergeCell ref="N313:O313"/>
    <mergeCell ref="L313:M313"/>
    <mergeCell ref="L315:M315"/>
    <mergeCell ref="L326:M326"/>
    <mergeCell ref="L289:M289"/>
    <mergeCell ref="L252:M252"/>
    <mergeCell ref="L253:M253"/>
    <mergeCell ref="B632:F632"/>
    <mergeCell ref="U638:V638"/>
    <mergeCell ref="U636:V636"/>
    <mergeCell ref="U649:V649"/>
    <mergeCell ref="L258:M258"/>
    <mergeCell ref="L397:M397"/>
    <mergeCell ref="L398:M398"/>
    <mergeCell ref="I760:K760"/>
    <mergeCell ref="L256:M256"/>
    <mergeCell ref="L255:M255"/>
    <mergeCell ref="L261:M261"/>
    <mergeCell ref="I751:K751"/>
    <mergeCell ref="L268:M268"/>
    <mergeCell ref="L728:M728"/>
    <mergeCell ref="L399:M399"/>
    <mergeCell ref="L400:M400"/>
    <mergeCell ref="L401:M401"/>
    <mergeCell ref="L269:M269"/>
    <mergeCell ref="I256:K256"/>
    <mergeCell ref="I257:K257"/>
    <mergeCell ref="I268:K268"/>
    <mergeCell ref="L402:M402"/>
    <mergeCell ref="L403:M403"/>
    <mergeCell ref="I261:K261"/>
    <mergeCell ref="I262:K262"/>
    <mergeCell ref="L266:M266"/>
    <mergeCell ref="N324:O324"/>
    <mergeCell ref="L316:M316"/>
    <mergeCell ref="L290:M290"/>
    <mergeCell ref="T721:U721"/>
    <mergeCell ref="U642:V642"/>
    <mergeCell ref="L263:M263"/>
    <mergeCell ref="T718:U718"/>
    <mergeCell ref="P707:Q707"/>
    <mergeCell ref="P708:Q708"/>
    <mergeCell ref="P720:Q720"/>
    <mergeCell ref="T713:U713"/>
    <mergeCell ref="T715:U715"/>
    <mergeCell ref="R720:S720"/>
    <mergeCell ref="R716:S716"/>
    <mergeCell ref="P719:Q719"/>
    <mergeCell ref="R711:S711"/>
    <mergeCell ref="T712:U712"/>
    <mergeCell ref="P716:Q716"/>
    <mergeCell ref="R714:S714"/>
    <mergeCell ref="P713:Q713"/>
    <mergeCell ref="T714:U714"/>
    <mergeCell ref="U652:V652"/>
    <mergeCell ref="O651:P651"/>
    <mergeCell ref="Q651:R651"/>
    <mergeCell ref="N715:O715"/>
    <mergeCell ref="N714:O714"/>
    <mergeCell ref="R712:S712"/>
    <mergeCell ref="N716:O716"/>
    <mergeCell ref="N717:O717"/>
    <mergeCell ref="R718:S718"/>
    <mergeCell ref="M676:O676"/>
    <mergeCell ref="P662:R662"/>
    <mergeCell ref="N707:O707"/>
    <mergeCell ref="V676:X676"/>
    <mergeCell ref="N712:O712"/>
    <mergeCell ref="N711:O711"/>
    <mergeCell ref="L707:M707"/>
    <mergeCell ref="L706:M706"/>
    <mergeCell ref="W640:X640"/>
    <mergeCell ref="W642:X642"/>
    <mergeCell ref="W643:X643"/>
    <mergeCell ref="P727:Q727"/>
    <mergeCell ref="P739:Q739"/>
    <mergeCell ref="P726:Q726"/>
    <mergeCell ref="R726:S726"/>
    <mergeCell ref="R737:S737"/>
    <mergeCell ref="T722:U722"/>
    <mergeCell ref="U646:V646"/>
    <mergeCell ref="P722:Q722"/>
    <mergeCell ref="M906:O906"/>
    <mergeCell ref="P874:R874"/>
    <mergeCell ref="M907:O907"/>
    <mergeCell ref="M875:O875"/>
    <mergeCell ref="R739:S739"/>
    <mergeCell ref="L753:M753"/>
    <mergeCell ref="L751:M751"/>
    <mergeCell ref="P725:Q725"/>
    <mergeCell ref="R730:S730"/>
    <mergeCell ref="M869:R869"/>
    <mergeCell ref="Q643:R643"/>
    <mergeCell ref="P724:Q724"/>
    <mergeCell ref="S641:T641"/>
    <mergeCell ref="R763:S763"/>
    <mergeCell ref="R731:S731"/>
    <mergeCell ref="T723:U723"/>
    <mergeCell ref="R721:S721"/>
    <mergeCell ref="T724:U724"/>
    <mergeCell ref="P718:Q718"/>
    <mergeCell ref="U643:V643"/>
    <mergeCell ref="U645:V645"/>
    <mergeCell ref="L729:M729"/>
    <mergeCell ref="N720:O720"/>
    <mergeCell ref="P729:Q729"/>
    <mergeCell ref="P728:Q728"/>
    <mergeCell ref="N728:O728"/>
    <mergeCell ref="N722:O722"/>
    <mergeCell ref="P721:Q721"/>
    <mergeCell ref="N721:O721"/>
    <mergeCell ref="P723:Q723"/>
    <mergeCell ref="L720:M720"/>
    <mergeCell ref="M928:O928"/>
    <mergeCell ref="N973:O973"/>
    <mergeCell ref="N969:O969"/>
    <mergeCell ref="M879:O879"/>
    <mergeCell ref="J942:L942"/>
    <mergeCell ref="M939:O939"/>
    <mergeCell ref="J895:L895"/>
    <mergeCell ref="J939:L939"/>
    <mergeCell ref="N967:O967"/>
    <mergeCell ref="N959:O961"/>
    <mergeCell ref="M902:O902"/>
    <mergeCell ref="M888:O888"/>
    <mergeCell ref="P935:R935"/>
    <mergeCell ref="J948:L948"/>
    <mergeCell ref="L736:M736"/>
    <mergeCell ref="L741:M741"/>
    <mergeCell ref="N738:O738"/>
    <mergeCell ref="I740:K740"/>
    <mergeCell ref="I746:K746"/>
    <mergeCell ref="I737:K737"/>
    <mergeCell ref="N741:O741"/>
    <mergeCell ref="I731:K731"/>
    <mergeCell ref="F970:H970"/>
    <mergeCell ref="L969:M969"/>
    <mergeCell ref="L971:M971"/>
    <mergeCell ref="I974:K974"/>
    <mergeCell ref="B964:E964"/>
    <mergeCell ref="B965:E965"/>
    <mergeCell ref="B966:E966"/>
    <mergeCell ref="B967:E967"/>
    <mergeCell ref="B968:E968"/>
    <mergeCell ref="L970:M970"/>
    <mergeCell ref="N743:O743"/>
    <mergeCell ref="N742:O742"/>
    <mergeCell ref="N748:O748"/>
    <mergeCell ref="I748:K748"/>
    <mergeCell ref="F763:H763"/>
    <mergeCell ref="F761:H761"/>
    <mergeCell ref="L756:M756"/>
    <mergeCell ref="I864:K864"/>
    <mergeCell ref="F762:H762"/>
    <mergeCell ref="F750:H750"/>
    <mergeCell ref="L750:M750"/>
    <mergeCell ref="I754:K754"/>
    <mergeCell ref="L864:M864"/>
    <mergeCell ref="N860:O860"/>
    <mergeCell ref="L767:M767"/>
    <mergeCell ref="L765:M765"/>
    <mergeCell ref="L763:M763"/>
    <mergeCell ref="N768:O768"/>
    <mergeCell ref="I969:K969"/>
    <mergeCell ref="I970:K970"/>
    <mergeCell ref="F969:H969"/>
    <mergeCell ref="F860:H860"/>
    <mergeCell ref="J884:L884"/>
    <mergeCell ref="F878:I878"/>
    <mergeCell ref="F875:I875"/>
    <mergeCell ref="F967:H967"/>
    <mergeCell ref="F863:H863"/>
    <mergeCell ref="L757:M757"/>
    <mergeCell ref="F760:H760"/>
    <mergeCell ref="L775:M775"/>
    <mergeCell ref="F754:H754"/>
    <mergeCell ref="L758:M758"/>
    <mergeCell ref="L759:M759"/>
    <mergeCell ref="F757:H757"/>
    <mergeCell ref="F758:H758"/>
    <mergeCell ref="F759:H759"/>
    <mergeCell ref="L761:M761"/>
    <mergeCell ref="L760:M760"/>
    <mergeCell ref="F766:H766"/>
    <mergeCell ref="I863:K863"/>
    <mergeCell ref="I769:K769"/>
    <mergeCell ref="I766:K766"/>
    <mergeCell ref="I759:K759"/>
    <mergeCell ref="I862:K862"/>
    <mergeCell ref="J890:L890"/>
    <mergeCell ref="I763:K763"/>
    <mergeCell ref="L860:M860"/>
    <mergeCell ref="I771:K771"/>
    <mergeCell ref="L771:M771"/>
    <mergeCell ref="L769:M769"/>
    <mergeCell ref="F764:H764"/>
    <mergeCell ref="L766:M766"/>
    <mergeCell ref="F765:H765"/>
    <mergeCell ref="F769:H769"/>
    <mergeCell ref="P941:R941"/>
    <mergeCell ref="P965:Q965"/>
    <mergeCell ref="L973:M973"/>
    <mergeCell ref="I966:K966"/>
    <mergeCell ref="I985:K985"/>
    <mergeCell ref="I986:K986"/>
    <mergeCell ref="I976:K976"/>
    <mergeCell ref="I971:K971"/>
    <mergeCell ref="I973:K973"/>
    <mergeCell ref="L975:M975"/>
    <mergeCell ref="I967:K967"/>
    <mergeCell ref="L966:M966"/>
    <mergeCell ref="F972:H972"/>
    <mergeCell ref="L972:M972"/>
    <mergeCell ref="L967:M967"/>
    <mergeCell ref="I968:K968"/>
    <mergeCell ref="M941:O941"/>
    <mergeCell ref="M945:O945"/>
    <mergeCell ref="J944:L944"/>
    <mergeCell ref="O953:R953"/>
    <mergeCell ref="P944:R944"/>
    <mergeCell ref="P963:Q963"/>
    <mergeCell ref="L976:M976"/>
    <mergeCell ref="I975:K975"/>
    <mergeCell ref="F968:H968"/>
    <mergeCell ref="F976:H976"/>
    <mergeCell ref="F974:H974"/>
    <mergeCell ref="L974:M974"/>
    <mergeCell ref="F973:H973"/>
    <mergeCell ref="I972:K972"/>
    <mergeCell ref="F975:H975"/>
    <mergeCell ref="F971:H971"/>
    <mergeCell ref="P929:R929"/>
    <mergeCell ref="P927:R927"/>
    <mergeCell ref="P911:R911"/>
    <mergeCell ref="J925:L925"/>
    <mergeCell ref="J910:L910"/>
    <mergeCell ref="J922:L922"/>
    <mergeCell ref="J923:L923"/>
    <mergeCell ref="P873:R873"/>
    <mergeCell ref="J878:L878"/>
    <mergeCell ref="M887:O887"/>
    <mergeCell ref="M884:O884"/>
    <mergeCell ref="J905:L905"/>
    <mergeCell ref="J888:L888"/>
    <mergeCell ref="T965:U965"/>
    <mergeCell ref="T961:U961"/>
    <mergeCell ref="T962:U962"/>
    <mergeCell ref="P938:R938"/>
    <mergeCell ref="P900:R900"/>
    <mergeCell ref="P884:R884"/>
    <mergeCell ref="P885:R885"/>
    <mergeCell ref="M874:O874"/>
    <mergeCell ref="P897:R897"/>
    <mergeCell ref="P894:R894"/>
    <mergeCell ref="P892:R892"/>
    <mergeCell ref="I963:K963"/>
    <mergeCell ref="L962:M962"/>
    <mergeCell ref="M944:O944"/>
    <mergeCell ref="L963:M963"/>
    <mergeCell ref="J943:L943"/>
    <mergeCell ref="R965:S965"/>
    <mergeCell ref="N963:O963"/>
    <mergeCell ref="J898:L898"/>
    <mergeCell ref="T726:U726"/>
    <mergeCell ref="T729:U729"/>
    <mergeCell ref="R729:S729"/>
    <mergeCell ref="T727:U727"/>
    <mergeCell ref="R728:S728"/>
    <mergeCell ref="T728:U728"/>
    <mergeCell ref="P711:Q711"/>
    <mergeCell ref="I762:K762"/>
    <mergeCell ref="N763:O763"/>
    <mergeCell ref="P860:Q860"/>
    <mergeCell ref="T720:U720"/>
    <mergeCell ref="T719:U719"/>
    <mergeCell ref="L725:M725"/>
    <mergeCell ref="N719:O719"/>
    <mergeCell ref="T735:U735"/>
    <mergeCell ref="R745:S745"/>
    <mergeCell ref="I860:K860"/>
    <mergeCell ref="P715:Q715"/>
    <mergeCell ref="N762:O762"/>
    <mergeCell ref="P762:Q762"/>
    <mergeCell ref="R746:S746"/>
    <mergeCell ref="T732:U732"/>
    <mergeCell ref="T751:U751"/>
    <mergeCell ref="R750:S750"/>
    <mergeCell ref="T758:U758"/>
    <mergeCell ref="L748:M748"/>
    <mergeCell ref="N725:O725"/>
    <mergeCell ref="N756:O756"/>
    <mergeCell ref="N727:O727"/>
    <mergeCell ref="N752:O752"/>
    <mergeCell ref="N724:O724"/>
    <mergeCell ref="N726:O726"/>
    <mergeCell ref="T755:U755"/>
    <mergeCell ref="T752:U752"/>
    <mergeCell ref="T753:U753"/>
    <mergeCell ref="T754:U754"/>
    <mergeCell ref="R752:S752"/>
    <mergeCell ref="R751:S751"/>
    <mergeCell ref="R755:S755"/>
    <mergeCell ref="T772:U772"/>
    <mergeCell ref="T771:U771"/>
    <mergeCell ref="T762:U762"/>
    <mergeCell ref="T757:U757"/>
    <mergeCell ref="T761:U761"/>
    <mergeCell ref="T759:U759"/>
    <mergeCell ref="T760:U760"/>
    <mergeCell ref="T763:U763"/>
    <mergeCell ref="T764:U764"/>
    <mergeCell ref="T756:U756"/>
    <mergeCell ref="T766:U766"/>
    <mergeCell ref="T770:U770"/>
    <mergeCell ref="R762:S762"/>
    <mergeCell ref="R758:S758"/>
    <mergeCell ref="T765:U765"/>
    <mergeCell ref="T767:U767"/>
    <mergeCell ref="T768:U768"/>
    <mergeCell ref="R759:S759"/>
    <mergeCell ref="T750:U750"/>
    <mergeCell ref="R749:S749"/>
    <mergeCell ref="P750:Q750"/>
    <mergeCell ref="P748:Q748"/>
    <mergeCell ref="P749:Q749"/>
    <mergeCell ref="T742:U742"/>
    <mergeCell ref="T740:U740"/>
    <mergeCell ref="N747:O747"/>
    <mergeCell ref="T748:U748"/>
    <mergeCell ref="L730:M730"/>
    <mergeCell ref="R747:S747"/>
    <mergeCell ref="R744:S744"/>
    <mergeCell ref="R743:S743"/>
    <mergeCell ref="R734:S734"/>
    <mergeCell ref="L735:M735"/>
    <mergeCell ref="N734:O734"/>
    <mergeCell ref="L733:M733"/>
    <mergeCell ref="L732:M732"/>
    <mergeCell ref="R740:S740"/>
    <mergeCell ref="R748:S748"/>
    <mergeCell ref="T746:U746"/>
    <mergeCell ref="T749:U749"/>
    <mergeCell ref="R741:S741"/>
    <mergeCell ref="T743:U743"/>
    <mergeCell ref="T747:U747"/>
    <mergeCell ref="T745:U745"/>
    <mergeCell ref="T741:U741"/>
    <mergeCell ref="T744:U744"/>
    <mergeCell ref="T731:U731"/>
    <mergeCell ref="P730:Q730"/>
    <mergeCell ref="R736:S736"/>
    <mergeCell ref="T739:U739"/>
    <mergeCell ref="R735:S735"/>
    <mergeCell ref="R742:S742"/>
    <mergeCell ref="I738:K738"/>
    <mergeCell ref="L742:M742"/>
    <mergeCell ref="L740:M740"/>
    <mergeCell ref="I739:K739"/>
    <mergeCell ref="N736:O736"/>
    <mergeCell ref="I742:K742"/>
    <mergeCell ref="N735:O735"/>
    <mergeCell ref="L739:M739"/>
    <mergeCell ref="T717:U717"/>
    <mergeCell ref="P714:Q714"/>
    <mergeCell ref="P709:Q709"/>
    <mergeCell ref="T716:U716"/>
    <mergeCell ref="R717:S717"/>
    <mergeCell ref="P717:Q717"/>
    <mergeCell ref="T710:U710"/>
    <mergeCell ref="R713:S713"/>
    <mergeCell ref="R715:S715"/>
    <mergeCell ref="T711:U711"/>
    <mergeCell ref="R723:S723"/>
    <mergeCell ref="N729:O729"/>
    <mergeCell ref="T738:U738"/>
    <mergeCell ref="R738:S738"/>
    <mergeCell ref="T737:U737"/>
    <mergeCell ref="P731:Q731"/>
    <mergeCell ref="T734:U734"/>
    <mergeCell ref="P732:Q732"/>
    <mergeCell ref="T736:U736"/>
    <mergeCell ref="P738:Q738"/>
    <mergeCell ref="P737:Q737"/>
    <mergeCell ref="R722:S722"/>
    <mergeCell ref="R733:S733"/>
    <mergeCell ref="T725:U725"/>
    <mergeCell ref="R725:S725"/>
    <mergeCell ref="R732:S732"/>
    <mergeCell ref="T733:U733"/>
    <mergeCell ref="T730:U730"/>
    <mergeCell ref="R719:S719"/>
    <mergeCell ref="R727:S727"/>
    <mergeCell ref="R724:S724"/>
    <mergeCell ref="Q646:R646"/>
    <mergeCell ref="P706:Q706"/>
    <mergeCell ref="M660:R660"/>
    <mergeCell ref="R710:S710"/>
    <mergeCell ref="S631:T631"/>
    <mergeCell ref="J648:N648"/>
    <mergeCell ref="S646:T646"/>
    <mergeCell ref="P664:R664"/>
    <mergeCell ref="Q642:R642"/>
    <mergeCell ref="M684:O684"/>
    <mergeCell ref="M668:O668"/>
    <mergeCell ref="P676:R676"/>
    <mergeCell ref="M669:O669"/>
    <mergeCell ref="M666:O666"/>
    <mergeCell ref="M677:O677"/>
    <mergeCell ref="M665:O665"/>
    <mergeCell ref="M663:O663"/>
    <mergeCell ref="P677:R677"/>
    <mergeCell ref="O655:P655"/>
    <mergeCell ref="M662:O662"/>
    <mergeCell ref="M693:O693"/>
    <mergeCell ref="M667:O667"/>
    <mergeCell ref="M671:O671"/>
    <mergeCell ref="T253:U253"/>
    <mergeCell ref="R312:S312"/>
    <mergeCell ref="T257:U257"/>
    <mergeCell ref="R255:S255"/>
    <mergeCell ref="T254:U254"/>
    <mergeCell ref="T307:U307"/>
    <mergeCell ref="T297:U297"/>
    <mergeCell ref="T303:U303"/>
    <mergeCell ref="T306:U306"/>
    <mergeCell ref="R253:S253"/>
    <mergeCell ref="M560:O560"/>
    <mergeCell ref="K521:M521"/>
    <mergeCell ref="N339:O339"/>
    <mergeCell ref="L254:M254"/>
    <mergeCell ref="N475:P475"/>
    <mergeCell ref="L339:M339"/>
    <mergeCell ref="L332:M332"/>
    <mergeCell ref="L338:M338"/>
    <mergeCell ref="N337:O337"/>
    <mergeCell ref="N338:O338"/>
    <mergeCell ref="L267:M267"/>
    <mergeCell ref="L291:M291"/>
    <mergeCell ref="P534:R534"/>
    <mergeCell ref="P533:R533"/>
    <mergeCell ref="P536:R536"/>
    <mergeCell ref="J540:O540"/>
    <mergeCell ref="J536:L536"/>
    <mergeCell ref="M534:O534"/>
    <mergeCell ref="M547:O547"/>
    <mergeCell ref="N426:P426"/>
    <mergeCell ref="P538:R538"/>
    <mergeCell ref="P541:R541"/>
    <mergeCell ref="S601:T601"/>
    <mergeCell ref="T417:V417"/>
    <mergeCell ref="T418:V418"/>
    <mergeCell ref="U631:V631"/>
    <mergeCell ref="U626:V626"/>
    <mergeCell ref="U627:V627"/>
    <mergeCell ref="Q599:R599"/>
    <mergeCell ref="U622:V622"/>
    <mergeCell ref="U619:V619"/>
    <mergeCell ref="U625:V625"/>
    <mergeCell ref="Q621:R621"/>
    <mergeCell ref="Q623:R623"/>
    <mergeCell ref="S630:T630"/>
    <mergeCell ref="U632:V632"/>
    <mergeCell ref="U630:V630"/>
    <mergeCell ref="Q522:S522"/>
    <mergeCell ref="Q622:R622"/>
    <mergeCell ref="V532:X532"/>
    <mergeCell ref="V536:X536"/>
    <mergeCell ref="S534:U534"/>
    <mergeCell ref="V533:X533"/>
    <mergeCell ref="S537:U537"/>
    <mergeCell ref="V534:X534"/>
    <mergeCell ref="S533:U533"/>
    <mergeCell ref="U583:V583"/>
    <mergeCell ref="S609:T609"/>
    <mergeCell ref="Q597:R597"/>
    <mergeCell ref="Q613:R613"/>
    <mergeCell ref="V535:X535"/>
    <mergeCell ref="S535:U535"/>
    <mergeCell ref="S536:U536"/>
    <mergeCell ref="P535:R535"/>
    <mergeCell ref="V538:X538"/>
    <mergeCell ref="G643:I643"/>
    <mergeCell ref="B638:F638"/>
    <mergeCell ref="B642:F642"/>
    <mergeCell ref="B641:F641"/>
    <mergeCell ref="Q521:S521"/>
    <mergeCell ref="Q638:R638"/>
    <mergeCell ref="S595:T595"/>
    <mergeCell ref="S538:U538"/>
    <mergeCell ref="S543:U543"/>
    <mergeCell ref="U628:V628"/>
    <mergeCell ref="S542:U542"/>
    <mergeCell ref="S548:U548"/>
    <mergeCell ref="P546:R546"/>
    <mergeCell ref="P545:R545"/>
    <mergeCell ref="P543:R543"/>
    <mergeCell ref="J534:L534"/>
    <mergeCell ref="Q640:R640"/>
    <mergeCell ref="U637:V637"/>
    <mergeCell ref="B540:I541"/>
    <mergeCell ref="K527:M527"/>
    <mergeCell ref="G535:I535"/>
    <mergeCell ref="S626:T626"/>
    <mergeCell ref="Q590:R590"/>
    <mergeCell ref="O585:P585"/>
    <mergeCell ref="Q637:R637"/>
    <mergeCell ref="P561:R561"/>
    <mergeCell ref="P570:R570"/>
    <mergeCell ref="O588:P588"/>
    <mergeCell ref="P563:R563"/>
    <mergeCell ref="G641:I641"/>
    <mergeCell ref="B643:F643"/>
    <mergeCell ref="G642:I642"/>
    <mergeCell ref="B664:E664"/>
    <mergeCell ref="F664:I664"/>
    <mergeCell ref="B653:F653"/>
    <mergeCell ref="B663:E663"/>
    <mergeCell ref="B662:E662"/>
    <mergeCell ref="B645:F645"/>
    <mergeCell ref="B654:F654"/>
    <mergeCell ref="G654:I654"/>
    <mergeCell ref="B652:F652"/>
    <mergeCell ref="B655:F655"/>
    <mergeCell ref="B649:F649"/>
    <mergeCell ref="G649:I649"/>
    <mergeCell ref="B660:E661"/>
    <mergeCell ref="G653:I653"/>
    <mergeCell ref="B647:F647"/>
    <mergeCell ref="B644:F644"/>
    <mergeCell ref="B648:F648"/>
    <mergeCell ref="G645:I645"/>
    <mergeCell ref="F660:I661"/>
    <mergeCell ref="G655:I655"/>
    <mergeCell ref="B640:F640"/>
    <mergeCell ref="G640:I640"/>
    <mergeCell ref="B628:F628"/>
    <mergeCell ref="G628:I628"/>
    <mergeCell ref="G631:I631"/>
    <mergeCell ref="G639:I639"/>
    <mergeCell ref="B639:F639"/>
    <mergeCell ref="B636:F636"/>
    <mergeCell ref="G627:I627"/>
    <mergeCell ref="G632:I632"/>
    <mergeCell ref="B637:F637"/>
    <mergeCell ref="G638:I638"/>
    <mergeCell ref="M563:O563"/>
    <mergeCell ref="J563:L563"/>
    <mergeCell ref="M561:O561"/>
    <mergeCell ref="J570:L570"/>
    <mergeCell ref="M565:O565"/>
    <mergeCell ref="J565:L565"/>
    <mergeCell ref="B624:F624"/>
    <mergeCell ref="O590:P590"/>
    <mergeCell ref="G621:I621"/>
    <mergeCell ref="B623:F623"/>
    <mergeCell ref="G615:I615"/>
    <mergeCell ref="G616:I616"/>
    <mergeCell ref="B622:F622"/>
    <mergeCell ref="B618:F618"/>
    <mergeCell ref="B619:F619"/>
    <mergeCell ref="G622:I622"/>
    <mergeCell ref="J626:N626"/>
    <mergeCell ref="B621:F621"/>
    <mergeCell ref="O623:P623"/>
    <mergeCell ref="B625:F625"/>
    <mergeCell ref="Q595:R595"/>
    <mergeCell ref="Q596:R596"/>
    <mergeCell ref="O609:P609"/>
    <mergeCell ref="O605:P605"/>
    <mergeCell ref="P553:R553"/>
    <mergeCell ref="M566:O566"/>
    <mergeCell ref="O604:P604"/>
    <mergeCell ref="Q606:R606"/>
    <mergeCell ref="Q607:R607"/>
    <mergeCell ref="T183:U184"/>
    <mergeCell ref="I183:M183"/>
    <mergeCell ref="N198:O198"/>
    <mergeCell ref="P194:Q194"/>
    <mergeCell ref="R194:S194"/>
    <mergeCell ref="B533:F533"/>
    <mergeCell ref="K524:M524"/>
    <mergeCell ref="L384:M384"/>
    <mergeCell ref="L385:M385"/>
    <mergeCell ref="L386:M386"/>
    <mergeCell ref="L387:M387"/>
    <mergeCell ref="L388:M388"/>
    <mergeCell ref="L389:M389"/>
    <mergeCell ref="L390:M390"/>
    <mergeCell ref="B542:I542"/>
    <mergeCell ref="B534:F534"/>
    <mergeCell ref="G534:I534"/>
    <mergeCell ref="L391:M391"/>
    <mergeCell ref="L392:M392"/>
    <mergeCell ref="L393:M393"/>
    <mergeCell ref="L394:M394"/>
    <mergeCell ref="L395:M395"/>
    <mergeCell ref="L396:M396"/>
    <mergeCell ref="N524:P524"/>
    <mergeCell ref="P542:R542"/>
    <mergeCell ref="Q529:S529"/>
    <mergeCell ref="T188:U188"/>
    <mergeCell ref="R187:S187"/>
    <mergeCell ref="I199:K199"/>
    <mergeCell ref="R191:S191"/>
    <mergeCell ref="N192:O192"/>
    <mergeCell ref="N194:O194"/>
    <mergeCell ref="T195:U195"/>
    <mergeCell ref="P191:Q191"/>
    <mergeCell ref="P192:Q192"/>
    <mergeCell ref="P197:Q197"/>
    <mergeCell ref="T196:U196"/>
    <mergeCell ref="T192:U192"/>
    <mergeCell ref="T193:U193"/>
    <mergeCell ref="N193:O193"/>
    <mergeCell ref="I194:K194"/>
    <mergeCell ref="I193:K193"/>
    <mergeCell ref="I191:K191"/>
    <mergeCell ref="I190:K190"/>
    <mergeCell ref="T191:U191"/>
    <mergeCell ref="T194:U194"/>
    <mergeCell ref="R188:S188"/>
    <mergeCell ref="N191:O191"/>
    <mergeCell ref="I198:K198"/>
    <mergeCell ref="R189:S189"/>
    <mergeCell ref="P189:Q189"/>
    <mergeCell ref="T197:U197"/>
    <mergeCell ref="N190:O190"/>
    <mergeCell ref="N189:O189"/>
    <mergeCell ref="R190:S190"/>
    <mergeCell ref="T185:U185"/>
    <mergeCell ref="R185:S185"/>
    <mergeCell ref="N165:P165"/>
    <mergeCell ref="T167:V167"/>
    <mergeCell ref="T176:V176"/>
    <mergeCell ref="T170:V170"/>
    <mergeCell ref="T175:V175"/>
    <mergeCell ref="Q177:S177"/>
    <mergeCell ref="T177:V177"/>
    <mergeCell ref="T178:V178"/>
    <mergeCell ref="T172:V172"/>
    <mergeCell ref="T173:V173"/>
    <mergeCell ref="Q179:S179"/>
    <mergeCell ref="Q172:S172"/>
    <mergeCell ref="Q176:S176"/>
    <mergeCell ref="B182:U182"/>
    <mergeCell ref="T179:V179"/>
    <mergeCell ref="Q175:S175"/>
    <mergeCell ref="Q173:S173"/>
    <mergeCell ref="N183:O185"/>
    <mergeCell ref="I185:K185"/>
    <mergeCell ref="L168:M168"/>
    <mergeCell ref="N175:P175"/>
    <mergeCell ref="N168:P168"/>
    <mergeCell ref="N170:P170"/>
    <mergeCell ref="F187:H187"/>
    <mergeCell ref="I189:K189"/>
    <mergeCell ref="F189:H189"/>
    <mergeCell ref="F183:H185"/>
    <mergeCell ref="I188:K188"/>
    <mergeCell ref="F188:H188"/>
    <mergeCell ref="B184:E185"/>
    <mergeCell ref="L184:M184"/>
    <mergeCell ref="L185:M185"/>
    <mergeCell ref="I184:K184"/>
    <mergeCell ref="B183:E183"/>
    <mergeCell ref="F186:H186"/>
    <mergeCell ref="I186:K186"/>
    <mergeCell ref="L186:M186"/>
    <mergeCell ref="P145:R145"/>
    <mergeCell ref="R183:S184"/>
    <mergeCell ref="N177:P177"/>
    <mergeCell ref="Q178:S178"/>
    <mergeCell ref="N179:P179"/>
    <mergeCell ref="Q165:S165"/>
    <mergeCell ref="Q169:S169"/>
    <mergeCell ref="Q167:S167"/>
    <mergeCell ref="S146:U146"/>
    <mergeCell ref="P146:R146"/>
    <mergeCell ref="N167:P167"/>
    <mergeCell ref="M145:O145"/>
    <mergeCell ref="I187:K187"/>
    <mergeCell ref="T189:U189"/>
    <mergeCell ref="P187:Q187"/>
    <mergeCell ref="R186:S186"/>
    <mergeCell ref="T171:V171"/>
    <mergeCell ref="Q171:S171"/>
    <mergeCell ref="T96:W96"/>
    <mergeCell ref="P89:R89"/>
    <mergeCell ref="P130:R130"/>
    <mergeCell ref="P149:R149"/>
    <mergeCell ref="P123:R123"/>
    <mergeCell ref="P124:R124"/>
    <mergeCell ref="S147:U147"/>
    <mergeCell ref="M92:R92"/>
    <mergeCell ref="M120:O120"/>
    <mergeCell ref="M113:O113"/>
    <mergeCell ref="T169:V169"/>
    <mergeCell ref="T165:V165"/>
    <mergeCell ref="M141:O141"/>
    <mergeCell ref="M142:O142"/>
    <mergeCell ref="S141:U141"/>
    <mergeCell ref="P105:R105"/>
    <mergeCell ref="P109:R109"/>
    <mergeCell ref="P113:R113"/>
    <mergeCell ref="P108:R108"/>
    <mergeCell ref="P110:R110"/>
    <mergeCell ref="P112:R112"/>
    <mergeCell ref="P111:R111"/>
    <mergeCell ref="M114:O114"/>
    <mergeCell ref="P147:R147"/>
    <mergeCell ref="V148:X148"/>
    <mergeCell ref="S148:U148"/>
    <mergeCell ref="T168:V168"/>
    <mergeCell ref="V149:X149"/>
    <mergeCell ref="V145:X145"/>
    <mergeCell ref="P140:R140"/>
    <mergeCell ref="P117:R117"/>
    <mergeCell ref="P119:R119"/>
    <mergeCell ref="N187:O187"/>
    <mergeCell ref="N188:O188"/>
    <mergeCell ref="Q168:S168"/>
    <mergeCell ref="P86:R86"/>
    <mergeCell ref="P87:R87"/>
    <mergeCell ref="P100:R100"/>
    <mergeCell ref="P88:R88"/>
    <mergeCell ref="M89:O89"/>
    <mergeCell ref="P94:R94"/>
    <mergeCell ref="R193:S193"/>
    <mergeCell ref="P196:Q196"/>
    <mergeCell ref="P195:Q195"/>
    <mergeCell ref="P188:Q188"/>
    <mergeCell ref="S143:U143"/>
    <mergeCell ref="M143:O143"/>
    <mergeCell ref="P141:R141"/>
    <mergeCell ref="P144:R144"/>
    <mergeCell ref="S140:U140"/>
    <mergeCell ref="Q170:S170"/>
    <mergeCell ref="P104:R104"/>
    <mergeCell ref="P95:R95"/>
    <mergeCell ref="M140:O140"/>
    <mergeCell ref="M111:O111"/>
    <mergeCell ref="M105:O105"/>
    <mergeCell ref="M94:O94"/>
    <mergeCell ref="P190:Q190"/>
    <mergeCell ref="T190:U190"/>
    <mergeCell ref="T187:U187"/>
    <mergeCell ref="P114:R114"/>
    <mergeCell ref="T186:U186"/>
    <mergeCell ref="P183:Q185"/>
    <mergeCell ref="M112:O112"/>
    <mergeCell ref="F201:H201"/>
    <mergeCell ref="I197:K197"/>
    <mergeCell ref="B538:F538"/>
    <mergeCell ref="G538:I538"/>
    <mergeCell ref="G536:I536"/>
    <mergeCell ref="B418:H418"/>
    <mergeCell ref="I395:K395"/>
    <mergeCell ref="I396:K396"/>
    <mergeCell ref="I397:K397"/>
    <mergeCell ref="I398:K398"/>
    <mergeCell ref="I399:K399"/>
    <mergeCell ref="I400:K400"/>
    <mergeCell ref="B417:H417"/>
    <mergeCell ref="B532:F532"/>
    <mergeCell ref="I401:K401"/>
    <mergeCell ref="I402:K402"/>
    <mergeCell ref="I403:K403"/>
    <mergeCell ref="I404:K404"/>
    <mergeCell ref="I405:K405"/>
    <mergeCell ref="I406:K406"/>
    <mergeCell ref="I407:K407"/>
    <mergeCell ref="I411:K411"/>
    <mergeCell ref="F202:H202"/>
    <mergeCell ref="I201:K201"/>
    <mergeCell ref="F238:H238"/>
    <mergeCell ref="B236:E236"/>
    <mergeCell ref="K525:M525"/>
    <mergeCell ref="M533:O533"/>
    <mergeCell ref="M535:O535"/>
    <mergeCell ref="M536:O536"/>
    <mergeCell ref="J535:L535"/>
    <mergeCell ref="M538:O538"/>
    <mergeCell ref="N202:O202"/>
    <mergeCell ref="I202:K202"/>
    <mergeCell ref="L335:M335"/>
    <mergeCell ref="I170:K170"/>
    <mergeCell ref="I168:K168"/>
    <mergeCell ref="I171:K171"/>
    <mergeCell ref="L170:M170"/>
    <mergeCell ref="I172:K172"/>
    <mergeCell ref="N172:P172"/>
    <mergeCell ref="N171:P171"/>
    <mergeCell ref="I169:K169"/>
    <mergeCell ref="L169:M169"/>
    <mergeCell ref="F198:H198"/>
    <mergeCell ref="N195:O195"/>
    <mergeCell ref="P193:Q193"/>
    <mergeCell ref="P199:Q199"/>
    <mergeCell ref="R192:S192"/>
    <mergeCell ref="R196:S196"/>
    <mergeCell ref="R199:S199"/>
    <mergeCell ref="R197:S197"/>
    <mergeCell ref="P198:Q198"/>
    <mergeCell ref="R195:S195"/>
    <mergeCell ref="F195:H195"/>
    <mergeCell ref="N196:O196"/>
    <mergeCell ref="F196:H196"/>
    <mergeCell ref="N197:O197"/>
    <mergeCell ref="F197:H197"/>
    <mergeCell ref="I195:K195"/>
    <mergeCell ref="I196:K196"/>
    <mergeCell ref="F193:H193"/>
    <mergeCell ref="F194:H194"/>
    <mergeCell ref="I192:K192"/>
    <mergeCell ref="F192:H192"/>
    <mergeCell ref="F190:H190"/>
    <mergeCell ref="F191:H191"/>
    <mergeCell ref="G146:I146"/>
    <mergeCell ref="G147:I147"/>
    <mergeCell ref="M149:O149"/>
    <mergeCell ref="M147:O147"/>
    <mergeCell ref="G148:I148"/>
    <mergeCell ref="J146:L146"/>
    <mergeCell ref="M148:O148"/>
    <mergeCell ref="M146:O146"/>
    <mergeCell ref="B165:H165"/>
    <mergeCell ref="J147:L147"/>
    <mergeCell ref="J148:L148"/>
    <mergeCell ref="J149:L149"/>
    <mergeCell ref="B148:F148"/>
    <mergeCell ref="I160:K160"/>
    <mergeCell ref="L165:M165"/>
    <mergeCell ref="G149:I149"/>
    <mergeCell ref="I155:K155"/>
    <mergeCell ref="I153:K153"/>
    <mergeCell ref="I157:K157"/>
    <mergeCell ref="I158:K158"/>
    <mergeCell ref="I162:K162"/>
    <mergeCell ref="I159:K159"/>
    <mergeCell ref="I165:K165"/>
    <mergeCell ref="N178:P178"/>
    <mergeCell ref="N173:P173"/>
    <mergeCell ref="N169:P169"/>
    <mergeCell ref="N176:P176"/>
    <mergeCell ref="L171:M171"/>
    <mergeCell ref="L172:M172"/>
    <mergeCell ref="Y142:AA142"/>
    <mergeCell ref="V142:X142"/>
    <mergeCell ref="V144:X144"/>
    <mergeCell ref="V146:X146"/>
    <mergeCell ref="P131:R131"/>
    <mergeCell ref="P132:R132"/>
    <mergeCell ref="P143:R143"/>
    <mergeCell ref="S142:U142"/>
    <mergeCell ref="P142:R142"/>
    <mergeCell ref="S144:U144"/>
    <mergeCell ref="Y149:AA149"/>
    <mergeCell ref="Y144:AA144"/>
    <mergeCell ref="Y145:AA145"/>
    <mergeCell ref="Y146:AA146"/>
    <mergeCell ref="Y147:AA147"/>
    <mergeCell ref="G145:I145"/>
    <mergeCell ref="S149:U149"/>
    <mergeCell ref="V147:X147"/>
    <mergeCell ref="S145:U145"/>
    <mergeCell ref="Y148:AA148"/>
    <mergeCell ref="G143:I143"/>
    <mergeCell ref="Y140:AA140"/>
    <mergeCell ref="V140:X140"/>
    <mergeCell ref="V141:X141"/>
    <mergeCell ref="V143:X143"/>
    <mergeCell ref="Y141:AA141"/>
    <mergeCell ref="J142:L142"/>
    <mergeCell ref="Y143:AA143"/>
    <mergeCell ref="G142:I142"/>
    <mergeCell ref="M144:O144"/>
    <mergeCell ref="J144:L144"/>
    <mergeCell ref="G141:I141"/>
    <mergeCell ref="P126:R126"/>
    <mergeCell ref="P116:R116"/>
    <mergeCell ref="P120:R120"/>
    <mergeCell ref="P127:R127"/>
    <mergeCell ref="P125:R125"/>
    <mergeCell ref="P118:R118"/>
    <mergeCell ref="J141:L141"/>
    <mergeCell ref="G144:I144"/>
    <mergeCell ref="P128:R128"/>
    <mergeCell ref="J120:L120"/>
    <mergeCell ref="M117:O117"/>
    <mergeCell ref="M118:O118"/>
    <mergeCell ref="J109:L109"/>
    <mergeCell ref="J110:L110"/>
    <mergeCell ref="J111:L111"/>
    <mergeCell ref="J114:L114"/>
    <mergeCell ref="J112:L112"/>
    <mergeCell ref="M115:O115"/>
    <mergeCell ref="J143:L143"/>
    <mergeCell ref="J140:L140"/>
    <mergeCell ref="I137:K137"/>
    <mergeCell ref="J117:L117"/>
    <mergeCell ref="J119:L119"/>
    <mergeCell ref="J106:L106"/>
    <mergeCell ref="I156:K156"/>
    <mergeCell ref="J108:L108"/>
    <mergeCell ref="J113:L113"/>
    <mergeCell ref="G140:I140"/>
    <mergeCell ref="B128:O128"/>
    <mergeCell ref="I135:K135"/>
    <mergeCell ref="M116:O116"/>
    <mergeCell ref="M119:O119"/>
    <mergeCell ref="M110:O110"/>
    <mergeCell ref="B140:F140"/>
    <mergeCell ref="M107:O107"/>
    <mergeCell ref="M108:O108"/>
    <mergeCell ref="M109:O109"/>
    <mergeCell ref="M106:O106"/>
    <mergeCell ref="J107:L107"/>
    <mergeCell ref="B145:F145"/>
    <mergeCell ref="B143:F143"/>
    <mergeCell ref="B146:F146"/>
    <mergeCell ref="B141:F141"/>
    <mergeCell ref="B144:F144"/>
    <mergeCell ref="B142:F142"/>
    <mergeCell ref="B147:F147"/>
    <mergeCell ref="I154:K154"/>
    <mergeCell ref="J118:L118"/>
    <mergeCell ref="J115:L115"/>
    <mergeCell ref="I136:K136"/>
    <mergeCell ref="J145:L145"/>
    <mergeCell ref="J92:L93"/>
    <mergeCell ref="P101:R101"/>
    <mergeCell ref="P93:R93"/>
    <mergeCell ref="M93:O93"/>
    <mergeCell ref="M95:O95"/>
    <mergeCell ref="B95:L95"/>
    <mergeCell ref="B92:E93"/>
    <mergeCell ref="F92:I93"/>
    <mergeCell ref="B98:I99"/>
    <mergeCell ref="J102:L102"/>
    <mergeCell ref="J103:L103"/>
    <mergeCell ref="P102:R102"/>
    <mergeCell ref="M103:O103"/>
    <mergeCell ref="M102:O102"/>
    <mergeCell ref="P103:R103"/>
    <mergeCell ref="J116:L116"/>
    <mergeCell ref="P98:R98"/>
    <mergeCell ref="P99:R99"/>
    <mergeCell ref="J98:L98"/>
    <mergeCell ref="J99:L99"/>
    <mergeCell ref="M98:O98"/>
    <mergeCell ref="M99:O99"/>
    <mergeCell ref="J105:L105"/>
    <mergeCell ref="J104:L104"/>
    <mergeCell ref="M100:O100"/>
    <mergeCell ref="P107:R107"/>
    <mergeCell ref="J100:L100"/>
    <mergeCell ref="M101:O101"/>
    <mergeCell ref="J101:L101"/>
    <mergeCell ref="M104:O104"/>
    <mergeCell ref="P106:R106"/>
    <mergeCell ref="P115:R115"/>
    <mergeCell ref="J89:L89"/>
    <mergeCell ref="M87:O87"/>
    <mergeCell ref="M88:O88"/>
    <mergeCell ref="H89:I89"/>
    <mergeCell ref="M81:O81"/>
    <mergeCell ref="M82:O82"/>
    <mergeCell ref="M83:O83"/>
    <mergeCell ref="J83:L83"/>
    <mergeCell ref="M85:O85"/>
    <mergeCell ref="M84:O84"/>
    <mergeCell ref="B77:C77"/>
    <mergeCell ref="J76:L77"/>
    <mergeCell ref="H79:I79"/>
    <mergeCell ref="H80:I80"/>
    <mergeCell ref="D76:G77"/>
    <mergeCell ref="J78:L78"/>
    <mergeCell ref="J80:L80"/>
    <mergeCell ref="J79:L79"/>
    <mergeCell ref="M80:O80"/>
    <mergeCell ref="H83:I83"/>
    <mergeCell ref="H81:I81"/>
    <mergeCell ref="H82:I82"/>
    <mergeCell ref="M86:O86"/>
    <mergeCell ref="P73:R73"/>
    <mergeCell ref="J81:L81"/>
    <mergeCell ref="J82:L82"/>
    <mergeCell ref="M79:O79"/>
    <mergeCell ref="P62:R62"/>
    <mergeCell ref="H88:I88"/>
    <mergeCell ref="H84:I84"/>
    <mergeCell ref="J84:L84"/>
    <mergeCell ref="J88:L88"/>
    <mergeCell ref="J85:L85"/>
    <mergeCell ref="J86:L86"/>
    <mergeCell ref="H87:I87"/>
    <mergeCell ref="H85:I85"/>
    <mergeCell ref="H86:I86"/>
    <mergeCell ref="P76:R77"/>
    <mergeCell ref="P78:R78"/>
    <mergeCell ref="P79:R79"/>
    <mergeCell ref="P80:R80"/>
    <mergeCell ref="P81:R81"/>
    <mergeCell ref="P82:R82"/>
    <mergeCell ref="P69:R69"/>
    <mergeCell ref="P72:R72"/>
    <mergeCell ref="P63:R63"/>
    <mergeCell ref="P70:R70"/>
    <mergeCell ref="P71:R71"/>
    <mergeCell ref="P64:R64"/>
    <mergeCell ref="P84:R84"/>
    <mergeCell ref="P83:R83"/>
    <mergeCell ref="P85:R85"/>
    <mergeCell ref="M58:O58"/>
    <mergeCell ref="M59:O59"/>
    <mergeCell ref="M68:O68"/>
    <mergeCell ref="M66:O66"/>
    <mergeCell ref="M67:O67"/>
    <mergeCell ref="M78:O78"/>
    <mergeCell ref="M64:O64"/>
    <mergeCell ref="M65:O65"/>
    <mergeCell ref="M76:O77"/>
    <mergeCell ref="P60:R60"/>
    <mergeCell ref="J87:L87"/>
    <mergeCell ref="S31:U31"/>
    <mergeCell ref="S32:U32"/>
    <mergeCell ref="P31:R31"/>
    <mergeCell ref="O27:Q27"/>
    <mergeCell ref="R27:T27"/>
    <mergeCell ref="P33:R33"/>
    <mergeCell ref="P34:R34"/>
    <mergeCell ref="R28:T28"/>
    <mergeCell ref="M54:O54"/>
    <mergeCell ref="M55:O55"/>
    <mergeCell ref="M37:O37"/>
    <mergeCell ref="M38:O38"/>
    <mergeCell ref="M49:O49"/>
    <mergeCell ref="M50:O50"/>
    <mergeCell ref="M40:O40"/>
    <mergeCell ref="M45:O45"/>
    <mergeCell ref="M47:O47"/>
    <mergeCell ref="M48:O48"/>
    <mergeCell ref="M53:O53"/>
    <mergeCell ref="M41:O41"/>
    <mergeCell ref="M42:O42"/>
    <mergeCell ref="M43:O43"/>
    <mergeCell ref="M51:O51"/>
    <mergeCell ref="M52:O52"/>
    <mergeCell ref="P39:R39"/>
    <mergeCell ref="P46:R46"/>
    <mergeCell ref="F28:H28"/>
    <mergeCell ref="I22:K22"/>
    <mergeCell ref="I28:K28"/>
    <mergeCell ref="I24:K24"/>
    <mergeCell ref="I27:K27"/>
    <mergeCell ref="I13:L13"/>
    <mergeCell ref="I18:L18"/>
    <mergeCell ref="F24:H24"/>
    <mergeCell ref="F23:H23"/>
    <mergeCell ref="B22:E22"/>
    <mergeCell ref="I26:K26"/>
    <mergeCell ref="L26:N26"/>
    <mergeCell ref="L24:N24"/>
    <mergeCell ref="B24:E24"/>
    <mergeCell ref="F22:H22"/>
    <mergeCell ref="R26:T26"/>
    <mergeCell ref="O26:Q26"/>
    <mergeCell ref="I19:L19"/>
    <mergeCell ref="L25:N25"/>
    <mergeCell ref="B28:E28"/>
    <mergeCell ref="M31:O31"/>
    <mergeCell ref="J94:L94"/>
    <mergeCell ref="I23:K23"/>
    <mergeCell ref="M36:O36"/>
    <mergeCell ref="M35:O35"/>
    <mergeCell ref="M44:O44"/>
    <mergeCell ref="I2:L2"/>
    <mergeCell ref="I16:L16"/>
    <mergeCell ref="I17:L17"/>
    <mergeCell ref="I7:L7"/>
    <mergeCell ref="I8:L8"/>
    <mergeCell ref="I9:L9"/>
    <mergeCell ref="I11:L11"/>
    <mergeCell ref="I3:L3"/>
    <mergeCell ref="I4:L4"/>
    <mergeCell ref="I6:L6"/>
    <mergeCell ref="I5:L5"/>
    <mergeCell ref="L22:N22"/>
    <mergeCell ref="L28:N28"/>
    <mergeCell ref="O22:Q22"/>
    <mergeCell ref="O28:Q28"/>
    <mergeCell ref="L27:N27"/>
    <mergeCell ref="O23:Q23"/>
    <mergeCell ref="I25:K25"/>
    <mergeCell ref="L23:N23"/>
    <mergeCell ref="O25:Q25"/>
    <mergeCell ref="P56:R56"/>
    <mergeCell ref="P57:R57"/>
    <mergeCell ref="N3:P3"/>
    <mergeCell ref="N4:P4"/>
    <mergeCell ref="P61:R61"/>
    <mergeCell ref="N7:P7"/>
    <mergeCell ref="N8:P8"/>
    <mergeCell ref="T198:U198"/>
    <mergeCell ref="R207:S207"/>
    <mergeCell ref="P207:Q207"/>
    <mergeCell ref="R213:S213"/>
    <mergeCell ref="T199:U199"/>
    <mergeCell ref="T208:U208"/>
    <mergeCell ref="R208:S208"/>
    <mergeCell ref="R211:S211"/>
    <mergeCell ref="T209:U209"/>
    <mergeCell ref="T210:U210"/>
    <mergeCell ref="T200:U200"/>
    <mergeCell ref="R202:S202"/>
    <mergeCell ref="P202:Q202"/>
    <mergeCell ref="R209:S209"/>
    <mergeCell ref="T207:U207"/>
    <mergeCell ref="P201:Q201"/>
    <mergeCell ref="T201:U201"/>
    <mergeCell ref="T202:U202"/>
    <mergeCell ref="R201:S201"/>
    <mergeCell ref="P208:Q208"/>
    <mergeCell ref="T203:U203"/>
    <mergeCell ref="T204:U204"/>
    <mergeCell ref="T205:U205"/>
    <mergeCell ref="T206:U206"/>
    <mergeCell ref="R204:S204"/>
    <mergeCell ref="R205:S205"/>
    <mergeCell ref="R206:S206"/>
    <mergeCell ref="R198:S198"/>
    <mergeCell ref="R200:S200"/>
    <mergeCell ref="P200:Q200"/>
    <mergeCell ref="F216:H216"/>
    <mergeCell ref="P216:Q216"/>
    <mergeCell ref="F234:H234"/>
    <mergeCell ref="I235:K235"/>
    <mergeCell ref="F217:H217"/>
    <mergeCell ref="F226:H226"/>
    <mergeCell ref="F232:H232"/>
    <mergeCell ref="I234:K234"/>
    <mergeCell ref="B247:E248"/>
    <mergeCell ref="B241:U241"/>
    <mergeCell ref="F230:H230"/>
    <mergeCell ref="F233:H233"/>
    <mergeCell ref="I217:K217"/>
    <mergeCell ref="I226:K226"/>
    <mergeCell ref="I227:K227"/>
    <mergeCell ref="I228:K228"/>
    <mergeCell ref="I229:K229"/>
    <mergeCell ref="I230:K230"/>
    <mergeCell ref="F227:H227"/>
    <mergeCell ref="F228:H228"/>
    <mergeCell ref="I231:K231"/>
    <mergeCell ref="I232:K232"/>
    <mergeCell ref="N228:O228"/>
    <mergeCell ref="N229:O229"/>
    <mergeCell ref="N230:O230"/>
    <mergeCell ref="F229:H229"/>
    <mergeCell ref="N232:O232"/>
    <mergeCell ref="N233:O233"/>
    <mergeCell ref="P217:Q217"/>
    <mergeCell ref="P226:Q226"/>
    <mergeCell ref="P227:Q227"/>
    <mergeCell ref="P228:Q228"/>
    <mergeCell ref="L247:M247"/>
    <mergeCell ref="T235:U235"/>
    <mergeCell ref="P235:Q235"/>
    <mergeCell ref="T237:U237"/>
    <mergeCell ref="P236:Q236"/>
    <mergeCell ref="R242:S242"/>
    <mergeCell ref="L250:M250"/>
    <mergeCell ref="R236:S236"/>
    <mergeCell ref="N235:O235"/>
    <mergeCell ref="I247:K247"/>
    <mergeCell ref="N250:O250"/>
    <mergeCell ref="I250:K250"/>
    <mergeCell ref="I237:K237"/>
    <mergeCell ref="T212:U212"/>
    <mergeCell ref="P238:Q238"/>
    <mergeCell ref="T216:U216"/>
    <mergeCell ref="T250:U250"/>
    <mergeCell ref="T249:U249"/>
    <mergeCell ref="P229:Q229"/>
    <mergeCell ref="P231:Q231"/>
    <mergeCell ref="P232:Q232"/>
    <mergeCell ref="P230:Q230"/>
    <mergeCell ref="R227:S227"/>
    <mergeCell ref="R228:S228"/>
    <mergeCell ref="R229:S229"/>
    <mergeCell ref="R230:S230"/>
    <mergeCell ref="R218:S218"/>
    <mergeCell ref="R219:S219"/>
    <mergeCell ref="R220:S220"/>
    <mergeCell ref="R221:S221"/>
    <mergeCell ref="N226:O226"/>
    <mergeCell ref="I225:K225"/>
    <mergeCell ref="V537:X537"/>
    <mergeCell ref="P540:U540"/>
    <mergeCell ref="R249:S249"/>
    <mergeCell ref="R250:S250"/>
    <mergeCell ref="T234:U234"/>
    <mergeCell ref="T236:U236"/>
    <mergeCell ref="T240:U240"/>
    <mergeCell ref="T239:U239"/>
    <mergeCell ref="R239:S239"/>
    <mergeCell ref="T248:U248"/>
    <mergeCell ref="R238:S238"/>
    <mergeCell ref="T238:U238"/>
    <mergeCell ref="T252:U252"/>
    <mergeCell ref="R382:S382"/>
    <mergeCell ref="N476:P476"/>
    <mergeCell ref="N487:P487"/>
    <mergeCell ref="N484:P484"/>
    <mergeCell ref="N489:P489"/>
    <mergeCell ref="N495:P495"/>
    <mergeCell ref="N479:P479"/>
    <mergeCell ref="N424:P424"/>
    <mergeCell ref="N417:P417"/>
    <mergeCell ref="N436:P436"/>
    <mergeCell ref="N434:P434"/>
    <mergeCell ref="N423:P423"/>
    <mergeCell ref="N444:P444"/>
    <mergeCell ref="N514:P514"/>
    <mergeCell ref="N503:P503"/>
    <mergeCell ref="N512:P512"/>
    <mergeCell ref="N520:P520"/>
    <mergeCell ref="N513:P513"/>
    <mergeCell ref="N234:O234"/>
    <mergeCell ref="S551:U551"/>
    <mergeCell ref="J553:L553"/>
    <mergeCell ref="M552:O552"/>
    <mergeCell ref="J549:L549"/>
    <mergeCell ref="J548:L548"/>
    <mergeCell ref="P548:R548"/>
    <mergeCell ref="P552:R552"/>
    <mergeCell ref="J550:L550"/>
    <mergeCell ref="J552:L552"/>
    <mergeCell ref="P550:R550"/>
    <mergeCell ref="P551:R551"/>
    <mergeCell ref="M550:O550"/>
    <mergeCell ref="J537:L537"/>
    <mergeCell ref="M537:O537"/>
    <mergeCell ref="P537:R537"/>
    <mergeCell ref="J538:L538"/>
    <mergeCell ref="J544:L544"/>
    <mergeCell ref="M546:O546"/>
    <mergeCell ref="J543:L543"/>
    <mergeCell ref="M543:O543"/>
    <mergeCell ref="M544:O544"/>
    <mergeCell ref="J541:L541"/>
    <mergeCell ref="J546:L546"/>
    <mergeCell ref="J545:L545"/>
    <mergeCell ref="M545:O545"/>
    <mergeCell ref="J542:L542"/>
    <mergeCell ref="M541:O541"/>
    <mergeCell ref="P544:R544"/>
    <mergeCell ref="S541:U541"/>
    <mergeCell ref="N237:O237"/>
    <mergeCell ref="N381:O381"/>
    <mergeCell ref="N382:O382"/>
    <mergeCell ref="N383:O383"/>
    <mergeCell ref="N384:O384"/>
    <mergeCell ref="J533:L533"/>
    <mergeCell ref="S532:U532"/>
    <mergeCell ref="P532:R532"/>
    <mergeCell ref="N515:P515"/>
    <mergeCell ref="N521:P521"/>
    <mergeCell ref="N500:P500"/>
    <mergeCell ref="N505:P505"/>
    <mergeCell ref="S562:U562"/>
    <mergeCell ref="S550:U550"/>
    <mergeCell ref="M551:O551"/>
    <mergeCell ref="Q525:S525"/>
    <mergeCell ref="N525:P525"/>
    <mergeCell ref="S546:U546"/>
    <mergeCell ref="N504:P504"/>
    <mergeCell ref="M542:O542"/>
    <mergeCell ref="K520:M520"/>
    <mergeCell ref="K523:M523"/>
    <mergeCell ref="N523:P523"/>
    <mergeCell ref="J562:L562"/>
    <mergeCell ref="M559:O559"/>
    <mergeCell ref="J551:L551"/>
    <mergeCell ref="P559:R559"/>
    <mergeCell ref="J559:L559"/>
    <mergeCell ref="P556:U556"/>
    <mergeCell ref="M558:O558"/>
    <mergeCell ref="S553:U553"/>
    <mergeCell ref="S552:U552"/>
    <mergeCell ref="M567:O567"/>
    <mergeCell ref="P567:R567"/>
    <mergeCell ref="J569:L569"/>
    <mergeCell ref="O587:P587"/>
    <mergeCell ref="U586:V586"/>
    <mergeCell ref="G532:I532"/>
    <mergeCell ref="I391:K391"/>
    <mergeCell ref="I392:K392"/>
    <mergeCell ref="F237:H237"/>
    <mergeCell ref="F236:H236"/>
    <mergeCell ref="P239:Q239"/>
    <mergeCell ref="I418:S418"/>
    <mergeCell ref="P237:Q237"/>
    <mergeCell ref="I393:K393"/>
    <mergeCell ref="I394:K394"/>
    <mergeCell ref="N236:O236"/>
    <mergeCell ref="I238:K238"/>
    <mergeCell ref="L239:M239"/>
    <mergeCell ref="F239:H239"/>
    <mergeCell ref="I246:M246"/>
    <mergeCell ref="F246:H248"/>
    <mergeCell ref="I236:K236"/>
    <mergeCell ref="I239:K239"/>
    <mergeCell ref="I248:K248"/>
    <mergeCell ref="I240:K240"/>
    <mergeCell ref="R246:S247"/>
    <mergeCell ref="N239:O239"/>
    <mergeCell ref="L249:M249"/>
    <mergeCell ref="B242:Q242"/>
    <mergeCell ref="L248:M248"/>
    <mergeCell ref="N499:P499"/>
    <mergeCell ref="Q527:S527"/>
    <mergeCell ref="S629:T629"/>
    <mergeCell ref="U634:V634"/>
    <mergeCell ref="U635:V635"/>
    <mergeCell ref="S622:T622"/>
    <mergeCell ref="W644:X644"/>
    <mergeCell ref="S588:T588"/>
    <mergeCell ref="B578:R578"/>
    <mergeCell ref="B577:R577"/>
    <mergeCell ref="S576:U576"/>
    <mergeCell ref="O586:P586"/>
    <mergeCell ref="O589:P589"/>
    <mergeCell ref="S564:U564"/>
    <mergeCell ref="S567:U567"/>
    <mergeCell ref="S565:U565"/>
    <mergeCell ref="P565:R565"/>
    <mergeCell ref="P566:R566"/>
    <mergeCell ref="U585:V585"/>
    <mergeCell ref="S579:U579"/>
    <mergeCell ref="Q582:R582"/>
    <mergeCell ref="S583:T583"/>
    <mergeCell ref="S582:T582"/>
    <mergeCell ref="J568:L568"/>
    <mergeCell ref="M568:O568"/>
    <mergeCell ref="P568:R568"/>
    <mergeCell ref="J566:L566"/>
    <mergeCell ref="P571:R571"/>
    <mergeCell ref="S570:U570"/>
    <mergeCell ref="M569:O569"/>
    <mergeCell ref="S569:U569"/>
    <mergeCell ref="P564:R564"/>
    <mergeCell ref="P569:R569"/>
    <mergeCell ref="M571:O571"/>
    <mergeCell ref="Q609:R609"/>
    <mergeCell ref="U609:V609"/>
    <mergeCell ref="U608:V608"/>
    <mergeCell ref="S606:T606"/>
    <mergeCell ref="U606:V606"/>
    <mergeCell ref="S643:T643"/>
    <mergeCell ref="W647:X647"/>
    <mergeCell ref="U648:V648"/>
    <mergeCell ref="S653:T653"/>
    <mergeCell ref="W649:X649"/>
    <mergeCell ref="U647:V647"/>
    <mergeCell ref="S657:T657"/>
    <mergeCell ref="U592:V592"/>
    <mergeCell ref="U589:V589"/>
    <mergeCell ref="U588:V588"/>
    <mergeCell ref="S587:T587"/>
    <mergeCell ref="S591:T591"/>
    <mergeCell ref="S592:T592"/>
    <mergeCell ref="U590:V590"/>
    <mergeCell ref="S589:T589"/>
    <mergeCell ref="S590:T590"/>
    <mergeCell ref="W632:X632"/>
    <mergeCell ref="W635:X635"/>
    <mergeCell ref="S647:T647"/>
    <mergeCell ref="S649:T649"/>
    <mergeCell ref="W651:X651"/>
    <mergeCell ref="W650:X650"/>
    <mergeCell ref="U599:V599"/>
    <mergeCell ref="U607:V607"/>
    <mergeCell ref="S633:T633"/>
    <mergeCell ref="S638:T638"/>
    <mergeCell ref="U617:V617"/>
    <mergeCell ref="W645:X645"/>
    <mergeCell ref="W615:X615"/>
    <mergeCell ref="W614:X614"/>
    <mergeCell ref="W613:X613"/>
    <mergeCell ref="Q635:R635"/>
    <mergeCell ref="S640:T640"/>
    <mergeCell ref="W634:X634"/>
    <mergeCell ref="U644:V644"/>
    <mergeCell ref="W639:X639"/>
    <mergeCell ref="U641:V641"/>
    <mergeCell ref="U640:V640"/>
    <mergeCell ref="W641:X641"/>
    <mergeCell ref="W637:X637"/>
    <mergeCell ref="W638:X638"/>
    <mergeCell ref="S596:T596"/>
    <mergeCell ref="S599:T599"/>
    <mergeCell ref="S602:T602"/>
    <mergeCell ref="S597:T597"/>
    <mergeCell ref="Q618:R618"/>
    <mergeCell ref="Q603:R603"/>
    <mergeCell ref="Q614:R614"/>
    <mergeCell ref="S608:T608"/>
    <mergeCell ref="U597:V597"/>
    <mergeCell ref="U602:V602"/>
    <mergeCell ref="U596:V596"/>
    <mergeCell ref="S598:T598"/>
    <mergeCell ref="S600:T600"/>
    <mergeCell ref="U600:V600"/>
    <mergeCell ref="U601:V601"/>
    <mergeCell ref="U614:V614"/>
    <mergeCell ref="S610:T610"/>
    <mergeCell ref="Q604:R604"/>
    <mergeCell ref="O620:P620"/>
    <mergeCell ref="W655:X655"/>
    <mergeCell ref="O653:P653"/>
    <mergeCell ref="U653:V653"/>
    <mergeCell ref="U655:V655"/>
    <mergeCell ref="W627:X627"/>
    <mergeCell ref="W633:X633"/>
    <mergeCell ref="U603:V603"/>
    <mergeCell ref="Q601:R601"/>
    <mergeCell ref="U605:V605"/>
    <mergeCell ref="S613:T613"/>
    <mergeCell ref="S605:T605"/>
    <mergeCell ref="S612:T612"/>
    <mergeCell ref="U610:V610"/>
    <mergeCell ref="S614:T614"/>
    <mergeCell ref="W646:X646"/>
    <mergeCell ref="W636:X636"/>
    <mergeCell ref="W648:X648"/>
    <mergeCell ref="Q615:R615"/>
    <mergeCell ref="O618:P618"/>
    <mergeCell ref="Q616:R616"/>
    <mergeCell ref="O617:P617"/>
    <mergeCell ref="Q625:R625"/>
    <mergeCell ref="Q619:R619"/>
    <mergeCell ref="Q620:R620"/>
    <mergeCell ref="O611:P611"/>
    <mergeCell ref="W624:X624"/>
    <mergeCell ref="W612:X612"/>
    <mergeCell ref="W611:X611"/>
    <mergeCell ref="W610:X610"/>
    <mergeCell ref="W606:X606"/>
    <mergeCell ref="W605:X605"/>
    <mergeCell ref="Q633:R633"/>
    <mergeCell ref="Q632:R632"/>
    <mergeCell ref="Q631:R631"/>
    <mergeCell ref="Q628:R628"/>
    <mergeCell ref="Q645:R645"/>
    <mergeCell ref="J639:N639"/>
    <mergeCell ref="J640:N640"/>
    <mergeCell ref="O627:P627"/>
    <mergeCell ref="Y678:AA678"/>
    <mergeCell ref="S677:U677"/>
    <mergeCell ref="V677:X677"/>
    <mergeCell ref="Y677:AA677"/>
    <mergeCell ref="S678:U678"/>
    <mergeCell ref="V678:X678"/>
    <mergeCell ref="S628:T628"/>
    <mergeCell ref="Q626:R626"/>
    <mergeCell ref="O615:P615"/>
    <mergeCell ref="U623:V623"/>
    <mergeCell ref="S627:T627"/>
    <mergeCell ref="U624:V624"/>
    <mergeCell ref="U621:V621"/>
    <mergeCell ref="S625:T625"/>
    <mergeCell ref="S634:T634"/>
    <mergeCell ref="U629:V629"/>
    <mergeCell ref="S615:T615"/>
    <mergeCell ref="S616:T616"/>
    <mergeCell ref="U616:V616"/>
    <mergeCell ref="S645:T645"/>
    <mergeCell ref="S648:T648"/>
    <mergeCell ref="Y676:AA676"/>
    <mergeCell ref="O634:P634"/>
    <mergeCell ref="O633:P633"/>
    <mergeCell ref="B626:F626"/>
    <mergeCell ref="J637:N637"/>
    <mergeCell ref="J646:N646"/>
    <mergeCell ref="J634:N634"/>
    <mergeCell ref="J623:N623"/>
    <mergeCell ref="O621:P621"/>
    <mergeCell ref="G626:I626"/>
    <mergeCell ref="B627:F627"/>
    <mergeCell ref="B630:F630"/>
    <mergeCell ref="G634:I634"/>
    <mergeCell ref="B634:F634"/>
    <mergeCell ref="B633:F633"/>
    <mergeCell ref="G633:I633"/>
    <mergeCell ref="B629:F629"/>
    <mergeCell ref="G630:I630"/>
    <mergeCell ref="B631:F631"/>
    <mergeCell ref="B635:F635"/>
    <mergeCell ref="G635:I635"/>
    <mergeCell ref="G636:I636"/>
    <mergeCell ref="O641:P641"/>
    <mergeCell ref="O637:P637"/>
    <mergeCell ref="O642:P642"/>
    <mergeCell ref="O645:P645"/>
    <mergeCell ref="J642:N642"/>
    <mergeCell ref="O646:P646"/>
    <mergeCell ref="O644:P644"/>
    <mergeCell ref="J627:N627"/>
    <mergeCell ref="O630:P630"/>
    <mergeCell ref="J645:N645"/>
    <mergeCell ref="O628:P628"/>
    <mergeCell ref="O629:P629"/>
    <mergeCell ref="O625:P625"/>
    <mergeCell ref="J611:N611"/>
    <mergeCell ref="B617:F617"/>
    <mergeCell ref="G618:I618"/>
    <mergeCell ref="G619:I619"/>
    <mergeCell ref="B615:F615"/>
    <mergeCell ref="B614:F614"/>
    <mergeCell ref="B620:F620"/>
    <mergeCell ref="G614:I614"/>
    <mergeCell ref="G617:I617"/>
    <mergeCell ref="G620:I620"/>
    <mergeCell ref="B613:F613"/>
    <mergeCell ref="B616:F616"/>
    <mergeCell ref="G611:I611"/>
    <mergeCell ref="J610:N610"/>
    <mergeCell ref="J617:N617"/>
    <mergeCell ref="J613:N613"/>
    <mergeCell ref="G623:I623"/>
    <mergeCell ref="J622:N622"/>
    <mergeCell ref="J633:N633"/>
    <mergeCell ref="J615:N615"/>
    <mergeCell ref="J616:N616"/>
    <mergeCell ref="G613:I613"/>
    <mergeCell ref="J632:N632"/>
    <mergeCell ref="G600:I600"/>
    <mergeCell ref="G588:I588"/>
    <mergeCell ref="O597:P597"/>
    <mergeCell ref="G591:I591"/>
    <mergeCell ref="B591:F591"/>
    <mergeCell ref="B589:F589"/>
    <mergeCell ref="B588:F588"/>
    <mergeCell ref="O599:P599"/>
    <mergeCell ref="B594:F594"/>
    <mergeCell ref="G594:I594"/>
    <mergeCell ref="G595:I595"/>
    <mergeCell ref="B590:F590"/>
    <mergeCell ref="G590:I590"/>
    <mergeCell ref="G592:I592"/>
    <mergeCell ref="J585:N592"/>
    <mergeCell ref="G589:I589"/>
    <mergeCell ref="O592:P592"/>
    <mergeCell ref="G604:I604"/>
    <mergeCell ref="G597:I597"/>
    <mergeCell ref="J595:N595"/>
    <mergeCell ref="J597:N597"/>
    <mergeCell ref="G602:I602"/>
    <mergeCell ref="J599:N599"/>
    <mergeCell ref="J596:N596"/>
    <mergeCell ref="B611:F611"/>
    <mergeCell ref="J603:N603"/>
    <mergeCell ref="O601:P601"/>
    <mergeCell ref="O602:P602"/>
    <mergeCell ref="B592:F592"/>
    <mergeCell ref="B595:F595"/>
    <mergeCell ref="G596:I596"/>
    <mergeCell ref="B606:F606"/>
    <mergeCell ref="B603:F603"/>
    <mergeCell ref="G605:I605"/>
    <mergeCell ref="G603:I603"/>
    <mergeCell ref="J608:N608"/>
    <mergeCell ref="G610:I610"/>
    <mergeCell ref="B607:F607"/>
    <mergeCell ref="B604:F604"/>
    <mergeCell ref="G607:I607"/>
    <mergeCell ref="J606:N606"/>
    <mergeCell ref="J605:N605"/>
    <mergeCell ref="J609:N609"/>
    <mergeCell ref="G599:I599"/>
    <mergeCell ref="J602:N602"/>
    <mergeCell ref="G606:I606"/>
    <mergeCell ref="B610:F610"/>
    <mergeCell ref="B605:F605"/>
    <mergeCell ref="O595:P595"/>
    <mergeCell ref="B596:F596"/>
    <mergeCell ref="J607:N607"/>
    <mergeCell ref="J604:N604"/>
    <mergeCell ref="B602:F602"/>
    <mergeCell ref="G601:I601"/>
    <mergeCell ref="O593:P593"/>
    <mergeCell ref="F713:H713"/>
    <mergeCell ref="I712:K712"/>
    <mergeCell ref="L709:M709"/>
    <mergeCell ref="N713:O713"/>
    <mergeCell ref="N709:O709"/>
    <mergeCell ref="J682:L682"/>
    <mergeCell ref="J669:L669"/>
    <mergeCell ref="M670:O670"/>
    <mergeCell ref="O654:P654"/>
    <mergeCell ref="J643:N643"/>
    <mergeCell ref="M664:O664"/>
    <mergeCell ref="J663:L663"/>
    <mergeCell ref="O647:P647"/>
    <mergeCell ref="J660:L661"/>
    <mergeCell ref="O643:P643"/>
    <mergeCell ref="B666:L666"/>
    <mergeCell ref="G651:I651"/>
    <mergeCell ref="B651:F651"/>
    <mergeCell ref="G644:I644"/>
    <mergeCell ref="G648:I648"/>
    <mergeCell ref="M661:O661"/>
    <mergeCell ref="O648:P648"/>
    <mergeCell ref="J653:N653"/>
    <mergeCell ref="J654:N654"/>
    <mergeCell ref="J649:N649"/>
    <mergeCell ref="L704:M704"/>
    <mergeCell ref="B673:L673"/>
    <mergeCell ref="B694:F694"/>
    <mergeCell ref="M694:O694"/>
    <mergeCell ref="P686:R686"/>
    <mergeCell ref="M696:O696"/>
    <mergeCell ref="J688:L688"/>
    <mergeCell ref="F748:H748"/>
    <mergeCell ref="F714:H714"/>
    <mergeCell ref="F715:H715"/>
    <mergeCell ref="F733:H733"/>
    <mergeCell ref="F743:H743"/>
    <mergeCell ref="F739:H739"/>
    <mergeCell ref="F741:H741"/>
    <mergeCell ref="F744:H744"/>
    <mergeCell ref="F746:H746"/>
    <mergeCell ref="F729:H729"/>
    <mergeCell ref="F745:H745"/>
    <mergeCell ref="I735:K735"/>
    <mergeCell ref="I730:K730"/>
    <mergeCell ref="F742:H742"/>
    <mergeCell ref="F723:H723"/>
    <mergeCell ref="F727:H727"/>
    <mergeCell ref="I745:K745"/>
    <mergeCell ref="F738:H738"/>
    <mergeCell ref="F735:H735"/>
    <mergeCell ref="F736:H736"/>
    <mergeCell ref="I716:K716"/>
    <mergeCell ref="I715:K715"/>
    <mergeCell ref="I741:K741"/>
    <mergeCell ref="I744:K744"/>
    <mergeCell ref="F726:H726"/>
    <mergeCell ref="I726:K726"/>
    <mergeCell ref="F747:H747"/>
    <mergeCell ref="I723:K723"/>
    <mergeCell ref="F740:H740"/>
    <mergeCell ref="F734:H734"/>
    <mergeCell ref="L743:M743"/>
    <mergeCell ref="I734:K734"/>
    <mergeCell ref="I736:K736"/>
    <mergeCell ref="F737:H737"/>
    <mergeCell ref="L738:M738"/>
    <mergeCell ref="L713:M713"/>
    <mergeCell ref="F725:H725"/>
    <mergeCell ref="I727:K727"/>
    <mergeCell ref="F711:H711"/>
    <mergeCell ref="I711:K711"/>
    <mergeCell ref="F722:H722"/>
    <mergeCell ref="I720:K720"/>
    <mergeCell ref="I713:K713"/>
    <mergeCell ref="I721:K721"/>
    <mergeCell ref="F724:H724"/>
    <mergeCell ref="F717:H717"/>
    <mergeCell ref="F716:H716"/>
    <mergeCell ref="I714:K714"/>
    <mergeCell ref="I717:K717"/>
    <mergeCell ref="L716:M716"/>
    <mergeCell ref="L717:M717"/>
    <mergeCell ref="L715:M715"/>
    <mergeCell ref="I718:K718"/>
    <mergeCell ref="F718:H718"/>
    <mergeCell ref="F720:H720"/>
    <mergeCell ref="F719:H719"/>
    <mergeCell ref="I719:K719"/>
    <mergeCell ref="F730:H730"/>
    <mergeCell ref="F721:H721"/>
    <mergeCell ref="F712:H712"/>
    <mergeCell ref="F732:H732"/>
    <mergeCell ref="L721:M721"/>
    <mergeCell ref="P744:Q744"/>
    <mergeCell ref="N744:O744"/>
    <mergeCell ref="P745:Q745"/>
    <mergeCell ref="L745:M745"/>
    <mergeCell ref="I743:K743"/>
    <mergeCell ref="N749:O749"/>
    <mergeCell ref="P746:Q746"/>
    <mergeCell ref="P747:Q747"/>
    <mergeCell ref="N746:O746"/>
    <mergeCell ref="N745:O745"/>
    <mergeCell ref="P743:Q743"/>
    <mergeCell ref="N733:O733"/>
    <mergeCell ref="N730:O730"/>
    <mergeCell ref="N732:O732"/>
    <mergeCell ref="P733:Q733"/>
    <mergeCell ref="P742:Q742"/>
    <mergeCell ref="N740:O740"/>
    <mergeCell ref="N739:O739"/>
    <mergeCell ref="P741:Q741"/>
    <mergeCell ref="P734:Q734"/>
    <mergeCell ref="I733:K733"/>
    <mergeCell ref="I732:K732"/>
    <mergeCell ref="L734:M734"/>
    <mergeCell ref="L737:M737"/>
    <mergeCell ref="P736:Q736"/>
    <mergeCell ref="P735:Q735"/>
    <mergeCell ref="L731:M731"/>
    <mergeCell ref="N737:O737"/>
    <mergeCell ref="N731:O731"/>
    <mergeCell ref="L746:M746"/>
    <mergeCell ref="P740:Q740"/>
    <mergeCell ref="L744:M744"/>
    <mergeCell ref="R860:S860"/>
    <mergeCell ref="R866:S866"/>
    <mergeCell ref="P758:Q758"/>
    <mergeCell ref="R774:S774"/>
    <mergeCell ref="R782:S782"/>
    <mergeCell ref="P788:Q788"/>
    <mergeCell ref="R788:S788"/>
    <mergeCell ref="R760:S760"/>
    <mergeCell ref="N750:O750"/>
    <mergeCell ref="P752:Q752"/>
    <mergeCell ref="P751:Q751"/>
    <mergeCell ref="P772:Q772"/>
    <mergeCell ref="R772:S772"/>
    <mergeCell ref="R756:S756"/>
    <mergeCell ref="R757:S757"/>
    <mergeCell ref="P767:Q767"/>
    <mergeCell ref="P764:Q764"/>
    <mergeCell ref="R767:S767"/>
    <mergeCell ref="N760:O760"/>
    <mergeCell ref="P755:Q755"/>
    <mergeCell ref="N757:O757"/>
    <mergeCell ref="N755:O755"/>
    <mergeCell ref="P756:Q756"/>
    <mergeCell ref="N754:O754"/>
    <mergeCell ref="P760:Q760"/>
    <mergeCell ref="N758:O758"/>
    <mergeCell ref="N764:O764"/>
    <mergeCell ref="N771:O771"/>
    <mergeCell ref="R769:S769"/>
    <mergeCell ref="P771:Q771"/>
    <mergeCell ref="P766:Q766"/>
    <mergeCell ref="N753:O753"/>
    <mergeCell ref="N766:O766"/>
    <mergeCell ref="P780:Q780"/>
    <mergeCell ref="N761:O761"/>
    <mergeCell ref="N772:O772"/>
    <mergeCell ref="N759:O759"/>
    <mergeCell ref="N780:O780"/>
    <mergeCell ref="N775:O775"/>
    <mergeCell ref="N769:O769"/>
    <mergeCell ref="P753:Q753"/>
    <mergeCell ref="P754:Q754"/>
    <mergeCell ref="R761:S761"/>
    <mergeCell ref="R753:S753"/>
    <mergeCell ref="P757:Q757"/>
    <mergeCell ref="P761:Q761"/>
    <mergeCell ref="R754:S754"/>
    <mergeCell ref="P759:Q759"/>
    <mergeCell ref="P776:Q776"/>
    <mergeCell ref="R776:S776"/>
    <mergeCell ref="R764:S764"/>
    <mergeCell ref="P768:Q768"/>
    <mergeCell ref="N777:O777"/>
    <mergeCell ref="P777:Q777"/>
    <mergeCell ref="R777:S777"/>
    <mergeCell ref="P763:Q763"/>
    <mergeCell ref="N767:O767"/>
    <mergeCell ref="I765:K765"/>
    <mergeCell ref="M923:O923"/>
    <mergeCell ref="P959:Q961"/>
    <mergeCell ref="R961:S961"/>
    <mergeCell ref="T959:U960"/>
    <mergeCell ref="P947:R947"/>
    <mergeCell ref="P936:R936"/>
    <mergeCell ref="P905:R905"/>
    <mergeCell ref="M932:O932"/>
    <mergeCell ref="R768:S768"/>
    <mergeCell ref="R765:S765"/>
    <mergeCell ref="R771:S771"/>
    <mergeCell ref="P773:Q773"/>
    <mergeCell ref="R773:S773"/>
    <mergeCell ref="T773:U773"/>
    <mergeCell ref="T775:U775"/>
    <mergeCell ref="M931:O931"/>
    <mergeCell ref="M933:O933"/>
    <mergeCell ref="J930:L930"/>
    <mergeCell ref="P931:R931"/>
    <mergeCell ref="P932:R932"/>
    <mergeCell ref="M892:O892"/>
    <mergeCell ref="J873:L873"/>
    <mergeCell ref="M898:O898"/>
    <mergeCell ref="T866:U866"/>
    <mergeCell ref="B865:U865"/>
    <mergeCell ref="M908:O908"/>
    <mergeCell ref="J932:L932"/>
    <mergeCell ref="N765:O765"/>
    <mergeCell ref="P765:Q765"/>
    <mergeCell ref="P871:R871"/>
    <mergeCell ref="J927:L927"/>
    <mergeCell ref="J908:L908"/>
    <mergeCell ref="J928:L928"/>
    <mergeCell ref="P769:Q769"/>
    <mergeCell ref="L788:M788"/>
    <mergeCell ref="N788:O788"/>
    <mergeCell ref="N773:O773"/>
    <mergeCell ref="I772:K772"/>
    <mergeCell ref="I788:K788"/>
    <mergeCell ref="R791:S791"/>
    <mergeCell ref="L807:M807"/>
    <mergeCell ref="N807:O807"/>
    <mergeCell ref="P807:Q807"/>
    <mergeCell ref="R815:S815"/>
    <mergeCell ref="P893:R893"/>
    <mergeCell ref="L856:M856"/>
    <mergeCell ref="N856:O856"/>
    <mergeCell ref="P856:Q856"/>
    <mergeCell ref="R856:S856"/>
    <mergeCell ref="P912:R912"/>
    <mergeCell ref="M883:O883"/>
    <mergeCell ref="M890:O890"/>
    <mergeCell ref="P907:R907"/>
    <mergeCell ref="M873:O873"/>
    <mergeCell ref="M871:O871"/>
    <mergeCell ref="N864:O864"/>
    <mergeCell ref="M878:O878"/>
    <mergeCell ref="M877:O877"/>
    <mergeCell ref="J875:L875"/>
    <mergeCell ref="L863:M863"/>
    <mergeCell ref="N862:O862"/>
    <mergeCell ref="J903:L903"/>
    <mergeCell ref="J896:L896"/>
    <mergeCell ref="J883:L883"/>
    <mergeCell ref="J887:L887"/>
    <mergeCell ref="J881:L881"/>
    <mergeCell ref="J886:L886"/>
    <mergeCell ref="P864:Q864"/>
    <mergeCell ref="M885:O885"/>
    <mergeCell ref="P878:R878"/>
    <mergeCell ref="P882:R882"/>
    <mergeCell ref="P883:R883"/>
    <mergeCell ref="M881:O881"/>
    <mergeCell ref="M882:O882"/>
    <mergeCell ref="M880:O880"/>
    <mergeCell ref="M886:O886"/>
    <mergeCell ref="R863:S863"/>
    <mergeCell ref="T983:U983"/>
    <mergeCell ref="T984:U984"/>
    <mergeCell ref="R967:S967"/>
    <mergeCell ref="P966:Q966"/>
    <mergeCell ref="P973:Q973"/>
    <mergeCell ref="P974:Q974"/>
    <mergeCell ref="R975:S975"/>
    <mergeCell ref="B958:U958"/>
    <mergeCell ref="G953:J953"/>
    <mergeCell ref="R964:S964"/>
    <mergeCell ref="P964:Q964"/>
    <mergeCell ref="F966:H966"/>
    <mergeCell ref="F965:H965"/>
    <mergeCell ref="F962:H962"/>
    <mergeCell ref="B960:E961"/>
    <mergeCell ref="P943:R943"/>
    <mergeCell ref="B963:E963"/>
    <mergeCell ref="I960:K960"/>
    <mergeCell ref="T987:U987"/>
    <mergeCell ref="R968:S968"/>
    <mergeCell ref="R971:S971"/>
    <mergeCell ref="P989:Q989"/>
    <mergeCell ref="T980:U980"/>
    <mergeCell ref="R984:S984"/>
    <mergeCell ref="R986:S986"/>
    <mergeCell ref="T986:U986"/>
    <mergeCell ref="P983:Q983"/>
    <mergeCell ref="P982:Q982"/>
    <mergeCell ref="T977:U977"/>
    <mergeCell ref="T978:U978"/>
    <mergeCell ref="T979:U979"/>
    <mergeCell ref="T704:U704"/>
    <mergeCell ref="P939:R939"/>
    <mergeCell ref="T967:U967"/>
    <mergeCell ref="R969:S969"/>
    <mergeCell ref="R962:S962"/>
    <mergeCell ref="T706:U706"/>
    <mergeCell ref="T707:U707"/>
    <mergeCell ref="R707:S707"/>
    <mergeCell ref="T824:U824"/>
    <mergeCell ref="P949:R949"/>
    <mergeCell ref="T974:U974"/>
    <mergeCell ref="T971:U971"/>
    <mergeCell ref="T972:U972"/>
    <mergeCell ref="T973:U973"/>
    <mergeCell ref="T975:U975"/>
    <mergeCell ref="P975:Q975"/>
    <mergeCell ref="R972:S972"/>
    <mergeCell ref="P972:Q972"/>
    <mergeCell ref="P971:Q971"/>
    <mergeCell ref="T705:U705"/>
    <mergeCell ref="R766:S766"/>
    <mergeCell ref="R705:S705"/>
    <mergeCell ref="T708:U708"/>
    <mergeCell ref="P928:R928"/>
    <mergeCell ref="P942:R942"/>
    <mergeCell ref="P904:R904"/>
    <mergeCell ref="P903:R903"/>
    <mergeCell ref="P898:R898"/>
    <mergeCell ref="T970:U970"/>
    <mergeCell ref="R970:S970"/>
    <mergeCell ref="T969:U969"/>
    <mergeCell ref="P970:Q970"/>
    <mergeCell ref="T966:U966"/>
    <mergeCell ref="T968:U968"/>
    <mergeCell ref="R966:S966"/>
    <mergeCell ref="P969:Q969"/>
    <mergeCell ref="P967:Q967"/>
    <mergeCell ref="P968:Q968"/>
    <mergeCell ref="P945:R945"/>
    <mergeCell ref="P948:R948"/>
    <mergeCell ref="P940:R940"/>
    <mergeCell ref="P950:R950"/>
    <mergeCell ref="R963:S963"/>
    <mergeCell ref="P895:R895"/>
    <mergeCell ref="P896:R896"/>
    <mergeCell ref="P886:R886"/>
    <mergeCell ref="P887:R887"/>
    <mergeCell ref="P890:R890"/>
    <mergeCell ref="P888:R888"/>
    <mergeCell ref="P881:R881"/>
    <mergeCell ref="P877:R877"/>
    <mergeCell ref="M683:O683"/>
    <mergeCell ref="F706:H706"/>
    <mergeCell ref="T864:U864"/>
    <mergeCell ref="W654:X654"/>
    <mergeCell ref="W652:X652"/>
    <mergeCell ref="G652:I652"/>
    <mergeCell ref="G647:I647"/>
    <mergeCell ref="W629:X629"/>
    <mergeCell ref="Q629:R629"/>
    <mergeCell ref="O624:P624"/>
    <mergeCell ref="Q639:R639"/>
    <mergeCell ref="J638:N638"/>
    <mergeCell ref="O640:P640"/>
    <mergeCell ref="O639:P639"/>
    <mergeCell ref="Q634:R634"/>
    <mergeCell ref="Q630:R630"/>
    <mergeCell ref="O626:P626"/>
    <mergeCell ref="G625:I625"/>
    <mergeCell ref="G624:I624"/>
    <mergeCell ref="J625:N625"/>
    <mergeCell ref="J624:N624"/>
    <mergeCell ref="G629:I629"/>
    <mergeCell ref="J629:N629"/>
    <mergeCell ref="J628:N628"/>
    <mergeCell ref="G637:I637"/>
    <mergeCell ref="O635:P635"/>
    <mergeCell ref="J630:N630"/>
    <mergeCell ref="J635:N635"/>
    <mergeCell ref="F767:H767"/>
    <mergeCell ref="P863:Q863"/>
    <mergeCell ref="L764:M764"/>
    <mergeCell ref="I757:K757"/>
    <mergeCell ref="J941:L941"/>
    <mergeCell ref="M929:O929"/>
    <mergeCell ref="J945:L945"/>
    <mergeCell ref="L714:M714"/>
    <mergeCell ref="L719:M719"/>
    <mergeCell ref="L712:M712"/>
    <mergeCell ref="I704:K704"/>
    <mergeCell ref="J690:L690"/>
    <mergeCell ref="J693:L693"/>
    <mergeCell ref="M690:O690"/>
    <mergeCell ref="M695:O695"/>
    <mergeCell ref="F710:H710"/>
    <mergeCell ref="P671:R671"/>
    <mergeCell ref="P667:R667"/>
    <mergeCell ref="P669:R669"/>
    <mergeCell ref="J670:L670"/>
    <mergeCell ref="J667:L667"/>
    <mergeCell ref="J668:L668"/>
    <mergeCell ref="N708:O708"/>
    <mergeCell ref="N710:O710"/>
    <mergeCell ref="L710:M710"/>
    <mergeCell ref="I709:K709"/>
    <mergeCell ref="L708:M708"/>
    <mergeCell ref="P710:Q710"/>
    <mergeCell ref="P688:R688"/>
    <mergeCell ref="R709:S709"/>
    <mergeCell ref="R706:S706"/>
    <mergeCell ref="M688:O688"/>
    <mergeCell ref="M678:O678"/>
    <mergeCell ref="P668:R668"/>
    <mergeCell ref="S676:U676"/>
    <mergeCell ref="P670:R670"/>
    <mergeCell ref="P880:R880"/>
    <mergeCell ref="P879:R879"/>
    <mergeCell ref="P875:R875"/>
    <mergeCell ref="N863:O863"/>
    <mergeCell ref="R864:S864"/>
    <mergeCell ref="F864:H864"/>
    <mergeCell ref="F731:H731"/>
    <mergeCell ref="F751:H751"/>
    <mergeCell ref="L777:M777"/>
    <mergeCell ref="I707:K707"/>
    <mergeCell ref="F709:H709"/>
    <mergeCell ref="L965:M965"/>
    <mergeCell ref="I964:K964"/>
    <mergeCell ref="L964:M964"/>
    <mergeCell ref="L968:M968"/>
    <mergeCell ref="N965:O965"/>
    <mergeCell ref="I965:K965"/>
    <mergeCell ref="N968:O968"/>
    <mergeCell ref="N964:O964"/>
    <mergeCell ref="L817:M817"/>
    <mergeCell ref="F819:H819"/>
    <mergeCell ref="I819:K819"/>
    <mergeCell ref="L819:M819"/>
    <mergeCell ref="I767:K767"/>
    <mergeCell ref="L749:M749"/>
    <mergeCell ref="L755:M755"/>
    <mergeCell ref="I756:K756"/>
    <mergeCell ref="M942:O942"/>
    <mergeCell ref="F964:H964"/>
    <mergeCell ref="I962:K962"/>
    <mergeCell ref="P925:R925"/>
    <mergeCell ref="L752:M752"/>
    <mergeCell ref="P976:Q976"/>
    <mergeCell ref="N976:O976"/>
    <mergeCell ref="L762:M762"/>
    <mergeCell ref="N751:O751"/>
    <mergeCell ref="T989:U989"/>
    <mergeCell ref="R988:S988"/>
    <mergeCell ref="R989:S989"/>
    <mergeCell ref="T988:U988"/>
    <mergeCell ref="R987:S987"/>
    <mergeCell ref="T985:U985"/>
    <mergeCell ref="R985:S985"/>
    <mergeCell ref="R983:S983"/>
    <mergeCell ref="P987:Q987"/>
    <mergeCell ref="T982:U982"/>
    <mergeCell ref="L718:M718"/>
    <mergeCell ref="O954:R954"/>
    <mergeCell ref="P946:R946"/>
    <mergeCell ref="R959:S960"/>
    <mergeCell ref="J935:L935"/>
    <mergeCell ref="M935:O935"/>
    <mergeCell ref="J931:L931"/>
    <mergeCell ref="M930:O930"/>
    <mergeCell ref="M927:O927"/>
    <mergeCell ref="J921:L921"/>
    <mergeCell ref="P934:R934"/>
    <mergeCell ref="K953:N953"/>
    <mergeCell ref="K954:N954"/>
    <mergeCell ref="M870:O870"/>
    <mergeCell ref="R862:S862"/>
    <mergeCell ref="P862:Q862"/>
    <mergeCell ref="P872:R872"/>
    <mergeCell ref="I758:K758"/>
    <mergeCell ref="Z1029:AB1029"/>
    <mergeCell ref="Z1028:AB1028"/>
    <mergeCell ref="U1026:V1027"/>
    <mergeCell ref="U1029:V1029"/>
    <mergeCell ref="W1029:Y1029"/>
    <mergeCell ref="R1027:T1027"/>
    <mergeCell ref="R1028:T1028"/>
    <mergeCell ref="U1028:V1028"/>
    <mergeCell ref="O1028:Q1028"/>
    <mergeCell ref="R1019:S1019"/>
    <mergeCell ref="L1025:N1025"/>
    <mergeCell ref="T1019:U1019"/>
    <mergeCell ref="L1028:N1028"/>
    <mergeCell ref="O1026:Q1026"/>
    <mergeCell ref="Z1025:AB1025"/>
    <mergeCell ref="U1025:V1025"/>
    <mergeCell ref="O1025:Q1025"/>
    <mergeCell ref="W1025:Y1025"/>
    <mergeCell ref="R1025:T1025"/>
    <mergeCell ref="T1021:U1021"/>
    <mergeCell ref="R1021:S1021"/>
    <mergeCell ref="R1026:T1026"/>
    <mergeCell ref="B1020:U1020"/>
    <mergeCell ref="F1029:H1029"/>
    <mergeCell ref="I1029:K1029"/>
    <mergeCell ref="I1025:K1025"/>
    <mergeCell ref="B1025:E1025"/>
    <mergeCell ref="W1028:Y1028"/>
    <mergeCell ref="W1026:Y1027"/>
    <mergeCell ref="R1029:T1029"/>
    <mergeCell ref="L1026:N1026"/>
    <mergeCell ref="B1029:E1029"/>
    <mergeCell ref="B1026:E1026"/>
    <mergeCell ref="F1027:H1027"/>
    <mergeCell ref="I1027:K1027"/>
    <mergeCell ref="I1028:K1028"/>
    <mergeCell ref="L1029:N1029"/>
    <mergeCell ref="O1029:Q1029"/>
    <mergeCell ref="L1027:N1027"/>
    <mergeCell ref="O1027:Q1027"/>
    <mergeCell ref="F1026:H1026"/>
    <mergeCell ref="I1019:K1019"/>
    <mergeCell ref="F996:H996"/>
    <mergeCell ref="I996:K996"/>
    <mergeCell ref="L996:M996"/>
    <mergeCell ref="F1025:H1025"/>
    <mergeCell ref="B1028:E1028"/>
    <mergeCell ref="F1028:H1028"/>
    <mergeCell ref="R1018:S1018"/>
    <mergeCell ref="L1018:M1018"/>
    <mergeCell ref="F1018:H1018"/>
    <mergeCell ref="I1018:K1018"/>
    <mergeCell ref="B1018:E1018"/>
    <mergeCell ref="R998:S998"/>
    <mergeCell ref="T1018:U1018"/>
    <mergeCell ref="P1018:Q1018"/>
    <mergeCell ref="N1018:O1018"/>
    <mergeCell ref="I987:K987"/>
    <mergeCell ref="I979:K979"/>
    <mergeCell ref="L727:M727"/>
    <mergeCell ref="L723:M723"/>
    <mergeCell ref="I722:K722"/>
    <mergeCell ref="F980:H980"/>
    <mergeCell ref="J897:L897"/>
    <mergeCell ref="F855:H855"/>
    <mergeCell ref="I855:K855"/>
    <mergeCell ref="L855:M855"/>
    <mergeCell ref="B735:E735"/>
    <mergeCell ref="B736:E736"/>
    <mergeCell ref="B737:E737"/>
    <mergeCell ref="L991:M991"/>
    <mergeCell ref="B920:O920"/>
    <mergeCell ref="L989:M989"/>
    <mergeCell ref="J933:L933"/>
    <mergeCell ref="B934:O934"/>
    <mergeCell ref="I747:K747"/>
    <mergeCell ref="L754:M754"/>
    <mergeCell ref="I764:K764"/>
    <mergeCell ref="I753:K753"/>
    <mergeCell ref="I761:K761"/>
    <mergeCell ref="I755:K755"/>
    <mergeCell ref="F773:H773"/>
    <mergeCell ref="I773:K773"/>
    <mergeCell ref="L773:M773"/>
    <mergeCell ref="L747:M747"/>
    <mergeCell ref="I961:K961"/>
    <mergeCell ref="F869:I870"/>
    <mergeCell ref="J882:L882"/>
    <mergeCell ref="J880:L880"/>
    <mergeCell ref="L961:M961"/>
    <mergeCell ref="B954:F954"/>
    <mergeCell ref="B685:I685"/>
    <mergeCell ref="B686:I686"/>
    <mergeCell ref="B693:F693"/>
    <mergeCell ref="B701:E701"/>
    <mergeCell ref="G695:I695"/>
    <mergeCell ref="B1034:H1034"/>
    <mergeCell ref="B1027:E1027"/>
    <mergeCell ref="B1038:H1038"/>
    <mergeCell ref="B1033:K1033"/>
    <mergeCell ref="I1034:K1034"/>
    <mergeCell ref="I1035:K1035"/>
    <mergeCell ref="I1036:K1036"/>
    <mergeCell ref="I1038:K1038"/>
    <mergeCell ref="B1037:H1037"/>
    <mergeCell ref="I1037:K1037"/>
    <mergeCell ref="B1036:H1036"/>
    <mergeCell ref="B1035:H1035"/>
    <mergeCell ref="F991:H991"/>
    <mergeCell ref="I1021:K1021"/>
    <mergeCell ref="I1026:K1026"/>
    <mergeCell ref="F728:H728"/>
    <mergeCell ref="I729:K729"/>
    <mergeCell ref="I728:K728"/>
    <mergeCell ref="F771:H771"/>
    <mergeCell ref="F777:H777"/>
    <mergeCell ref="I777:K777"/>
    <mergeCell ref="F776:H776"/>
    <mergeCell ref="F963:H963"/>
    <mergeCell ref="F774:H774"/>
    <mergeCell ref="I774:K774"/>
    <mergeCell ref="J929:L929"/>
    <mergeCell ref="J906:L906"/>
    <mergeCell ref="L724:M724"/>
    <mergeCell ref="I725:K725"/>
    <mergeCell ref="I724:K724"/>
    <mergeCell ref="I708:K708"/>
    <mergeCell ref="I705:K705"/>
    <mergeCell ref="R704:S704"/>
    <mergeCell ref="L705:M705"/>
    <mergeCell ref="P705:Q705"/>
    <mergeCell ref="P712:Q712"/>
    <mergeCell ref="I706:K706"/>
    <mergeCell ref="L711:M711"/>
    <mergeCell ref="N706:O706"/>
    <mergeCell ref="L726:M726"/>
    <mergeCell ref="I710:K710"/>
    <mergeCell ref="N718:O718"/>
    <mergeCell ref="N723:O723"/>
    <mergeCell ref="N705:O705"/>
    <mergeCell ref="L722:M722"/>
    <mergeCell ref="F708:H708"/>
    <mergeCell ref="F707:H707"/>
    <mergeCell ref="F705:H705"/>
    <mergeCell ref="F768:H768"/>
    <mergeCell ref="I768:K768"/>
    <mergeCell ref="L768:M768"/>
    <mergeCell ref="I749:K749"/>
    <mergeCell ref="I750:K750"/>
    <mergeCell ref="I752:K752"/>
    <mergeCell ref="V3:X3"/>
    <mergeCell ref="V4:X4"/>
    <mergeCell ref="V5:X5"/>
    <mergeCell ref="V6:X6"/>
    <mergeCell ref="U591:V591"/>
    <mergeCell ref="Q5:S5"/>
    <mergeCell ref="Q6:S6"/>
    <mergeCell ref="U587:V587"/>
    <mergeCell ref="U584:V584"/>
    <mergeCell ref="S585:T585"/>
    <mergeCell ref="Q3:S3"/>
    <mergeCell ref="Q4:S4"/>
    <mergeCell ref="Q7:S7"/>
    <mergeCell ref="Q8:S8"/>
    <mergeCell ref="N5:P5"/>
    <mergeCell ref="N6:P6"/>
    <mergeCell ref="P683:R683"/>
    <mergeCell ref="W653:X653"/>
    <mergeCell ref="Q654:R654"/>
    <mergeCell ref="S654:T654"/>
    <mergeCell ref="Q655:R655"/>
    <mergeCell ref="S655:T655"/>
    <mergeCell ref="P663:R663"/>
    <mergeCell ref="J647:N647"/>
    <mergeCell ref="J664:L664"/>
    <mergeCell ref="P661:R661"/>
    <mergeCell ref="Q647:R647"/>
    <mergeCell ref="S621:T621"/>
    <mergeCell ref="U618:V618"/>
    <mergeCell ref="B671:L671"/>
    <mergeCell ref="J683:L683"/>
    <mergeCell ref="W616:X616"/>
    <mergeCell ref="J696:L696"/>
    <mergeCell ref="P696:R696"/>
    <mergeCell ref="F199:H199"/>
    <mergeCell ref="L703:M703"/>
    <mergeCell ref="F208:H208"/>
    <mergeCell ref="U613:V613"/>
    <mergeCell ref="U604:V604"/>
    <mergeCell ref="Q591:R591"/>
    <mergeCell ref="Q588:R588"/>
    <mergeCell ref="B576:R576"/>
    <mergeCell ref="P684:R684"/>
    <mergeCell ref="P685:R685"/>
    <mergeCell ref="P682:R682"/>
    <mergeCell ref="J619:N619"/>
    <mergeCell ref="O616:P616"/>
    <mergeCell ref="J594:N594"/>
    <mergeCell ref="J621:N621"/>
    <mergeCell ref="O613:P613"/>
    <mergeCell ref="O610:P610"/>
    <mergeCell ref="J601:N601"/>
    <mergeCell ref="J614:N614"/>
    <mergeCell ref="O607:P607"/>
    <mergeCell ref="O614:P614"/>
    <mergeCell ref="O619:P619"/>
    <mergeCell ref="B676:F676"/>
    <mergeCell ref="M682:O682"/>
    <mergeCell ref="P681:R681"/>
    <mergeCell ref="J665:L665"/>
    <mergeCell ref="P666:R666"/>
    <mergeCell ref="F665:I665"/>
    <mergeCell ref="J618:N618"/>
    <mergeCell ref="U620:V620"/>
    <mergeCell ref="Y151:AA151"/>
    <mergeCell ref="J681:L681"/>
    <mergeCell ref="V7:X7"/>
    <mergeCell ref="V8:X8"/>
    <mergeCell ref="R22:T22"/>
    <mergeCell ref="R23:T23"/>
    <mergeCell ref="R24:T24"/>
    <mergeCell ref="O24:Q24"/>
    <mergeCell ref="R25:T25"/>
    <mergeCell ref="M673:O673"/>
    <mergeCell ref="J677:L677"/>
    <mergeCell ref="J662:L662"/>
    <mergeCell ref="B665:E665"/>
    <mergeCell ref="F663:I663"/>
    <mergeCell ref="F662:I662"/>
    <mergeCell ref="Q653:R653"/>
    <mergeCell ref="P665:R665"/>
    <mergeCell ref="J651:N651"/>
    <mergeCell ref="P148:R148"/>
    <mergeCell ref="P678:R678"/>
    <mergeCell ref="Q627:R627"/>
    <mergeCell ref="M681:O681"/>
    <mergeCell ref="P673:R673"/>
    <mergeCell ref="N199:O199"/>
    <mergeCell ref="O632:P632"/>
    <mergeCell ref="O622:P622"/>
    <mergeCell ref="J631:N631"/>
    <mergeCell ref="Q589:R589"/>
    <mergeCell ref="J641:N641"/>
    <mergeCell ref="O636:P636"/>
    <mergeCell ref="J676:L676"/>
    <mergeCell ref="J620:N620"/>
    <mergeCell ref="B684:I684"/>
    <mergeCell ref="B683:I683"/>
    <mergeCell ref="I703:K703"/>
    <mergeCell ref="S693:U693"/>
    <mergeCell ref="B695:F695"/>
    <mergeCell ref="N701:O703"/>
    <mergeCell ref="B682:I682"/>
    <mergeCell ref="J678:L678"/>
    <mergeCell ref="G694:I694"/>
    <mergeCell ref="G693:I693"/>
    <mergeCell ref="G696:I696"/>
    <mergeCell ref="J694:L694"/>
    <mergeCell ref="W617:X617"/>
    <mergeCell ref="W618:X618"/>
    <mergeCell ref="W622:X622"/>
    <mergeCell ref="W625:X625"/>
    <mergeCell ref="W626:X626"/>
    <mergeCell ref="P690:R690"/>
    <mergeCell ref="J652:N652"/>
    <mergeCell ref="Q650:R650"/>
    <mergeCell ref="Q648:R648"/>
    <mergeCell ref="O649:P649"/>
    <mergeCell ref="Q652:R652"/>
    <mergeCell ref="G676:I676"/>
    <mergeCell ref="M685:O685"/>
    <mergeCell ref="J685:L685"/>
    <mergeCell ref="J655:N655"/>
    <mergeCell ref="J636:N636"/>
    <mergeCell ref="O638:P638"/>
    <mergeCell ref="M686:O686"/>
    <mergeCell ref="J686:L686"/>
    <mergeCell ref="I702:K702"/>
    <mergeCell ref="W623:X623"/>
    <mergeCell ref="W630:X630"/>
    <mergeCell ref="W631:X631"/>
    <mergeCell ref="W596:X596"/>
    <mergeCell ref="W589:X589"/>
    <mergeCell ref="W584:X584"/>
    <mergeCell ref="W582:X582"/>
    <mergeCell ref="W583:X583"/>
    <mergeCell ref="X568:Z568"/>
    <mergeCell ref="W588:X588"/>
    <mergeCell ref="W587:X587"/>
    <mergeCell ref="W590:X590"/>
    <mergeCell ref="W592:X592"/>
    <mergeCell ref="W591:X591"/>
    <mergeCell ref="W597:X597"/>
    <mergeCell ref="W607:X607"/>
    <mergeCell ref="W600:X600"/>
    <mergeCell ref="W602:X602"/>
    <mergeCell ref="W595:X595"/>
    <mergeCell ref="W604:X604"/>
    <mergeCell ref="W599:X599"/>
    <mergeCell ref="W601:X601"/>
    <mergeCell ref="W603:X603"/>
    <mergeCell ref="W620:X620"/>
    <mergeCell ref="W628:X628"/>
    <mergeCell ref="W621:X621"/>
    <mergeCell ref="W619:X619"/>
    <mergeCell ref="W609:X609"/>
    <mergeCell ref="W608:X608"/>
    <mergeCell ref="AA568:AC568"/>
    <mergeCell ref="X566:Z566"/>
    <mergeCell ref="AA565:AC565"/>
    <mergeCell ref="X559:Z559"/>
    <mergeCell ref="AA559:AC559"/>
    <mergeCell ref="X558:Z558"/>
    <mergeCell ref="AA560:AC560"/>
    <mergeCell ref="X561:Z561"/>
    <mergeCell ref="AA561:AC561"/>
    <mergeCell ref="X562:Z562"/>
    <mergeCell ref="AA566:AC566"/>
    <mergeCell ref="X565:Z565"/>
    <mergeCell ref="AA564:AC564"/>
    <mergeCell ref="X563:Z563"/>
    <mergeCell ref="X564:Z564"/>
    <mergeCell ref="AA563:AC563"/>
    <mergeCell ref="W594:X594"/>
    <mergeCell ref="Y152:AA152"/>
    <mergeCell ref="AA558:AC558"/>
    <mergeCell ref="I414:K414"/>
    <mergeCell ref="B412:E412"/>
    <mergeCell ref="I216:K216"/>
    <mergeCell ref="N216:O216"/>
    <mergeCell ref="Q520:S520"/>
    <mergeCell ref="N509:P509"/>
    <mergeCell ref="I388:K388"/>
    <mergeCell ref="I389:K389"/>
    <mergeCell ref="AA562:AC562"/>
    <mergeCell ref="X560:Z560"/>
    <mergeCell ref="B556:I557"/>
    <mergeCell ref="N246:O248"/>
    <mergeCell ref="P246:Q248"/>
    <mergeCell ref="N443:P443"/>
    <mergeCell ref="K528:M528"/>
    <mergeCell ref="B520:J520"/>
    <mergeCell ref="B419:H419"/>
    <mergeCell ref="I390:K390"/>
    <mergeCell ref="M557:O557"/>
    <mergeCell ref="J547:L547"/>
    <mergeCell ref="T256:U256"/>
    <mergeCell ref="T255:U255"/>
    <mergeCell ref="T251:U251"/>
    <mergeCell ref="T242:U242"/>
    <mergeCell ref="T246:U247"/>
    <mergeCell ref="J532:L532"/>
    <mergeCell ref="M532:O532"/>
    <mergeCell ref="N528:P528"/>
    <mergeCell ref="N527:P527"/>
    <mergeCell ref="N501:P501"/>
    <mergeCell ref="F207:H207"/>
    <mergeCell ref="I207:K207"/>
    <mergeCell ref="F209:H209"/>
    <mergeCell ref="N210:O210"/>
    <mergeCell ref="I210:K210"/>
    <mergeCell ref="F235:H235"/>
    <mergeCell ref="P209:Q209"/>
    <mergeCell ref="L212:M212"/>
    <mergeCell ref="R332:S332"/>
    <mergeCell ref="Q587:R587"/>
    <mergeCell ref="B574:F574"/>
    <mergeCell ref="B558:I558"/>
    <mergeCell ref="B584:F584"/>
    <mergeCell ref="G584:I584"/>
    <mergeCell ref="I387:K387"/>
    <mergeCell ref="B586:F586"/>
    <mergeCell ref="G587:I587"/>
    <mergeCell ref="G582:I582"/>
    <mergeCell ref="G583:I583"/>
    <mergeCell ref="G585:I585"/>
    <mergeCell ref="Q585:R585"/>
    <mergeCell ref="O583:P583"/>
    <mergeCell ref="Q583:R583"/>
    <mergeCell ref="B583:F583"/>
    <mergeCell ref="J584:N584"/>
    <mergeCell ref="J583:N583"/>
    <mergeCell ref="Q586:R586"/>
    <mergeCell ref="N208:O208"/>
    <mergeCell ref="P234:Q234"/>
    <mergeCell ref="S574:U574"/>
    <mergeCell ref="J564:L564"/>
    <mergeCell ref="M564:O564"/>
    <mergeCell ref="I213:K213"/>
    <mergeCell ref="D214:U214"/>
    <mergeCell ref="N209:O209"/>
    <mergeCell ref="T213:U213"/>
    <mergeCell ref="R216:S216"/>
    <mergeCell ref="T211:U211"/>
    <mergeCell ref="P211:Q211"/>
    <mergeCell ref="B212:E212"/>
    <mergeCell ref="F212:H212"/>
    <mergeCell ref="F200:H200"/>
    <mergeCell ref="R210:S210"/>
    <mergeCell ref="P212:Q212"/>
    <mergeCell ref="I211:K211"/>
    <mergeCell ref="N217:O217"/>
    <mergeCell ref="N212:O212"/>
    <mergeCell ref="F210:H210"/>
    <mergeCell ref="B215:U215"/>
    <mergeCell ref="R212:S212"/>
    <mergeCell ref="P210:Q210"/>
    <mergeCell ref="B203:E203"/>
    <mergeCell ref="B204:E204"/>
    <mergeCell ref="B205:E205"/>
    <mergeCell ref="B206:E206"/>
    <mergeCell ref="F203:H203"/>
    <mergeCell ref="R203:S203"/>
    <mergeCell ref="F205:H205"/>
    <mergeCell ref="B216:E216"/>
    <mergeCell ref="B217:E217"/>
    <mergeCell ref="P203:Q203"/>
    <mergeCell ref="P204:Q204"/>
    <mergeCell ref="I203:K203"/>
    <mergeCell ref="I212:K212"/>
    <mergeCell ref="B234:E234"/>
    <mergeCell ref="I200:K200"/>
    <mergeCell ref="B209:E209"/>
    <mergeCell ref="B210:E210"/>
    <mergeCell ref="B211:E211"/>
    <mergeCell ref="F206:H206"/>
    <mergeCell ref="F204:H204"/>
    <mergeCell ref="F231:H231"/>
    <mergeCell ref="I233:K233"/>
    <mergeCell ref="I209:K209"/>
    <mergeCell ref="T322:U322"/>
    <mergeCell ref="R328:S328"/>
    <mergeCell ref="R329:S329"/>
    <mergeCell ref="R321:S321"/>
    <mergeCell ref="R256:S256"/>
    <mergeCell ref="T324:U324"/>
    <mergeCell ref="T325:U325"/>
    <mergeCell ref="R319:S319"/>
    <mergeCell ref="T320:U320"/>
    <mergeCell ref="R258:S258"/>
    <mergeCell ref="R252:S252"/>
    <mergeCell ref="B245:U245"/>
    <mergeCell ref="B238:E238"/>
    <mergeCell ref="B246:E246"/>
    <mergeCell ref="B239:E239"/>
    <mergeCell ref="R237:S237"/>
    <mergeCell ref="B237:E237"/>
    <mergeCell ref="R251:S251"/>
    <mergeCell ref="R240:S240"/>
    <mergeCell ref="R248:S248"/>
    <mergeCell ref="L327:M327"/>
    <mergeCell ref="R254:S254"/>
    <mergeCell ref="N474:P474"/>
    <mergeCell ref="S578:U578"/>
    <mergeCell ref="M570:O570"/>
    <mergeCell ref="T332:U332"/>
    <mergeCell ref="T331:U331"/>
    <mergeCell ref="R257:S257"/>
    <mergeCell ref="T326:U326"/>
    <mergeCell ref="T327:U327"/>
    <mergeCell ref="N327:O327"/>
    <mergeCell ref="T323:U323"/>
    <mergeCell ref="T328:U328"/>
    <mergeCell ref="T321:U321"/>
    <mergeCell ref="N331:O331"/>
    <mergeCell ref="N322:O322"/>
    <mergeCell ref="N310:O310"/>
    <mergeCell ref="T319:U319"/>
    <mergeCell ref="T311:U311"/>
    <mergeCell ref="T313:U313"/>
    <mergeCell ref="T317:U317"/>
    <mergeCell ref="N294:O294"/>
    <mergeCell ref="R298:S298"/>
    <mergeCell ref="N309:O309"/>
    <mergeCell ref="R308:S308"/>
    <mergeCell ref="R293:S293"/>
    <mergeCell ref="R275:S275"/>
    <mergeCell ref="N330:O330"/>
    <mergeCell ref="S560:U560"/>
    <mergeCell ref="S558:U558"/>
    <mergeCell ref="M548:O548"/>
    <mergeCell ref="M562:O562"/>
    <mergeCell ref="N328:O328"/>
    <mergeCell ref="R324:S324"/>
    <mergeCell ref="Q594:R594"/>
    <mergeCell ref="S577:U577"/>
    <mergeCell ref="S568:U568"/>
    <mergeCell ref="S575:U575"/>
    <mergeCell ref="S594:T594"/>
    <mergeCell ref="Q584:R584"/>
    <mergeCell ref="T330:U330"/>
    <mergeCell ref="S545:U545"/>
    <mergeCell ref="T343:U343"/>
    <mergeCell ref="T344:U344"/>
    <mergeCell ref="S559:U559"/>
    <mergeCell ref="P557:R557"/>
    <mergeCell ref="R334:S334"/>
    <mergeCell ref="R339:S339"/>
    <mergeCell ref="T419:V419"/>
    <mergeCell ref="T335:U335"/>
    <mergeCell ref="T337:U337"/>
    <mergeCell ref="Q526:S526"/>
    <mergeCell ref="Q528:S528"/>
    <mergeCell ref="Q523:S523"/>
    <mergeCell ref="R412:S412"/>
    <mergeCell ref="T414:U414"/>
    <mergeCell ref="R414:S414"/>
    <mergeCell ref="T349:U349"/>
    <mergeCell ref="P560:R560"/>
    <mergeCell ref="R333:S333"/>
    <mergeCell ref="R336:S336"/>
    <mergeCell ref="N422:P422"/>
    <mergeCell ref="S557:U557"/>
    <mergeCell ref="S547:U547"/>
    <mergeCell ref="N334:O334"/>
    <mergeCell ref="R337:S337"/>
    <mergeCell ref="G586:I586"/>
    <mergeCell ref="N430:P430"/>
    <mergeCell ref="J558:L558"/>
    <mergeCell ref="N502:P502"/>
    <mergeCell ref="J557:L557"/>
    <mergeCell ref="S549:U549"/>
    <mergeCell ref="W585:X585"/>
    <mergeCell ref="T336:U336"/>
    <mergeCell ref="T769:U769"/>
    <mergeCell ref="F406:H406"/>
    <mergeCell ref="F407:H407"/>
    <mergeCell ref="Q600:R600"/>
    <mergeCell ref="T701:U702"/>
    <mergeCell ref="R701:S702"/>
    <mergeCell ref="P701:Q703"/>
    <mergeCell ref="S696:U696"/>
    <mergeCell ref="P693:R693"/>
    <mergeCell ref="R703:S703"/>
    <mergeCell ref="T703:U703"/>
    <mergeCell ref="P694:R694"/>
    <mergeCell ref="S694:U694"/>
    <mergeCell ref="S695:U695"/>
    <mergeCell ref="J600:N600"/>
    <mergeCell ref="O600:P600"/>
    <mergeCell ref="S561:U561"/>
    <mergeCell ref="S566:U566"/>
    <mergeCell ref="F752:H752"/>
    <mergeCell ref="B677:F677"/>
    <mergeCell ref="G677:I677"/>
    <mergeCell ref="B681:I681"/>
    <mergeCell ref="V695:X695"/>
    <mergeCell ref="V694:X694"/>
    <mergeCell ref="B702:E703"/>
    <mergeCell ref="I249:K249"/>
    <mergeCell ref="F704:H704"/>
    <mergeCell ref="B587:F587"/>
    <mergeCell ref="J571:L571"/>
    <mergeCell ref="J560:L560"/>
    <mergeCell ref="F249:H249"/>
    <mergeCell ref="I385:K385"/>
    <mergeCell ref="I386:K386"/>
    <mergeCell ref="F756:H756"/>
    <mergeCell ref="F749:H749"/>
    <mergeCell ref="F753:H753"/>
    <mergeCell ref="F755:H755"/>
    <mergeCell ref="S544:U544"/>
    <mergeCell ref="P558:R558"/>
    <mergeCell ref="K529:M529"/>
    <mergeCell ref="N529:P529"/>
    <mergeCell ref="N488:P488"/>
    <mergeCell ref="U594:V594"/>
    <mergeCell ref="P562:R562"/>
    <mergeCell ref="O584:P584"/>
    <mergeCell ref="S586:T586"/>
    <mergeCell ref="S584:T584"/>
    <mergeCell ref="U582:V582"/>
    <mergeCell ref="S563:U563"/>
    <mergeCell ref="F403:H403"/>
    <mergeCell ref="F404:H404"/>
    <mergeCell ref="F405:H405"/>
    <mergeCell ref="U615:V615"/>
    <mergeCell ref="U611:V611"/>
    <mergeCell ref="B700:U700"/>
    <mergeCell ref="B687:I687"/>
    <mergeCell ref="B235:E235"/>
    <mergeCell ref="N200:O200"/>
    <mergeCell ref="N201:O201"/>
    <mergeCell ref="R234:S234"/>
    <mergeCell ref="N238:O238"/>
    <mergeCell ref="R235:S235"/>
    <mergeCell ref="O582:P582"/>
    <mergeCell ref="P695:R695"/>
    <mergeCell ref="I380:K380"/>
    <mergeCell ref="AC1029:AE1029"/>
    <mergeCell ref="Z1026:AB1026"/>
    <mergeCell ref="Z1027:AB1027"/>
    <mergeCell ref="AC1026:AE1026"/>
    <mergeCell ref="AC1027:AE1027"/>
    <mergeCell ref="R708:S708"/>
    <mergeCell ref="P920:R920"/>
    <mergeCell ref="P923:R923"/>
    <mergeCell ref="P921:R921"/>
    <mergeCell ref="P889:R889"/>
    <mergeCell ref="U595:V595"/>
    <mergeCell ref="V696:X696"/>
    <mergeCell ref="T329:U329"/>
    <mergeCell ref="AC1025:AE1025"/>
    <mergeCell ref="V693:X693"/>
    <mergeCell ref="T709:U709"/>
    <mergeCell ref="W586:X586"/>
    <mergeCell ref="F770:H770"/>
    <mergeCell ref="I770:K770"/>
    <mergeCell ref="L770:M770"/>
    <mergeCell ref="N770:O770"/>
    <mergeCell ref="P770:Q770"/>
    <mergeCell ref="R770:S770"/>
    <mergeCell ref="L702:M702"/>
    <mergeCell ref="F701:H703"/>
    <mergeCell ref="I701:M701"/>
    <mergeCell ref="J684:L684"/>
    <mergeCell ref="AC1028:AE1028"/>
    <mergeCell ref="J938:L938"/>
    <mergeCell ref="J936:L936"/>
    <mergeCell ref="J937:L937"/>
    <mergeCell ref="M937:O937"/>
    <mergeCell ref="J695:L695"/>
    <mergeCell ref="N817:O817"/>
    <mergeCell ref="I809:K809"/>
    <mergeCell ref="I866:K866"/>
    <mergeCell ref="L809:M809"/>
    <mergeCell ref="N809:O809"/>
    <mergeCell ref="I815:K815"/>
    <mergeCell ref="L815:M815"/>
    <mergeCell ref="I789:K789"/>
    <mergeCell ref="M894:O894"/>
    <mergeCell ref="F772:H772"/>
    <mergeCell ref="T774:U774"/>
    <mergeCell ref="F775:H775"/>
    <mergeCell ref="R775:S775"/>
    <mergeCell ref="L772:M772"/>
    <mergeCell ref="L774:M774"/>
    <mergeCell ref="N774:O774"/>
    <mergeCell ref="P774:Q774"/>
    <mergeCell ref="T776:U776"/>
    <mergeCell ref="T777:U777"/>
    <mergeCell ref="R780:S780"/>
    <mergeCell ref="T778:U778"/>
    <mergeCell ref="F779:H779"/>
    <mergeCell ref="I779:K779"/>
    <mergeCell ref="L779:M779"/>
    <mergeCell ref="N779:O779"/>
    <mergeCell ref="P779:Q779"/>
    <mergeCell ref="T780:U780"/>
    <mergeCell ref="I775:K775"/>
    <mergeCell ref="L776:M776"/>
    <mergeCell ref="T779:U779"/>
    <mergeCell ref="F778:H778"/>
    <mergeCell ref="I778:K778"/>
    <mergeCell ref="L778:M778"/>
    <mergeCell ref="N778:O778"/>
    <mergeCell ref="P778:Q778"/>
    <mergeCell ref="R778:S778"/>
    <mergeCell ref="R779:S779"/>
    <mergeCell ref="P775:Q775"/>
    <mergeCell ref="N776:O776"/>
    <mergeCell ref="L780:M780"/>
    <mergeCell ref="I776:K776"/>
    <mergeCell ref="T782:U782"/>
    <mergeCell ref="F783:H783"/>
    <mergeCell ref="I783:K783"/>
    <mergeCell ref="L783:M783"/>
    <mergeCell ref="N783:O783"/>
    <mergeCell ref="P783:Q783"/>
    <mergeCell ref="T784:U784"/>
    <mergeCell ref="T781:U781"/>
    <mergeCell ref="F780:H780"/>
    <mergeCell ref="I780:K780"/>
    <mergeCell ref="R783:S783"/>
    <mergeCell ref="T783:U783"/>
    <mergeCell ref="F782:H782"/>
    <mergeCell ref="I782:K782"/>
    <mergeCell ref="L782:M782"/>
    <mergeCell ref="N782:O782"/>
    <mergeCell ref="P782:Q782"/>
    <mergeCell ref="F781:H781"/>
    <mergeCell ref="I781:K781"/>
    <mergeCell ref="L781:M781"/>
    <mergeCell ref="N781:O781"/>
    <mergeCell ref="P781:Q781"/>
    <mergeCell ref="R781:S781"/>
    <mergeCell ref="L784:M784"/>
    <mergeCell ref="T786:U786"/>
    <mergeCell ref="F787:H787"/>
    <mergeCell ref="I787:K787"/>
    <mergeCell ref="L787:M787"/>
    <mergeCell ref="N787:O787"/>
    <mergeCell ref="P787:Q787"/>
    <mergeCell ref="R787:S787"/>
    <mergeCell ref="F789:H789"/>
    <mergeCell ref="T785:U785"/>
    <mergeCell ref="F784:H784"/>
    <mergeCell ref="I784:K784"/>
    <mergeCell ref="T787:U787"/>
    <mergeCell ref="F786:H786"/>
    <mergeCell ref="I786:K786"/>
    <mergeCell ref="L786:M786"/>
    <mergeCell ref="N786:O786"/>
    <mergeCell ref="P786:Q786"/>
    <mergeCell ref="R786:S786"/>
    <mergeCell ref="F785:H785"/>
    <mergeCell ref="I785:K785"/>
    <mergeCell ref="L785:M785"/>
    <mergeCell ref="N785:O785"/>
    <mergeCell ref="P785:Q785"/>
    <mergeCell ref="R785:S785"/>
    <mergeCell ref="N784:O784"/>
    <mergeCell ref="P784:Q784"/>
    <mergeCell ref="R784:S784"/>
    <mergeCell ref="T788:U788"/>
    <mergeCell ref="F788:H788"/>
    <mergeCell ref="T790:U790"/>
    <mergeCell ref="L789:M789"/>
    <mergeCell ref="N789:O789"/>
    <mergeCell ref="P789:Q789"/>
    <mergeCell ref="R789:S789"/>
    <mergeCell ref="F791:H791"/>
    <mergeCell ref="I791:K791"/>
    <mergeCell ref="L791:M791"/>
    <mergeCell ref="N791:O791"/>
    <mergeCell ref="P791:Q791"/>
    <mergeCell ref="T791:U791"/>
    <mergeCell ref="F790:H790"/>
    <mergeCell ref="I790:K790"/>
    <mergeCell ref="L790:M790"/>
    <mergeCell ref="N790:O790"/>
    <mergeCell ref="P790:Q790"/>
    <mergeCell ref="R790:S790"/>
    <mergeCell ref="T789:U789"/>
    <mergeCell ref="T794:U794"/>
    <mergeCell ref="F795:H795"/>
    <mergeCell ref="I795:K795"/>
    <mergeCell ref="L795:M795"/>
    <mergeCell ref="N795:O795"/>
    <mergeCell ref="P795:Q795"/>
    <mergeCell ref="R795:S795"/>
    <mergeCell ref="T795:U795"/>
    <mergeCell ref="F794:H794"/>
    <mergeCell ref="I794:K794"/>
    <mergeCell ref="L794:M794"/>
    <mergeCell ref="N794:O794"/>
    <mergeCell ref="P794:Q794"/>
    <mergeCell ref="R794:S794"/>
    <mergeCell ref="T792:U792"/>
    <mergeCell ref="F793:H793"/>
    <mergeCell ref="I793:K793"/>
    <mergeCell ref="L793:M793"/>
    <mergeCell ref="N793:O793"/>
    <mergeCell ref="P793:Q793"/>
    <mergeCell ref="R793:S793"/>
    <mergeCell ref="T793:U793"/>
    <mergeCell ref="F792:H792"/>
    <mergeCell ref="I792:K792"/>
    <mergeCell ref="L792:M792"/>
    <mergeCell ref="N792:O792"/>
    <mergeCell ref="P792:Q792"/>
    <mergeCell ref="R792:S792"/>
    <mergeCell ref="T798:U798"/>
    <mergeCell ref="F799:H799"/>
    <mergeCell ref="I799:K799"/>
    <mergeCell ref="L799:M799"/>
    <mergeCell ref="N799:O799"/>
    <mergeCell ref="P799:Q799"/>
    <mergeCell ref="R799:S799"/>
    <mergeCell ref="T799:U799"/>
    <mergeCell ref="F798:H798"/>
    <mergeCell ref="I798:K798"/>
    <mergeCell ref="L798:M798"/>
    <mergeCell ref="N798:O798"/>
    <mergeCell ref="P798:Q798"/>
    <mergeCell ref="R798:S798"/>
    <mergeCell ref="T796:U796"/>
    <mergeCell ref="F797:H797"/>
    <mergeCell ref="I797:K797"/>
    <mergeCell ref="L797:M797"/>
    <mergeCell ref="N797:O797"/>
    <mergeCell ref="P797:Q797"/>
    <mergeCell ref="R797:S797"/>
    <mergeCell ref="T797:U797"/>
    <mergeCell ref="F796:H796"/>
    <mergeCell ref="I796:K796"/>
    <mergeCell ref="L796:M796"/>
    <mergeCell ref="N796:O796"/>
    <mergeCell ref="P796:Q796"/>
    <mergeCell ref="R796:S796"/>
    <mergeCell ref="T802:U802"/>
    <mergeCell ref="F803:H803"/>
    <mergeCell ref="I803:K803"/>
    <mergeCell ref="L803:M803"/>
    <mergeCell ref="N803:O803"/>
    <mergeCell ref="P803:Q803"/>
    <mergeCell ref="R803:S803"/>
    <mergeCell ref="T803:U803"/>
    <mergeCell ref="F802:H802"/>
    <mergeCell ref="I802:K802"/>
    <mergeCell ref="L802:M802"/>
    <mergeCell ref="N802:O802"/>
    <mergeCell ref="P802:Q802"/>
    <mergeCell ref="R802:S802"/>
    <mergeCell ref="L804:M804"/>
    <mergeCell ref="T800:U800"/>
    <mergeCell ref="F801:H801"/>
    <mergeCell ref="I801:K801"/>
    <mergeCell ref="L801:M801"/>
    <mergeCell ref="N801:O801"/>
    <mergeCell ref="P801:Q801"/>
    <mergeCell ref="R801:S801"/>
    <mergeCell ref="T801:U801"/>
    <mergeCell ref="F800:H800"/>
    <mergeCell ref="I800:K800"/>
    <mergeCell ref="L800:M800"/>
    <mergeCell ref="N800:O800"/>
    <mergeCell ref="P800:Q800"/>
    <mergeCell ref="R800:S800"/>
    <mergeCell ref="T806:U806"/>
    <mergeCell ref="R807:S807"/>
    <mergeCell ref="T807:U807"/>
    <mergeCell ref="F806:H806"/>
    <mergeCell ref="I806:K806"/>
    <mergeCell ref="L806:M806"/>
    <mergeCell ref="N806:O806"/>
    <mergeCell ref="P806:Q806"/>
    <mergeCell ref="F807:H807"/>
    <mergeCell ref="I807:K807"/>
    <mergeCell ref="R806:S806"/>
    <mergeCell ref="F811:H811"/>
    <mergeCell ref="I811:K811"/>
    <mergeCell ref="L811:M811"/>
    <mergeCell ref="N811:O811"/>
    <mergeCell ref="P811:Q811"/>
    <mergeCell ref="T804:U804"/>
    <mergeCell ref="F805:H805"/>
    <mergeCell ref="I805:K805"/>
    <mergeCell ref="L805:M805"/>
    <mergeCell ref="N805:O805"/>
    <mergeCell ref="P805:Q805"/>
    <mergeCell ref="R805:S805"/>
    <mergeCell ref="T805:U805"/>
    <mergeCell ref="F804:H804"/>
    <mergeCell ref="I804:K804"/>
    <mergeCell ref="N804:O804"/>
    <mergeCell ref="P804:Q804"/>
    <mergeCell ref="R804:S804"/>
    <mergeCell ref="T812:U812"/>
    <mergeCell ref="L812:M812"/>
    <mergeCell ref="N812:O812"/>
    <mergeCell ref="R812:S812"/>
    <mergeCell ref="T810:U810"/>
    <mergeCell ref="T809:U809"/>
    <mergeCell ref="F808:H808"/>
    <mergeCell ref="I808:K808"/>
    <mergeCell ref="R811:S811"/>
    <mergeCell ref="T811:U811"/>
    <mergeCell ref="F810:H810"/>
    <mergeCell ref="I810:K810"/>
    <mergeCell ref="L810:M810"/>
    <mergeCell ref="F809:H809"/>
    <mergeCell ref="P809:Q809"/>
    <mergeCell ref="R809:S809"/>
    <mergeCell ref="T813:U813"/>
    <mergeCell ref="F812:H812"/>
    <mergeCell ref="I812:K812"/>
    <mergeCell ref="F813:H813"/>
    <mergeCell ref="I813:K813"/>
    <mergeCell ref="L813:M813"/>
    <mergeCell ref="N813:O813"/>
    <mergeCell ref="P813:Q813"/>
    <mergeCell ref="P812:Q812"/>
    <mergeCell ref="N810:O810"/>
    <mergeCell ref="R813:S813"/>
    <mergeCell ref="R810:S810"/>
    <mergeCell ref="T808:U808"/>
    <mergeCell ref="L808:M808"/>
    <mergeCell ref="N808:O808"/>
    <mergeCell ref="P808:Q808"/>
    <mergeCell ref="T976:U976"/>
    <mergeCell ref="R974:S974"/>
    <mergeCell ref="R977:S977"/>
    <mergeCell ref="R978:S978"/>
    <mergeCell ref="R979:S979"/>
    <mergeCell ref="T964:U964"/>
    <mergeCell ref="F821:H821"/>
    <mergeCell ref="G954:J954"/>
    <mergeCell ref="F817:H817"/>
    <mergeCell ref="N974:O974"/>
    <mergeCell ref="F959:H961"/>
    <mergeCell ref="B950:O950"/>
    <mergeCell ref="B949:E949"/>
    <mergeCell ref="B953:F953"/>
    <mergeCell ref="I959:M959"/>
    <mergeCell ref="N978:O978"/>
    <mergeCell ref="N966:O966"/>
    <mergeCell ref="L861:M861"/>
    <mergeCell ref="M936:O936"/>
    <mergeCell ref="N819:O819"/>
    <mergeCell ref="I818:K818"/>
    <mergeCell ref="L818:M818"/>
    <mergeCell ref="N818:O818"/>
    <mergeCell ref="P818:Q818"/>
    <mergeCell ref="R818:S818"/>
    <mergeCell ref="J891:L891"/>
    <mergeCell ref="M891:O891"/>
    <mergeCell ref="P891:R891"/>
    <mergeCell ref="N972:O972"/>
    <mergeCell ref="M938:O938"/>
    <mergeCell ref="T862:U862"/>
    <mergeCell ref="B864:E864"/>
    <mergeCell ref="T815:U815"/>
    <mergeCell ref="F816:H816"/>
    <mergeCell ref="I816:K816"/>
    <mergeCell ref="L816:M816"/>
    <mergeCell ref="N816:O816"/>
    <mergeCell ref="F986:H986"/>
    <mergeCell ref="R817:S817"/>
    <mergeCell ref="T817:U817"/>
    <mergeCell ref="P819:Q819"/>
    <mergeCell ref="N983:O983"/>
    <mergeCell ref="N984:O984"/>
    <mergeCell ref="N985:O985"/>
    <mergeCell ref="N980:O980"/>
    <mergeCell ref="N981:O981"/>
    <mergeCell ref="N982:O982"/>
    <mergeCell ref="M943:O943"/>
    <mergeCell ref="T981:U981"/>
    <mergeCell ref="R976:S976"/>
    <mergeCell ref="R973:S973"/>
    <mergeCell ref="P816:Q816"/>
    <mergeCell ref="R816:S816"/>
    <mergeCell ref="T816:U816"/>
    <mergeCell ref="T818:U818"/>
    <mergeCell ref="T820:U820"/>
    <mergeCell ref="T822:U822"/>
    <mergeCell ref="P817:Q817"/>
    <mergeCell ref="R980:S980"/>
    <mergeCell ref="R981:S981"/>
    <mergeCell ref="P901:R901"/>
    <mergeCell ref="J911:L911"/>
    <mergeCell ref="J885:L885"/>
    <mergeCell ref="J879:L879"/>
    <mergeCell ref="P994:Q994"/>
    <mergeCell ref="F993:H993"/>
    <mergeCell ref="I993:K993"/>
    <mergeCell ref="L993:M993"/>
    <mergeCell ref="N993:O993"/>
    <mergeCell ref="P993:Q993"/>
    <mergeCell ref="R995:S995"/>
    <mergeCell ref="T993:U993"/>
    <mergeCell ref="R994:S994"/>
    <mergeCell ref="T994:U994"/>
    <mergeCell ref="T995:U995"/>
    <mergeCell ref="B994:E994"/>
    <mergeCell ref="F994:H994"/>
    <mergeCell ref="I994:K994"/>
    <mergeCell ref="L994:M994"/>
    <mergeCell ref="N994:O994"/>
    <mergeCell ref="B996:E996"/>
    <mergeCell ref="N996:O996"/>
    <mergeCell ref="P996:Q996"/>
    <mergeCell ref="I995:K995"/>
    <mergeCell ref="L995:M995"/>
    <mergeCell ref="N995:O995"/>
    <mergeCell ref="P995:Q995"/>
    <mergeCell ref="R996:S996"/>
    <mergeCell ref="T996:U996"/>
    <mergeCell ref="F995:H995"/>
    <mergeCell ref="B993:E993"/>
    <mergeCell ref="B995:E995"/>
    <mergeCell ref="T992:U992"/>
    <mergeCell ref="T990:U990"/>
    <mergeCell ref="R861:S861"/>
    <mergeCell ref="T861:U861"/>
    <mergeCell ref="J893:L893"/>
    <mergeCell ref="M893:O893"/>
    <mergeCell ref="L990:M990"/>
    <mergeCell ref="I982:K982"/>
    <mergeCell ref="I983:K983"/>
    <mergeCell ref="N979:O979"/>
    <mergeCell ref="R993:S993"/>
    <mergeCell ref="R991:S991"/>
    <mergeCell ref="T991:U991"/>
    <mergeCell ref="B992:E992"/>
    <mergeCell ref="F992:H992"/>
    <mergeCell ref="I992:K992"/>
    <mergeCell ref="L992:M992"/>
    <mergeCell ref="N992:O992"/>
    <mergeCell ref="P992:Q992"/>
    <mergeCell ref="R992:S992"/>
    <mergeCell ref="B986:E986"/>
    <mergeCell ref="F983:H983"/>
    <mergeCell ref="F984:H984"/>
    <mergeCell ref="F985:H985"/>
    <mergeCell ref="B991:E991"/>
    <mergeCell ref="I980:K980"/>
    <mergeCell ref="I981:K981"/>
    <mergeCell ref="F977:H977"/>
    <mergeCell ref="F979:H979"/>
    <mergeCell ref="B984:E984"/>
    <mergeCell ref="B985:E985"/>
    <mergeCell ref="F981:H981"/>
    <mergeCell ref="P815:Q815"/>
    <mergeCell ref="N977:O977"/>
    <mergeCell ref="L960:M960"/>
    <mergeCell ref="N975:O975"/>
    <mergeCell ref="N970:O970"/>
    <mergeCell ref="B990:E990"/>
    <mergeCell ref="N991:O991"/>
    <mergeCell ref="F987:H987"/>
    <mergeCell ref="N989:O989"/>
    <mergeCell ref="N987:O987"/>
    <mergeCell ref="L987:M987"/>
    <mergeCell ref="F990:H990"/>
    <mergeCell ref="F818:H818"/>
    <mergeCell ref="B975:E975"/>
    <mergeCell ref="B976:E976"/>
    <mergeCell ref="B977:E977"/>
    <mergeCell ref="B978:E978"/>
    <mergeCell ref="B980:E980"/>
    <mergeCell ref="B983:E983"/>
    <mergeCell ref="B982:E982"/>
    <mergeCell ref="N986:O986"/>
    <mergeCell ref="P984:Q984"/>
    <mergeCell ref="P985:Q985"/>
    <mergeCell ref="P986:Q986"/>
    <mergeCell ref="J907:L907"/>
    <mergeCell ref="J900:L900"/>
    <mergeCell ref="I817:K817"/>
    <mergeCell ref="P933:R933"/>
    <mergeCell ref="P930:R930"/>
    <mergeCell ref="P991:Q991"/>
    <mergeCell ref="I861:K861"/>
    <mergeCell ref="N861:O861"/>
    <mergeCell ref="N815:O815"/>
    <mergeCell ref="M896:O896"/>
    <mergeCell ref="M895:O895"/>
    <mergeCell ref="J892:L892"/>
    <mergeCell ref="B894:L894"/>
    <mergeCell ref="M900:O900"/>
    <mergeCell ref="J902:L902"/>
    <mergeCell ref="M872:O872"/>
    <mergeCell ref="J872:L872"/>
    <mergeCell ref="M876:O876"/>
    <mergeCell ref="P870:R870"/>
    <mergeCell ref="B869:E870"/>
    <mergeCell ref="N971:O971"/>
    <mergeCell ref="L825:M825"/>
    <mergeCell ref="I990:K990"/>
    <mergeCell ref="F989:H989"/>
    <mergeCell ref="B989:E989"/>
    <mergeCell ref="F862:H862"/>
    <mergeCell ref="P908:R908"/>
    <mergeCell ref="J889:L889"/>
    <mergeCell ref="M889:O889"/>
    <mergeCell ref="N990:O990"/>
    <mergeCell ref="P990:Q990"/>
    <mergeCell ref="R990:S990"/>
    <mergeCell ref="F982:H982"/>
    <mergeCell ref="I984:K984"/>
    <mergeCell ref="I978:K978"/>
    <mergeCell ref="B987:E987"/>
    <mergeCell ref="I988:K988"/>
    <mergeCell ref="P937:R937"/>
    <mergeCell ref="R819:S819"/>
    <mergeCell ref="M925:O925"/>
    <mergeCell ref="M897:O897"/>
    <mergeCell ref="M911:O911"/>
    <mergeCell ref="J909:L909"/>
    <mergeCell ref="P810:Q810"/>
    <mergeCell ref="I821:K821"/>
    <mergeCell ref="L821:M821"/>
    <mergeCell ref="R999:S999"/>
    <mergeCell ref="T999:U999"/>
    <mergeCell ref="B1000:E1000"/>
    <mergeCell ref="F1000:H1000"/>
    <mergeCell ref="I1000:K1000"/>
    <mergeCell ref="L1000:M1000"/>
    <mergeCell ref="N1000:O1000"/>
    <mergeCell ref="P1000:Q1000"/>
    <mergeCell ref="R1000:S1000"/>
    <mergeCell ref="T1000:U1000"/>
    <mergeCell ref="B999:E999"/>
    <mergeCell ref="F999:H999"/>
    <mergeCell ref="I999:K999"/>
    <mergeCell ref="L999:M999"/>
    <mergeCell ref="N999:O999"/>
    <mergeCell ref="P999:Q999"/>
    <mergeCell ref="R997:S997"/>
    <mergeCell ref="T997:U997"/>
    <mergeCell ref="B998:E998"/>
    <mergeCell ref="F998:H998"/>
    <mergeCell ref="I991:K991"/>
    <mergeCell ref="I989:K989"/>
    <mergeCell ref="I998:K998"/>
    <mergeCell ref="L998:M998"/>
    <mergeCell ref="N998:O998"/>
    <mergeCell ref="P998:Q998"/>
    <mergeCell ref="T998:U998"/>
    <mergeCell ref="B997:E997"/>
    <mergeCell ref="F997:H997"/>
    <mergeCell ref="I997:K997"/>
    <mergeCell ref="L997:M997"/>
    <mergeCell ref="N997:O997"/>
    <mergeCell ref="P997:Q997"/>
    <mergeCell ref="R1003:S1003"/>
    <mergeCell ref="T1003:U1003"/>
    <mergeCell ref="B1004:E1004"/>
    <mergeCell ref="F1004:H1004"/>
    <mergeCell ref="I1004:K1004"/>
    <mergeCell ref="L1004:M1004"/>
    <mergeCell ref="N1004:O1004"/>
    <mergeCell ref="P1004:Q1004"/>
    <mergeCell ref="R1004:S1004"/>
    <mergeCell ref="T1004:U1004"/>
    <mergeCell ref="B1003:E1003"/>
    <mergeCell ref="F1003:H1003"/>
    <mergeCell ref="I1003:K1003"/>
    <mergeCell ref="L1003:M1003"/>
    <mergeCell ref="N1003:O1003"/>
    <mergeCell ref="P1003:Q1003"/>
    <mergeCell ref="R1001:S1001"/>
    <mergeCell ref="T1001:U1001"/>
    <mergeCell ref="B1002:E1002"/>
    <mergeCell ref="F1002:H1002"/>
    <mergeCell ref="I1002:K1002"/>
    <mergeCell ref="L1002:M1002"/>
    <mergeCell ref="N1002:O1002"/>
    <mergeCell ref="P1002:Q1002"/>
    <mergeCell ref="R1002:S1002"/>
    <mergeCell ref="T1002:U1002"/>
    <mergeCell ref="B1001:E1001"/>
    <mergeCell ref="F1001:H1001"/>
    <mergeCell ref="I1001:K1001"/>
    <mergeCell ref="L1001:M1001"/>
    <mergeCell ref="N1001:O1001"/>
    <mergeCell ref="P1001:Q1001"/>
    <mergeCell ref="R1007:S1007"/>
    <mergeCell ref="T1007:U1007"/>
    <mergeCell ref="B1008:E1008"/>
    <mergeCell ref="F1008:H1008"/>
    <mergeCell ref="I1008:K1008"/>
    <mergeCell ref="L1008:M1008"/>
    <mergeCell ref="N1008:O1008"/>
    <mergeCell ref="P1008:Q1008"/>
    <mergeCell ref="R1008:S1008"/>
    <mergeCell ref="T1008:U1008"/>
    <mergeCell ref="B1007:E1007"/>
    <mergeCell ref="F1007:H1007"/>
    <mergeCell ref="I1007:K1007"/>
    <mergeCell ref="L1007:M1007"/>
    <mergeCell ref="N1007:O1007"/>
    <mergeCell ref="P1007:Q1007"/>
    <mergeCell ref="R1005:S1005"/>
    <mergeCell ref="T1005:U1005"/>
    <mergeCell ref="B1006:E1006"/>
    <mergeCell ref="F1006:H1006"/>
    <mergeCell ref="I1006:K1006"/>
    <mergeCell ref="L1006:M1006"/>
    <mergeCell ref="N1006:O1006"/>
    <mergeCell ref="P1006:Q1006"/>
    <mergeCell ref="R1006:S1006"/>
    <mergeCell ref="T1006:U1006"/>
    <mergeCell ref="B1005:E1005"/>
    <mergeCell ref="F1005:H1005"/>
    <mergeCell ref="I1005:K1005"/>
    <mergeCell ref="L1005:M1005"/>
    <mergeCell ref="N1005:O1005"/>
    <mergeCell ref="P1005:Q1005"/>
    <mergeCell ref="R1011:S1011"/>
    <mergeCell ref="T1011:U1011"/>
    <mergeCell ref="B1012:E1012"/>
    <mergeCell ref="F1012:H1012"/>
    <mergeCell ref="I1012:K1012"/>
    <mergeCell ref="L1012:M1012"/>
    <mergeCell ref="N1012:O1012"/>
    <mergeCell ref="P1012:Q1012"/>
    <mergeCell ref="R1012:S1012"/>
    <mergeCell ref="T1012:U1012"/>
    <mergeCell ref="B1011:E1011"/>
    <mergeCell ref="F1011:H1011"/>
    <mergeCell ref="I1011:K1011"/>
    <mergeCell ref="L1011:M1011"/>
    <mergeCell ref="N1011:O1011"/>
    <mergeCell ref="P1011:Q1011"/>
    <mergeCell ref="R1009:S1009"/>
    <mergeCell ref="T1009:U1009"/>
    <mergeCell ref="B1010:E1010"/>
    <mergeCell ref="F1010:H1010"/>
    <mergeCell ref="I1010:K1010"/>
    <mergeCell ref="L1010:M1010"/>
    <mergeCell ref="N1010:O1010"/>
    <mergeCell ref="P1010:Q1010"/>
    <mergeCell ref="R1010:S1010"/>
    <mergeCell ref="T1010:U1010"/>
    <mergeCell ref="B1009:E1009"/>
    <mergeCell ref="F1009:H1009"/>
    <mergeCell ref="I1009:K1009"/>
    <mergeCell ref="L1009:M1009"/>
    <mergeCell ref="N1009:O1009"/>
    <mergeCell ref="P1009:Q1009"/>
    <mergeCell ref="T1016:U1016"/>
    <mergeCell ref="B1015:E1015"/>
    <mergeCell ref="F1015:H1015"/>
    <mergeCell ref="I1015:K1015"/>
    <mergeCell ref="L1015:M1015"/>
    <mergeCell ref="N1015:O1015"/>
    <mergeCell ref="P1015:Q1015"/>
    <mergeCell ref="R1013:S1013"/>
    <mergeCell ref="T1013:U1013"/>
    <mergeCell ref="B1014:E1014"/>
    <mergeCell ref="F1014:H1014"/>
    <mergeCell ref="I1014:K1014"/>
    <mergeCell ref="L1014:M1014"/>
    <mergeCell ref="N1014:O1014"/>
    <mergeCell ref="P1014:Q1014"/>
    <mergeCell ref="R1014:S1014"/>
    <mergeCell ref="T1014:U1014"/>
    <mergeCell ref="B1013:E1013"/>
    <mergeCell ref="F1013:H1013"/>
    <mergeCell ref="I1013:K1013"/>
    <mergeCell ref="L1013:M1013"/>
    <mergeCell ref="N1013:O1013"/>
    <mergeCell ref="P1013:Q1013"/>
    <mergeCell ref="R982:S982"/>
    <mergeCell ref="P977:Q977"/>
    <mergeCell ref="P978:Q978"/>
    <mergeCell ref="P979:Q979"/>
    <mergeCell ref="P980:Q980"/>
    <mergeCell ref="P981:Q981"/>
    <mergeCell ref="B959:E959"/>
    <mergeCell ref="R1017:S1017"/>
    <mergeCell ref="T1017:U1017"/>
    <mergeCell ref="F814:H814"/>
    <mergeCell ref="I814:K814"/>
    <mergeCell ref="L814:M814"/>
    <mergeCell ref="N814:O814"/>
    <mergeCell ref="P814:Q814"/>
    <mergeCell ref="R814:S814"/>
    <mergeCell ref="T814:U814"/>
    <mergeCell ref="F815:H815"/>
    <mergeCell ref="B1017:E1017"/>
    <mergeCell ref="F1017:H1017"/>
    <mergeCell ref="I1017:K1017"/>
    <mergeCell ref="L1017:M1017"/>
    <mergeCell ref="N1017:O1017"/>
    <mergeCell ref="P1017:Q1017"/>
    <mergeCell ref="R1015:S1015"/>
    <mergeCell ref="T1015:U1015"/>
    <mergeCell ref="B1016:E1016"/>
    <mergeCell ref="F1016:H1016"/>
    <mergeCell ref="I1016:K1016"/>
    <mergeCell ref="L1016:M1016"/>
    <mergeCell ref="N1016:O1016"/>
    <mergeCell ref="P1016:Q1016"/>
    <mergeCell ref="R1016:S1016"/>
    <mergeCell ref="T819:U819"/>
    <mergeCell ref="F820:H820"/>
    <mergeCell ref="I820:K820"/>
    <mergeCell ref="L820:M820"/>
    <mergeCell ref="N820:O820"/>
    <mergeCell ref="P820:Q820"/>
    <mergeCell ref="R820:S820"/>
    <mergeCell ref="T823:U823"/>
    <mergeCell ref="B981:E981"/>
    <mergeCell ref="B979:E979"/>
    <mergeCell ref="B969:E969"/>
    <mergeCell ref="B970:E970"/>
    <mergeCell ref="B971:E971"/>
    <mergeCell ref="B972:E972"/>
    <mergeCell ref="B973:E973"/>
    <mergeCell ref="B974:E974"/>
    <mergeCell ref="F978:H978"/>
    <mergeCell ref="I977:K977"/>
    <mergeCell ref="N821:O821"/>
    <mergeCell ref="P821:Q821"/>
    <mergeCell ref="P876:R876"/>
    <mergeCell ref="J877:L877"/>
    <mergeCell ref="T963:U963"/>
    <mergeCell ref="J871:L871"/>
    <mergeCell ref="J876:L876"/>
    <mergeCell ref="J874:L874"/>
    <mergeCell ref="L862:M862"/>
    <mergeCell ref="T863:U863"/>
    <mergeCell ref="J869:L870"/>
    <mergeCell ref="F824:H824"/>
    <mergeCell ref="I824:K824"/>
    <mergeCell ref="L824:M824"/>
    <mergeCell ref="N824:O824"/>
    <mergeCell ref="P824:Q824"/>
    <mergeCell ref="R824:S824"/>
    <mergeCell ref="F823:H823"/>
    <mergeCell ref="I823:K823"/>
    <mergeCell ref="L823:M823"/>
    <mergeCell ref="N823:O823"/>
    <mergeCell ref="P823:Q823"/>
    <mergeCell ref="R823:S823"/>
    <mergeCell ref="R821:S821"/>
    <mergeCell ref="T821:U821"/>
    <mergeCell ref="F822:H822"/>
    <mergeCell ref="I822:K822"/>
    <mergeCell ref="L822:M822"/>
    <mergeCell ref="N822:O822"/>
    <mergeCell ref="P822:Q822"/>
    <mergeCell ref="R822:S822"/>
    <mergeCell ref="T827:U827"/>
    <mergeCell ref="F828:H828"/>
    <mergeCell ref="I828:K828"/>
    <mergeCell ref="L828:M828"/>
    <mergeCell ref="N828:O828"/>
    <mergeCell ref="P828:Q828"/>
    <mergeCell ref="R828:S828"/>
    <mergeCell ref="T828:U828"/>
    <mergeCell ref="F827:H827"/>
    <mergeCell ref="I827:K827"/>
    <mergeCell ref="L827:M827"/>
    <mergeCell ref="N827:O827"/>
    <mergeCell ref="P827:Q827"/>
    <mergeCell ref="R827:S827"/>
    <mergeCell ref="T825:U825"/>
    <mergeCell ref="F826:H826"/>
    <mergeCell ref="I826:K826"/>
    <mergeCell ref="L826:M826"/>
    <mergeCell ref="N826:O826"/>
    <mergeCell ref="P826:Q826"/>
    <mergeCell ref="R826:S826"/>
    <mergeCell ref="T826:U826"/>
    <mergeCell ref="F825:H825"/>
    <mergeCell ref="I825:K825"/>
    <mergeCell ref="N825:O825"/>
    <mergeCell ref="P825:Q825"/>
    <mergeCell ref="R825:S825"/>
    <mergeCell ref="T831:U831"/>
    <mergeCell ref="F832:H832"/>
    <mergeCell ref="I832:K832"/>
    <mergeCell ref="L832:M832"/>
    <mergeCell ref="N832:O832"/>
    <mergeCell ref="P832:Q832"/>
    <mergeCell ref="R832:S832"/>
    <mergeCell ref="T832:U832"/>
    <mergeCell ref="F831:H831"/>
    <mergeCell ref="I831:K831"/>
    <mergeCell ref="L831:M831"/>
    <mergeCell ref="N831:O831"/>
    <mergeCell ref="P831:Q831"/>
    <mergeCell ref="R831:S831"/>
    <mergeCell ref="T829:U829"/>
    <mergeCell ref="F830:H830"/>
    <mergeCell ref="I830:K830"/>
    <mergeCell ref="L830:M830"/>
    <mergeCell ref="N830:O830"/>
    <mergeCell ref="P830:Q830"/>
    <mergeCell ref="R830:S830"/>
    <mergeCell ref="T830:U830"/>
    <mergeCell ref="F829:H829"/>
    <mergeCell ref="I829:K829"/>
    <mergeCell ref="L829:M829"/>
    <mergeCell ref="N829:O829"/>
    <mergeCell ref="P829:Q829"/>
    <mergeCell ref="R829:S829"/>
    <mergeCell ref="T835:U835"/>
    <mergeCell ref="F836:H836"/>
    <mergeCell ref="I836:K836"/>
    <mergeCell ref="L836:M836"/>
    <mergeCell ref="N836:O836"/>
    <mergeCell ref="P836:Q836"/>
    <mergeCell ref="R836:S836"/>
    <mergeCell ref="T836:U836"/>
    <mergeCell ref="F835:H835"/>
    <mergeCell ref="I835:K835"/>
    <mergeCell ref="L835:M835"/>
    <mergeCell ref="N835:O835"/>
    <mergeCell ref="P835:Q835"/>
    <mergeCell ref="R835:S835"/>
    <mergeCell ref="T833:U833"/>
    <mergeCell ref="F834:H834"/>
    <mergeCell ref="I834:K834"/>
    <mergeCell ref="L834:M834"/>
    <mergeCell ref="N834:O834"/>
    <mergeCell ref="P834:Q834"/>
    <mergeCell ref="R834:S834"/>
    <mergeCell ref="T834:U834"/>
    <mergeCell ref="F833:H833"/>
    <mergeCell ref="I833:K833"/>
    <mergeCell ref="L833:M833"/>
    <mergeCell ref="N833:O833"/>
    <mergeCell ref="P833:Q833"/>
    <mergeCell ref="R833:S833"/>
    <mergeCell ref="T839:U839"/>
    <mergeCell ref="F840:H840"/>
    <mergeCell ref="I840:K840"/>
    <mergeCell ref="L840:M840"/>
    <mergeCell ref="N840:O840"/>
    <mergeCell ref="P840:Q840"/>
    <mergeCell ref="R840:S840"/>
    <mergeCell ref="T840:U840"/>
    <mergeCell ref="F839:H839"/>
    <mergeCell ref="I839:K839"/>
    <mergeCell ref="L839:M839"/>
    <mergeCell ref="N839:O839"/>
    <mergeCell ref="P839:Q839"/>
    <mergeCell ref="R839:S839"/>
    <mergeCell ref="T837:U837"/>
    <mergeCell ref="F838:H838"/>
    <mergeCell ref="I838:K838"/>
    <mergeCell ref="L838:M838"/>
    <mergeCell ref="N838:O838"/>
    <mergeCell ref="P838:Q838"/>
    <mergeCell ref="R838:S838"/>
    <mergeCell ref="T838:U838"/>
    <mergeCell ref="F837:H837"/>
    <mergeCell ref="I837:K837"/>
    <mergeCell ref="L837:M837"/>
    <mergeCell ref="N837:O837"/>
    <mergeCell ref="P837:Q837"/>
    <mergeCell ref="R837:S837"/>
    <mergeCell ref="T843:U843"/>
    <mergeCell ref="F844:H844"/>
    <mergeCell ref="I844:K844"/>
    <mergeCell ref="L844:M844"/>
    <mergeCell ref="N844:O844"/>
    <mergeCell ref="P844:Q844"/>
    <mergeCell ref="R844:S844"/>
    <mergeCell ref="T844:U844"/>
    <mergeCell ref="F843:H843"/>
    <mergeCell ref="I843:K843"/>
    <mergeCell ref="L843:M843"/>
    <mergeCell ref="N843:O843"/>
    <mergeCell ref="P843:Q843"/>
    <mergeCell ref="R843:S843"/>
    <mergeCell ref="T841:U841"/>
    <mergeCell ref="F842:H842"/>
    <mergeCell ref="I842:K842"/>
    <mergeCell ref="L842:M842"/>
    <mergeCell ref="N842:O842"/>
    <mergeCell ref="P842:Q842"/>
    <mergeCell ref="R842:S842"/>
    <mergeCell ref="T842:U842"/>
    <mergeCell ref="F841:H841"/>
    <mergeCell ref="I841:K841"/>
    <mergeCell ref="L841:M841"/>
    <mergeCell ref="N841:O841"/>
    <mergeCell ref="P841:Q841"/>
    <mergeCell ref="R841:S841"/>
    <mergeCell ref="T847:U847"/>
    <mergeCell ref="F848:H848"/>
    <mergeCell ref="I848:K848"/>
    <mergeCell ref="L848:M848"/>
    <mergeCell ref="N848:O848"/>
    <mergeCell ref="P848:Q848"/>
    <mergeCell ref="R848:S848"/>
    <mergeCell ref="T848:U848"/>
    <mergeCell ref="F847:H847"/>
    <mergeCell ref="I847:K847"/>
    <mergeCell ref="L847:M847"/>
    <mergeCell ref="N847:O847"/>
    <mergeCell ref="P847:Q847"/>
    <mergeCell ref="R847:S847"/>
    <mergeCell ref="T845:U845"/>
    <mergeCell ref="F846:H846"/>
    <mergeCell ref="I846:K846"/>
    <mergeCell ref="L846:M846"/>
    <mergeCell ref="N846:O846"/>
    <mergeCell ref="P846:Q846"/>
    <mergeCell ref="R846:S846"/>
    <mergeCell ref="T846:U846"/>
    <mergeCell ref="F845:H845"/>
    <mergeCell ref="I845:K845"/>
    <mergeCell ref="L845:M845"/>
    <mergeCell ref="N845:O845"/>
    <mergeCell ref="P845:Q845"/>
    <mergeCell ref="R845:S845"/>
    <mergeCell ref="T851:U851"/>
    <mergeCell ref="F852:H852"/>
    <mergeCell ref="I852:K852"/>
    <mergeCell ref="L852:M852"/>
    <mergeCell ref="N852:O852"/>
    <mergeCell ref="P852:Q852"/>
    <mergeCell ref="R852:S852"/>
    <mergeCell ref="T852:U852"/>
    <mergeCell ref="F851:H851"/>
    <mergeCell ref="I851:K851"/>
    <mergeCell ref="L851:M851"/>
    <mergeCell ref="N851:O851"/>
    <mergeCell ref="P851:Q851"/>
    <mergeCell ref="R851:S851"/>
    <mergeCell ref="T849:U849"/>
    <mergeCell ref="F850:H850"/>
    <mergeCell ref="I850:K850"/>
    <mergeCell ref="L850:M850"/>
    <mergeCell ref="N850:O850"/>
    <mergeCell ref="P850:Q850"/>
    <mergeCell ref="R850:S850"/>
    <mergeCell ref="T850:U850"/>
    <mergeCell ref="F849:H849"/>
    <mergeCell ref="I849:K849"/>
    <mergeCell ref="L849:M849"/>
    <mergeCell ref="N849:O849"/>
    <mergeCell ref="P849:Q849"/>
    <mergeCell ref="R849:S849"/>
    <mergeCell ref="N855:O855"/>
    <mergeCell ref="P855:Q855"/>
    <mergeCell ref="R855:S855"/>
    <mergeCell ref="T853:U853"/>
    <mergeCell ref="F854:H854"/>
    <mergeCell ref="I854:K854"/>
    <mergeCell ref="L854:M854"/>
    <mergeCell ref="N854:O854"/>
    <mergeCell ref="P854:Q854"/>
    <mergeCell ref="R854:S854"/>
    <mergeCell ref="T854:U854"/>
    <mergeCell ref="F853:H853"/>
    <mergeCell ref="I853:K853"/>
    <mergeCell ref="L853:M853"/>
    <mergeCell ref="N853:O853"/>
    <mergeCell ref="P853:Q853"/>
    <mergeCell ref="R853:S853"/>
    <mergeCell ref="B717:E717"/>
    <mergeCell ref="B718:E718"/>
    <mergeCell ref="B719:E719"/>
    <mergeCell ref="B720:E720"/>
    <mergeCell ref="B721:E721"/>
    <mergeCell ref="B722:E722"/>
    <mergeCell ref="B711:E711"/>
    <mergeCell ref="B712:E712"/>
    <mergeCell ref="B713:E713"/>
    <mergeCell ref="B714:E714"/>
    <mergeCell ref="B715:E715"/>
    <mergeCell ref="B716:E716"/>
    <mergeCell ref="B705:E705"/>
    <mergeCell ref="B706:E706"/>
    <mergeCell ref="B707:E707"/>
    <mergeCell ref="B708:E708"/>
    <mergeCell ref="B709:E709"/>
    <mergeCell ref="B710:E710"/>
    <mergeCell ref="B738:E738"/>
    <mergeCell ref="B739:E739"/>
    <mergeCell ref="B740:E740"/>
    <mergeCell ref="B729:E729"/>
    <mergeCell ref="B730:E730"/>
    <mergeCell ref="B731:E731"/>
    <mergeCell ref="B732:E732"/>
    <mergeCell ref="B733:E733"/>
    <mergeCell ref="B734:E734"/>
    <mergeCell ref="B723:E723"/>
    <mergeCell ref="B724:E724"/>
    <mergeCell ref="B725:E725"/>
    <mergeCell ref="B726:E726"/>
    <mergeCell ref="B727:E727"/>
    <mergeCell ref="B728:E728"/>
    <mergeCell ref="B753:E753"/>
    <mergeCell ref="B754:E754"/>
    <mergeCell ref="B755:E755"/>
    <mergeCell ref="B756:E756"/>
    <mergeCell ref="B757:E757"/>
    <mergeCell ref="B758:E758"/>
    <mergeCell ref="B747:E747"/>
    <mergeCell ref="B748:E748"/>
    <mergeCell ref="B749:E749"/>
    <mergeCell ref="B750:E750"/>
    <mergeCell ref="B751:E751"/>
    <mergeCell ref="B752:E752"/>
    <mergeCell ref="B741:E741"/>
    <mergeCell ref="B742:E742"/>
    <mergeCell ref="B743:E743"/>
    <mergeCell ref="B744:E744"/>
    <mergeCell ref="B745:E745"/>
    <mergeCell ref="B746:E746"/>
    <mergeCell ref="B771:E771"/>
    <mergeCell ref="B772:E772"/>
    <mergeCell ref="B773:E773"/>
    <mergeCell ref="B774:E774"/>
    <mergeCell ref="B775:E775"/>
    <mergeCell ref="B776:E776"/>
    <mergeCell ref="B765:E765"/>
    <mergeCell ref="B766:E766"/>
    <mergeCell ref="B767:E767"/>
    <mergeCell ref="B768:E768"/>
    <mergeCell ref="B769:E769"/>
    <mergeCell ref="B770:E770"/>
    <mergeCell ref="B759:E759"/>
    <mergeCell ref="B760:E760"/>
    <mergeCell ref="B761:E761"/>
    <mergeCell ref="B762:E762"/>
    <mergeCell ref="B763:E763"/>
    <mergeCell ref="B764:E764"/>
    <mergeCell ref="B789:E789"/>
    <mergeCell ref="B790:E790"/>
    <mergeCell ref="B791:E791"/>
    <mergeCell ref="B792:E792"/>
    <mergeCell ref="B793:E793"/>
    <mergeCell ref="B794:E794"/>
    <mergeCell ref="B783:E783"/>
    <mergeCell ref="B784:E784"/>
    <mergeCell ref="B785:E785"/>
    <mergeCell ref="B786:E786"/>
    <mergeCell ref="B787:E787"/>
    <mergeCell ref="B788:E788"/>
    <mergeCell ref="B777:E777"/>
    <mergeCell ref="B778:E778"/>
    <mergeCell ref="B779:E779"/>
    <mergeCell ref="B780:E780"/>
    <mergeCell ref="B781:E781"/>
    <mergeCell ref="B782:E782"/>
    <mergeCell ref="B807:E807"/>
    <mergeCell ref="B808:E808"/>
    <mergeCell ref="B809:E809"/>
    <mergeCell ref="B810:E810"/>
    <mergeCell ref="B811:E811"/>
    <mergeCell ref="B812:E812"/>
    <mergeCell ref="B801:E801"/>
    <mergeCell ref="B802:E802"/>
    <mergeCell ref="B803:E803"/>
    <mergeCell ref="B804:E804"/>
    <mergeCell ref="B805:E805"/>
    <mergeCell ref="B806:E806"/>
    <mergeCell ref="B795:E795"/>
    <mergeCell ref="B796:E796"/>
    <mergeCell ref="B797:E797"/>
    <mergeCell ref="B798:E798"/>
    <mergeCell ref="B799:E799"/>
    <mergeCell ref="B800:E800"/>
    <mergeCell ref="B825:E825"/>
    <mergeCell ref="B826:E826"/>
    <mergeCell ref="B827:E827"/>
    <mergeCell ref="B828:E828"/>
    <mergeCell ref="B829:E829"/>
    <mergeCell ref="B830:E830"/>
    <mergeCell ref="B819:E819"/>
    <mergeCell ref="B820:E820"/>
    <mergeCell ref="B821:E821"/>
    <mergeCell ref="B822:E822"/>
    <mergeCell ref="B823:E823"/>
    <mergeCell ref="B824:E824"/>
    <mergeCell ref="B813:E813"/>
    <mergeCell ref="B814:E814"/>
    <mergeCell ref="B815:E815"/>
    <mergeCell ref="B816:E816"/>
    <mergeCell ref="B817:E817"/>
    <mergeCell ref="B818:E818"/>
    <mergeCell ref="B843:E843"/>
    <mergeCell ref="B844:E844"/>
    <mergeCell ref="B845:E845"/>
    <mergeCell ref="B846:E846"/>
    <mergeCell ref="B847:E847"/>
    <mergeCell ref="B848:E848"/>
    <mergeCell ref="B837:E837"/>
    <mergeCell ref="B838:E838"/>
    <mergeCell ref="B839:E839"/>
    <mergeCell ref="B840:E840"/>
    <mergeCell ref="B841:E841"/>
    <mergeCell ref="B842:E842"/>
    <mergeCell ref="B831:E831"/>
    <mergeCell ref="B832:E832"/>
    <mergeCell ref="B833:E833"/>
    <mergeCell ref="B834:E834"/>
    <mergeCell ref="B835:E835"/>
    <mergeCell ref="B836:E836"/>
    <mergeCell ref="T859:U859"/>
    <mergeCell ref="B861:E861"/>
    <mergeCell ref="B862:E862"/>
    <mergeCell ref="B863:E863"/>
    <mergeCell ref="F859:H859"/>
    <mergeCell ref="I859:K859"/>
    <mergeCell ref="L859:M859"/>
    <mergeCell ref="T860:U860"/>
    <mergeCell ref="F861:H861"/>
    <mergeCell ref="P861:Q861"/>
    <mergeCell ref="B855:E855"/>
    <mergeCell ref="B856:E856"/>
    <mergeCell ref="B857:E857"/>
    <mergeCell ref="B858:E858"/>
    <mergeCell ref="B859:E859"/>
    <mergeCell ref="B860:E860"/>
    <mergeCell ref="T857:U857"/>
    <mergeCell ref="F858:H858"/>
    <mergeCell ref="I858:K858"/>
    <mergeCell ref="L858:M858"/>
    <mergeCell ref="N858:O858"/>
    <mergeCell ref="P858:Q858"/>
    <mergeCell ref="R858:S858"/>
    <mergeCell ref="T858:U858"/>
    <mergeCell ref="F857:H857"/>
    <mergeCell ref="I857:K857"/>
    <mergeCell ref="P857:Q857"/>
    <mergeCell ref="R857:S857"/>
    <mergeCell ref="T855:U855"/>
    <mergeCell ref="F856:H856"/>
    <mergeCell ref="I856:K856"/>
    <mergeCell ref="T856:U856"/>
    <mergeCell ref="B849:E849"/>
    <mergeCell ref="B850:E850"/>
    <mergeCell ref="B851:E851"/>
    <mergeCell ref="B852:E852"/>
    <mergeCell ref="B853:E853"/>
    <mergeCell ref="B854:E854"/>
    <mergeCell ref="P902:R902"/>
    <mergeCell ref="P909:R909"/>
    <mergeCell ref="M903:O903"/>
    <mergeCell ref="M905:O905"/>
    <mergeCell ref="P906:R906"/>
    <mergeCell ref="M909:O909"/>
    <mergeCell ref="M912:O912"/>
    <mergeCell ref="J912:L912"/>
    <mergeCell ref="M922:O922"/>
    <mergeCell ref="P922:R922"/>
    <mergeCell ref="J926:L926"/>
    <mergeCell ref="M926:O926"/>
    <mergeCell ref="P926:R926"/>
    <mergeCell ref="J924:L924"/>
    <mergeCell ref="M924:O924"/>
    <mergeCell ref="P924:R924"/>
    <mergeCell ref="M921:O921"/>
    <mergeCell ref="J919:L919"/>
    <mergeCell ref="M919:O919"/>
    <mergeCell ref="P919:R919"/>
    <mergeCell ref="J918:L918"/>
    <mergeCell ref="M918:O918"/>
    <mergeCell ref="P918:R918"/>
    <mergeCell ref="N859:O859"/>
    <mergeCell ref="R859:S859"/>
    <mergeCell ref="L857:M857"/>
    <mergeCell ref="J917:L917"/>
    <mergeCell ref="M917:O917"/>
    <mergeCell ref="P917:R917"/>
    <mergeCell ref="J915:L915"/>
    <mergeCell ref="M915:O915"/>
    <mergeCell ref="J914:L914"/>
    <mergeCell ref="J916:L916"/>
    <mergeCell ref="M916:O916"/>
    <mergeCell ref="P916:R916"/>
    <mergeCell ref="J899:L899"/>
    <mergeCell ref="M899:O899"/>
    <mergeCell ref="N205:O205"/>
    <mergeCell ref="J913:L913"/>
    <mergeCell ref="M913:O913"/>
    <mergeCell ref="P913:R913"/>
    <mergeCell ref="P915:R915"/>
    <mergeCell ref="P899:R899"/>
    <mergeCell ref="M914:O914"/>
    <mergeCell ref="P914:R914"/>
    <mergeCell ref="P205:Q205"/>
    <mergeCell ref="P206:Q206"/>
    <mergeCell ref="N857:O857"/>
    <mergeCell ref="M910:O910"/>
    <mergeCell ref="P910:R910"/>
    <mergeCell ref="R808:S808"/>
    <mergeCell ref="S571:U571"/>
    <mergeCell ref="T338:U338"/>
    <mergeCell ref="Q524:S524"/>
    <mergeCell ref="J561:L561"/>
    <mergeCell ref="N469:P469"/>
    <mergeCell ref="N470:P470"/>
    <mergeCell ref="N471:P471"/>
    <mergeCell ref="I204:K204"/>
    <mergeCell ref="I205:K205"/>
    <mergeCell ref="I206:K206"/>
    <mergeCell ref="N203:O203"/>
    <mergeCell ref="N204:O204"/>
    <mergeCell ref="N206:O206"/>
    <mergeCell ref="N207:O207"/>
    <mergeCell ref="N211:O211"/>
    <mergeCell ref="T217:U217"/>
    <mergeCell ref="I218:K218"/>
    <mergeCell ref="I219:K219"/>
    <mergeCell ref="I220:K220"/>
    <mergeCell ref="I221:K221"/>
    <mergeCell ref="I222:K222"/>
    <mergeCell ref="I223:K223"/>
    <mergeCell ref="I224:K224"/>
    <mergeCell ref="T218:U218"/>
    <mergeCell ref="T219:U219"/>
    <mergeCell ref="T220:U220"/>
    <mergeCell ref="T221:U221"/>
    <mergeCell ref="T222:U222"/>
    <mergeCell ref="P218:Q218"/>
    <mergeCell ref="P219:Q219"/>
    <mergeCell ref="P220:Q220"/>
    <mergeCell ref="P221:Q221"/>
    <mergeCell ref="N218:O218"/>
    <mergeCell ref="N219:O219"/>
    <mergeCell ref="N220:O220"/>
    <mergeCell ref="N221:O221"/>
    <mergeCell ref="N222:O222"/>
    <mergeCell ref="N223:O223"/>
    <mergeCell ref="I208:K208"/>
    <mergeCell ref="B230:E230"/>
    <mergeCell ref="B231:E231"/>
    <mergeCell ref="B232:E232"/>
    <mergeCell ref="B233:E233"/>
    <mergeCell ref="F218:H218"/>
    <mergeCell ref="F219:H219"/>
    <mergeCell ref="F220:H220"/>
    <mergeCell ref="F221:H221"/>
    <mergeCell ref="F222:H222"/>
    <mergeCell ref="F223:H223"/>
    <mergeCell ref="B224:E224"/>
    <mergeCell ref="B225:E225"/>
    <mergeCell ref="B226:E226"/>
    <mergeCell ref="B227:E227"/>
    <mergeCell ref="B228:E228"/>
    <mergeCell ref="B229:E229"/>
    <mergeCell ref="B218:E218"/>
    <mergeCell ref="B219:E219"/>
    <mergeCell ref="B220:E220"/>
    <mergeCell ref="B221:E221"/>
    <mergeCell ref="B222:E222"/>
    <mergeCell ref="B223:E223"/>
    <mergeCell ref="F408:H408"/>
    <mergeCell ref="F409:H409"/>
    <mergeCell ref="F410:H410"/>
    <mergeCell ref="F411:H411"/>
    <mergeCell ref="T223:U223"/>
    <mergeCell ref="T224:U224"/>
    <mergeCell ref="T225:U225"/>
    <mergeCell ref="I377:K377"/>
    <mergeCell ref="I378:K378"/>
    <mergeCell ref="I379:K379"/>
    <mergeCell ref="L378:M378"/>
    <mergeCell ref="L379:M379"/>
    <mergeCell ref="R224:S224"/>
    <mergeCell ref="R225:S225"/>
    <mergeCell ref="N225:O225"/>
    <mergeCell ref="N224:O224"/>
    <mergeCell ref="L324:M324"/>
    <mergeCell ref="L336:M336"/>
    <mergeCell ref="L337:M337"/>
    <mergeCell ref="P224:Q224"/>
    <mergeCell ref="F224:H224"/>
    <mergeCell ref="F225:H225"/>
    <mergeCell ref="R323:S323"/>
    <mergeCell ref="R377:S377"/>
    <mergeCell ref="I381:K381"/>
    <mergeCell ref="I382:K382"/>
    <mergeCell ref="I383:K383"/>
    <mergeCell ref="F386:H386"/>
    <mergeCell ref="F387:H387"/>
    <mergeCell ref="F388:H388"/>
    <mergeCell ref="F389:H389"/>
    <mergeCell ref="F390:H390"/>
    <mergeCell ref="F400:H400"/>
    <mergeCell ref="F401:H401"/>
    <mergeCell ref="F402:H402"/>
    <mergeCell ref="F369:H369"/>
    <mergeCell ref="F370:H370"/>
    <mergeCell ref="F371:H371"/>
    <mergeCell ref="F372:H372"/>
    <mergeCell ref="F373:H373"/>
    <mergeCell ref="F374:H374"/>
    <mergeCell ref="F375:H375"/>
    <mergeCell ref="F376:H376"/>
    <mergeCell ref="F377:H377"/>
    <mergeCell ref="F378:H378"/>
    <mergeCell ref="F379:H379"/>
    <mergeCell ref="F380:H380"/>
    <mergeCell ref="F381:H381"/>
    <mergeCell ref="F382:H382"/>
    <mergeCell ref="F383:H383"/>
    <mergeCell ref="F384:H384"/>
    <mergeCell ref="F385:H385"/>
    <mergeCell ref="F361:H361"/>
    <mergeCell ref="F362:H362"/>
    <mergeCell ref="F363:H363"/>
    <mergeCell ref="F364:H364"/>
    <mergeCell ref="F365:H365"/>
    <mergeCell ref="F366:H366"/>
    <mergeCell ref="F367:H367"/>
    <mergeCell ref="F368:H368"/>
    <mergeCell ref="F391:H391"/>
    <mergeCell ref="F392:H392"/>
    <mergeCell ref="F393:H393"/>
    <mergeCell ref="F394:H394"/>
    <mergeCell ref="F395:H395"/>
    <mergeCell ref="F396:H396"/>
    <mergeCell ref="F397:H397"/>
    <mergeCell ref="F398:H398"/>
    <mergeCell ref="F399:H399"/>
    <mergeCell ref="F344:H344"/>
    <mergeCell ref="F345:H345"/>
    <mergeCell ref="F346:H346"/>
    <mergeCell ref="F347:H347"/>
    <mergeCell ref="F348:H348"/>
    <mergeCell ref="F349:H349"/>
    <mergeCell ref="F350:H350"/>
    <mergeCell ref="F351:H351"/>
    <mergeCell ref="F352:H352"/>
    <mergeCell ref="F353:H353"/>
    <mergeCell ref="F354:H354"/>
    <mergeCell ref="F355:H355"/>
    <mergeCell ref="F356:H356"/>
    <mergeCell ref="F357:H357"/>
    <mergeCell ref="F358:H358"/>
    <mergeCell ref="F359:H359"/>
    <mergeCell ref="F360:H360"/>
    <mergeCell ref="F327:H327"/>
    <mergeCell ref="F328:H328"/>
    <mergeCell ref="F329:H329"/>
    <mergeCell ref="F330:H330"/>
    <mergeCell ref="F331:H331"/>
    <mergeCell ref="F332:H332"/>
    <mergeCell ref="F333:H333"/>
    <mergeCell ref="F334:H334"/>
    <mergeCell ref="F335:H335"/>
    <mergeCell ref="F336:H336"/>
    <mergeCell ref="F337:H337"/>
    <mergeCell ref="F338:H338"/>
    <mergeCell ref="F339:H339"/>
    <mergeCell ref="F340:H340"/>
    <mergeCell ref="F341:H341"/>
    <mergeCell ref="F342:H342"/>
    <mergeCell ref="F343:H343"/>
    <mergeCell ref="F310:H310"/>
    <mergeCell ref="F311:H311"/>
    <mergeCell ref="F312:H312"/>
    <mergeCell ref="F313:H313"/>
    <mergeCell ref="F314:H314"/>
    <mergeCell ref="F315:H315"/>
    <mergeCell ref="F316:H316"/>
    <mergeCell ref="F317:H317"/>
    <mergeCell ref="F318:H318"/>
    <mergeCell ref="F319:H319"/>
    <mergeCell ref="F320:H320"/>
    <mergeCell ref="F321:H321"/>
    <mergeCell ref="F322:H322"/>
    <mergeCell ref="F323:H323"/>
    <mergeCell ref="F324:H324"/>
    <mergeCell ref="F325:H325"/>
    <mergeCell ref="F326:H326"/>
    <mergeCell ref="F293:H293"/>
    <mergeCell ref="F294:H294"/>
    <mergeCell ref="F295:H295"/>
    <mergeCell ref="F296:H296"/>
    <mergeCell ref="F297:H297"/>
    <mergeCell ref="F298:H298"/>
    <mergeCell ref="F299:H299"/>
    <mergeCell ref="F300:H300"/>
    <mergeCell ref="F301:H301"/>
    <mergeCell ref="F302:H302"/>
    <mergeCell ref="F303:H303"/>
    <mergeCell ref="F304:H304"/>
    <mergeCell ref="F305:H305"/>
    <mergeCell ref="F306:H306"/>
    <mergeCell ref="F307:H307"/>
    <mergeCell ref="F308:H308"/>
    <mergeCell ref="F309:H309"/>
    <mergeCell ref="F276:H276"/>
    <mergeCell ref="F277:H277"/>
    <mergeCell ref="F278:H278"/>
    <mergeCell ref="F279:H279"/>
    <mergeCell ref="F280:H280"/>
    <mergeCell ref="F281:H281"/>
    <mergeCell ref="F282:H282"/>
    <mergeCell ref="F283:H283"/>
    <mergeCell ref="F284:H284"/>
    <mergeCell ref="F285:H285"/>
    <mergeCell ref="F286:H286"/>
    <mergeCell ref="F287:H287"/>
    <mergeCell ref="F288:H288"/>
    <mergeCell ref="F289:H289"/>
    <mergeCell ref="F290:H290"/>
    <mergeCell ref="F291:H291"/>
    <mergeCell ref="F292:H292"/>
    <mergeCell ref="Q593:R593"/>
    <mergeCell ref="B593:F593"/>
    <mergeCell ref="G593:I593"/>
    <mergeCell ref="S593:T593"/>
    <mergeCell ref="U593:V593"/>
    <mergeCell ref="W593:X593"/>
    <mergeCell ref="F256:H256"/>
    <mergeCell ref="F257:H257"/>
    <mergeCell ref="F250:H250"/>
    <mergeCell ref="F251:H251"/>
    <mergeCell ref="F252:H252"/>
    <mergeCell ref="F253:H253"/>
    <mergeCell ref="F254:H254"/>
    <mergeCell ref="F255:H255"/>
    <mergeCell ref="F258:H258"/>
    <mergeCell ref="F259:H259"/>
    <mergeCell ref="F260:H260"/>
    <mergeCell ref="F261:H261"/>
    <mergeCell ref="F262:H262"/>
    <mergeCell ref="F263:H263"/>
    <mergeCell ref="F264:H264"/>
    <mergeCell ref="F265:H265"/>
    <mergeCell ref="F266:H266"/>
    <mergeCell ref="F267:H267"/>
    <mergeCell ref="F268:H268"/>
    <mergeCell ref="F269:H269"/>
    <mergeCell ref="F270:H270"/>
    <mergeCell ref="F271:H271"/>
    <mergeCell ref="F272:H272"/>
    <mergeCell ref="F273:H273"/>
    <mergeCell ref="F274:H274"/>
    <mergeCell ref="F275:H275"/>
  </mergeCells>
  <phoneticPr fontId="10" type="noConversion"/>
  <printOptions horizontalCentered="1"/>
  <pageMargins left="0.23622047244094491" right="0.23622047244094491" top="0.74803149606299213" bottom="0.74803149606299213" header="0.31496062992125984" footer="0.31496062992125984"/>
  <pageSetup paperSize="119" orientation="portrait" r:id="rId1"/>
  <headerFooter alignWithMargins="0">
    <oddFooter>&amp;L&amp;A&amp;C&amp;F&amp;RPágina &amp;P
&amp;D</oddFooter>
  </headerFooter>
  <ignoredErrors>
    <ignoredError sqref="I136" unlockedFormula="1"/>
    <ignoredError sqref="N173 Q173" formulaRange="1"/>
    <ignoredError sqref="J105" formula="1"/>
  </ignoredErrors>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dimension ref="A6:AA107"/>
  <sheetViews>
    <sheetView showGridLines="0" topLeftCell="A25" zoomScale="80" zoomScaleNormal="80" workbookViewId="0">
      <selection activeCell="R78" sqref="R78"/>
    </sheetView>
  </sheetViews>
  <sheetFormatPr baseColWidth="10" defaultColWidth="4.83203125" defaultRowHeight="11.25"/>
  <cols>
    <col min="1" max="1" width="6.6640625" style="301" customWidth="1"/>
    <col min="2" max="4" width="4.83203125" style="301" customWidth="1"/>
    <col min="5" max="5" width="29.6640625" style="301" customWidth="1"/>
    <col min="6" max="7" width="4.83203125" style="301" customWidth="1"/>
    <col min="8" max="8" width="7.1640625" style="301" customWidth="1"/>
    <col min="9" max="9" width="13.5" style="301" customWidth="1"/>
    <col min="10" max="10" width="7.6640625" style="301" customWidth="1"/>
    <col min="11" max="13" width="5.83203125" style="301" customWidth="1"/>
    <col min="14" max="15" width="5.6640625" style="301" customWidth="1"/>
    <col min="16" max="17" width="5.83203125" style="301" customWidth="1"/>
    <col min="18" max="18" width="18" style="301" customWidth="1"/>
    <col min="19" max="19" width="13.5" style="301" customWidth="1"/>
    <col min="20" max="20" width="10.83203125" style="301" customWidth="1"/>
    <col min="21" max="21" width="13.33203125" style="301" bestFit="1" customWidth="1"/>
    <col min="22" max="23" width="4.83203125" style="301" customWidth="1"/>
    <col min="24" max="24" width="9.83203125" style="301" customWidth="1"/>
    <col min="25" max="25" width="4.83203125" style="301" customWidth="1"/>
    <col min="26" max="26" width="19.83203125" style="301" customWidth="1"/>
    <col min="27" max="27" width="18.83203125" style="301" customWidth="1"/>
    <col min="28" max="28" width="8.6640625" style="301" customWidth="1"/>
    <col min="29" max="29" width="4.83203125" style="301" customWidth="1"/>
    <col min="30" max="30" width="5.1640625" style="301" customWidth="1"/>
    <col min="31" max="31" width="8.1640625" style="301" customWidth="1"/>
    <col min="32" max="16384" width="4.83203125" style="301"/>
  </cols>
  <sheetData>
    <row r="6" spans="1:19" ht="12" thickBot="1"/>
    <row r="7" spans="1:19" ht="20.25" customHeight="1" thickBot="1">
      <c r="A7" s="107"/>
      <c r="B7" s="302" t="s">
        <v>2861</v>
      </c>
      <c r="C7" s="996"/>
      <c r="D7" s="996"/>
      <c r="E7" s="996"/>
      <c r="F7" s="997"/>
      <c r="G7" s="997"/>
      <c r="H7" s="997"/>
      <c r="I7" s="998"/>
      <c r="J7" s="998" t="s">
        <v>2862</v>
      </c>
      <c r="K7" s="997"/>
      <c r="L7" s="997"/>
      <c r="M7" s="999" t="s">
        <v>1885</v>
      </c>
      <c r="N7" s="2769">
        <f>SUM(N8:N13)</f>
        <v>1239879</v>
      </c>
      <c r="O7" s="2770"/>
      <c r="P7" s="2771"/>
      <c r="R7" s="1000">
        <f>VLOOKUP(5152100,'FECU 2012 (M$)'!B7:D248,3,0)</f>
        <v>1239879</v>
      </c>
      <c r="S7" s="1001">
        <f>N7-R7</f>
        <v>0</v>
      </c>
    </row>
    <row r="8" spans="1:19" ht="16.5" customHeight="1">
      <c r="A8" s="107"/>
      <c r="B8" s="808" t="s">
        <v>2863</v>
      </c>
      <c r="C8" s="623"/>
      <c r="D8" s="623"/>
      <c r="E8" s="623"/>
      <c r="F8" s="615"/>
      <c r="G8" s="615"/>
      <c r="H8" s="615"/>
      <c r="I8" s="615"/>
      <c r="J8" s="615"/>
      <c r="K8" s="615"/>
      <c r="L8" s="615"/>
      <c r="M8" s="615"/>
      <c r="N8" s="1863">
        <f>SUMIF(MATRIZCTAS!$AB$7:$AB$1766,'Cuadros Notas (IFRS)'!$B8,MATRIZCTAS!$AH$7:$AH$1766)</f>
        <v>1017355</v>
      </c>
      <c r="O8" s="1864"/>
      <c r="P8" s="1865"/>
    </row>
    <row r="9" spans="1:19" ht="16.5" customHeight="1">
      <c r="A9" s="107"/>
      <c r="B9" s="808" t="s">
        <v>2864</v>
      </c>
      <c r="C9" s="623"/>
      <c r="D9" s="623"/>
      <c r="E9" s="623"/>
      <c r="F9" s="615"/>
      <c r="G9" s="615"/>
      <c r="H9" s="615"/>
      <c r="I9" s="615"/>
      <c r="J9" s="615"/>
      <c r="K9" s="615"/>
      <c r="L9" s="615"/>
      <c r="M9" s="615"/>
      <c r="N9" s="1863">
        <f>SUMIF(MATRIZCTAS!$AB$7:$AB$1766,'Cuadros Notas (IFRS)'!$B9,MATRIZCTAS!$AH$7:$AH$1766)</f>
        <v>0</v>
      </c>
      <c r="O9" s="1864"/>
      <c r="P9" s="1865"/>
    </row>
    <row r="10" spans="1:19" ht="16.5" customHeight="1">
      <c r="A10" s="107"/>
      <c r="B10" s="808" t="s">
        <v>2865</v>
      </c>
      <c r="C10" s="623"/>
      <c r="D10" s="623"/>
      <c r="E10" s="623"/>
      <c r="F10" s="615"/>
      <c r="G10" s="615"/>
      <c r="H10" s="615"/>
      <c r="I10" s="615"/>
      <c r="J10" s="615"/>
      <c r="K10" s="615"/>
      <c r="L10" s="615"/>
      <c r="M10" s="615"/>
      <c r="N10" s="1863">
        <f>SUMIF(MATRIZCTAS!$AB$7:$AB$1766,'Cuadros Notas (IFRS)'!$B10,MATRIZCTAS!$AH$7:$AH$1766)</f>
        <v>43781</v>
      </c>
      <c r="O10" s="1864"/>
      <c r="P10" s="1865"/>
    </row>
    <row r="11" spans="1:19" ht="16.5" customHeight="1">
      <c r="A11" s="107"/>
      <c r="B11" s="808" t="s">
        <v>2866</v>
      </c>
      <c r="C11" s="623"/>
      <c r="D11" s="623"/>
      <c r="E11" s="623"/>
      <c r="F11" s="615"/>
      <c r="G11" s="615"/>
      <c r="H11" s="615"/>
      <c r="I11" s="615"/>
      <c r="J11" s="615"/>
      <c r="K11" s="615"/>
      <c r="L11" s="615"/>
      <c r="M11" s="615"/>
      <c r="N11" s="1863">
        <f>SUMIF(MATRIZCTAS!$AB$7:$AB$1766,'Cuadros Notas (IFRS)'!$B11,MATRIZCTAS!$AH$7:$AH$1766)</f>
        <v>0</v>
      </c>
      <c r="O11" s="1864"/>
      <c r="P11" s="1865"/>
    </row>
    <row r="12" spans="1:19" ht="16.5" customHeight="1">
      <c r="A12" s="107"/>
      <c r="B12" s="808" t="s">
        <v>2867</v>
      </c>
      <c r="C12" s="623"/>
      <c r="D12" s="623"/>
      <c r="E12" s="623"/>
      <c r="F12" s="615"/>
      <c r="G12" s="615"/>
      <c r="H12" s="615"/>
      <c r="I12" s="615"/>
      <c r="J12" s="615"/>
      <c r="K12" s="615"/>
      <c r="L12" s="615"/>
      <c r="M12" s="615"/>
      <c r="N12" s="1863">
        <f>SUMIF(MATRIZCTAS!$AB$7:$AB$1766,'Cuadros Notas (IFRS)'!$B12,MATRIZCTAS!$AH$7:$AH$1766)</f>
        <v>0</v>
      </c>
      <c r="O12" s="1864"/>
      <c r="P12" s="1865"/>
    </row>
    <row r="13" spans="1:19" ht="16.5" customHeight="1" thickBot="1">
      <c r="A13" s="107"/>
      <c r="B13" s="822" t="s">
        <v>2900</v>
      </c>
      <c r="C13" s="607"/>
      <c r="D13" s="607"/>
      <c r="E13" s="607"/>
      <c r="F13" s="609"/>
      <c r="G13" s="609"/>
      <c r="H13" s="609"/>
      <c r="I13" s="609"/>
      <c r="J13" s="609"/>
      <c r="K13" s="609"/>
      <c r="L13" s="609"/>
      <c r="M13" s="609"/>
      <c r="N13" s="2381">
        <f>SUMIF(MATRIZCTAS!$AB$7:$AB$1766,'Cuadros Notas (IFRS)'!$B13,MATRIZCTAS!$AH$7:$AH$1766)</f>
        <v>178743</v>
      </c>
      <c r="O13" s="2382"/>
      <c r="P13" s="2383"/>
    </row>
    <row r="15" spans="1:19" ht="12" thickBot="1"/>
    <row r="16" spans="1:19" ht="15.75" thickBot="1">
      <c r="B16" s="302" t="s">
        <v>2872</v>
      </c>
      <c r="C16" s="996"/>
      <c r="D16" s="996"/>
      <c r="E16" s="996"/>
      <c r="F16" s="997"/>
      <c r="G16" s="997"/>
      <c r="H16" s="997"/>
      <c r="I16" s="998"/>
      <c r="J16" s="998" t="s">
        <v>2873</v>
      </c>
      <c r="K16" s="997"/>
      <c r="L16" s="997"/>
      <c r="M16" s="999" t="s">
        <v>1885</v>
      </c>
      <c r="N16" s="2769">
        <f>SUM(N17:N22)</f>
        <v>21635125</v>
      </c>
      <c r="O16" s="2770"/>
      <c r="P16" s="2771"/>
      <c r="R16" s="1000">
        <f>VLOOKUP(5153500,'FECU 2012 (M$)'!B17:D258,3,0)</f>
        <v>21804622</v>
      </c>
      <c r="S16" s="1001">
        <f>N16-R16</f>
        <v>-169497</v>
      </c>
    </row>
    <row r="17" spans="2:19" ht="12.75">
      <c r="B17" s="808" t="s">
        <v>2874</v>
      </c>
      <c r="C17" s="623"/>
      <c r="D17" s="623"/>
      <c r="E17" s="623"/>
      <c r="F17" s="615"/>
      <c r="G17" s="615"/>
      <c r="H17" s="615"/>
      <c r="I17" s="615"/>
      <c r="J17" s="615"/>
      <c r="K17" s="615"/>
      <c r="L17" s="615"/>
      <c r="M17" s="615"/>
      <c r="N17" s="2772">
        <f>SUMIF(MATRIZCTAS!$AB$7:$AB$1766,'Cuadros Notas (IFRS)'!$B17,MATRIZCTAS!$AH$7:$AH$1766)</f>
        <v>8293584</v>
      </c>
      <c r="O17" s="2773"/>
      <c r="P17" s="2774"/>
    </row>
    <row r="18" spans="2:19" ht="12.75">
      <c r="B18" s="808" t="s">
        <v>2875</v>
      </c>
      <c r="C18" s="623"/>
      <c r="D18" s="623"/>
      <c r="E18" s="623"/>
      <c r="F18" s="615"/>
      <c r="G18" s="615"/>
      <c r="H18" s="615"/>
      <c r="I18" s="615"/>
      <c r="J18" s="615"/>
      <c r="K18" s="615"/>
      <c r="L18" s="615"/>
      <c r="M18" s="615"/>
      <c r="N18" s="2772">
        <f>SUMIF(MATRIZCTAS!$AB$7:$AB$1766,'Cuadros Notas (IFRS)'!$B18,MATRIZCTAS!$AH$7:$AH$1766)</f>
        <v>12344699</v>
      </c>
      <c r="O18" s="2773"/>
      <c r="P18" s="2774"/>
    </row>
    <row r="19" spans="2:19" ht="12.75">
      <c r="B19" s="808" t="s">
        <v>2876</v>
      </c>
      <c r="C19" s="623"/>
      <c r="D19" s="623"/>
      <c r="E19" s="623"/>
      <c r="F19" s="615"/>
      <c r="G19" s="615"/>
      <c r="H19" s="615"/>
      <c r="I19" s="615"/>
      <c r="J19" s="615"/>
      <c r="K19" s="615"/>
      <c r="L19" s="615"/>
      <c r="M19" s="615"/>
      <c r="N19" s="2772">
        <f>SUMIF(MATRIZCTAS!$AB$7:$AB$1766,'Cuadros Notas (IFRS)'!$B19,MATRIZCTAS!$AH$7:$AH$1766)</f>
        <v>215437</v>
      </c>
      <c r="O19" s="2773"/>
      <c r="P19" s="2774"/>
    </row>
    <row r="20" spans="2:19" ht="12.75">
      <c r="B20" s="808" t="s">
        <v>2877</v>
      </c>
      <c r="C20" s="623"/>
      <c r="D20" s="623"/>
      <c r="E20" s="623"/>
      <c r="F20" s="615"/>
      <c r="G20" s="615"/>
      <c r="H20" s="615"/>
      <c r="I20" s="615"/>
      <c r="J20" s="615"/>
      <c r="K20" s="615"/>
      <c r="L20" s="615"/>
      <c r="M20" s="615"/>
      <c r="N20" s="2772">
        <f>SUMIF(MATRIZCTAS!$AB$7:$AB$1766,'Cuadros Notas (IFRS)'!$B20,MATRIZCTAS!$AH$7:$AH$1766)</f>
        <v>148482</v>
      </c>
      <c r="O20" s="2773"/>
      <c r="P20" s="2774"/>
    </row>
    <row r="21" spans="2:19" ht="12.75">
      <c r="B21" s="808" t="s">
        <v>2879</v>
      </c>
      <c r="C21" s="623"/>
      <c r="D21" s="623"/>
      <c r="E21" s="623"/>
      <c r="F21" s="615"/>
      <c r="G21" s="615"/>
      <c r="H21" s="615"/>
      <c r="I21" s="615"/>
      <c r="J21" s="615"/>
      <c r="K21" s="615"/>
      <c r="L21" s="615"/>
      <c r="M21" s="615"/>
      <c r="N21" s="2772">
        <f>SUMIF(MATRIZCTAS!$AB$7:$AB$1766,'Cuadros Notas (IFRS)'!$B21,MATRIZCTAS!$AH$7:$AH$1766)</f>
        <v>632923</v>
      </c>
      <c r="O21" s="2773"/>
      <c r="P21" s="2774"/>
    </row>
    <row r="22" spans="2:19" ht="13.5" thickBot="1">
      <c r="B22" s="822" t="s">
        <v>2878</v>
      </c>
      <c r="C22" s="607"/>
      <c r="D22" s="607"/>
      <c r="E22" s="607"/>
      <c r="F22" s="609"/>
      <c r="G22" s="609"/>
      <c r="H22" s="609"/>
      <c r="I22" s="609"/>
      <c r="J22" s="609"/>
      <c r="K22" s="609"/>
      <c r="L22" s="609"/>
      <c r="M22" s="609"/>
      <c r="N22" s="2775">
        <f>SUMIF(MATRIZCTAS!$AB$7:$AB$1766,'Cuadros Notas (IFRS)'!$B22,MATRIZCTAS!$AH$7:$AH$1766)</f>
        <v>0</v>
      </c>
      <c r="O22" s="2776"/>
      <c r="P22" s="2777"/>
    </row>
    <row r="24" spans="2:19" ht="12" thickBot="1"/>
    <row r="25" spans="2:19" ht="15.75" thickBot="1">
      <c r="B25" s="302" t="s">
        <v>2895</v>
      </c>
      <c r="C25" s="996"/>
      <c r="D25" s="996"/>
      <c r="E25" s="996"/>
      <c r="F25" s="997"/>
      <c r="G25" s="997"/>
      <c r="H25" s="997"/>
      <c r="I25" s="998"/>
      <c r="J25" s="998" t="s">
        <v>2896</v>
      </c>
      <c r="K25" s="997"/>
      <c r="L25" s="997"/>
      <c r="M25" s="999" t="s">
        <v>1885</v>
      </c>
      <c r="N25" s="2769">
        <f>SUM(N26:N30)</f>
        <v>1889708</v>
      </c>
      <c r="O25" s="2770"/>
      <c r="P25" s="2771"/>
      <c r="R25" s="1000">
        <f>VLOOKUP(5214211,'FECU 2012 (M$)'!B26:D267,3,0)</f>
        <v>1889708</v>
      </c>
      <c r="S25" s="1001">
        <f>N25-R25</f>
        <v>0</v>
      </c>
    </row>
    <row r="26" spans="2:19" ht="12.75">
      <c r="B26" s="808" t="s">
        <v>2897</v>
      </c>
      <c r="C26" s="623"/>
      <c r="D26" s="623"/>
      <c r="E26" s="623"/>
      <c r="F26" s="615"/>
      <c r="G26" s="615"/>
      <c r="H26" s="615"/>
      <c r="I26" s="615"/>
      <c r="J26" s="615"/>
      <c r="K26" s="615"/>
      <c r="L26" s="615"/>
      <c r="M26" s="615"/>
      <c r="N26" s="2772">
        <f>SUMIF(MATRIZCTAS!$AB$7:$AB$1766,'Cuadros Notas (IFRS)'!$B26,MATRIZCTAS!$AH$7:$AH$1766)*-1</f>
        <v>194728</v>
      </c>
      <c r="O26" s="2773"/>
      <c r="P26" s="2774"/>
    </row>
    <row r="27" spans="2:19" ht="12.75">
      <c r="B27" s="808" t="s">
        <v>2846</v>
      </c>
      <c r="C27" s="623"/>
      <c r="D27" s="623"/>
      <c r="E27" s="623"/>
      <c r="F27" s="615"/>
      <c r="G27" s="615"/>
      <c r="H27" s="615"/>
      <c r="I27" s="615"/>
      <c r="J27" s="615"/>
      <c r="K27" s="615"/>
      <c r="L27" s="615"/>
      <c r="M27" s="615"/>
      <c r="N27" s="2772">
        <f>SUMIF(MATRIZCTAS!$AB$7:$AB$1766,'Cuadros Notas (IFRS)'!$B27,MATRIZCTAS!$AH$7:$AH$1766)*-1</f>
        <v>1534431</v>
      </c>
      <c r="O27" s="2773"/>
      <c r="P27" s="2774"/>
    </row>
    <row r="28" spans="2:19" ht="12.75">
      <c r="B28" s="808" t="s">
        <v>2898</v>
      </c>
      <c r="C28" s="623"/>
      <c r="D28" s="623"/>
      <c r="E28" s="623"/>
      <c r="F28" s="615"/>
      <c r="G28" s="615"/>
      <c r="H28" s="615"/>
      <c r="I28" s="615"/>
      <c r="J28" s="615"/>
      <c r="K28" s="615"/>
      <c r="L28" s="615"/>
      <c r="M28" s="615"/>
      <c r="N28" s="2772">
        <f>SUMIF(MATRIZCTAS!$AB$7:$AB$1766,'Cuadros Notas (IFRS)'!$B28,MATRIZCTAS!$AH$7:$AH$1766)*-1</f>
        <v>145729</v>
      </c>
      <c r="O28" s="2773"/>
      <c r="P28" s="2774"/>
    </row>
    <row r="29" spans="2:19" ht="12.75">
      <c r="B29" s="808" t="s">
        <v>2899</v>
      </c>
      <c r="C29" s="623"/>
      <c r="D29" s="623"/>
      <c r="E29" s="623"/>
      <c r="F29" s="615"/>
      <c r="G29" s="615"/>
      <c r="H29" s="615"/>
      <c r="I29" s="615"/>
      <c r="J29" s="615"/>
      <c r="K29" s="615"/>
      <c r="L29" s="615"/>
      <c r="M29" s="615"/>
      <c r="N29" s="2772">
        <f>SUMIF(MATRIZCTAS!$AB$7:$AB$1766,'Cuadros Notas (IFRS)'!$B29,MATRIZCTAS!$AH$7:$AH$1766)*-1</f>
        <v>0</v>
      </c>
      <c r="O29" s="2773"/>
      <c r="P29" s="2774"/>
    </row>
    <row r="30" spans="2:19" ht="13.5" thickBot="1">
      <c r="B30" s="822" t="s">
        <v>2902</v>
      </c>
      <c r="C30" s="607"/>
      <c r="D30" s="607"/>
      <c r="E30" s="607"/>
      <c r="F30" s="609"/>
      <c r="G30" s="609"/>
      <c r="H30" s="609"/>
      <c r="I30" s="609"/>
      <c r="J30" s="609"/>
      <c r="K30" s="609"/>
      <c r="L30" s="609"/>
      <c r="M30" s="609"/>
      <c r="N30" s="2775">
        <f>SUMIF(MATRIZCTAS!$AB$7:$AB$1766,'Cuadros Notas (IFRS)'!$B30,MATRIZCTAS!$AH$7:$AH$1766)*-1</f>
        <v>14820</v>
      </c>
      <c r="O30" s="2776"/>
      <c r="P30" s="2777"/>
    </row>
    <row r="32" spans="2:19" ht="12" thickBot="1"/>
    <row r="33" spans="2:27" ht="15.75" thickBot="1">
      <c r="B33" s="302" t="s">
        <v>2903</v>
      </c>
      <c r="C33" s="996"/>
      <c r="D33" s="996"/>
      <c r="E33" s="996"/>
      <c r="F33" s="997"/>
      <c r="G33" s="997"/>
      <c r="H33" s="997"/>
      <c r="I33" s="998"/>
      <c r="J33" s="998" t="s">
        <v>2904</v>
      </c>
      <c r="K33" s="997"/>
      <c r="L33" s="997"/>
      <c r="M33" s="999" t="s">
        <v>1885</v>
      </c>
      <c r="N33" s="2769">
        <f>SUM(N34:N42)</f>
        <v>32618828</v>
      </c>
      <c r="O33" s="2770"/>
      <c r="P33" s="2771"/>
      <c r="R33" s="1000">
        <f>VLOOKUP(5214260,'FECU 2012 (M$)'!B34:D275,3,0)</f>
        <v>32619226</v>
      </c>
      <c r="S33" s="1001">
        <f>N33-R33</f>
        <v>-398</v>
      </c>
    </row>
    <row r="34" spans="2:27" ht="12.75">
      <c r="B34" s="808" t="s">
        <v>2905</v>
      </c>
      <c r="C34" s="623"/>
      <c r="D34" s="623"/>
      <c r="E34" s="623"/>
      <c r="F34" s="615"/>
      <c r="G34" s="615"/>
      <c r="H34" s="615"/>
      <c r="I34" s="615"/>
      <c r="J34" s="615"/>
      <c r="K34" s="615"/>
      <c r="L34" s="615"/>
      <c r="M34" s="615"/>
      <c r="N34" s="2772">
        <f>SUMIF(MATRIZCTAS!$AB$7:$AB$1766,'Cuadros Notas (IFRS)'!$B34,MATRIZCTAS!$AH$7:$AH$1766)*-1</f>
        <v>0</v>
      </c>
      <c r="O34" s="2773"/>
      <c r="P34" s="2774"/>
    </row>
    <row r="35" spans="2:27" ht="12.75">
      <c r="B35" s="808" t="s">
        <v>303</v>
      </c>
      <c r="C35" s="623"/>
      <c r="D35" s="623"/>
      <c r="E35" s="623"/>
      <c r="F35" s="615"/>
      <c r="G35" s="615"/>
      <c r="H35" s="615"/>
      <c r="I35" s="615"/>
      <c r="J35" s="615"/>
      <c r="K35" s="615"/>
      <c r="L35" s="615"/>
      <c r="M35" s="615"/>
      <c r="N35" s="2772">
        <f>SUMIF(MATRIZCTAS!$AB$7:$AB$1766,'Cuadros Notas (IFRS)'!$B35,MATRIZCTAS!$AH$7:$AH$1766)*-1</f>
        <v>987783</v>
      </c>
      <c r="O35" s="2773"/>
      <c r="P35" s="2774"/>
    </row>
    <row r="36" spans="2:27" ht="12.75">
      <c r="B36" s="808" t="s">
        <v>2907</v>
      </c>
      <c r="C36" s="623"/>
      <c r="D36" s="623"/>
      <c r="E36" s="623"/>
      <c r="F36" s="615"/>
      <c r="G36" s="615"/>
      <c r="H36" s="615"/>
      <c r="I36" s="615"/>
      <c r="J36" s="615"/>
      <c r="K36" s="615"/>
      <c r="L36" s="615"/>
      <c r="M36" s="615"/>
      <c r="N36" s="2772">
        <f>SUMIF(MATRIZCTAS!$AB$7:$AB$1766,'Cuadros Notas (IFRS)'!$B36,MATRIZCTAS!$AH$7:$AH$1766)*-1</f>
        <v>707499</v>
      </c>
      <c r="O36" s="2773"/>
      <c r="P36" s="2774"/>
    </row>
    <row r="37" spans="2:27" ht="12.75">
      <c r="B37" s="808" t="s">
        <v>2885</v>
      </c>
      <c r="C37" s="623"/>
      <c r="D37" s="623"/>
      <c r="E37" s="623"/>
      <c r="F37" s="615"/>
      <c r="G37" s="615"/>
      <c r="H37" s="615"/>
      <c r="I37" s="615"/>
      <c r="J37" s="615"/>
      <c r="K37" s="615"/>
      <c r="L37" s="615"/>
      <c r="M37" s="615"/>
      <c r="N37" s="2772">
        <f>SUMIF(MATRIZCTAS!$AB$7:$AB$1766,'Cuadros Notas (IFRS)'!$B37,MATRIZCTAS!$AH$7:$AH$1766)*-1</f>
        <v>13678678</v>
      </c>
      <c r="O37" s="2773"/>
      <c r="P37" s="2774"/>
    </row>
    <row r="38" spans="2:27" ht="12.75">
      <c r="B38" s="808" t="s">
        <v>2884</v>
      </c>
      <c r="C38" s="623"/>
      <c r="D38" s="623"/>
      <c r="E38" s="623"/>
      <c r="F38" s="615"/>
      <c r="G38" s="615"/>
      <c r="H38" s="615"/>
      <c r="I38" s="615"/>
      <c r="J38" s="615"/>
      <c r="K38" s="615"/>
      <c r="L38" s="615"/>
      <c r="M38" s="615"/>
      <c r="N38" s="2772">
        <f>SUMIF(MATRIZCTAS!$AB$7:$AB$1766,'Cuadros Notas (IFRS)'!$B38,MATRIZCTAS!$AH$7:$AH$1766)*-1</f>
        <v>910383</v>
      </c>
      <c r="O38" s="2773"/>
      <c r="P38" s="2774"/>
    </row>
    <row r="39" spans="2:27" ht="12.75">
      <c r="B39" s="808" t="s">
        <v>2880</v>
      </c>
      <c r="C39" s="623"/>
      <c r="D39" s="623"/>
      <c r="E39" s="623"/>
      <c r="F39" s="615"/>
      <c r="G39" s="615"/>
      <c r="H39" s="615"/>
      <c r="I39" s="615"/>
      <c r="J39" s="615"/>
      <c r="K39" s="615"/>
      <c r="L39" s="615"/>
      <c r="M39" s="615"/>
      <c r="N39" s="2772">
        <f>SUMIF(MATRIZCTAS!$AB$7:$AB$1766,'Cuadros Notas (IFRS)'!$B39,MATRIZCTAS!$AH$7:$AH$1766)*-1</f>
        <v>4095506</v>
      </c>
      <c r="O39" s="2773"/>
      <c r="P39" s="2774"/>
    </row>
    <row r="40" spans="2:27" ht="12.75">
      <c r="B40" s="808" t="s">
        <v>2908</v>
      </c>
      <c r="C40" s="623"/>
      <c r="D40" s="623"/>
      <c r="E40" s="623"/>
      <c r="F40" s="615"/>
      <c r="G40" s="615"/>
      <c r="H40" s="615"/>
      <c r="I40" s="615"/>
      <c r="J40" s="615"/>
      <c r="K40" s="615"/>
      <c r="L40" s="615"/>
      <c r="M40" s="615"/>
      <c r="N40" s="2772">
        <f>SUMIF(MATRIZCTAS!$AB$7:$AB$1766,'Cuadros Notas (IFRS)'!$B40,MATRIZCTAS!$AH$7:$AH$1766)*-1</f>
        <v>948916</v>
      </c>
      <c r="O40" s="2773"/>
      <c r="P40" s="2774"/>
    </row>
    <row r="41" spans="2:27" ht="12.75">
      <c r="B41" s="808" t="s">
        <v>354</v>
      </c>
      <c r="C41" s="623"/>
      <c r="D41" s="623"/>
      <c r="E41" s="623"/>
      <c r="F41" s="615"/>
      <c r="G41" s="615"/>
      <c r="H41" s="615"/>
      <c r="I41" s="615"/>
      <c r="J41" s="615"/>
      <c r="K41" s="615"/>
      <c r="L41" s="615"/>
      <c r="M41" s="615"/>
      <c r="N41" s="2772">
        <f>SUMIF(MATRIZCTAS!$AB$7:$AB$1766,'Cuadros Notas (IFRS)'!$B41,MATRIZCTAS!$AH$7:$AH$1766)*-1</f>
        <v>1243163</v>
      </c>
      <c r="O41" s="2773"/>
      <c r="P41" s="2774"/>
    </row>
    <row r="42" spans="2:27" ht="13.5" thickBot="1">
      <c r="B42" s="822" t="s">
        <v>2883</v>
      </c>
      <c r="C42" s="607"/>
      <c r="D42" s="607"/>
      <c r="E42" s="607"/>
      <c r="F42" s="609"/>
      <c r="G42" s="609"/>
      <c r="H42" s="609"/>
      <c r="I42" s="609"/>
      <c r="J42" s="609"/>
      <c r="K42" s="609"/>
      <c r="L42" s="609"/>
      <c r="M42" s="609"/>
      <c r="N42" s="2775">
        <f>SUMIF(MATRIZCTAS!$AB$7:$AB$1766,'Cuadros Notas (IFRS)'!$B42,MATRIZCTAS!$AH$7:$AH$1766)*-1</f>
        <v>10046900</v>
      </c>
      <c r="O42" s="2776"/>
      <c r="P42" s="2777"/>
    </row>
    <row r="44" spans="2:27" ht="12" thickBot="1"/>
    <row r="45" spans="2:27" ht="13.5" thickBot="1">
      <c r="B45" s="2778" t="s">
        <v>2909</v>
      </c>
      <c r="C45" s="2779"/>
      <c r="D45" s="2779"/>
      <c r="E45" s="2779"/>
      <c r="F45" s="2780"/>
      <c r="G45" s="1847" t="s">
        <v>143</v>
      </c>
      <c r="H45" s="1847"/>
      <c r="I45" s="1847"/>
      <c r="J45" s="1847" t="s">
        <v>144</v>
      </c>
      <c r="K45" s="1847"/>
      <c r="L45" s="1847"/>
      <c r="M45" s="1847" t="s">
        <v>145</v>
      </c>
      <c r="N45" s="1847"/>
      <c r="O45" s="1847"/>
      <c r="P45" s="1847" t="s">
        <v>146</v>
      </c>
      <c r="Q45" s="1847"/>
      <c r="R45" s="1847"/>
      <c r="S45" s="1847" t="s">
        <v>147</v>
      </c>
      <c r="T45" s="1847"/>
      <c r="U45" s="1847"/>
      <c r="V45" s="1847" t="s">
        <v>148</v>
      </c>
      <c r="W45" s="1847"/>
      <c r="X45" s="1848"/>
      <c r="Z45" s="1000"/>
      <c r="AA45" s="1001"/>
    </row>
    <row r="46" spans="2:27" ht="12.75" customHeight="1">
      <c r="B46" s="1004" t="s">
        <v>2910</v>
      </c>
      <c r="C46" s="1005"/>
      <c r="D46" s="1005"/>
      <c r="E46" s="1005"/>
      <c r="F46" s="1006"/>
      <c r="G46" s="2781">
        <v>5151200</v>
      </c>
      <c r="H46" s="2781"/>
      <c r="I46" s="2781"/>
      <c r="J46" s="2782">
        <v>119937</v>
      </c>
      <c r="K46" s="2783"/>
      <c r="L46" s="2783"/>
      <c r="M46" s="2784">
        <v>39083</v>
      </c>
      <c r="N46" s="2784"/>
      <c r="O46" s="2784"/>
      <c r="P46" s="2772">
        <f>SUMIF(MATRIZCTAS!$AB$7:$AB$1766,'Cuadros Notas (IFRS)'!$B46,MATRIZCTAS!$AH$7:$AH$1766)</f>
        <v>133977</v>
      </c>
      <c r="Q46" s="2773"/>
      <c r="R46" s="2774"/>
      <c r="S46" s="2772">
        <f>SUMIF(MATRIZCTAS!$AB$7:$AB$1766,"Amortización Acumulada Prog. Comp",MATRIZCTAS!$AH$7:$AH$1766)*-1</f>
        <v>83581</v>
      </c>
      <c r="T46" s="2773"/>
      <c r="U46" s="2774"/>
      <c r="V46" s="2693">
        <v>36</v>
      </c>
      <c r="W46" s="2694"/>
      <c r="X46" s="2695"/>
    </row>
    <row r="47" spans="2:27" ht="12.75" customHeight="1">
      <c r="B47" s="1004" t="s">
        <v>2911</v>
      </c>
      <c r="C47" s="1005"/>
      <c r="D47" s="1005"/>
      <c r="E47" s="1005"/>
      <c r="F47" s="1006"/>
      <c r="G47" s="2781">
        <v>5151200</v>
      </c>
      <c r="H47" s="2781"/>
      <c r="I47" s="2781"/>
      <c r="J47" s="2782"/>
      <c r="K47" s="2783"/>
      <c r="L47" s="2783"/>
      <c r="M47" s="2784">
        <v>39083</v>
      </c>
      <c r="N47" s="2784"/>
      <c r="O47" s="2784"/>
      <c r="P47" s="2772">
        <f>SUMIF(MATRIZCTAS!$AB$7:$AB$1766,'Cuadros Notas (IFRS)'!$B47,MATRIZCTAS!$AH$7:$AH$1766)</f>
        <v>13412</v>
      </c>
      <c r="Q47" s="2773"/>
      <c r="R47" s="2774"/>
      <c r="S47" s="1676"/>
      <c r="T47" s="1677"/>
      <c r="U47" s="1677"/>
      <c r="V47" s="2693"/>
      <c r="W47" s="2694"/>
      <c r="X47" s="2695"/>
    </row>
    <row r="48" spans="2:27" ht="12.75" customHeight="1">
      <c r="B48" s="1004" t="s">
        <v>2912</v>
      </c>
      <c r="C48" s="1005"/>
      <c r="D48" s="1005"/>
      <c r="E48" s="1005"/>
      <c r="F48" s="1006"/>
      <c r="G48" s="2781">
        <v>5151100</v>
      </c>
      <c r="H48" s="2781"/>
      <c r="I48" s="2781"/>
      <c r="J48" s="2782">
        <v>1338592</v>
      </c>
      <c r="K48" s="2783"/>
      <c r="L48" s="2783"/>
      <c r="M48" s="2784">
        <v>40876</v>
      </c>
      <c r="N48" s="2784"/>
      <c r="O48" s="2784"/>
      <c r="P48" s="2772">
        <f>SUMIF(MATRIZCTAS!$AB$7:$AB$1766,'Cuadros Notas (IFRS)'!$B48,MATRIZCTAS!$AH$7:$AH$1766)</f>
        <v>1338592</v>
      </c>
      <c r="Q48" s="2773"/>
      <c r="R48" s="2774"/>
      <c r="S48" s="992"/>
      <c r="T48" s="993"/>
      <c r="U48" s="1016"/>
      <c r="V48" s="994"/>
      <c r="W48" s="1017"/>
      <c r="X48" s="1018"/>
    </row>
    <row r="49" spans="2:24" ht="12.75">
      <c r="B49" s="1007" t="s">
        <v>2913</v>
      </c>
      <c r="C49" s="1008"/>
      <c r="D49" s="1008"/>
      <c r="E49" s="1008"/>
      <c r="F49" s="1009"/>
      <c r="G49" s="2781">
        <v>5153300</v>
      </c>
      <c r="H49" s="2781"/>
      <c r="I49" s="2781"/>
      <c r="J49" s="2782">
        <v>7833436</v>
      </c>
      <c r="K49" s="2783"/>
      <c r="L49" s="2783"/>
      <c r="M49" s="2784">
        <v>39083</v>
      </c>
      <c r="N49" s="2784"/>
      <c r="O49" s="2784"/>
      <c r="P49" s="2772">
        <f>SUMIF(MATRIZCTAS!$AB$7:$AB$1766,'Cuadros Notas (IFRS)'!$B49,MATRIZCTAS!$AH$7:$AH$1766)</f>
        <v>11329294</v>
      </c>
      <c r="Q49" s="2773"/>
      <c r="R49" s="2774"/>
      <c r="S49" s="1010"/>
      <c r="T49" s="1011"/>
      <c r="U49" s="1012"/>
      <c r="V49" s="1013"/>
      <c r="W49" s="1014"/>
      <c r="X49" s="1015"/>
    </row>
    <row r="50" spans="2:24" ht="13.5" thickBot="1">
      <c r="B50" s="1007" t="s">
        <v>2914</v>
      </c>
      <c r="C50" s="1008"/>
      <c r="D50" s="1008"/>
      <c r="E50" s="1008"/>
      <c r="F50" s="1009"/>
      <c r="G50" s="2781">
        <v>5123200</v>
      </c>
      <c r="H50" s="2781"/>
      <c r="I50" s="2781"/>
      <c r="J50" s="2782">
        <v>930001</v>
      </c>
      <c r="K50" s="2783"/>
      <c r="L50" s="2783"/>
      <c r="M50" s="2784">
        <v>39083</v>
      </c>
      <c r="N50" s="2784"/>
      <c r="O50" s="2784"/>
      <c r="P50" s="2772">
        <f>SUMIF(MATRIZCTAS!$AB$7:$AB$1766,'Cuadros Notas (IFRS)'!$B50,MATRIZCTAS!$AH$7:$AH$1766)</f>
        <v>38658</v>
      </c>
      <c r="Q50" s="2773"/>
      <c r="R50" s="2774"/>
      <c r="S50" s="1010"/>
      <c r="T50" s="1011"/>
      <c r="U50" s="1012"/>
      <c r="V50" s="1013"/>
      <c r="W50" s="1014"/>
      <c r="X50" s="1015"/>
    </row>
    <row r="51" spans="2:24" ht="13.5" thickBot="1">
      <c r="B51" s="2785" t="s">
        <v>1333</v>
      </c>
      <c r="C51" s="2786"/>
      <c r="D51" s="2786"/>
      <c r="E51" s="2786"/>
      <c r="F51" s="2786"/>
      <c r="G51" s="2787"/>
      <c r="H51" s="2787"/>
      <c r="I51" s="2787"/>
      <c r="J51" s="2788">
        <f>SUM(J46:J50)</f>
        <v>10221966</v>
      </c>
      <c r="K51" s="2789"/>
      <c r="L51" s="2790"/>
      <c r="M51" s="2787"/>
      <c r="N51" s="2787"/>
      <c r="O51" s="2787"/>
      <c r="P51" s="2791">
        <f>SUM(P46:P50)</f>
        <v>12853933</v>
      </c>
      <c r="Q51" s="2792"/>
      <c r="R51" s="2792"/>
      <c r="S51" s="2791">
        <f>SUM(S46:S48)</f>
        <v>83581</v>
      </c>
      <c r="T51" s="2792"/>
      <c r="U51" s="2792"/>
      <c r="V51" s="2787"/>
      <c r="W51" s="2787"/>
      <c r="X51" s="2799"/>
    </row>
    <row r="52" spans="2:24">
      <c r="R52" s="786">
        <f>+P51-S51</f>
        <v>12770352</v>
      </c>
      <c r="S52" s="359"/>
      <c r="T52" s="1001" t="s">
        <v>1805</v>
      </c>
    </row>
    <row r="53" spans="2:24" ht="12" thickBot="1">
      <c r="R53" s="1001"/>
    </row>
    <row r="54" spans="2:24" ht="15.75" thickBot="1">
      <c r="B54" s="302" t="s">
        <v>2916</v>
      </c>
      <c r="C54" s="996"/>
      <c r="D54" s="996"/>
      <c r="E54" s="996"/>
      <c r="F54" s="997"/>
      <c r="G54" s="997"/>
      <c r="H54" s="997"/>
      <c r="I54" s="998"/>
      <c r="J54" s="998" t="s">
        <v>2917</v>
      </c>
      <c r="K54" s="997"/>
      <c r="L54" s="997"/>
      <c r="M54" s="999" t="s">
        <v>1885</v>
      </c>
      <c r="N54" s="2769">
        <f>SUM(N55:N57)</f>
        <v>1913324</v>
      </c>
      <c r="O54" s="2770"/>
      <c r="P54" s="2771"/>
      <c r="R54" s="1000">
        <f>VLOOKUP(5315100,'FECU 2012 (M$)'!B55:D296,3,0)</f>
        <v>1913324</v>
      </c>
      <c r="S54" s="1001">
        <f>N54-R54</f>
        <v>0</v>
      </c>
    </row>
    <row r="55" spans="2:24" ht="12.75">
      <c r="B55" s="808" t="s">
        <v>2918</v>
      </c>
      <c r="C55" s="623"/>
      <c r="D55" s="623"/>
      <c r="E55" s="623"/>
      <c r="F55" s="615"/>
      <c r="G55" s="615"/>
      <c r="H55" s="615"/>
      <c r="I55" s="615"/>
      <c r="J55" s="615"/>
      <c r="K55" s="615"/>
      <c r="L55" s="615"/>
      <c r="M55" s="615"/>
      <c r="N55" s="2772">
        <f>SUMIF(MATRIZCTAS!$AB$7:$AB$1766,'Cuadros Notas (IFRS)'!$B55,MATRIZCTAS!$AH$7:$AH$1766)*-1</f>
        <v>0</v>
      </c>
      <c r="O55" s="2773"/>
      <c r="P55" s="2774"/>
    </row>
    <row r="56" spans="2:24" ht="12.75">
      <c r="B56" s="808" t="s">
        <v>2919</v>
      </c>
      <c r="C56" s="623"/>
      <c r="D56" s="623"/>
      <c r="E56" s="623"/>
      <c r="F56" s="615"/>
      <c r="G56" s="615"/>
      <c r="H56" s="615"/>
      <c r="I56" s="615"/>
      <c r="J56" s="615"/>
      <c r="K56" s="615"/>
      <c r="L56" s="615"/>
      <c r="M56" s="615"/>
      <c r="N56" s="2772">
        <f>SUMIF(MATRIZCTAS!$AB$7:$AB$1766,'Cuadros Notas (IFRS)'!$B56,MATRIZCTAS!$AH$7:$AH$1766)*-1</f>
        <v>989559</v>
      </c>
      <c r="O56" s="2773"/>
      <c r="P56" s="2774"/>
    </row>
    <row r="57" spans="2:24" ht="13.5" thickBot="1">
      <c r="B57" s="822" t="s">
        <v>1172</v>
      </c>
      <c r="C57" s="607"/>
      <c r="D57" s="607"/>
      <c r="E57" s="607"/>
      <c r="F57" s="609"/>
      <c r="G57" s="609"/>
      <c r="H57" s="609"/>
      <c r="I57" s="609"/>
      <c r="J57" s="609"/>
      <c r="K57" s="609"/>
      <c r="L57" s="609"/>
      <c r="M57" s="609"/>
      <c r="N57" s="2775">
        <f>SUMIF(MATRIZCTAS!$AB$7:$AB$1766,'Cuadros Notas (IFRS)'!$B57,MATRIZCTAS!$AH$7:$AH$1766)*-1</f>
        <v>923765</v>
      </c>
      <c r="O57" s="2776"/>
      <c r="P57" s="2777"/>
    </row>
    <row r="59" spans="2:24" ht="12" thickBot="1"/>
    <row r="60" spans="2:24" ht="15.75" thickBot="1">
      <c r="B60" s="302" t="s">
        <v>2920</v>
      </c>
      <c r="C60" s="996"/>
      <c r="D60" s="996"/>
      <c r="E60" s="996"/>
      <c r="F60" s="997"/>
      <c r="G60" s="997"/>
      <c r="H60" s="997"/>
      <c r="I60" s="998"/>
      <c r="J60" s="998" t="s">
        <v>2921</v>
      </c>
      <c r="K60" s="997"/>
      <c r="L60" s="997"/>
      <c r="M60" s="999" t="s">
        <v>1885</v>
      </c>
      <c r="N60" s="2769">
        <f>SUM(N61:N63)</f>
        <v>-242436</v>
      </c>
      <c r="O60" s="2770"/>
      <c r="P60" s="2771"/>
      <c r="R60" s="1000">
        <f>VLOOKUP(5315200,'FECU 2012 (M$)'!B61:D302,3,0)</f>
        <v>-242436</v>
      </c>
      <c r="S60" s="1001">
        <f>N60-R60</f>
        <v>0</v>
      </c>
    </row>
    <row r="61" spans="2:24" ht="12.75">
      <c r="B61" s="808" t="s">
        <v>1834</v>
      </c>
      <c r="C61" s="623"/>
      <c r="D61" s="623"/>
      <c r="E61" s="623"/>
      <c r="F61" s="615"/>
      <c r="G61" s="615"/>
      <c r="H61" s="615"/>
      <c r="I61" s="615"/>
      <c r="J61" s="615"/>
      <c r="K61" s="615"/>
      <c r="L61" s="615"/>
      <c r="M61" s="615"/>
      <c r="N61" s="2772">
        <f>SUMIF(MATRIZCTAS!$AB$7:$AB$1766,'Cuadros Notas (IFRS)'!$B61,MATRIZCTAS!$AH$7:$AH$1766)*-1</f>
        <v>0</v>
      </c>
      <c r="O61" s="2773"/>
      <c r="P61" s="2774"/>
    </row>
    <row r="62" spans="2:24" ht="12.75">
      <c r="B62" s="808" t="s">
        <v>1835</v>
      </c>
      <c r="C62" s="623"/>
      <c r="D62" s="623"/>
      <c r="E62" s="623"/>
      <c r="F62" s="615"/>
      <c r="G62" s="615"/>
      <c r="H62" s="615"/>
      <c r="I62" s="615"/>
      <c r="J62" s="615"/>
      <c r="K62" s="615"/>
      <c r="L62" s="615"/>
      <c r="M62" s="615"/>
      <c r="N62" s="2772">
        <f>SUMIF(MATRIZCTAS!$AB$7:$AB$1766,'Cuadros Notas (IFRS)'!$B62,MATRIZCTAS!$AH$7:$AH$1766)*-1</f>
        <v>-172238</v>
      </c>
      <c r="O62" s="2773"/>
      <c r="P62" s="2774"/>
    </row>
    <row r="63" spans="2:24" ht="13.5" thickBot="1">
      <c r="B63" s="822" t="s">
        <v>2842</v>
      </c>
      <c r="C63" s="607"/>
      <c r="D63" s="607"/>
      <c r="E63" s="607"/>
      <c r="F63" s="609"/>
      <c r="G63" s="609"/>
      <c r="H63" s="609"/>
      <c r="I63" s="609"/>
      <c r="J63" s="609"/>
      <c r="K63" s="609"/>
      <c r="L63" s="609"/>
      <c r="M63" s="609"/>
      <c r="N63" s="2775">
        <f>SUMIF(MATRIZCTAS!$AB$7:$AB$1766,'Cuadros Notas (IFRS)'!$B63,MATRIZCTAS!$AH$7:$AH$1766)*-1</f>
        <v>-70198</v>
      </c>
      <c r="O63" s="2776"/>
      <c r="P63" s="2777"/>
    </row>
    <row r="65" spans="2:19" ht="12" thickBot="1"/>
    <row r="66" spans="2:19" ht="15.75" thickBot="1">
      <c r="B66" s="302" t="s">
        <v>3364</v>
      </c>
      <c r="C66" s="996"/>
      <c r="D66" s="996"/>
      <c r="E66" s="996"/>
      <c r="F66" s="997"/>
      <c r="G66" s="997"/>
      <c r="H66" s="997"/>
      <c r="I66" s="998"/>
      <c r="J66" s="998" t="s">
        <v>2929</v>
      </c>
      <c r="K66" s="997"/>
      <c r="L66" s="997"/>
      <c r="M66" s="999" t="s">
        <v>1885</v>
      </c>
      <c r="N66" s="2769">
        <f>N91-K91</f>
        <v>-4386409</v>
      </c>
      <c r="O66" s="2770"/>
      <c r="P66" s="2771"/>
      <c r="R66" s="1000">
        <f>VLOOKUP(5316100,'FECU 2012 (M$)'!B67:D308,3,0)</f>
        <v>-4386409</v>
      </c>
      <c r="S66" s="1001">
        <f>N66-R66</f>
        <v>0</v>
      </c>
    </row>
    <row r="67" spans="2:19" ht="13.5" thickBot="1">
      <c r="B67" s="1991" t="s">
        <v>2930</v>
      </c>
      <c r="C67" s="1992"/>
      <c r="D67" s="1992"/>
      <c r="E67" s="1992"/>
      <c r="F67" s="1992"/>
      <c r="G67" s="1992"/>
      <c r="H67" s="1992"/>
      <c r="I67" s="1992"/>
      <c r="J67" s="1992"/>
      <c r="K67" s="1981" t="s">
        <v>2931</v>
      </c>
      <c r="L67" s="1981"/>
      <c r="M67" s="1981"/>
      <c r="N67" s="1981" t="s">
        <v>2932</v>
      </c>
      <c r="O67" s="1981"/>
      <c r="P67" s="1981"/>
      <c r="R67" s="1000"/>
      <c r="S67" s="1001"/>
    </row>
    <row r="68" spans="2:19" ht="12.75">
      <c r="B68" s="1019" t="s">
        <v>1382</v>
      </c>
      <c r="C68" s="829"/>
      <c r="D68" s="829"/>
      <c r="E68" s="830"/>
      <c r="F68" s="830"/>
      <c r="G68" s="830"/>
      <c r="H68" s="830"/>
      <c r="I68" s="830"/>
      <c r="J68" s="830"/>
      <c r="K68" s="2793">
        <f>SUM(K69:K78)</f>
        <v>4386409</v>
      </c>
      <c r="L68" s="2794"/>
      <c r="M68" s="2794"/>
      <c r="N68" s="2793">
        <f>SUM(N69:N78)</f>
        <v>0</v>
      </c>
      <c r="O68" s="2794"/>
      <c r="P68" s="2794"/>
      <c r="R68" s="1000"/>
      <c r="S68" s="1001"/>
    </row>
    <row r="69" spans="2:19" ht="12.75">
      <c r="B69" s="831" t="s">
        <v>3365</v>
      </c>
      <c r="C69" s="832"/>
      <c r="D69" s="832"/>
      <c r="E69" s="667"/>
      <c r="F69" s="667"/>
      <c r="G69" s="667"/>
      <c r="H69" s="667"/>
      <c r="I69" s="667"/>
      <c r="J69" s="667"/>
      <c r="K69" s="2795">
        <f>SUMIF(MATRIZCTAS!$AB$7:$AB$1766,'Cuadros Notas (IFRS)'!$B69,MATRIZCTAS!$AH$7:$AH$1766)</f>
        <v>4133459</v>
      </c>
      <c r="L69" s="2796"/>
      <c r="M69" s="2797"/>
      <c r="N69" s="2795">
        <v>0</v>
      </c>
      <c r="O69" s="2796"/>
      <c r="P69" s="2797"/>
    </row>
    <row r="70" spans="2:19" ht="12.75">
      <c r="B70" s="831" t="s">
        <v>3366</v>
      </c>
      <c r="C70" s="832"/>
      <c r="D70" s="832"/>
      <c r="E70" s="667"/>
      <c r="F70" s="667"/>
      <c r="G70" s="667"/>
      <c r="H70" s="667"/>
      <c r="I70" s="667"/>
      <c r="J70" s="667"/>
      <c r="K70" s="2795">
        <f>SUMIF(MATRIZCTAS!$AB$7:$AB$1766,'Cuadros Notas (IFRS)'!$B70,MATRIZCTAS!$AH$7:$AH$1766)</f>
        <v>223621</v>
      </c>
      <c r="L70" s="2796"/>
      <c r="M70" s="2797"/>
      <c r="N70" s="2795">
        <v>0</v>
      </c>
      <c r="O70" s="2796"/>
      <c r="P70" s="2797"/>
    </row>
    <row r="71" spans="2:19" ht="12.75">
      <c r="B71" s="831" t="s">
        <v>73</v>
      </c>
      <c r="C71" s="832"/>
      <c r="D71" s="832"/>
      <c r="E71" s="667"/>
      <c r="F71" s="667"/>
      <c r="G71" s="667"/>
      <c r="H71" s="667"/>
      <c r="I71" s="667"/>
      <c r="J71" s="667"/>
      <c r="K71" s="2795">
        <v>0</v>
      </c>
      <c r="L71" s="2796"/>
      <c r="M71" s="2797"/>
      <c r="N71" s="2795">
        <f>SUMIF(MATRIZCTAS!$AB$7:$AB$1766,'Cuadros Notas (IFRS)'!$B71,MATRIZCTAS!$AH$7:$AH$1766)*-1</f>
        <v>0</v>
      </c>
      <c r="O71" s="2796"/>
      <c r="P71" s="2797"/>
    </row>
    <row r="72" spans="2:19" ht="12.75">
      <c r="B72" s="833" t="s">
        <v>2923</v>
      </c>
      <c r="C72" s="819"/>
      <c r="D72" s="819"/>
      <c r="E72" s="562"/>
      <c r="F72" s="562"/>
      <c r="G72" s="562"/>
      <c r="H72" s="562"/>
      <c r="I72" s="562"/>
      <c r="J72" s="562"/>
      <c r="K72" s="2772">
        <f>SUMIF(MATRIZCTAS!$AB$7:$AB$1766,'Cuadros Notas (IFRS)'!$B72,MATRIZCTAS!$AH$7:$AH$1766)*-1</f>
        <v>0</v>
      </c>
      <c r="L72" s="2773"/>
      <c r="M72" s="2798"/>
      <c r="N72" s="2772">
        <f>SUMIF(MATRIZCTAS!$AB$7:$AB$1766,'Cuadros Notas (IFRS)'!$B72,MATRIZCTAS!$AH$7:$AH$1766)*-1</f>
        <v>0</v>
      </c>
      <c r="O72" s="2773"/>
      <c r="P72" s="2798"/>
    </row>
    <row r="73" spans="2:19" ht="12.75">
      <c r="B73" s="833" t="s">
        <v>3367</v>
      </c>
      <c r="C73" s="819"/>
      <c r="D73" s="819"/>
      <c r="E73" s="562"/>
      <c r="F73" s="562"/>
      <c r="G73" s="562"/>
      <c r="H73" s="562"/>
      <c r="I73" s="562"/>
      <c r="J73" s="562"/>
      <c r="K73" s="2772">
        <f>SUMIF(MATRIZCTAS!$AB$7:$AB$1766,'Cuadros Notas (IFRS)'!$B73,MATRIZCTAS!$AH$7:$AH$1766)*-1</f>
        <v>0</v>
      </c>
      <c r="L73" s="2773"/>
      <c r="M73" s="2798"/>
      <c r="N73" s="2772">
        <f>SUMIF(MATRIZCTAS!$AB$7:$AB$1766,'Cuadros Notas (IFRS)'!$B73,MATRIZCTAS!$AH$7:$AH$1766)*-1</f>
        <v>0</v>
      </c>
      <c r="O73" s="2773"/>
      <c r="P73" s="2798"/>
    </row>
    <row r="74" spans="2:19" ht="12.75">
      <c r="B74" s="833" t="s">
        <v>3368</v>
      </c>
      <c r="C74" s="819"/>
      <c r="D74" s="819"/>
      <c r="E74" s="562"/>
      <c r="F74" s="562"/>
      <c r="G74" s="562"/>
      <c r="H74" s="562"/>
      <c r="I74" s="562"/>
      <c r="J74" s="562"/>
      <c r="K74" s="1266"/>
      <c r="L74" s="1267"/>
      <c r="M74" s="1268"/>
      <c r="N74" s="1266"/>
      <c r="O74" s="1267"/>
      <c r="P74" s="1268"/>
    </row>
    <row r="75" spans="2:19" ht="12.75">
      <c r="B75" s="833" t="s">
        <v>2743</v>
      </c>
      <c r="C75" s="819"/>
      <c r="D75" s="819"/>
      <c r="E75" s="562"/>
      <c r="F75" s="562"/>
      <c r="G75" s="562"/>
      <c r="H75" s="562"/>
      <c r="I75" s="562"/>
      <c r="J75" s="562"/>
      <c r="K75" s="2772">
        <f>SUMIF(MATRIZCTAS!$AB$7:$AB$1766,'Cuadros Notas (IFRS)'!$B75,MATRIZCTAS!$AH$7:$AH$1766)*-1</f>
        <v>0</v>
      </c>
      <c r="L75" s="2773"/>
      <c r="M75" s="2798"/>
      <c r="N75" s="2772">
        <f>SUMIF(MATRIZCTAS!$AB$7:$AB$1766,'Cuadros Notas (IFRS)'!$B75,MATRIZCTAS!$AH$7:$AH$1766)*-1</f>
        <v>0</v>
      </c>
      <c r="O75" s="2773"/>
      <c r="P75" s="2798"/>
    </row>
    <row r="76" spans="2:19" ht="12.75">
      <c r="B76" s="831" t="s">
        <v>2748</v>
      </c>
      <c r="C76" s="832"/>
      <c r="D76" s="832"/>
      <c r="E76" s="667"/>
      <c r="F76" s="667"/>
      <c r="G76" s="667"/>
      <c r="H76" s="667"/>
      <c r="I76" s="667"/>
      <c r="J76" s="667"/>
      <c r="K76" s="2772">
        <f>SUMIF(MATRIZCTAS!$AB$7:$AB$1766,'Cuadros Notas (IFRS)'!$B76,MATRIZCTAS!$AH$7:$AH$1766)*-1</f>
        <v>0</v>
      </c>
      <c r="L76" s="2773"/>
      <c r="M76" s="2798"/>
      <c r="N76" s="2772">
        <f>SUMIF(MATRIZCTAS!$AB$7:$AB$1766,'Cuadros Notas (IFRS)'!$B76,MATRIZCTAS!$AH$7:$AH$1766)*-1</f>
        <v>0</v>
      </c>
      <c r="O76" s="2773"/>
      <c r="P76" s="2798"/>
    </row>
    <row r="77" spans="2:19" ht="12.75">
      <c r="B77" s="831" t="s">
        <v>3369</v>
      </c>
      <c r="C77" s="832"/>
      <c r="D77" s="832"/>
      <c r="E77" s="667"/>
      <c r="F77" s="667"/>
      <c r="G77" s="667"/>
      <c r="H77" s="667"/>
      <c r="I77" s="667"/>
      <c r="J77" s="667"/>
      <c r="K77" s="1266"/>
      <c r="L77" s="1267"/>
      <c r="M77" s="1268"/>
      <c r="N77" s="1266"/>
      <c r="O77" s="1267"/>
      <c r="P77" s="1268"/>
    </row>
    <row r="78" spans="2:19" ht="13.5" thickBot="1">
      <c r="B78" s="831" t="s">
        <v>1457</v>
      </c>
      <c r="C78" s="832"/>
      <c r="D78" s="832"/>
      <c r="E78" s="667"/>
      <c r="F78" s="667"/>
      <c r="G78" s="667"/>
      <c r="H78" s="667"/>
      <c r="I78" s="667"/>
      <c r="J78" s="667"/>
      <c r="K78" s="2775">
        <f>SUMIF(MATRIZCTAS!$AB$7:$AB$1766,'Cuadros Notas (IFRS)'!$B78,MATRIZCTAS!$AH$7:$AH$1766)</f>
        <v>29329</v>
      </c>
      <c r="L78" s="2776"/>
      <c r="M78" s="2800"/>
      <c r="N78" s="2775">
        <v>0</v>
      </c>
      <c r="O78" s="2776"/>
      <c r="P78" s="2800"/>
    </row>
    <row r="79" spans="2:19" ht="12.75">
      <c r="B79" s="1019" t="s">
        <v>1383</v>
      </c>
      <c r="C79" s="829"/>
      <c r="D79" s="829"/>
      <c r="E79" s="830"/>
      <c r="F79" s="830"/>
      <c r="G79" s="830"/>
      <c r="H79" s="830"/>
      <c r="I79" s="830"/>
      <c r="J79" s="830"/>
      <c r="K79" s="2793">
        <f>SUM(K80:K85)</f>
        <v>0</v>
      </c>
      <c r="L79" s="2794"/>
      <c r="M79" s="2794"/>
      <c r="N79" s="2793">
        <f>SUM(N80:N85)</f>
        <v>0</v>
      </c>
      <c r="O79" s="2794"/>
      <c r="P79" s="2794"/>
    </row>
    <row r="80" spans="2:19" ht="12.75">
      <c r="B80" s="831" t="s">
        <v>3370</v>
      </c>
      <c r="C80" s="832"/>
      <c r="D80" s="832"/>
      <c r="E80" s="667"/>
      <c r="F80" s="667"/>
      <c r="G80" s="667"/>
      <c r="H80" s="667"/>
      <c r="I80" s="667"/>
      <c r="J80" s="667"/>
      <c r="K80" s="2772">
        <f>SUMIF(MATRIZCTAS!$AB$7:$AB$1766,'Cuadros Notas (IFRS)'!$B80,MATRIZCTAS!$AH$7:$AH$1766)*-1</f>
        <v>0</v>
      </c>
      <c r="L80" s="2773"/>
      <c r="M80" s="2798"/>
      <c r="N80" s="2772">
        <f>SUMIF(MATRIZCTAS!$AB$7:$AB$1766,'Cuadros Notas (IFRS)'!$B80,MATRIZCTAS!$AH$7:$AH$1766)*-1</f>
        <v>0</v>
      </c>
      <c r="O80" s="2773"/>
      <c r="P80" s="2798"/>
    </row>
    <row r="81" spans="2:19" ht="12.75">
      <c r="B81" s="831" t="s">
        <v>379</v>
      </c>
      <c r="C81" s="832"/>
      <c r="D81" s="832"/>
      <c r="E81" s="667"/>
      <c r="F81" s="667"/>
      <c r="G81" s="667"/>
      <c r="H81" s="667"/>
      <c r="I81" s="667"/>
      <c r="J81" s="667"/>
      <c r="K81" s="2772">
        <f>SUMIF(MATRIZCTAS!$AB$7:$AB$1766,'Cuadros Notas (IFRS)'!$B81,MATRIZCTAS!$AH$7:$AH$1766)*-1</f>
        <v>0</v>
      </c>
      <c r="L81" s="2773"/>
      <c r="M81" s="2798"/>
      <c r="N81" s="2772">
        <f>SUMIF(MATRIZCTAS!$AB$7:$AB$1766,'Cuadros Notas (IFRS)'!$B81,MATRIZCTAS!$AH$7:$AH$1766)*-1</f>
        <v>0</v>
      </c>
      <c r="O81" s="2773"/>
      <c r="P81" s="2798"/>
    </row>
    <row r="82" spans="2:19" ht="12.75">
      <c r="B82" s="831" t="s">
        <v>3371</v>
      </c>
      <c r="C82" s="832"/>
      <c r="D82" s="832"/>
      <c r="E82" s="667"/>
      <c r="F82" s="667"/>
      <c r="G82" s="667"/>
      <c r="H82" s="667"/>
      <c r="I82" s="667"/>
      <c r="J82" s="667"/>
      <c r="K82" s="1266"/>
      <c r="L82" s="1267"/>
      <c r="M82" s="1268"/>
      <c r="N82" s="1266"/>
      <c r="O82" s="1267"/>
      <c r="P82" s="1268"/>
    </row>
    <row r="83" spans="2:19" ht="12.75">
      <c r="B83" s="831" t="s">
        <v>2924</v>
      </c>
      <c r="C83" s="832"/>
      <c r="D83" s="832"/>
      <c r="E83" s="667"/>
      <c r="F83" s="667"/>
      <c r="G83" s="667"/>
      <c r="H83" s="667"/>
      <c r="I83" s="667"/>
      <c r="J83" s="667"/>
      <c r="K83" s="2772">
        <f>SUMIF(MATRIZCTAS!$AB$7:$AB$1766,'Cuadros Notas (IFRS)'!$B83,MATRIZCTAS!$AH$7:$AH$1766)*-1</f>
        <v>0</v>
      </c>
      <c r="L83" s="2773"/>
      <c r="M83" s="2798"/>
      <c r="N83" s="2772">
        <f>SUMIF(MATRIZCTAS!$AB$7:$AB$1766,'Cuadros Notas (IFRS)'!$B83,MATRIZCTAS!$AH$7:$AH$1766)*-1</f>
        <v>0</v>
      </c>
      <c r="O83" s="2773"/>
      <c r="P83" s="2798"/>
    </row>
    <row r="84" spans="2:19" ht="12.75">
      <c r="B84" s="831" t="s">
        <v>2925</v>
      </c>
      <c r="C84" s="832"/>
      <c r="D84" s="832"/>
      <c r="E84" s="667"/>
      <c r="F84" s="667"/>
      <c r="G84" s="667"/>
      <c r="H84" s="667"/>
      <c r="I84" s="667"/>
      <c r="J84" s="667"/>
      <c r="K84" s="2772">
        <f>SUMIF(MATRIZCTAS!$AB$7:$AB$1766,'Cuadros Notas (IFRS)'!$B84,MATRIZCTAS!$AH$7:$AH$1766)*-1</f>
        <v>0</v>
      </c>
      <c r="L84" s="2773"/>
      <c r="M84" s="2798"/>
      <c r="N84" s="2772">
        <f>SUMIF(MATRIZCTAS!$AB$7:$AB$1766,'Cuadros Notas (IFRS)'!$B84,MATRIZCTAS!$AH$7:$AH$1766)*-1</f>
        <v>0</v>
      </c>
      <c r="O84" s="2773"/>
      <c r="P84" s="2798"/>
    </row>
    <row r="85" spans="2:19" ht="13.5" thickBot="1">
      <c r="B85" s="831" t="s">
        <v>1558</v>
      </c>
      <c r="C85" s="832"/>
      <c r="D85" s="832"/>
      <c r="E85" s="667"/>
      <c r="F85" s="667"/>
      <c r="G85" s="667"/>
      <c r="H85" s="667"/>
      <c r="I85" s="667"/>
      <c r="J85" s="667"/>
      <c r="K85" s="2772">
        <f>SUMIF(MATRIZCTAS!$AB$7:$AB$1766,'Cuadros Notas (IFRS)'!$B85,MATRIZCTAS!$AH$7:$AH$1766)*-1</f>
        <v>0</v>
      </c>
      <c r="L85" s="2773"/>
      <c r="M85" s="2798"/>
      <c r="N85" s="2772">
        <f>SUMIF(MATRIZCTAS!$AB$7:$AB$1766,'Cuadros Notas (IFRS)'!$B85,MATRIZCTAS!$AH$7:$AH$1766)*-1</f>
        <v>0</v>
      </c>
      <c r="O85" s="2773"/>
      <c r="P85" s="2798"/>
    </row>
    <row r="86" spans="2:19" ht="13.5" thickBot="1">
      <c r="B86" s="1019" t="s">
        <v>1022</v>
      </c>
      <c r="C86" s="829"/>
      <c r="D86" s="829"/>
      <c r="E86" s="830"/>
      <c r="F86" s="830"/>
      <c r="G86" s="830"/>
      <c r="H86" s="830"/>
      <c r="I86" s="830"/>
      <c r="J86" s="830"/>
      <c r="K86" s="2793"/>
      <c r="L86" s="2794"/>
      <c r="M86" s="2794"/>
      <c r="N86" s="2793"/>
      <c r="O86" s="2794"/>
      <c r="P86" s="2794"/>
    </row>
    <row r="87" spans="2:19" ht="12.75">
      <c r="B87" s="1019" t="s">
        <v>2933</v>
      </c>
      <c r="C87" s="829"/>
      <c r="D87" s="829"/>
      <c r="E87" s="830"/>
      <c r="F87" s="830"/>
      <c r="G87" s="830"/>
      <c r="H87" s="830"/>
      <c r="I87" s="830"/>
      <c r="J87" s="830"/>
      <c r="K87" s="2793">
        <f>SUM(K88:K90)</f>
        <v>0</v>
      </c>
      <c r="L87" s="2794"/>
      <c r="M87" s="2794"/>
      <c r="N87" s="2793">
        <f>SUM(N88:N90)</f>
        <v>0</v>
      </c>
      <c r="O87" s="2794"/>
      <c r="P87" s="2794"/>
    </row>
    <row r="88" spans="2:19" ht="12.75">
      <c r="B88" s="831" t="s">
        <v>2926</v>
      </c>
      <c r="C88" s="832"/>
      <c r="D88" s="832"/>
      <c r="E88" s="667"/>
      <c r="F88" s="667"/>
      <c r="G88" s="667"/>
      <c r="H88" s="667"/>
      <c r="I88" s="667"/>
      <c r="J88" s="667"/>
      <c r="K88" s="2772">
        <f>SUMIF(MATRIZCTAS!$AB$7:$AB$1766,'Cuadros Notas (IFRS)'!$B88,MATRIZCTAS!$AH$7:$AH$1766)*-1</f>
        <v>0</v>
      </c>
      <c r="L88" s="2773"/>
      <c r="M88" s="2798"/>
      <c r="N88" s="2772">
        <f>SUMIF(MATRIZCTAS!$AB$7:$AB$1766,'Cuadros Notas (IFRS)'!$B88,MATRIZCTAS!$AH$7:$AH$1766)*-1</f>
        <v>0</v>
      </c>
      <c r="O88" s="2773"/>
      <c r="P88" s="2798"/>
    </row>
    <row r="89" spans="2:19" ht="12.75">
      <c r="B89" s="831" t="s">
        <v>2927</v>
      </c>
      <c r="C89" s="832"/>
      <c r="D89" s="832"/>
      <c r="E89" s="667"/>
      <c r="F89" s="667"/>
      <c r="G89" s="667"/>
      <c r="H89" s="667"/>
      <c r="I89" s="667"/>
      <c r="J89" s="667"/>
      <c r="K89" s="2772">
        <f>SUMIF(MATRIZCTAS!$AB$7:$AB$1766,'Cuadros Notas (IFRS)'!$B89,MATRIZCTAS!$AH$7:$AH$1766)*-1</f>
        <v>0</v>
      </c>
      <c r="L89" s="2773"/>
      <c r="M89" s="2798"/>
      <c r="N89" s="2772">
        <f>SUMIF(MATRIZCTAS!$AB$7:$AB$1766,'Cuadros Notas (IFRS)'!$B89,MATRIZCTAS!$AH$7:$AH$1766)*-1</f>
        <v>0</v>
      </c>
      <c r="O89" s="2773"/>
      <c r="P89" s="2798"/>
    </row>
    <row r="90" spans="2:19" ht="13.5" thickBot="1">
      <c r="B90" s="831" t="s">
        <v>2928</v>
      </c>
      <c r="C90" s="832"/>
      <c r="D90" s="832"/>
      <c r="E90" s="667"/>
      <c r="F90" s="667"/>
      <c r="G90" s="667"/>
      <c r="H90" s="667"/>
      <c r="I90" s="667"/>
      <c r="J90" s="667"/>
      <c r="K90" s="2772">
        <f>SUMIF(MATRIZCTAS!$AB$7:$AB$1766,'Cuadros Notas (IFRS)'!$B90,MATRIZCTAS!$AH$7:$AH$1766)*-1</f>
        <v>0</v>
      </c>
      <c r="L90" s="2773"/>
      <c r="M90" s="2798"/>
      <c r="N90" s="2772">
        <f>SUMIF(MATRIZCTAS!$AB$7:$AB$1766,'Cuadros Notas (IFRS)'!$B90,MATRIZCTAS!$AH$7:$AH$1766)*-1</f>
        <v>0</v>
      </c>
      <c r="O90" s="2773"/>
      <c r="P90" s="2798"/>
    </row>
    <row r="91" spans="2:19" ht="13.5" thickBot="1">
      <c r="B91" s="610" t="s">
        <v>2934</v>
      </c>
      <c r="C91" s="995"/>
      <c r="D91" s="995"/>
      <c r="E91" s="818"/>
      <c r="F91" s="818"/>
      <c r="G91" s="818"/>
      <c r="H91" s="818"/>
      <c r="I91" s="818"/>
      <c r="J91" s="818"/>
      <c r="K91" s="1670">
        <f>K68+K79+K87+K86</f>
        <v>4386409</v>
      </c>
      <c r="L91" s="1671"/>
      <c r="M91" s="1671"/>
      <c r="N91" s="1670">
        <f>N68+N79+N87+N86</f>
        <v>0</v>
      </c>
      <c r="O91" s="1671"/>
      <c r="P91" s="1671"/>
    </row>
    <row r="93" spans="2:19" ht="12" thickBot="1"/>
    <row r="94" spans="2:19" ht="15.75" thickBot="1">
      <c r="B94" s="302" t="s">
        <v>2994</v>
      </c>
      <c r="C94" s="996"/>
      <c r="D94" s="996"/>
      <c r="E94" s="996"/>
      <c r="F94" s="997"/>
      <c r="G94" s="997"/>
      <c r="H94" s="997"/>
      <c r="I94" s="998"/>
      <c r="J94" s="998" t="s">
        <v>2995</v>
      </c>
      <c r="K94" s="997"/>
      <c r="L94" s="997"/>
      <c r="M94" s="999" t="s">
        <v>1885</v>
      </c>
      <c r="N94" s="2769">
        <f>SUM(N95:N107)</f>
        <v>14143783</v>
      </c>
      <c r="O94" s="2770"/>
      <c r="P94" s="2771"/>
      <c r="R94" s="1000">
        <f>VLOOKUP(5312000,'FECU 2012 (M$)'!B94:D335,3,0)*-1</f>
        <v>15442241</v>
      </c>
      <c r="S94" s="1001">
        <f>N94-R94</f>
        <v>-1298458</v>
      </c>
    </row>
    <row r="95" spans="2:19" ht="12.75">
      <c r="B95" s="808" t="s">
        <v>25</v>
      </c>
      <c r="C95" s="623"/>
      <c r="D95" s="623"/>
      <c r="E95" s="623"/>
      <c r="F95" s="615"/>
      <c r="G95" s="615"/>
      <c r="H95" s="615"/>
      <c r="I95" s="615"/>
      <c r="J95" s="615"/>
      <c r="K95" s="615"/>
      <c r="L95" s="615"/>
      <c r="M95" s="615"/>
      <c r="N95" s="2772">
        <f>SUMIF(MATRIZCTAS!$AB$7:$AB$1766,'Cuadros Notas (IFRS)'!$B95,MATRIZCTAS!$AH$7:$AH$1766)</f>
        <v>5957110</v>
      </c>
      <c r="O95" s="2773"/>
      <c r="P95" s="2774"/>
      <c r="Q95" s="1180">
        <f>N95/$N$94*100</f>
        <v>42.118222543431273</v>
      </c>
    </row>
    <row r="96" spans="2:19" ht="12.75">
      <c r="B96" s="808" t="s">
        <v>2992</v>
      </c>
      <c r="C96" s="623"/>
      <c r="D96" s="623"/>
      <c r="E96" s="623"/>
      <c r="F96" s="615"/>
      <c r="G96" s="615"/>
      <c r="H96" s="615"/>
      <c r="I96" s="615"/>
      <c r="J96" s="615"/>
      <c r="K96" s="615"/>
      <c r="L96" s="615"/>
      <c r="M96" s="615"/>
      <c r="N96" s="2772">
        <f>SUMIF(MATRIZCTAS!$AB$7:$AB$1766,'Cuadros Notas (IFRS)'!$B96,MATRIZCTAS!$AH$7:$AH$1766)</f>
        <v>1506650</v>
      </c>
      <c r="O96" s="2773"/>
      <c r="P96" s="2774"/>
      <c r="Q96" s="1180">
        <f t="shared" ref="Q96:Q107" si="0">N96/$N$94*100</f>
        <v>10.652383453564013</v>
      </c>
    </row>
    <row r="97" spans="2:17" ht="12.75">
      <c r="B97" s="808" t="s">
        <v>2984</v>
      </c>
      <c r="C97" s="623"/>
      <c r="D97" s="623"/>
      <c r="E97" s="623"/>
      <c r="F97" s="615"/>
      <c r="G97" s="615"/>
      <c r="H97" s="615"/>
      <c r="I97" s="615"/>
      <c r="J97" s="615"/>
      <c r="K97" s="615"/>
      <c r="L97" s="615"/>
      <c r="M97" s="615"/>
      <c r="N97" s="2772">
        <f>SUMIF(MATRIZCTAS!$AB$7:$AB$1766,'Cuadros Notas (IFRS)'!$B97,MATRIZCTAS!$AH$7:$AH$1766)</f>
        <v>415302</v>
      </c>
      <c r="O97" s="2773"/>
      <c r="P97" s="2774"/>
      <c r="Q97" s="1180">
        <f t="shared" si="0"/>
        <v>2.9362865649168968</v>
      </c>
    </row>
    <row r="98" spans="2:17" ht="12.75">
      <c r="B98" s="808" t="s">
        <v>2996</v>
      </c>
      <c r="C98" s="623"/>
      <c r="D98" s="623"/>
      <c r="E98" s="623"/>
      <c r="F98" s="615"/>
      <c r="G98" s="615"/>
      <c r="H98" s="615"/>
      <c r="I98" s="615"/>
      <c r="J98" s="615"/>
      <c r="K98" s="615"/>
      <c r="L98" s="615"/>
      <c r="M98" s="615"/>
      <c r="N98" s="2772">
        <f>SUMIF(MATRIZCTAS!$AB$7:$AB$1766,'Cuadros Notas (IFRS)'!$B98,MATRIZCTAS!$AH$7:$AH$1766)</f>
        <v>3056503</v>
      </c>
      <c r="O98" s="2773"/>
      <c r="P98" s="2774"/>
      <c r="Q98" s="1180">
        <f t="shared" si="0"/>
        <v>21.610222668150382</v>
      </c>
    </row>
    <row r="99" spans="2:17" ht="12.75">
      <c r="B99" s="808" t="s">
        <v>2993</v>
      </c>
      <c r="C99" s="623"/>
      <c r="D99" s="623"/>
      <c r="E99" s="623"/>
      <c r="F99" s="615"/>
      <c r="G99" s="615"/>
      <c r="H99" s="615"/>
      <c r="I99" s="615"/>
      <c r="J99" s="615"/>
      <c r="K99" s="615"/>
      <c r="L99" s="615"/>
      <c r="M99" s="615"/>
      <c r="N99" s="2772">
        <f>SUMIF(MATRIZCTAS!$AB$7:$AB$1766,'Cuadros Notas (IFRS)'!$B99,MATRIZCTAS!$AH$7:$AH$1766)</f>
        <v>264888</v>
      </c>
      <c r="O99" s="2773"/>
      <c r="P99" s="2774"/>
      <c r="Q99" s="1180">
        <f t="shared" si="0"/>
        <v>1.8728228508596321</v>
      </c>
    </row>
    <row r="100" spans="2:17" ht="12.75">
      <c r="B100" s="808" t="s">
        <v>2997</v>
      </c>
      <c r="C100" s="623"/>
      <c r="D100" s="623"/>
      <c r="E100" s="623"/>
      <c r="F100" s="615"/>
      <c r="G100" s="615"/>
      <c r="H100" s="615"/>
      <c r="I100" s="615"/>
      <c r="J100" s="615"/>
      <c r="K100" s="615"/>
      <c r="L100" s="615"/>
      <c r="M100" s="615"/>
      <c r="N100" s="2772">
        <f>SUMIF(MATRIZCTAS!$AB$7:$AB$1766,'Cuadros Notas (IFRS)'!$B100,MATRIZCTAS!$AH$7:$AH$1766)</f>
        <v>180774</v>
      </c>
      <c r="O100" s="2773"/>
      <c r="P100" s="2774"/>
      <c r="Q100" s="1180">
        <f t="shared" si="0"/>
        <v>1.2781163285664097</v>
      </c>
    </row>
    <row r="101" spans="2:17" ht="12.75">
      <c r="B101" s="808" t="s">
        <v>2990</v>
      </c>
      <c r="C101" s="623"/>
      <c r="D101" s="623"/>
      <c r="E101" s="623"/>
      <c r="F101" s="615"/>
      <c r="G101" s="615"/>
      <c r="H101" s="615"/>
      <c r="I101" s="615"/>
      <c r="J101" s="615"/>
      <c r="K101" s="615"/>
      <c r="L101" s="615"/>
      <c r="M101" s="615"/>
      <c r="N101" s="2772">
        <f>SUMIF(MATRIZCTAS!$AB$7:$AB$1766,'Cuadros Notas (IFRS)'!$B101,MATRIZCTAS!$AH$7:$AH$1766)</f>
        <v>384823</v>
      </c>
      <c r="O101" s="2773"/>
      <c r="P101" s="2774"/>
      <c r="Q101" s="1180">
        <f t="shared" si="0"/>
        <v>2.720792591345611</v>
      </c>
    </row>
    <row r="102" spans="2:17" ht="12.75">
      <c r="B102" s="808" t="s">
        <v>2989</v>
      </c>
      <c r="C102" s="623"/>
      <c r="D102" s="623"/>
      <c r="E102" s="623"/>
      <c r="F102" s="615"/>
      <c r="G102" s="615"/>
      <c r="H102" s="615"/>
      <c r="I102" s="615"/>
      <c r="J102" s="615"/>
      <c r="K102" s="615"/>
      <c r="L102" s="615"/>
      <c r="M102" s="615"/>
      <c r="N102" s="2772">
        <f>SUMIF(MATRIZCTAS!$AB$7:$AB$1766,'Cuadros Notas (IFRS)'!$B102,MATRIZCTAS!$AH$7:$AH$1766)</f>
        <v>693785</v>
      </c>
      <c r="O102" s="2773"/>
      <c r="P102" s="2774"/>
      <c r="Q102" s="1180">
        <f t="shared" si="0"/>
        <v>4.9052293859429259</v>
      </c>
    </row>
    <row r="103" spans="2:17" ht="12.75">
      <c r="B103" s="808" t="s">
        <v>2988</v>
      </c>
      <c r="C103" s="623"/>
      <c r="D103" s="623"/>
      <c r="E103" s="623"/>
      <c r="F103" s="615"/>
      <c r="G103" s="615"/>
      <c r="H103" s="615"/>
      <c r="I103" s="615"/>
      <c r="J103" s="615"/>
      <c r="K103" s="615"/>
      <c r="L103" s="615"/>
      <c r="M103" s="615"/>
      <c r="N103" s="2772">
        <f>SUMIF(MATRIZCTAS!$AB$7:$AB$1766,'Cuadros Notas (IFRS)'!$B103,MATRIZCTAS!$AH$7:$AH$1766)</f>
        <v>81494</v>
      </c>
      <c r="O103" s="2773"/>
      <c r="P103" s="2774"/>
      <c r="Q103" s="1180">
        <f t="shared" si="0"/>
        <v>0.5761824824376901</v>
      </c>
    </row>
    <row r="104" spans="2:17" ht="12.75">
      <c r="B104" s="808" t="s">
        <v>2985</v>
      </c>
      <c r="C104" s="623"/>
      <c r="D104" s="623"/>
      <c r="E104" s="623"/>
      <c r="F104" s="615"/>
      <c r="G104" s="615"/>
      <c r="H104" s="615"/>
      <c r="I104" s="615"/>
      <c r="J104" s="615"/>
      <c r="K104" s="615"/>
      <c r="L104" s="615"/>
      <c r="M104" s="615"/>
      <c r="N104" s="2772">
        <f>SUMIF(MATRIZCTAS!$AB$7:$AB$1766,'Cuadros Notas (IFRS)'!$B104,MATRIZCTAS!$AH$7:$AH$1766)</f>
        <v>310109</v>
      </c>
      <c r="O104" s="2773"/>
      <c r="P104" s="2774"/>
      <c r="Q104" s="1180">
        <f t="shared" si="0"/>
        <v>2.1925463647172756</v>
      </c>
    </row>
    <row r="105" spans="2:17" ht="12.75">
      <c r="B105" s="808" t="s">
        <v>2986</v>
      </c>
      <c r="C105" s="623"/>
      <c r="D105" s="623"/>
      <c r="E105" s="623"/>
      <c r="F105" s="615"/>
      <c r="G105" s="615"/>
      <c r="H105" s="615"/>
      <c r="I105" s="615"/>
      <c r="J105" s="615"/>
      <c r="K105" s="615"/>
      <c r="L105" s="615"/>
      <c r="M105" s="615"/>
      <c r="N105" s="2772">
        <f>SUMIF(MATRIZCTAS!$AB$7:$AB$1766,'Cuadros Notas (IFRS)'!$B105,MATRIZCTAS!$AH$7:$AH$1766)</f>
        <v>316254</v>
      </c>
      <c r="O105" s="2773"/>
      <c r="P105" s="2774"/>
      <c r="Q105" s="1180">
        <f t="shared" si="0"/>
        <v>2.2359930154471401</v>
      </c>
    </row>
    <row r="106" spans="2:17" ht="12.75">
      <c r="B106" s="808" t="s">
        <v>2987</v>
      </c>
      <c r="C106" s="623"/>
      <c r="D106" s="623"/>
      <c r="E106" s="623"/>
      <c r="F106" s="615"/>
      <c r="G106" s="615"/>
      <c r="H106" s="615"/>
      <c r="I106" s="615"/>
      <c r="J106" s="615"/>
      <c r="K106" s="615"/>
      <c r="L106" s="615"/>
      <c r="M106" s="615"/>
      <c r="N106" s="2772">
        <f>SUMIF(MATRIZCTAS!$AB$7:$AB$1766,'Cuadros Notas (IFRS)'!$B106,MATRIZCTAS!$AH$7:$AH$1766)</f>
        <v>122954</v>
      </c>
      <c r="O106" s="2773"/>
      <c r="P106" s="2774"/>
      <c r="Q106" s="1180">
        <f t="shared" si="0"/>
        <v>0.86931480778515913</v>
      </c>
    </row>
    <row r="107" spans="2:17" ht="13.5" thickBot="1">
      <c r="B107" s="822" t="s">
        <v>2991</v>
      </c>
      <c r="C107" s="607"/>
      <c r="D107" s="607"/>
      <c r="E107" s="607"/>
      <c r="F107" s="609"/>
      <c r="G107" s="609"/>
      <c r="H107" s="609"/>
      <c r="I107" s="609"/>
      <c r="J107" s="609"/>
      <c r="K107" s="609"/>
      <c r="L107" s="609"/>
      <c r="M107" s="609"/>
      <c r="N107" s="2775">
        <f>SUMIF(MATRIZCTAS!$AB$7:$AB$1766,'Cuadros Notas (IFRS)'!$B107,MATRIZCTAS!$AH$7:$AH$1766)</f>
        <v>853137</v>
      </c>
      <c r="O107" s="2776"/>
      <c r="P107" s="2777"/>
      <c r="Q107" s="1180">
        <f t="shared" si="0"/>
        <v>6.031886942835591</v>
      </c>
    </row>
  </sheetData>
  <mergeCells count="136">
    <mergeCell ref="K81:M81"/>
    <mergeCell ref="N81:P81"/>
    <mergeCell ref="K83:M83"/>
    <mergeCell ref="N83:P83"/>
    <mergeCell ref="K87:M87"/>
    <mergeCell ref="N87:P87"/>
    <mergeCell ref="K91:M91"/>
    <mergeCell ref="N91:P91"/>
    <mergeCell ref="K88:M88"/>
    <mergeCell ref="N88:P88"/>
    <mergeCell ref="K89:M89"/>
    <mergeCell ref="N89:P89"/>
    <mergeCell ref="K90:M90"/>
    <mergeCell ref="N90:P90"/>
    <mergeCell ref="N85:P85"/>
    <mergeCell ref="K86:M86"/>
    <mergeCell ref="N86:P86"/>
    <mergeCell ref="K84:M84"/>
    <mergeCell ref="N84:P84"/>
    <mergeCell ref="K85:M85"/>
    <mergeCell ref="K79:M79"/>
    <mergeCell ref="N79:P79"/>
    <mergeCell ref="K80:M80"/>
    <mergeCell ref="N80:P80"/>
    <mergeCell ref="K75:M75"/>
    <mergeCell ref="N75:P75"/>
    <mergeCell ref="K76:M76"/>
    <mergeCell ref="N76:P76"/>
    <mergeCell ref="K78:M78"/>
    <mergeCell ref="N78:P78"/>
    <mergeCell ref="B67:J67"/>
    <mergeCell ref="K67:M67"/>
    <mergeCell ref="K68:M68"/>
    <mergeCell ref="N68:P68"/>
    <mergeCell ref="K69:M69"/>
    <mergeCell ref="K72:M72"/>
    <mergeCell ref="K73:M73"/>
    <mergeCell ref="S51:U51"/>
    <mergeCell ref="V51:X51"/>
    <mergeCell ref="N60:P60"/>
    <mergeCell ref="N61:P61"/>
    <mergeCell ref="N62:P62"/>
    <mergeCell ref="N63:P63"/>
    <mergeCell ref="N67:P67"/>
    <mergeCell ref="N69:P69"/>
    <mergeCell ref="N72:P72"/>
    <mergeCell ref="N73:P73"/>
    <mergeCell ref="N66:P66"/>
    <mergeCell ref="K70:M70"/>
    <mergeCell ref="N70:P70"/>
    <mergeCell ref="K71:M71"/>
    <mergeCell ref="N71:P71"/>
    <mergeCell ref="M47:O47"/>
    <mergeCell ref="P47:R47"/>
    <mergeCell ref="S47:U47"/>
    <mergeCell ref="V47:X47"/>
    <mergeCell ref="J49:L49"/>
    <mergeCell ref="M49:O49"/>
    <mergeCell ref="P49:R49"/>
    <mergeCell ref="G48:I48"/>
    <mergeCell ref="G49:I49"/>
    <mergeCell ref="J48:L48"/>
    <mergeCell ref="M48:O48"/>
    <mergeCell ref="P48:R48"/>
    <mergeCell ref="B45:F45"/>
    <mergeCell ref="G45:I45"/>
    <mergeCell ref="J45:L45"/>
    <mergeCell ref="M45:O45"/>
    <mergeCell ref="P45:R45"/>
    <mergeCell ref="N54:P54"/>
    <mergeCell ref="N55:P55"/>
    <mergeCell ref="N57:P57"/>
    <mergeCell ref="G46:I46"/>
    <mergeCell ref="J46:L46"/>
    <mergeCell ref="M46:O46"/>
    <mergeCell ref="P46:R46"/>
    <mergeCell ref="B51:F51"/>
    <mergeCell ref="G51:I51"/>
    <mergeCell ref="J51:L51"/>
    <mergeCell ref="M51:O51"/>
    <mergeCell ref="P51:R51"/>
    <mergeCell ref="N56:P56"/>
    <mergeCell ref="G50:I50"/>
    <mergeCell ref="J50:L50"/>
    <mergeCell ref="M50:O50"/>
    <mergeCell ref="P50:R50"/>
    <mergeCell ref="G47:I47"/>
    <mergeCell ref="J47:L47"/>
    <mergeCell ref="N7:P7"/>
    <mergeCell ref="N8:P8"/>
    <mergeCell ref="N25:P25"/>
    <mergeCell ref="N26:P26"/>
    <mergeCell ref="N27:P27"/>
    <mergeCell ref="N28:P28"/>
    <mergeCell ref="N29:P29"/>
    <mergeCell ref="N30:P30"/>
    <mergeCell ref="N33:P33"/>
    <mergeCell ref="N11:P11"/>
    <mergeCell ref="N12:P12"/>
    <mergeCell ref="N13:P13"/>
    <mergeCell ref="N16:P16"/>
    <mergeCell ref="N17:P17"/>
    <mergeCell ref="N18:P18"/>
    <mergeCell ref="N103:P103"/>
    <mergeCell ref="N104:P104"/>
    <mergeCell ref="N105:P105"/>
    <mergeCell ref="N106:P106"/>
    <mergeCell ref="N107:P107"/>
    <mergeCell ref="S45:U45"/>
    <mergeCell ref="V45:X45"/>
    <mergeCell ref="N19:P19"/>
    <mergeCell ref="N9:P9"/>
    <mergeCell ref="N10:P10"/>
    <mergeCell ref="N20:P20"/>
    <mergeCell ref="N21:P21"/>
    <mergeCell ref="N22:P22"/>
    <mergeCell ref="N34:P34"/>
    <mergeCell ref="N35:P35"/>
    <mergeCell ref="N36:P36"/>
    <mergeCell ref="N37:P37"/>
    <mergeCell ref="N38:P38"/>
    <mergeCell ref="N39:P39"/>
    <mergeCell ref="N40:P40"/>
    <mergeCell ref="N41:P41"/>
    <mergeCell ref="N42:P42"/>
    <mergeCell ref="S46:U46"/>
    <mergeCell ref="V46:X46"/>
    <mergeCell ref="N94:P94"/>
    <mergeCell ref="N95:P95"/>
    <mergeCell ref="N96:P96"/>
    <mergeCell ref="N97:P97"/>
    <mergeCell ref="N98:P98"/>
    <mergeCell ref="N99:P99"/>
    <mergeCell ref="N100:P100"/>
    <mergeCell ref="N101:P101"/>
    <mergeCell ref="N102:P102"/>
  </mergeCells>
  <printOptions horizontalCentered="1"/>
  <pageMargins left="0.23622047244094491" right="0.23622047244094491" top="0.74803149606299213" bottom="0.74803149606299213" header="0.31496062992125984" footer="0.31496062992125984"/>
  <pageSetup paperSize="119" scale="205" orientation="portrait" r:id="rId1"/>
  <headerFooter alignWithMargins="0">
    <oddFooter>&amp;L&amp;A&amp;C&amp;F&amp;RPágina &amp;P
&amp;D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tabColor theme="7" tint="-0.249977111117893"/>
  </sheetPr>
  <dimension ref="A1:AN114"/>
  <sheetViews>
    <sheetView showGridLines="0" topLeftCell="B1" zoomScale="80" zoomScaleNormal="80" workbookViewId="0">
      <selection activeCell="G34" sqref="G34"/>
    </sheetView>
  </sheetViews>
  <sheetFormatPr baseColWidth="10" defaultRowHeight="11.25"/>
  <cols>
    <col min="1" max="1" width="2.83203125" style="36" customWidth="1"/>
    <col min="2" max="2" width="16.33203125" style="36" customWidth="1"/>
    <col min="3" max="3" width="59" style="36" bestFit="1" customWidth="1"/>
    <col min="4" max="5" width="19.6640625" style="47" customWidth="1"/>
    <col min="6" max="7" width="15.83203125" style="36" customWidth="1"/>
    <col min="8" max="8" width="17.1640625" style="36" customWidth="1"/>
    <col min="9" max="18" width="15.83203125" style="36" customWidth="1"/>
    <col min="19" max="19" width="20" style="36" customWidth="1"/>
    <col min="20" max="21" width="15.83203125" style="36" customWidth="1"/>
    <col min="22" max="22" width="19" style="36" customWidth="1"/>
    <col min="23" max="31" width="15.83203125" style="36" customWidth="1"/>
    <col min="32" max="32" width="19.83203125" style="36" customWidth="1"/>
    <col min="33" max="33" width="15.83203125" style="36" customWidth="1"/>
    <col min="34" max="34" width="17.6640625" style="36" customWidth="1"/>
    <col min="35" max="35" width="17.5" style="36" customWidth="1"/>
    <col min="36" max="36" width="18.5" style="36" customWidth="1"/>
    <col min="37" max="37" width="17.6640625" style="36" customWidth="1"/>
    <col min="38" max="38" width="21.33203125" style="36" customWidth="1"/>
    <col min="39" max="16384" width="12" style="36"/>
  </cols>
  <sheetData>
    <row r="1" spans="1:38" ht="29.25">
      <c r="A1" s="35" t="s">
        <v>1739</v>
      </c>
    </row>
    <row r="2" spans="1:38" ht="18.75" thickBot="1">
      <c r="A2" s="37" t="s">
        <v>1814</v>
      </c>
      <c r="B2" s="38"/>
      <c r="C2" s="38"/>
      <c r="D2" s="594"/>
      <c r="E2" s="594"/>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row>
    <row r="3" spans="1:38">
      <c r="AI3" s="63"/>
    </row>
    <row r="4" spans="1:38">
      <c r="B4" s="41" t="s">
        <v>64</v>
      </c>
      <c r="D4" s="108">
        <f>+EEFF!$E$22</f>
        <v>40909</v>
      </c>
      <c r="E4" s="108"/>
      <c r="F4" s="108">
        <f>+EEFF!$G$7</f>
        <v>41121</v>
      </c>
      <c r="G4" s="108"/>
      <c r="H4" s="108"/>
      <c r="I4" s="108"/>
      <c r="AI4" s="63"/>
    </row>
    <row r="5" spans="1:38">
      <c r="B5" s="41"/>
      <c r="D5" s="108"/>
      <c r="E5" s="108"/>
      <c r="F5" s="108"/>
      <c r="G5" s="108"/>
      <c r="H5" s="108"/>
      <c r="I5" s="108"/>
      <c r="AI5" s="63"/>
    </row>
    <row r="6" spans="1:38">
      <c r="B6" s="1285" t="s">
        <v>3374</v>
      </c>
      <c r="D6" s="108"/>
      <c r="E6" s="108"/>
      <c r="F6" s="108"/>
      <c r="G6" s="108"/>
      <c r="H6" s="108"/>
      <c r="I6" s="108"/>
      <c r="AI6" s="63"/>
    </row>
    <row r="7" spans="1:38" ht="12" thickBot="1"/>
    <row r="8" spans="1:38" ht="54" customHeight="1">
      <c r="B8" s="2801" t="s">
        <v>3372</v>
      </c>
      <c r="C8" s="2803" t="s">
        <v>3373</v>
      </c>
      <c r="D8" s="132" t="str">
        <f t="shared" ref="D8:AL8" si="0">VLOOKUP(D9,SVRAMO,2,FALSE)</f>
        <v>TOTAL RAMOS</v>
      </c>
      <c r="E8" s="132" t="str">
        <f t="shared" si="0"/>
        <v>TOTAL SEGUROS NO PREVISIONALES</v>
      </c>
      <c r="F8" s="132" t="str">
        <f t="shared" si="0"/>
        <v>Vida Entera</v>
      </c>
      <c r="G8" s="132" t="str">
        <f t="shared" si="0"/>
        <v>Temporal de Vida</v>
      </c>
      <c r="H8" s="132" t="str">
        <f t="shared" si="0"/>
        <v>Otros Seguros con Cuenta Unica de Inversión (CUI)</v>
      </c>
      <c r="I8" s="132" t="str">
        <f t="shared" si="0"/>
        <v>Mixto o Dotal</v>
      </c>
      <c r="J8" s="132" t="str">
        <f t="shared" si="0"/>
        <v>Renta</v>
      </c>
      <c r="K8" s="132" t="str">
        <f t="shared" si="0"/>
        <v>Dotal Puro o Capital diferido</v>
      </c>
      <c r="L8" s="132" t="str">
        <f t="shared" si="0"/>
        <v>Protección Familiar</v>
      </c>
      <c r="M8" s="132" t="str">
        <f t="shared" si="0"/>
        <v>Incapacidad o Invalidez</v>
      </c>
      <c r="N8" s="132" t="str">
        <f t="shared" si="0"/>
        <v>Salud</v>
      </c>
      <c r="O8" s="132" t="str">
        <f t="shared" si="0"/>
        <v>Accidentes Personales</v>
      </c>
      <c r="P8" s="132" t="str">
        <f t="shared" si="0"/>
        <v>Asistencia</v>
      </c>
      <c r="Q8" s="132" t="str">
        <f t="shared" si="0"/>
        <v>Desgravamen</v>
      </c>
      <c r="R8" s="132" t="str">
        <f t="shared" si="0"/>
        <v>SOAP</v>
      </c>
      <c r="S8" s="132" t="str">
        <f t="shared" si="0"/>
        <v>Seguros con Ahorro Previsional Voluntario (APV)</v>
      </c>
      <c r="T8" s="132" t="str">
        <f t="shared" si="0"/>
        <v>Vida Entera</v>
      </c>
      <c r="U8" s="132" t="str">
        <f t="shared" si="0"/>
        <v>Temporal de Vida</v>
      </c>
      <c r="V8" s="132" t="str">
        <f t="shared" si="0"/>
        <v>Otros Seguros con Cuenta Unica de Inversión (CUI)</v>
      </c>
      <c r="W8" s="132" t="str">
        <f t="shared" si="0"/>
        <v>Mixto o Dotal</v>
      </c>
      <c r="X8" s="132" t="str">
        <f t="shared" si="0"/>
        <v>Renta</v>
      </c>
      <c r="Y8" s="132" t="str">
        <f t="shared" si="0"/>
        <v>Dotal Puro o Capital Diferido</v>
      </c>
      <c r="Z8" s="132" t="str">
        <f t="shared" si="0"/>
        <v>Protección Familiar</v>
      </c>
      <c r="AA8" s="132" t="str">
        <f t="shared" si="0"/>
        <v>Incapacidad o Invalidez</v>
      </c>
      <c r="AB8" s="132" t="str">
        <f t="shared" si="0"/>
        <v>Salud</v>
      </c>
      <c r="AC8" s="132" t="str">
        <f t="shared" si="0"/>
        <v>Accidentes Personales</v>
      </c>
      <c r="AD8" s="132" t="str">
        <f t="shared" si="0"/>
        <v>Asistencia</v>
      </c>
      <c r="AE8" s="132" t="str">
        <f t="shared" si="0"/>
        <v>Desgravamen</v>
      </c>
      <c r="AF8" s="132" t="str">
        <f t="shared" si="0"/>
        <v>Seguros con Ahorro Previsional Voluntario (APV)</v>
      </c>
      <c r="AG8" s="132" t="s">
        <v>998</v>
      </c>
      <c r="AH8" s="132" t="str">
        <f t="shared" si="0"/>
        <v>Seguro de AFP</v>
      </c>
      <c r="AI8" s="132" t="str">
        <f t="shared" si="0"/>
        <v>Renta Vitalicia Vejez</v>
      </c>
      <c r="AJ8" s="132" t="str">
        <f t="shared" si="0"/>
        <v>Renta Vitalicia Invalidez</v>
      </c>
      <c r="AK8" s="398" t="str">
        <f t="shared" si="0"/>
        <v>Renta Vitalicia Sobrevivencia</v>
      </c>
      <c r="AL8" s="136" t="str">
        <f t="shared" si="0"/>
        <v>Invalidez y Sobrevivencia</v>
      </c>
    </row>
    <row r="9" spans="1:38" ht="15" customHeight="1" thickBot="1">
      <c r="B9" s="2802"/>
      <c r="C9" s="2804"/>
      <c r="D9" s="134">
        <v>999</v>
      </c>
      <c r="E9" s="134">
        <v>300</v>
      </c>
      <c r="F9" s="134">
        <v>101</v>
      </c>
      <c r="G9" s="134">
        <v>102</v>
      </c>
      <c r="H9" s="134">
        <v>103</v>
      </c>
      <c r="I9" s="134">
        <v>104</v>
      </c>
      <c r="J9" s="134">
        <v>105</v>
      </c>
      <c r="K9" s="134">
        <v>106</v>
      </c>
      <c r="L9" s="134">
        <v>107</v>
      </c>
      <c r="M9" s="134">
        <v>108</v>
      </c>
      <c r="N9" s="134">
        <v>109</v>
      </c>
      <c r="O9" s="134">
        <v>110</v>
      </c>
      <c r="P9" s="134">
        <v>111</v>
      </c>
      <c r="Q9" s="134">
        <v>112</v>
      </c>
      <c r="R9" s="134">
        <v>113</v>
      </c>
      <c r="S9" s="134">
        <v>114</v>
      </c>
      <c r="T9" s="134">
        <v>201</v>
      </c>
      <c r="U9" s="134">
        <v>202</v>
      </c>
      <c r="V9" s="134">
        <v>203</v>
      </c>
      <c r="W9" s="134">
        <v>204</v>
      </c>
      <c r="X9" s="134">
        <v>205</v>
      </c>
      <c r="Y9" s="134">
        <v>206</v>
      </c>
      <c r="Z9" s="134">
        <v>207</v>
      </c>
      <c r="AA9" s="134">
        <v>208</v>
      </c>
      <c r="AB9" s="134">
        <v>209</v>
      </c>
      <c r="AC9" s="134">
        <v>210</v>
      </c>
      <c r="AD9" s="134">
        <v>211</v>
      </c>
      <c r="AE9" s="134">
        <v>212</v>
      </c>
      <c r="AF9" s="134">
        <v>213</v>
      </c>
      <c r="AG9" s="134">
        <v>214</v>
      </c>
      <c r="AH9" s="134">
        <v>420</v>
      </c>
      <c r="AI9" s="134">
        <v>421</v>
      </c>
      <c r="AJ9" s="134">
        <v>422</v>
      </c>
      <c r="AK9" s="399">
        <v>423</v>
      </c>
      <c r="AL9" s="403">
        <v>424</v>
      </c>
    </row>
    <row r="10" spans="1:38" s="47" customFormat="1" ht="15" customHeight="1">
      <c r="B10" s="113" t="s">
        <v>3227</v>
      </c>
      <c r="C10" s="114" t="s">
        <v>66</v>
      </c>
      <c r="D10" s="1168">
        <f>SUM(F10:AL10)</f>
        <v>-28292226.295170277</v>
      </c>
      <c r="E10" s="1168">
        <f>SUM(F10:AG10)</f>
        <v>7932704.7048297226</v>
      </c>
      <c r="F10" s="1168">
        <f>F12+F16+F22+F26+F30+F35+F36+F37</f>
        <v>549753.87708794686</v>
      </c>
      <c r="G10" s="1168">
        <f>G12+G16+G22+G26+G30+G35+G36+G37</f>
        <v>393521.53103723284</v>
      </c>
      <c r="H10" s="1168">
        <f t="shared" ref="H10:AL10" si="1">H12+H16+H22+H26+H30+H35+H36+H37</f>
        <v>148089.31665966171</v>
      </c>
      <c r="I10" s="1168">
        <f t="shared" si="1"/>
        <v>-64184.696741683758</v>
      </c>
      <c r="J10" s="1168">
        <f t="shared" si="1"/>
        <v>-673171</v>
      </c>
      <c r="K10" s="1168">
        <f t="shared" si="1"/>
        <v>0</v>
      </c>
      <c r="L10" s="1168">
        <f t="shared" si="1"/>
        <v>0</v>
      </c>
      <c r="M10" s="1168">
        <f t="shared" si="1"/>
        <v>4535.7959372980122</v>
      </c>
      <c r="N10" s="1168">
        <f t="shared" si="1"/>
        <v>131623.2208685464</v>
      </c>
      <c r="O10" s="1168">
        <f t="shared" si="1"/>
        <v>80007.564960215823</v>
      </c>
      <c r="P10" s="1168">
        <f t="shared" si="1"/>
        <v>0</v>
      </c>
      <c r="Q10" s="1168">
        <f t="shared" si="1"/>
        <v>43288.412456159786</v>
      </c>
      <c r="R10" s="1168">
        <f t="shared" si="1"/>
        <v>0</v>
      </c>
      <c r="S10" s="1168">
        <f t="shared" si="1"/>
        <v>117268.32955145391</v>
      </c>
      <c r="T10" s="1168">
        <f t="shared" si="1"/>
        <v>0</v>
      </c>
      <c r="U10" s="1168">
        <f t="shared" si="1"/>
        <v>5164827</v>
      </c>
      <c r="V10" s="1168">
        <f t="shared" si="1"/>
        <v>0</v>
      </c>
      <c r="W10" s="1168">
        <f t="shared" si="1"/>
        <v>0</v>
      </c>
      <c r="X10" s="1168">
        <f t="shared" si="1"/>
        <v>0</v>
      </c>
      <c r="Y10" s="1168">
        <f t="shared" si="1"/>
        <v>-401589</v>
      </c>
      <c r="Z10" s="1168">
        <f t="shared" si="1"/>
        <v>-7434.5782718512346</v>
      </c>
      <c r="AA10" s="1168">
        <f t="shared" si="1"/>
        <v>0</v>
      </c>
      <c r="AB10" s="1168">
        <f t="shared" si="1"/>
        <v>43814.428734060377</v>
      </c>
      <c r="AC10" s="1168">
        <f t="shared" si="1"/>
        <v>135364.61197908141</v>
      </c>
      <c r="AD10" s="1168">
        <f t="shared" si="1"/>
        <v>0</v>
      </c>
      <c r="AE10" s="1168">
        <f t="shared" si="1"/>
        <v>2745213.8905716017</v>
      </c>
      <c r="AF10" s="1168">
        <f t="shared" si="1"/>
        <v>-478224</v>
      </c>
      <c r="AG10" s="1168">
        <f t="shared" si="1"/>
        <v>0</v>
      </c>
      <c r="AH10" s="1168">
        <f t="shared" si="1"/>
        <v>-77012</v>
      </c>
      <c r="AI10" s="1168">
        <f t="shared" si="1"/>
        <v>-26618237</v>
      </c>
      <c r="AJ10" s="1168">
        <f t="shared" si="1"/>
        <v>-5751247</v>
      </c>
      <c r="AK10" s="1168">
        <f t="shared" si="1"/>
        <v>-3268055</v>
      </c>
      <c r="AL10" s="88">
        <f t="shared" si="1"/>
        <v>-510380</v>
      </c>
    </row>
    <row r="11" spans="1:38" s="47" customFormat="1" ht="15" customHeight="1">
      <c r="B11" s="113"/>
      <c r="C11" s="114"/>
      <c r="D11" s="1168"/>
      <c r="E11" s="1168"/>
      <c r="F11" s="1168"/>
      <c r="G11" s="1168"/>
      <c r="H11" s="1168"/>
      <c r="I11" s="1168"/>
      <c r="J11" s="1168"/>
      <c r="K11" s="1168"/>
      <c r="L11" s="1168"/>
      <c r="M11" s="1168"/>
      <c r="N11" s="1168"/>
      <c r="O11" s="1168"/>
      <c r="P11" s="1168"/>
      <c r="Q11" s="1168"/>
      <c r="R11" s="1168"/>
      <c r="S11" s="1168"/>
      <c r="T11" s="1168"/>
      <c r="U11" s="1168"/>
      <c r="V11" s="1168"/>
      <c r="W11" s="1168"/>
      <c r="X11" s="1168"/>
      <c r="Y11" s="1168"/>
      <c r="Z11" s="1168"/>
      <c r="AA11" s="1168"/>
      <c r="AB11" s="1168"/>
      <c r="AC11" s="1168"/>
      <c r="AD11" s="1168"/>
      <c r="AE11" s="1168"/>
      <c r="AF11" s="1168"/>
      <c r="AG11" s="1168"/>
      <c r="AH11" s="1168"/>
      <c r="AI11" s="1168"/>
      <c r="AJ11" s="1168"/>
      <c r="AK11" s="1286"/>
      <c r="AL11" s="1287"/>
    </row>
    <row r="12" spans="1:38" s="47" customFormat="1" ht="15" customHeight="1">
      <c r="B12" s="113" t="s">
        <v>3228</v>
      </c>
      <c r="C12" s="98" t="s">
        <v>2805</v>
      </c>
      <c r="D12" s="90">
        <f>SUM(F12:AL12)</f>
        <v>105226280</v>
      </c>
      <c r="E12" s="1168">
        <f>SUM(F12:AG12)</f>
        <v>36472369</v>
      </c>
      <c r="F12" s="90">
        <f>SUM(F13:F15)</f>
        <v>195908</v>
      </c>
      <c r="G12" s="90">
        <f t="shared" ref="G12:O12" si="2">SUM(G13:G15)</f>
        <v>205445</v>
      </c>
      <c r="H12" s="90">
        <f t="shared" si="2"/>
        <v>5083486</v>
      </c>
      <c r="I12" s="90">
        <f t="shared" si="2"/>
        <v>323136</v>
      </c>
      <c r="J12" s="90">
        <f t="shared" si="2"/>
        <v>603993</v>
      </c>
      <c r="K12" s="90">
        <f t="shared" si="2"/>
        <v>0</v>
      </c>
      <c r="L12" s="90">
        <f t="shared" si="2"/>
        <v>0</v>
      </c>
      <c r="M12" s="90">
        <f t="shared" si="2"/>
        <v>5640</v>
      </c>
      <c r="N12" s="90">
        <f t="shared" si="2"/>
        <v>229562</v>
      </c>
      <c r="O12" s="90">
        <f t="shared" si="2"/>
        <v>131447</v>
      </c>
      <c r="P12" s="90"/>
      <c r="Q12" s="90">
        <f t="shared" ref="Q12:AK12" si="3">SUM(Q13:Q15)</f>
        <v>25475</v>
      </c>
      <c r="R12" s="90">
        <f>SUM(R13:R15)</f>
        <v>0</v>
      </c>
      <c r="S12" s="90">
        <f t="shared" si="3"/>
        <v>231776</v>
      </c>
      <c r="T12" s="90">
        <f t="shared" si="3"/>
        <v>0</v>
      </c>
      <c r="U12" s="90">
        <f t="shared" si="3"/>
        <v>9774727</v>
      </c>
      <c r="V12" s="90">
        <f t="shared" si="3"/>
        <v>0</v>
      </c>
      <c r="W12" s="90">
        <f t="shared" si="3"/>
        <v>0</v>
      </c>
      <c r="X12" s="90">
        <f t="shared" si="3"/>
        <v>0</v>
      </c>
      <c r="Y12" s="90">
        <f t="shared" si="3"/>
        <v>0</v>
      </c>
      <c r="Z12" s="90">
        <f t="shared" si="3"/>
        <v>258959</v>
      </c>
      <c r="AA12" s="90">
        <f t="shared" si="3"/>
        <v>0</v>
      </c>
      <c r="AB12" s="90">
        <f t="shared" si="3"/>
        <v>15600594</v>
      </c>
      <c r="AC12" s="90">
        <f t="shared" si="3"/>
        <v>483192</v>
      </c>
      <c r="AD12" s="90">
        <f t="shared" si="3"/>
        <v>0</v>
      </c>
      <c r="AE12" s="90">
        <f t="shared" si="3"/>
        <v>3319029</v>
      </c>
      <c r="AF12" s="90">
        <f t="shared" si="3"/>
        <v>0</v>
      </c>
      <c r="AG12" s="90">
        <f t="shared" si="3"/>
        <v>0</v>
      </c>
      <c r="AH12" s="90">
        <f>SUM(AH13:AH15)</f>
        <v>-1088281</v>
      </c>
      <c r="AI12" s="90">
        <f t="shared" si="3"/>
        <v>32747594</v>
      </c>
      <c r="AJ12" s="90">
        <f t="shared" si="3"/>
        <v>31570662</v>
      </c>
      <c r="AK12" s="1169">
        <f t="shared" si="3"/>
        <v>5523936</v>
      </c>
      <c r="AL12" s="1170">
        <f>SUM(AL13:AL15)</f>
        <v>0</v>
      </c>
    </row>
    <row r="13" spans="1:38" ht="15" customHeight="1">
      <c r="B13" s="113" t="s">
        <v>3229</v>
      </c>
      <c r="C13" s="93" t="s">
        <v>999</v>
      </c>
      <c r="D13" s="90">
        <f>SUM(F13:AL13)</f>
        <v>106401989</v>
      </c>
      <c r="E13" s="1168">
        <f>SUM(F13:AG13)</f>
        <v>37648078</v>
      </c>
      <c r="F13" s="1064">
        <f>198053+1</f>
        <v>198054</v>
      </c>
      <c r="G13" s="1064">
        <v>234513</v>
      </c>
      <c r="H13" s="1064">
        <v>5119305</v>
      </c>
      <c r="I13" s="1064">
        <v>325152</v>
      </c>
      <c r="J13" s="1064">
        <v>603993</v>
      </c>
      <c r="K13" s="1064">
        <v>0</v>
      </c>
      <c r="L13" s="1064">
        <v>0</v>
      </c>
      <c r="M13" s="1064">
        <v>5640</v>
      </c>
      <c r="N13" s="1064">
        <v>505098</v>
      </c>
      <c r="O13" s="1064">
        <v>150033</v>
      </c>
      <c r="P13" s="1064">
        <v>0</v>
      </c>
      <c r="Q13" s="1064">
        <v>37026</v>
      </c>
      <c r="R13" s="1064">
        <v>0</v>
      </c>
      <c r="S13" s="1064">
        <f>21569+211633</f>
        <v>233202</v>
      </c>
      <c r="T13" s="1064">
        <v>0</v>
      </c>
      <c r="U13" s="1064">
        <f>4725951+5574023</f>
        <v>10299974</v>
      </c>
      <c r="V13" s="1064">
        <v>0</v>
      </c>
      <c r="W13" s="1064">
        <v>0</v>
      </c>
      <c r="X13" s="1064">
        <v>0</v>
      </c>
      <c r="Y13" s="1064">
        <v>0</v>
      </c>
      <c r="Z13" s="1064">
        <v>258959</v>
      </c>
      <c r="AA13" s="1064">
        <v>0</v>
      </c>
      <c r="AB13" s="1064">
        <f>15665117+731</f>
        <v>15665848</v>
      </c>
      <c r="AC13" s="1064">
        <f>122314+378377</f>
        <v>500691</v>
      </c>
      <c r="AD13" s="1064">
        <v>0</v>
      </c>
      <c r="AE13" s="1064">
        <f>97094+1689276+1724220</f>
        <v>3510590</v>
      </c>
      <c r="AF13" s="1064">
        <v>0</v>
      </c>
      <c r="AG13" s="1064">
        <v>0</v>
      </c>
      <c r="AH13" s="1437">
        <v>-1088281</v>
      </c>
      <c r="AI13" s="1064">
        <f>25827825+6919769</f>
        <v>32747594</v>
      </c>
      <c r="AJ13" s="1064">
        <f>30647195+923467</f>
        <v>31570662</v>
      </c>
      <c r="AK13" s="1064">
        <v>5523936</v>
      </c>
      <c r="AL13" s="1438">
        <v>0</v>
      </c>
    </row>
    <row r="14" spans="1:38" ht="15" customHeight="1">
      <c r="B14" s="113" t="s">
        <v>3230</v>
      </c>
      <c r="C14" s="93" t="s">
        <v>1000</v>
      </c>
      <c r="D14" s="90">
        <f t="shared" ref="D14:D29" si="4">SUM(F14:AL14)</f>
        <v>0</v>
      </c>
      <c r="E14" s="90"/>
      <c r="F14" s="1064"/>
      <c r="G14" s="1064"/>
      <c r="H14" s="1064"/>
      <c r="I14" s="1064"/>
      <c r="J14" s="1064"/>
      <c r="K14" s="1064"/>
      <c r="L14" s="1064"/>
      <c r="M14" s="1064"/>
      <c r="N14" s="1064"/>
      <c r="O14" s="1064"/>
      <c r="P14" s="1064"/>
      <c r="Q14" s="1064"/>
      <c r="R14" s="1064"/>
      <c r="S14" s="1064"/>
      <c r="T14" s="1064"/>
      <c r="U14" s="1064"/>
      <c r="V14" s="1064"/>
      <c r="W14" s="1064"/>
      <c r="X14" s="1064"/>
      <c r="Y14" s="1064"/>
      <c r="Z14" s="1064"/>
      <c r="AA14" s="1064"/>
      <c r="AB14" s="1064"/>
      <c r="AC14" s="1064"/>
      <c r="AD14" s="1064"/>
      <c r="AE14" s="1064"/>
      <c r="AF14" s="1064"/>
      <c r="AG14" s="1064"/>
      <c r="AH14" s="1064"/>
      <c r="AI14" s="1064"/>
      <c r="AJ14" s="1064"/>
      <c r="AK14" s="1055"/>
      <c r="AL14" s="1171"/>
    </row>
    <row r="15" spans="1:38" ht="15" customHeight="1">
      <c r="B15" s="113" t="s">
        <v>3231</v>
      </c>
      <c r="C15" s="93" t="s">
        <v>1601</v>
      </c>
      <c r="D15" s="90">
        <f>SUM(F15:AL15)</f>
        <v>-1175709</v>
      </c>
      <c r="E15" s="1168">
        <f>SUM(F15:AG15)</f>
        <v>-1175709</v>
      </c>
      <c r="F15" s="1064">
        <v>-2146</v>
      </c>
      <c r="G15" s="1064">
        <v>-29068</v>
      </c>
      <c r="H15" s="1064">
        <v>-35819</v>
      </c>
      <c r="I15" s="1064">
        <v>-2016</v>
      </c>
      <c r="J15" s="1064">
        <v>0</v>
      </c>
      <c r="K15" s="1064">
        <v>0</v>
      </c>
      <c r="L15" s="1064">
        <v>0</v>
      </c>
      <c r="M15" s="1064">
        <v>0</v>
      </c>
      <c r="N15" s="1064">
        <v>-275536</v>
      </c>
      <c r="O15" s="1064">
        <v>-18586</v>
      </c>
      <c r="P15" s="1064">
        <v>0</v>
      </c>
      <c r="Q15" s="1064">
        <v>-11551</v>
      </c>
      <c r="R15" s="1064">
        <v>0</v>
      </c>
      <c r="S15" s="1064">
        <v>-1426</v>
      </c>
      <c r="T15" s="1064">
        <v>0</v>
      </c>
      <c r="U15" s="1064">
        <f>-320035-205212</f>
        <v>-525247</v>
      </c>
      <c r="V15" s="1064">
        <v>0</v>
      </c>
      <c r="W15" s="1064">
        <v>0</v>
      </c>
      <c r="X15" s="1064">
        <v>0</v>
      </c>
      <c r="Y15" s="1064">
        <v>0</v>
      </c>
      <c r="Z15" s="1064">
        <v>0</v>
      </c>
      <c r="AA15" s="1064">
        <v>0</v>
      </c>
      <c r="AB15" s="1064">
        <v>-65254</v>
      </c>
      <c r="AC15" s="1064">
        <f>-17357-142</f>
        <v>-17499</v>
      </c>
      <c r="AD15" s="1064">
        <v>0</v>
      </c>
      <c r="AE15" s="1064">
        <f>-297-158896-31021-1347</f>
        <v>-191561</v>
      </c>
      <c r="AF15" s="1064">
        <v>0</v>
      </c>
      <c r="AG15" s="1064">
        <v>0</v>
      </c>
      <c r="AH15" s="1064">
        <v>0</v>
      </c>
      <c r="AI15" s="1064">
        <v>0</v>
      </c>
      <c r="AJ15" s="1064">
        <v>0</v>
      </c>
      <c r="AK15" s="1055">
        <v>0</v>
      </c>
      <c r="AL15" s="1171">
        <v>0</v>
      </c>
    </row>
    <row r="16" spans="1:38" ht="15" customHeight="1">
      <c r="B16" s="113" t="s">
        <v>3375</v>
      </c>
      <c r="C16" s="98" t="s">
        <v>2809</v>
      </c>
      <c r="D16" s="90">
        <f>SUM(F16:AL16)</f>
        <v>-2187376</v>
      </c>
      <c r="E16" s="1168">
        <f>SUM(F16:AG16)</f>
        <v>-2187376</v>
      </c>
      <c r="F16" s="90">
        <f>SUM(F17:F21)</f>
        <v>494139</v>
      </c>
      <c r="G16" s="90">
        <f t="shared" ref="G16:AL16" si="5">SUM(G17:G21)</f>
        <v>259340</v>
      </c>
      <c r="H16" s="90">
        <f t="shared" si="5"/>
        <v>-2318364</v>
      </c>
      <c r="I16" s="90">
        <f t="shared" si="5"/>
        <v>67112</v>
      </c>
      <c r="J16" s="90">
        <f t="shared" si="5"/>
        <v>0</v>
      </c>
      <c r="K16" s="90">
        <f t="shared" si="5"/>
        <v>0</v>
      </c>
      <c r="L16" s="90">
        <f t="shared" si="5"/>
        <v>0</v>
      </c>
      <c r="M16" s="90">
        <f t="shared" si="5"/>
        <v>-432</v>
      </c>
      <c r="N16" s="90">
        <f t="shared" si="5"/>
        <v>10097</v>
      </c>
      <c r="O16" s="90">
        <f t="shared" si="5"/>
        <v>-5225</v>
      </c>
      <c r="P16" s="90">
        <f t="shared" si="5"/>
        <v>0</v>
      </c>
      <c r="Q16" s="90">
        <f t="shared" si="5"/>
        <v>24442</v>
      </c>
      <c r="R16" s="90">
        <f t="shared" si="5"/>
        <v>0</v>
      </c>
      <c r="S16" s="90">
        <f t="shared" si="5"/>
        <v>-26698</v>
      </c>
      <c r="T16" s="90">
        <f t="shared" si="5"/>
        <v>0</v>
      </c>
      <c r="U16" s="90">
        <f t="shared" si="5"/>
        <v>-590178</v>
      </c>
      <c r="V16" s="90">
        <f t="shared" si="5"/>
        <v>0</v>
      </c>
      <c r="W16" s="90">
        <f t="shared" si="5"/>
        <v>0</v>
      </c>
      <c r="X16" s="90">
        <f t="shared" si="5"/>
        <v>0</v>
      </c>
      <c r="Y16" s="90">
        <f t="shared" si="5"/>
        <v>-401589</v>
      </c>
      <c r="Z16" s="90">
        <f t="shared" si="5"/>
        <v>-21345</v>
      </c>
      <c r="AA16" s="90">
        <f t="shared" si="5"/>
        <v>0</v>
      </c>
      <c r="AB16" s="90">
        <f t="shared" si="5"/>
        <v>-814953</v>
      </c>
      <c r="AC16" s="90">
        <f t="shared" si="5"/>
        <v>-322496</v>
      </c>
      <c r="AD16" s="90">
        <f t="shared" si="5"/>
        <v>0</v>
      </c>
      <c r="AE16" s="90">
        <f t="shared" si="5"/>
        <v>1458774</v>
      </c>
      <c r="AF16" s="90">
        <f t="shared" si="5"/>
        <v>0</v>
      </c>
      <c r="AG16" s="90">
        <f t="shared" si="5"/>
        <v>0</v>
      </c>
      <c r="AH16" s="90">
        <f t="shared" si="5"/>
        <v>0</v>
      </c>
      <c r="AI16" s="90">
        <f t="shared" si="5"/>
        <v>0</v>
      </c>
      <c r="AJ16" s="90">
        <f t="shared" si="5"/>
        <v>0</v>
      </c>
      <c r="AK16" s="90">
        <f t="shared" si="5"/>
        <v>0</v>
      </c>
      <c r="AL16" s="91">
        <f t="shared" si="5"/>
        <v>0</v>
      </c>
    </row>
    <row r="17" spans="2:38" ht="15" customHeight="1">
      <c r="B17" s="113" t="s">
        <v>3252</v>
      </c>
      <c r="C17" s="93" t="s">
        <v>3248</v>
      </c>
      <c r="D17" s="90">
        <f>SUM(F17:AL17)</f>
        <v>227772</v>
      </c>
      <c r="E17" s="1168">
        <f>SUM(F17:AG17)</f>
        <v>227772</v>
      </c>
      <c r="F17" s="1064">
        <v>-1448</v>
      </c>
      <c r="G17" s="1437">
        <v>-4486</v>
      </c>
      <c r="H17" s="1437">
        <v>-113581</v>
      </c>
      <c r="I17" s="1437">
        <v>-1685</v>
      </c>
      <c r="J17" s="1437">
        <v>0</v>
      </c>
      <c r="K17" s="1437">
        <v>0</v>
      </c>
      <c r="L17" s="1437">
        <v>0</v>
      </c>
      <c r="M17" s="1437">
        <v>-432</v>
      </c>
      <c r="N17" s="1437">
        <v>10097</v>
      </c>
      <c r="O17" s="1437">
        <v>-5225</v>
      </c>
      <c r="P17" s="1437">
        <f>+C_6.05!P12</f>
        <v>0</v>
      </c>
      <c r="Q17" s="1437">
        <v>-1990</v>
      </c>
      <c r="R17" s="1437">
        <v>0</v>
      </c>
      <c r="S17" s="1437">
        <v>-26698</v>
      </c>
      <c r="T17" s="1437">
        <v>0</v>
      </c>
      <c r="U17" s="1437">
        <v>-418021</v>
      </c>
      <c r="V17" s="1437">
        <v>0</v>
      </c>
      <c r="W17" s="1437">
        <v>0</v>
      </c>
      <c r="X17" s="1437">
        <v>0</v>
      </c>
      <c r="Y17" s="1437">
        <v>0</v>
      </c>
      <c r="Z17" s="1437">
        <v>-21345</v>
      </c>
      <c r="AA17" s="1437">
        <v>0</v>
      </c>
      <c r="AB17" s="1437">
        <v>-814953</v>
      </c>
      <c r="AC17" s="1437">
        <v>-329630</v>
      </c>
      <c r="AD17" s="1437">
        <v>0</v>
      </c>
      <c r="AE17" s="1437">
        <v>1957169</v>
      </c>
      <c r="AF17" s="1437">
        <v>0</v>
      </c>
      <c r="AG17" s="1437">
        <v>0</v>
      </c>
      <c r="AH17" s="1437">
        <v>0</v>
      </c>
      <c r="AI17" s="1437">
        <v>0</v>
      </c>
      <c r="AJ17" s="1437">
        <v>0</v>
      </c>
      <c r="AK17" s="1437">
        <v>0</v>
      </c>
      <c r="AL17" s="1438">
        <v>0</v>
      </c>
    </row>
    <row r="18" spans="2:38" ht="15" customHeight="1">
      <c r="B18" s="113" t="s">
        <v>3253</v>
      </c>
      <c r="C18" s="93" t="s">
        <v>3249</v>
      </c>
      <c r="D18" s="90">
        <f>SUM(F18:AL18)</f>
        <v>-210365</v>
      </c>
      <c r="E18" s="1168">
        <f>SUM(F18:AG18)</f>
        <v>-210365</v>
      </c>
      <c r="F18" s="1064">
        <v>495587</v>
      </c>
      <c r="G18" s="1064">
        <v>263826</v>
      </c>
      <c r="H18" s="1064">
        <v>0</v>
      </c>
      <c r="I18" s="1064">
        <v>68797</v>
      </c>
      <c r="J18" s="1064">
        <v>0</v>
      </c>
      <c r="K18" s="1064">
        <v>0</v>
      </c>
      <c r="L18" s="1064">
        <v>0</v>
      </c>
      <c r="M18" s="1064">
        <v>0</v>
      </c>
      <c r="N18" s="1064">
        <v>0</v>
      </c>
      <c r="O18" s="1064">
        <v>0</v>
      </c>
      <c r="P18" s="1064">
        <v>0</v>
      </c>
      <c r="Q18" s="1064">
        <v>26432</v>
      </c>
      <c r="R18" s="1064">
        <v>0</v>
      </c>
      <c r="S18" s="1064">
        <v>0</v>
      </c>
      <c r="T18" s="1064">
        <v>0</v>
      </c>
      <c r="U18" s="1064">
        <v>-172157</v>
      </c>
      <c r="V18" s="1064">
        <v>0</v>
      </c>
      <c r="W18" s="1064">
        <v>0</v>
      </c>
      <c r="X18" s="1064">
        <v>0</v>
      </c>
      <c r="Y18" s="1064">
        <v>-401589</v>
      </c>
      <c r="Z18" s="1064">
        <v>0</v>
      </c>
      <c r="AA18" s="1064">
        <v>0</v>
      </c>
      <c r="AB18" s="1064">
        <v>0</v>
      </c>
      <c r="AC18" s="1064">
        <v>7134</v>
      </c>
      <c r="AD18" s="1064">
        <v>0</v>
      </c>
      <c r="AE18" s="1064">
        <v>-498395</v>
      </c>
      <c r="AF18" s="1064">
        <v>0</v>
      </c>
      <c r="AG18" s="1437">
        <v>0</v>
      </c>
      <c r="AH18" s="1437">
        <v>0</v>
      </c>
      <c r="AI18" s="1437">
        <v>0</v>
      </c>
      <c r="AJ18" s="1437">
        <v>0</v>
      </c>
      <c r="AK18" s="1437">
        <v>0</v>
      </c>
      <c r="AL18" s="1438">
        <v>0</v>
      </c>
    </row>
    <row r="19" spans="2:38" ht="15" customHeight="1">
      <c r="B19" s="113" t="s">
        <v>3254</v>
      </c>
      <c r="C19" s="93" t="s">
        <v>3250</v>
      </c>
      <c r="D19" s="90">
        <f>SUM(F19:AL19)</f>
        <v>-2204783</v>
      </c>
      <c r="E19" s="1168">
        <f>SUM(F19:AG19)</f>
        <v>-2204783</v>
      </c>
      <c r="F19" s="1064">
        <v>0</v>
      </c>
      <c r="G19" s="1064">
        <v>0</v>
      </c>
      <c r="H19" s="1064">
        <v>-2204783</v>
      </c>
      <c r="I19" s="1064">
        <v>0</v>
      </c>
      <c r="J19" s="1064">
        <v>0</v>
      </c>
      <c r="K19" s="1064">
        <v>0</v>
      </c>
      <c r="L19" s="1064">
        <v>0</v>
      </c>
      <c r="M19" s="1064">
        <v>0</v>
      </c>
      <c r="N19" s="1064">
        <v>0</v>
      </c>
      <c r="O19" s="1064">
        <v>0</v>
      </c>
      <c r="P19" s="1064">
        <v>0</v>
      </c>
      <c r="Q19" s="1064">
        <v>0</v>
      </c>
      <c r="R19" s="1064">
        <v>0</v>
      </c>
      <c r="S19" s="1064">
        <v>0</v>
      </c>
      <c r="T19" s="1064">
        <v>0</v>
      </c>
      <c r="U19" s="1064">
        <v>0</v>
      </c>
      <c r="V19" s="1064">
        <v>0</v>
      </c>
      <c r="W19" s="1064">
        <v>0</v>
      </c>
      <c r="X19" s="1064">
        <v>0</v>
      </c>
      <c r="Y19" s="1064">
        <v>0</v>
      </c>
      <c r="Z19" s="1064">
        <v>0</v>
      </c>
      <c r="AA19" s="1064">
        <f>+C_6.05!Z20</f>
        <v>0</v>
      </c>
      <c r="AB19" s="1064">
        <v>0</v>
      </c>
      <c r="AC19" s="1064">
        <f>+C_6.05!AB20</f>
        <v>0</v>
      </c>
      <c r="AD19" s="1064">
        <v>0</v>
      </c>
      <c r="AE19" s="1064">
        <v>0</v>
      </c>
      <c r="AF19" s="1064">
        <v>0</v>
      </c>
      <c r="AG19" s="1437">
        <v>0</v>
      </c>
      <c r="AH19" s="1437">
        <v>0</v>
      </c>
      <c r="AI19" s="1437">
        <v>0</v>
      </c>
      <c r="AJ19" s="1437">
        <v>0</v>
      </c>
      <c r="AK19" s="1437">
        <v>0</v>
      </c>
      <c r="AL19" s="1438">
        <v>0</v>
      </c>
    </row>
    <row r="20" spans="2:38" ht="15" customHeight="1">
      <c r="B20" s="113" t="s">
        <v>3232</v>
      </c>
      <c r="C20" s="93" t="s">
        <v>2958</v>
      </c>
      <c r="D20" s="90">
        <f t="shared" si="4"/>
        <v>0</v>
      </c>
      <c r="E20" s="90"/>
      <c r="F20" s="1064"/>
      <c r="G20" s="1064"/>
      <c r="H20" s="1064"/>
      <c r="I20" s="1064"/>
      <c r="J20" s="1064"/>
      <c r="K20" s="1064"/>
      <c r="L20" s="1064"/>
      <c r="M20" s="1064"/>
      <c r="N20" s="1064"/>
      <c r="O20" s="1064"/>
      <c r="P20" s="1064"/>
      <c r="Q20" s="1064"/>
      <c r="R20" s="1064"/>
      <c r="S20" s="1064"/>
      <c r="T20" s="1064"/>
      <c r="U20" s="1064"/>
      <c r="V20" s="1064"/>
      <c r="W20" s="1064"/>
      <c r="X20" s="1064"/>
      <c r="Y20" s="1064"/>
      <c r="Z20" s="1064"/>
      <c r="AA20" s="1064"/>
      <c r="AB20" s="1064"/>
      <c r="AC20" s="1064"/>
      <c r="AD20" s="1064"/>
      <c r="AE20" s="1064"/>
      <c r="AF20" s="1064"/>
      <c r="AG20" s="1064"/>
      <c r="AH20" s="1064"/>
      <c r="AI20" s="1064"/>
      <c r="AJ20" s="1064"/>
      <c r="AK20" s="1055"/>
      <c r="AL20" s="1171"/>
    </row>
    <row r="21" spans="2:38" ht="15" customHeight="1">
      <c r="B21" s="113" t="s">
        <v>3255</v>
      </c>
      <c r="C21" s="93" t="s">
        <v>3251</v>
      </c>
      <c r="D21" s="90"/>
      <c r="E21" s="90"/>
      <c r="F21" s="1222"/>
      <c r="G21" s="1222"/>
      <c r="H21" s="1222"/>
      <c r="I21" s="1222"/>
      <c r="J21" s="1222"/>
      <c r="K21" s="1222"/>
      <c r="L21" s="1222"/>
      <c r="M21" s="1222"/>
      <c r="N21" s="1222"/>
      <c r="O21" s="1222"/>
      <c r="P21" s="1222"/>
      <c r="Q21" s="1222"/>
      <c r="R21" s="1222"/>
      <c r="S21" s="1222"/>
      <c r="T21" s="1222"/>
      <c r="U21" s="1222"/>
      <c r="V21" s="1222"/>
      <c r="W21" s="1222"/>
      <c r="X21" s="1222"/>
      <c r="Y21" s="1222"/>
      <c r="Z21" s="1222"/>
      <c r="AA21" s="1222"/>
      <c r="AB21" s="1222"/>
      <c r="AC21" s="1222"/>
      <c r="AD21" s="1222"/>
      <c r="AE21" s="1222"/>
      <c r="AF21" s="1222"/>
      <c r="AG21" s="1222"/>
      <c r="AH21" s="1222"/>
      <c r="AI21" s="1222"/>
      <c r="AJ21" s="1222"/>
      <c r="AK21" s="1224"/>
      <c r="AL21" s="1171"/>
    </row>
    <row r="22" spans="2:38" s="47" customFormat="1" ht="15" customHeight="1">
      <c r="B22" s="113" t="s">
        <v>3237</v>
      </c>
      <c r="C22" s="115" t="s">
        <v>126</v>
      </c>
      <c r="D22" s="90">
        <f t="shared" ref="D22:O22" si="6">SUM(D23:D25)</f>
        <v>-19761187.295170277</v>
      </c>
      <c r="E22" s="1168">
        <f>SUM(F22:AG22)</f>
        <v>-20777846.295170277</v>
      </c>
      <c r="F22" s="90">
        <f>SUM(F23:F25)</f>
        <v>-119599.12291205314</v>
      </c>
      <c r="G22" s="90">
        <f t="shared" si="6"/>
        <v>-40887.468962767161</v>
      </c>
      <c r="H22" s="90">
        <f t="shared" si="6"/>
        <v>-2023965.6833403383</v>
      </c>
      <c r="I22" s="90">
        <f t="shared" si="6"/>
        <v>-420445.69674168376</v>
      </c>
      <c r="J22" s="90">
        <f t="shared" si="6"/>
        <v>0</v>
      </c>
      <c r="K22" s="90">
        <f t="shared" si="6"/>
        <v>0</v>
      </c>
      <c r="L22" s="90">
        <f t="shared" si="6"/>
        <v>0</v>
      </c>
      <c r="M22" s="90">
        <f t="shared" si="6"/>
        <v>-89.204062701987908</v>
      </c>
      <c r="N22" s="90">
        <f t="shared" si="6"/>
        <v>-42516.779131453601</v>
      </c>
      <c r="O22" s="90">
        <f t="shared" si="6"/>
        <v>-28324.435039784184</v>
      </c>
      <c r="P22" s="90"/>
      <c r="Q22" s="90">
        <f t="shared" ref="Q22:AF22" si="7">SUM(Q23:Q25)</f>
        <v>-121.58754384021188</v>
      </c>
      <c r="R22" s="90">
        <f t="shared" si="7"/>
        <v>0</v>
      </c>
      <c r="S22" s="90">
        <f t="shared" si="7"/>
        <v>285.32955145390952</v>
      </c>
      <c r="T22" s="90">
        <f t="shared" si="7"/>
        <v>0</v>
      </c>
      <c r="U22" s="90">
        <f t="shared" si="7"/>
        <v>-2751066</v>
      </c>
      <c r="V22" s="90">
        <f t="shared" si="7"/>
        <v>0</v>
      </c>
      <c r="W22" s="90">
        <f t="shared" si="7"/>
        <v>0</v>
      </c>
      <c r="X22" s="90">
        <f t="shared" si="7"/>
        <v>0</v>
      </c>
      <c r="Y22" s="90">
        <f t="shared" si="7"/>
        <v>0</v>
      </c>
      <c r="Z22" s="90">
        <f t="shared" si="7"/>
        <v>-222591.57827185123</v>
      </c>
      <c r="AA22" s="90">
        <f t="shared" si="7"/>
        <v>0</v>
      </c>
      <c r="AB22" s="90">
        <f t="shared" si="7"/>
        <v>-13357639.57126594</v>
      </c>
      <c r="AC22" s="90">
        <f t="shared" si="7"/>
        <v>-62310.388020918603</v>
      </c>
      <c r="AD22" s="90">
        <f t="shared" si="7"/>
        <v>0</v>
      </c>
      <c r="AE22" s="90">
        <f t="shared" si="7"/>
        <v>-1230350.1094283985</v>
      </c>
      <c r="AF22" s="90">
        <f t="shared" si="7"/>
        <v>-478224</v>
      </c>
      <c r="AG22" s="90"/>
      <c r="AH22" s="90">
        <f>SUM(AH23:AH25)</f>
        <v>1016659</v>
      </c>
      <c r="AI22" s="90">
        <f>SUM(AI23:AI25)</f>
        <v>0</v>
      </c>
      <c r="AJ22" s="90">
        <f>SUM(AJ23:AJ25)</f>
        <v>0</v>
      </c>
      <c r="AK22" s="1169">
        <f>SUM(AK23:AK25)</f>
        <v>0</v>
      </c>
      <c r="AL22" s="1170">
        <f>SUM(AL23:AL25)</f>
        <v>0</v>
      </c>
    </row>
    <row r="23" spans="2:38" ht="15" customHeight="1">
      <c r="B23" s="113" t="s">
        <v>3238</v>
      </c>
      <c r="C23" s="119" t="s">
        <v>1688</v>
      </c>
      <c r="D23" s="90">
        <f>SUM(F23:AL23)</f>
        <v>-20906096.295170277</v>
      </c>
      <c r="E23" s="1168">
        <f>SUM(F23:AG23)</f>
        <v>-21922755.295170277</v>
      </c>
      <c r="F23" s="1064">
        <f>-(C_6.03!G18+C_6.03!G35+C_6.03!G39+C_6.03!G42-C_6.03!G44)</f>
        <v>-119599.12291205314</v>
      </c>
      <c r="G23" s="1284">
        <f>-(C_6.03!H18+C_6.03!H35+C_6.03!H39+C_6.03!H42-C_6.03!H44)</f>
        <v>-88216.468962767161</v>
      </c>
      <c r="H23" s="1284">
        <f>-(C_6.03!I18+C_6.03!I35+C_6.03!I39+C_6.03!I42-C_6.03!I44)</f>
        <v>-2042469.6833403383</v>
      </c>
      <c r="I23" s="1284">
        <f>-(C_6.03!J18+C_6.03!J35+C_6.03!J39+C_6.03!J42-C_6.03!J44)</f>
        <v>-420445.69674168376</v>
      </c>
      <c r="J23" s="1284">
        <f>-(C_6.03!K18+C_6.03!K35+C_6.03!K39+C_6.03!K42-C_6.03!K44)</f>
        <v>0</v>
      </c>
      <c r="K23" s="1284">
        <f>-(C_6.03!L18+C_6.03!L35+C_6.03!L39+C_6.03!L42-C_6.03!L44)</f>
        <v>0</v>
      </c>
      <c r="L23" s="1284">
        <f>-(C_6.03!M18+C_6.03!M35+C_6.03!M39+C_6.03!M42-C_6.03!M44)</f>
        <v>0</v>
      </c>
      <c r="M23" s="1284">
        <f>-(C_6.03!N18+C_6.03!N35+C_6.03!N39+C_6.03!N42-C_6.03!N44)</f>
        <v>-89.204062701987908</v>
      </c>
      <c r="N23" s="1284">
        <f>-(C_6.03!O18+C_6.03!O35+C_6.03!O39+C_6.03!O42-C_6.03!O44)</f>
        <v>-293813.7791314536</v>
      </c>
      <c r="O23" s="1284">
        <f>-(C_6.03!P18+C_6.03!P35+C_6.03!P39+C_6.03!P42-C_6.03!P44)</f>
        <v>-39591.435039784184</v>
      </c>
      <c r="P23" s="1284">
        <f>-(C_6.03!Q18+C_6.03!Q35+C_6.03!Q39+C_6.03!Q42-C_6.03!Q44)</f>
        <v>0</v>
      </c>
      <c r="Q23" s="1284">
        <f>-(C_6.03!R18+C_6.03!R35+C_6.03!R39+C_6.03!R42-C_6.03!R44)</f>
        <v>-121.58754384021188</v>
      </c>
      <c r="R23" s="1284">
        <f>-(C_6.03!S18+C_6.03!S35+C_6.03!S39+C_6.03!S42-C_6.03!S44)</f>
        <v>0</v>
      </c>
      <c r="S23" s="1284">
        <f>-(C_6.03!T18+C_6.03!T35+C_6.03!T39+C_6.03!T42-C_6.03!T44)</f>
        <v>285.32955145390952</v>
      </c>
      <c r="T23" s="1284">
        <f>-(C_6.03!U18+C_6.03!U35+C_6.03!U39+C_6.03!U42-C_6.03!U44)</f>
        <v>0</v>
      </c>
      <c r="U23" s="1437">
        <v>-3248777</v>
      </c>
      <c r="V23" s="1284">
        <f>-(C_6.03!W18+C_6.03!W35+C_6.03!W39+C_6.03!W42-C_6.03!W44)</f>
        <v>0</v>
      </c>
      <c r="W23" s="1284">
        <f>-(C_6.03!X18+C_6.03!X35+C_6.03!X39+C_6.03!X42-C_6.03!X44)</f>
        <v>0</v>
      </c>
      <c r="X23" s="1284">
        <f>-(C_6.03!Y18+C_6.03!Y35+C_6.03!Y39+C_6.03!Y42-C_6.03!Y44)</f>
        <v>0</v>
      </c>
      <c r="Y23" s="1284">
        <f>-(C_6.03!Z18+C_6.03!Z35+C_6.03!Z39+C_6.03!Z42-C_6.03!Z44)</f>
        <v>0</v>
      </c>
      <c r="Z23" s="1284">
        <f>-(C_6.03!AA18+C_6.03!AA35+C_6.03!AA39+C_6.03!AA42-C_6.03!AA44)</f>
        <v>-222591.57827185123</v>
      </c>
      <c r="AA23" s="1284">
        <f>-(C_6.03!AB18+C_6.03!AB35+C_6.03!AB39+C_6.03!AB42-C_6.03!AB44)</f>
        <v>0</v>
      </c>
      <c r="AB23" s="1284">
        <f>-(C_6.03!AC18+C_6.03!AC35+C_6.03!AC39+C_6.03!AC42-C_6.03!AC44)</f>
        <v>-13423722.57126594</v>
      </c>
      <c r="AC23" s="1284">
        <f>-(C_6.03!AD18+C_6.03!AD35+C_6.03!AD39+C_6.03!AD42-C_6.03!AD44)</f>
        <v>-62303.388020918603</v>
      </c>
      <c r="AD23" s="1284">
        <f>-(C_6.03!AE18+C_6.03!AE35+C_6.03!AE39+C_6.03!AE42-C_6.03!AE44)</f>
        <v>0</v>
      </c>
      <c r="AE23" s="1284">
        <f>-(C_6.03!AF18+C_6.03!AF35+C_6.03!AF39+C_6.03!AF42-C_6.03!AF44)</f>
        <v>-1483075.1094283985</v>
      </c>
      <c r="AF23" s="1284">
        <f>-(C_6.03!AG18+C_6.03!AG35+C_6.03!AG39+C_6.03!AG42-C_6.03!AG44)</f>
        <v>-478224</v>
      </c>
      <c r="AG23" s="1284">
        <v>0</v>
      </c>
      <c r="AH23" s="1284">
        <v>1016659</v>
      </c>
      <c r="AI23" s="1284">
        <f>-(C_6.03!AJ18+C_6.03!AJ35+C_6.03!AJ39+C_6.03!AJ42-C_6.03!AJ44)</f>
        <v>0</v>
      </c>
      <c r="AJ23" s="1284">
        <f>-(C_6.03!AK18+C_6.03!AK35+C_6.03!AK39+C_6.03!AK42-C_6.03!AK44)</f>
        <v>0</v>
      </c>
      <c r="AK23" s="1284">
        <f>-(C_6.03!AL18+C_6.03!AL35+C_6.03!AL39+C_6.03!AL42-C_6.03!AL44)</f>
        <v>0</v>
      </c>
      <c r="AL23" s="1438">
        <f>-(C_6.03!AM18+C_6.03!AM35+C_6.03!AM39+C_6.03!AM42-C_6.03!AM44)</f>
        <v>0</v>
      </c>
    </row>
    <row r="24" spans="2:38" ht="15" customHeight="1">
      <c r="B24" s="113" t="s">
        <v>3240</v>
      </c>
      <c r="C24" s="119" t="s">
        <v>19</v>
      </c>
      <c r="D24" s="90">
        <f>SUM(F24:AL24)</f>
        <v>1144909</v>
      </c>
      <c r="E24" s="1168">
        <f>SUM(F24:AG24)</f>
        <v>1144909</v>
      </c>
      <c r="F24" s="1064">
        <f>-C_6.03!G25</f>
        <v>0</v>
      </c>
      <c r="G24" s="1437">
        <f>-C_6.03!H25</f>
        <v>47329</v>
      </c>
      <c r="H24" s="1437">
        <f>-C_6.03!I25</f>
        <v>18504</v>
      </c>
      <c r="I24" s="1437">
        <f>-C_6.03!J25</f>
        <v>0</v>
      </c>
      <c r="J24" s="1437">
        <f>-C_6.03!K25</f>
        <v>0</v>
      </c>
      <c r="K24" s="1437">
        <f>-C_6.03!L25</f>
        <v>0</v>
      </c>
      <c r="L24" s="1437">
        <f>-C_6.03!M25</f>
        <v>0</v>
      </c>
      <c r="M24" s="1437">
        <f>-C_6.03!N25</f>
        <v>0</v>
      </c>
      <c r="N24" s="1437">
        <f>-C_6.03!O25</f>
        <v>251297</v>
      </c>
      <c r="O24" s="1437">
        <f>-C_6.03!P25</f>
        <v>11267</v>
      </c>
      <c r="P24" s="1437">
        <f>-C_6.03!Q25</f>
        <v>0</v>
      </c>
      <c r="Q24" s="1437">
        <f>-C_6.03!R25</f>
        <v>0</v>
      </c>
      <c r="R24" s="1437">
        <f>-C_6.03!S25</f>
        <v>0</v>
      </c>
      <c r="S24" s="1437">
        <f>-C_6.03!T25</f>
        <v>0</v>
      </c>
      <c r="T24" s="1437">
        <f>-C_6.03!U25</f>
        <v>0</v>
      </c>
      <c r="U24" s="1437">
        <f>-C_6.03!V25</f>
        <v>497711</v>
      </c>
      <c r="V24" s="1437">
        <f>-C_6.03!W25</f>
        <v>0</v>
      </c>
      <c r="W24" s="1437">
        <f>-C_6.03!X25</f>
        <v>0</v>
      </c>
      <c r="X24" s="1437">
        <f>-C_6.03!Y25</f>
        <v>0</v>
      </c>
      <c r="Y24" s="1437">
        <f>-C_6.03!Z25</f>
        <v>0</v>
      </c>
      <c r="Z24" s="1437">
        <f>-C_6.03!AA25</f>
        <v>0</v>
      </c>
      <c r="AA24" s="1437">
        <f>-C_6.03!AB25</f>
        <v>0</v>
      </c>
      <c r="AB24" s="1437">
        <f>-C_6.03!AC25</f>
        <v>66083</v>
      </c>
      <c r="AC24" s="1437">
        <f>-C_6.03!AD25</f>
        <v>-7</v>
      </c>
      <c r="AD24" s="1437">
        <f>-C_6.03!AE25</f>
        <v>0</v>
      </c>
      <c r="AE24" s="1437">
        <f>-C_6.03!AF25</f>
        <v>252725</v>
      </c>
      <c r="AF24" s="1437">
        <f>-C_6.03!AG25</f>
        <v>0</v>
      </c>
      <c r="AG24" s="1437">
        <f>-C_6.03!AH25</f>
        <v>0</v>
      </c>
      <c r="AH24" s="1437">
        <f>-C_6.03!AI25</f>
        <v>0</v>
      </c>
      <c r="AI24" s="1437">
        <f>-C_6.03!AJ25</f>
        <v>0</v>
      </c>
      <c r="AJ24" s="1437">
        <f>-C_6.03!AK25</f>
        <v>0</v>
      </c>
      <c r="AK24" s="1437">
        <f>-C_6.03!AL25</f>
        <v>0</v>
      </c>
      <c r="AL24" s="1438">
        <f>-C_6.03!AM25</f>
        <v>0</v>
      </c>
    </row>
    <row r="25" spans="2:38" ht="15" customHeight="1">
      <c r="B25" s="113" t="s">
        <v>3239</v>
      </c>
      <c r="C25" s="119" t="s">
        <v>18</v>
      </c>
      <c r="D25" s="90">
        <f>SUM(F25:AL25)</f>
        <v>0</v>
      </c>
      <c r="E25" s="90"/>
      <c r="F25" s="1064">
        <f>C_6.03!G28+C_6.03!G37+C_6.03!G41</f>
        <v>0</v>
      </c>
      <c r="G25" s="1284">
        <f>C_6.03!H28+C_6.03!H37+C_6.03!H41</f>
        <v>0</v>
      </c>
      <c r="H25" s="1284">
        <f>C_6.03!I28+C_6.03!I37+C_6.03!I41</f>
        <v>0</v>
      </c>
      <c r="I25" s="1284">
        <f>C_6.03!J28+C_6.03!J37+C_6.03!J41</f>
        <v>0</v>
      </c>
      <c r="J25" s="1284">
        <f>C_6.03!K28+C_6.03!K37+C_6.03!K41</f>
        <v>0</v>
      </c>
      <c r="K25" s="1284">
        <f>C_6.03!L28+C_6.03!L37+C_6.03!L41</f>
        <v>0</v>
      </c>
      <c r="L25" s="1284">
        <f>C_6.03!M28+C_6.03!M37+C_6.03!M41</f>
        <v>0</v>
      </c>
      <c r="M25" s="1284">
        <f>C_6.03!N28+C_6.03!N37+C_6.03!N41</f>
        <v>0</v>
      </c>
      <c r="N25" s="1284">
        <f>C_6.03!O28+C_6.03!O37+C_6.03!O41</f>
        <v>0</v>
      </c>
      <c r="O25" s="1284">
        <f>C_6.03!P28+C_6.03!P37+C_6.03!P41</f>
        <v>0</v>
      </c>
      <c r="P25" s="1284">
        <f>C_6.03!Q28+C_6.03!Q37+C_6.03!Q41</f>
        <v>0</v>
      </c>
      <c r="Q25" s="1284">
        <f>C_6.03!R28+C_6.03!R37+C_6.03!R41</f>
        <v>0</v>
      </c>
      <c r="R25" s="1284">
        <f>C_6.03!S28+C_6.03!S37+C_6.03!S41</f>
        <v>0</v>
      </c>
      <c r="S25" s="1284">
        <f>C_6.03!T28+C_6.03!T37+C_6.03!T41</f>
        <v>0</v>
      </c>
      <c r="T25" s="1284">
        <f>C_6.03!U28+C_6.03!U37+C_6.03!U41</f>
        <v>0</v>
      </c>
      <c r="U25" s="1284">
        <f>C_6.03!V28+C_6.03!V37+C_6.03!V41</f>
        <v>0</v>
      </c>
      <c r="V25" s="1284">
        <f>C_6.03!W28+C_6.03!W37+C_6.03!W41</f>
        <v>0</v>
      </c>
      <c r="W25" s="1284">
        <f>C_6.03!X28+C_6.03!X37+C_6.03!X41</f>
        <v>0</v>
      </c>
      <c r="X25" s="1284">
        <f>C_6.03!Y28+C_6.03!Y37+C_6.03!Y41</f>
        <v>0</v>
      </c>
      <c r="Y25" s="1284">
        <f>C_6.03!Z28+C_6.03!Z37+C_6.03!Z41</f>
        <v>0</v>
      </c>
      <c r="Z25" s="1284">
        <f>C_6.03!AA28+C_6.03!AA37+C_6.03!AA41</f>
        <v>0</v>
      </c>
      <c r="AA25" s="1284">
        <f>C_6.03!AB28+C_6.03!AB37+C_6.03!AB41</f>
        <v>0</v>
      </c>
      <c r="AB25" s="1284">
        <f>C_6.03!AC28+C_6.03!AC37+C_6.03!AC41</f>
        <v>0</v>
      </c>
      <c r="AC25" s="1284">
        <f>C_6.03!AD28+C_6.03!AD37+C_6.03!AD41</f>
        <v>0</v>
      </c>
      <c r="AD25" s="1284">
        <f>C_6.03!AE28+C_6.03!AE37+C_6.03!AE41</f>
        <v>0</v>
      </c>
      <c r="AE25" s="1284">
        <f>C_6.03!AF28+C_6.03!AF37+C_6.03!AF41</f>
        <v>0</v>
      </c>
      <c r="AF25" s="1284">
        <f>C_6.03!AG28+C_6.03!AG37+C_6.03!AG41</f>
        <v>0</v>
      </c>
      <c r="AG25" s="1284">
        <f>C_6.03!AH28+C_6.03!AH37+C_6.03!AH41</f>
        <v>0</v>
      </c>
      <c r="AH25" s="1284">
        <f>C_6.03!AI28+C_6.03!AI37+C_6.03!AI41</f>
        <v>0</v>
      </c>
      <c r="AI25" s="1284">
        <f>C_6.03!AJ28+C_6.03!AJ37+C_6.03!AJ41</f>
        <v>0</v>
      </c>
      <c r="AJ25" s="1284">
        <f>C_6.03!AK28+C_6.03!AK37+C_6.03!AK41</f>
        <v>0</v>
      </c>
      <c r="AK25" s="1284">
        <f>C_6.03!AL28+C_6.03!AL37+C_6.03!AL41</f>
        <v>0</v>
      </c>
      <c r="AL25" s="1438">
        <f>C_6.03!AM28+C_6.03!AM37+C_6.03!AM41</f>
        <v>0</v>
      </c>
    </row>
    <row r="26" spans="2:38" s="47" customFormat="1" ht="15" customHeight="1">
      <c r="B26" s="113" t="s">
        <v>3233</v>
      </c>
      <c r="C26" s="115" t="s">
        <v>125</v>
      </c>
      <c r="D26" s="90">
        <f t="shared" ref="D26:O26" si="8">SUM(D27:D29)</f>
        <v>-106333309</v>
      </c>
      <c r="E26" s="1168">
        <f>SUM(F26:AG26)</f>
        <v>-1263809</v>
      </c>
      <c r="F26" s="90">
        <f>SUM(F27:F29)</f>
        <v>0</v>
      </c>
      <c r="G26" s="90">
        <f t="shared" si="8"/>
        <v>0</v>
      </c>
      <c r="H26" s="90">
        <f t="shared" si="8"/>
        <v>0</v>
      </c>
      <c r="I26" s="90">
        <f t="shared" si="8"/>
        <v>0</v>
      </c>
      <c r="J26" s="90">
        <f t="shared" si="8"/>
        <v>-1263809</v>
      </c>
      <c r="K26" s="90">
        <f t="shared" si="8"/>
        <v>0</v>
      </c>
      <c r="L26" s="90">
        <f t="shared" si="8"/>
        <v>0</v>
      </c>
      <c r="M26" s="90">
        <f t="shared" si="8"/>
        <v>0</v>
      </c>
      <c r="N26" s="90">
        <f t="shared" si="8"/>
        <v>0</v>
      </c>
      <c r="O26" s="90">
        <f t="shared" si="8"/>
        <v>0</v>
      </c>
      <c r="P26" s="90"/>
      <c r="Q26" s="90">
        <f t="shared" ref="Q26:AF26" si="9">SUM(Q27:Q29)</f>
        <v>0</v>
      </c>
      <c r="R26" s="90">
        <f t="shared" si="9"/>
        <v>0</v>
      </c>
      <c r="S26" s="90">
        <f t="shared" si="9"/>
        <v>0</v>
      </c>
      <c r="T26" s="90">
        <f t="shared" si="9"/>
        <v>0</v>
      </c>
      <c r="U26" s="90">
        <f t="shared" si="9"/>
        <v>0</v>
      </c>
      <c r="V26" s="90">
        <f t="shared" si="9"/>
        <v>0</v>
      </c>
      <c r="W26" s="90">
        <f t="shared" si="9"/>
        <v>0</v>
      </c>
      <c r="X26" s="90">
        <f t="shared" si="9"/>
        <v>0</v>
      </c>
      <c r="Y26" s="90">
        <f t="shared" si="9"/>
        <v>0</v>
      </c>
      <c r="Z26" s="90">
        <f t="shared" si="9"/>
        <v>0</v>
      </c>
      <c r="AA26" s="90">
        <f t="shared" si="9"/>
        <v>0</v>
      </c>
      <c r="AB26" s="90">
        <f t="shared" si="9"/>
        <v>0</v>
      </c>
      <c r="AC26" s="90">
        <f t="shared" si="9"/>
        <v>0</v>
      </c>
      <c r="AD26" s="90">
        <f t="shared" si="9"/>
        <v>0</v>
      </c>
      <c r="AE26" s="90">
        <f t="shared" si="9"/>
        <v>0</v>
      </c>
      <c r="AF26" s="90">
        <f t="shared" si="9"/>
        <v>0</v>
      </c>
      <c r="AG26" s="90"/>
      <c r="AH26" s="90">
        <f>SUM(AH27:AH29)</f>
        <v>0</v>
      </c>
      <c r="AI26" s="90">
        <f>SUM(AI27:AI29)</f>
        <v>-58935322</v>
      </c>
      <c r="AJ26" s="90">
        <f>SUM(AJ27:AJ29)</f>
        <v>-36912552</v>
      </c>
      <c r="AK26" s="1169">
        <f>SUM(AK27:AK29)</f>
        <v>-8711246</v>
      </c>
      <c r="AL26" s="1170">
        <f>SUM(AL27:AL29)</f>
        <v>-510380</v>
      </c>
    </row>
    <row r="27" spans="2:38" ht="15" customHeight="1">
      <c r="B27" s="113" t="s">
        <v>3234</v>
      </c>
      <c r="C27" s="119" t="s">
        <v>1685</v>
      </c>
      <c r="D27" s="90">
        <f t="shared" si="4"/>
        <v>-106333309</v>
      </c>
      <c r="E27" s="1168">
        <f>SUM(F27:AG27)</f>
        <v>-1263809</v>
      </c>
      <c r="F27" s="1064">
        <v>0</v>
      </c>
      <c r="G27" s="1064">
        <v>0</v>
      </c>
      <c r="H27" s="1064">
        <v>0</v>
      </c>
      <c r="I27" s="1064">
        <v>0</v>
      </c>
      <c r="J27" s="1064">
        <v>-1263809</v>
      </c>
      <c r="K27" s="1064">
        <v>0</v>
      </c>
      <c r="L27" s="1064">
        <v>0</v>
      </c>
      <c r="M27" s="1064">
        <v>0</v>
      </c>
      <c r="N27" s="1064">
        <v>0</v>
      </c>
      <c r="O27" s="1064">
        <v>0</v>
      </c>
      <c r="P27" s="1064">
        <v>0</v>
      </c>
      <c r="Q27" s="1064">
        <v>0</v>
      </c>
      <c r="R27" s="1064">
        <v>0</v>
      </c>
      <c r="S27" s="1064">
        <v>0</v>
      </c>
      <c r="T27" s="1064">
        <v>0</v>
      </c>
      <c r="U27" s="1064">
        <v>0</v>
      </c>
      <c r="V27" s="1064">
        <v>0</v>
      </c>
      <c r="W27" s="1064">
        <v>0</v>
      </c>
      <c r="X27" s="1064">
        <v>0</v>
      </c>
      <c r="Y27" s="1064">
        <v>0</v>
      </c>
      <c r="Z27" s="1064">
        <v>0</v>
      </c>
      <c r="AA27" s="1064">
        <v>0</v>
      </c>
      <c r="AB27" s="1064">
        <v>0</v>
      </c>
      <c r="AC27" s="1064">
        <v>0</v>
      </c>
      <c r="AD27" s="1064">
        <v>0</v>
      </c>
      <c r="AE27" s="1064">
        <v>0</v>
      </c>
      <c r="AF27" s="1064">
        <v>0</v>
      </c>
      <c r="AG27" s="1064">
        <v>0</v>
      </c>
      <c r="AH27" s="1064">
        <v>0</v>
      </c>
      <c r="AI27" s="1064">
        <v>-58935322</v>
      </c>
      <c r="AJ27" s="1064">
        <v>-36912552</v>
      </c>
      <c r="AK27" s="1055">
        <v>-8711246</v>
      </c>
      <c r="AL27" s="1171">
        <v>-510380</v>
      </c>
    </row>
    <row r="28" spans="2:38" ht="15" customHeight="1">
      <c r="B28" s="113" t="s">
        <v>3236</v>
      </c>
      <c r="C28" s="119" t="s">
        <v>1687</v>
      </c>
      <c r="D28" s="90">
        <f>SUM(F28:AL28)</f>
        <v>0</v>
      </c>
      <c r="E28" s="90"/>
      <c r="F28" s="1064">
        <v>0</v>
      </c>
      <c r="G28" s="1064">
        <v>0</v>
      </c>
      <c r="H28" s="1064">
        <v>0</v>
      </c>
      <c r="I28" s="1064">
        <v>0</v>
      </c>
      <c r="J28" s="1064">
        <v>0</v>
      </c>
      <c r="K28" s="1064">
        <v>0</v>
      </c>
      <c r="L28" s="1064">
        <v>0</v>
      </c>
      <c r="M28" s="1064">
        <v>0</v>
      </c>
      <c r="N28" s="1064">
        <v>0</v>
      </c>
      <c r="O28" s="1064">
        <v>0</v>
      </c>
      <c r="P28" s="1064">
        <v>0</v>
      </c>
      <c r="Q28" s="1064">
        <v>0</v>
      </c>
      <c r="R28" s="1064">
        <v>0</v>
      </c>
      <c r="S28" s="1064">
        <v>0</v>
      </c>
      <c r="T28" s="1064">
        <v>0</v>
      </c>
      <c r="U28" s="1064">
        <v>0</v>
      </c>
      <c r="V28" s="1064">
        <v>0</v>
      </c>
      <c r="W28" s="1064">
        <v>0</v>
      </c>
      <c r="X28" s="1064">
        <v>0</v>
      </c>
      <c r="Y28" s="1064">
        <v>0</v>
      </c>
      <c r="Z28" s="1064">
        <v>0</v>
      </c>
      <c r="AA28" s="1064">
        <v>0</v>
      </c>
      <c r="AB28" s="1064">
        <v>0</v>
      </c>
      <c r="AC28" s="1064">
        <v>0</v>
      </c>
      <c r="AD28" s="1064">
        <v>0</v>
      </c>
      <c r="AE28" s="1064">
        <v>0</v>
      </c>
      <c r="AF28" s="1064">
        <v>0</v>
      </c>
      <c r="AG28" s="1064">
        <v>0</v>
      </c>
      <c r="AH28" s="1064">
        <v>0</v>
      </c>
      <c r="AI28" s="1064">
        <v>0</v>
      </c>
      <c r="AJ28" s="1064">
        <v>0</v>
      </c>
      <c r="AK28" s="1055">
        <v>0</v>
      </c>
      <c r="AL28" s="1171">
        <v>0</v>
      </c>
    </row>
    <row r="29" spans="2:38" ht="15" customHeight="1">
      <c r="B29" s="113" t="s">
        <v>3235</v>
      </c>
      <c r="C29" s="119" t="s">
        <v>1686</v>
      </c>
      <c r="D29" s="90">
        <f t="shared" si="4"/>
        <v>0</v>
      </c>
      <c r="E29" s="90"/>
      <c r="F29" s="1064"/>
      <c r="G29" s="1064"/>
      <c r="H29" s="1064"/>
      <c r="I29" s="1064"/>
      <c r="J29" s="1064">
        <v>0</v>
      </c>
      <c r="K29" s="1064"/>
      <c r="L29" s="1064"/>
      <c r="M29" s="1064"/>
      <c r="N29" s="1064"/>
      <c r="O29" s="1064"/>
      <c r="P29" s="1064"/>
      <c r="Q29" s="1064"/>
      <c r="R29" s="1064"/>
      <c r="S29" s="1064"/>
      <c r="T29" s="1064"/>
      <c r="U29" s="1064"/>
      <c r="V29" s="1064"/>
      <c r="W29" s="1064"/>
      <c r="X29" s="1064"/>
      <c r="Y29" s="1064"/>
      <c r="Z29" s="1064"/>
      <c r="AA29" s="1064"/>
      <c r="AB29" s="1064"/>
      <c r="AC29" s="1064"/>
      <c r="AD29" s="1064"/>
      <c r="AE29" s="1064"/>
      <c r="AF29" s="1064"/>
      <c r="AG29" s="1064"/>
      <c r="AH29" s="1064"/>
      <c r="AI29" s="1064">
        <v>0</v>
      </c>
      <c r="AJ29" s="1064">
        <v>0</v>
      </c>
      <c r="AK29" s="1055">
        <v>0</v>
      </c>
      <c r="AL29" s="1171">
        <v>0</v>
      </c>
    </row>
    <row r="30" spans="2:38" s="47" customFormat="1" ht="15" customHeight="1">
      <c r="B30" s="113" t="s">
        <v>3241</v>
      </c>
      <c r="C30" s="115" t="s">
        <v>20</v>
      </c>
      <c r="D30" s="90">
        <f>SUM(F30:AL30)</f>
        <v>-5197746</v>
      </c>
      <c r="E30" s="1168">
        <f>SUM(F30:AG30)</f>
        <v>-4277135</v>
      </c>
      <c r="F30" s="90">
        <f>SUM(F31:F34)</f>
        <v>-20377</v>
      </c>
      <c r="G30" s="90">
        <f t="shared" ref="G30:O30" si="10">SUM(G31:G34)</f>
        <v>-29082</v>
      </c>
      <c r="H30" s="90">
        <f t="shared" si="10"/>
        <v>-555327</v>
      </c>
      <c r="I30" s="90">
        <f t="shared" si="10"/>
        <v>-33454</v>
      </c>
      <c r="J30" s="90">
        <f t="shared" si="10"/>
        <v>-13355</v>
      </c>
      <c r="K30" s="90">
        <f t="shared" si="10"/>
        <v>0</v>
      </c>
      <c r="L30" s="90">
        <f t="shared" si="10"/>
        <v>0</v>
      </c>
      <c r="M30" s="90">
        <f t="shared" si="10"/>
        <v>-580</v>
      </c>
      <c r="N30" s="90">
        <f t="shared" si="10"/>
        <v>-56788</v>
      </c>
      <c r="O30" s="90">
        <f t="shared" si="10"/>
        <v>-17282</v>
      </c>
      <c r="P30" s="90"/>
      <c r="Q30" s="90">
        <f t="shared" ref="Q30:AG30" si="11">SUM(Q31:Q34)</f>
        <v>-5391</v>
      </c>
      <c r="R30" s="90">
        <f t="shared" si="11"/>
        <v>0</v>
      </c>
      <c r="S30" s="90">
        <f t="shared" si="11"/>
        <v>-26929</v>
      </c>
      <c r="T30" s="90">
        <f t="shared" si="11"/>
        <v>0</v>
      </c>
      <c r="U30" s="90">
        <f t="shared" si="11"/>
        <v>-1226961</v>
      </c>
      <c r="V30" s="90">
        <f t="shared" si="11"/>
        <v>0</v>
      </c>
      <c r="W30" s="90">
        <f t="shared" si="11"/>
        <v>0</v>
      </c>
      <c r="X30" s="90">
        <f t="shared" si="11"/>
        <v>0</v>
      </c>
      <c r="Y30" s="90">
        <f t="shared" si="11"/>
        <v>0</v>
      </c>
      <c r="Z30" s="90">
        <f t="shared" si="11"/>
        <v>-20399</v>
      </c>
      <c r="AA30" s="90">
        <f t="shared" si="11"/>
        <v>0</v>
      </c>
      <c r="AB30" s="90">
        <f t="shared" si="11"/>
        <v>-1415525</v>
      </c>
      <c r="AC30" s="90">
        <f t="shared" si="11"/>
        <v>-60811</v>
      </c>
      <c r="AD30" s="90">
        <f t="shared" si="11"/>
        <v>0</v>
      </c>
      <c r="AE30" s="90">
        <f t="shared" si="11"/>
        <v>-794874</v>
      </c>
      <c r="AF30" s="90">
        <f t="shared" si="11"/>
        <v>0</v>
      </c>
      <c r="AG30" s="90">
        <f t="shared" si="11"/>
        <v>0</v>
      </c>
      <c r="AH30" s="90">
        <f>SUM(AH31:AH34)</f>
        <v>0</v>
      </c>
      <c r="AI30" s="90">
        <f>SUM(AI31:AI34)</f>
        <v>-430509</v>
      </c>
      <c r="AJ30" s="90">
        <f>SUM(AJ31:AJ34)</f>
        <v>-409357</v>
      </c>
      <c r="AK30" s="1169">
        <f>SUM(AK31:AK34)</f>
        <v>-80745</v>
      </c>
      <c r="AL30" s="1170">
        <f>SUM(AL31:AL34)</f>
        <v>0</v>
      </c>
    </row>
    <row r="31" spans="2:38" ht="15" customHeight="1">
      <c r="B31" s="113" t="s">
        <v>3242</v>
      </c>
      <c r="C31" s="119" t="s">
        <v>2959</v>
      </c>
      <c r="D31" s="90">
        <f t="shared" ref="D31:D37" si="12">SUM(F31:AL31)</f>
        <v>-1346139</v>
      </c>
      <c r="E31" s="1168">
        <f>SUM(F31:AG31)</f>
        <v>-1027068</v>
      </c>
      <c r="F31" s="1064">
        <v>-20377</v>
      </c>
      <c r="G31" s="1064">
        <f>-1454-1-24128-1</f>
        <v>-25584</v>
      </c>
      <c r="H31" s="1064">
        <f>-8630-526705</f>
        <v>-535335</v>
      </c>
      <c r="I31" s="1064">
        <v>-33454</v>
      </c>
      <c r="J31" s="1064">
        <v>-2759</v>
      </c>
      <c r="K31" s="1064">
        <v>0</v>
      </c>
      <c r="L31" s="1064">
        <v>0</v>
      </c>
      <c r="M31" s="1064">
        <v>-580</v>
      </c>
      <c r="N31" s="1064">
        <f>-2308-51967</f>
        <v>-54275</v>
      </c>
      <c r="O31" s="1064">
        <f>-904-15436</f>
        <v>-16340</v>
      </c>
      <c r="P31" s="1064">
        <v>0</v>
      </c>
      <c r="Q31" s="1064">
        <f>-8-832-3809</f>
        <v>-4649</v>
      </c>
      <c r="R31" s="1064">
        <v>0</v>
      </c>
      <c r="S31" s="1064">
        <v>-23993</v>
      </c>
      <c r="T31" s="1064">
        <v>0</v>
      </c>
      <c r="U31" s="1064">
        <f>-38942-58777</f>
        <v>-97719</v>
      </c>
      <c r="V31" s="1064">
        <v>0</v>
      </c>
      <c r="W31" s="1064">
        <v>0</v>
      </c>
      <c r="X31" s="1064">
        <v>0</v>
      </c>
      <c r="Y31" s="1064">
        <v>0</v>
      </c>
      <c r="Z31" s="1064">
        <v>-1478</v>
      </c>
      <c r="AA31" s="1064">
        <v>0</v>
      </c>
      <c r="AB31" s="1064">
        <f>-97221-89397</f>
        <v>-186618</v>
      </c>
      <c r="AC31" s="1064">
        <f>-1017-2857</f>
        <v>-3874</v>
      </c>
      <c r="AD31" s="1064">
        <v>0</v>
      </c>
      <c r="AE31" s="1064">
        <v>-20033</v>
      </c>
      <c r="AF31" s="1064">
        <v>0</v>
      </c>
      <c r="AG31" s="1064">
        <v>0</v>
      </c>
      <c r="AH31" s="1064">
        <v>0</v>
      </c>
      <c r="AI31" s="1064">
        <v>-149606</v>
      </c>
      <c r="AJ31" s="1064">
        <v>-144229</v>
      </c>
      <c r="AK31" s="1064">
        <v>-25236</v>
      </c>
      <c r="AL31" s="1223">
        <v>0</v>
      </c>
    </row>
    <row r="32" spans="2:38" ht="15" customHeight="1">
      <c r="B32" s="113" t="s">
        <v>3257</v>
      </c>
      <c r="C32" s="119" t="s">
        <v>3256</v>
      </c>
      <c r="D32" s="90">
        <f t="shared" si="12"/>
        <v>-3851607</v>
      </c>
      <c r="E32" s="1168">
        <f>SUM(F32:AG32)</f>
        <v>-3250067</v>
      </c>
      <c r="F32" s="1064">
        <v>0</v>
      </c>
      <c r="G32" s="1064">
        <v>-3498</v>
      </c>
      <c r="H32" s="1064">
        <v>-19992</v>
      </c>
      <c r="I32" s="1064">
        <v>0</v>
      </c>
      <c r="J32" s="1064">
        <v>-10596</v>
      </c>
      <c r="K32" s="1064">
        <v>0</v>
      </c>
      <c r="L32" s="1064">
        <v>0</v>
      </c>
      <c r="M32" s="1064">
        <v>0</v>
      </c>
      <c r="N32" s="1064">
        <v>-2513</v>
      </c>
      <c r="O32" s="1064">
        <v>-942</v>
      </c>
      <c r="P32" s="1064">
        <v>0</v>
      </c>
      <c r="Q32" s="1064">
        <v>-742</v>
      </c>
      <c r="R32" s="1064">
        <v>0</v>
      </c>
      <c r="S32" s="1064">
        <v>-2936</v>
      </c>
      <c r="T32" s="1064">
        <v>0</v>
      </c>
      <c r="U32" s="1064">
        <f>-366921-762321</f>
        <v>-1129242</v>
      </c>
      <c r="V32" s="1064">
        <v>0</v>
      </c>
      <c r="W32" s="1064">
        <v>0</v>
      </c>
      <c r="X32" s="1064">
        <v>0</v>
      </c>
      <c r="Y32" s="1064">
        <v>0</v>
      </c>
      <c r="Z32" s="1064">
        <v>-18921</v>
      </c>
      <c r="AA32" s="1064">
        <v>0</v>
      </c>
      <c r="AB32" s="1064">
        <f>-1228756-151</f>
        <v>-1228907</v>
      </c>
      <c r="AC32" s="1064">
        <f>-7515-49422</f>
        <v>-56937</v>
      </c>
      <c r="AD32" s="1064">
        <v>0</v>
      </c>
      <c r="AE32" s="1064">
        <f>-101-324089-450651</f>
        <v>-774841</v>
      </c>
      <c r="AF32" s="1064">
        <v>0</v>
      </c>
      <c r="AG32" s="1064"/>
      <c r="AH32" s="1064">
        <v>0</v>
      </c>
      <c r="AI32" s="1064">
        <f>-218009-62894</f>
        <v>-280903</v>
      </c>
      <c r="AJ32" s="1064">
        <f>313-254369-11072</f>
        <v>-265128</v>
      </c>
      <c r="AK32" s="1064">
        <v>-55509</v>
      </c>
      <c r="AL32" s="1223">
        <v>0</v>
      </c>
    </row>
    <row r="33" spans="2:38" ht="15" customHeight="1">
      <c r="B33" s="113" t="s">
        <v>3243</v>
      </c>
      <c r="C33" s="119" t="s">
        <v>23</v>
      </c>
      <c r="D33" s="90">
        <f t="shared" si="12"/>
        <v>0</v>
      </c>
      <c r="E33" s="90"/>
      <c r="F33" s="1064">
        <v>0</v>
      </c>
      <c r="G33" s="1064">
        <v>0</v>
      </c>
      <c r="H33" s="1064">
        <v>0</v>
      </c>
      <c r="I33" s="1064">
        <v>0</v>
      </c>
      <c r="J33" s="1064">
        <v>0</v>
      </c>
      <c r="K33" s="1064">
        <v>0</v>
      </c>
      <c r="L33" s="1064">
        <v>0</v>
      </c>
      <c r="M33" s="1064">
        <v>0</v>
      </c>
      <c r="N33" s="1064">
        <v>0</v>
      </c>
      <c r="O33" s="1064">
        <v>0</v>
      </c>
      <c r="P33" s="1064">
        <v>0</v>
      </c>
      <c r="Q33" s="1064">
        <v>0</v>
      </c>
      <c r="R33" s="1064">
        <v>0</v>
      </c>
      <c r="S33" s="1064">
        <v>0</v>
      </c>
      <c r="T33" s="1064">
        <v>0</v>
      </c>
      <c r="U33" s="1064">
        <v>0</v>
      </c>
      <c r="V33" s="1064">
        <v>0</v>
      </c>
      <c r="W33" s="1064">
        <v>0</v>
      </c>
      <c r="X33" s="1064">
        <v>0</v>
      </c>
      <c r="Y33" s="1064">
        <v>0</v>
      </c>
      <c r="Z33" s="1064">
        <v>0</v>
      </c>
      <c r="AA33" s="1064">
        <v>0</v>
      </c>
      <c r="AB33" s="1064">
        <v>0</v>
      </c>
      <c r="AC33" s="1064">
        <v>0</v>
      </c>
      <c r="AD33" s="1064">
        <v>0</v>
      </c>
      <c r="AE33" s="1064">
        <v>0</v>
      </c>
      <c r="AF33" s="1064">
        <v>0</v>
      </c>
      <c r="AG33" s="1064">
        <v>0</v>
      </c>
      <c r="AH33" s="1064">
        <v>0</v>
      </c>
      <c r="AI33" s="1064">
        <v>0</v>
      </c>
      <c r="AJ33" s="1064">
        <v>0</v>
      </c>
      <c r="AK33" s="1055">
        <f>-SUMIF('MATRIZCTAS(a)'!$X$7:$X$1764,#REF!&amp;AK$9,'MATRIZCTAS(a)'!$AH$7:$AH$1764)</f>
        <v>0</v>
      </c>
      <c r="AL33" s="1171">
        <f>-SUMIF('MATRIZCTAS(a)'!$X$7:$X$1764,#REF!&amp;AL$9,'MATRIZCTAS(a)'!$AH$7:$AH$1764)</f>
        <v>0</v>
      </c>
    </row>
    <row r="34" spans="2:38" ht="15" customHeight="1">
      <c r="B34" s="113" t="s">
        <v>3244</v>
      </c>
      <c r="C34" s="119" t="s">
        <v>206</v>
      </c>
      <c r="D34" s="90">
        <f t="shared" si="12"/>
        <v>0</v>
      </c>
      <c r="E34" s="90"/>
      <c r="F34" s="1064">
        <v>0</v>
      </c>
      <c r="G34" s="1064">
        <v>0</v>
      </c>
      <c r="H34" s="1064">
        <v>0</v>
      </c>
      <c r="I34" s="1064">
        <v>0</v>
      </c>
      <c r="J34" s="1064">
        <v>0</v>
      </c>
      <c r="K34" s="1064">
        <v>0</v>
      </c>
      <c r="L34" s="1064">
        <v>0</v>
      </c>
      <c r="M34" s="1064">
        <v>0</v>
      </c>
      <c r="N34" s="1064">
        <v>0</v>
      </c>
      <c r="O34" s="1064">
        <v>0</v>
      </c>
      <c r="P34" s="1064">
        <v>0</v>
      </c>
      <c r="Q34" s="1064">
        <v>0</v>
      </c>
      <c r="R34" s="1064">
        <v>0</v>
      </c>
      <c r="S34" s="1064">
        <v>0</v>
      </c>
      <c r="T34" s="1064">
        <v>0</v>
      </c>
      <c r="U34" s="1064">
        <v>0</v>
      </c>
      <c r="V34" s="1064">
        <v>0</v>
      </c>
      <c r="W34" s="1064">
        <v>0</v>
      </c>
      <c r="X34" s="1064">
        <v>0</v>
      </c>
      <c r="Y34" s="1064">
        <v>0</v>
      </c>
      <c r="Z34" s="1064">
        <v>0</v>
      </c>
      <c r="AA34" s="1064">
        <v>0</v>
      </c>
      <c r="AB34" s="1064">
        <v>0</v>
      </c>
      <c r="AC34" s="1064">
        <v>0</v>
      </c>
      <c r="AD34" s="1064">
        <v>0</v>
      </c>
      <c r="AE34" s="1064">
        <v>0</v>
      </c>
      <c r="AF34" s="1064">
        <v>0</v>
      </c>
      <c r="AG34" s="1064">
        <v>0</v>
      </c>
      <c r="AH34" s="1064">
        <v>0</v>
      </c>
      <c r="AI34" s="1064">
        <v>0</v>
      </c>
      <c r="AJ34" s="1064">
        <v>0</v>
      </c>
      <c r="AK34" s="1064">
        <v>0</v>
      </c>
      <c r="AL34" s="1223">
        <v>0</v>
      </c>
    </row>
    <row r="35" spans="2:38" ht="15" customHeight="1">
      <c r="B35" s="113" t="s">
        <v>3245</v>
      </c>
      <c r="C35" s="98" t="s">
        <v>207</v>
      </c>
      <c r="D35" s="90">
        <f t="shared" si="12"/>
        <v>-186391</v>
      </c>
      <c r="E35" s="1168">
        <f>SUM(F35:AG35)</f>
        <v>-186391</v>
      </c>
      <c r="F35" s="1064">
        <f>-209-2</f>
        <v>-211</v>
      </c>
      <c r="G35" s="1064">
        <v>-275</v>
      </c>
      <c r="H35" s="1064">
        <v>-2356</v>
      </c>
      <c r="I35" s="1064">
        <v>-263</v>
      </c>
      <c r="J35" s="1064">
        <v>0</v>
      </c>
      <c r="K35" s="1064">
        <v>0</v>
      </c>
      <c r="L35" s="1064">
        <v>0</v>
      </c>
      <c r="M35" s="1064">
        <v>0</v>
      </c>
      <c r="N35" s="1064">
        <v>0</v>
      </c>
      <c r="O35" s="1064">
        <v>-468</v>
      </c>
      <c r="P35" s="1064">
        <v>0</v>
      </c>
      <c r="Q35" s="1064">
        <v>0</v>
      </c>
      <c r="R35" s="1064">
        <v>0</v>
      </c>
      <c r="S35" s="1064">
        <v>0</v>
      </c>
      <c r="T35" s="1064">
        <v>0</v>
      </c>
      <c r="U35" s="1064">
        <f>-131375-10362</f>
        <v>-141737</v>
      </c>
      <c r="V35" s="1064">
        <v>0</v>
      </c>
      <c r="W35" s="1064">
        <v>0</v>
      </c>
      <c r="X35" s="1064">
        <v>0</v>
      </c>
      <c r="Y35" s="1064">
        <v>0</v>
      </c>
      <c r="Z35" s="1064">
        <v>-2058</v>
      </c>
      <c r="AA35" s="1064">
        <v>0</v>
      </c>
      <c r="AB35" s="1064">
        <v>-32198</v>
      </c>
      <c r="AC35" s="1064">
        <v>-468</v>
      </c>
      <c r="AD35" s="1064">
        <v>0</v>
      </c>
      <c r="AE35" s="1064">
        <f>-1053-5304</f>
        <v>-6357</v>
      </c>
      <c r="AF35" s="1064">
        <v>0</v>
      </c>
      <c r="AG35" s="1064">
        <v>0</v>
      </c>
      <c r="AH35" s="1064">
        <v>0</v>
      </c>
      <c r="AI35" s="1064">
        <v>0</v>
      </c>
      <c r="AJ35" s="1064">
        <v>0</v>
      </c>
      <c r="AK35" s="1064">
        <v>0</v>
      </c>
      <c r="AL35" s="1223">
        <v>0</v>
      </c>
    </row>
    <row r="36" spans="2:38" ht="15" customHeight="1">
      <c r="B36" s="113" t="s">
        <v>3246</v>
      </c>
      <c r="C36" s="98" t="s">
        <v>129</v>
      </c>
      <c r="D36" s="90">
        <f t="shared" ref="D36" si="13">SUM(F36:AL36)</f>
        <v>-78062</v>
      </c>
      <c r="E36" s="1168">
        <f>SUM(F36:AG36)</f>
        <v>-72672</v>
      </c>
      <c r="F36" s="1064">
        <v>0</v>
      </c>
      <c r="G36" s="1064">
        <f>-1020+1</f>
        <v>-1019</v>
      </c>
      <c r="H36" s="1064">
        <v>-9132</v>
      </c>
      <c r="I36" s="1064">
        <v>0</v>
      </c>
      <c r="J36" s="1064">
        <v>0</v>
      </c>
      <c r="K36" s="1064">
        <v>0</v>
      </c>
      <c r="L36" s="1064">
        <v>0</v>
      </c>
      <c r="M36" s="1064">
        <v>0</v>
      </c>
      <c r="N36" s="1064">
        <v>-8635</v>
      </c>
      <c r="O36" s="1064">
        <v>0</v>
      </c>
      <c r="P36" s="1064">
        <v>0</v>
      </c>
      <c r="Q36" s="1064">
        <v>-1116</v>
      </c>
      <c r="R36" s="1064">
        <v>0</v>
      </c>
      <c r="S36" s="1064">
        <v>-3611</v>
      </c>
      <c r="T36" s="1064">
        <v>0</v>
      </c>
      <c r="U36" s="1064">
        <v>-6184</v>
      </c>
      <c r="V36" s="1064">
        <v>0</v>
      </c>
      <c r="W36" s="1064">
        <v>0</v>
      </c>
      <c r="X36" s="1064">
        <v>0</v>
      </c>
      <c r="Y36" s="1064">
        <v>0</v>
      </c>
      <c r="Z36" s="1064">
        <v>0</v>
      </c>
      <c r="AA36" s="1064">
        <v>0</v>
      </c>
      <c r="AB36" s="1064">
        <v>-29428</v>
      </c>
      <c r="AC36" s="1064">
        <v>0</v>
      </c>
      <c r="AD36" s="1064">
        <v>0</v>
      </c>
      <c r="AE36" s="1064">
        <v>-13547</v>
      </c>
      <c r="AF36" s="1064">
        <v>0</v>
      </c>
      <c r="AG36" s="1064">
        <v>0</v>
      </c>
      <c r="AH36" s="1064">
        <v>-5390</v>
      </c>
      <c r="AI36" s="1064">
        <v>0</v>
      </c>
      <c r="AJ36" s="1064">
        <v>0</v>
      </c>
      <c r="AK36" s="1064">
        <v>0</v>
      </c>
      <c r="AL36" s="1223">
        <v>0</v>
      </c>
    </row>
    <row r="37" spans="2:38" ht="15" customHeight="1" thickBot="1">
      <c r="B37" s="101" t="s">
        <v>3247</v>
      </c>
      <c r="C37" s="1259" t="s">
        <v>2829</v>
      </c>
      <c r="D37" s="104">
        <f t="shared" si="12"/>
        <v>225565</v>
      </c>
      <c r="E37" s="104">
        <f>SUM(F37:AG37)</f>
        <v>225565</v>
      </c>
      <c r="F37" s="1172">
        <v>-106</v>
      </c>
      <c r="G37" s="1172">
        <v>0</v>
      </c>
      <c r="H37" s="1172">
        <v>-26252</v>
      </c>
      <c r="I37" s="1172">
        <v>-270</v>
      </c>
      <c r="J37" s="1172">
        <v>0</v>
      </c>
      <c r="K37" s="1172">
        <v>0</v>
      </c>
      <c r="L37" s="1172">
        <v>0</v>
      </c>
      <c r="M37" s="1172">
        <v>-3</v>
      </c>
      <c r="N37" s="1172">
        <v>-96</v>
      </c>
      <c r="O37" s="1172">
        <v>-140</v>
      </c>
      <c r="P37" s="1172">
        <v>0</v>
      </c>
      <c r="Q37" s="1172">
        <v>0</v>
      </c>
      <c r="R37" s="1172">
        <v>0</v>
      </c>
      <c r="S37" s="1172">
        <v>-57555</v>
      </c>
      <c r="T37" s="1172">
        <v>0</v>
      </c>
      <c r="U37" s="1172">
        <v>106226</v>
      </c>
      <c r="V37" s="1172">
        <v>0</v>
      </c>
      <c r="W37" s="1172">
        <v>0</v>
      </c>
      <c r="X37" s="1172">
        <v>0</v>
      </c>
      <c r="Y37" s="1172">
        <v>0</v>
      </c>
      <c r="Z37" s="1172">
        <v>0</v>
      </c>
      <c r="AA37" s="1172">
        <v>0</v>
      </c>
      <c r="AB37" s="1172">
        <v>92964</v>
      </c>
      <c r="AC37" s="1172">
        <v>98258</v>
      </c>
      <c r="AD37" s="1172">
        <v>0</v>
      </c>
      <c r="AE37" s="1172">
        <v>12539</v>
      </c>
      <c r="AF37" s="1172">
        <v>0</v>
      </c>
      <c r="AG37" s="1172">
        <v>0</v>
      </c>
      <c r="AH37" s="1172">
        <v>0</v>
      </c>
      <c r="AI37" s="1172">
        <v>0</v>
      </c>
      <c r="AJ37" s="1172">
        <v>0</v>
      </c>
      <c r="AK37" s="1172">
        <v>0</v>
      </c>
      <c r="AL37" s="1173">
        <v>0</v>
      </c>
    </row>
    <row r="39" spans="2:38" ht="12" thickBot="1"/>
    <row r="40" spans="2:38" ht="57.75" customHeight="1">
      <c r="B40" s="2801" t="s">
        <v>2974</v>
      </c>
      <c r="C40" s="2803" t="s">
        <v>2960</v>
      </c>
      <c r="D40" s="132" t="str">
        <f t="shared" ref="D40:AL40" si="14">VLOOKUP(D41,SVRAMO,2,FALSE)</f>
        <v>TOTAL RAMOS</v>
      </c>
      <c r="E40" s="132" t="str">
        <f t="shared" si="14"/>
        <v>TOTAL SEGUROS NO PREVISIONALES</v>
      </c>
      <c r="F40" s="132" t="str">
        <f t="shared" si="14"/>
        <v>Vida Entera</v>
      </c>
      <c r="G40" s="132" t="str">
        <f t="shared" si="14"/>
        <v>Temporal de Vida</v>
      </c>
      <c r="H40" s="132" t="str">
        <f t="shared" si="14"/>
        <v>Otros Seguros con Cuenta Unica de Inversión (CUI)</v>
      </c>
      <c r="I40" s="132" t="str">
        <f t="shared" si="14"/>
        <v>Mixto o Dotal</v>
      </c>
      <c r="J40" s="132" t="str">
        <f t="shared" si="14"/>
        <v>Renta</v>
      </c>
      <c r="K40" s="132" t="str">
        <f t="shared" si="14"/>
        <v>Dotal Puro o Capital diferido</v>
      </c>
      <c r="L40" s="132" t="str">
        <f t="shared" si="14"/>
        <v>Protección Familiar</v>
      </c>
      <c r="M40" s="132" t="str">
        <f t="shared" si="14"/>
        <v>Incapacidad o Invalidez</v>
      </c>
      <c r="N40" s="132" t="str">
        <f t="shared" si="14"/>
        <v>Salud</v>
      </c>
      <c r="O40" s="132" t="str">
        <f t="shared" si="14"/>
        <v>Accidentes Personales</v>
      </c>
      <c r="P40" s="132" t="str">
        <f t="shared" si="14"/>
        <v>Asistencia</v>
      </c>
      <c r="Q40" s="132" t="str">
        <f t="shared" si="14"/>
        <v>Desgravamen</v>
      </c>
      <c r="R40" s="132"/>
      <c r="S40" s="132" t="str">
        <f t="shared" si="14"/>
        <v>Seguros con Ahorro Previsional Voluntario (APV)</v>
      </c>
      <c r="T40" s="132" t="str">
        <f t="shared" si="14"/>
        <v>Vida Entera</v>
      </c>
      <c r="U40" s="132" t="str">
        <f t="shared" si="14"/>
        <v>Temporal de Vida</v>
      </c>
      <c r="V40" s="132" t="str">
        <f t="shared" si="14"/>
        <v>Otros Seguros con Cuenta Unica de Inversión (CUI)</v>
      </c>
      <c r="W40" s="132" t="str">
        <f t="shared" si="14"/>
        <v>Mixto o Dotal</v>
      </c>
      <c r="X40" s="132" t="str">
        <f t="shared" si="14"/>
        <v>Renta</v>
      </c>
      <c r="Y40" s="132" t="str">
        <f t="shared" si="14"/>
        <v>Dotal Puro o Capital Diferido</v>
      </c>
      <c r="Z40" s="132" t="str">
        <f t="shared" si="14"/>
        <v>Protección Familiar</v>
      </c>
      <c r="AA40" s="132" t="str">
        <f t="shared" si="14"/>
        <v>Incapacidad o Invalidez</v>
      </c>
      <c r="AB40" s="132" t="str">
        <f t="shared" si="14"/>
        <v>Salud</v>
      </c>
      <c r="AC40" s="132" t="str">
        <f t="shared" si="14"/>
        <v>Accidentes Personales</v>
      </c>
      <c r="AD40" s="132" t="str">
        <f t="shared" si="14"/>
        <v>Asistencia</v>
      </c>
      <c r="AE40" s="132" t="str">
        <f t="shared" si="14"/>
        <v>Desgravamen</v>
      </c>
      <c r="AF40" s="132" t="str">
        <f t="shared" si="14"/>
        <v>Seguros con Ahorro Previsional Voluntario (APV)</v>
      </c>
      <c r="AG40" s="132" t="s">
        <v>998</v>
      </c>
      <c r="AH40" s="132" t="str">
        <f t="shared" si="14"/>
        <v>Seguro de AFP</v>
      </c>
      <c r="AI40" s="132" t="str">
        <f t="shared" si="14"/>
        <v>Renta Vitalicia Vejez</v>
      </c>
      <c r="AJ40" s="132" t="str">
        <f t="shared" si="14"/>
        <v>Renta Vitalicia Invalidez</v>
      </c>
      <c r="AK40" s="398" t="str">
        <f t="shared" si="14"/>
        <v>Renta Vitalicia Sobrevivencia</v>
      </c>
      <c r="AL40" s="136" t="str">
        <f t="shared" si="14"/>
        <v>Invalidez y Sobrevivencia</v>
      </c>
    </row>
    <row r="41" spans="2:38" ht="15" customHeight="1" thickBot="1">
      <c r="B41" s="2802"/>
      <c r="C41" s="2804"/>
      <c r="D41" s="134">
        <v>999</v>
      </c>
      <c r="E41" s="134">
        <v>300</v>
      </c>
      <c r="F41" s="134">
        <v>101</v>
      </c>
      <c r="G41" s="134">
        <v>102</v>
      </c>
      <c r="H41" s="134">
        <v>103</v>
      </c>
      <c r="I41" s="134">
        <v>104</v>
      </c>
      <c r="J41" s="134">
        <v>105</v>
      </c>
      <c r="K41" s="134">
        <v>106</v>
      </c>
      <c r="L41" s="134">
        <v>107</v>
      </c>
      <c r="M41" s="134">
        <v>108</v>
      </c>
      <c r="N41" s="134">
        <v>109</v>
      </c>
      <c r="O41" s="134">
        <v>110</v>
      </c>
      <c r="P41" s="134">
        <v>111</v>
      </c>
      <c r="Q41" s="134">
        <v>112</v>
      </c>
      <c r="R41" s="134">
        <v>113</v>
      </c>
      <c r="S41" s="134">
        <v>114</v>
      </c>
      <c r="T41" s="134">
        <v>201</v>
      </c>
      <c r="U41" s="134">
        <v>202</v>
      </c>
      <c r="V41" s="134">
        <v>203</v>
      </c>
      <c r="W41" s="134">
        <v>204</v>
      </c>
      <c r="X41" s="134">
        <v>205</v>
      </c>
      <c r="Y41" s="134">
        <v>206</v>
      </c>
      <c r="Z41" s="134">
        <v>207</v>
      </c>
      <c r="AA41" s="134">
        <v>208</v>
      </c>
      <c r="AB41" s="134">
        <v>209</v>
      </c>
      <c r="AC41" s="134">
        <v>210</v>
      </c>
      <c r="AD41" s="134">
        <v>211</v>
      </c>
      <c r="AE41" s="134">
        <v>212</v>
      </c>
      <c r="AF41" s="134">
        <v>213</v>
      </c>
      <c r="AG41" s="134">
        <v>214</v>
      </c>
      <c r="AH41" s="134">
        <v>420</v>
      </c>
      <c r="AI41" s="134">
        <v>421</v>
      </c>
      <c r="AJ41" s="134">
        <v>422</v>
      </c>
      <c r="AK41" s="399">
        <v>423</v>
      </c>
      <c r="AL41" s="403">
        <v>424</v>
      </c>
    </row>
    <row r="42" spans="2:38" s="47" customFormat="1" ht="15" customHeight="1">
      <c r="B42" s="113" t="s">
        <v>2961</v>
      </c>
      <c r="C42" s="114" t="s">
        <v>95</v>
      </c>
      <c r="D42" s="90">
        <f>SUM(F42:AL42)</f>
        <v>13207343.999999998</v>
      </c>
      <c r="E42" s="1168">
        <f>SUM(F42:AG42)</f>
        <v>7157551.8531163605</v>
      </c>
      <c r="F42" s="1168">
        <f>+F44+F49</f>
        <v>120264.35424953765</v>
      </c>
      <c r="G42" s="1168">
        <f t="shared" ref="G42:AL42" si="15">+G44+G49</f>
        <v>142404.541292384</v>
      </c>
      <c r="H42" s="1168">
        <f t="shared" si="15"/>
        <v>3108622.0391228111</v>
      </c>
      <c r="I42" s="1168">
        <f t="shared" si="15"/>
        <v>197443.72981583638</v>
      </c>
      <c r="J42" s="1168">
        <f t="shared" si="15"/>
        <v>51093.853116361097</v>
      </c>
      <c r="K42" s="1168">
        <f t="shared" si="15"/>
        <v>0</v>
      </c>
      <c r="L42" s="1168">
        <f t="shared" si="15"/>
        <v>0</v>
      </c>
      <c r="M42" s="1168">
        <f t="shared" si="15"/>
        <v>3424.8063556777051</v>
      </c>
      <c r="N42" s="1168">
        <f t="shared" si="15"/>
        <v>306713.2696170386</v>
      </c>
      <c r="O42" s="1168">
        <f t="shared" si="15"/>
        <v>91105.314177551991</v>
      </c>
      <c r="P42" s="1168">
        <f t="shared" si="15"/>
        <v>0</v>
      </c>
      <c r="Q42" s="1168">
        <f t="shared" si="15"/>
        <v>22483.489383922468</v>
      </c>
      <c r="R42" s="1168">
        <f t="shared" si="15"/>
        <v>0</v>
      </c>
      <c r="S42" s="1168">
        <f t="shared" si="15"/>
        <v>141608.45598523977</v>
      </c>
      <c r="T42" s="1168">
        <f t="shared" si="15"/>
        <v>0</v>
      </c>
      <c r="U42" s="1168">
        <f t="shared" si="15"/>
        <v>1003379.8091102605</v>
      </c>
      <c r="V42" s="1168">
        <f t="shared" si="15"/>
        <v>0</v>
      </c>
      <c r="W42" s="1168">
        <f t="shared" si="15"/>
        <v>0</v>
      </c>
      <c r="X42" s="1168">
        <f t="shared" si="15"/>
        <v>0</v>
      </c>
      <c r="Y42" s="1168">
        <f t="shared" si="15"/>
        <v>0</v>
      </c>
      <c r="Z42" s="1168">
        <f t="shared" si="15"/>
        <v>25226.688143813171</v>
      </c>
      <c r="AA42" s="1168">
        <f t="shared" si="15"/>
        <v>0</v>
      </c>
      <c r="AB42" s="1168">
        <f t="shared" si="15"/>
        <v>1526100.5101362737</v>
      </c>
      <c r="AC42" s="1168">
        <f t="shared" si="15"/>
        <v>48775.194966824718</v>
      </c>
      <c r="AD42" s="1168">
        <f t="shared" si="15"/>
        <v>0</v>
      </c>
      <c r="AE42" s="1168">
        <f t="shared" si="15"/>
        <v>368905.79764282791</v>
      </c>
      <c r="AF42" s="1168">
        <f t="shared" si="15"/>
        <v>0</v>
      </c>
      <c r="AG42" s="1168">
        <f t="shared" si="15"/>
        <v>0</v>
      </c>
      <c r="AH42" s="1168">
        <f t="shared" si="15"/>
        <v>111951</v>
      </c>
      <c r="AI42" s="1168">
        <f t="shared" si="15"/>
        <v>2799881.0353882043</v>
      </c>
      <c r="AJ42" s="1168">
        <f t="shared" si="15"/>
        <v>2670671.2942273878</v>
      </c>
      <c r="AK42" s="1168">
        <f t="shared" si="15"/>
        <v>467288.81726804649</v>
      </c>
      <c r="AL42" s="88">
        <f t="shared" si="15"/>
        <v>0</v>
      </c>
    </row>
    <row r="43" spans="2:38" s="47" customFormat="1" ht="15" customHeight="1">
      <c r="B43" s="58"/>
      <c r="C43" s="98"/>
      <c r="D43" s="90"/>
      <c r="E43" s="90"/>
      <c r="F43" s="116"/>
      <c r="G43" s="116"/>
      <c r="H43" s="116"/>
      <c r="I43" s="116"/>
      <c r="J43" s="116"/>
      <c r="K43" s="116"/>
      <c r="L43" s="116"/>
      <c r="M43" s="116"/>
      <c r="N43" s="116"/>
      <c r="O43" s="116"/>
      <c r="P43" s="116"/>
      <c r="Q43" s="116"/>
      <c r="R43" s="116"/>
      <c r="S43" s="116"/>
      <c r="T43" s="116"/>
      <c r="U43" s="116"/>
      <c r="V43" s="116"/>
      <c r="W43" s="116"/>
      <c r="X43" s="116"/>
      <c r="Y43" s="116"/>
      <c r="Z43" s="116"/>
      <c r="AA43" s="116"/>
      <c r="AB43" s="116"/>
      <c r="AC43" s="116"/>
      <c r="AD43" s="116"/>
      <c r="AE43" s="785"/>
      <c r="AF43" s="116"/>
      <c r="AG43" s="116"/>
      <c r="AH43" s="785"/>
      <c r="AI43" s="116"/>
      <c r="AJ43" s="116"/>
      <c r="AK43" s="400"/>
      <c r="AL43" s="401"/>
    </row>
    <row r="44" spans="2:38" ht="15" customHeight="1">
      <c r="B44" s="58" t="s">
        <v>2962</v>
      </c>
      <c r="C44" s="1166" t="s">
        <v>2970</v>
      </c>
      <c r="D44" s="90">
        <f t="shared" ref="D44:D45" si="16">SUM(F44:AL44)</f>
        <v>1928103</v>
      </c>
      <c r="E44" s="1168">
        <f>SUM(F44:AG44)</f>
        <v>1266832.6444812731</v>
      </c>
      <c r="F44" s="116">
        <f>+F45+F46+F47</f>
        <v>21651.901124599608</v>
      </c>
      <c r="G44" s="116">
        <f t="shared" ref="G44:AL44" si="17">+G45+G46+G47</f>
        <v>25637.716422961556</v>
      </c>
      <c r="H44" s="116">
        <f t="shared" si="17"/>
        <v>559658.90962398332</v>
      </c>
      <c r="I44" s="116">
        <f t="shared" si="17"/>
        <v>35546.663811212151</v>
      </c>
      <c r="J44" s="116">
        <f t="shared" si="17"/>
        <v>5718.6444812731879</v>
      </c>
      <c r="K44" s="116">
        <f t="shared" si="17"/>
        <v>0</v>
      </c>
      <c r="L44" s="116">
        <f t="shared" si="17"/>
        <v>0</v>
      </c>
      <c r="M44" s="116">
        <f t="shared" si="17"/>
        <v>616.58296395297134</v>
      </c>
      <c r="N44" s="116">
        <f t="shared" si="17"/>
        <v>55218.940057928718</v>
      </c>
      <c r="O44" s="116">
        <f t="shared" si="17"/>
        <v>16402.09075013407</v>
      </c>
      <c r="P44" s="116">
        <f t="shared" si="17"/>
        <v>0</v>
      </c>
      <c r="Q44" s="116">
        <f t="shared" si="17"/>
        <v>4047.8015644189218</v>
      </c>
      <c r="R44" s="116">
        <f t="shared" si="17"/>
        <v>0</v>
      </c>
      <c r="S44" s="116">
        <f t="shared" si="17"/>
        <v>25494.393680808655</v>
      </c>
      <c r="T44" s="116">
        <f t="shared" si="17"/>
        <v>0</v>
      </c>
      <c r="U44" s="116">
        <f t="shared" si="17"/>
        <v>166892.21175958693</v>
      </c>
      <c r="V44" s="116">
        <f t="shared" si="17"/>
        <v>0</v>
      </c>
      <c r="W44" s="116">
        <f t="shared" si="17"/>
        <v>0</v>
      </c>
      <c r="X44" s="116">
        <f t="shared" si="17"/>
        <v>0</v>
      </c>
      <c r="Y44" s="116">
        <f t="shared" si="17"/>
        <v>0</v>
      </c>
      <c r="Z44" s="116">
        <f t="shared" si="17"/>
        <v>4195.9562485352753</v>
      </c>
      <c r="AA44" s="116">
        <f t="shared" si="17"/>
        <v>0</v>
      </c>
      <c r="AB44" s="116">
        <f t="shared" si="17"/>
        <v>253836.37102477171</v>
      </c>
      <c r="AC44" s="116">
        <f t="shared" si="17"/>
        <v>8112.7805175158064</v>
      </c>
      <c r="AD44" s="116">
        <f t="shared" si="17"/>
        <v>0</v>
      </c>
      <c r="AE44" s="116">
        <f t="shared" si="17"/>
        <v>83801.680449590276</v>
      </c>
      <c r="AF44" s="116">
        <f t="shared" si="17"/>
        <v>0</v>
      </c>
      <c r="AG44" s="116">
        <f t="shared" si="17"/>
        <v>0</v>
      </c>
      <c r="AH44" s="116">
        <f t="shared" si="17"/>
        <v>0</v>
      </c>
      <c r="AI44" s="116">
        <f t="shared" si="17"/>
        <v>310056.32135318615</v>
      </c>
      <c r="AJ44" s="116">
        <f t="shared" si="17"/>
        <v>298913.05365532567</v>
      </c>
      <c r="AK44" s="116">
        <f t="shared" si="17"/>
        <v>52300.980510214991</v>
      </c>
      <c r="AL44" s="61">
        <f t="shared" si="17"/>
        <v>0</v>
      </c>
    </row>
    <row r="45" spans="2:38" ht="15" customHeight="1">
      <c r="B45" s="58" t="s">
        <v>2963</v>
      </c>
      <c r="C45" s="93" t="s">
        <v>2971</v>
      </c>
      <c r="D45" s="90">
        <f t="shared" si="16"/>
        <v>1511033</v>
      </c>
      <c r="E45" s="1168">
        <f>SUM(F45:AG45)</f>
        <v>1101190.3062571948</v>
      </c>
      <c r="F45" s="56">
        <f>+F83*$C$58</f>
        <v>19173.645365769182</v>
      </c>
      <c r="G45" s="56">
        <f>+G83*$C$58</f>
        <v>22703.248082152484</v>
      </c>
      <c r="H45" s="56">
        <f>+H83*$C$58</f>
        <v>495600.8896018712</v>
      </c>
      <c r="I45" s="56">
        <f>+I83*$C$58</f>
        <v>31478.026891507267</v>
      </c>
      <c r="J45" s="56">
        <f>+J83*C57</f>
        <v>3544.3062571947653</v>
      </c>
      <c r="K45" s="56">
        <f t="shared" ref="K45:S45" si="18">+K83*$C$58</f>
        <v>0</v>
      </c>
      <c r="L45" s="56">
        <f t="shared" si="18"/>
        <v>0</v>
      </c>
      <c r="M45" s="56">
        <f t="shared" si="18"/>
        <v>546.00947147211457</v>
      </c>
      <c r="N45" s="56">
        <f t="shared" si="18"/>
        <v>48898.633337167048</v>
      </c>
      <c r="O45" s="56">
        <f t="shared" si="18"/>
        <v>14524.723232868046</v>
      </c>
      <c r="P45" s="56">
        <f t="shared" si="18"/>
        <v>0</v>
      </c>
      <c r="Q45" s="56">
        <f t="shared" si="18"/>
        <v>3584.4940941004461</v>
      </c>
      <c r="R45" s="56">
        <f t="shared" si="18"/>
        <v>0</v>
      </c>
      <c r="S45" s="56">
        <f t="shared" si="18"/>
        <v>22576.329923092209</v>
      </c>
      <c r="T45" s="56">
        <f>+T83*$C$56</f>
        <v>0</v>
      </c>
      <c r="U45" s="56">
        <f t="shared" ref="U45:AF45" si="19">+U83*$C$56</f>
        <v>141784.79917073855</v>
      </c>
      <c r="V45" s="56">
        <f t="shared" si="19"/>
        <v>0</v>
      </c>
      <c r="W45" s="56">
        <f t="shared" si="19"/>
        <v>0</v>
      </c>
      <c r="X45" s="56">
        <f t="shared" si="19"/>
        <v>0</v>
      </c>
      <c r="Y45" s="56">
        <f t="shared" si="19"/>
        <v>0</v>
      </c>
      <c r="Z45" s="56">
        <f t="shared" si="19"/>
        <v>3564.7128632028866</v>
      </c>
      <c r="AA45" s="56">
        <f t="shared" si="19"/>
        <v>0</v>
      </c>
      <c r="AB45" s="56">
        <f t="shared" si="19"/>
        <v>215649.00188285104</v>
      </c>
      <c r="AC45" s="56">
        <f t="shared" si="19"/>
        <v>6892.2866098104978</v>
      </c>
      <c r="AD45" s="56">
        <f t="shared" si="19"/>
        <v>0</v>
      </c>
      <c r="AE45" s="56">
        <f>+AE83*$C$56+22344</f>
        <v>70669.19947339702</v>
      </c>
      <c r="AF45" s="56">
        <f t="shared" si="19"/>
        <v>0</v>
      </c>
      <c r="AG45" s="56">
        <v>0</v>
      </c>
      <c r="AH45" s="56">
        <f>+AH83*C55-22344</f>
        <v>0</v>
      </c>
      <c r="AI45" s="56">
        <f>+$AI$83*C57</f>
        <v>192166.96604476168</v>
      </c>
      <c r="AJ45" s="56">
        <f>+AJ83*C57</f>
        <v>185260.58227559095</v>
      </c>
      <c r="AK45" s="1054">
        <f>+AK83*C57</f>
        <v>32415.145422452613</v>
      </c>
      <c r="AL45" s="402">
        <v>0</v>
      </c>
    </row>
    <row r="46" spans="2:38" ht="15" customHeight="1">
      <c r="B46" s="58" t="s">
        <v>2964</v>
      </c>
      <c r="C46" s="93" t="s">
        <v>2972</v>
      </c>
      <c r="D46" s="90">
        <f>SUM(F46:AL46)</f>
        <v>142331.99999999997</v>
      </c>
      <c r="E46" s="1168">
        <f>SUM(F46:AG46)</f>
        <v>56528.029936440129</v>
      </c>
      <c r="F46" s="56">
        <f>+F83*$C$68</f>
        <v>845.74125087415246</v>
      </c>
      <c r="G46" s="56">
        <f t="shared" ref="G46:S46" si="20">+G83*$C$68</f>
        <v>1001.4305086807138</v>
      </c>
      <c r="H46" s="56">
        <f t="shared" si="20"/>
        <v>21860.742092087527</v>
      </c>
      <c r="I46" s="56">
        <f t="shared" si="20"/>
        <v>1388.4822281005806</v>
      </c>
      <c r="J46" s="56">
        <f>+J83*C67</f>
        <v>742.0299364401352</v>
      </c>
      <c r="K46" s="56">
        <f t="shared" si="20"/>
        <v>0</v>
      </c>
      <c r="L46" s="56">
        <f t="shared" si="20"/>
        <v>0</v>
      </c>
      <c r="M46" s="56">
        <f t="shared" si="20"/>
        <v>24.084242958638654</v>
      </c>
      <c r="N46" s="56">
        <f t="shared" si="20"/>
        <v>2156.8976861564656</v>
      </c>
      <c r="O46" s="56">
        <f t="shared" si="20"/>
        <v>640.67929500238176</v>
      </c>
      <c r="P46" s="56">
        <f t="shared" si="20"/>
        <v>0</v>
      </c>
      <c r="Q46" s="56">
        <f t="shared" si="20"/>
        <v>158.11049286995652</v>
      </c>
      <c r="R46" s="56">
        <f t="shared" si="20"/>
        <v>0</v>
      </c>
      <c r="S46" s="56">
        <f t="shared" si="20"/>
        <v>995.83220326958349</v>
      </c>
      <c r="T46" s="56">
        <f>+T83*$C$66</f>
        <v>0</v>
      </c>
      <c r="U46" s="56">
        <f>+U83*$C$66</f>
        <v>8568.4189304149459</v>
      </c>
      <c r="V46" s="56">
        <f t="shared" ref="V46:AG46" si="21">+V83*$C$66</f>
        <v>0</v>
      </c>
      <c r="W46" s="56">
        <f t="shared" si="21"/>
        <v>0</v>
      </c>
      <c r="X46" s="56">
        <f t="shared" si="21"/>
        <v>0</v>
      </c>
      <c r="Y46" s="56">
        <f t="shared" si="21"/>
        <v>0</v>
      </c>
      <c r="Z46" s="56">
        <f t="shared" si="21"/>
        <v>215.42473775189376</v>
      </c>
      <c r="AA46" s="56">
        <f t="shared" si="21"/>
        <v>0</v>
      </c>
      <c r="AB46" s="56">
        <f t="shared" si="21"/>
        <v>13032.222077861859</v>
      </c>
      <c r="AC46" s="56">
        <f t="shared" si="21"/>
        <v>416.51855069618529</v>
      </c>
      <c r="AD46" s="56">
        <f t="shared" si="21"/>
        <v>0</v>
      </c>
      <c r="AE46" s="56">
        <f>+AE83*$C$66+1561</f>
        <v>4481.4157032751154</v>
      </c>
      <c r="AF46" s="56">
        <f t="shared" si="21"/>
        <v>0</v>
      </c>
      <c r="AG46" s="56">
        <f t="shared" si="21"/>
        <v>0</v>
      </c>
      <c r="AH46" s="56">
        <f>+AH83*C65-1561</f>
        <v>0</v>
      </c>
      <c r="AI46" s="56">
        <f>+$AI$83*C67</f>
        <v>40231.749530851099</v>
      </c>
      <c r="AJ46" s="56">
        <f>+AJ83*C67</f>
        <v>38785.840758474005</v>
      </c>
      <c r="AK46" s="1498">
        <f>+AK83*C67</f>
        <v>6786.3797742347579</v>
      </c>
      <c r="AL46" s="402">
        <v>0</v>
      </c>
    </row>
    <row r="47" spans="2:38" ht="15" customHeight="1">
      <c r="B47" s="58" t="s">
        <v>2965</v>
      </c>
      <c r="C47" s="93" t="s">
        <v>998</v>
      </c>
      <c r="D47" s="90">
        <f>SUM(F47:AL47)</f>
        <v>274738</v>
      </c>
      <c r="E47" s="1168">
        <f>SUM(F47:AG47)</f>
        <v>109114.30828763828</v>
      </c>
      <c r="F47" s="56">
        <f>+F83*$C$73</f>
        <v>1632.5145079562747</v>
      </c>
      <c r="G47" s="56">
        <f t="shared" ref="G47:S47" si="22">+G83*$C$73</f>
        <v>1933.0378321283579</v>
      </c>
      <c r="H47" s="56">
        <f t="shared" si="22"/>
        <v>42197.277930024618</v>
      </c>
      <c r="I47" s="56">
        <f t="shared" si="22"/>
        <v>2680.1546916043026</v>
      </c>
      <c r="J47" s="56">
        <f>+J83*C72</f>
        <v>1432.3082876382873</v>
      </c>
      <c r="K47" s="56">
        <f t="shared" si="22"/>
        <v>0</v>
      </c>
      <c r="L47" s="56">
        <f t="shared" si="22"/>
        <v>0</v>
      </c>
      <c r="M47" s="56">
        <f t="shared" si="22"/>
        <v>46.489249522218124</v>
      </c>
      <c r="N47" s="56">
        <f t="shared" si="22"/>
        <v>4163.4090346052008</v>
      </c>
      <c r="O47" s="56">
        <f t="shared" si="22"/>
        <v>1236.6882222636441</v>
      </c>
      <c r="P47" s="56">
        <f t="shared" si="22"/>
        <v>0</v>
      </c>
      <c r="Q47" s="56">
        <f t="shared" si="22"/>
        <v>305.19697744851919</v>
      </c>
      <c r="R47" s="56">
        <f t="shared" si="22"/>
        <v>0</v>
      </c>
      <c r="S47" s="56">
        <f t="shared" si="22"/>
        <v>1922.2315544468636</v>
      </c>
      <c r="T47" s="56">
        <f>+T85*$C$56</f>
        <v>0</v>
      </c>
      <c r="U47" s="56">
        <f>+U83*$C$71</f>
        <v>16538.993658433428</v>
      </c>
      <c r="V47" s="56">
        <f t="shared" ref="V47:AG47" si="23">+V83*$C$71</f>
        <v>0</v>
      </c>
      <c r="W47" s="56">
        <f t="shared" si="23"/>
        <v>0</v>
      </c>
      <c r="X47" s="56">
        <f t="shared" si="23"/>
        <v>0</v>
      </c>
      <c r="Y47" s="56">
        <f t="shared" si="23"/>
        <v>0</v>
      </c>
      <c r="Z47" s="56">
        <f t="shared" si="23"/>
        <v>415.81864758049511</v>
      </c>
      <c r="AA47" s="56">
        <f t="shared" si="23"/>
        <v>0</v>
      </c>
      <c r="AB47" s="56">
        <f t="shared" si="23"/>
        <v>25155.147064058809</v>
      </c>
      <c r="AC47" s="56">
        <f t="shared" si="23"/>
        <v>803.97535700912385</v>
      </c>
      <c r="AD47" s="56">
        <f t="shared" si="23"/>
        <v>0</v>
      </c>
      <c r="AE47" s="56">
        <f>+AE83*$C$71+3014</f>
        <v>8651.0652729181456</v>
      </c>
      <c r="AF47" s="56">
        <f t="shared" si="23"/>
        <v>0</v>
      </c>
      <c r="AG47" s="56">
        <f t="shared" si="23"/>
        <v>0</v>
      </c>
      <c r="AH47" s="56">
        <f>+AH83*C70-3014</f>
        <v>0</v>
      </c>
      <c r="AI47" s="56">
        <f>+AI83*C72</f>
        <v>77657.605777573335</v>
      </c>
      <c r="AJ47" s="56">
        <f>+AJ83*C72</f>
        <v>74866.63062126076</v>
      </c>
      <c r="AK47" s="56">
        <f>+AK83*C72</f>
        <v>13099.455313527624</v>
      </c>
      <c r="AL47" s="402">
        <v>0</v>
      </c>
    </row>
    <row r="48" spans="2:38" ht="15" customHeight="1">
      <c r="B48" s="58"/>
      <c r="C48" s="93"/>
      <c r="D48" s="1064"/>
      <c r="E48" s="1497"/>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402"/>
    </row>
    <row r="49" spans="2:38" ht="15" customHeight="1">
      <c r="B49" s="58" t="s">
        <v>2966</v>
      </c>
      <c r="C49" s="118" t="s">
        <v>2973</v>
      </c>
      <c r="D49" s="90">
        <f>SUM(F49:AL49)</f>
        <v>11279241</v>
      </c>
      <c r="E49" s="1168">
        <f>SUM(F49:AG49)</f>
        <v>5890719.208635089</v>
      </c>
      <c r="F49" s="116">
        <f>+F50+F51+F52</f>
        <v>98612.453124938038</v>
      </c>
      <c r="G49" s="116">
        <f t="shared" ref="G49:AL49" si="24">+G50+G51+G52</f>
        <v>116766.82486942245</v>
      </c>
      <c r="H49" s="116">
        <f t="shared" si="24"/>
        <v>2548963.1294988277</v>
      </c>
      <c r="I49" s="116">
        <f t="shared" si="24"/>
        <v>161897.06600462424</v>
      </c>
      <c r="J49" s="116">
        <f t="shared" si="24"/>
        <v>45375.208635087911</v>
      </c>
      <c r="K49" s="116">
        <f t="shared" si="24"/>
        <v>0</v>
      </c>
      <c r="L49" s="116">
        <f t="shared" si="24"/>
        <v>0</v>
      </c>
      <c r="M49" s="116">
        <f t="shared" si="24"/>
        <v>2808.223391724734</v>
      </c>
      <c r="N49" s="116">
        <f t="shared" si="24"/>
        <v>251494.3295591099</v>
      </c>
      <c r="O49" s="116">
        <f t="shared" si="24"/>
        <v>74703.223427417921</v>
      </c>
      <c r="P49" s="116">
        <f t="shared" si="24"/>
        <v>0</v>
      </c>
      <c r="Q49" s="116">
        <f t="shared" si="24"/>
        <v>18435.687819503546</v>
      </c>
      <c r="R49" s="116">
        <f t="shared" si="24"/>
        <v>0</v>
      </c>
      <c r="S49" s="116">
        <f t="shared" si="24"/>
        <v>116114.06230443111</v>
      </c>
      <c r="T49" s="116">
        <f t="shared" si="24"/>
        <v>0</v>
      </c>
      <c r="U49" s="116">
        <f t="shared" si="24"/>
        <v>836487.59735067352</v>
      </c>
      <c r="V49" s="116">
        <f t="shared" si="24"/>
        <v>0</v>
      </c>
      <c r="W49" s="116">
        <f t="shared" si="24"/>
        <v>0</v>
      </c>
      <c r="X49" s="116">
        <f t="shared" si="24"/>
        <v>0</v>
      </c>
      <c r="Y49" s="116">
        <f t="shared" si="24"/>
        <v>0</v>
      </c>
      <c r="Z49" s="116">
        <f t="shared" si="24"/>
        <v>21030.731895277895</v>
      </c>
      <c r="AA49" s="116">
        <f t="shared" si="24"/>
        <v>0</v>
      </c>
      <c r="AB49" s="116">
        <f t="shared" si="24"/>
        <v>1272264.1391115021</v>
      </c>
      <c r="AC49" s="116">
        <f t="shared" si="24"/>
        <v>40662.414449308912</v>
      </c>
      <c r="AD49" s="116">
        <f t="shared" si="24"/>
        <v>0</v>
      </c>
      <c r="AE49" s="116">
        <f t="shared" si="24"/>
        <v>285104.11719323765</v>
      </c>
      <c r="AF49" s="116">
        <f t="shared" si="24"/>
        <v>0</v>
      </c>
      <c r="AG49" s="116">
        <f t="shared" si="24"/>
        <v>0</v>
      </c>
      <c r="AH49" s="116">
        <f t="shared" si="24"/>
        <v>111951</v>
      </c>
      <c r="AI49" s="116">
        <f t="shared" si="24"/>
        <v>2489824.7140350183</v>
      </c>
      <c r="AJ49" s="116">
        <f t="shared" si="24"/>
        <v>2371758.2405720623</v>
      </c>
      <c r="AK49" s="116">
        <f t="shared" si="24"/>
        <v>414987.83675783151</v>
      </c>
      <c r="AL49" s="61">
        <f t="shared" si="24"/>
        <v>0</v>
      </c>
    </row>
    <row r="50" spans="2:38" ht="15" customHeight="1">
      <c r="B50" s="58" t="s">
        <v>2967</v>
      </c>
      <c r="C50" s="93" t="s">
        <v>2971</v>
      </c>
      <c r="D50" s="90">
        <f t="shared" ref="D50" si="25">SUM(F50:AL50)</f>
        <v>4682274</v>
      </c>
      <c r="E50" s="1168">
        <f>SUM(F50:AG50)</f>
        <v>3343047.816417993</v>
      </c>
      <c r="F50" s="56">
        <f>+F83*$C$63</f>
        <v>59413.817425411165</v>
      </c>
      <c r="G50" s="56">
        <f t="shared" ref="G50:S50" si="26">+G83*$C$63</f>
        <v>70351.078826408193</v>
      </c>
      <c r="H50" s="56">
        <f t="shared" si="26"/>
        <v>1535729.9151493758</v>
      </c>
      <c r="I50" s="56">
        <f t="shared" si="26"/>
        <v>97541.688446117172</v>
      </c>
      <c r="J50" s="56">
        <f>+J83*C62</f>
        <v>10982.816417993396</v>
      </c>
      <c r="K50" s="56">
        <f t="shared" si="26"/>
        <v>0</v>
      </c>
      <c r="L50" s="56">
        <f t="shared" si="26"/>
        <v>0</v>
      </c>
      <c r="M50" s="56">
        <f t="shared" si="26"/>
        <v>1691.9321512280437</v>
      </c>
      <c r="N50" s="56">
        <f t="shared" si="26"/>
        <v>151523.32370939406</v>
      </c>
      <c r="O50" s="56">
        <f t="shared" si="26"/>
        <v>45008.095114396652</v>
      </c>
      <c r="P50" s="56">
        <f t="shared" si="26"/>
        <v>0</v>
      </c>
      <c r="Q50" s="56">
        <f t="shared" si="26"/>
        <v>11107.354580030062</v>
      </c>
      <c r="R50" s="56">
        <f t="shared" si="26"/>
        <v>0</v>
      </c>
      <c r="S50" s="56">
        <f t="shared" si="26"/>
        <v>69957.794597638698</v>
      </c>
      <c r="T50" s="56">
        <f>+T83*$C$61</f>
        <v>0</v>
      </c>
      <c r="U50" s="56">
        <f t="shared" ref="U50:AG50" si="27">+U83*$C$61</f>
        <v>439352.46814747236</v>
      </c>
      <c r="V50" s="56">
        <f t="shared" si="27"/>
        <v>0</v>
      </c>
      <c r="W50" s="56">
        <f t="shared" si="27"/>
        <v>0</v>
      </c>
      <c r="X50" s="56">
        <f t="shared" si="27"/>
        <v>0</v>
      </c>
      <c r="Y50" s="56">
        <f t="shared" si="27"/>
        <v>0</v>
      </c>
      <c r="Z50" s="56">
        <f t="shared" si="27"/>
        <v>11046.074077371584</v>
      </c>
      <c r="AA50" s="56">
        <f t="shared" si="27"/>
        <v>0</v>
      </c>
      <c r="AB50" s="56">
        <f t="shared" si="27"/>
        <v>668237.51054353581</v>
      </c>
      <c r="AC50" s="56">
        <f t="shared" si="27"/>
        <v>21357.318632962189</v>
      </c>
      <c r="AD50" s="56">
        <f t="shared" si="27"/>
        <v>0</v>
      </c>
      <c r="AE50" s="56">
        <f>+AE83*$C$61</f>
        <v>149746.62859865811</v>
      </c>
      <c r="AF50" s="56">
        <f t="shared" si="27"/>
        <v>0</v>
      </c>
      <c r="AG50" s="56">
        <f t="shared" si="27"/>
        <v>0</v>
      </c>
      <c r="AH50" s="56">
        <f>+AH83*C60-6069</f>
        <v>63169</v>
      </c>
      <c r="AI50" s="56">
        <f>+AI83*C62+6069</f>
        <v>601540.82340355264</v>
      </c>
      <c r="AJ50" s="56">
        <f>+AJ83*C62</f>
        <v>574070.86661686504</v>
      </c>
      <c r="AK50" s="1498">
        <f>+AK83*C62</f>
        <v>100445.49356158888</v>
      </c>
      <c r="AL50" s="402">
        <v>0</v>
      </c>
    </row>
    <row r="51" spans="2:38" s="47" customFormat="1" ht="15" customHeight="1">
      <c r="B51" s="58" t="s">
        <v>2968</v>
      </c>
      <c r="C51" s="93" t="s">
        <v>2972</v>
      </c>
      <c r="D51" s="90">
        <f>SUM(E51:AL51)</f>
        <v>0</v>
      </c>
      <c r="E51" s="1168">
        <f>SUM(F51:AG51)</f>
        <v>0</v>
      </c>
      <c r="F51" s="56">
        <v>0</v>
      </c>
      <c r="G51" s="56">
        <v>0</v>
      </c>
      <c r="H51" s="56">
        <v>0</v>
      </c>
      <c r="I51" s="56">
        <v>0</v>
      </c>
      <c r="J51" s="56">
        <v>0</v>
      </c>
      <c r="K51" s="56">
        <v>0</v>
      </c>
      <c r="L51" s="56">
        <v>0</v>
      </c>
      <c r="M51" s="56">
        <v>0</v>
      </c>
      <c r="N51" s="56">
        <v>0</v>
      </c>
      <c r="O51" s="56">
        <v>0</v>
      </c>
      <c r="P51" s="56">
        <v>0</v>
      </c>
      <c r="Q51" s="56">
        <v>0</v>
      </c>
      <c r="R51" s="56">
        <v>0</v>
      </c>
      <c r="S51" s="56">
        <v>0</v>
      </c>
      <c r="T51" s="56">
        <v>0</v>
      </c>
      <c r="U51" s="56">
        <v>0</v>
      </c>
      <c r="V51" s="56">
        <v>0</v>
      </c>
      <c r="W51" s="56">
        <v>0</v>
      </c>
      <c r="X51" s="56">
        <v>0</v>
      </c>
      <c r="Y51" s="56">
        <v>0</v>
      </c>
      <c r="Z51" s="56">
        <v>0</v>
      </c>
      <c r="AA51" s="56">
        <v>0</v>
      </c>
      <c r="AB51" s="56">
        <v>0</v>
      </c>
      <c r="AC51" s="56">
        <v>0</v>
      </c>
      <c r="AD51" s="56">
        <v>0</v>
      </c>
      <c r="AE51" s="56">
        <v>0</v>
      </c>
      <c r="AF51" s="56">
        <v>0</v>
      </c>
      <c r="AG51" s="56">
        <v>0</v>
      </c>
      <c r="AH51" s="56">
        <v>0</v>
      </c>
      <c r="AI51" s="56">
        <v>0</v>
      </c>
      <c r="AJ51" s="56">
        <v>0</v>
      </c>
      <c r="AK51" s="56">
        <v>0</v>
      </c>
      <c r="AL51" s="57">
        <v>0</v>
      </c>
    </row>
    <row r="52" spans="2:38" ht="15" customHeight="1" thickBot="1">
      <c r="B52" s="101" t="s">
        <v>2969</v>
      </c>
      <c r="C52" s="120" t="s">
        <v>998</v>
      </c>
      <c r="D52" s="104">
        <f t="shared" ref="D52" si="28">SUM(F52:AL52)</f>
        <v>6596967</v>
      </c>
      <c r="E52" s="104">
        <f>SUM(F52:AG52)</f>
        <v>2547671.3922170941</v>
      </c>
      <c r="F52" s="121">
        <f>+F83*$C$78-1</f>
        <v>39198.635699526872</v>
      </c>
      <c r="G52" s="121">
        <f t="shared" ref="G52:S52" si="29">+G83*$C$78</f>
        <v>46415.746043014246</v>
      </c>
      <c r="H52" s="121">
        <f t="shared" si="29"/>
        <v>1013233.2143494521</v>
      </c>
      <c r="I52" s="121">
        <f t="shared" si="29"/>
        <v>64355.377558507069</v>
      </c>
      <c r="J52" s="121">
        <f>+J83*C77</f>
        <v>34392.392217094515</v>
      </c>
      <c r="K52" s="121">
        <f t="shared" si="29"/>
        <v>0</v>
      </c>
      <c r="L52" s="121">
        <f t="shared" si="29"/>
        <v>0</v>
      </c>
      <c r="M52" s="121">
        <f t="shared" si="29"/>
        <v>1116.2912404966905</v>
      </c>
      <c r="N52" s="121">
        <f t="shared" si="29"/>
        <v>99971.005849715846</v>
      </c>
      <c r="O52" s="121">
        <f t="shared" si="29"/>
        <v>29695.128313021272</v>
      </c>
      <c r="P52" s="121">
        <f t="shared" si="29"/>
        <v>0</v>
      </c>
      <c r="Q52" s="121">
        <f t="shared" si="29"/>
        <v>7328.3332394734862</v>
      </c>
      <c r="R52" s="121">
        <f t="shared" si="29"/>
        <v>0</v>
      </c>
      <c r="S52" s="121">
        <f t="shared" si="29"/>
        <v>46156.267706792409</v>
      </c>
      <c r="T52" s="121">
        <f>+T83*$C$76</f>
        <v>0</v>
      </c>
      <c r="U52" s="121">
        <f t="shared" ref="U52:AG52" si="30">+U83*$C$76</f>
        <v>397135.1292032011</v>
      </c>
      <c r="V52" s="121">
        <f t="shared" si="30"/>
        <v>0</v>
      </c>
      <c r="W52" s="121">
        <f t="shared" si="30"/>
        <v>0</v>
      </c>
      <c r="X52" s="121">
        <f t="shared" si="30"/>
        <v>0</v>
      </c>
      <c r="Y52" s="121">
        <f t="shared" si="30"/>
        <v>0</v>
      </c>
      <c r="Z52" s="121">
        <f t="shared" si="30"/>
        <v>9984.6578179063126</v>
      </c>
      <c r="AA52" s="121">
        <f t="shared" si="30"/>
        <v>0</v>
      </c>
      <c r="AB52" s="121">
        <f t="shared" si="30"/>
        <v>604026.62856796628</v>
      </c>
      <c r="AC52" s="121">
        <f t="shared" si="30"/>
        <v>19305.095816346718</v>
      </c>
      <c r="AD52" s="121">
        <f t="shared" si="30"/>
        <v>0</v>
      </c>
      <c r="AE52" s="121">
        <f>+AE83*$C$76</f>
        <v>135357.48859457954</v>
      </c>
      <c r="AF52" s="121">
        <f t="shared" si="30"/>
        <v>0</v>
      </c>
      <c r="AG52" s="121">
        <f t="shared" si="30"/>
        <v>0</v>
      </c>
      <c r="AH52" s="121">
        <f>+AH83*C75-23580</f>
        <v>48782</v>
      </c>
      <c r="AI52" s="121">
        <f>+AI83*C77+23580</f>
        <v>1888283.8906314657</v>
      </c>
      <c r="AJ52" s="121">
        <f>+AJ83*C77</f>
        <v>1797687.3739551972</v>
      </c>
      <c r="AK52" s="1499">
        <f>+AK83*C77</f>
        <v>314542.34319624264</v>
      </c>
      <c r="AL52" s="1167">
        <v>0</v>
      </c>
    </row>
    <row r="54" spans="2:38">
      <c r="F54" s="1454"/>
    </row>
    <row r="55" spans="2:38">
      <c r="C55" s="687">
        <v>22344</v>
      </c>
      <c r="D55" s="47" t="s">
        <v>3500</v>
      </c>
    </row>
    <row r="56" spans="2:38">
      <c r="C56" s="687">
        <v>416216</v>
      </c>
      <c r="D56" s="47" t="s">
        <v>3501</v>
      </c>
    </row>
    <row r="57" spans="2:38">
      <c r="C57" s="687">
        <v>413387</v>
      </c>
      <c r="D57" s="47" t="s">
        <v>3502</v>
      </c>
    </row>
    <row r="58" spans="2:38">
      <c r="C58" s="687">
        <v>659086</v>
      </c>
      <c r="D58" s="47" t="s">
        <v>3503</v>
      </c>
    </row>
    <row r="59" spans="2:38">
      <c r="C59" s="687"/>
    </row>
    <row r="60" spans="2:38">
      <c r="C60" s="687">
        <v>69238</v>
      </c>
      <c r="D60" s="47" t="s">
        <v>3504</v>
      </c>
    </row>
    <row r="61" spans="2:38">
      <c r="C61" s="687">
        <v>1289740</v>
      </c>
      <c r="D61" s="47" t="s">
        <v>3505</v>
      </c>
    </row>
    <row r="62" spans="2:38">
      <c r="C62" s="687">
        <v>1280971</v>
      </c>
      <c r="D62" s="47" t="s">
        <v>3506</v>
      </c>
    </row>
    <row r="63" spans="2:38">
      <c r="C63" s="687">
        <v>2042325</v>
      </c>
      <c r="D63" s="47" t="s">
        <v>3507</v>
      </c>
    </row>
    <row r="64" spans="2:38">
      <c r="C64" s="687"/>
    </row>
    <row r="65" spans="3:4">
      <c r="C65" s="687">
        <v>1561</v>
      </c>
      <c r="D65" s="47" t="s">
        <v>3508</v>
      </c>
    </row>
    <row r="66" spans="3:4">
      <c r="C66" s="687">
        <v>25153</v>
      </c>
      <c r="D66" s="47" t="s">
        <v>3509</v>
      </c>
    </row>
    <row r="67" spans="3:4">
      <c r="C67" s="687">
        <v>86546</v>
      </c>
      <c r="D67" s="47" t="s">
        <v>3510</v>
      </c>
    </row>
    <row r="68" spans="3:4">
      <c r="C68" s="687">
        <v>29072</v>
      </c>
      <c r="D68" s="47" t="s">
        <v>3511</v>
      </c>
    </row>
    <row r="69" spans="3:4">
      <c r="C69" s="687"/>
    </row>
    <row r="70" spans="3:4">
      <c r="C70" s="687">
        <v>3014</v>
      </c>
      <c r="D70" s="47" t="s">
        <v>3512</v>
      </c>
    </row>
    <row r="71" spans="3:4">
      <c r="C71" s="687">
        <v>48551</v>
      </c>
      <c r="D71" s="47" t="s">
        <v>3513</v>
      </c>
    </row>
    <row r="72" spans="3:4">
      <c r="C72" s="687">
        <v>167056</v>
      </c>
      <c r="D72" s="47" t="s">
        <v>3514</v>
      </c>
    </row>
    <row r="73" spans="3:4">
      <c r="C73" s="687">
        <v>56117</v>
      </c>
      <c r="D73" s="47" t="s">
        <v>3515</v>
      </c>
    </row>
    <row r="74" spans="3:4">
      <c r="C74" s="687"/>
    </row>
    <row r="75" spans="3:4">
      <c r="C75" s="687">
        <v>72362</v>
      </c>
      <c r="D75" s="47" t="s">
        <v>3516</v>
      </c>
    </row>
    <row r="76" spans="3:4">
      <c r="C76" s="687">
        <v>1165809</v>
      </c>
      <c r="D76" s="47" t="s">
        <v>3517</v>
      </c>
    </row>
    <row r="77" spans="3:4">
      <c r="C77" s="687">
        <v>4011326</v>
      </c>
      <c r="D77" s="47" t="s">
        <v>3518</v>
      </c>
    </row>
    <row r="78" spans="3:4">
      <c r="C78" s="687">
        <v>1347471</v>
      </c>
      <c r="D78" s="47" t="s">
        <v>3519</v>
      </c>
    </row>
    <row r="81" spans="2:40">
      <c r="D81" s="702" t="s">
        <v>1805</v>
      </c>
      <c r="E81" s="702"/>
      <c r="F81" s="36">
        <v>1727</v>
      </c>
      <c r="G81" s="687">
        <v>2045.2717282884016</v>
      </c>
      <c r="H81" s="687">
        <v>44647.289425257688</v>
      </c>
      <c r="I81" s="687">
        <v>2835.7668572592152</v>
      </c>
      <c r="J81" s="687">
        <v>2250.2418508492492</v>
      </c>
      <c r="K81" s="687">
        <v>0</v>
      </c>
      <c r="L81" s="687">
        <v>0</v>
      </c>
      <c r="M81" s="687">
        <v>49.188456706223469</v>
      </c>
      <c r="N81" s="687">
        <v>4405.1402669149047</v>
      </c>
      <c r="O81" s="687">
        <v>1308.4914406036926</v>
      </c>
      <c r="P81" s="687">
        <v>0</v>
      </c>
      <c r="Q81" s="687">
        <v>322.91698546181391</v>
      </c>
      <c r="R81" s="687">
        <v>0</v>
      </c>
      <c r="S81" s="687">
        <v>2033.8380285114763</v>
      </c>
      <c r="T81" s="687">
        <v>0</v>
      </c>
      <c r="U81" s="687">
        <v>297386.38940751203</v>
      </c>
      <c r="V81" s="687">
        <v>0</v>
      </c>
      <c r="W81" s="687">
        <v>0</v>
      </c>
      <c r="X81" s="687">
        <v>0</v>
      </c>
      <c r="Y81" s="687">
        <v>0</v>
      </c>
      <c r="Z81" s="687">
        <v>7476.8035350943519</v>
      </c>
      <c r="AA81" s="687">
        <v>0</v>
      </c>
      <c r="AB81" s="687">
        <v>452312.78969508992</v>
      </c>
      <c r="AC81" s="687">
        <v>14456.219860247862</v>
      </c>
      <c r="AD81" s="687">
        <v>0</v>
      </c>
      <c r="AE81" s="687">
        <v>101359.64273211929</v>
      </c>
      <c r="AF81" s="687">
        <v>0</v>
      </c>
      <c r="AG81" s="687"/>
      <c r="AH81" s="687"/>
      <c r="AI81" s="687">
        <v>122004.73603737089</v>
      </c>
      <c r="AJ81" s="687">
        <v>117619.94740239713</v>
      </c>
      <c r="AK81" s="687">
        <v>20580.026537745962</v>
      </c>
      <c r="AL81" s="687">
        <v>0</v>
      </c>
    </row>
    <row r="82" spans="2:40">
      <c r="D82" s="702">
        <f>SUM(F82:AL82)</f>
        <v>1194823</v>
      </c>
      <c r="E82" s="702"/>
      <c r="F82" s="687">
        <f>+F83*$F$86</f>
        <v>20376.976443822237</v>
      </c>
      <c r="G82" s="687">
        <f t="shared" ref="G82:S82" si="31">+G83*$F$86</f>
        <v>24128.095755551942</v>
      </c>
      <c r="H82" s="687">
        <f t="shared" si="31"/>
        <v>526704.62295001058</v>
      </c>
      <c r="I82" s="687">
        <f t="shared" si="31"/>
        <v>33453.576522876021</v>
      </c>
      <c r="J82" s="687">
        <f>+J83*F88</f>
        <v>2759.3214761452309</v>
      </c>
      <c r="K82" s="687">
        <f t="shared" si="31"/>
        <v>0</v>
      </c>
      <c r="L82" s="687">
        <f t="shared" si="31"/>
        <v>0</v>
      </c>
      <c r="M82" s="687">
        <f t="shared" si="31"/>
        <v>580.27682926453099</v>
      </c>
      <c r="N82" s="687">
        <f t="shared" si="31"/>
        <v>51967.493955293627</v>
      </c>
      <c r="O82" s="687">
        <f t="shared" si="31"/>
        <v>15436.289632100244</v>
      </c>
      <c r="P82" s="687">
        <f t="shared" si="31"/>
        <v>0</v>
      </c>
      <c r="Q82" s="687">
        <f t="shared" si="31"/>
        <v>3809.4556525440648</v>
      </c>
      <c r="R82" s="687">
        <f t="shared" si="31"/>
        <v>0</v>
      </c>
      <c r="S82" s="687">
        <f t="shared" si="31"/>
        <v>23993.212258536729</v>
      </c>
      <c r="T82" s="793">
        <f>+T83*$F$87</f>
        <v>0</v>
      </c>
      <c r="U82" s="793">
        <f t="shared" ref="U82:AF82" si="32">+U83*$F$87</f>
        <v>58776.77172073532</v>
      </c>
      <c r="V82" s="793">
        <f t="shared" si="32"/>
        <v>0</v>
      </c>
      <c r="W82" s="793">
        <f t="shared" si="32"/>
        <v>0</v>
      </c>
      <c r="X82" s="793">
        <f t="shared" si="32"/>
        <v>0</v>
      </c>
      <c r="Y82" s="793">
        <f t="shared" si="32"/>
        <v>0</v>
      </c>
      <c r="Z82" s="793">
        <f t="shared" si="32"/>
        <v>1477.7487815046813</v>
      </c>
      <c r="AA82" s="793">
        <f t="shared" si="32"/>
        <v>0</v>
      </c>
      <c r="AB82" s="793">
        <f t="shared" si="32"/>
        <v>89397.116119685175</v>
      </c>
      <c r="AC82" s="793">
        <f t="shared" si="32"/>
        <v>2857.1917375351331</v>
      </c>
      <c r="AD82" s="793">
        <f t="shared" si="32"/>
        <v>0</v>
      </c>
      <c r="AE82" s="793">
        <f t="shared" si="32"/>
        <v>20033.171640539698</v>
      </c>
      <c r="AF82" s="793">
        <f t="shared" si="32"/>
        <v>0</v>
      </c>
      <c r="AI82" s="687">
        <f>+AI83*$F$88</f>
        <v>149606.26930491693</v>
      </c>
      <c r="AJ82" s="687">
        <f>+AJ83*$F$88</f>
        <v>144229.49549534867</v>
      </c>
      <c r="AK82" s="687">
        <f>+AK83*$F$88</f>
        <v>25235.913723589147</v>
      </c>
      <c r="AL82" s="687">
        <f>+AL83*$F$88</f>
        <v>0</v>
      </c>
    </row>
    <row r="83" spans="2:40">
      <c r="F83" s="790">
        <f>+F13/$C$86</f>
        <v>2.9091264820932598E-2</v>
      </c>
      <c r="G83" s="790">
        <f t="shared" ref="G83:S83" si="33">+G13/$C$86</f>
        <v>3.4446564002501165E-2</v>
      </c>
      <c r="H83" s="790">
        <f t="shared" si="33"/>
        <v>0.75195177807125502</v>
      </c>
      <c r="I83" s="790">
        <f t="shared" si="33"/>
        <v>4.7760120669392565E-2</v>
      </c>
      <c r="J83" s="790">
        <f>+J13/$C$88</f>
        <v>8.5738212793212299E-3</v>
      </c>
      <c r="K83" s="790">
        <f t="shared" si="33"/>
        <v>0</v>
      </c>
      <c r="L83" s="790">
        <f t="shared" si="33"/>
        <v>0</v>
      </c>
      <c r="M83" s="790">
        <f t="shared" si="33"/>
        <v>8.284343340203169E-4</v>
      </c>
      <c r="N83" s="790">
        <f t="shared" si="33"/>
        <v>7.4191582490247168E-2</v>
      </c>
      <c r="O83" s="790">
        <f t="shared" si="33"/>
        <v>2.2037675254622378E-2</v>
      </c>
      <c r="P83" s="790">
        <f t="shared" si="33"/>
        <v>0</v>
      </c>
      <c r="Q83" s="790">
        <f t="shared" si="33"/>
        <v>5.4385832715312509E-3</v>
      </c>
      <c r="R83" s="790">
        <f t="shared" si="33"/>
        <v>0</v>
      </c>
      <c r="S83" s="790">
        <f t="shared" si="33"/>
        <v>3.4253997085497506E-2</v>
      </c>
      <c r="T83" s="790">
        <f>+T13/$C$87</f>
        <v>0</v>
      </c>
      <c r="U83" s="790">
        <f t="shared" ref="U83:AF83" si="34">+U13/$C$87</f>
        <v>0.3406519671774717</v>
      </c>
      <c r="V83" s="790">
        <f t="shared" si="34"/>
        <v>0</v>
      </c>
      <c r="W83" s="790">
        <f t="shared" si="34"/>
        <v>0</v>
      </c>
      <c r="X83" s="790">
        <f t="shared" si="34"/>
        <v>0</v>
      </c>
      <c r="Y83" s="790">
        <f t="shared" si="34"/>
        <v>0</v>
      </c>
      <c r="Z83" s="790">
        <f t="shared" si="34"/>
        <v>8.5645743152663201E-3</v>
      </c>
      <c r="AA83" s="790">
        <f t="shared" si="34"/>
        <v>0</v>
      </c>
      <c r="AB83" s="790">
        <f t="shared" si="34"/>
        <v>0.51811800094866856</v>
      </c>
      <c r="AC83" s="790">
        <f t="shared" si="34"/>
        <v>1.6559398508972499E-2</v>
      </c>
      <c r="AD83" s="790">
        <f t="shared" si="34"/>
        <v>0</v>
      </c>
      <c r="AE83" s="790">
        <f t="shared" si="34"/>
        <v>0.11610605904962094</v>
      </c>
      <c r="AF83" s="790">
        <f t="shared" si="34"/>
        <v>0</v>
      </c>
      <c r="AG83" s="790"/>
      <c r="AH83" s="790">
        <v>1</v>
      </c>
      <c r="AI83" s="790">
        <f>+AI13/$C$88</f>
        <v>0.46485972235402101</v>
      </c>
      <c r="AJ83" s="790">
        <f t="shared" ref="AJ83:AL83" si="35">+AJ13/$C$88</f>
        <v>0.44815289855653645</v>
      </c>
      <c r="AK83" s="790">
        <f t="shared" si="35"/>
        <v>7.8413557810121298E-2</v>
      </c>
      <c r="AL83" s="790">
        <f t="shared" si="35"/>
        <v>0</v>
      </c>
      <c r="AM83" s="790"/>
      <c r="AN83" s="790"/>
    </row>
    <row r="85" spans="2:40" ht="12" thickBot="1">
      <c r="B85" s="36">
        <v>1194822</v>
      </c>
      <c r="C85" s="790" t="s">
        <v>3490</v>
      </c>
      <c r="D85" s="36" t="s">
        <v>3491</v>
      </c>
      <c r="E85" s="36"/>
      <c r="F85" s="1165">
        <f t="shared" ref="F85" si="36">SUM(H85:AN85)</f>
        <v>92486</v>
      </c>
      <c r="G85" s="1172">
        <f t="shared" ref="G85" si="37">SUM(H85:AH85)</f>
        <v>92486</v>
      </c>
      <c r="H85" s="36">
        <v>0</v>
      </c>
      <c r="I85" s="36">
        <v>1454</v>
      </c>
      <c r="J85" s="36">
        <f>8613+3</f>
        <v>8616</v>
      </c>
      <c r="K85" s="36">
        <v>0</v>
      </c>
      <c r="L85" s="36">
        <v>0</v>
      </c>
      <c r="M85" s="36">
        <v>0</v>
      </c>
      <c r="N85" s="36">
        <v>0</v>
      </c>
      <c r="O85" s="36">
        <v>0</v>
      </c>
      <c r="P85" s="36">
        <v>1386</v>
      </c>
      <c r="Q85" s="36">
        <v>904</v>
      </c>
      <c r="R85" s="36">
        <v>0</v>
      </c>
      <c r="S85" s="36">
        <f>832+7</f>
        <v>839</v>
      </c>
      <c r="T85" s="36">
        <v>0</v>
      </c>
      <c r="U85" s="36">
        <v>0</v>
      </c>
      <c r="V85" s="36">
        <v>0</v>
      </c>
      <c r="W85" s="36">
        <v>30626</v>
      </c>
      <c r="X85" s="36">
        <v>0</v>
      </c>
      <c r="Y85" s="36">
        <v>0</v>
      </c>
      <c r="Z85" s="36">
        <v>0</v>
      </c>
      <c r="AA85" s="36">
        <v>0</v>
      </c>
      <c r="AB85" s="36">
        <v>0</v>
      </c>
      <c r="AC85" s="36">
        <v>0</v>
      </c>
      <c r="AD85" s="36">
        <v>48177</v>
      </c>
      <c r="AE85" s="36">
        <v>484</v>
      </c>
      <c r="AF85" s="36">
        <v>0</v>
      </c>
      <c r="AG85" s="36">
        <v>0</v>
      </c>
      <c r="AH85" s="36">
        <v>0</v>
      </c>
      <c r="AI85" s="36">
        <v>0</v>
      </c>
      <c r="AJ85" s="36">
        <v>0</v>
      </c>
      <c r="AK85" s="36">
        <v>0</v>
      </c>
      <c r="AL85" s="36">
        <v>0</v>
      </c>
      <c r="AM85" s="36">
        <v>0</v>
      </c>
      <c r="AN85" s="36">
        <v>0</v>
      </c>
    </row>
    <row r="86" spans="2:40">
      <c r="B86" s="1454">
        <v>4.969376437793524E-2</v>
      </c>
      <c r="C86" s="1505">
        <f>+F13+G13+H13+M13+N13+O13+Q13+S13+I13</f>
        <v>6808023</v>
      </c>
      <c r="D86" s="36" t="s">
        <v>3492</v>
      </c>
      <c r="E86" s="36"/>
      <c r="F86" s="1453">
        <v>700450</v>
      </c>
      <c r="H86" s="36" t="e">
        <f>+H18/$C$51</f>
        <v>#VALUE!</v>
      </c>
      <c r="I86" s="36" t="e">
        <f>+I18/$C$51</f>
        <v>#VALUE!</v>
      </c>
      <c r="J86" s="36" t="e">
        <f>+J18/$C$51</f>
        <v>#VALUE!</v>
      </c>
      <c r="K86" s="36" t="e">
        <f>+K18/$C$51</f>
        <v>#VALUE!</v>
      </c>
      <c r="L86" s="36" t="e">
        <f>+L18/$C$53</f>
        <v>#DIV/0!</v>
      </c>
      <c r="M86" s="36" t="e">
        <f t="shared" ref="M86:U86" si="38">+M18/$C$51</f>
        <v>#VALUE!</v>
      </c>
      <c r="N86" s="36" t="e">
        <f t="shared" si="38"/>
        <v>#VALUE!</v>
      </c>
      <c r="O86" s="36" t="e">
        <f t="shared" si="38"/>
        <v>#VALUE!</v>
      </c>
      <c r="P86" s="36" t="e">
        <f t="shared" si="38"/>
        <v>#VALUE!</v>
      </c>
      <c r="Q86" s="36" t="e">
        <f t="shared" si="38"/>
        <v>#VALUE!</v>
      </c>
      <c r="R86" s="36" t="e">
        <f t="shared" si="38"/>
        <v>#VALUE!</v>
      </c>
      <c r="S86" s="36" t="e">
        <f t="shared" si="38"/>
        <v>#VALUE!</v>
      </c>
      <c r="T86" s="36" t="e">
        <f t="shared" si="38"/>
        <v>#VALUE!</v>
      </c>
      <c r="U86" s="36" t="e">
        <f t="shared" si="38"/>
        <v>#VALUE!</v>
      </c>
      <c r="V86" s="36" t="e">
        <f t="shared" ref="V86:AI86" si="39">+V18/$C$52</f>
        <v>#VALUE!</v>
      </c>
      <c r="W86" s="36" t="e">
        <f t="shared" si="39"/>
        <v>#VALUE!</v>
      </c>
      <c r="X86" s="36" t="e">
        <f t="shared" si="39"/>
        <v>#VALUE!</v>
      </c>
      <c r="Y86" s="36" t="e">
        <f t="shared" si="39"/>
        <v>#VALUE!</v>
      </c>
      <c r="Z86" s="36" t="e">
        <f t="shared" si="39"/>
        <v>#VALUE!</v>
      </c>
      <c r="AA86" s="36" t="e">
        <f t="shared" si="39"/>
        <v>#VALUE!</v>
      </c>
      <c r="AB86" s="36" t="e">
        <f t="shared" si="39"/>
        <v>#VALUE!</v>
      </c>
      <c r="AC86" s="36" t="e">
        <f t="shared" si="39"/>
        <v>#VALUE!</v>
      </c>
      <c r="AD86" s="36" t="e">
        <f t="shared" si="39"/>
        <v>#VALUE!</v>
      </c>
      <c r="AE86" s="36" t="e">
        <f t="shared" si="39"/>
        <v>#VALUE!</v>
      </c>
      <c r="AF86" s="36" t="e">
        <f t="shared" si="39"/>
        <v>#VALUE!</v>
      </c>
      <c r="AG86" s="36" t="e">
        <f t="shared" si="39"/>
        <v>#VALUE!</v>
      </c>
      <c r="AH86" s="36" t="e">
        <f t="shared" si="39"/>
        <v>#VALUE!</v>
      </c>
      <c r="AI86" s="36" t="e">
        <f t="shared" si="39"/>
        <v>#VALUE!</v>
      </c>
      <c r="AJ86" s="36">
        <v>0</v>
      </c>
      <c r="AK86" s="36" t="e">
        <f>+AK18/$C$53</f>
        <v>#DIV/0!</v>
      </c>
      <c r="AL86" s="36" t="e">
        <f>+AL18/$C$53</f>
        <v>#DIV/0!</v>
      </c>
      <c r="AM86" s="36" t="e">
        <f>+AM18/$C$53</f>
        <v>#DIV/0!</v>
      </c>
      <c r="AN86" s="36" t="e">
        <f>+AN18/$C$53</f>
        <v>#DIV/0!</v>
      </c>
    </row>
    <row r="87" spans="2:40">
      <c r="B87" s="1454">
        <v>0.73064594159637453</v>
      </c>
      <c r="C87" s="1505">
        <f>+U13+Z13+AB13+AE13+AC13</f>
        <v>30236062</v>
      </c>
      <c r="D87" s="36" t="s">
        <v>3493</v>
      </c>
      <c r="E87" s="36"/>
      <c r="F87" s="1453">
        <v>172542</v>
      </c>
      <c r="H87" s="687" t="e">
        <f>+H86*$F$51</f>
        <v>#VALUE!</v>
      </c>
      <c r="I87" s="687" t="e">
        <f>+I86*$F$51</f>
        <v>#VALUE!</v>
      </c>
      <c r="J87" s="687" t="e">
        <f>+J86*$F$51</f>
        <v>#VALUE!</v>
      </c>
      <c r="K87" s="687" t="e">
        <f>+K86*$F$51</f>
        <v>#VALUE!</v>
      </c>
      <c r="L87" s="687" t="e">
        <f>+L86*$F$53</f>
        <v>#DIV/0!</v>
      </c>
      <c r="M87" s="687" t="e">
        <f t="shared" ref="M87:U87" si="40">+M86*$F$51</f>
        <v>#VALUE!</v>
      </c>
      <c r="N87" s="687" t="e">
        <f t="shared" si="40"/>
        <v>#VALUE!</v>
      </c>
      <c r="O87" s="687" t="e">
        <f t="shared" si="40"/>
        <v>#VALUE!</v>
      </c>
      <c r="P87" s="687" t="e">
        <f t="shared" si="40"/>
        <v>#VALUE!</v>
      </c>
      <c r="Q87" s="687" t="e">
        <f t="shared" si="40"/>
        <v>#VALUE!</v>
      </c>
      <c r="R87" s="687" t="e">
        <f t="shared" si="40"/>
        <v>#VALUE!</v>
      </c>
      <c r="S87" s="687" t="e">
        <f t="shared" si="40"/>
        <v>#VALUE!</v>
      </c>
      <c r="T87" s="687" t="e">
        <f t="shared" si="40"/>
        <v>#VALUE!</v>
      </c>
      <c r="U87" s="687" t="e">
        <f t="shared" si="40"/>
        <v>#VALUE!</v>
      </c>
      <c r="V87" s="793" t="e">
        <f t="shared" ref="V87:AI87" si="41">+V86*$F$52</f>
        <v>#VALUE!</v>
      </c>
      <c r="W87" s="793" t="e">
        <f t="shared" si="41"/>
        <v>#VALUE!</v>
      </c>
      <c r="X87" s="793" t="e">
        <f t="shared" si="41"/>
        <v>#VALUE!</v>
      </c>
      <c r="Y87" s="793" t="e">
        <f t="shared" si="41"/>
        <v>#VALUE!</v>
      </c>
      <c r="Z87" s="793" t="e">
        <f t="shared" si="41"/>
        <v>#VALUE!</v>
      </c>
      <c r="AA87" s="793" t="e">
        <f t="shared" si="41"/>
        <v>#VALUE!</v>
      </c>
      <c r="AB87" s="793" t="e">
        <f t="shared" si="41"/>
        <v>#VALUE!</v>
      </c>
      <c r="AC87" s="793" t="e">
        <f t="shared" si="41"/>
        <v>#VALUE!</v>
      </c>
      <c r="AD87" s="793" t="e">
        <f t="shared" si="41"/>
        <v>#VALUE!</v>
      </c>
      <c r="AE87" s="793" t="e">
        <f t="shared" si="41"/>
        <v>#VALUE!</v>
      </c>
      <c r="AF87" s="793" t="e">
        <f t="shared" si="41"/>
        <v>#VALUE!</v>
      </c>
      <c r="AG87" s="793" t="e">
        <f t="shared" si="41"/>
        <v>#VALUE!</v>
      </c>
      <c r="AH87" s="793" t="e">
        <f t="shared" si="41"/>
        <v>#VALUE!</v>
      </c>
      <c r="AI87" s="793" t="e">
        <f t="shared" si="41"/>
        <v>#VALUE!</v>
      </c>
      <c r="AJ87" s="36">
        <v>0</v>
      </c>
      <c r="AK87" s="687" t="e">
        <f>+AK86*$F$53</f>
        <v>#DIV/0!</v>
      </c>
      <c r="AL87" s="687" t="e">
        <f>+AL86*$F$53</f>
        <v>#DIV/0!</v>
      </c>
      <c r="AM87" s="687" t="e">
        <f>+AM86*$F$53</f>
        <v>#DIV/0!</v>
      </c>
      <c r="AN87" s="687" t="e">
        <f>+AN86*$F$53</f>
        <v>#DIV/0!</v>
      </c>
    </row>
    <row r="88" spans="2:40">
      <c r="B88" s="1454">
        <v>0.21966029402569023</v>
      </c>
      <c r="C88" s="1505">
        <f>+J13+AI13+AJ13+AK13</f>
        <v>70446185</v>
      </c>
      <c r="D88" s="36" t="s">
        <v>3494</v>
      </c>
      <c r="E88" s="36"/>
      <c r="F88" s="1453">
        <v>321831</v>
      </c>
    </row>
    <row r="89" spans="2:40" ht="12" thickBot="1">
      <c r="C89" s="1505">
        <f>+AH13</f>
        <v>-1088281</v>
      </c>
      <c r="D89" s="36" t="s">
        <v>3495</v>
      </c>
      <c r="E89" s="36"/>
      <c r="F89" s="1165" t="e">
        <f t="shared" ref="F89" si="42">SUM(H89:AN89)</f>
        <v>#VALUE!</v>
      </c>
      <c r="G89"/>
      <c r="H89" s="793" t="e">
        <f>-H85-H87</f>
        <v>#VALUE!</v>
      </c>
      <c r="I89" s="793" t="e">
        <f t="shared" ref="I89:AN89" si="43">-I85-I87</f>
        <v>#VALUE!</v>
      </c>
      <c r="J89" s="793" t="e">
        <f t="shared" si="43"/>
        <v>#VALUE!</v>
      </c>
      <c r="K89" s="793" t="e">
        <f t="shared" si="43"/>
        <v>#VALUE!</v>
      </c>
      <c r="L89" s="793" t="e">
        <f t="shared" si="43"/>
        <v>#DIV/0!</v>
      </c>
      <c r="M89" s="793" t="e">
        <f t="shared" si="43"/>
        <v>#VALUE!</v>
      </c>
      <c r="N89" s="793" t="e">
        <f t="shared" si="43"/>
        <v>#VALUE!</v>
      </c>
      <c r="O89" s="793" t="e">
        <f t="shared" si="43"/>
        <v>#VALUE!</v>
      </c>
      <c r="P89" s="793" t="e">
        <f t="shared" si="43"/>
        <v>#VALUE!</v>
      </c>
      <c r="Q89" s="793" t="e">
        <f t="shared" si="43"/>
        <v>#VALUE!</v>
      </c>
      <c r="R89" s="793" t="e">
        <f t="shared" si="43"/>
        <v>#VALUE!</v>
      </c>
      <c r="S89" s="793" t="e">
        <f t="shared" si="43"/>
        <v>#VALUE!</v>
      </c>
      <c r="T89" s="793" t="e">
        <f t="shared" si="43"/>
        <v>#VALUE!</v>
      </c>
      <c r="U89" s="793" t="e">
        <f t="shared" si="43"/>
        <v>#VALUE!</v>
      </c>
      <c r="V89" s="793" t="e">
        <f t="shared" si="43"/>
        <v>#VALUE!</v>
      </c>
      <c r="W89" s="793" t="e">
        <f t="shared" si="43"/>
        <v>#VALUE!</v>
      </c>
      <c r="X89" s="793" t="e">
        <f t="shared" si="43"/>
        <v>#VALUE!</v>
      </c>
      <c r="Y89" s="793" t="e">
        <f t="shared" si="43"/>
        <v>#VALUE!</v>
      </c>
      <c r="Z89" s="793" t="e">
        <f t="shared" si="43"/>
        <v>#VALUE!</v>
      </c>
      <c r="AA89" s="793" t="e">
        <f t="shared" si="43"/>
        <v>#VALUE!</v>
      </c>
      <c r="AB89" s="793" t="e">
        <f t="shared" si="43"/>
        <v>#VALUE!</v>
      </c>
      <c r="AC89" s="793" t="e">
        <f t="shared" si="43"/>
        <v>#VALUE!</v>
      </c>
      <c r="AD89" s="793" t="e">
        <f t="shared" si="43"/>
        <v>#VALUE!</v>
      </c>
      <c r="AE89" s="793" t="e">
        <f t="shared" si="43"/>
        <v>#VALUE!</v>
      </c>
      <c r="AF89" s="793" t="e">
        <f t="shared" si="43"/>
        <v>#VALUE!</v>
      </c>
      <c r="AG89" s="793" t="e">
        <f t="shared" si="43"/>
        <v>#VALUE!</v>
      </c>
      <c r="AH89" s="793" t="e">
        <f t="shared" si="43"/>
        <v>#VALUE!</v>
      </c>
      <c r="AI89" s="793" t="e">
        <f t="shared" si="43"/>
        <v>#VALUE!</v>
      </c>
      <c r="AJ89" s="793">
        <f t="shared" si="43"/>
        <v>0</v>
      </c>
      <c r="AK89" s="793" t="e">
        <f t="shared" si="43"/>
        <v>#DIV/0!</v>
      </c>
      <c r="AL89" s="793" t="e">
        <f t="shared" si="43"/>
        <v>#DIV/0!</v>
      </c>
      <c r="AM89" s="793" t="e">
        <f t="shared" si="43"/>
        <v>#DIV/0!</v>
      </c>
      <c r="AN89" s="793" t="e">
        <f t="shared" si="43"/>
        <v>#DIV/0!</v>
      </c>
    </row>
    <row r="90" spans="2:40">
      <c r="B90" s="793">
        <f>+F86+F87+F88</f>
        <v>1194823</v>
      </c>
      <c r="C90" s="1505">
        <f>SUM(C86:C89)</f>
        <v>106401989</v>
      </c>
      <c r="D90" s="36"/>
      <c r="E90" s="36"/>
      <c r="F90" s="47"/>
    </row>
    <row r="92" spans="2:40">
      <c r="D92" s="47">
        <f>SUM(F92:AL92)</f>
        <v>1.1216378381095153</v>
      </c>
      <c r="F92" s="36">
        <f t="shared" ref="F92:AG92" si="44">+F13/$D$94</f>
        <v>5.9005631147741964E-3</v>
      </c>
      <c r="G92" s="36">
        <f t="shared" si="44"/>
        <v>6.9867751105003742E-3</v>
      </c>
      <c r="H92" s="36">
        <f t="shared" si="44"/>
        <v>0.15251791055105737</v>
      </c>
      <c r="I92" s="36">
        <f t="shared" si="44"/>
        <v>9.6871555126130226E-3</v>
      </c>
      <c r="J92" s="36">
        <f t="shared" si="44"/>
        <v>1.7994581363576657E-2</v>
      </c>
      <c r="K92" s="36">
        <f t="shared" si="44"/>
        <v>0</v>
      </c>
      <c r="L92" s="36">
        <f t="shared" si="44"/>
        <v>0</v>
      </c>
      <c r="M92" s="36">
        <f t="shared" si="44"/>
        <v>1.6803081971243433E-4</v>
      </c>
      <c r="N92" s="36">
        <f t="shared" si="44"/>
        <v>1.5048232442395594E-2</v>
      </c>
      <c r="O92" s="36">
        <f t="shared" si="44"/>
        <v>4.4698879386375285E-3</v>
      </c>
      <c r="P92" s="36">
        <f t="shared" si="44"/>
        <v>0</v>
      </c>
      <c r="Q92" s="36">
        <f t="shared" si="44"/>
        <v>1.1031044557930129E-3</v>
      </c>
      <c r="R92" s="36">
        <f t="shared" si="44"/>
        <v>0</v>
      </c>
      <c r="S92" s="36">
        <f t="shared" si="44"/>
        <v>6.9477168827267923E-3</v>
      </c>
      <c r="T92" s="36">
        <f t="shared" si="44"/>
        <v>0</v>
      </c>
      <c r="U92" s="36">
        <f t="shared" si="44"/>
        <v>0.30686402025474485</v>
      </c>
      <c r="V92" s="36">
        <f t="shared" si="44"/>
        <v>0</v>
      </c>
      <c r="W92" s="36">
        <f t="shared" si="44"/>
        <v>0</v>
      </c>
      <c r="X92" s="36">
        <f t="shared" si="44"/>
        <v>0</v>
      </c>
      <c r="Y92" s="36">
        <f t="shared" si="44"/>
        <v>0</v>
      </c>
      <c r="Z92" s="36">
        <f t="shared" si="44"/>
        <v>7.7150874187787728E-3</v>
      </c>
      <c r="AA92" s="36">
        <f t="shared" si="44"/>
        <v>0</v>
      </c>
      <c r="AB92" s="36">
        <f t="shared" si="44"/>
        <v>0.46672788668978721</v>
      </c>
      <c r="AC92" s="36">
        <f t="shared" si="44"/>
        <v>1.4916936019971357E-2</v>
      </c>
      <c r="AD92" s="36">
        <f t="shared" si="44"/>
        <v>0</v>
      </c>
      <c r="AE92" s="36">
        <f t="shared" si="44"/>
        <v>0.10458994953444589</v>
      </c>
      <c r="AF92" s="36">
        <f t="shared" si="44"/>
        <v>0</v>
      </c>
      <c r="AG92" s="36">
        <f t="shared" si="44"/>
        <v>0</v>
      </c>
      <c r="AH92" s="36" t="s">
        <v>1805</v>
      </c>
      <c r="AI92" s="36" t="s">
        <v>1805</v>
      </c>
      <c r="AJ92" s="36" t="s">
        <v>1805</v>
      </c>
      <c r="AK92" s="36" t="s">
        <v>1805</v>
      </c>
      <c r="AL92" s="36" t="s">
        <v>1805</v>
      </c>
    </row>
    <row r="93" spans="2:40">
      <c r="D93" s="47">
        <v>2088796</v>
      </c>
      <c r="F93" s="687">
        <f>+F92*$D$93</f>
        <v>12325.072631887882</v>
      </c>
      <c r="G93" s="687">
        <f t="shared" ref="G93:AG93" si="45">+G92*$D$93</f>
        <v>14593.94790371274</v>
      </c>
      <c r="H93" s="687">
        <f t="shared" si="45"/>
        <v>318578.80148740642</v>
      </c>
      <c r="I93" s="687">
        <f t="shared" si="45"/>
        <v>20234.491686124031</v>
      </c>
      <c r="J93" s="687">
        <f t="shared" si="45"/>
        <v>37587.00957391347</v>
      </c>
      <c r="K93" s="687">
        <f t="shared" si="45"/>
        <v>0</v>
      </c>
      <c r="L93" s="687">
        <f t="shared" si="45"/>
        <v>0</v>
      </c>
      <c r="M93" s="687">
        <f t="shared" si="45"/>
        <v>350.98210409205399</v>
      </c>
      <c r="N93" s="687">
        <f t="shared" si="45"/>
        <v>31432.687732746148</v>
      </c>
      <c r="O93" s="687">
        <f t="shared" si="45"/>
        <v>9336.6840466743142</v>
      </c>
      <c r="P93" s="687">
        <f t="shared" si="45"/>
        <v>0</v>
      </c>
      <c r="Q93" s="687">
        <f t="shared" si="45"/>
        <v>2304.1601748426219</v>
      </c>
      <c r="R93" s="687">
        <f t="shared" si="45"/>
        <v>0</v>
      </c>
      <c r="S93" s="687">
        <f t="shared" si="45"/>
        <v>14512.363233772194</v>
      </c>
      <c r="T93" s="687">
        <f t="shared" si="45"/>
        <v>0</v>
      </c>
      <c r="U93" s="687">
        <f t="shared" si="45"/>
        <v>640976.33805203007</v>
      </c>
      <c r="V93" s="687">
        <f t="shared" si="45"/>
        <v>0</v>
      </c>
      <c r="W93" s="687">
        <f t="shared" si="45"/>
        <v>0</v>
      </c>
      <c r="X93" s="687">
        <f t="shared" si="45"/>
        <v>0</v>
      </c>
      <c r="Y93" s="687">
        <f t="shared" si="45"/>
        <v>0</v>
      </c>
      <c r="Z93" s="687">
        <f t="shared" si="45"/>
        <v>16115.243739995425</v>
      </c>
      <c r="AA93" s="687">
        <f t="shared" si="45"/>
        <v>0</v>
      </c>
      <c r="AB93" s="687">
        <f t="shared" si="45"/>
        <v>974899.34280608071</v>
      </c>
      <c r="AC93" s="687">
        <f t="shared" si="45"/>
        <v>31158.43629077209</v>
      </c>
      <c r="AD93" s="687">
        <f t="shared" si="45"/>
        <v>0</v>
      </c>
      <c r="AE93" s="687">
        <f t="shared" si="45"/>
        <v>218467.06822775243</v>
      </c>
      <c r="AF93" s="687">
        <f t="shared" si="45"/>
        <v>0</v>
      </c>
      <c r="AG93" s="687">
        <f t="shared" si="45"/>
        <v>0</v>
      </c>
      <c r="AH93" s="687" t="s">
        <v>1805</v>
      </c>
      <c r="AI93" s="687" t="s">
        <v>1805</v>
      </c>
      <c r="AJ93" s="687" t="s">
        <v>1805</v>
      </c>
      <c r="AK93" s="687" t="s">
        <v>1805</v>
      </c>
      <c r="AL93" s="687" t="s">
        <v>1805</v>
      </c>
    </row>
    <row r="94" spans="2:40">
      <c r="D94" s="47">
        <v>33565271</v>
      </c>
    </row>
    <row r="95" spans="2:40">
      <c r="F95" s="790" t="e">
        <f>+F13/#REF!</f>
        <v>#REF!</v>
      </c>
      <c r="G95" s="790" t="e">
        <f>+G13/#REF!</f>
        <v>#REF!</v>
      </c>
      <c r="H95" s="790" t="e">
        <f>+H13/#REF!</f>
        <v>#REF!</v>
      </c>
      <c r="I95" s="790" t="e">
        <f>+I13/#REF!</f>
        <v>#REF!</v>
      </c>
      <c r="J95" s="791" t="e">
        <f>+J13/#REF!</f>
        <v>#REF!</v>
      </c>
      <c r="K95" s="790" t="e">
        <f>+K13/#REF!</f>
        <v>#REF!</v>
      </c>
      <c r="L95" s="790" t="e">
        <f>+L13/#REF!</f>
        <v>#REF!</v>
      </c>
      <c r="M95" s="790" t="e">
        <f>+M13/#REF!</f>
        <v>#REF!</v>
      </c>
      <c r="N95" s="790" t="e">
        <f>+N13/#REF!</f>
        <v>#REF!</v>
      </c>
      <c r="O95" s="790" t="e">
        <f>+O13/#REF!</f>
        <v>#REF!</v>
      </c>
      <c r="P95" s="790" t="e">
        <f>+P13/#REF!</f>
        <v>#REF!</v>
      </c>
      <c r="Q95" s="790" t="e">
        <f>+Q13/#REF!</f>
        <v>#REF!</v>
      </c>
      <c r="R95" s="790" t="e">
        <f>+R13/#REF!</f>
        <v>#REF!</v>
      </c>
      <c r="S95" s="790" t="e">
        <f>+S13/#REF!</f>
        <v>#REF!</v>
      </c>
      <c r="T95" s="792" t="e">
        <f>+T13/#REF!</f>
        <v>#REF!</v>
      </c>
      <c r="U95" s="792" t="e">
        <f>+U13/#REF!</f>
        <v>#REF!</v>
      </c>
      <c r="V95" s="792" t="e">
        <f>+V13/#REF!</f>
        <v>#REF!</v>
      </c>
      <c r="W95" s="792" t="e">
        <f>+W13/#REF!</f>
        <v>#REF!</v>
      </c>
      <c r="X95" s="792" t="e">
        <f>+X13/#REF!</f>
        <v>#REF!</v>
      </c>
      <c r="Y95" s="792" t="e">
        <f>+Y13/#REF!</f>
        <v>#REF!</v>
      </c>
      <c r="Z95" s="792" t="e">
        <f>+Z13/#REF!</f>
        <v>#REF!</v>
      </c>
      <c r="AA95" s="792" t="e">
        <f>+AA13/#REF!</f>
        <v>#REF!</v>
      </c>
      <c r="AB95" s="792" t="e">
        <f>+AB13/#REF!</f>
        <v>#REF!</v>
      </c>
      <c r="AC95" s="792" t="e">
        <f>+AC13/#REF!</f>
        <v>#REF!</v>
      </c>
      <c r="AD95" s="792" t="e">
        <f>+AD13/#REF!</f>
        <v>#REF!</v>
      </c>
      <c r="AE95" s="792" t="e">
        <f>+AE13/#REF!</f>
        <v>#REF!</v>
      </c>
      <c r="AF95" s="792" t="e">
        <f>+AF13/#REF!</f>
        <v>#REF!</v>
      </c>
      <c r="AG95" s="792" t="e">
        <f>+AG13/#REF!</f>
        <v>#REF!</v>
      </c>
      <c r="AH95" s="793">
        <v>0</v>
      </c>
      <c r="AI95" s="791" t="e">
        <f>+AJ13/#REF!</f>
        <v>#REF!</v>
      </c>
      <c r="AJ95" s="791" t="e">
        <f>+AK13/#REF!</f>
        <v>#REF!</v>
      </c>
      <c r="AK95" s="791" t="e">
        <f>+AL13/#REF!</f>
        <v>#REF!</v>
      </c>
      <c r="AL95" s="791" t="e">
        <f>+#REF!/#REF!</f>
        <v>#REF!</v>
      </c>
    </row>
    <row r="96" spans="2:40">
      <c r="B96" s="687" t="e">
        <f>SUM(F96:AL96)</f>
        <v>#REF!</v>
      </c>
      <c r="C96" s="701" t="s">
        <v>2583</v>
      </c>
      <c r="D96" s="47">
        <v>3651870</v>
      </c>
      <c r="F96" s="687" t="e">
        <f>+$D$96*F95</f>
        <v>#REF!</v>
      </c>
      <c r="G96" s="687" t="e">
        <f>+$D$96*G95</f>
        <v>#REF!</v>
      </c>
      <c r="H96" s="687" t="e">
        <f>+$D$96*H95</f>
        <v>#REF!</v>
      </c>
      <c r="I96" s="687" t="e">
        <f>+$D$96*I95</f>
        <v>#REF!</v>
      </c>
      <c r="J96" s="687"/>
      <c r="K96" s="687" t="e">
        <f t="shared" ref="K96:S96" si="46">+$D$96*K95</f>
        <v>#REF!</v>
      </c>
      <c r="L96" s="687" t="e">
        <f t="shared" si="46"/>
        <v>#REF!</v>
      </c>
      <c r="M96" s="687" t="e">
        <f t="shared" si="46"/>
        <v>#REF!</v>
      </c>
      <c r="N96" s="687" t="e">
        <f t="shared" si="46"/>
        <v>#REF!</v>
      </c>
      <c r="O96" s="687" t="e">
        <f t="shared" si="46"/>
        <v>#REF!</v>
      </c>
      <c r="P96" s="687" t="e">
        <f t="shared" si="46"/>
        <v>#REF!</v>
      </c>
      <c r="Q96" s="687" t="e">
        <f t="shared" si="46"/>
        <v>#REF!</v>
      </c>
      <c r="R96" s="687" t="e">
        <f t="shared" si="46"/>
        <v>#REF!</v>
      </c>
      <c r="S96" s="687" t="e">
        <f t="shared" si="46"/>
        <v>#REF!</v>
      </c>
      <c r="T96" s="687"/>
      <c r="U96" s="687"/>
      <c r="V96" s="687"/>
      <c r="W96" s="687"/>
      <c r="X96" s="687"/>
      <c r="Y96" s="687"/>
      <c r="Z96" s="687"/>
      <c r="AA96" s="687"/>
      <c r="AB96" s="687"/>
      <c r="AC96" s="687"/>
      <c r="AD96" s="687"/>
      <c r="AE96" s="687"/>
      <c r="AF96" s="687"/>
      <c r="AG96" s="687"/>
      <c r="AH96" s="687"/>
      <c r="AI96" s="687"/>
      <c r="AJ96" s="687"/>
      <c r="AK96" s="687"/>
      <c r="AL96" s="687"/>
    </row>
    <row r="97" spans="2:38">
      <c r="B97" s="687" t="e">
        <f>SUM(F97:AL97)</f>
        <v>#REF!</v>
      </c>
      <c r="C97" s="701" t="s">
        <v>2584</v>
      </c>
      <c r="D97" s="789">
        <v>227292</v>
      </c>
      <c r="E97" s="789"/>
      <c r="F97" s="687"/>
      <c r="G97" s="687"/>
      <c r="H97" s="687"/>
      <c r="I97" s="687"/>
      <c r="J97" s="687" t="e">
        <f>+D97*J95</f>
        <v>#REF!</v>
      </c>
      <c r="K97" s="687"/>
      <c r="L97" s="687"/>
      <c r="M97" s="687"/>
      <c r="N97" s="687"/>
      <c r="O97" s="687"/>
      <c r="P97" s="687"/>
      <c r="Q97" s="687"/>
      <c r="R97" s="687"/>
      <c r="S97" s="687"/>
      <c r="T97" s="687"/>
      <c r="U97" s="687"/>
      <c r="V97" s="687"/>
      <c r="W97" s="687"/>
      <c r="X97" s="687"/>
      <c r="Y97" s="687"/>
      <c r="Z97" s="687"/>
      <c r="AA97" s="687"/>
      <c r="AB97" s="687"/>
      <c r="AC97" s="687"/>
      <c r="AD97" s="687"/>
      <c r="AE97" s="687"/>
      <c r="AF97" s="687"/>
      <c r="AG97" s="687"/>
      <c r="AH97" s="687">
        <f>+$D$97*AH95</f>
        <v>0</v>
      </c>
      <c r="AI97" s="687" t="e">
        <f>+$D$97*AI95</f>
        <v>#REF!</v>
      </c>
      <c r="AJ97" s="687" t="e">
        <f>+$D$97*AJ95</f>
        <v>#REF!</v>
      </c>
      <c r="AK97" s="687" t="e">
        <f>+$D$97*AK95</f>
        <v>#REF!</v>
      </c>
      <c r="AL97" s="687" t="e">
        <f>+$D$97*AL95</f>
        <v>#REF!</v>
      </c>
    </row>
    <row r="98" spans="2:38">
      <c r="B98" s="687" t="e">
        <f>SUM(F98:AL98)</f>
        <v>#REF!</v>
      </c>
      <c r="C98" s="701" t="s">
        <v>2585</v>
      </c>
      <c r="D98" s="47">
        <v>399096</v>
      </c>
      <c r="F98" s="687"/>
      <c r="G98" s="687"/>
      <c r="H98" s="687"/>
      <c r="I98" s="687"/>
      <c r="J98" s="687"/>
      <c r="K98" s="687"/>
      <c r="L98" s="687"/>
      <c r="M98" s="687"/>
      <c r="N98" s="687"/>
      <c r="O98" s="687"/>
      <c r="P98" s="687"/>
      <c r="Q98" s="687"/>
      <c r="R98" s="687"/>
      <c r="S98" s="687"/>
      <c r="T98" s="687" t="e">
        <f>+$D$98*T95</f>
        <v>#REF!</v>
      </c>
      <c r="U98" s="687" t="e">
        <f t="shared" ref="U98:AG98" si="47">+$D$98*U95</f>
        <v>#REF!</v>
      </c>
      <c r="V98" s="687" t="e">
        <f t="shared" si="47"/>
        <v>#REF!</v>
      </c>
      <c r="W98" s="687" t="e">
        <f t="shared" si="47"/>
        <v>#REF!</v>
      </c>
      <c r="X98" s="687" t="e">
        <f t="shared" si="47"/>
        <v>#REF!</v>
      </c>
      <c r="Y98" s="687" t="e">
        <f t="shared" si="47"/>
        <v>#REF!</v>
      </c>
      <c r="Z98" s="687" t="e">
        <f t="shared" si="47"/>
        <v>#REF!</v>
      </c>
      <c r="AA98" s="687" t="e">
        <f t="shared" si="47"/>
        <v>#REF!</v>
      </c>
      <c r="AB98" s="687" t="e">
        <f t="shared" si="47"/>
        <v>#REF!</v>
      </c>
      <c r="AC98" s="687" t="e">
        <f t="shared" si="47"/>
        <v>#REF!</v>
      </c>
      <c r="AD98" s="687" t="e">
        <f t="shared" si="47"/>
        <v>#REF!</v>
      </c>
      <c r="AE98" s="687" t="e">
        <f t="shared" si="47"/>
        <v>#REF!</v>
      </c>
      <c r="AF98" s="687" t="e">
        <f t="shared" si="47"/>
        <v>#REF!</v>
      </c>
      <c r="AG98" s="687" t="e">
        <f t="shared" si="47"/>
        <v>#REF!</v>
      </c>
      <c r="AH98" s="687"/>
      <c r="AI98" s="687"/>
      <c r="AJ98" s="687"/>
      <c r="AK98" s="687"/>
      <c r="AL98" s="687"/>
    </row>
    <row r="99" spans="2:38">
      <c r="B99" s="687"/>
      <c r="C99" s="701" t="s">
        <v>2586</v>
      </c>
      <c r="D99" s="47">
        <f>77958-77958</f>
        <v>0</v>
      </c>
    </row>
    <row r="100" spans="2:38">
      <c r="B100" s="687"/>
      <c r="C100" s="36" t="s">
        <v>556</v>
      </c>
    </row>
    <row r="101" spans="2:38">
      <c r="B101" s="687"/>
    </row>
    <row r="102" spans="2:38">
      <c r="B102" s="687"/>
    </row>
    <row r="103" spans="2:38">
      <c r="B103" s="687"/>
    </row>
    <row r="104" spans="2:38">
      <c r="D104" s="702">
        <f>SUM(F104:AL104)</f>
        <v>-1101374</v>
      </c>
      <c r="E104" s="702"/>
      <c r="F104" s="481">
        <v>-30774</v>
      </c>
      <c r="G104" s="699">
        <f>-1573-1-33555-1+1570</f>
        <v>-33560</v>
      </c>
      <c r="H104" s="699">
        <f>12330-742260+9849</f>
        <v>-720081</v>
      </c>
      <c r="I104" s="56">
        <v>-50840</v>
      </c>
      <c r="J104" s="699">
        <f>-19806-123</f>
        <v>-19929</v>
      </c>
      <c r="K104" s="56">
        <v>0</v>
      </c>
      <c r="L104" s="56">
        <v>0</v>
      </c>
      <c r="M104" s="56">
        <v>-799</v>
      </c>
      <c r="N104" s="699">
        <f>-1030-65473+1027</f>
        <v>-65476</v>
      </c>
      <c r="O104" s="699">
        <f>-665-21209+664</f>
        <v>-21210</v>
      </c>
      <c r="P104" s="56">
        <v>0</v>
      </c>
      <c r="Q104" s="699">
        <f>-541-1620+540</f>
        <v>-1621</v>
      </c>
      <c r="R104" s="56">
        <v>0</v>
      </c>
      <c r="S104" s="699">
        <v>-16174</v>
      </c>
      <c r="T104" s="56">
        <v>0</v>
      </c>
      <c r="U104" s="699">
        <f>-7775-9407</f>
        <v>-17182</v>
      </c>
      <c r="V104" s="56">
        <v>0</v>
      </c>
      <c r="W104" s="56">
        <v>0</v>
      </c>
      <c r="X104" s="56">
        <v>0</v>
      </c>
      <c r="Y104" s="56">
        <v>0</v>
      </c>
      <c r="Z104" s="699">
        <v>-3501</v>
      </c>
      <c r="AA104" s="56">
        <v>0</v>
      </c>
      <c r="AB104" s="699">
        <f>-40600-18190</f>
        <v>-58790</v>
      </c>
      <c r="AC104" s="699">
        <f>-519-1123</f>
        <v>-1642</v>
      </c>
      <c r="AD104" s="56">
        <v>0</v>
      </c>
      <c r="AE104" s="699">
        <v>-5917</v>
      </c>
      <c r="AF104" s="56">
        <v>0</v>
      </c>
      <c r="AG104" s="56"/>
      <c r="AH104" s="56">
        <v>0</v>
      </c>
      <c r="AI104" s="699">
        <f>-9307-38428-599+19802</f>
        <v>-28532</v>
      </c>
      <c r="AJ104" s="699">
        <f>-2131-17522</f>
        <v>-19653</v>
      </c>
      <c r="AK104" s="699">
        <v>-5693</v>
      </c>
      <c r="AL104" s="57">
        <v>0</v>
      </c>
    </row>
    <row r="105" spans="2:38">
      <c r="D105" s="702">
        <f>SUM(F105:AL105)</f>
        <v>-1246560</v>
      </c>
      <c r="E105" s="702"/>
      <c r="F105" s="481">
        <v>0</v>
      </c>
      <c r="G105" s="699">
        <v>-1570</v>
      </c>
      <c r="H105" s="699">
        <v>-9849</v>
      </c>
      <c r="I105" s="56">
        <v>0</v>
      </c>
      <c r="J105" s="699">
        <v>-8529</v>
      </c>
      <c r="K105" s="56">
        <v>0</v>
      </c>
      <c r="L105" s="56">
        <v>0</v>
      </c>
      <c r="M105" s="56">
        <v>0</v>
      </c>
      <c r="N105" s="699">
        <v>-1027</v>
      </c>
      <c r="O105" s="699">
        <v>-664</v>
      </c>
      <c r="P105" s="56">
        <v>0</v>
      </c>
      <c r="Q105" s="699">
        <v>-540</v>
      </c>
      <c r="R105" s="56">
        <v>0</v>
      </c>
      <c r="S105" s="699">
        <v>0</v>
      </c>
      <c r="T105" s="56">
        <v>0</v>
      </c>
      <c r="U105" s="699">
        <v>-245952</v>
      </c>
      <c r="V105" s="56">
        <v>0</v>
      </c>
      <c r="W105" s="56">
        <v>0</v>
      </c>
      <c r="X105" s="56">
        <v>0</v>
      </c>
      <c r="Y105" s="56">
        <v>0</v>
      </c>
      <c r="Z105" s="699">
        <v>-115919</v>
      </c>
      <c r="AA105" s="56">
        <v>0</v>
      </c>
      <c r="AB105" s="699">
        <f>-439311-66428</f>
        <v>-505739</v>
      </c>
      <c r="AC105" s="699">
        <v>-21806</v>
      </c>
      <c r="AD105" s="56">
        <v>0</v>
      </c>
      <c r="AE105" s="699">
        <v>-51033</v>
      </c>
      <c r="AF105" s="56">
        <v>0</v>
      </c>
      <c r="AG105" s="56"/>
      <c r="AH105" s="56">
        <v>0</v>
      </c>
      <c r="AI105" s="699">
        <f>-169027+9307</f>
        <v>-159720</v>
      </c>
      <c r="AJ105" s="699">
        <f>-95236+2131</f>
        <v>-93105</v>
      </c>
      <c r="AK105" s="699">
        <v>-31107</v>
      </c>
      <c r="AL105" s="57">
        <v>0</v>
      </c>
    </row>
    <row r="106" spans="2:38">
      <c r="D106" s="702">
        <f>+D104+D105</f>
        <v>-2347934</v>
      </c>
      <c r="E106" s="702"/>
    </row>
    <row r="108" spans="2:38">
      <c r="D108" s="702">
        <f>+D31+D32</f>
        <v>-5197746</v>
      </c>
      <c r="E108" s="702"/>
    </row>
    <row r="110" spans="2:38">
      <c r="C110" s="1288" t="s">
        <v>3376</v>
      </c>
    </row>
    <row r="112" spans="2:38">
      <c r="B112" s="36" t="s">
        <v>3308</v>
      </c>
      <c r="C112" s="36" t="s">
        <v>1808</v>
      </c>
      <c r="D112" s="63">
        <f ca="1">C_6.04!F18</f>
        <v>106374299.62419033</v>
      </c>
      <c r="E112" s="63"/>
    </row>
    <row r="113" spans="2:5">
      <c r="B113" s="36" t="s">
        <v>3233</v>
      </c>
      <c r="C113" s="36" t="s">
        <v>125</v>
      </c>
      <c r="D113" s="702">
        <f>D26</f>
        <v>-106333309</v>
      </c>
      <c r="E113" s="702"/>
    </row>
    <row r="114" spans="2:5">
      <c r="C114" s="36" t="s">
        <v>3081</v>
      </c>
      <c r="D114" s="789">
        <f ca="1">D112-D113</f>
        <v>212707608.62419033</v>
      </c>
      <c r="E114" s="789"/>
    </row>
  </sheetData>
  <mergeCells count="4">
    <mergeCell ref="B8:B9"/>
    <mergeCell ref="C8:C9"/>
    <mergeCell ref="B40:B41"/>
    <mergeCell ref="C40:C41"/>
  </mergeCells>
  <phoneticPr fontId="10" type="noConversion"/>
  <printOptions horizontalCentered="1"/>
  <pageMargins left="0" right="0" top="0" bottom="0" header="0" footer="0"/>
  <pageSetup paperSize="119" scale="75" orientation="landscape" blackAndWhite="1" r:id="rId1"/>
  <headerFooter alignWithMargins="0">
    <oddHeader>&amp;L&amp;"Times New Roman,Negrita Cursiva"&amp;9                                       Subgerencia Finanzas
                                       Depto.Contabilidad</oddHeader>
    <oddFooter>&amp;L&amp;"Times New Roman,Negrita Cursiva"&amp;9                              &amp;F
                              &amp;A&amp;R&amp;"Times New Roman,Negrita Cursiva"&amp;9&amp;D
&amp;T</oddFooter>
  </headerFooter>
  <ignoredErrors>
    <ignoredError sqref="H30:AL30 E18 E27 E37 E51" formulaRange="1"/>
    <ignoredError sqref="D26:E26 D36 J45:J47 T46 J50 E22 J52 AE45:AE47"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tabColor theme="7" tint="-0.249977111117893"/>
  </sheetPr>
  <dimension ref="A1:AO45"/>
  <sheetViews>
    <sheetView showGridLines="0" topLeftCell="B21" zoomScaleNormal="100" workbookViewId="0">
      <selection activeCell="J33" sqref="J33"/>
    </sheetView>
  </sheetViews>
  <sheetFormatPr baseColWidth="10" defaultRowHeight="11.25"/>
  <cols>
    <col min="1" max="1" width="12" style="140"/>
    <col min="2" max="2" width="16.33203125" style="140" bestFit="1" customWidth="1"/>
    <col min="3" max="3" width="15.83203125" style="140" customWidth="1"/>
    <col min="4" max="4" width="31.5" style="140" bestFit="1" customWidth="1"/>
    <col min="5" max="30" width="13.83203125" style="140" customWidth="1"/>
    <col min="31" max="31" width="16.5" style="140" customWidth="1"/>
    <col min="32" max="32" width="15.1640625" style="140" customWidth="1"/>
    <col min="33" max="38" width="13.83203125" style="140" customWidth="1"/>
    <col min="39" max="16384" width="12" style="140"/>
  </cols>
  <sheetData>
    <row r="1" spans="1:39" ht="29.25">
      <c r="A1" s="35" t="s">
        <v>1739</v>
      </c>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row>
    <row r="2" spans="1:39" ht="18.75" thickBot="1">
      <c r="A2" s="37" t="s">
        <v>1814</v>
      </c>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row>
    <row r="4" spans="1:39">
      <c r="B4" s="41" t="s">
        <v>64</v>
      </c>
      <c r="E4" s="108">
        <f>+EEFF!$E$22</f>
        <v>40909</v>
      </c>
      <c r="F4" s="108"/>
      <c r="G4" s="108">
        <f>+EEFF!$G$7</f>
        <v>41121</v>
      </c>
      <c r="H4" s="108"/>
      <c r="I4" s="108"/>
      <c r="J4" s="108"/>
    </row>
    <row r="5" spans="1:39">
      <c r="B5" s="41"/>
      <c r="E5" s="108"/>
      <c r="F5" s="108"/>
      <c r="G5" s="108"/>
      <c r="H5" s="108"/>
      <c r="I5" s="108"/>
      <c r="J5" s="108"/>
    </row>
    <row r="6" spans="1:39">
      <c r="B6" s="41" t="s">
        <v>3377</v>
      </c>
      <c r="E6" s="108"/>
      <c r="F6" s="108"/>
      <c r="G6" s="108"/>
      <c r="H6" s="108"/>
      <c r="I6" s="108"/>
      <c r="J6" s="108"/>
    </row>
    <row r="7" spans="1:39" ht="12" thickBot="1"/>
    <row r="8" spans="1:39" ht="60.75" customHeight="1">
      <c r="B8" s="2801" t="s">
        <v>3372</v>
      </c>
      <c r="C8" s="131"/>
      <c r="D8" s="2803" t="s">
        <v>491</v>
      </c>
      <c r="E8" s="132" t="str">
        <f t="shared" ref="E8:AL8" si="0">VLOOKUP(E9,SVRAMO,2,FALSE)</f>
        <v>TOTAL RAMOS</v>
      </c>
      <c r="F8" s="132" t="str">
        <f t="shared" si="0"/>
        <v>TOTAL SEGUROS NO PREVISIONALES</v>
      </c>
      <c r="G8" s="132" t="str">
        <f t="shared" si="0"/>
        <v>Vida Entera</v>
      </c>
      <c r="H8" s="132" t="str">
        <f t="shared" si="0"/>
        <v>Temporal de Vida</v>
      </c>
      <c r="I8" s="132" t="str">
        <f t="shared" si="0"/>
        <v>Otros Seguros con Cuenta Unica de Inversión (CUI)</v>
      </c>
      <c r="J8" s="132" t="str">
        <f t="shared" si="0"/>
        <v>Mixto o Dotal</v>
      </c>
      <c r="K8" s="132" t="str">
        <f t="shared" si="0"/>
        <v>Renta</v>
      </c>
      <c r="L8" s="132" t="str">
        <f t="shared" si="0"/>
        <v>Dotal Puro o Capital diferido</v>
      </c>
      <c r="M8" s="132" t="str">
        <f t="shared" si="0"/>
        <v>Protección Familiar</v>
      </c>
      <c r="N8" s="132" t="str">
        <f t="shared" si="0"/>
        <v>Incapacidad o Invalidez</v>
      </c>
      <c r="O8" s="132" t="str">
        <f t="shared" si="0"/>
        <v>Salud</v>
      </c>
      <c r="P8" s="132" t="str">
        <f t="shared" si="0"/>
        <v>Accidentes Personales</v>
      </c>
      <c r="Q8" s="132" t="str">
        <f t="shared" si="0"/>
        <v>Asistencia</v>
      </c>
      <c r="R8" s="132" t="str">
        <f t="shared" si="0"/>
        <v>Desgravamen</v>
      </c>
      <c r="S8" s="132" t="str">
        <f t="shared" si="0"/>
        <v>Seguros con Ahorro Previsional Voluntario (APV)</v>
      </c>
      <c r="T8" s="132" t="str">
        <f t="shared" si="0"/>
        <v>Vida Entera</v>
      </c>
      <c r="U8" s="132" t="str">
        <f t="shared" si="0"/>
        <v>Temporal de Vida</v>
      </c>
      <c r="V8" s="132" t="str">
        <f t="shared" si="0"/>
        <v>Otros Seguros con Cuenta Unica de Inversión (CUI)</v>
      </c>
      <c r="W8" s="132" t="str">
        <f t="shared" si="0"/>
        <v>Mixto o Dotal</v>
      </c>
      <c r="X8" s="132" t="str">
        <f t="shared" si="0"/>
        <v>Renta</v>
      </c>
      <c r="Y8" s="132" t="str">
        <f t="shared" si="0"/>
        <v>Dotal Puro o Capital Diferido</v>
      </c>
      <c r="Z8" s="132" t="str">
        <f t="shared" si="0"/>
        <v>Protección Familiar</v>
      </c>
      <c r="AA8" s="132" t="str">
        <f t="shared" si="0"/>
        <v>Incapacidad o Invalidez</v>
      </c>
      <c r="AB8" s="132" t="str">
        <f t="shared" si="0"/>
        <v>Salud</v>
      </c>
      <c r="AC8" s="132" t="str">
        <f t="shared" si="0"/>
        <v>Accidentes Personales</v>
      </c>
      <c r="AD8" s="132" t="str">
        <f t="shared" si="0"/>
        <v>Asistencia</v>
      </c>
      <c r="AE8" s="132" t="str">
        <f t="shared" si="0"/>
        <v>Desgravamen</v>
      </c>
      <c r="AF8" s="132" t="str">
        <f t="shared" si="0"/>
        <v>Seguros con Ahorro Previsional Voluntario (APV)</v>
      </c>
      <c r="AG8" s="132" t="s">
        <v>998</v>
      </c>
      <c r="AH8" s="132" t="str">
        <f t="shared" si="0"/>
        <v>Seguro de AFP</v>
      </c>
      <c r="AI8" s="132" t="str">
        <f t="shared" si="0"/>
        <v>Renta Vitalicia Vejez</v>
      </c>
      <c r="AJ8" s="132" t="str">
        <f t="shared" si="0"/>
        <v>Renta Vitalicia Invalidez</v>
      </c>
      <c r="AK8" s="398" t="str">
        <f t="shared" si="0"/>
        <v>Renta Vitalicia Sobrevivencia</v>
      </c>
      <c r="AL8" s="136" t="str">
        <f t="shared" si="0"/>
        <v>Invalidez y Sobrevivencia</v>
      </c>
    </row>
    <row r="9" spans="1:39" ht="13.5" thickBot="1">
      <c r="B9" s="2802"/>
      <c r="C9" s="133"/>
      <c r="D9" s="2804"/>
      <c r="E9" s="134">
        <v>999</v>
      </c>
      <c r="F9" s="134">
        <v>300</v>
      </c>
      <c r="G9" s="134">
        <v>101</v>
      </c>
      <c r="H9" s="134">
        <v>102</v>
      </c>
      <c r="I9" s="134">
        <v>103</v>
      </c>
      <c r="J9" s="134">
        <v>104</v>
      </c>
      <c r="K9" s="134">
        <v>105</v>
      </c>
      <c r="L9" s="134">
        <v>106</v>
      </c>
      <c r="M9" s="134">
        <v>107</v>
      </c>
      <c r="N9" s="134">
        <v>108</v>
      </c>
      <c r="O9" s="134">
        <v>109</v>
      </c>
      <c r="P9" s="134">
        <v>110</v>
      </c>
      <c r="Q9" s="134">
        <v>111</v>
      </c>
      <c r="R9" s="134">
        <v>112</v>
      </c>
      <c r="S9" s="134">
        <v>114</v>
      </c>
      <c r="T9" s="134">
        <v>201</v>
      </c>
      <c r="U9" s="134">
        <v>202</v>
      </c>
      <c r="V9" s="134">
        <v>203</v>
      </c>
      <c r="W9" s="134">
        <v>204</v>
      </c>
      <c r="X9" s="134">
        <v>205</v>
      </c>
      <c r="Y9" s="134">
        <v>206</v>
      </c>
      <c r="Z9" s="134">
        <v>207</v>
      </c>
      <c r="AA9" s="134">
        <v>208</v>
      </c>
      <c r="AB9" s="134">
        <v>209</v>
      </c>
      <c r="AC9" s="134">
        <v>210</v>
      </c>
      <c r="AD9" s="134">
        <v>211</v>
      </c>
      <c r="AE9" s="134">
        <v>212</v>
      </c>
      <c r="AF9" s="134">
        <v>213</v>
      </c>
      <c r="AG9" s="134">
        <v>214</v>
      </c>
      <c r="AH9" s="134">
        <v>420</v>
      </c>
      <c r="AI9" s="134">
        <v>421</v>
      </c>
      <c r="AJ9" s="134">
        <v>422</v>
      </c>
      <c r="AK9" s="399">
        <v>423</v>
      </c>
      <c r="AL9" s="403">
        <v>424</v>
      </c>
    </row>
    <row r="10" spans="1:39" ht="11.25" customHeight="1">
      <c r="B10" s="1295"/>
      <c r="C10" s="1296"/>
      <c r="D10" s="1297"/>
      <c r="E10" s="1298"/>
      <c r="F10" s="1298"/>
      <c r="G10" s="1298"/>
      <c r="H10" s="1298"/>
      <c r="I10" s="1298"/>
      <c r="J10" s="1298"/>
      <c r="K10" s="1298"/>
      <c r="L10" s="1298"/>
      <c r="M10" s="1298"/>
      <c r="N10" s="1298"/>
      <c r="O10" s="1298"/>
      <c r="P10" s="1298"/>
      <c r="Q10" s="1298"/>
      <c r="R10" s="1298"/>
      <c r="S10" s="1298"/>
      <c r="T10" s="1298"/>
      <c r="U10" s="1298"/>
      <c r="V10" s="1298"/>
      <c r="W10" s="1298"/>
      <c r="X10" s="1298"/>
      <c r="Y10" s="1298"/>
      <c r="Z10" s="1298"/>
      <c r="AA10" s="1298"/>
      <c r="AB10" s="1298"/>
      <c r="AC10" s="1298"/>
      <c r="AD10" s="1298"/>
      <c r="AE10" s="1298"/>
      <c r="AF10" s="1298"/>
      <c r="AG10" s="1298"/>
      <c r="AH10" s="1298"/>
      <c r="AI10" s="1298"/>
      <c r="AJ10" s="1298"/>
      <c r="AK10" s="1298"/>
      <c r="AL10" s="1298"/>
    </row>
    <row r="11" spans="1:39">
      <c r="B11" s="41" t="s">
        <v>3378</v>
      </c>
      <c r="E11" s="108"/>
      <c r="F11" s="108"/>
      <c r="G11" s="108"/>
      <c r="H11" s="108"/>
      <c r="I11" s="108"/>
      <c r="J11" s="108"/>
    </row>
    <row r="12" spans="1:39" ht="10.5" customHeight="1" thickBot="1">
      <c r="B12" s="1292"/>
      <c r="C12" s="1293"/>
      <c r="D12" s="38"/>
      <c r="E12" s="1294"/>
      <c r="F12" s="1294"/>
      <c r="G12" s="1294"/>
      <c r="H12" s="1294"/>
      <c r="I12" s="1294"/>
      <c r="J12" s="1294"/>
      <c r="K12" s="1294"/>
      <c r="L12" s="1294"/>
      <c r="M12" s="1294"/>
      <c r="N12" s="1294"/>
      <c r="O12" s="1294"/>
      <c r="P12" s="1294"/>
      <c r="Q12" s="1294"/>
      <c r="R12" s="1294"/>
      <c r="S12" s="1294"/>
      <c r="T12" s="1294"/>
      <c r="U12" s="1294"/>
      <c r="V12" s="1294"/>
      <c r="W12" s="1294"/>
      <c r="X12" s="1294"/>
      <c r="Y12" s="1294"/>
      <c r="Z12" s="1294"/>
      <c r="AA12" s="1294"/>
      <c r="AB12" s="1294"/>
      <c r="AC12" s="1294"/>
      <c r="AD12" s="1294"/>
      <c r="AE12" s="1294"/>
      <c r="AF12" s="1294"/>
      <c r="AG12" s="1294"/>
      <c r="AH12" s="1294"/>
      <c r="AI12" s="1294"/>
      <c r="AJ12" s="1294"/>
      <c r="AK12" s="1294"/>
      <c r="AL12" s="1294"/>
    </row>
    <row r="13" spans="1:39" s="142" customFormat="1" ht="20.100000000000001" customHeight="1">
      <c r="B13" s="1290" t="s">
        <v>3258</v>
      </c>
      <c r="C13" s="1265">
        <v>6201000</v>
      </c>
      <c r="D13" s="209" t="s">
        <v>492</v>
      </c>
      <c r="E13" s="210">
        <f>SUM(G13:AL13)</f>
        <v>105226280</v>
      </c>
      <c r="F13" s="210">
        <f>SUM(G13:AG13)</f>
        <v>36472369</v>
      </c>
      <c r="G13" s="210">
        <f>SUM(G14,G17,G18)</f>
        <v>195908</v>
      </c>
      <c r="H13" s="210">
        <f>SUM(H14,H17,H18)</f>
        <v>205445</v>
      </c>
      <c r="I13" s="210">
        <f>SUM(I14,I17,I18)</f>
        <v>5083486</v>
      </c>
      <c r="J13" s="210">
        <f>SUM(J14,J17,J18)</f>
        <v>323136</v>
      </c>
      <c r="K13" s="210">
        <f>SUM(K14,K17,K18)</f>
        <v>603993</v>
      </c>
      <c r="L13" s="210">
        <f t="shared" ref="L13:AL13" si="1">SUM(L14,L17,L18)</f>
        <v>0</v>
      </c>
      <c r="M13" s="210">
        <f t="shared" si="1"/>
        <v>0</v>
      </c>
      <c r="N13" s="210">
        <f t="shared" si="1"/>
        <v>5640</v>
      </c>
      <c r="O13" s="210">
        <f t="shared" si="1"/>
        <v>229562</v>
      </c>
      <c r="P13" s="210">
        <f t="shared" si="1"/>
        <v>131447</v>
      </c>
      <c r="Q13" s="210">
        <f t="shared" si="1"/>
        <v>0</v>
      </c>
      <c r="R13" s="210">
        <f>SUM(R14,R17,R18)</f>
        <v>25475</v>
      </c>
      <c r="S13" s="210">
        <f t="shared" si="1"/>
        <v>231776</v>
      </c>
      <c r="T13" s="210">
        <f t="shared" si="1"/>
        <v>0</v>
      </c>
      <c r="U13" s="210">
        <f t="shared" si="1"/>
        <v>9774727</v>
      </c>
      <c r="V13" s="210">
        <f t="shared" si="1"/>
        <v>0</v>
      </c>
      <c r="W13" s="210">
        <f t="shared" si="1"/>
        <v>0</v>
      </c>
      <c r="X13" s="210">
        <f t="shared" si="1"/>
        <v>0</v>
      </c>
      <c r="Y13" s="210">
        <f t="shared" si="1"/>
        <v>0</v>
      </c>
      <c r="Z13" s="210">
        <f t="shared" si="1"/>
        <v>258959</v>
      </c>
      <c r="AA13" s="210">
        <f t="shared" si="1"/>
        <v>0</v>
      </c>
      <c r="AB13" s="210">
        <f t="shared" si="1"/>
        <v>15600594</v>
      </c>
      <c r="AC13" s="210">
        <f t="shared" si="1"/>
        <v>483192</v>
      </c>
      <c r="AD13" s="210">
        <f t="shared" si="1"/>
        <v>0</v>
      </c>
      <c r="AE13" s="210">
        <f t="shared" si="1"/>
        <v>3319029</v>
      </c>
      <c r="AF13" s="210">
        <f t="shared" si="1"/>
        <v>0</v>
      </c>
      <c r="AG13" s="210">
        <f t="shared" si="1"/>
        <v>0</v>
      </c>
      <c r="AH13" s="210">
        <f t="shared" si="1"/>
        <v>-1088281</v>
      </c>
      <c r="AI13" s="210">
        <f t="shared" si="1"/>
        <v>32747594</v>
      </c>
      <c r="AJ13" s="210">
        <f t="shared" si="1"/>
        <v>31570662</v>
      </c>
      <c r="AK13" s="210">
        <f t="shared" si="1"/>
        <v>5523936</v>
      </c>
      <c r="AL13" s="1315">
        <f t="shared" si="1"/>
        <v>0</v>
      </c>
    </row>
    <row r="14" spans="1:39" s="142" customFormat="1" ht="20.100000000000001" customHeight="1">
      <c r="B14" s="148" t="s">
        <v>3259</v>
      </c>
      <c r="C14" s="149">
        <v>6201100</v>
      </c>
      <c r="D14" s="150" t="s">
        <v>3379</v>
      </c>
      <c r="E14" s="210">
        <f>SUM(G14:AL14)</f>
        <v>106401989</v>
      </c>
      <c r="F14" s="210">
        <f>SUM(G14:AG14)</f>
        <v>37648078</v>
      </c>
      <c r="G14" s="151">
        <f>G15+G16</f>
        <v>198054</v>
      </c>
      <c r="H14" s="151">
        <f t="shared" ref="H14:AL14" si="2">H15+H16</f>
        <v>234513</v>
      </c>
      <c r="I14" s="151">
        <f t="shared" si="2"/>
        <v>5119305</v>
      </c>
      <c r="J14" s="151">
        <f>J15+J16</f>
        <v>325152</v>
      </c>
      <c r="K14" s="151">
        <f>K15+K16</f>
        <v>603993</v>
      </c>
      <c r="L14" s="151">
        <f t="shared" si="2"/>
        <v>0</v>
      </c>
      <c r="M14" s="151">
        <f t="shared" si="2"/>
        <v>0</v>
      </c>
      <c r="N14" s="151">
        <f t="shared" si="2"/>
        <v>5640</v>
      </c>
      <c r="O14" s="151">
        <f t="shared" si="2"/>
        <v>505098</v>
      </c>
      <c r="P14" s="151">
        <f t="shared" si="2"/>
        <v>150033</v>
      </c>
      <c r="Q14" s="151">
        <f t="shared" si="2"/>
        <v>0</v>
      </c>
      <c r="R14" s="151">
        <f>R15+R16</f>
        <v>37026</v>
      </c>
      <c r="S14" s="151">
        <f t="shared" si="2"/>
        <v>233202</v>
      </c>
      <c r="T14" s="151">
        <f t="shared" si="2"/>
        <v>0</v>
      </c>
      <c r="U14" s="151">
        <f t="shared" si="2"/>
        <v>10299974</v>
      </c>
      <c r="V14" s="151">
        <f t="shared" si="2"/>
        <v>0</v>
      </c>
      <c r="W14" s="151">
        <f t="shared" si="2"/>
        <v>0</v>
      </c>
      <c r="X14" s="151">
        <f t="shared" si="2"/>
        <v>0</v>
      </c>
      <c r="Y14" s="151">
        <f t="shared" si="2"/>
        <v>0</v>
      </c>
      <c r="Z14" s="151">
        <f t="shared" si="2"/>
        <v>258959</v>
      </c>
      <c r="AA14" s="151">
        <f t="shared" si="2"/>
        <v>0</v>
      </c>
      <c r="AB14" s="151">
        <f t="shared" si="2"/>
        <v>15665848</v>
      </c>
      <c r="AC14" s="151">
        <f t="shared" si="2"/>
        <v>500691</v>
      </c>
      <c r="AD14" s="151">
        <f t="shared" si="2"/>
        <v>0</v>
      </c>
      <c r="AE14" s="151">
        <f t="shared" si="2"/>
        <v>3510590</v>
      </c>
      <c r="AF14" s="151">
        <f t="shared" si="2"/>
        <v>0</v>
      </c>
      <c r="AG14" s="151">
        <f t="shared" si="2"/>
        <v>0</v>
      </c>
      <c r="AH14" s="151">
        <f t="shared" si="2"/>
        <v>-1088281</v>
      </c>
      <c r="AI14" s="151">
        <f t="shared" si="2"/>
        <v>32747594</v>
      </c>
      <c r="AJ14" s="151">
        <f t="shared" si="2"/>
        <v>31570662</v>
      </c>
      <c r="AK14" s="151">
        <f t="shared" si="2"/>
        <v>5523936</v>
      </c>
      <c r="AL14" s="152">
        <f t="shared" si="2"/>
        <v>0</v>
      </c>
    </row>
    <row r="15" spans="1:39" ht="20.100000000000001" customHeight="1">
      <c r="B15" s="148" t="s">
        <v>3260</v>
      </c>
      <c r="C15" s="137">
        <v>6201110</v>
      </c>
      <c r="D15" s="153" t="s">
        <v>3380</v>
      </c>
      <c r="E15" s="1300">
        <f>SUM(G15:AL15)</f>
        <v>106401989</v>
      </c>
      <c r="F15" s="210">
        <f>SUM(G15:AG15)</f>
        <v>37648078</v>
      </c>
      <c r="G15" s="154">
        <f>+C_6.01!F13</f>
        <v>198054</v>
      </c>
      <c r="H15" s="154">
        <f>+C_6.01!G13</f>
        <v>234513</v>
      </c>
      <c r="I15" s="154">
        <f>+C_6.01!H13</f>
        <v>5119305</v>
      </c>
      <c r="J15" s="154">
        <f>+C_6.01!I13</f>
        <v>325152</v>
      </c>
      <c r="K15" s="154">
        <f>+C_6.01!J13</f>
        <v>603993</v>
      </c>
      <c r="L15" s="154">
        <f>+C_6.01!K13</f>
        <v>0</v>
      </c>
      <c r="M15" s="154">
        <f>+C_6.01!L13</f>
        <v>0</v>
      </c>
      <c r="N15" s="154">
        <f>+C_6.01!M13</f>
        <v>5640</v>
      </c>
      <c r="O15" s="154">
        <f>+C_6.01!N13</f>
        <v>505098</v>
      </c>
      <c r="P15" s="154">
        <f>+C_6.01!O13</f>
        <v>150033</v>
      </c>
      <c r="Q15" s="154">
        <f>+C_6.01!P13</f>
        <v>0</v>
      </c>
      <c r="R15" s="154">
        <f>+C_6.01!Q13</f>
        <v>37026</v>
      </c>
      <c r="S15" s="154">
        <f>+C_6.01!S13</f>
        <v>233202</v>
      </c>
      <c r="T15" s="154">
        <f>+C_6.01!T13</f>
        <v>0</v>
      </c>
      <c r="U15" s="154">
        <f>+C_6.01!U13</f>
        <v>10299974</v>
      </c>
      <c r="V15" s="154">
        <f>+C_6.01!V13</f>
        <v>0</v>
      </c>
      <c r="W15" s="154">
        <f>+C_6.01!W13</f>
        <v>0</v>
      </c>
      <c r="X15" s="154">
        <f>+C_6.01!X13</f>
        <v>0</v>
      </c>
      <c r="Y15" s="154">
        <f>+C_6.01!Y13</f>
        <v>0</v>
      </c>
      <c r="Z15" s="154">
        <f>+C_6.01!Z13</f>
        <v>258959</v>
      </c>
      <c r="AA15" s="154">
        <f>+C_6.01!AA13</f>
        <v>0</v>
      </c>
      <c r="AB15" s="154">
        <f>+C_6.01!AB13</f>
        <v>15665848</v>
      </c>
      <c r="AC15" s="154">
        <f>+C_6.01!AC13</f>
        <v>500691</v>
      </c>
      <c r="AD15" s="154">
        <f>+C_6.01!AD13</f>
        <v>0</v>
      </c>
      <c r="AE15" s="595">
        <f>+C_6.01!AE13</f>
        <v>3510590</v>
      </c>
      <c r="AF15" s="154">
        <f>+C_6.01!AF13</f>
        <v>0</v>
      </c>
      <c r="AG15" s="154">
        <f>+C_6.01!AG13</f>
        <v>0</v>
      </c>
      <c r="AH15" s="140">
        <f>+C_6.01!AH13</f>
        <v>-1088281</v>
      </c>
      <c r="AI15" s="595">
        <f>+C_6.01!AI13</f>
        <v>32747594</v>
      </c>
      <c r="AJ15" s="154">
        <f>+C_6.01!AJ13</f>
        <v>31570662</v>
      </c>
      <c r="AK15" s="154">
        <f>+C_6.01!AK13</f>
        <v>5523936</v>
      </c>
      <c r="AL15" s="155">
        <f>+C_6.01!AL13</f>
        <v>0</v>
      </c>
    </row>
    <row r="16" spans="1:39" ht="20.100000000000001" customHeight="1">
      <c r="B16" s="148" t="s">
        <v>3261</v>
      </c>
      <c r="C16" s="137">
        <v>6201120</v>
      </c>
      <c r="D16" s="153" t="s">
        <v>3381</v>
      </c>
      <c r="E16" s="1300">
        <f t="shared" ref="E16:E18" si="3">SUM(G16:AL16)</f>
        <v>0</v>
      </c>
      <c r="F16" s="1300"/>
      <c r="G16" s="895">
        <f>-SUMIF(MATRIZCTAS!$R$7:$R$1766,$C16&amp;G$9,MATRIZCTAS!$AH$7:$AH$1766)</f>
        <v>0</v>
      </c>
      <c r="H16" s="895">
        <f>-SUMIF(MATRIZCTAS!$R$7:$R$1766,$C16&amp;H$9,MATRIZCTAS!$AH$7:$AH$1766)</f>
        <v>0</v>
      </c>
      <c r="I16" s="895">
        <f>-SUMIF(MATRIZCTAS!$R$7:$R$1766,$C16&amp;I$9,MATRIZCTAS!$AH$7:$AH$1766)</f>
        <v>0</v>
      </c>
      <c r="J16" s="895">
        <f>-SUMIF(MATRIZCTAS!$R$7:$R$1766,$C16&amp;J$9,MATRIZCTAS!$AH$7:$AH$1766)</f>
        <v>0</v>
      </c>
      <c r="K16" s="895">
        <f>-SUMIF(MATRIZCTAS!$R$7:$R$1766,$C16&amp;K$9,MATRIZCTAS!$AH$7:$AH$1766)</f>
        <v>0</v>
      </c>
      <c r="L16" s="895">
        <f>-SUMIF(MATRIZCTAS!$R$7:$R$1766,$C16&amp;L$9,MATRIZCTAS!$AH$7:$AH$1766)</f>
        <v>0</v>
      </c>
      <c r="M16" s="895">
        <f>-SUMIF(MATRIZCTAS!$R$7:$R$1766,$C16&amp;M$9,MATRIZCTAS!$AH$7:$AH$1766)</f>
        <v>0</v>
      </c>
      <c r="N16" s="895">
        <f>-SUMIF(MATRIZCTAS!$R$7:$R$1766,$C16&amp;N$9,MATRIZCTAS!$AH$7:$AH$1766)</f>
        <v>0</v>
      </c>
      <c r="O16" s="895">
        <f>-SUMIF(MATRIZCTAS!$R$7:$R$1766,$C16&amp;O$9,MATRIZCTAS!$AH$7:$AH$1766)</f>
        <v>0</v>
      </c>
      <c r="P16" s="895">
        <f>-SUMIF(MATRIZCTAS!$R$7:$R$1766,$C16&amp;P$9,MATRIZCTAS!$AH$7:$AH$1766)</f>
        <v>0</v>
      </c>
      <c r="Q16" s="895">
        <f>-SUMIF(MATRIZCTAS!$R$7:$R$1766,$C16&amp;Q$9,MATRIZCTAS!$AH$7:$AH$1766)</f>
        <v>0</v>
      </c>
      <c r="R16" s="895">
        <f>-SUMIF(MATRIZCTAS!$R$7:$R$1766,$C16&amp;R$9,MATRIZCTAS!$AH$7:$AH$1766)</f>
        <v>0</v>
      </c>
      <c r="S16" s="895">
        <f>-SUMIF(MATRIZCTAS!$R$7:$R$1766,$C16&amp;S$9,MATRIZCTAS!$AH$7:$AH$1766)</f>
        <v>0</v>
      </c>
      <c r="T16" s="895">
        <f>-SUMIF(MATRIZCTAS!$R$7:$R$1766,$C16&amp;T$9,MATRIZCTAS!$AH$7:$AH$1766)</f>
        <v>0</v>
      </c>
      <c r="U16" s="895">
        <f>-SUMIF(MATRIZCTAS!$R$7:$R$1766,$C16&amp;U$9,MATRIZCTAS!$AH$7:$AH$1766)</f>
        <v>0</v>
      </c>
      <c r="V16" s="895">
        <f>-SUMIF(MATRIZCTAS!$R$7:$R$1766,$C16&amp;V$9,MATRIZCTAS!$AH$7:$AH$1766)</f>
        <v>0</v>
      </c>
      <c r="W16" s="895">
        <f>-SUMIF(MATRIZCTAS!$R$7:$R$1766,$C16&amp;W$9,MATRIZCTAS!$AH$7:$AH$1766)</f>
        <v>0</v>
      </c>
      <c r="X16" s="895">
        <f>-SUMIF(MATRIZCTAS!$R$7:$R$1766,$C16&amp;X$9,MATRIZCTAS!$AH$7:$AH$1766)</f>
        <v>0</v>
      </c>
      <c r="Y16" s="895">
        <f>-SUMIF(MATRIZCTAS!$R$7:$R$1766,$C16&amp;Y$9,MATRIZCTAS!$AH$7:$AH$1766)</f>
        <v>0</v>
      </c>
      <c r="Z16" s="895">
        <f>-SUMIF(MATRIZCTAS!$R$7:$R$1766,$C16&amp;Z$9,MATRIZCTAS!$AH$7:$AH$1766)</f>
        <v>0</v>
      </c>
      <c r="AA16" s="895">
        <f>-SUMIF(MATRIZCTAS!$R$7:$R$1766,$C16&amp;AA$9,MATRIZCTAS!$AH$7:$AH$1766)</f>
        <v>0</v>
      </c>
      <c r="AB16" s="895">
        <f>-SUMIF(MATRIZCTAS!$R$7:$R$1766,$C16&amp;AB$9,MATRIZCTAS!$AH$7:$AH$1766)</f>
        <v>0</v>
      </c>
      <c r="AC16" s="895">
        <f>-SUMIF(MATRIZCTAS!$R$7:$R$1766,$C16&amp;AC$9,MATRIZCTAS!$AH$7:$AH$1766)</f>
        <v>0</v>
      </c>
      <c r="AD16" s="895">
        <f>-SUMIF(MATRIZCTAS!$R$7:$R$1766,$C16&amp;AD$9,MATRIZCTAS!$AH$7:$AH$1766)</f>
        <v>0</v>
      </c>
      <c r="AE16" s="895">
        <f>-SUMIF(MATRIZCTAS!$R$7:$R$1766,$C16&amp;AE$9,MATRIZCTAS!$AH$7:$AH$1766)</f>
        <v>0</v>
      </c>
      <c r="AF16" s="895">
        <f>-SUMIF(MATRIZCTAS!$R$7:$R$1766,$C16&amp;AF$9,MATRIZCTAS!$AH$7:$AH$1766)</f>
        <v>0</v>
      </c>
      <c r="AG16" s="895">
        <f>-SUMIF(MATRIZCTAS!$R$7:$R$1766,$C16&amp;AG$9,MATRIZCTAS!$AH$7:$AH$1766)</f>
        <v>0</v>
      </c>
      <c r="AH16" s="895">
        <f>-SUMIF(MATRIZCTAS!$R$7:$R$1766,$C16&amp;AH$9,MATRIZCTAS!$AH$7:$AH$1766)</f>
        <v>0</v>
      </c>
      <c r="AI16" s="895">
        <f>-SUMIF(MATRIZCTAS!$R$7:$R$1766,$C16&amp;AI$9,MATRIZCTAS!$AH$7:$AH$1766)</f>
        <v>0</v>
      </c>
      <c r="AJ16" s="895">
        <f>-SUMIF(MATRIZCTAS!$R$7:$R$1766,$C16&amp;AJ$9,MATRIZCTAS!$AH$7:$AH$1766)</f>
        <v>0</v>
      </c>
      <c r="AK16" s="895">
        <v>0</v>
      </c>
      <c r="AL16" s="1465">
        <f>-SUMIF(MATRIZCTAS!$R$7:$R$1766,$C16&amp;AL$9,MATRIZCTAS!$AH$7:$AH$1766)</f>
        <v>0</v>
      </c>
    </row>
    <row r="17" spans="2:38" ht="20.100000000000001" customHeight="1">
      <c r="B17" s="148" t="s">
        <v>3262</v>
      </c>
      <c r="C17" s="137">
        <v>6201200</v>
      </c>
      <c r="D17" s="153" t="s">
        <v>3382</v>
      </c>
      <c r="E17" s="1300">
        <f t="shared" si="3"/>
        <v>0</v>
      </c>
      <c r="F17" s="1300"/>
      <c r="G17" s="895">
        <f>-SUMIF(MATRIZCTAS!$R$7:$R$1766,$C17&amp;G$9,MATRIZCTAS!$AH$7:$AH$1766)</f>
        <v>0</v>
      </c>
      <c r="H17" s="895">
        <f>-SUMIF(MATRIZCTAS!$R$7:$R$1766,$C17&amp;H$9,MATRIZCTAS!$AH$7:$AH$1766)</f>
        <v>0</v>
      </c>
      <c r="I17" s="895">
        <f>-SUMIF(MATRIZCTAS!$R$7:$R$1766,$C17&amp;I$9,MATRIZCTAS!$AH$7:$AH$1766)</f>
        <v>0</v>
      </c>
      <c r="J17" s="895">
        <f>-SUMIF(MATRIZCTAS!$R$7:$R$1766,$C17&amp;J$9,MATRIZCTAS!$AH$7:$AH$1766)</f>
        <v>0</v>
      </c>
      <c r="K17" s="895">
        <f>-SUMIF(MATRIZCTAS!$R$7:$R$1766,$C17&amp;K$9,MATRIZCTAS!$AH$7:$AH$1766)</f>
        <v>0</v>
      </c>
      <c r="L17" s="895">
        <f>-SUMIF(MATRIZCTAS!$R$7:$R$1766,$C17&amp;L$9,MATRIZCTAS!$AH$7:$AH$1766)</f>
        <v>0</v>
      </c>
      <c r="M17" s="895">
        <f>-SUMIF(MATRIZCTAS!$R$7:$R$1766,$C17&amp;M$9,MATRIZCTAS!$AH$7:$AH$1766)</f>
        <v>0</v>
      </c>
      <c r="N17" s="895">
        <f>-SUMIF(MATRIZCTAS!$R$7:$R$1766,$C17&amp;N$9,MATRIZCTAS!$AH$7:$AH$1766)</f>
        <v>0</v>
      </c>
      <c r="O17" s="895">
        <f>-SUMIF(MATRIZCTAS!$R$7:$R$1766,$C17&amp;O$9,MATRIZCTAS!$AH$7:$AH$1766)</f>
        <v>0</v>
      </c>
      <c r="P17" s="895">
        <f>-SUMIF(MATRIZCTAS!$R$7:$R$1766,$C17&amp;P$9,MATRIZCTAS!$AH$7:$AH$1766)</f>
        <v>0</v>
      </c>
      <c r="Q17" s="895">
        <f>-SUMIF(MATRIZCTAS!$R$7:$R$1766,$C17&amp;Q$9,MATRIZCTAS!$AH$7:$AH$1766)</f>
        <v>0</v>
      </c>
      <c r="R17" s="895">
        <f>-SUMIF(MATRIZCTAS!$R$7:$R$1766,$C17&amp;R$9,MATRIZCTAS!$AH$7:$AH$1766)</f>
        <v>0</v>
      </c>
      <c r="S17" s="895">
        <f>-SUMIF(MATRIZCTAS!$R$7:$R$1766,$C17&amp;S$9,MATRIZCTAS!$AH$7:$AH$1766)</f>
        <v>0</v>
      </c>
      <c r="T17" s="895">
        <f>-SUMIF(MATRIZCTAS!$R$7:$R$1766,$C17&amp;T$9,MATRIZCTAS!$AH$7:$AH$1766)</f>
        <v>0</v>
      </c>
      <c r="U17" s="895">
        <f>-SUMIF(MATRIZCTAS!$R$7:$R$1766,$C17&amp;U$9,MATRIZCTAS!$AH$7:$AH$1766)</f>
        <v>0</v>
      </c>
      <c r="V17" s="895">
        <f>-SUMIF(MATRIZCTAS!$R$7:$R$1766,$C17&amp;V$9,MATRIZCTAS!$AH$7:$AH$1766)</f>
        <v>0</v>
      </c>
      <c r="W17" s="895">
        <f>-SUMIF(MATRIZCTAS!$R$7:$R$1766,$C17&amp;W$9,MATRIZCTAS!$AH$7:$AH$1766)</f>
        <v>0</v>
      </c>
      <c r="X17" s="895">
        <f>-SUMIF(MATRIZCTAS!$R$7:$R$1766,$C17&amp;X$9,MATRIZCTAS!$AH$7:$AH$1766)</f>
        <v>0</v>
      </c>
      <c r="Y17" s="895">
        <f>-SUMIF(MATRIZCTAS!$R$7:$R$1766,$C17&amp;Y$9,MATRIZCTAS!$AH$7:$AH$1766)</f>
        <v>0</v>
      </c>
      <c r="Z17" s="895">
        <f>-SUMIF(MATRIZCTAS!$R$7:$R$1766,$C17&amp;Z$9,MATRIZCTAS!$AH$7:$AH$1766)</f>
        <v>0</v>
      </c>
      <c r="AA17" s="895">
        <f>-SUMIF(MATRIZCTAS!$R$7:$R$1766,$C17&amp;AA$9,MATRIZCTAS!$AH$7:$AH$1766)</f>
        <v>0</v>
      </c>
      <c r="AB17" s="895">
        <f>-SUMIF(MATRIZCTAS!$R$7:$R$1766,$C17&amp;AB$9,MATRIZCTAS!$AH$7:$AH$1766)</f>
        <v>0</v>
      </c>
      <c r="AC17" s="895">
        <f>-SUMIF(MATRIZCTAS!$R$7:$R$1766,$C17&amp;AC$9,MATRIZCTAS!$AH$7:$AH$1766)</f>
        <v>0</v>
      </c>
      <c r="AD17" s="895">
        <f>-SUMIF(MATRIZCTAS!$R$7:$R$1766,$C17&amp;AD$9,MATRIZCTAS!$AH$7:$AH$1766)</f>
        <v>0</v>
      </c>
      <c r="AE17" s="895">
        <f>-SUMIF(MATRIZCTAS!$R$7:$R$1766,$C17&amp;AE$9,MATRIZCTAS!$AH$7:$AH$1766)</f>
        <v>0</v>
      </c>
      <c r="AF17" s="895">
        <f>-SUMIF(MATRIZCTAS!$R$7:$R$1766,$C17&amp;AF$9,MATRIZCTAS!$AH$7:$AH$1766)</f>
        <v>0</v>
      </c>
      <c r="AG17" s="895">
        <f>-SUMIF(MATRIZCTAS!$R$7:$R$1766,$C17&amp;AG$9,MATRIZCTAS!$AH$7:$AH$1766)</f>
        <v>0</v>
      </c>
      <c r="AH17" s="895">
        <f>-SUMIF(MATRIZCTAS!$R$7:$R$1766,$C17&amp;AH$9,MATRIZCTAS!$AH$7:$AH$1766)</f>
        <v>0</v>
      </c>
      <c r="AI17" s="895">
        <f>-SUMIF(MATRIZCTAS!$R$7:$R$1766,$C17&amp;AI$9,MATRIZCTAS!$AH$7:$AH$1766)</f>
        <v>0</v>
      </c>
      <c r="AJ17" s="895">
        <f>-SUMIF(MATRIZCTAS!$R$7:$R$1766,$C17&amp;AJ$9,MATRIZCTAS!$AH$7:$AH$1766)</f>
        <v>0</v>
      </c>
      <c r="AK17" s="895">
        <v>0</v>
      </c>
      <c r="AL17" s="1465">
        <f>-SUMIF(MATRIZCTAS!$R$7:$R$1766,$C17&amp;AL$9,MATRIZCTAS!$AH$7:$AH$1766)</f>
        <v>0</v>
      </c>
    </row>
    <row r="18" spans="2:38" ht="20.100000000000001" customHeight="1" thickBot="1">
      <c r="B18" s="298" t="s">
        <v>3263</v>
      </c>
      <c r="C18" s="1301">
        <v>6201300</v>
      </c>
      <c r="D18" s="1282" t="s">
        <v>3383</v>
      </c>
      <c r="E18" s="1300">
        <f t="shared" si="3"/>
        <v>-1175709</v>
      </c>
      <c r="F18" s="210">
        <f>SUM(G18:AG18)</f>
        <v>-1175709</v>
      </c>
      <c r="G18" s="300">
        <f>+C_6.01!F15</f>
        <v>-2146</v>
      </c>
      <c r="H18" s="300">
        <f>+C_6.01!G15</f>
        <v>-29068</v>
      </c>
      <c r="I18" s="300">
        <f>+C_6.01!H15</f>
        <v>-35819</v>
      </c>
      <c r="J18" s="300">
        <f>+C_6.01!I15</f>
        <v>-2016</v>
      </c>
      <c r="K18" s="300">
        <f>+C_6.01!J15</f>
        <v>0</v>
      </c>
      <c r="L18" s="300">
        <f>+C_6.01!K15</f>
        <v>0</v>
      </c>
      <c r="M18" s="300">
        <f>+C_6.01!L15</f>
        <v>0</v>
      </c>
      <c r="N18" s="300">
        <f>+C_6.01!M15</f>
        <v>0</v>
      </c>
      <c r="O18" s="300">
        <f>+C_6.01!N15</f>
        <v>-275536</v>
      </c>
      <c r="P18" s="300">
        <f>+C_6.01!O15</f>
        <v>-18586</v>
      </c>
      <c r="Q18" s="300">
        <f>+C_6.01!P15</f>
        <v>0</v>
      </c>
      <c r="R18" s="300">
        <f>+C_6.01!Q15</f>
        <v>-11551</v>
      </c>
      <c r="S18" s="300">
        <f>+C_6.01!S15</f>
        <v>-1426</v>
      </c>
      <c r="T18" s="300">
        <f>+C_6.01!T15</f>
        <v>0</v>
      </c>
      <c r="U18" s="300">
        <f>+C_6.01!U15</f>
        <v>-525247</v>
      </c>
      <c r="V18" s="300">
        <f>+C_6.01!V15</f>
        <v>0</v>
      </c>
      <c r="W18" s="300">
        <f>+C_6.01!W15</f>
        <v>0</v>
      </c>
      <c r="X18" s="300">
        <f>+C_6.01!X15</f>
        <v>0</v>
      </c>
      <c r="Y18" s="300">
        <f>+C_6.01!Y15</f>
        <v>0</v>
      </c>
      <c r="Z18" s="300">
        <f>+C_6.01!Z15</f>
        <v>0</v>
      </c>
      <c r="AA18" s="300">
        <f>+C_6.01!AA15</f>
        <v>0</v>
      </c>
      <c r="AB18" s="300">
        <f>+C_6.01!AB15</f>
        <v>-65254</v>
      </c>
      <c r="AC18" s="300">
        <f>+C_6.01!AC15</f>
        <v>-17499</v>
      </c>
      <c r="AD18" s="300">
        <f>+C_6.01!AD15</f>
        <v>0</v>
      </c>
      <c r="AE18" s="300">
        <f>+C_6.01!AE15</f>
        <v>-191561</v>
      </c>
      <c r="AF18" s="300">
        <f>+C_6.01!AF15</f>
        <v>0</v>
      </c>
      <c r="AG18" s="300">
        <f>+C_6.01!AG15</f>
        <v>0</v>
      </c>
      <c r="AH18" s="300">
        <f>+C_6.01!AH15</f>
        <v>0</v>
      </c>
      <c r="AI18" s="300">
        <f>+C_6.01!AI15</f>
        <v>0</v>
      </c>
      <c r="AJ18" s="300">
        <f>+C_6.01!AJ15</f>
        <v>0</v>
      </c>
      <c r="AK18" s="1302">
        <f>+C_6.01!AK15</f>
        <v>0</v>
      </c>
      <c r="AL18" s="1283">
        <f>+C_6.01!AL15</f>
        <v>0</v>
      </c>
    </row>
    <row r="19" spans="2:38" ht="13.5" customHeight="1">
      <c r="B19" s="1303"/>
      <c r="C19" s="1304"/>
      <c r="D19" s="434"/>
      <c r="E19" s="1305"/>
      <c r="F19" s="1305"/>
      <c r="G19" s="1306"/>
      <c r="H19" s="1306"/>
      <c r="I19" s="1306"/>
      <c r="J19" s="1306"/>
      <c r="K19" s="1306"/>
      <c r="L19" s="1306"/>
      <c r="M19" s="1306"/>
      <c r="N19" s="1306"/>
      <c r="O19" s="1306"/>
      <c r="P19" s="1306"/>
      <c r="Q19" s="1306"/>
      <c r="R19" s="1306"/>
      <c r="S19" s="1306"/>
      <c r="T19" s="1306"/>
      <c r="U19" s="1306"/>
      <c r="V19" s="1306"/>
      <c r="W19" s="1306"/>
      <c r="X19" s="1306"/>
      <c r="Y19" s="1306"/>
      <c r="Z19" s="1306"/>
      <c r="AA19" s="1306"/>
      <c r="AB19" s="1306"/>
      <c r="AC19" s="1306"/>
      <c r="AD19" s="1306"/>
      <c r="AE19" s="1306"/>
      <c r="AF19" s="1306"/>
      <c r="AG19" s="1306"/>
      <c r="AH19" s="1306"/>
      <c r="AI19" s="1306"/>
      <c r="AJ19" s="1306"/>
      <c r="AK19" s="1306"/>
      <c r="AL19" s="1306"/>
    </row>
    <row r="20" spans="2:38">
      <c r="B20" s="41" t="s">
        <v>3384</v>
      </c>
      <c r="E20" s="108"/>
      <c r="F20" s="108"/>
      <c r="G20" s="108"/>
      <c r="H20" s="108"/>
      <c r="I20" s="108"/>
      <c r="J20" s="108"/>
    </row>
    <row r="21" spans="2:38" ht="12" customHeight="1" thickBot="1">
      <c r="B21" s="41"/>
      <c r="E21" s="108"/>
      <c r="F21" s="108"/>
      <c r="G21" s="108"/>
      <c r="H21" s="108"/>
      <c r="I21" s="108"/>
      <c r="J21" s="108"/>
    </row>
    <row r="22" spans="2:38" s="142" customFormat="1" ht="20.100000000000001" customHeight="1">
      <c r="B22" s="294" t="s">
        <v>3264</v>
      </c>
      <c r="C22" s="1309">
        <v>6202000</v>
      </c>
      <c r="D22" s="1310" t="s">
        <v>1600</v>
      </c>
      <c r="E22" s="1311">
        <f t="shared" ref="E22:E27" si="4">SUM(G22:AL22)</f>
        <v>96119329</v>
      </c>
      <c r="F22" s="1312">
        <f>SUM(G22:AG22)</f>
        <v>27365418</v>
      </c>
      <c r="G22" s="1312">
        <f>SUM(G23,G24)+G25</f>
        <v>16282</v>
      </c>
      <c r="H22" s="1312">
        <f>SUM(H23,H24)+H25</f>
        <v>52156</v>
      </c>
      <c r="I22" s="1312">
        <f>SUM(I23,I24)+I25</f>
        <v>301761</v>
      </c>
      <c r="J22" s="1312">
        <f>SUM(J23,J24)+J25</f>
        <v>17897</v>
      </c>
      <c r="K22" s="1312">
        <f t="shared" ref="K22:AL22" si="5">SUM(K23,K24)+K25</f>
        <v>0</v>
      </c>
      <c r="L22" s="1312">
        <f t="shared" si="5"/>
        <v>0</v>
      </c>
      <c r="M22" s="1312">
        <f t="shared" si="5"/>
        <v>0</v>
      </c>
      <c r="N22" s="1312">
        <f t="shared" si="5"/>
        <v>5640</v>
      </c>
      <c r="O22" s="1312">
        <f t="shared" si="5"/>
        <v>229562</v>
      </c>
      <c r="P22" s="1312">
        <f t="shared" si="5"/>
        <v>131447</v>
      </c>
      <c r="Q22" s="1312">
        <f t="shared" si="5"/>
        <v>0</v>
      </c>
      <c r="R22" s="1312">
        <f t="shared" si="5"/>
        <v>942</v>
      </c>
      <c r="S22" s="1312">
        <f t="shared" si="5"/>
        <v>72571</v>
      </c>
      <c r="T22" s="1312">
        <f t="shared" si="5"/>
        <v>0</v>
      </c>
      <c r="U22" s="1312">
        <f t="shared" si="5"/>
        <v>6932534</v>
      </c>
      <c r="V22" s="1312">
        <f t="shared" si="5"/>
        <v>0</v>
      </c>
      <c r="W22" s="1312">
        <f t="shared" si="5"/>
        <v>0</v>
      </c>
      <c r="X22" s="1312">
        <f t="shared" si="5"/>
        <v>0</v>
      </c>
      <c r="Y22" s="1312">
        <f t="shared" si="5"/>
        <v>0</v>
      </c>
      <c r="Z22" s="1312">
        <f t="shared" si="5"/>
        <v>258959</v>
      </c>
      <c r="AA22" s="1312">
        <f t="shared" si="5"/>
        <v>0</v>
      </c>
      <c r="AB22" s="1312">
        <f t="shared" si="5"/>
        <v>15600594</v>
      </c>
      <c r="AC22" s="1312">
        <f t="shared" si="5"/>
        <v>483192</v>
      </c>
      <c r="AD22" s="1312">
        <f t="shared" si="5"/>
        <v>0</v>
      </c>
      <c r="AE22" s="1313">
        <f t="shared" si="5"/>
        <v>3261881</v>
      </c>
      <c r="AF22" s="1312">
        <f t="shared" si="5"/>
        <v>0</v>
      </c>
      <c r="AG22" s="1312">
        <f t="shared" si="5"/>
        <v>0</v>
      </c>
      <c r="AH22" s="1313">
        <f>SUM(AH23,AH24)+AH25</f>
        <v>-1088281</v>
      </c>
      <c r="AI22" s="1312">
        <f t="shared" si="5"/>
        <v>32747594</v>
      </c>
      <c r="AJ22" s="1312">
        <f t="shared" si="5"/>
        <v>31570662</v>
      </c>
      <c r="AK22" s="1314">
        <f t="shared" si="5"/>
        <v>5523936</v>
      </c>
      <c r="AL22" s="1315">
        <f t="shared" si="5"/>
        <v>0</v>
      </c>
    </row>
    <row r="23" spans="2:38" s="142" customFormat="1" ht="20.100000000000001" customHeight="1">
      <c r="B23" s="148" t="s">
        <v>3265</v>
      </c>
      <c r="C23" s="1466">
        <v>6202100</v>
      </c>
      <c r="D23" s="153" t="s">
        <v>3379</v>
      </c>
      <c r="E23" s="483">
        <f>SUM(G23:AL23)</f>
        <v>97257735</v>
      </c>
      <c r="F23" s="210">
        <f>SUM(G23:AG23)</f>
        <v>28503824</v>
      </c>
      <c r="G23" s="438">
        <v>18298</v>
      </c>
      <c r="H23" s="438">
        <v>64758</v>
      </c>
      <c r="I23" s="438">
        <v>329186</v>
      </c>
      <c r="J23" s="438">
        <v>19632</v>
      </c>
      <c r="K23" s="438">
        <v>0</v>
      </c>
      <c r="L23" s="438">
        <v>0</v>
      </c>
      <c r="M23" s="438">
        <v>0</v>
      </c>
      <c r="N23" s="438">
        <v>5640</v>
      </c>
      <c r="O23" s="438">
        <v>505098</v>
      </c>
      <c r="P23" s="438">
        <v>150033</v>
      </c>
      <c r="Q23" s="438">
        <v>0</v>
      </c>
      <c r="R23" s="438">
        <v>1255</v>
      </c>
      <c r="S23" s="438">
        <v>73203</v>
      </c>
      <c r="T23" s="438">
        <v>0</v>
      </c>
      <c r="U23" s="438">
        <v>7457781</v>
      </c>
      <c r="V23" s="438">
        <v>0</v>
      </c>
      <c r="W23" s="438">
        <v>0</v>
      </c>
      <c r="X23" s="438">
        <v>0</v>
      </c>
      <c r="Y23" s="438">
        <v>0</v>
      </c>
      <c r="Z23" s="438">
        <v>258959</v>
      </c>
      <c r="AA23" s="438">
        <v>0</v>
      </c>
      <c r="AB23" s="438">
        <f>+AB15</f>
        <v>15665848</v>
      </c>
      <c r="AC23" s="438">
        <v>500691</v>
      </c>
      <c r="AD23" s="438">
        <v>0</v>
      </c>
      <c r="AE23" s="688">
        <v>3453442</v>
      </c>
      <c r="AF23" s="438">
        <v>0</v>
      </c>
      <c r="AG23" s="154">
        <f t="shared" ref="AG23:AL23" si="6">+AG14-AG32</f>
        <v>0</v>
      </c>
      <c r="AH23" s="595">
        <f t="shared" si="6"/>
        <v>-1088281</v>
      </c>
      <c r="AI23" s="154">
        <f t="shared" si="6"/>
        <v>32747594</v>
      </c>
      <c r="AJ23" s="154">
        <f t="shared" si="6"/>
        <v>31570662</v>
      </c>
      <c r="AK23" s="408">
        <f t="shared" si="6"/>
        <v>5523936</v>
      </c>
      <c r="AL23" s="155">
        <f t="shared" si="6"/>
        <v>0</v>
      </c>
    </row>
    <row r="24" spans="2:38" ht="20.100000000000001" customHeight="1">
      <c r="B24" s="148" t="s">
        <v>3266</v>
      </c>
      <c r="C24" s="1466">
        <v>6202200</v>
      </c>
      <c r="D24" s="153" t="s">
        <v>3382</v>
      </c>
      <c r="E24" s="483">
        <f>SUM(G24:AL24)</f>
        <v>0</v>
      </c>
      <c r="F24" s="483"/>
      <c r="G24" s="895">
        <f>-SUMIF(MATRIZCTAS!$R$7:$R$1766,$C24&amp;G$9,MATRIZCTAS!$AH$7:$AH$1766)</f>
        <v>0</v>
      </c>
      <c r="H24" s="895">
        <f>-SUMIF(MATRIZCTAS!$R$7:$R$1766,$C24&amp;H$9,MATRIZCTAS!$AH$7:$AH$1766)</f>
        <v>0</v>
      </c>
      <c r="I24" s="895">
        <f>-SUMIF(MATRIZCTAS!$R$7:$R$1766,$C24&amp;I$9,MATRIZCTAS!$AH$7:$AH$1766)</f>
        <v>0</v>
      </c>
      <c r="J24" s="895">
        <f>-SUMIF(MATRIZCTAS!$R$7:$R$1766,$C24&amp;J$9,MATRIZCTAS!$AH$7:$AH$1766)</f>
        <v>0</v>
      </c>
      <c r="K24" s="895">
        <f>-SUMIF(MATRIZCTAS!$R$7:$R$1766,$C24&amp;K$9,MATRIZCTAS!$AH$7:$AH$1766)</f>
        <v>0</v>
      </c>
      <c r="L24" s="895">
        <f>-SUMIF(MATRIZCTAS!$R$7:$R$1766,$C24&amp;L$9,MATRIZCTAS!$AH$7:$AH$1766)</f>
        <v>0</v>
      </c>
      <c r="M24" s="895">
        <f>-SUMIF(MATRIZCTAS!$R$7:$R$1766,$C24&amp;M$9,MATRIZCTAS!$AH$7:$AH$1766)</f>
        <v>0</v>
      </c>
      <c r="N24" s="895">
        <f>-SUMIF(MATRIZCTAS!$R$7:$R$1766,$C24&amp;N$9,MATRIZCTAS!$AH$7:$AH$1766)</f>
        <v>0</v>
      </c>
      <c r="O24" s="895">
        <f>-SUMIF(MATRIZCTAS!$R$7:$R$1766,$C24&amp;O$9,MATRIZCTAS!$AH$7:$AH$1766)</f>
        <v>0</v>
      </c>
      <c r="P24" s="895">
        <f>-SUMIF(MATRIZCTAS!$R$7:$R$1766,$C24&amp;P$9,MATRIZCTAS!$AH$7:$AH$1766)</f>
        <v>0</v>
      </c>
      <c r="Q24" s="895">
        <f>-SUMIF(MATRIZCTAS!$R$7:$R$1766,$C24&amp;Q$9,MATRIZCTAS!$AH$7:$AH$1766)</f>
        <v>0</v>
      </c>
      <c r="R24" s="895">
        <f>-SUMIF(MATRIZCTAS!$R$7:$R$1766,$C24&amp;R$9,MATRIZCTAS!$AH$7:$AH$1766)</f>
        <v>0</v>
      </c>
      <c r="S24" s="895">
        <f>-SUMIF(MATRIZCTAS!$R$7:$R$1766,$C24&amp;S$9,MATRIZCTAS!$AH$7:$AH$1766)</f>
        <v>0</v>
      </c>
      <c r="T24" s="895">
        <f>-SUMIF(MATRIZCTAS!$R$7:$R$1766,$C24&amp;T$9,MATRIZCTAS!$AH$7:$AH$1766)</f>
        <v>0</v>
      </c>
      <c r="U24" s="895">
        <f>-SUMIF(MATRIZCTAS!$R$7:$R$1766,$C24&amp;U$9,MATRIZCTAS!$AH$7:$AH$1766)</f>
        <v>0</v>
      </c>
      <c r="V24" s="895">
        <f>-SUMIF(MATRIZCTAS!$R$7:$R$1766,$C24&amp;V$9,MATRIZCTAS!$AH$7:$AH$1766)</f>
        <v>0</v>
      </c>
      <c r="W24" s="895">
        <f>-SUMIF(MATRIZCTAS!$R$7:$R$1766,$C24&amp;W$9,MATRIZCTAS!$AH$7:$AH$1766)</f>
        <v>0</v>
      </c>
      <c r="X24" s="895">
        <f>-SUMIF(MATRIZCTAS!$R$7:$R$1766,$C24&amp;X$9,MATRIZCTAS!$AH$7:$AH$1766)</f>
        <v>0</v>
      </c>
      <c r="Y24" s="895">
        <f>-SUMIF(MATRIZCTAS!$R$7:$R$1766,$C24&amp;Y$9,MATRIZCTAS!$AH$7:$AH$1766)</f>
        <v>0</v>
      </c>
      <c r="Z24" s="895">
        <f>-SUMIF(MATRIZCTAS!$R$7:$R$1766,$C24&amp;Z$9,MATRIZCTAS!$AH$7:$AH$1766)</f>
        <v>0</v>
      </c>
      <c r="AA24" s="895">
        <f>-SUMIF(MATRIZCTAS!$R$7:$R$1766,$C24&amp;AA$9,MATRIZCTAS!$AH$7:$AH$1766)</f>
        <v>0</v>
      </c>
      <c r="AB24" s="895">
        <f>-SUMIF(MATRIZCTAS!$R$7:$R$1766,$C24&amp;AB$9,MATRIZCTAS!$AH$7:$AH$1766)</f>
        <v>0</v>
      </c>
      <c r="AC24" s="895">
        <f>-SUMIF(MATRIZCTAS!$R$7:$R$1766,$C24&amp;AC$9,MATRIZCTAS!$AH$7:$AH$1766)</f>
        <v>0</v>
      </c>
      <c r="AD24" s="895">
        <f>-SUMIF(MATRIZCTAS!$R$7:$R$1766,$C24&amp;AD$9,MATRIZCTAS!$AH$7:$AH$1766)</f>
        <v>0</v>
      </c>
      <c r="AE24" s="895">
        <f>-SUMIF(MATRIZCTAS!$R$7:$R$1766,$C24&amp;AE$9,MATRIZCTAS!$AH$7:$AH$1766)</f>
        <v>0</v>
      </c>
      <c r="AF24" s="895">
        <f>-SUMIF(MATRIZCTAS!$R$7:$R$1766,$C24&amp;AF$9,MATRIZCTAS!$AH$7:$AH$1766)</f>
        <v>0</v>
      </c>
      <c r="AG24" s="895">
        <f>-SUMIF(MATRIZCTAS!$R$7:$R$1766,$C24&amp;AG$9,MATRIZCTAS!$AH$7:$AH$1766)</f>
        <v>0</v>
      </c>
      <c r="AH24" s="895">
        <f>-SUMIF(MATRIZCTAS!$R$7:$R$1766,$C24&amp;AH$9,MATRIZCTAS!$AH$7:$AH$1766)</f>
        <v>0</v>
      </c>
      <c r="AI24" s="895">
        <f>-SUMIF(MATRIZCTAS!$R$7:$R$1766,$C24&amp;AI$9,MATRIZCTAS!$AH$7:$AH$1766)</f>
        <v>0</v>
      </c>
      <c r="AJ24" s="895">
        <f>-SUMIF(MATRIZCTAS!$R$7:$R$1766,$C24&amp;AJ$9,MATRIZCTAS!$AH$7:$AH$1766)</f>
        <v>0</v>
      </c>
      <c r="AK24" s="895">
        <f>-SUMIF(MATRIZCTAS!$R$7:$R$1766,$C24&amp;AK$9,MATRIZCTAS!$AH$7:$AH$1766)</f>
        <v>0</v>
      </c>
      <c r="AL24" s="1465">
        <f>-SUMIF(MATRIZCTAS!$R$7:$R$1766,$C24&amp;AL$9,MATRIZCTAS!$AH$7:$AH$1766)</f>
        <v>0</v>
      </c>
    </row>
    <row r="25" spans="2:38" ht="20.100000000000001" customHeight="1" thickBot="1">
      <c r="B25" s="1316" t="s">
        <v>3267</v>
      </c>
      <c r="C25" s="1467">
        <v>6202300</v>
      </c>
      <c r="D25" s="1317" t="s">
        <v>3383</v>
      </c>
      <c r="E25" s="1318">
        <f>SUM(G25:AL25)</f>
        <v>-1138406</v>
      </c>
      <c r="F25" s="210">
        <f>SUM(G25:AG25)</f>
        <v>-1138406</v>
      </c>
      <c r="G25" s="1319">
        <v>-2016</v>
      </c>
      <c r="H25" s="1319">
        <v>-12602</v>
      </c>
      <c r="I25" s="1319">
        <v>-27425</v>
      </c>
      <c r="J25" s="1319">
        <v>-1735</v>
      </c>
      <c r="K25" s="1319">
        <v>0</v>
      </c>
      <c r="L25" s="1319">
        <v>0</v>
      </c>
      <c r="M25" s="1319">
        <v>0</v>
      </c>
      <c r="N25" s="1319">
        <v>0</v>
      </c>
      <c r="O25" s="1319">
        <v>-275536</v>
      </c>
      <c r="P25" s="1319">
        <v>-18586</v>
      </c>
      <c r="Q25" s="1319">
        <v>0</v>
      </c>
      <c r="R25" s="1319">
        <v>-313</v>
      </c>
      <c r="S25" s="1319">
        <v>-632</v>
      </c>
      <c r="T25" s="1319">
        <v>0</v>
      </c>
      <c r="U25" s="1319">
        <v>-525247</v>
      </c>
      <c r="V25" s="1319">
        <v>0</v>
      </c>
      <c r="W25" s="1319">
        <v>0</v>
      </c>
      <c r="X25" s="1319">
        <v>0</v>
      </c>
      <c r="Y25" s="1319">
        <v>0</v>
      </c>
      <c r="Z25" s="1319">
        <f>+Z18</f>
        <v>0</v>
      </c>
      <c r="AA25" s="1319">
        <v>0</v>
      </c>
      <c r="AB25" s="1319">
        <f>+AB18</f>
        <v>-65254</v>
      </c>
      <c r="AC25" s="1319">
        <v>-17499</v>
      </c>
      <c r="AD25" s="1319">
        <v>0</v>
      </c>
      <c r="AE25" s="1319">
        <v>-191561</v>
      </c>
      <c r="AF25" s="1319">
        <v>0</v>
      </c>
      <c r="AG25" s="1320">
        <f>+AG18</f>
        <v>0</v>
      </c>
      <c r="AH25" s="1320">
        <v>0</v>
      </c>
      <c r="AI25" s="1320">
        <v>0</v>
      </c>
      <c r="AJ25" s="1320">
        <v>0</v>
      </c>
      <c r="AK25" s="1321">
        <v>0</v>
      </c>
      <c r="AL25" s="1322">
        <v>0</v>
      </c>
    </row>
    <row r="26" spans="2:38" ht="10.5" customHeight="1" thickBot="1">
      <c r="B26" s="1323"/>
      <c r="C26" s="1324"/>
      <c r="D26" s="1325"/>
      <c r="E26" s="1326"/>
      <c r="F26" s="1326"/>
      <c r="G26" s="1327"/>
      <c r="H26" s="1327"/>
      <c r="I26" s="1327"/>
      <c r="J26" s="1327"/>
      <c r="K26" s="1327"/>
      <c r="L26" s="1327"/>
      <c r="M26" s="1327"/>
      <c r="N26" s="1327"/>
      <c r="O26" s="1327"/>
      <c r="P26" s="1327"/>
      <c r="Q26" s="1327"/>
      <c r="R26" s="1327"/>
      <c r="S26" s="1327"/>
      <c r="T26" s="1327"/>
      <c r="U26" s="1327"/>
      <c r="V26" s="1327"/>
      <c r="W26" s="1327"/>
      <c r="X26" s="1327"/>
      <c r="Y26" s="1327"/>
      <c r="Z26" s="1327"/>
      <c r="AA26" s="1327"/>
      <c r="AB26" s="1327"/>
      <c r="AC26" s="1327"/>
      <c r="AD26" s="1327"/>
      <c r="AE26" s="1327"/>
      <c r="AF26" s="1327"/>
      <c r="AG26" s="1327"/>
      <c r="AH26" s="1327"/>
      <c r="AI26" s="1327"/>
      <c r="AJ26" s="1327"/>
      <c r="AK26" s="1327"/>
      <c r="AL26" s="1327"/>
    </row>
    <row r="27" spans="2:38" s="142" customFormat="1" ht="20.100000000000001" customHeight="1" thickBot="1">
      <c r="B27" s="1328" t="s">
        <v>3268</v>
      </c>
      <c r="C27" s="1329">
        <v>6210000</v>
      </c>
      <c r="D27" s="1330" t="s">
        <v>905</v>
      </c>
      <c r="E27" s="1331">
        <f t="shared" si="4"/>
        <v>7003053</v>
      </c>
      <c r="F27" s="1312">
        <f>SUM(G27:AG27)</f>
        <v>7003053</v>
      </c>
      <c r="G27" s="1331">
        <v>3351</v>
      </c>
      <c r="H27" s="1331">
        <v>11071</v>
      </c>
      <c r="I27" s="1331">
        <v>259007</v>
      </c>
      <c r="J27" s="1331">
        <v>4207</v>
      </c>
      <c r="K27" s="1331">
        <f>-SUMIF(MATRIZCTAS!$R$7:$R$1766,$C27&amp;K$9,MATRIZCTAS!$AH$7:$AH$1766)</f>
        <v>0</v>
      </c>
      <c r="L27" s="1331">
        <f>-SUMIF(MATRIZCTAS!$R$7:$R$1766,$C27&amp;L$9,MATRIZCTAS!$AH$7:$AH$1766)</f>
        <v>0</v>
      </c>
      <c r="M27" s="1331">
        <f>-SUMIF(MATRIZCTAS!$R$7:$R$1766,$C27&amp;M$9,MATRIZCTAS!$AH$7:$AH$1766)</f>
        <v>0</v>
      </c>
      <c r="N27" s="1331">
        <v>974</v>
      </c>
      <c r="O27" s="1331">
        <v>69084</v>
      </c>
      <c r="P27" s="1331">
        <v>40371</v>
      </c>
      <c r="Q27" s="1331">
        <f>-SUMIF(MATRIZCTAS!$R$7:$R$1766,$C27&amp;Q$9,MATRIZCTAS!$AH$7:$AH$1766)</f>
        <v>0</v>
      </c>
      <c r="R27" s="1331">
        <v>4170</v>
      </c>
      <c r="S27" s="1331">
        <v>112513</v>
      </c>
      <c r="T27" s="1331">
        <f>-SUMIF(MATRIZCTAS!$R$7:$R$1766,$C27&amp;T$9,MATRIZCTAS!$AH$7:$AH$1766)</f>
        <v>0</v>
      </c>
      <c r="U27" s="1331">
        <v>2162484</v>
      </c>
      <c r="V27" s="1331">
        <f>-SUMIF(MATRIZCTAS!$R$7:$R$1766,$C27&amp;V$9,MATRIZCTAS!$AH$7:$AH$1766)</f>
        <v>0</v>
      </c>
      <c r="W27" s="1331">
        <f>-SUMIF(MATRIZCTAS!$R$7:$R$1766,$C27&amp;W$9,MATRIZCTAS!$AH$7:$AH$1766)</f>
        <v>0</v>
      </c>
      <c r="X27" s="1331">
        <f>-SUMIF(MATRIZCTAS!$R$7:$R$1766,$C27&amp;X$9,MATRIZCTAS!$AH$7:$AH$1766)</f>
        <v>0</v>
      </c>
      <c r="Y27" s="1331">
        <f>-SUMIF(MATRIZCTAS!$R$7:$R$1766,$C27&amp;Y$9,MATRIZCTAS!$AH$7:$AH$1766)</f>
        <v>0</v>
      </c>
      <c r="Z27" s="1331">
        <v>45333</v>
      </c>
      <c r="AA27" s="1331">
        <f>-SUMIF(MATRIZCTAS!$R$7:$R$1766,$C27&amp;AA$9,MATRIZCTAS!$AH$7:$AH$1766)</f>
        <v>0</v>
      </c>
      <c r="AB27" s="1331">
        <v>2037756</v>
      </c>
      <c r="AC27" s="1331">
        <v>582658</v>
      </c>
      <c r="AD27" s="1331">
        <f>-SUMIF(MATRIZCTAS!$R$7:$R$1766,$C27&amp;AD$9,MATRIZCTAS!$AH$7:$AH$1766)</f>
        <v>0</v>
      </c>
      <c r="AE27" s="1331">
        <v>1670074</v>
      </c>
      <c r="AF27" s="1331">
        <f>-SUMIF(MATRIZCTAS!$R$7:$R$1766,$C27&amp;AF$9,MATRIZCTAS!$AH$7:$AH$1766)</f>
        <v>0</v>
      </c>
      <c r="AG27" s="1331">
        <f>-SUMIF(MATRIZCTAS!$R$7:$R$1766,$C27&amp;AG$9,MATRIZCTAS!$AH$7:$AH$1766)</f>
        <v>0</v>
      </c>
      <c r="AH27" s="1331">
        <f>-SUMIF(MATRIZCTAS!$R$7:$R$1766,$C27&amp;AH$9,MATRIZCTAS!$AH$7:$AH$1766)</f>
        <v>0</v>
      </c>
      <c r="AI27" s="1331">
        <f>-SUMIF(MATRIZCTAS!$R$7:$R$1766,$C27&amp;AI$9,MATRIZCTAS!$AH$7:$AH$1766)</f>
        <v>0</v>
      </c>
      <c r="AJ27" s="1331">
        <f>-SUMIF(MATRIZCTAS!$R$7:$R$1766,$C27&amp;AJ$9,MATRIZCTAS!$AH$7:$AH$1766)</f>
        <v>0</v>
      </c>
      <c r="AK27" s="1331">
        <f>-SUMIF(MATRIZCTAS!$R$7:$R$1766,$C27&amp;AK$9,MATRIZCTAS!$AH$7:$AH$1766)</f>
        <v>0</v>
      </c>
      <c r="AL27" s="1331">
        <f>-SUMIF(MATRIZCTAS!$R$7:$R$1766,$C27&amp;AL$9,MATRIZCTAS!$AH$7:$AH$1766)</f>
        <v>0</v>
      </c>
    </row>
    <row r="28" spans="2:38" s="142" customFormat="1" ht="20.100000000000001" customHeight="1">
      <c r="B28" s="1333"/>
      <c r="C28" s="1334"/>
      <c r="D28" s="1335"/>
      <c r="E28" s="1336"/>
      <c r="F28" s="1336"/>
      <c r="G28" s="1336"/>
      <c r="H28" s="1336"/>
      <c r="I28" s="1336"/>
      <c r="J28" s="1336"/>
      <c r="K28" s="1336"/>
      <c r="L28" s="1336"/>
      <c r="M28" s="1336"/>
      <c r="N28" s="1336"/>
      <c r="O28" s="1336"/>
      <c r="P28" s="1336"/>
      <c r="Q28" s="1336"/>
      <c r="R28" s="1336"/>
      <c r="S28" s="1336"/>
      <c r="T28" s="1336"/>
      <c r="U28" s="1336"/>
      <c r="V28" s="1336"/>
      <c r="W28" s="1336"/>
      <c r="X28" s="1336"/>
      <c r="Y28" s="1336"/>
      <c r="Z28" s="1336"/>
      <c r="AA28" s="1336"/>
      <c r="AB28" s="1336"/>
      <c r="AC28" s="1336"/>
      <c r="AD28" s="1336"/>
      <c r="AE28" s="1336"/>
      <c r="AF28" s="1336"/>
      <c r="AG28" s="1336"/>
      <c r="AH28" s="1336"/>
      <c r="AI28" s="1336"/>
      <c r="AJ28" s="1336"/>
      <c r="AK28" s="1336"/>
      <c r="AL28" s="1336"/>
    </row>
    <row r="29" spans="2:38">
      <c r="B29" s="41" t="s">
        <v>3385</v>
      </c>
      <c r="E29" s="108"/>
      <c r="F29" s="108"/>
      <c r="G29" s="108"/>
      <c r="H29" s="108"/>
      <c r="I29" s="108"/>
      <c r="J29" s="108"/>
    </row>
    <row r="30" spans="2:38" s="142" customFormat="1" ht="12.75" customHeight="1" thickBot="1">
      <c r="B30" s="1339"/>
      <c r="C30" s="1340"/>
      <c r="D30" s="1341"/>
      <c r="E30" s="1307"/>
      <c r="F30" s="1307"/>
      <c r="G30" s="1308"/>
      <c r="H30" s="1308"/>
      <c r="I30" s="1308"/>
      <c r="J30" s="1308"/>
      <c r="K30" s="1308"/>
      <c r="L30" s="1308"/>
      <c r="M30" s="1308"/>
      <c r="N30" s="1308"/>
      <c r="O30" s="1308"/>
      <c r="P30" s="1308"/>
      <c r="Q30" s="1308"/>
      <c r="R30" s="1308"/>
      <c r="S30" s="1308"/>
      <c r="T30" s="1308"/>
      <c r="U30" s="1308"/>
      <c r="V30" s="1308"/>
      <c r="W30" s="1308"/>
      <c r="X30" s="1308"/>
      <c r="Y30" s="1308"/>
      <c r="Z30" s="1308"/>
      <c r="AA30" s="1308"/>
      <c r="AB30" s="1308"/>
      <c r="AC30" s="1308"/>
      <c r="AD30" s="1308"/>
      <c r="AE30" s="1308"/>
      <c r="AF30" s="1308"/>
      <c r="AG30" s="1308"/>
      <c r="AH30" s="1308"/>
      <c r="AI30" s="1308"/>
      <c r="AJ30" s="1308"/>
      <c r="AK30" s="1308"/>
      <c r="AL30" s="1308"/>
    </row>
    <row r="31" spans="2:38" ht="20.100000000000001" customHeight="1">
      <c r="B31" s="1299" t="s">
        <v>3269</v>
      </c>
      <c r="C31" s="1332">
        <v>6203100</v>
      </c>
      <c r="D31" s="1337" t="s">
        <v>1471</v>
      </c>
      <c r="E31" s="1338">
        <f t="shared" ref="E31:E36" si="7">SUM(G31:AL31)</f>
        <v>21499138.857238464</v>
      </c>
      <c r="F31" s="1312">
        <f>SUM(G31:AG31)</f>
        <v>21499138.857238464</v>
      </c>
      <c r="G31" s="1338">
        <f>+(((G45/$C$41)*$C$44)/1000)</f>
        <v>4456805.4538080366</v>
      </c>
      <c r="H31" s="1338">
        <f t="shared" ref="H31:AL31" si="8">+(((H45/$C$41)*$C$44)/1000)</f>
        <v>639295.64381495852</v>
      </c>
      <c r="I31" s="1338">
        <f t="shared" si="8"/>
        <v>0</v>
      </c>
      <c r="J31" s="1338">
        <f t="shared" si="8"/>
        <v>8239916.5263310391</v>
      </c>
      <c r="K31" s="1338">
        <f t="shared" si="8"/>
        <v>0</v>
      </c>
      <c r="L31" s="1338">
        <f t="shared" si="8"/>
        <v>0</v>
      </c>
      <c r="M31" s="1338">
        <f t="shared" si="8"/>
        <v>0</v>
      </c>
      <c r="N31" s="1338">
        <f t="shared" si="8"/>
        <v>0</v>
      </c>
      <c r="O31" s="1338">
        <f t="shared" si="8"/>
        <v>0</v>
      </c>
      <c r="P31" s="1338">
        <f t="shared" si="8"/>
        <v>0</v>
      </c>
      <c r="Q31" s="1338">
        <f t="shared" si="8"/>
        <v>0</v>
      </c>
      <c r="R31" s="1338">
        <f t="shared" si="8"/>
        <v>26432.382861241327</v>
      </c>
      <c r="S31" s="1338">
        <f t="shared" si="8"/>
        <v>0</v>
      </c>
      <c r="T31" s="1338">
        <f t="shared" si="8"/>
        <v>0</v>
      </c>
      <c r="U31" s="1338">
        <f t="shared" si="8"/>
        <v>1496703.3578406414</v>
      </c>
      <c r="V31" s="1338">
        <f t="shared" si="8"/>
        <v>0</v>
      </c>
      <c r="W31" s="1338">
        <f t="shared" si="8"/>
        <v>0</v>
      </c>
      <c r="X31" s="1338">
        <f t="shared" si="8"/>
        <v>0</v>
      </c>
      <c r="Y31" s="1338">
        <f t="shared" si="8"/>
        <v>3957599.5107497382</v>
      </c>
      <c r="Z31" s="1338">
        <f t="shared" si="8"/>
        <v>0</v>
      </c>
      <c r="AA31" s="1338">
        <f t="shared" si="8"/>
        <v>0</v>
      </c>
      <c r="AB31" s="1338">
        <f t="shared" si="8"/>
        <v>0</v>
      </c>
      <c r="AC31" s="1338">
        <f t="shared" si="8"/>
        <v>7134.0943490252766</v>
      </c>
      <c r="AD31" s="1338">
        <f t="shared" si="8"/>
        <v>0</v>
      </c>
      <c r="AE31" s="1338">
        <f t="shared" si="8"/>
        <v>2675251.8874837789</v>
      </c>
      <c r="AF31" s="1338">
        <f t="shared" si="8"/>
        <v>0</v>
      </c>
      <c r="AG31" s="1338">
        <f t="shared" si="8"/>
        <v>0</v>
      </c>
      <c r="AH31" s="1338">
        <f t="shared" si="8"/>
        <v>0</v>
      </c>
      <c r="AI31" s="1338">
        <f t="shared" si="8"/>
        <v>0</v>
      </c>
      <c r="AJ31" s="1338">
        <f t="shared" si="8"/>
        <v>0</v>
      </c>
      <c r="AK31" s="1338">
        <f t="shared" si="8"/>
        <v>0</v>
      </c>
      <c r="AL31" s="1469">
        <f t="shared" si="8"/>
        <v>0</v>
      </c>
    </row>
    <row r="32" spans="2:38" ht="20.100000000000001" customHeight="1">
      <c r="B32" s="148" t="s">
        <v>3270</v>
      </c>
      <c r="C32" s="1468">
        <v>6203110</v>
      </c>
      <c r="D32" s="153" t="s">
        <v>679</v>
      </c>
      <c r="E32" s="595">
        <f t="shared" si="7"/>
        <v>3590143</v>
      </c>
      <c r="F32" s="210">
        <f t="shared" ref="F32:F36" si="9">SUM(G32:AG32)</f>
        <v>3590143</v>
      </c>
      <c r="G32" s="438">
        <v>179756</v>
      </c>
      <c r="H32" s="438">
        <v>169755</v>
      </c>
      <c r="I32" s="438"/>
      <c r="J32" s="438">
        <v>305520</v>
      </c>
      <c r="K32" s="438">
        <v>0</v>
      </c>
      <c r="L32" s="438">
        <v>0</v>
      </c>
      <c r="M32" s="438">
        <v>0</v>
      </c>
      <c r="N32" s="438">
        <v>0</v>
      </c>
      <c r="O32" s="438">
        <v>0</v>
      </c>
      <c r="P32" s="438">
        <v>0</v>
      </c>
      <c r="Q32" s="438">
        <v>0</v>
      </c>
      <c r="R32" s="438">
        <v>35771</v>
      </c>
      <c r="S32" s="438">
        <f>+S40-S31</f>
        <v>0</v>
      </c>
      <c r="T32" s="438">
        <v>0</v>
      </c>
      <c r="U32" s="688">
        <v>2842193</v>
      </c>
      <c r="V32" s="438">
        <v>0</v>
      </c>
      <c r="W32" s="438">
        <v>0</v>
      </c>
      <c r="X32" s="438">
        <v>0</v>
      </c>
      <c r="Y32" s="438">
        <v>0</v>
      </c>
      <c r="Z32" s="438">
        <v>0</v>
      </c>
      <c r="AA32" s="438">
        <v>0</v>
      </c>
      <c r="AB32" s="438">
        <v>0</v>
      </c>
      <c r="AC32" s="438">
        <v>0</v>
      </c>
      <c r="AD32" s="438">
        <v>0</v>
      </c>
      <c r="AE32" s="438">
        <v>57148</v>
      </c>
      <c r="AF32" s="438">
        <f t="shared" ref="AF32:AL32" si="10">+AF40-AF31</f>
        <v>0</v>
      </c>
      <c r="AG32" s="154">
        <f t="shared" si="10"/>
        <v>0</v>
      </c>
      <c r="AH32" s="154">
        <f t="shared" si="10"/>
        <v>0</v>
      </c>
      <c r="AI32" s="154">
        <f t="shared" si="10"/>
        <v>0</v>
      </c>
      <c r="AJ32" s="154">
        <f t="shared" si="10"/>
        <v>0</v>
      </c>
      <c r="AK32" s="154">
        <f t="shared" si="10"/>
        <v>0</v>
      </c>
      <c r="AL32" s="155">
        <f t="shared" si="10"/>
        <v>0</v>
      </c>
    </row>
    <row r="33" spans="2:41" ht="20.100000000000001" customHeight="1">
      <c r="B33" s="148" t="s">
        <v>3271</v>
      </c>
      <c r="C33" s="1468">
        <v>6203120</v>
      </c>
      <c r="D33" s="153" t="s">
        <v>1472</v>
      </c>
      <c r="E33" s="483">
        <f t="shared" si="7"/>
        <v>322487</v>
      </c>
      <c r="F33" s="210">
        <f t="shared" si="9"/>
        <v>322487</v>
      </c>
      <c r="G33" s="439">
        <f>66852+1</f>
        <v>66853</v>
      </c>
      <c r="H33" s="439">
        <f>9589+1</f>
        <v>9590</v>
      </c>
      <c r="I33" s="439">
        <v>0</v>
      </c>
      <c r="J33" s="439">
        <f>123599-2</f>
        <v>123597</v>
      </c>
      <c r="K33" s="439">
        <v>0</v>
      </c>
      <c r="L33" s="439">
        <v>0</v>
      </c>
      <c r="M33" s="439">
        <v>0</v>
      </c>
      <c r="N33" s="439">
        <v>0</v>
      </c>
      <c r="O33" s="439">
        <v>0</v>
      </c>
      <c r="P33" s="439">
        <v>0</v>
      </c>
      <c r="Q33" s="439">
        <v>0</v>
      </c>
      <c r="R33" s="439">
        <v>396</v>
      </c>
      <c r="S33" s="151">
        <f>-SUMIF('MATRIZCTAS(a)'!$U$7:$U$1456,$B33&amp;S$9,'MATRIZCTAS(a)'!$AH$7:$AH$1456)</f>
        <v>0</v>
      </c>
      <c r="T33" s="439">
        <v>0</v>
      </c>
      <c r="U33" s="439">
        <v>22451</v>
      </c>
      <c r="V33" s="439">
        <v>0</v>
      </c>
      <c r="W33" s="439">
        <v>0</v>
      </c>
      <c r="X33" s="439">
        <v>0</v>
      </c>
      <c r="Y33" s="439">
        <v>59364</v>
      </c>
      <c r="Z33" s="439">
        <v>0</v>
      </c>
      <c r="AA33" s="439">
        <v>0</v>
      </c>
      <c r="AB33" s="439">
        <v>0</v>
      </c>
      <c r="AC33" s="439">
        <v>107</v>
      </c>
      <c r="AD33" s="439">
        <v>0</v>
      </c>
      <c r="AE33" s="439">
        <v>40129</v>
      </c>
      <c r="AF33" s="151">
        <f>-SUMIF('MATRIZCTAS(a)'!$U$7:$U$1456,$C33&amp;AF$9,'MATRIZCTAS(a)'!$AH$7:$AH$1456)</f>
        <v>0</v>
      </c>
      <c r="AG33" s="151">
        <f>-SUMIF('MATRIZCTAS(a)'!$U$7:$U$1456,$B33&amp;AG$9,'MATRIZCTAS(a)'!$AH$7:$AH$1456)</f>
        <v>0</v>
      </c>
      <c r="AH33" s="151">
        <v>0</v>
      </c>
      <c r="AI33" s="151">
        <v>0</v>
      </c>
      <c r="AJ33" s="151">
        <v>0</v>
      </c>
      <c r="AK33" s="407">
        <v>0</v>
      </c>
      <c r="AL33" s="152">
        <v>0</v>
      </c>
    </row>
    <row r="34" spans="2:41" ht="20.100000000000001" customHeight="1">
      <c r="B34" s="148" t="s">
        <v>3272</v>
      </c>
      <c r="C34" s="1468">
        <v>6203130</v>
      </c>
      <c r="D34" s="153" t="s">
        <v>1473</v>
      </c>
      <c r="E34" s="154">
        <f t="shared" si="7"/>
        <v>0</v>
      </c>
      <c r="F34" s="210">
        <f t="shared" si="9"/>
        <v>0</v>
      </c>
      <c r="G34" s="895">
        <f>-SUMIF(MATRIZCTAS!$R$7:$R$1766,$C34&amp;G$9,MATRIZCTAS!$AH$7:$AH$1766)</f>
        <v>0</v>
      </c>
      <c r="H34" s="895">
        <f>-SUMIF(MATRIZCTAS!$R$7:$R$1766,$C34&amp;H$9,MATRIZCTAS!$AH$7:$AH$1766)</f>
        <v>0</v>
      </c>
      <c r="I34" s="895">
        <f>-SUMIF(MATRIZCTAS!$R$7:$R$1766,$C34&amp;I$9,MATRIZCTAS!$AH$7:$AH$1766)</f>
        <v>0</v>
      </c>
      <c r="J34" s="895">
        <f>-SUMIF(MATRIZCTAS!$R$7:$R$1766,$C34&amp;J$9,MATRIZCTAS!$AH$7:$AH$1766)</f>
        <v>0</v>
      </c>
      <c r="K34" s="895">
        <f>-SUMIF(MATRIZCTAS!$R$7:$R$1766,$C34&amp;K$9,MATRIZCTAS!$AH$7:$AH$1766)</f>
        <v>0</v>
      </c>
      <c r="L34" s="895">
        <f>-SUMIF(MATRIZCTAS!$R$7:$R$1766,$C34&amp;L$9,MATRIZCTAS!$AH$7:$AH$1766)</f>
        <v>0</v>
      </c>
      <c r="M34" s="895">
        <f>-SUMIF(MATRIZCTAS!$R$7:$R$1766,$C34&amp;M$9,MATRIZCTAS!$AH$7:$AH$1766)</f>
        <v>0</v>
      </c>
      <c r="N34" s="895">
        <f>-SUMIF(MATRIZCTAS!$R$7:$R$1766,$C34&amp;N$9,MATRIZCTAS!$AH$7:$AH$1766)</f>
        <v>0</v>
      </c>
      <c r="O34" s="895">
        <f>-SUMIF(MATRIZCTAS!$R$7:$R$1766,$C34&amp;O$9,MATRIZCTAS!$AH$7:$AH$1766)</f>
        <v>0</v>
      </c>
      <c r="P34" s="895">
        <f>-SUMIF(MATRIZCTAS!$R$7:$R$1766,$C34&amp;P$9,MATRIZCTAS!$AH$7:$AH$1766)</f>
        <v>0</v>
      </c>
      <c r="Q34" s="895">
        <f>-SUMIF(MATRIZCTAS!$R$7:$R$1766,$C34&amp;Q$9,MATRIZCTAS!$AH$7:$AH$1766)</f>
        <v>0</v>
      </c>
      <c r="R34" s="895">
        <f>-SUMIF(MATRIZCTAS!$R$7:$R$1766,$C34&amp;R$9,MATRIZCTAS!$AH$7:$AH$1766)</f>
        <v>0</v>
      </c>
      <c r="S34" s="895">
        <f>-SUMIF(MATRIZCTAS!$R$7:$R$1766,$C34&amp;S$9,MATRIZCTAS!$AH$7:$AH$1766)</f>
        <v>0</v>
      </c>
      <c r="T34" s="895">
        <f>-SUMIF(MATRIZCTAS!$R$7:$R$1766,$C34&amp;T$9,MATRIZCTAS!$AH$7:$AH$1766)</f>
        <v>0</v>
      </c>
      <c r="U34" s="895">
        <f>-SUMIF(MATRIZCTAS!$R$7:$R$1766,$C34&amp;U$9,MATRIZCTAS!$AH$7:$AH$1766)</f>
        <v>0</v>
      </c>
      <c r="V34" s="895">
        <f>-SUMIF(MATRIZCTAS!$R$7:$R$1766,$C34&amp;V$9,MATRIZCTAS!$AH$7:$AH$1766)</f>
        <v>0</v>
      </c>
      <c r="W34" s="895">
        <f>-SUMIF(MATRIZCTAS!$R$7:$R$1766,$C34&amp;W$9,MATRIZCTAS!$AH$7:$AH$1766)</f>
        <v>0</v>
      </c>
      <c r="X34" s="895">
        <f>-SUMIF(MATRIZCTAS!$R$7:$R$1766,$C34&amp;X$9,MATRIZCTAS!$AH$7:$AH$1766)</f>
        <v>0</v>
      </c>
      <c r="Y34" s="895">
        <f>-SUMIF(MATRIZCTAS!$R$7:$R$1766,$C34&amp;Y$9,MATRIZCTAS!$AH$7:$AH$1766)</f>
        <v>0</v>
      </c>
      <c r="Z34" s="895">
        <f>-SUMIF(MATRIZCTAS!$R$7:$R$1766,$C34&amp;Z$9,MATRIZCTAS!$AH$7:$AH$1766)</f>
        <v>0</v>
      </c>
      <c r="AA34" s="895">
        <f>-SUMIF(MATRIZCTAS!$R$7:$R$1766,$C34&amp;AA$9,MATRIZCTAS!$AH$7:$AH$1766)</f>
        <v>0</v>
      </c>
      <c r="AB34" s="895">
        <f>-SUMIF(MATRIZCTAS!$R$7:$R$1766,$C34&amp;AB$9,MATRIZCTAS!$AH$7:$AH$1766)</f>
        <v>0</v>
      </c>
      <c r="AC34" s="895">
        <f>-SUMIF(MATRIZCTAS!$R$7:$R$1766,$C34&amp;AC$9,MATRIZCTAS!$AH$7:$AH$1766)</f>
        <v>0</v>
      </c>
      <c r="AD34" s="895">
        <f>-SUMIF(MATRIZCTAS!$R$7:$R$1766,$C34&amp;AD$9,MATRIZCTAS!$AH$7:$AH$1766)</f>
        <v>0</v>
      </c>
      <c r="AE34" s="895">
        <f>-SUMIF(MATRIZCTAS!$R$7:$R$1766,$C34&amp;AE$9,MATRIZCTAS!$AH$7:$AH$1766)</f>
        <v>0</v>
      </c>
      <c r="AF34" s="895">
        <f>-SUMIF(MATRIZCTAS!$R$7:$R$1766,$C34&amp;AF$9,MATRIZCTAS!$AH$7:$AH$1766)</f>
        <v>0</v>
      </c>
      <c r="AG34" s="895">
        <f>-SUMIF(MATRIZCTAS!$R$7:$R$1766,$C34&amp;AG$9,MATRIZCTAS!$AH$7:$AH$1766)</f>
        <v>0</v>
      </c>
      <c r="AH34" s="895">
        <f>-SUMIF(MATRIZCTAS!$R$7:$R$1766,$C34&amp;AH$9,MATRIZCTAS!$AH$7:$AH$1766)</f>
        <v>0</v>
      </c>
      <c r="AI34" s="895">
        <f>-SUMIF(MATRIZCTAS!$R$7:$R$1766,$C34&amp;AI$9,MATRIZCTAS!$AH$7:$AH$1766)</f>
        <v>0</v>
      </c>
      <c r="AJ34" s="895">
        <f>-SUMIF(MATRIZCTAS!$R$7:$R$1766,$C34&amp;AJ$9,MATRIZCTAS!$AH$7:$AH$1766)</f>
        <v>0</v>
      </c>
      <c r="AK34" s="895">
        <f>-SUMIF(MATRIZCTAS!$R$7:$R$1766,$C34&amp;AK$9,MATRIZCTAS!$AH$7:$AH$1766)</f>
        <v>0</v>
      </c>
      <c r="AL34" s="1465">
        <f>-SUMIF(MATRIZCTAS!$R$7:$R$1766,$C34&amp;AL$9,MATRIZCTAS!$AH$7:$AH$1766)</f>
        <v>0</v>
      </c>
    </row>
    <row r="35" spans="2:41" ht="20.100000000000001" customHeight="1">
      <c r="B35" s="148" t="s">
        <v>3273</v>
      </c>
      <c r="C35" s="1468">
        <v>6203140</v>
      </c>
      <c r="D35" s="153" t="s">
        <v>1474</v>
      </c>
      <c r="E35" s="154">
        <f t="shared" si="7"/>
        <v>-3702265</v>
      </c>
      <c r="F35" s="210">
        <f t="shared" si="9"/>
        <v>-3702265</v>
      </c>
      <c r="G35" s="438">
        <f>-742196</f>
        <v>-742196</v>
      </c>
      <c r="H35" s="438">
        <v>-443171</v>
      </c>
      <c r="I35" s="438"/>
      <c r="J35" s="438">
        <v>-497914</v>
      </c>
      <c r="K35" s="438">
        <v>0</v>
      </c>
      <c r="L35" s="438">
        <v>0</v>
      </c>
      <c r="M35" s="438">
        <v>0</v>
      </c>
      <c r="N35" s="438">
        <v>0</v>
      </c>
      <c r="O35" s="438">
        <v>0</v>
      </c>
      <c r="P35" s="438">
        <v>0</v>
      </c>
      <c r="Q35" s="438">
        <v>0</v>
      </c>
      <c r="R35" s="438">
        <v>-62599</v>
      </c>
      <c r="S35" s="154">
        <f>ROUND(S40-S31,0)</f>
        <v>0</v>
      </c>
      <c r="T35" s="154">
        <f>ROUND(T40-T31,0)</f>
        <v>0</v>
      </c>
      <c r="U35" s="154">
        <f>-2692488+1</f>
        <v>-2692487</v>
      </c>
      <c r="V35" s="154">
        <f>ROUND(V40-V31,0)</f>
        <v>0</v>
      </c>
      <c r="W35" s="154">
        <f>ROUND(W40-W31,0)</f>
        <v>0</v>
      </c>
      <c r="X35" s="154">
        <f>ROUND(X40-X31,0)</f>
        <v>0</v>
      </c>
      <c r="Y35" s="595">
        <v>342225</v>
      </c>
      <c r="Z35" s="154">
        <f>ROUND(Z40-Z31,0)</f>
        <v>0</v>
      </c>
      <c r="AA35" s="154">
        <f>ROUND(AA40-AA31,0)</f>
        <v>0</v>
      </c>
      <c r="AB35" s="154">
        <f>ROUND(AB40-AB31,0)</f>
        <v>0</v>
      </c>
      <c r="AC35" s="154">
        <v>-7241</v>
      </c>
      <c r="AD35" s="154">
        <f>ROUND(AD40-AD31,0)</f>
        <v>0</v>
      </c>
      <c r="AE35" s="154">
        <v>401118</v>
      </c>
      <c r="AF35" s="154">
        <f t="shared" ref="AF35:AL35" si="11">ROUND(AF40-AF31,0)</f>
        <v>0</v>
      </c>
      <c r="AG35" s="154">
        <f t="shared" si="11"/>
        <v>0</v>
      </c>
      <c r="AH35" s="154">
        <f>ROUND(AH40-AH31,0)</f>
        <v>0</v>
      </c>
      <c r="AI35" s="154">
        <f t="shared" si="11"/>
        <v>0</v>
      </c>
      <c r="AJ35" s="154">
        <f t="shared" si="11"/>
        <v>0</v>
      </c>
      <c r="AK35" s="408">
        <f t="shared" si="11"/>
        <v>0</v>
      </c>
      <c r="AL35" s="155">
        <f t="shared" si="11"/>
        <v>0</v>
      </c>
    </row>
    <row r="36" spans="2:41" ht="20.100000000000001" customHeight="1" thickBot="1">
      <c r="B36" s="1342" t="s">
        <v>3274</v>
      </c>
      <c r="C36" s="1343">
        <v>6203200</v>
      </c>
      <c r="D36" s="1344" t="s">
        <v>1475</v>
      </c>
      <c r="E36" s="1345">
        <f t="shared" si="7"/>
        <v>21709503.857238464</v>
      </c>
      <c r="F36" s="1345">
        <f t="shared" si="9"/>
        <v>21709503.857238464</v>
      </c>
      <c r="G36" s="1345">
        <f>SUM(G31:G35)</f>
        <v>3961218.4538080366</v>
      </c>
      <c r="H36" s="1345">
        <f t="shared" ref="H36:AL36" si="12">SUM(H31:H35)</f>
        <v>375469.64381495852</v>
      </c>
      <c r="I36" s="1345">
        <f t="shared" si="12"/>
        <v>0</v>
      </c>
      <c r="J36" s="1345">
        <f t="shared" si="12"/>
        <v>8171119.5263310391</v>
      </c>
      <c r="K36" s="1345">
        <f t="shared" si="12"/>
        <v>0</v>
      </c>
      <c r="L36" s="1345">
        <f t="shared" si="12"/>
        <v>0</v>
      </c>
      <c r="M36" s="1345">
        <f t="shared" si="12"/>
        <v>0</v>
      </c>
      <c r="N36" s="1345">
        <f t="shared" si="12"/>
        <v>0</v>
      </c>
      <c r="O36" s="1345">
        <f t="shared" si="12"/>
        <v>0</v>
      </c>
      <c r="P36" s="1345">
        <f t="shared" si="12"/>
        <v>0</v>
      </c>
      <c r="Q36" s="1345">
        <f t="shared" si="12"/>
        <v>0</v>
      </c>
      <c r="R36" s="1345">
        <f t="shared" si="12"/>
        <v>0.38286124132719124</v>
      </c>
      <c r="S36" s="1345">
        <f t="shared" si="12"/>
        <v>0</v>
      </c>
      <c r="T36" s="1345">
        <f t="shared" si="12"/>
        <v>0</v>
      </c>
      <c r="U36" s="1345">
        <f t="shared" si="12"/>
        <v>1668860.3578406414</v>
      </c>
      <c r="V36" s="1345">
        <f t="shared" si="12"/>
        <v>0</v>
      </c>
      <c r="W36" s="1345">
        <f t="shared" si="12"/>
        <v>0</v>
      </c>
      <c r="X36" s="1345">
        <f t="shared" si="12"/>
        <v>0</v>
      </c>
      <c r="Y36" s="1345">
        <f t="shared" si="12"/>
        <v>4359188.5107497387</v>
      </c>
      <c r="Z36" s="1345">
        <f t="shared" si="12"/>
        <v>0</v>
      </c>
      <c r="AA36" s="1345">
        <f t="shared" si="12"/>
        <v>0</v>
      </c>
      <c r="AB36" s="1345">
        <f t="shared" si="12"/>
        <v>0</v>
      </c>
      <c r="AC36" s="1345">
        <f t="shared" si="12"/>
        <v>9.4349025276642351E-2</v>
      </c>
      <c r="AD36" s="1345">
        <f t="shared" si="12"/>
        <v>0</v>
      </c>
      <c r="AE36" s="1345">
        <f t="shared" si="12"/>
        <v>3173646.8874837789</v>
      </c>
      <c r="AF36" s="1345">
        <f t="shared" si="12"/>
        <v>0</v>
      </c>
      <c r="AG36" s="1345">
        <f t="shared" si="12"/>
        <v>0</v>
      </c>
      <c r="AH36" s="1345">
        <f t="shared" si="12"/>
        <v>0</v>
      </c>
      <c r="AI36" s="1345">
        <f t="shared" si="12"/>
        <v>0</v>
      </c>
      <c r="AJ36" s="1345">
        <f t="shared" si="12"/>
        <v>0</v>
      </c>
      <c r="AK36" s="1346">
        <f t="shared" si="12"/>
        <v>0</v>
      </c>
      <c r="AL36" s="1347">
        <f t="shared" si="12"/>
        <v>0</v>
      </c>
    </row>
    <row r="38" spans="2:41" customFormat="1"/>
    <row r="40" spans="2:41">
      <c r="C40" s="159">
        <v>621200000</v>
      </c>
      <c r="D40" s="160" t="s">
        <v>1475</v>
      </c>
      <c r="E40" s="165">
        <f>SUM(G40:AL40)</f>
        <v>0</v>
      </c>
      <c r="F40" s="165"/>
      <c r="G40" s="161">
        <v>0</v>
      </c>
      <c r="H40" s="161">
        <v>0</v>
      </c>
      <c r="I40" s="161">
        <v>0</v>
      </c>
      <c r="J40" s="161">
        <v>0</v>
      </c>
      <c r="K40" s="161">
        <v>0</v>
      </c>
      <c r="L40" s="161">
        <v>0</v>
      </c>
      <c r="M40" s="161">
        <v>0</v>
      </c>
      <c r="N40" s="161">
        <v>0</v>
      </c>
      <c r="O40" s="161">
        <v>0</v>
      </c>
      <c r="P40" s="161">
        <v>0</v>
      </c>
      <c r="Q40" s="161">
        <v>0</v>
      </c>
      <c r="R40" s="161">
        <v>0</v>
      </c>
      <c r="S40" s="161">
        <v>0</v>
      </c>
      <c r="T40" s="161">
        <v>0</v>
      </c>
      <c r="U40" s="161">
        <v>0</v>
      </c>
      <c r="V40" s="161">
        <v>0</v>
      </c>
      <c r="W40" s="161">
        <v>0</v>
      </c>
      <c r="X40" s="161">
        <v>0</v>
      </c>
      <c r="Y40" s="161">
        <v>0</v>
      </c>
      <c r="Z40" s="161">
        <v>0</v>
      </c>
      <c r="AA40" s="161">
        <v>0</v>
      </c>
      <c r="AB40" s="161">
        <v>0</v>
      </c>
      <c r="AC40" s="161">
        <v>0</v>
      </c>
      <c r="AD40" s="161">
        <v>0</v>
      </c>
      <c r="AE40" s="161">
        <v>0</v>
      </c>
      <c r="AF40" s="161">
        <v>0</v>
      </c>
      <c r="AG40" s="161">
        <v>0</v>
      </c>
      <c r="AH40" s="161">
        <v>0</v>
      </c>
      <c r="AI40" s="161">
        <v>0</v>
      </c>
      <c r="AJ40" s="161">
        <v>0</v>
      </c>
      <c r="AK40" s="161">
        <v>0</v>
      </c>
      <c r="AL40" s="161">
        <v>0</v>
      </c>
    </row>
    <row r="41" spans="2:41">
      <c r="C41" s="162">
        <v>222.94030000000001</v>
      </c>
      <c r="D41" s="40" t="s">
        <v>3498</v>
      </c>
      <c r="E41" s="163"/>
      <c r="F41" s="163"/>
      <c r="G41" s="163"/>
      <c r="H41" s="163"/>
      <c r="I41" s="163"/>
      <c r="J41" s="163"/>
      <c r="K41" s="163"/>
      <c r="L41" s="163"/>
      <c r="M41" s="163"/>
      <c r="N41" s="163"/>
      <c r="O41" s="163"/>
      <c r="P41" s="163"/>
      <c r="Q41" s="163"/>
      <c r="R41" s="163"/>
      <c r="S41" s="163"/>
      <c r="T41" s="163"/>
      <c r="U41" s="163"/>
      <c r="V41" s="163"/>
      <c r="W41" s="163"/>
      <c r="X41" s="163"/>
      <c r="Y41" s="163"/>
      <c r="Z41" s="163"/>
      <c r="AA41" s="163"/>
      <c r="AB41" s="163"/>
      <c r="AC41" s="163"/>
      <c r="AD41" s="163"/>
      <c r="AE41" s="163"/>
      <c r="AF41" s="163"/>
      <c r="AG41" s="163"/>
      <c r="AH41" s="163"/>
      <c r="AI41" s="163"/>
      <c r="AJ41" s="163"/>
      <c r="AK41" s="163"/>
      <c r="AL41" s="163"/>
    </row>
    <row r="42" spans="2:41">
      <c r="C42" s="164" t="s">
        <v>266</v>
      </c>
      <c r="D42" s="36"/>
      <c r="E42" s="165">
        <f>SUM(G42:AL42)</f>
        <v>0</v>
      </c>
      <c r="F42" s="165"/>
      <c r="G42" s="163">
        <v>0</v>
      </c>
      <c r="H42" s="163">
        <v>0</v>
      </c>
      <c r="I42" s="163">
        <v>0</v>
      </c>
      <c r="J42" s="163">
        <v>0</v>
      </c>
      <c r="K42" s="163">
        <v>0</v>
      </c>
      <c r="L42" s="163">
        <v>0</v>
      </c>
      <c r="M42" s="163">
        <v>0</v>
      </c>
      <c r="N42" s="163">
        <v>0</v>
      </c>
      <c r="O42" s="163">
        <v>0</v>
      </c>
      <c r="P42" s="163">
        <v>0</v>
      </c>
      <c r="Q42" s="163">
        <v>0</v>
      </c>
      <c r="R42" s="163">
        <v>0</v>
      </c>
      <c r="S42" s="163">
        <v>0</v>
      </c>
      <c r="T42" s="163">
        <v>0</v>
      </c>
      <c r="U42" s="163">
        <v>0</v>
      </c>
      <c r="V42" s="163">
        <v>0</v>
      </c>
      <c r="W42" s="163">
        <v>0</v>
      </c>
      <c r="X42" s="163">
        <v>0</v>
      </c>
      <c r="Y42" s="163">
        <v>0</v>
      </c>
      <c r="Z42" s="163">
        <v>0</v>
      </c>
      <c r="AA42" s="163">
        <v>0</v>
      </c>
      <c r="AB42" s="163">
        <v>0</v>
      </c>
      <c r="AC42" s="163">
        <v>0</v>
      </c>
      <c r="AD42" s="163">
        <v>0</v>
      </c>
      <c r="AE42" s="163">
        <v>0</v>
      </c>
      <c r="AF42" s="163">
        <v>0</v>
      </c>
      <c r="AG42" s="163">
        <v>0</v>
      </c>
      <c r="AH42" s="163">
        <v>0</v>
      </c>
      <c r="AI42" s="163">
        <v>0</v>
      </c>
      <c r="AJ42" s="163">
        <v>0</v>
      </c>
      <c r="AK42" s="163">
        <v>0</v>
      </c>
      <c r="AL42" s="163">
        <v>0</v>
      </c>
      <c r="AM42" s="163" t="s">
        <v>1805</v>
      </c>
      <c r="AN42" s="163" t="s">
        <v>1805</v>
      </c>
      <c r="AO42" s="163" t="s">
        <v>1805</v>
      </c>
    </row>
    <row r="43" spans="2:41">
      <c r="E43" s="222"/>
      <c r="F43" s="222"/>
    </row>
    <row r="44" spans="2:41">
      <c r="C44" s="162">
        <v>226.27359999999999</v>
      </c>
      <c r="D44" s="40" t="s">
        <v>3497</v>
      </c>
      <c r="E44" s="222"/>
      <c r="F44" s="222"/>
      <c r="G44" s="222"/>
      <c r="H44" s="222"/>
      <c r="I44" s="222"/>
      <c r="J44" s="222"/>
    </row>
    <row r="45" spans="2:41">
      <c r="C45" s="164" t="s">
        <v>266</v>
      </c>
      <c r="D45" s="36"/>
      <c r="E45" s="165">
        <f>SUM(G45:AL45)</f>
        <v>21182429000</v>
      </c>
      <c r="F45" s="165"/>
      <c r="G45" s="163">
        <v>4391151000</v>
      </c>
      <c r="H45" s="163">
        <v>629878000</v>
      </c>
      <c r="I45" s="163">
        <v>0</v>
      </c>
      <c r="J45" s="163">
        <v>8118532000</v>
      </c>
      <c r="K45" s="163">
        <v>0</v>
      </c>
      <c r="L45" s="163">
        <v>0</v>
      </c>
      <c r="M45" s="163">
        <v>0</v>
      </c>
      <c r="N45" s="163">
        <v>0</v>
      </c>
      <c r="O45" s="163">
        <v>0</v>
      </c>
      <c r="P45" s="163">
        <v>0</v>
      </c>
      <c r="Q45" s="163">
        <v>0</v>
      </c>
      <c r="R45" s="163">
        <v>26043000</v>
      </c>
      <c r="S45" s="163">
        <v>0</v>
      </c>
      <c r="T45" s="163">
        <v>0</v>
      </c>
      <c r="U45" s="163">
        <v>1474655000</v>
      </c>
      <c r="V45" s="163">
        <v>0</v>
      </c>
      <c r="W45" s="163">
        <v>0</v>
      </c>
      <c r="X45" s="163">
        <v>0</v>
      </c>
      <c r="Y45" s="163">
        <v>3899299000</v>
      </c>
      <c r="Z45" s="163"/>
      <c r="AA45" s="163"/>
      <c r="AB45" s="163">
        <v>0</v>
      </c>
      <c r="AC45" s="163">
        <v>7029000</v>
      </c>
      <c r="AD45" s="163">
        <v>0</v>
      </c>
      <c r="AE45" s="163">
        <v>2635842000</v>
      </c>
      <c r="AF45" s="163">
        <v>0</v>
      </c>
      <c r="AG45" s="163">
        <v>0</v>
      </c>
      <c r="AH45" s="163">
        <v>0</v>
      </c>
      <c r="AI45" s="163">
        <v>0</v>
      </c>
      <c r="AJ45" s="163">
        <v>0</v>
      </c>
      <c r="AK45" s="163">
        <v>0</v>
      </c>
      <c r="AL45" s="163">
        <v>0</v>
      </c>
    </row>
  </sheetData>
  <mergeCells count="2">
    <mergeCell ref="B8:B9"/>
    <mergeCell ref="D8:D9"/>
  </mergeCells>
  <phoneticPr fontId="10" type="noConversion"/>
  <printOptions horizontalCentered="1"/>
  <pageMargins left="0" right="0" top="0" bottom="0" header="0" footer="0"/>
  <pageSetup paperSize="119" scale="90" orientation="landscape" r:id="rId1"/>
  <headerFooter alignWithMargins="0">
    <oddHeader>&amp;L&amp;"Times New Roman,Negrita Cursiva"&amp;9                                      Subgerencia Finanzas
                                      Depto.Contabilidad</oddHeader>
    <oddFooter>&amp;L&amp;"Times New Roman,Negrita Cursiva"&amp;9                                       &amp;F
                                      &amp;A
&amp;R&amp;"Times New Roman,Negrita Cursiva"&amp;9&amp;D
&amp;T</oddFooter>
  </headerFooter>
  <ignoredErrors>
    <ignoredError sqref="E15 V35:X36 S35:T36 S32 O36:Q36" evalError="1"/>
    <ignoredError sqref="U35" formula="1"/>
  </ignoredErrors>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7">
    <tabColor rgb="FF7030A0"/>
  </sheetPr>
  <dimension ref="A1:AN73"/>
  <sheetViews>
    <sheetView showGridLines="0" topLeftCell="A16" zoomScaleNormal="100" workbookViewId="0">
      <selection activeCell="AK15" sqref="AK15"/>
    </sheetView>
  </sheetViews>
  <sheetFormatPr baseColWidth="10" defaultRowHeight="9"/>
  <cols>
    <col min="1" max="1" width="12" style="166"/>
    <col min="2" max="2" width="16.33203125" style="166" bestFit="1" customWidth="1"/>
    <col min="3" max="3" width="15.83203125" style="166" customWidth="1"/>
    <col min="4" max="4" width="46.83203125" style="166" customWidth="1"/>
    <col min="5" max="38" width="13.83203125" style="166" customWidth="1"/>
    <col min="39" max="16384" width="12" style="166"/>
  </cols>
  <sheetData>
    <row r="1" spans="1:40" ht="29.25">
      <c r="A1" s="35" t="s">
        <v>1739</v>
      </c>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row>
    <row r="2" spans="1:40" ht="18.75" thickBot="1">
      <c r="A2" s="37" t="s">
        <v>1814</v>
      </c>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row>
    <row r="4" spans="1:40" ht="12.75">
      <c r="B4" s="167" t="s">
        <v>64</v>
      </c>
      <c r="E4" s="168">
        <f>+C_6.02!E4</f>
        <v>40909</v>
      </c>
      <c r="F4" s="168"/>
      <c r="G4" s="168">
        <f>+C_6.02!G4</f>
        <v>41121</v>
      </c>
      <c r="H4" s="168"/>
      <c r="I4" s="168"/>
      <c r="J4" s="168"/>
    </row>
    <row r="5" spans="1:40" ht="12.75">
      <c r="B5" s="167"/>
      <c r="E5" s="168"/>
      <c r="F5" s="168"/>
      <c r="G5" s="168"/>
      <c r="H5" s="168"/>
      <c r="I5" s="168"/>
      <c r="J5" s="168"/>
    </row>
    <row r="6" spans="1:40" ht="11.25">
      <c r="B6" s="41" t="s">
        <v>3386</v>
      </c>
      <c r="E6" s="168"/>
      <c r="F6" s="168"/>
      <c r="G6" s="168"/>
      <c r="H6" s="168"/>
      <c r="I6" s="168"/>
      <c r="J6" s="168"/>
    </row>
    <row r="7" spans="1:40" ht="9.75" thickBot="1"/>
    <row r="8" spans="1:40" ht="60" customHeight="1">
      <c r="B8" s="2801" t="s">
        <v>3372</v>
      </c>
      <c r="C8" s="131"/>
      <c r="D8" s="2806" t="s">
        <v>3387</v>
      </c>
      <c r="E8" s="132" t="str">
        <f t="shared" ref="E8:AL8" si="0">VLOOKUP(E9,SVRAMO,2,FALSE)</f>
        <v>TOTAL RAMOS</v>
      </c>
      <c r="F8" s="132" t="str">
        <f t="shared" si="0"/>
        <v>TOTAL SEGUROS NO PREVISIONALES</v>
      </c>
      <c r="G8" s="132" t="str">
        <f t="shared" si="0"/>
        <v>Vida Entera</v>
      </c>
      <c r="H8" s="132" t="str">
        <f t="shared" si="0"/>
        <v>Temporal de Vida</v>
      </c>
      <c r="I8" s="132" t="str">
        <f t="shared" si="0"/>
        <v>Otros Seguros con Cuenta Unica de Inversión (CUI)</v>
      </c>
      <c r="J8" s="132" t="str">
        <f t="shared" si="0"/>
        <v>Mixto o Dotal</v>
      </c>
      <c r="K8" s="132" t="str">
        <f t="shared" si="0"/>
        <v>Renta</v>
      </c>
      <c r="L8" s="132" t="str">
        <f t="shared" si="0"/>
        <v>Dotal Puro o Capital diferido</v>
      </c>
      <c r="M8" s="132" t="str">
        <f t="shared" si="0"/>
        <v>Protección Familiar</v>
      </c>
      <c r="N8" s="132" t="str">
        <f t="shared" si="0"/>
        <v>Incapacidad o Invalidez</v>
      </c>
      <c r="O8" s="132" t="str">
        <f t="shared" si="0"/>
        <v>Salud</v>
      </c>
      <c r="P8" s="132" t="str">
        <f t="shared" si="0"/>
        <v>Accidentes Personales</v>
      </c>
      <c r="Q8" s="132" t="str">
        <f t="shared" si="0"/>
        <v>Asistencia</v>
      </c>
      <c r="R8" s="132" t="str">
        <f t="shared" si="0"/>
        <v>Desgravamen</v>
      </c>
      <c r="S8" s="132" t="str">
        <f t="shared" si="0"/>
        <v>SOAP</v>
      </c>
      <c r="T8" s="132" t="str">
        <f t="shared" si="0"/>
        <v>Seguros con Ahorro Previsional Voluntario (APV)</v>
      </c>
      <c r="U8" s="132" t="str">
        <f t="shared" si="0"/>
        <v>Vida Entera</v>
      </c>
      <c r="V8" s="132" t="str">
        <f t="shared" si="0"/>
        <v>Temporal de Vida</v>
      </c>
      <c r="W8" s="132" t="str">
        <f t="shared" si="0"/>
        <v>Otros Seguros con Cuenta Unica de Inversión (CUI)</v>
      </c>
      <c r="X8" s="132" t="str">
        <f t="shared" si="0"/>
        <v>Mixto o Dotal</v>
      </c>
      <c r="Y8" s="132" t="str">
        <f t="shared" si="0"/>
        <v>Renta</v>
      </c>
      <c r="Z8" s="132" t="str">
        <f t="shared" si="0"/>
        <v>Dotal Puro o Capital Diferido</v>
      </c>
      <c r="AA8" s="132" t="str">
        <f t="shared" si="0"/>
        <v>Protección Familiar</v>
      </c>
      <c r="AB8" s="132" t="str">
        <f t="shared" si="0"/>
        <v>Incapacidad o Invalidez</v>
      </c>
      <c r="AC8" s="132" t="str">
        <f t="shared" si="0"/>
        <v>Salud</v>
      </c>
      <c r="AD8" s="132" t="str">
        <f t="shared" si="0"/>
        <v>Accidentes Personales</v>
      </c>
      <c r="AE8" s="132" t="str">
        <f t="shared" si="0"/>
        <v>Asistencia</v>
      </c>
      <c r="AF8" s="132" t="str">
        <f t="shared" si="0"/>
        <v>Desgravamen</v>
      </c>
      <c r="AG8" s="132" t="str">
        <f t="shared" si="0"/>
        <v>Seguros con Ahorro Previsional Voluntario (APV)</v>
      </c>
      <c r="AH8" s="132" t="str">
        <f t="shared" si="0"/>
        <v>Seguro de AFP</v>
      </c>
      <c r="AI8" s="132" t="str">
        <f t="shared" si="0"/>
        <v>Renta Vitalicia Vejez</v>
      </c>
      <c r="AJ8" s="132" t="str">
        <f t="shared" si="0"/>
        <v>Renta Vitalicia Invalidez</v>
      </c>
      <c r="AK8" s="132" t="str">
        <f t="shared" si="0"/>
        <v>Renta Vitalicia Sobrevivencia</v>
      </c>
      <c r="AL8" s="132" t="str">
        <f t="shared" si="0"/>
        <v>Invalidez y Sobrevivencia</v>
      </c>
    </row>
    <row r="9" spans="1:40" ht="13.5" thickBot="1">
      <c r="B9" s="2805"/>
      <c r="C9" s="169"/>
      <c r="D9" s="2807"/>
      <c r="E9" s="170">
        <v>999</v>
      </c>
      <c r="F9" s="170">
        <v>300</v>
      </c>
      <c r="G9" s="170">
        <v>101</v>
      </c>
      <c r="H9" s="170">
        <v>102</v>
      </c>
      <c r="I9" s="170">
        <v>103</v>
      </c>
      <c r="J9" s="170">
        <v>104</v>
      </c>
      <c r="K9" s="170">
        <v>105</v>
      </c>
      <c r="L9" s="170">
        <v>106</v>
      </c>
      <c r="M9" s="170">
        <v>107</v>
      </c>
      <c r="N9" s="170">
        <v>108</v>
      </c>
      <c r="O9" s="170">
        <v>109</v>
      </c>
      <c r="P9" s="170">
        <v>110</v>
      </c>
      <c r="Q9" s="170">
        <v>111</v>
      </c>
      <c r="R9" s="170">
        <v>112</v>
      </c>
      <c r="S9" s="170">
        <v>113</v>
      </c>
      <c r="T9" s="170">
        <v>114</v>
      </c>
      <c r="U9" s="170">
        <v>201</v>
      </c>
      <c r="V9" s="170">
        <v>202</v>
      </c>
      <c r="W9" s="170">
        <v>203</v>
      </c>
      <c r="X9" s="170">
        <v>204</v>
      </c>
      <c r="Y9" s="170">
        <v>205</v>
      </c>
      <c r="Z9" s="170">
        <v>206</v>
      </c>
      <c r="AA9" s="170">
        <v>207</v>
      </c>
      <c r="AB9" s="170">
        <v>208</v>
      </c>
      <c r="AC9" s="170">
        <v>209</v>
      </c>
      <c r="AD9" s="170">
        <v>210</v>
      </c>
      <c r="AE9" s="170">
        <v>211</v>
      </c>
      <c r="AF9" s="170">
        <v>212</v>
      </c>
      <c r="AG9" s="170">
        <v>213</v>
      </c>
      <c r="AH9" s="170">
        <v>420</v>
      </c>
      <c r="AI9" s="170">
        <v>421</v>
      </c>
      <c r="AJ9" s="170">
        <v>422</v>
      </c>
      <c r="AK9" s="170">
        <v>423</v>
      </c>
      <c r="AL9" s="170">
        <v>424</v>
      </c>
    </row>
    <row r="10" spans="1:40" ht="13.5" thickBot="1">
      <c r="B10" s="1348"/>
      <c r="C10" s="1349"/>
      <c r="D10" s="1350"/>
      <c r="E10" s="1351"/>
      <c r="F10" s="1351"/>
      <c r="G10" s="1351"/>
      <c r="H10" s="1351"/>
      <c r="I10" s="1351"/>
      <c r="J10" s="1351"/>
      <c r="K10" s="1351"/>
      <c r="L10" s="1351"/>
      <c r="M10" s="1351"/>
      <c r="N10" s="1351"/>
      <c r="O10" s="1351"/>
      <c r="P10" s="1351"/>
      <c r="Q10" s="1351"/>
      <c r="R10" s="1351"/>
      <c r="S10" s="1351"/>
      <c r="T10" s="1351"/>
      <c r="U10" s="1351"/>
      <c r="V10" s="1351"/>
      <c r="W10" s="1351"/>
      <c r="X10" s="1351"/>
      <c r="Y10" s="1351"/>
      <c r="Z10" s="1351"/>
      <c r="AA10" s="1351"/>
      <c r="AB10" s="1351"/>
      <c r="AC10" s="1351"/>
      <c r="AD10" s="1351"/>
      <c r="AE10" s="1351"/>
      <c r="AF10" s="1351"/>
      <c r="AG10" s="1351"/>
      <c r="AH10" s="1351"/>
      <c r="AI10" s="1351"/>
      <c r="AJ10" s="1351"/>
      <c r="AK10" s="1351"/>
      <c r="AL10" s="1351"/>
    </row>
    <row r="11" spans="1:40" s="171" customFormat="1" ht="20.100000000000001" customHeight="1">
      <c r="B11" s="208" t="s">
        <v>3275</v>
      </c>
      <c r="C11" s="1265">
        <v>6350100</v>
      </c>
      <c r="D11" s="209" t="s">
        <v>126</v>
      </c>
      <c r="E11" s="210">
        <f>SUM(G11:AL11)</f>
        <v>20257412.659355216</v>
      </c>
      <c r="F11" s="210">
        <f>SUM(G11:AG11)</f>
        <v>21282234.098516285</v>
      </c>
      <c r="G11" s="210">
        <f>SUM(G12,G13)</f>
        <v>119599.12291205314</v>
      </c>
      <c r="H11" s="683">
        <f>SUM(H12,H13)</f>
        <v>40887.468962767161</v>
      </c>
      <c r="I11" s="683">
        <f>SUM(I12,I13)</f>
        <v>2023965.6833403383</v>
      </c>
      <c r="J11" s="210">
        <f>SUM(J12,J13)</f>
        <v>420445.69674168376</v>
      </c>
      <c r="K11" s="210">
        <f t="shared" ref="K11:AL11" si="1">SUM(K12,K13)</f>
        <v>0</v>
      </c>
      <c r="L11" s="210">
        <f t="shared" si="1"/>
        <v>0</v>
      </c>
      <c r="M11" s="210">
        <f t="shared" si="1"/>
        <v>0</v>
      </c>
      <c r="N11" s="210">
        <f t="shared" si="1"/>
        <v>89.204062701987908</v>
      </c>
      <c r="O11" s="210">
        <f t="shared" si="1"/>
        <v>42516.779131453572</v>
      </c>
      <c r="P11" s="210">
        <f t="shared" si="1"/>
        <v>28324.435039784184</v>
      </c>
      <c r="Q11" s="210">
        <f t="shared" si="1"/>
        <v>0</v>
      </c>
      <c r="R11" s="210">
        <f t="shared" si="1"/>
        <v>121.58754384021188</v>
      </c>
      <c r="S11" s="210"/>
      <c r="T11" s="210">
        <f t="shared" si="1"/>
        <v>-285.32955145390952</v>
      </c>
      <c r="U11" s="210">
        <f t="shared" si="1"/>
        <v>0</v>
      </c>
      <c r="V11" s="210">
        <f t="shared" si="1"/>
        <v>3255453.8033460076</v>
      </c>
      <c r="W11" s="210">
        <f t="shared" si="1"/>
        <v>0</v>
      </c>
      <c r="X11" s="210">
        <f t="shared" si="1"/>
        <v>0</v>
      </c>
      <c r="Y11" s="210">
        <f t="shared" si="1"/>
        <v>0</v>
      </c>
      <c r="Z11" s="210">
        <f t="shared" si="1"/>
        <v>0</v>
      </c>
      <c r="AA11" s="683">
        <f t="shared" si="1"/>
        <v>222591.57827185123</v>
      </c>
      <c r="AB11" s="683">
        <f t="shared" si="1"/>
        <v>0</v>
      </c>
      <c r="AC11" s="210">
        <f t="shared" si="1"/>
        <v>13357639.57126594</v>
      </c>
      <c r="AD11" s="210">
        <f t="shared" si="1"/>
        <v>62310.388020918603</v>
      </c>
      <c r="AE11" s="210">
        <f t="shared" si="1"/>
        <v>0</v>
      </c>
      <c r="AF11" s="210">
        <f t="shared" si="1"/>
        <v>1230350.1094283985</v>
      </c>
      <c r="AG11" s="210">
        <f t="shared" si="1"/>
        <v>478224</v>
      </c>
      <c r="AH11" s="210">
        <f t="shared" si="1"/>
        <v>-1024821.4391610678</v>
      </c>
      <c r="AI11" s="210">
        <f t="shared" si="1"/>
        <v>0</v>
      </c>
      <c r="AJ11" s="210">
        <f t="shared" si="1"/>
        <v>0</v>
      </c>
      <c r="AK11" s="1291">
        <f t="shared" si="1"/>
        <v>0</v>
      </c>
      <c r="AL11" s="211">
        <f t="shared" si="1"/>
        <v>0</v>
      </c>
    </row>
    <row r="12" spans="1:40" ht="20.100000000000001" customHeight="1">
      <c r="B12" s="172" t="s">
        <v>3276</v>
      </c>
      <c r="C12" s="173">
        <v>6350110</v>
      </c>
      <c r="D12" s="153" t="s">
        <v>1487</v>
      </c>
      <c r="E12" s="1363">
        <f>SUM(G12:AL12)</f>
        <v>27444009.5</v>
      </c>
      <c r="F12" s="1363">
        <f>SUM(G12:AG12)</f>
        <v>19755102.5</v>
      </c>
      <c r="G12" s="174">
        <f>+G17</f>
        <v>118614.5</v>
      </c>
      <c r="H12" s="682">
        <f t="shared" ref="H12:AL12" si="2">+H17</f>
        <v>-39497</v>
      </c>
      <c r="I12" s="682">
        <f t="shared" si="2"/>
        <v>1998843</v>
      </c>
      <c r="J12" s="174">
        <f t="shared" si="2"/>
        <v>419714</v>
      </c>
      <c r="K12" s="174">
        <f t="shared" si="2"/>
        <v>0</v>
      </c>
      <c r="L12" s="174">
        <f t="shared" si="2"/>
        <v>0</v>
      </c>
      <c r="M12" s="174">
        <f t="shared" si="2"/>
        <v>0</v>
      </c>
      <c r="N12" s="174">
        <f t="shared" si="2"/>
        <v>0</v>
      </c>
      <c r="O12" s="174">
        <f t="shared" si="2"/>
        <v>55535</v>
      </c>
      <c r="P12" s="174">
        <f t="shared" si="2"/>
        <v>20654</v>
      </c>
      <c r="Q12" s="174">
        <f t="shared" si="2"/>
        <v>0</v>
      </c>
      <c r="R12" s="174">
        <f t="shared" si="2"/>
        <v>0</v>
      </c>
      <c r="S12" s="174"/>
      <c r="T12" s="174">
        <f t="shared" si="2"/>
        <v>0</v>
      </c>
      <c r="U12" s="174">
        <f t="shared" si="2"/>
        <v>0</v>
      </c>
      <c r="V12" s="174">
        <f t="shared" si="2"/>
        <v>3208263</v>
      </c>
      <c r="W12" s="174">
        <f t="shared" si="2"/>
        <v>0</v>
      </c>
      <c r="X12" s="174">
        <f t="shared" si="2"/>
        <v>0</v>
      </c>
      <c r="Y12" s="174">
        <f t="shared" si="2"/>
        <v>0</v>
      </c>
      <c r="Z12" s="174">
        <f t="shared" si="2"/>
        <v>0</v>
      </c>
      <c r="AA12" s="174">
        <f t="shared" si="2"/>
        <v>191352</v>
      </c>
      <c r="AB12" s="174">
        <f t="shared" si="2"/>
        <v>0</v>
      </c>
      <c r="AC12" s="174">
        <f t="shared" si="2"/>
        <v>12467211</v>
      </c>
      <c r="AD12" s="174">
        <f t="shared" si="2"/>
        <v>57812</v>
      </c>
      <c r="AE12" s="174">
        <f t="shared" si="2"/>
        <v>0</v>
      </c>
      <c r="AF12" s="174">
        <f t="shared" si="2"/>
        <v>778377</v>
      </c>
      <c r="AG12" s="174">
        <f t="shared" si="2"/>
        <v>478224</v>
      </c>
      <c r="AH12" s="174">
        <f t="shared" si="2"/>
        <v>7688907</v>
      </c>
      <c r="AI12" s="174">
        <f t="shared" si="2"/>
        <v>0</v>
      </c>
      <c r="AJ12" s="174">
        <f t="shared" si="2"/>
        <v>0</v>
      </c>
      <c r="AK12" s="409">
        <f t="shared" si="2"/>
        <v>0</v>
      </c>
      <c r="AL12" s="175">
        <f t="shared" si="2"/>
        <v>0</v>
      </c>
    </row>
    <row r="13" spans="1:40" ht="20.100000000000001" customHeight="1" thickBot="1">
      <c r="B13" s="1352" t="s">
        <v>3277</v>
      </c>
      <c r="C13" s="1353">
        <v>6350120</v>
      </c>
      <c r="D13" s="1317" t="s">
        <v>34</v>
      </c>
      <c r="E13" s="1363">
        <f>SUM(G13:AL13)</f>
        <v>-7186596.8406447843</v>
      </c>
      <c r="F13" s="210">
        <f>SUM(G13:AG13)</f>
        <v>1527131.598516284</v>
      </c>
      <c r="G13" s="1354">
        <f t="shared" ref="G13:R13" si="3">G33-G44</f>
        <v>984.62291205313659</v>
      </c>
      <c r="H13" s="1354">
        <f t="shared" si="3"/>
        <v>80384.468962767161</v>
      </c>
      <c r="I13" s="1354">
        <f t="shared" si="3"/>
        <v>25122.68334033819</v>
      </c>
      <c r="J13" s="1354">
        <f t="shared" si="3"/>
        <v>731.69674168375991</v>
      </c>
      <c r="K13" s="1354">
        <f t="shared" si="3"/>
        <v>0</v>
      </c>
      <c r="L13" s="1354">
        <f t="shared" si="3"/>
        <v>0</v>
      </c>
      <c r="M13" s="1354">
        <f t="shared" si="3"/>
        <v>0</v>
      </c>
      <c r="N13" s="1354">
        <f t="shared" si="3"/>
        <v>89.204062701987908</v>
      </c>
      <c r="O13" s="1354">
        <f t="shared" si="3"/>
        <v>-13018.220868546428</v>
      </c>
      <c r="P13" s="1354">
        <f t="shared" si="3"/>
        <v>7670.4350397841845</v>
      </c>
      <c r="Q13" s="1354">
        <f t="shared" si="3"/>
        <v>0</v>
      </c>
      <c r="R13" s="1354">
        <f t="shared" si="3"/>
        <v>121.58754384021188</v>
      </c>
      <c r="S13" s="1354"/>
      <c r="T13" s="1354">
        <f t="shared" ref="T13:AL13" si="4">T33-T44</f>
        <v>-285.32955145390952</v>
      </c>
      <c r="U13" s="1354">
        <f t="shared" si="4"/>
        <v>0</v>
      </c>
      <c r="V13" s="1354">
        <f t="shared" si="4"/>
        <v>47190.803346007597</v>
      </c>
      <c r="W13" s="1354">
        <f t="shared" si="4"/>
        <v>0</v>
      </c>
      <c r="X13" s="1354">
        <f t="shared" si="4"/>
        <v>0</v>
      </c>
      <c r="Y13" s="1354">
        <f t="shared" si="4"/>
        <v>0</v>
      </c>
      <c r="Z13" s="1354">
        <f t="shared" si="4"/>
        <v>0</v>
      </c>
      <c r="AA13" s="1354">
        <f t="shared" si="4"/>
        <v>31239.578271851235</v>
      </c>
      <c r="AB13" s="1354">
        <f t="shared" si="4"/>
        <v>0</v>
      </c>
      <c r="AC13" s="1354">
        <f t="shared" si="4"/>
        <v>890428.57126593962</v>
      </c>
      <c r="AD13" s="1354">
        <f t="shared" si="4"/>
        <v>4498.3880209186027</v>
      </c>
      <c r="AE13" s="1354">
        <f t="shared" si="4"/>
        <v>0</v>
      </c>
      <c r="AF13" s="1354">
        <f t="shared" si="4"/>
        <v>451973.10942839854</v>
      </c>
      <c r="AG13" s="1354">
        <f t="shared" si="4"/>
        <v>0</v>
      </c>
      <c r="AH13" s="1354">
        <f t="shared" si="4"/>
        <v>-8713728.4391610678</v>
      </c>
      <c r="AI13" s="1354">
        <f t="shared" si="4"/>
        <v>0</v>
      </c>
      <c r="AJ13" s="1354">
        <f t="shared" si="4"/>
        <v>0</v>
      </c>
      <c r="AK13" s="1355">
        <f t="shared" si="4"/>
        <v>0</v>
      </c>
      <c r="AL13" s="1356">
        <f t="shared" si="4"/>
        <v>0</v>
      </c>
    </row>
    <row r="14" spans="1:40" ht="20.100000000000001" customHeight="1" thickBot="1">
      <c r="B14" s="1358"/>
      <c r="C14" s="1359"/>
      <c r="D14" s="1360"/>
      <c r="E14" s="1361"/>
      <c r="F14" s="1361"/>
      <c r="G14" s="1362"/>
      <c r="H14" s="1362"/>
      <c r="I14" s="1362"/>
      <c r="J14" s="1362"/>
      <c r="K14" s="1362"/>
      <c r="L14" s="1362"/>
      <c r="M14" s="1362"/>
      <c r="N14" s="1362"/>
      <c r="O14" s="1362"/>
      <c r="P14" s="1362"/>
      <c r="Q14" s="1362"/>
      <c r="R14" s="1362"/>
      <c r="S14" s="1362"/>
      <c r="T14" s="1362"/>
      <c r="U14" s="1362"/>
      <c r="V14" s="1362"/>
      <c r="W14" s="1362"/>
      <c r="X14" s="1362"/>
      <c r="Y14" s="1362"/>
      <c r="Z14" s="1362"/>
      <c r="AA14" s="1362"/>
      <c r="AB14" s="1362"/>
      <c r="AC14" s="1362"/>
      <c r="AD14" s="1362"/>
      <c r="AE14" s="1362"/>
      <c r="AF14" s="1362"/>
      <c r="AG14" s="1362"/>
      <c r="AH14" s="1362"/>
      <c r="AI14" s="1362"/>
      <c r="AJ14" s="1362"/>
      <c r="AK14" s="1362"/>
      <c r="AL14" s="1362"/>
    </row>
    <row r="15" spans="1:40" s="171" customFormat="1" ht="20.100000000000001" customHeight="1">
      <c r="B15" s="208" t="s">
        <v>3278</v>
      </c>
      <c r="C15" s="1265">
        <v>6350000</v>
      </c>
      <c r="D15" s="209" t="s">
        <v>126</v>
      </c>
      <c r="E15" s="1357">
        <f>SUM(G15:AL15)</f>
        <v>20257412.659355216</v>
      </c>
      <c r="F15" s="210">
        <f>SUM(G15:AG15)</f>
        <v>21282234.098516285</v>
      </c>
      <c r="G15" s="210">
        <f t="shared" ref="G15:R15" si="5">SUM(G17,G33,-G44)</f>
        <v>119599.12291205314</v>
      </c>
      <c r="H15" s="683">
        <f t="shared" si="5"/>
        <v>40887.468962767161</v>
      </c>
      <c r="I15" s="683">
        <f t="shared" si="5"/>
        <v>2023965.6833403383</v>
      </c>
      <c r="J15" s="210">
        <f t="shared" si="5"/>
        <v>420445.69674168376</v>
      </c>
      <c r="K15" s="210">
        <f t="shared" si="5"/>
        <v>0</v>
      </c>
      <c r="L15" s="210">
        <f t="shared" si="5"/>
        <v>0</v>
      </c>
      <c r="M15" s="210">
        <f t="shared" si="5"/>
        <v>0</v>
      </c>
      <c r="N15" s="210">
        <f t="shared" si="5"/>
        <v>89.204062701987908</v>
      </c>
      <c r="O15" s="210">
        <f t="shared" si="5"/>
        <v>42516.779131453572</v>
      </c>
      <c r="P15" s="210">
        <f t="shared" si="5"/>
        <v>28324.435039784184</v>
      </c>
      <c r="Q15" s="210">
        <f t="shared" si="5"/>
        <v>0</v>
      </c>
      <c r="R15" s="210">
        <f t="shared" si="5"/>
        <v>121.58754384021188</v>
      </c>
      <c r="S15" s="210"/>
      <c r="T15" s="210">
        <f t="shared" ref="T15:AL15" si="6">SUM(T17,T33,-T44)</f>
        <v>-285.32955145390952</v>
      </c>
      <c r="U15" s="210">
        <f t="shared" si="6"/>
        <v>0</v>
      </c>
      <c r="V15" s="210">
        <f t="shared" si="6"/>
        <v>3255453.8033460076</v>
      </c>
      <c r="W15" s="210">
        <f t="shared" si="6"/>
        <v>0</v>
      </c>
      <c r="X15" s="210">
        <f t="shared" si="6"/>
        <v>0</v>
      </c>
      <c r="Y15" s="210">
        <f t="shared" si="6"/>
        <v>0</v>
      </c>
      <c r="Z15" s="210">
        <f t="shared" si="6"/>
        <v>0</v>
      </c>
      <c r="AA15" s="210">
        <f t="shared" si="6"/>
        <v>222591.57827185123</v>
      </c>
      <c r="AB15" s="210">
        <f t="shared" si="6"/>
        <v>0</v>
      </c>
      <c r="AC15" s="210">
        <f t="shared" si="6"/>
        <v>13357639.57126594</v>
      </c>
      <c r="AD15" s="210">
        <f t="shared" si="6"/>
        <v>62310.388020918603</v>
      </c>
      <c r="AE15" s="210">
        <f t="shared" si="6"/>
        <v>0</v>
      </c>
      <c r="AF15" s="210">
        <f t="shared" si="6"/>
        <v>1230350.1094283985</v>
      </c>
      <c r="AG15" s="210">
        <f t="shared" si="6"/>
        <v>478224</v>
      </c>
      <c r="AH15" s="210">
        <f t="shared" si="6"/>
        <v>-1024821.4391610678</v>
      </c>
      <c r="AI15" s="210">
        <f t="shared" si="6"/>
        <v>0</v>
      </c>
      <c r="AJ15" s="210">
        <f t="shared" si="6"/>
        <v>0</v>
      </c>
      <c r="AK15" s="1291">
        <f t="shared" si="6"/>
        <v>0</v>
      </c>
      <c r="AL15" s="211">
        <f t="shared" si="6"/>
        <v>0</v>
      </c>
    </row>
    <row r="16" spans="1:40" s="171" customFormat="1" ht="13.5" customHeight="1">
      <c r="B16" s="208"/>
      <c r="C16" s="1265"/>
      <c r="D16" s="209"/>
      <c r="E16" s="1357"/>
      <c r="F16" s="1357"/>
      <c r="G16" s="210"/>
      <c r="H16" s="683"/>
      <c r="I16" s="683"/>
      <c r="J16" s="210"/>
      <c r="K16" s="210"/>
      <c r="L16" s="210"/>
      <c r="M16" s="210"/>
      <c r="N16" s="210"/>
      <c r="O16" s="210"/>
      <c r="P16" s="210"/>
      <c r="Q16" s="210"/>
      <c r="R16" s="210"/>
      <c r="S16" s="210"/>
      <c r="T16" s="210"/>
      <c r="U16" s="210"/>
      <c r="V16" s="210"/>
      <c r="W16" s="210"/>
      <c r="X16" s="210"/>
      <c r="Y16" s="210"/>
      <c r="Z16" s="210"/>
      <c r="AA16" s="210"/>
      <c r="AB16" s="210"/>
      <c r="AC16" s="210"/>
      <c r="AD16" s="210"/>
      <c r="AE16" s="210"/>
      <c r="AF16" s="210"/>
      <c r="AG16" s="210"/>
      <c r="AH16" s="210"/>
      <c r="AI16" s="210"/>
      <c r="AJ16" s="210"/>
      <c r="AK16" s="1291"/>
      <c r="AL16" s="211"/>
    </row>
    <row r="17" spans="2:40" s="171" customFormat="1" ht="20.100000000000001" customHeight="1">
      <c r="B17" s="176" t="s">
        <v>3279</v>
      </c>
      <c r="C17" s="156">
        <v>6351000</v>
      </c>
      <c r="D17" s="145" t="s">
        <v>1487</v>
      </c>
      <c r="E17" s="1357">
        <f>SUM(G17:AL17)</f>
        <v>27444009.5</v>
      </c>
      <c r="F17" s="210">
        <f>SUM(G17:AG17)</f>
        <v>19755102.5</v>
      </c>
      <c r="G17" s="146">
        <f>SUM(G18,G28,G24)</f>
        <v>118614.5</v>
      </c>
      <c r="H17" s="685">
        <f t="shared" ref="H17:AL17" si="7">SUM(H18,H28,H24)</f>
        <v>-39497</v>
      </c>
      <c r="I17" s="685">
        <f t="shared" si="7"/>
        <v>1998843</v>
      </c>
      <c r="J17" s="146">
        <f t="shared" si="7"/>
        <v>419714</v>
      </c>
      <c r="K17" s="146">
        <f t="shared" si="7"/>
        <v>0</v>
      </c>
      <c r="L17" s="146">
        <f t="shared" si="7"/>
        <v>0</v>
      </c>
      <c r="M17" s="146">
        <f t="shared" si="7"/>
        <v>0</v>
      </c>
      <c r="N17" s="146">
        <f t="shared" si="7"/>
        <v>0</v>
      </c>
      <c r="O17" s="146">
        <f t="shared" si="7"/>
        <v>55535</v>
      </c>
      <c r="P17" s="146">
        <f t="shared" si="7"/>
        <v>20654</v>
      </c>
      <c r="Q17" s="146">
        <f t="shared" si="7"/>
        <v>0</v>
      </c>
      <c r="R17" s="146">
        <f t="shared" si="7"/>
        <v>0</v>
      </c>
      <c r="S17" s="146"/>
      <c r="T17" s="146">
        <f t="shared" si="7"/>
        <v>0</v>
      </c>
      <c r="U17" s="146">
        <f t="shared" si="7"/>
        <v>0</v>
      </c>
      <c r="V17" s="146">
        <f t="shared" si="7"/>
        <v>3208263</v>
      </c>
      <c r="W17" s="146">
        <f t="shared" si="7"/>
        <v>0</v>
      </c>
      <c r="X17" s="146">
        <f t="shared" si="7"/>
        <v>0</v>
      </c>
      <c r="Y17" s="146">
        <f t="shared" si="7"/>
        <v>0</v>
      </c>
      <c r="Z17" s="146">
        <f t="shared" si="7"/>
        <v>0</v>
      </c>
      <c r="AA17" s="146">
        <f t="shared" si="7"/>
        <v>191352</v>
      </c>
      <c r="AB17" s="146">
        <f t="shared" si="7"/>
        <v>0</v>
      </c>
      <c r="AC17" s="146">
        <f t="shared" si="7"/>
        <v>12467211</v>
      </c>
      <c r="AD17" s="146">
        <f t="shared" si="7"/>
        <v>57812</v>
      </c>
      <c r="AE17" s="146">
        <f t="shared" si="7"/>
        <v>0</v>
      </c>
      <c r="AF17" s="146">
        <f t="shared" si="7"/>
        <v>778377</v>
      </c>
      <c r="AG17" s="146">
        <f t="shared" si="7"/>
        <v>478224</v>
      </c>
      <c r="AH17" s="146">
        <f t="shared" si="7"/>
        <v>7688907</v>
      </c>
      <c r="AI17" s="146">
        <f t="shared" si="7"/>
        <v>0</v>
      </c>
      <c r="AJ17" s="146">
        <f t="shared" si="7"/>
        <v>0</v>
      </c>
      <c r="AK17" s="406">
        <f t="shared" si="7"/>
        <v>0</v>
      </c>
      <c r="AL17" s="178">
        <f t="shared" si="7"/>
        <v>0</v>
      </c>
    </row>
    <row r="18" spans="2:40" s="171" customFormat="1" ht="20.100000000000001" customHeight="1">
      <c r="B18" s="172" t="s">
        <v>3280</v>
      </c>
      <c r="C18" s="179">
        <v>6351100</v>
      </c>
      <c r="D18" s="158" t="s">
        <v>1015</v>
      </c>
      <c r="E18" s="1364">
        <f>SUM(G18:AL18)</f>
        <v>28588918.5</v>
      </c>
      <c r="F18" s="210">
        <f t="shared" ref="F18:F44" si="8">SUM(G18:AG18)</f>
        <v>20900011.5</v>
      </c>
      <c r="G18" s="180">
        <f>SUM(G19:G23)</f>
        <v>118614.5</v>
      </c>
      <c r="H18" s="700">
        <f t="shared" ref="H18:AL18" si="9">SUM(H19:H23)</f>
        <v>7832</v>
      </c>
      <c r="I18" s="700">
        <f t="shared" si="9"/>
        <v>2017347</v>
      </c>
      <c r="J18" s="180">
        <f t="shared" si="9"/>
        <v>419714</v>
      </c>
      <c r="K18" s="180">
        <f t="shared" si="9"/>
        <v>0</v>
      </c>
      <c r="L18" s="180">
        <f t="shared" si="9"/>
        <v>0</v>
      </c>
      <c r="M18" s="180">
        <f t="shared" si="9"/>
        <v>0</v>
      </c>
      <c r="N18" s="180">
        <f t="shared" si="9"/>
        <v>0</v>
      </c>
      <c r="O18" s="180">
        <f t="shared" si="9"/>
        <v>306832</v>
      </c>
      <c r="P18" s="180">
        <f t="shared" si="9"/>
        <v>31921</v>
      </c>
      <c r="Q18" s="180">
        <f t="shared" si="9"/>
        <v>0</v>
      </c>
      <c r="R18" s="180">
        <f t="shared" si="9"/>
        <v>0</v>
      </c>
      <c r="S18" s="180"/>
      <c r="T18" s="180">
        <f t="shared" si="9"/>
        <v>0</v>
      </c>
      <c r="U18" s="180">
        <f t="shared" si="9"/>
        <v>0</v>
      </c>
      <c r="V18" s="180">
        <f t="shared" si="9"/>
        <v>3705974</v>
      </c>
      <c r="W18" s="180">
        <f t="shared" si="9"/>
        <v>0</v>
      </c>
      <c r="X18" s="180">
        <f t="shared" si="9"/>
        <v>0</v>
      </c>
      <c r="Y18" s="180">
        <f t="shared" si="9"/>
        <v>0</v>
      </c>
      <c r="Z18" s="180">
        <f t="shared" si="9"/>
        <v>0</v>
      </c>
      <c r="AA18" s="180">
        <f t="shared" si="9"/>
        <v>191352</v>
      </c>
      <c r="AB18" s="180">
        <f t="shared" si="9"/>
        <v>0</v>
      </c>
      <c r="AC18" s="180">
        <f t="shared" si="9"/>
        <v>12533294</v>
      </c>
      <c r="AD18" s="180">
        <f t="shared" si="9"/>
        <v>57805</v>
      </c>
      <c r="AE18" s="180">
        <f t="shared" si="9"/>
        <v>0</v>
      </c>
      <c r="AF18" s="180">
        <f t="shared" si="9"/>
        <v>1031102</v>
      </c>
      <c r="AG18" s="180">
        <f t="shared" si="9"/>
        <v>478224</v>
      </c>
      <c r="AH18" s="180">
        <f t="shared" si="9"/>
        <v>7688907</v>
      </c>
      <c r="AI18" s="180">
        <f t="shared" si="9"/>
        <v>0</v>
      </c>
      <c r="AJ18" s="180">
        <f t="shared" si="9"/>
        <v>0</v>
      </c>
      <c r="AK18" s="180">
        <f t="shared" si="9"/>
        <v>0</v>
      </c>
      <c r="AL18" s="178">
        <f t="shared" si="9"/>
        <v>0</v>
      </c>
    </row>
    <row r="19" spans="2:40" ht="20.100000000000001" customHeight="1">
      <c r="B19" s="172" t="s">
        <v>3281</v>
      </c>
      <c r="C19" s="181">
        <v>6351110</v>
      </c>
      <c r="D19" s="153" t="s">
        <v>35</v>
      </c>
      <c r="E19" s="1366">
        <f t="shared" ref="E19:E44" si="10">SUM(G19:AL19)</f>
        <v>26255966</v>
      </c>
      <c r="F19" s="210">
        <f t="shared" si="8"/>
        <v>18567059</v>
      </c>
      <c r="G19" s="682">
        <f>ROUND(SUMIF('Antecedentes Cuadros 6.03'!$A$26:$A$176,G$9,'Antecedentes Cuadros 6.03'!$O$26:$O$176)/1000,0)</f>
        <v>0</v>
      </c>
      <c r="H19" s="682">
        <f>ROUND(SUMIF('Antecedentes Cuadros 6.03'!$A$26:$A$176,H$9,'Antecedentes Cuadros 6.03'!$O$26:$O$176)/1000,0)-4</f>
        <v>5368</v>
      </c>
      <c r="I19" s="682">
        <f>ROUND(SUMIF('Antecedentes Cuadros 6.03'!$A$26:$A$176,I$9,'Antecedentes Cuadros 6.03'!$O$26:$O$176)/1000,0)+1</f>
        <v>219146</v>
      </c>
      <c r="J19" s="682">
        <f>ROUND(SUMIF('Antecedentes Cuadros 6.03'!$A$26:$A$176,J$9,'Antecedentes Cuadros 6.03'!$O$26:$O$176)/1000,0)</f>
        <v>6041</v>
      </c>
      <c r="K19" s="682">
        <f>ROUND(SUMIF('Antecedentes Cuadros 6.03'!$A$26:$A$176,K$9,'Antecedentes Cuadros 6.03'!$O$26:$O$176)/1000,0)</f>
        <v>0</v>
      </c>
      <c r="L19" s="682">
        <f>ROUND(SUMIF('Antecedentes Cuadros 6.03'!$A$26:$A$176,L$9,'Antecedentes Cuadros 6.03'!$O$26:$O$176)/1000,0)</f>
        <v>0</v>
      </c>
      <c r="M19" s="682">
        <f>ROUND(SUMIF('Antecedentes Cuadros 6.03'!$A$26:$A$176,M$9,'Antecedentes Cuadros 6.03'!$O$26:$O$176)/1000,0)</f>
        <v>0</v>
      </c>
      <c r="N19" s="682">
        <f>ROUND(SUMIF('Antecedentes Cuadros 6.03'!$A$26:$A$176,N$9,'Antecedentes Cuadros 6.03'!$O$26:$O$176)/1000,0)</f>
        <v>0</v>
      </c>
      <c r="O19" s="682">
        <f>ROUND(SUMIF('Antecedentes Cuadros 6.03'!$A$26:$A$176,O$9,'Antecedentes Cuadros 6.03'!$O$26:$O$176)/1000,0)</f>
        <v>306832</v>
      </c>
      <c r="P19" s="682">
        <f>ROUND(SUMIF('Antecedentes Cuadros 6.03'!$A$26:$A$176,P$9,'Antecedentes Cuadros 6.03'!$O$26:$O$176)/1000,0)</f>
        <v>31921</v>
      </c>
      <c r="Q19" s="682">
        <f>ROUND(SUMIF('Antecedentes Cuadros 6.03'!$A$26:$A$176,Q$9,'Antecedentes Cuadros 6.03'!$O$26:$O$176)/1000,0)</f>
        <v>0</v>
      </c>
      <c r="R19" s="682">
        <f>ROUND(SUMIF('Antecedentes Cuadros 6.03'!$A$26:$A$176,R$9,'Antecedentes Cuadros 6.03'!$O$26:$O$176)/1000,0)</f>
        <v>0</v>
      </c>
      <c r="S19" s="682">
        <f>ROUND(SUMIF('Antecedentes Cuadros 6.03'!$A$26:$A$176,S$9,'Antecedentes Cuadros 6.03'!$O$26:$O$176)/1000,0)</f>
        <v>0</v>
      </c>
      <c r="T19" s="682">
        <f>ROUND(SUMIF('Antecedentes Cuadros 6.03'!$A$26:$A$176,T$9,'Antecedentes Cuadros 6.03'!$O$26:$O$176)/1000,0)</f>
        <v>0</v>
      </c>
      <c r="U19" s="682">
        <f>ROUND(SUMIF('Antecedentes Cuadros 6.03'!$A$26:$A$176,U$9,'Antecedentes Cuadros 6.03'!$O$26:$O$176)/1000,0)</f>
        <v>0</v>
      </c>
      <c r="V19" s="682">
        <f>ROUND(SUMIF('Antecedentes Cuadros 6.03'!$A$26:$A$176,V$9,'Antecedentes Cuadros 6.03'!$O$26:$O$176)/1000,0)</f>
        <v>3705974</v>
      </c>
      <c r="W19" s="682">
        <f>ROUND(SUMIF('Antecedentes Cuadros 6.03'!$A$26:$A$176,W$9,'Antecedentes Cuadros 6.03'!$O$26:$O$176)/1000,0)</f>
        <v>0</v>
      </c>
      <c r="X19" s="682">
        <f>ROUND(SUMIF('Antecedentes Cuadros 6.03'!$A$26:$A$176,X$9,'Antecedentes Cuadros 6.03'!$O$26:$O$176)/1000,0)</f>
        <v>0</v>
      </c>
      <c r="Y19" s="682">
        <f>ROUND(SUMIF('Antecedentes Cuadros 6.03'!$A$26:$A$176,Y$9,'Antecedentes Cuadros 6.03'!$O$26:$O$176)/1000,0)</f>
        <v>0</v>
      </c>
      <c r="Z19" s="682">
        <f>ROUND(SUMIF('Antecedentes Cuadros 6.03'!$A$26:$A$176,Z$9,'Antecedentes Cuadros 6.03'!$O$26:$O$176)/1000,0)</f>
        <v>0</v>
      </c>
      <c r="AA19" s="682">
        <f>ROUND(SUMIF('Antecedentes Cuadros 6.03'!$A$26:$A$176,AA$9,'Antecedentes Cuadros 6.03'!$O$26:$O$176)/1000,0)</f>
        <v>191352</v>
      </c>
      <c r="AB19" s="682">
        <f>ROUND(SUMIF('Antecedentes Cuadros 6.03'!$A$26:$A$176,AB$9,'Antecedentes Cuadros 6.03'!$O$26:$O$176)/1000,0)</f>
        <v>0</v>
      </c>
      <c r="AC19" s="682">
        <f>ROUND(SUMIF('Antecedentes Cuadros 6.03'!$A$26:$A$176,AC$9,'Antecedentes Cuadros 6.03'!$O$26:$O$176)/1000,0)</f>
        <v>12533294</v>
      </c>
      <c r="AD19" s="682">
        <f>ROUND(SUMIF('Antecedentes Cuadros 6.03'!$A$26:$A$176,AD$9,'Antecedentes Cuadros 6.03'!$O$26:$O$176)/1000,0)</f>
        <v>57805</v>
      </c>
      <c r="AE19" s="682">
        <f>ROUND(SUMIF('Antecedentes Cuadros 6.03'!$A$26:$A$176,AE$9,'Antecedentes Cuadros 6.03'!$O$26:$O$176)/1000,0)</f>
        <v>0</v>
      </c>
      <c r="AF19" s="682">
        <f>ROUND(SUMIF('Antecedentes Cuadros 6.03'!$A$26:$A$176,AF$9,'Antecedentes Cuadros 6.03'!$O$26:$O$176)/1000,0)</f>
        <v>1031102</v>
      </c>
      <c r="AG19" s="682">
        <f>ROUND(SUMIF('Antecedentes Cuadros 6.03'!$A$26:$A$176,AG$9,'Antecedentes Cuadros 6.03'!$O$26:$O$176)/1000,0)</f>
        <v>478224</v>
      </c>
      <c r="AH19" s="682">
        <f>ROUND(SUMIF('Antecedentes Cuadros 6.03'!$A$26:$A$176,AH$9,'Antecedentes Cuadros 6.03'!$O$26:$O$176)/1000,0)+676</f>
        <v>7688907</v>
      </c>
      <c r="AI19" s="682">
        <f>ROUND(SUMIF('Antecedentes Cuadros 6.03'!$A$26:$A$176,AI$9,'Antecedentes Cuadros 6.03'!$O$26:$O$176)/1000,0)</f>
        <v>0</v>
      </c>
      <c r="AJ19" s="682">
        <f>ROUND(SUMIF('Antecedentes Cuadros 6.03'!$A$26:$A$176,AJ$9,'Antecedentes Cuadros 6.03'!$O$26:$O$176)/1000,0)</f>
        <v>0</v>
      </c>
      <c r="AK19" s="682">
        <f>ROUND(SUMIF('Antecedentes Cuadros 6.03'!$A$26:$A$176,AK$9,'Antecedentes Cuadros 6.03'!$O$26:$O$176)/1000,0)</f>
        <v>0</v>
      </c>
      <c r="AL19" s="1455">
        <f>ROUND(SUMIF('Antecedentes Cuadros 6.03'!$A$26:$A$176,AL$9,'Antecedentes Cuadros 6.03'!$O$26:$O$176)/1000,0)-676</f>
        <v>0</v>
      </c>
    </row>
    <row r="20" spans="2:40" ht="20.100000000000001" customHeight="1">
      <c r="B20" s="172" t="s">
        <v>3282</v>
      </c>
      <c r="C20" s="181">
        <v>6351120</v>
      </c>
      <c r="D20" s="153" t="s">
        <v>36</v>
      </c>
      <c r="E20" s="1366">
        <f t="shared" si="10"/>
        <v>2332952.5</v>
      </c>
      <c r="F20" s="210">
        <f t="shared" si="8"/>
        <v>2332952.5</v>
      </c>
      <c r="G20" s="682">
        <f>ROUND(SUMIF('Antecedentes Cuadros 6.03'!$A$14:$A$18,C_6.03!G$9,'Antecedentes Cuadros 6.03'!$O$14:$O$18)/1000,0)+0.5</f>
        <v>118614.5</v>
      </c>
      <c r="H20" s="682">
        <f>ROUND(SUMIF('Antecedentes Cuadros 6.03'!$A$14:$A$18,C_6.03!H$9,'Antecedentes Cuadros 6.03'!$O$14:$O$18)/1000,0)</f>
        <v>2464</v>
      </c>
      <c r="I20" s="682">
        <f>ROUND(SUMIF('Antecedentes Cuadros 6.03'!$A$14:$A$18,C_6.03!I$9,'Antecedentes Cuadros 6.03'!$O$14:$O$18)/1000,0)</f>
        <v>1798201</v>
      </c>
      <c r="J20" s="682">
        <f>ROUND(SUMIF('Antecedentes Cuadros 6.03'!$A$14:$A$18,C_6.03!J$9,'Antecedentes Cuadros 6.03'!$O$14:$O$18)/1000,0)</f>
        <v>413673</v>
      </c>
      <c r="K20" s="682">
        <f>ROUND(SUMIF('Antecedentes Cuadros 6.03'!$A$14:$A$18,C_6.03!K$9,'Antecedentes Cuadros 6.03'!$O$14:$O$18)/1000,0)</f>
        <v>0</v>
      </c>
      <c r="L20" s="682">
        <f>ROUND(SUMIF('Antecedentes Cuadros 6.03'!$A$14:$A$18,C_6.03!L$9,'Antecedentes Cuadros 6.03'!$O$14:$O$18)/1000,0)</f>
        <v>0</v>
      </c>
      <c r="M20" s="682">
        <f>ROUND(SUMIF('Antecedentes Cuadros 6.03'!$A$14:$A$18,C_6.03!M$9,'Antecedentes Cuadros 6.03'!$O$14:$O$18)/1000,0)</f>
        <v>0</v>
      </c>
      <c r="N20" s="682">
        <f>ROUND(SUMIF('Antecedentes Cuadros 6.03'!$A$14:$A$18,C_6.03!N$9,'Antecedentes Cuadros 6.03'!$O$14:$O$18)/1000,0)</f>
        <v>0</v>
      </c>
      <c r="O20" s="682">
        <f>ROUND(SUMIF('Antecedentes Cuadros 6.03'!$A$14:$A$18,C_6.03!O$9,'Antecedentes Cuadros 6.03'!$O$14:$O$18)/1000,0)</f>
        <v>0</v>
      </c>
      <c r="P20" s="682">
        <f>ROUND(SUMIF('Antecedentes Cuadros 6.03'!$A$14:$A$18,C_6.03!P$9,'Antecedentes Cuadros 6.03'!$O$14:$O$18)/1000,0)</f>
        <v>0</v>
      </c>
      <c r="Q20" s="682">
        <f>ROUND(SUMIF('Antecedentes Cuadros 6.03'!$A$14:$A$18,C_6.03!Q$9,'Antecedentes Cuadros 6.03'!$O$14:$O$18)/1000,0)</f>
        <v>0</v>
      </c>
      <c r="R20" s="682">
        <f>ROUND(SUMIF('Antecedentes Cuadros 6.03'!$A$14:$A$18,C_6.03!R$9,'Antecedentes Cuadros 6.03'!$O$14:$O$18)/1000,0)</f>
        <v>0</v>
      </c>
      <c r="S20" s="682">
        <f>ROUND(SUMIF('Antecedentes Cuadros 6.03'!$A$14:$A$18,C_6.03!S$9,'Antecedentes Cuadros 6.03'!$O$14:$O$18)/1000,0)</f>
        <v>0</v>
      </c>
      <c r="T20" s="682">
        <f>ROUND(SUMIF('Antecedentes Cuadros 6.03'!$A$14:$A$18,C_6.03!T$9,'Antecedentes Cuadros 6.03'!$O$14:$O$18)/1000,0)</f>
        <v>0</v>
      </c>
      <c r="U20" s="682">
        <f>ROUND(SUMIF('Antecedentes Cuadros 6.03'!$A$14:$A$18,C_6.03!U$9,'Antecedentes Cuadros 6.03'!$O$14:$O$18)/1000,0)</f>
        <v>0</v>
      </c>
      <c r="V20" s="682">
        <f>ROUND(SUMIF('Antecedentes Cuadros 6.03'!$A$14:$A$18,C_6.03!V$9,'Antecedentes Cuadros 6.03'!$O$14:$O$18)/1000,0)</f>
        <v>0</v>
      </c>
      <c r="W20" s="682">
        <f>ROUND(SUMIF('Antecedentes Cuadros 6.03'!$A$14:$A$18,C_6.03!W$9,'Antecedentes Cuadros 6.03'!$O$14:$O$18)/1000,0)</f>
        <v>0</v>
      </c>
      <c r="X20" s="682">
        <f>ROUND(SUMIF('Antecedentes Cuadros 6.03'!$A$14:$A$18,C_6.03!X$9,'Antecedentes Cuadros 6.03'!$O$14:$O$18)/1000,0)</f>
        <v>0</v>
      </c>
      <c r="Y20" s="682">
        <f>ROUND(SUMIF('Antecedentes Cuadros 6.03'!$A$14:$A$18,C_6.03!Y$9,'Antecedentes Cuadros 6.03'!$O$14:$O$18)/1000,0)</f>
        <v>0</v>
      </c>
      <c r="Z20" s="682">
        <f>ROUND(SUMIF('Antecedentes Cuadros 6.03'!$A$14:$A$18,C_6.03!Z$9,'Antecedentes Cuadros 6.03'!$O$14:$O$18)/1000,0)</f>
        <v>0</v>
      </c>
      <c r="AA20" s="682">
        <f>ROUND(SUMIF('Antecedentes Cuadros 6.03'!$A$14:$A$18,C_6.03!AA$9,'Antecedentes Cuadros 6.03'!$O$14:$O$18)/1000,0)</f>
        <v>0</v>
      </c>
      <c r="AB20" s="682">
        <f>ROUND(SUMIF('Antecedentes Cuadros 6.03'!$A$14:$A$18,C_6.03!AB$9,'Antecedentes Cuadros 6.03'!$O$14:$O$18)/1000,0)</f>
        <v>0</v>
      </c>
      <c r="AC20" s="682">
        <f>ROUND(SUMIF('Antecedentes Cuadros 6.03'!$A$14:$A$18,C_6.03!AC$9,'Antecedentes Cuadros 6.03'!$O$14:$O$18)/1000,0)</f>
        <v>0</v>
      </c>
      <c r="AD20" s="682">
        <f>ROUND(SUMIF('Antecedentes Cuadros 6.03'!$A$14:$A$18,C_6.03!AD$9,'Antecedentes Cuadros 6.03'!$O$14:$O$18)/1000,0)</f>
        <v>0</v>
      </c>
      <c r="AE20" s="682">
        <f>ROUND(SUMIF('Antecedentes Cuadros 6.03'!$A$14:$A$18,C_6.03!AE$9,'Antecedentes Cuadros 6.03'!$O$14:$O$18)/1000,0)</f>
        <v>0</v>
      </c>
      <c r="AF20" s="682">
        <f>ROUND(SUMIF('Antecedentes Cuadros 6.03'!$A$14:$A$18,C_6.03!AF$9,'Antecedentes Cuadros 6.03'!$O$14:$O$18)/1000,0)</f>
        <v>0</v>
      </c>
      <c r="AG20" s="682">
        <f>ROUND(SUMIF('Antecedentes Cuadros 6.03'!$A$14:$A$18,C_6.03!AG$9,'Antecedentes Cuadros 6.03'!$O$14:$O$18)/1000,0)</f>
        <v>0</v>
      </c>
      <c r="AH20" s="682">
        <f>ROUND(SUMIF('Antecedentes Cuadros 6.03'!$A$14:$A$18,C_6.03!AH$9,'Antecedentes Cuadros 6.03'!$O$14:$O$18)/1000,0)</f>
        <v>0</v>
      </c>
      <c r="AI20" s="682">
        <f>ROUND(SUMIF('Antecedentes Cuadros 6.03'!$A$14:$A$18,C_6.03!AI$9,'Antecedentes Cuadros 6.03'!$O$14:$O$18)/1000,0)</f>
        <v>0</v>
      </c>
      <c r="AJ20" s="682">
        <f>ROUND(SUMIF('Antecedentes Cuadros 6.03'!$A$14:$A$18,C_6.03!AJ$9,'Antecedentes Cuadros 6.03'!$O$14:$O$18)/1000,0)</f>
        <v>0</v>
      </c>
      <c r="AK20" s="682">
        <f>ROUND(SUMIF('Antecedentes Cuadros 6.03'!$A$14:$A$18,C_6.03!AK$9,'Antecedentes Cuadros 6.03'!$O$14:$O$18)/1000,0)</f>
        <v>0</v>
      </c>
      <c r="AL20" s="1455">
        <f>ROUND(SUMIF('Antecedentes Cuadros 6.03'!$A$14:$A$18,C_6.03!AL$9,'Antecedentes Cuadros 6.03'!$O$14:$O$18)/1000,0)</f>
        <v>0</v>
      </c>
    </row>
    <row r="21" spans="2:40" ht="20.100000000000001" customHeight="1">
      <c r="B21" s="172" t="s">
        <v>3283</v>
      </c>
      <c r="C21" s="1382">
        <v>6351130</v>
      </c>
      <c r="D21" s="153" t="s">
        <v>37</v>
      </c>
      <c r="E21" s="1366">
        <f t="shared" si="10"/>
        <v>0</v>
      </c>
      <c r="F21" s="210">
        <f t="shared" si="8"/>
        <v>0</v>
      </c>
      <c r="G21" s="430">
        <f>SUMIF(MATRIZCTAS!$O$7:$O$1766,$C21&amp;G$9,MATRIZCTAS!$AH$7:$AH$1766)</f>
        <v>0</v>
      </c>
      <c r="H21" s="430">
        <f>-SUMIF(MATRIZCTAS!$O$7:$O$1766,$C21&amp;H$9,MATRIZCTAS!$AH$7:$AH$1766)</f>
        <v>0</v>
      </c>
      <c r="I21" s="430">
        <f>-SUMIF(MATRIZCTAS!$O$7:$O$1766,$C21&amp;I$9,MATRIZCTAS!$AH$7:$AH$1766)</f>
        <v>0</v>
      </c>
      <c r="J21" s="430">
        <f>-SUMIF(MATRIZCTAS!$O$7:$O$1766,$C21&amp;J$9,MATRIZCTAS!$AH$7:$AH$1766)</f>
        <v>0</v>
      </c>
      <c r="K21" s="430">
        <f>-SUMIF(MATRIZCTAS!$O$7:$O$1766,$C21&amp;K$9,MATRIZCTAS!$AH$7:$AH$1766)</f>
        <v>0</v>
      </c>
      <c r="L21" s="430">
        <f>-SUMIF(MATRIZCTAS!$O$7:$O$1766,$C21&amp;L$9,MATRIZCTAS!$AH$7:$AH$1766)</f>
        <v>0</v>
      </c>
      <c r="M21" s="430">
        <f>-SUMIF(MATRIZCTAS!$O$7:$O$1766,$C21&amp;M$9,MATRIZCTAS!$AH$7:$AH$1766)</f>
        <v>0</v>
      </c>
      <c r="N21" s="430">
        <f>-SUMIF(MATRIZCTAS!$O$7:$O$1766,$C21&amp;N$9,MATRIZCTAS!$AH$7:$AH$1766)</f>
        <v>0</v>
      </c>
      <c r="O21" s="430">
        <f>-SUMIF(MATRIZCTAS!$O$7:$O$1766,$C21&amp;O$9,MATRIZCTAS!$AH$7:$AH$1766)</f>
        <v>0</v>
      </c>
      <c r="P21" s="430">
        <f>-SUMIF(MATRIZCTAS!$O$7:$O$1766,$C21&amp;P$9,MATRIZCTAS!$AH$7:$AH$1766)</f>
        <v>0</v>
      </c>
      <c r="Q21" s="430">
        <f>-SUMIF(MATRIZCTAS!$O$7:$O$1766,$C21&amp;Q$9,MATRIZCTAS!$AH$7:$AH$1766)</f>
        <v>0</v>
      </c>
      <c r="R21" s="430">
        <f>-SUMIF(MATRIZCTAS!$O$7:$O$1766,$C21&amp;R$9,MATRIZCTAS!$AH$7:$AH$1766)</f>
        <v>0</v>
      </c>
      <c r="S21" s="430">
        <f>-SUMIF(MATRIZCTAS!$O$7:$O$1766,$C21&amp;S$9,MATRIZCTAS!$AH$7:$AH$1766)</f>
        <v>0</v>
      </c>
      <c r="T21" s="430">
        <f>-SUMIF(MATRIZCTAS!$O$7:$O$1766,$C21&amp;T$9,MATRIZCTAS!$AH$7:$AH$1766)</f>
        <v>0</v>
      </c>
      <c r="U21" s="430">
        <f>-SUMIF(MATRIZCTAS!$O$7:$O$1766,$C21&amp;U$9,MATRIZCTAS!$AH$7:$AH$1766)</f>
        <v>0</v>
      </c>
      <c r="V21" s="430">
        <f>-SUMIF(MATRIZCTAS!$O$7:$O$1766,$C21&amp;V$9,MATRIZCTAS!$AH$7:$AH$1766)</f>
        <v>0</v>
      </c>
      <c r="W21" s="430">
        <f>-SUMIF(MATRIZCTAS!$O$7:$O$1766,$C21&amp;W$9,MATRIZCTAS!$AH$7:$AH$1766)</f>
        <v>0</v>
      </c>
      <c r="X21" s="430">
        <f>-SUMIF(MATRIZCTAS!$O$7:$O$1766,$C21&amp;X$9,MATRIZCTAS!$AH$7:$AH$1766)</f>
        <v>0</v>
      </c>
      <c r="Y21" s="430">
        <f>-SUMIF(MATRIZCTAS!$O$7:$O$1766,$C21&amp;Y$9,MATRIZCTAS!$AH$7:$AH$1766)</f>
        <v>0</v>
      </c>
      <c r="Z21" s="430">
        <f>-SUMIF(MATRIZCTAS!$O$7:$O$1766,$C21&amp;Z$9,MATRIZCTAS!$AH$7:$AH$1766)</f>
        <v>0</v>
      </c>
      <c r="AA21" s="430">
        <f>-SUMIF(MATRIZCTAS!$O$7:$O$1766,$C21&amp;AA$9,MATRIZCTAS!$AH$7:$AH$1766)</f>
        <v>0</v>
      </c>
      <c r="AB21" s="430">
        <f>-SUMIF(MATRIZCTAS!$O$7:$O$1766,$C21&amp;AB$9,MATRIZCTAS!$AH$7:$AH$1766)</f>
        <v>0</v>
      </c>
      <c r="AC21" s="430">
        <f>-SUMIF(MATRIZCTAS!$O$7:$O$1766,$C21&amp;AC$9,MATRIZCTAS!$AH$7:$AH$1766)</f>
        <v>0</v>
      </c>
      <c r="AD21" s="430">
        <f>-SUMIF(MATRIZCTAS!$O$7:$O$1766,$C21&amp;AD$9,MATRIZCTAS!$AH$7:$AH$1766)</f>
        <v>0</v>
      </c>
      <c r="AE21" s="430">
        <f>-SUMIF(MATRIZCTAS!$O$7:$O$1766,$C21&amp;AE$9,MATRIZCTAS!$AH$7:$AH$1766)</f>
        <v>0</v>
      </c>
      <c r="AF21" s="430">
        <f>-SUMIF(MATRIZCTAS!$O$7:$O$1766,$C21&amp;AF$9,MATRIZCTAS!$AH$7:$AH$1766)</f>
        <v>0</v>
      </c>
      <c r="AG21" s="430">
        <f>-SUMIF(MATRIZCTAS!$O$7:$O$1766,$C21&amp;AG$9,MATRIZCTAS!$AH$7:$AH$1766)</f>
        <v>0</v>
      </c>
      <c r="AH21" s="430">
        <f>-SUMIF(MATRIZCTAS!$O$7:$O$1766,$C21&amp;AH$9,MATRIZCTAS!$AH$7:$AH$1766)</f>
        <v>0</v>
      </c>
      <c r="AI21" s="430">
        <f>-SUMIF(MATRIZCTAS!$O$7:$O$1766,$C21&amp;AI$9,MATRIZCTAS!$AH$7:$AH$1766)</f>
        <v>0</v>
      </c>
      <c r="AJ21" s="430">
        <f>-SUMIF(MATRIZCTAS!$O$7:$O$1766,$C21&amp;AJ$9,MATRIZCTAS!$AH$7:$AH$1766)</f>
        <v>0</v>
      </c>
      <c r="AK21" s="430">
        <f>-SUMIF(MATRIZCTAS!$O$7:$O$1766,$C21&amp;AK$9,MATRIZCTAS!$AH$7:$AH$1766)</f>
        <v>0</v>
      </c>
      <c r="AL21" s="1456">
        <f>-SUMIF(MATRIZCTAS!$O$7:$O$1766,$C21&amp;AL$9,MATRIZCTAS!$AH$7:$AH$1766)</f>
        <v>0</v>
      </c>
    </row>
    <row r="22" spans="2:40" ht="20.100000000000001" customHeight="1">
      <c r="B22" s="172" t="s">
        <v>3284</v>
      </c>
      <c r="C22" s="1382">
        <v>6351140</v>
      </c>
      <c r="D22" s="153" t="s">
        <v>3388</v>
      </c>
      <c r="E22" s="1366">
        <f t="shared" si="10"/>
        <v>0</v>
      </c>
      <c r="F22" s="210">
        <f t="shared" si="8"/>
        <v>0</v>
      </c>
      <c r="G22" s="430">
        <f>SUMIF(MATRIZCTAS!$O$7:$O$1766,$C22&amp;G$9,MATRIZCTAS!$AH$7:$AH$1766)</f>
        <v>0</v>
      </c>
      <c r="H22" s="430">
        <f>-SUMIF(MATRIZCTAS!$O$7:$O$1766,$C22&amp;H$9,MATRIZCTAS!$AH$7:$AH$1766)</f>
        <v>0</v>
      </c>
      <c r="I22" s="430">
        <f>-SUMIF(MATRIZCTAS!$O$7:$O$1766,$C22&amp;I$9,MATRIZCTAS!$AH$7:$AH$1766)</f>
        <v>0</v>
      </c>
      <c r="J22" s="430">
        <f>-SUMIF(MATRIZCTAS!$O$7:$O$1766,$C22&amp;J$9,MATRIZCTAS!$AH$7:$AH$1766)</f>
        <v>0</v>
      </c>
      <c r="K22" s="430">
        <f>-SUMIF(MATRIZCTAS!$O$7:$O$1766,$C22&amp;K$9,MATRIZCTAS!$AH$7:$AH$1766)</f>
        <v>0</v>
      </c>
      <c r="L22" s="430">
        <f>-SUMIF(MATRIZCTAS!$O$7:$O$1766,$C22&amp;L$9,MATRIZCTAS!$AH$7:$AH$1766)</f>
        <v>0</v>
      </c>
      <c r="M22" s="430">
        <f>-SUMIF(MATRIZCTAS!$O$7:$O$1766,$C22&amp;M$9,MATRIZCTAS!$AH$7:$AH$1766)</f>
        <v>0</v>
      </c>
      <c r="N22" s="430">
        <f>-SUMIF(MATRIZCTAS!$O$7:$O$1766,$C22&amp;N$9,MATRIZCTAS!$AH$7:$AH$1766)</f>
        <v>0</v>
      </c>
      <c r="O22" s="430">
        <f>-SUMIF(MATRIZCTAS!$O$7:$O$1766,$C22&amp;O$9,MATRIZCTAS!$AH$7:$AH$1766)</f>
        <v>0</v>
      </c>
      <c r="P22" s="430">
        <f>-SUMIF(MATRIZCTAS!$O$7:$O$1766,$C22&amp;P$9,MATRIZCTAS!$AH$7:$AH$1766)</f>
        <v>0</v>
      </c>
      <c r="Q22" s="430">
        <f>-SUMIF(MATRIZCTAS!$O$7:$O$1766,$C22&amp;Q$9,MATRIZCTAS!$AH$7:$AH$1766)</f>
        <v>0</v>
      </c>
      <c r="R22" s="430">
        <f>-SUMIF(MATRIZCTAS!$O$7:$O$1766,$C22&amp;R$9,MATRIZCTAS!$AH$7:$AH$1766)</f>
        <v>0</v>
      </c>
      <c r="S22" s="430">
        <f>-SUMIF(MATRIZCTAS!$O$7:$O$1766,$C22&amp;S$9,MATRIZCTAS!$AH$7:$AH$1766)</f>
        <v>0</v>
      </c>
      <c r="T22" s="430">
        <f>-SUMIF(MATRIZCTAS!$O$7:$O$1766,$C22&amp;T$9,MATRIZCTAS!$AH$7:$AH$1766)</f>
        <v>0</v>
      </c>
      <c r="U22" s="430">
        <f>-SUMIF(MATRIZCTAS!$O$7:$O$1766,$C22&amp;U$9,MATRIZCTAS!$AH$7:$AH$1766)</f>
        <v>0</v>
      </c>
      <c r="V22" s="430">
        <f>-SUMIF(MATRIZCTAS!$O$7:$O$1766,$C22&amp;V$9,MATRIZCTAS!$AH$7:$AH$1766)</f>
        <v>0</v>
      </c>
      <c r="W22" s="430">
        <f>-SUMIF(MATRIZCTAS!$O$7:$O$1766,$C22&amp;W$9,MATRIZCTAS!$AH$7:$AH$1766)</f>
        <v>0</v>
      </c>
      <c r="X22" s="430">
        <f>-SUMIF(MATRIZCTAS!$O$7:$O$1766,$C22&amp;X$9,MATRIZCTAS!$AH$7:$AH$1766)</f>
        <v>0</v>
      </c>
      <c r="Y22" s="430">
        <f>-SUMIF(MATRIZCTAS!$O$7:$O$1766,$C22&amp;Y$9,MATRIZCTAS!$AH$7:$AH$1766)</f>
        <v>0</v>
      </c>
      <c r="Z22" s="430">
        <f>-SUMIF(MATRIZCTAS!$O$7:$O$1766,$C22&amp;Z$9,MATRIZCTAS!$AH$7:$AH$1766)</f>
        <v>0</v>
      </c>
      <c r="AA22" s="430">
        <f>-SUMIF(MATRIZCTAS!$O$7:$O$1766,$C22&amp;AA$9,MATRIZCTAS!$AH$7:$AH$1766)</f>
        <v>0</v>
      </c>
      <c r="AB22" s="430">
        <f>-SUMIF(MATRIZCTAS!$O$7:$O$1766,$C22&amp;AB$9,MATRIZCTAS!$AH$7:$AH$1766)</f>
        <v>0</v>
      </c>
      <c r="AC22" s="430">
        <f>-SUMIF(MATRIZCTAS!$O$7:$O$1766,$C22&amp;AC$9,MATRIZCTAS!$AH$7:$AH$1766)</f>
        <v>0</v>
      </c>
      <c r="AD22" s="430">
        <f>-SUMIF(MATRIZCTAS!$O$7:$O$1766,$C22&amp;AD$9,MATRIZCTAS!$AH$7:$AH$1766)</f>
        <v>0</v>
      </c>
      <c r="AE22" s="430">
        <f>-SUMIF(MATRIZCTAS!$O$7:$O$1766,$C22&amp;AE$9,MATRIZCTAS!$AH$7:$AH$1766)</f>
        <v>0</v>
      </c>
      <c r="AF22" s="430">
        <f>-SUMIF(MATRIZCTAS!$O$7:$O$1766,$C22&amp;AF$9,MATRIZCTAS!$AH$7:$AH$1766)</f>
        <v>0</v>
      </c>
      <c r="AG22" s="430">
        <f>-SUMIF(MATRIZCTAS!$O$7:$O$1766,$C22&amp;AG$9,MATRIZCTAS!$AH$7:$AH$1766)</f>
        <v>0</v>
      </c>
      <c r="AH22" s="430">
        <f>-SUMIF(MATRIZCTAS!$O$7:$O$1766,$C22&amp;AH$9,MATRIZCTAS!$AH$7:$AH$1766)</f>
        <v>0</v>
      </c>
      <c r="AI22" s="430">
        <f>-SUMIF(MATRIZCTAS!$O$7:$O$1766,$C22&amp;AI$9,MATRIZCTAS!$AH$7:$AH$1766)</f>
        <v>0</v>
      </c>
      <c r="AJ22" s="430">
        <f>-SUMIF(MATRIZCTAS!$O$7:$O$1766,$C22&amp;AJ$9,MATRIZCTAS!$AH$7:$AH$1766)</f>
        <v>0</v>
      </c>
      <c r="AK22" s="430">
        <f>-SUMIF(MATRIZCTAS!$O$7:$O$1766,$C22&amp;AK$9,MATRIZCTAS!$AH$7:$AH$1766)</f>
        <v>0</v>
      </c>
      <c r="AL22" s="1456">
        <f>-SUMIF(MATRIZCTAS!$O$7:$O$1766,$C22&amp;AL$9,MATRIZCTAS!$AH$7:$AH$1766)</f>
        <v>0</v>
      </c>
    </row>
    <row r="23" spans="2:40" ht="20.100000000000001" customHeight="1">
      <c r="B23" s="172" t="s">
        <v>3285</v>
      </c>
      <c r="C23" s="1382">
        <v>6351150</v>
      </c>
      <c r="D23" s="153" t="s">
        <v>3389</v>
      </c>
      <c r="E23" s="1366">
        <f t="shared" si="10"/>
        <v>0</v>
      </c>
      <c r="F23" s="210">
        <f t="shared" si="8"/>
        <v>0</v>
      </c>
      <c r="G23" s="430">
        <f>SUMIF(MATRIZCTAS!$O$7:$O$1766,$C23&amp;G$9,MATRIZCTAS!$AH$7:$AH$1766)</f>
        <v>0</v>
      </c>
      <c r="H23" s="430">
        <f>-SUMIF(MATRIZCTAS!$O$7:$O$1766,$C23&amp;H$9,MATRIZCTAS!$AH$7:$AH$1766)</f>
        <v>0</v>
      </c>
      <c r="I23" s="430">
        <f>-SUMIF(MATRIZCTAS!$O$7:$O$1766,$C23&amp;I$9,MATRIZCTAS!$AH$7:$AH$1766)</f>
        <v>0</v>
      </c>
      <c r="J23" s="430">
        <f>-SUMIF(MATRIZCTAS!$O$7:$O$1766,$C23&amp;J$9,MATRIZCTAS!$AH$7:$AH$1766)</f>
        <v>0</v>
      </c>
      <c r="K23" s="430">
        <f>-SUMIF(MATRIZCTAS!$O$7:$O$1766,$C23&amp;K$9,MATRIZCTAS!$AH$7:$AH$1766)</f>
        <v>0</v>
      </c>
      <c r="L23" s="430">
        <f>-SUMIF(MATRIZCTAS!$O$7:$O$1766,$C23&amp;L$9,MATRIZCTAS!$AH$7:$AH$1766)</f>
        <v>0</v>
      </c>
      <c r="M23" s="430">
        <f>-SUMIF(MATRIZCTAS!$O$7:$O$1766,$C23&amp;M$9,MATRIZCTAS!$AH$7:$AH$1766)</f>
        <v>0</v>
      </c>
      <c r="N23" s="430">
        <f>-SUMIF(MATRIZCTAS!$O$7:$O$1766,$C23&amp;N$9,MATRIZCTAS!$AH$7:$AH$1766)</f>
        <v>0</v>
      </c>
      <c r="O23" s="430">
        <f>-SUMIF(MATRIZCTAS!$O$7:$O$1766,$C23&amp;O$9,MATRIZCTAS!$AH$7:$AH$1766)</f>
        <v>0</v>
      </c>
      <c r="P23" s="430">
        <f>-SUMIF(MATRIZCTAS!$O$7:$O$1766,$C23&amp;P$9,MATRIZCTAS!$AH$7:$AH$1766)</f>
        <v>0</v>
      </c>
      <c r="Q23" s="430">
        <f>-SUMIF(MATRIZCTAS!$O$7:$O$1766,$C23&amp;Q$9,MATRIZCTAS!$AH$7:$AH$1766)</f>
        <v>0</v>
      </c>
      <c r="R23" s="430">
        <f>-SUMIF(MATRIZCTAS!$O$7:$O$1766,$C23&amp;R$9,MATRIZCTAS!$AH$7:$AH$1766)</f>
        <v>0</v>
      </c>
      <c r="S23" s="430">
        <f>-SUMIF(MATRIZCTAS!$O$7:$O$1766,$C23&amp;S$9,MATRIZCTAS!$AH$7:$AH$1766)</f>
        <v>0</v>
      </c>
      <c r="T23" s="430">
        <f>-SUMIF(MATRIZCTAS!$O$7:$O$1766,$C23&amp;T$9,MATRIZCTAS!$AH$7:$AH$1766)</f>
        <v>0</v>
      </c>
      <c r="U23" s="430">
        <f>-SUMIF(MATRIZCTAS!$O$7:$O$1766,$C23&amp;U$9,MATRIZCTAS!$AH$7:$AH$1766)</f>
        <v>0</v>
      </c>
      <c r="V23" s="430">
        <f>-SUMIF(MATRIZCTAS!$O$7:$O$1766,$C23&amp;V$9,MATRIZCTAS!$AH$7:$AH$1766)</f>
        <v>0</v>
      </c>
      <c r="W23" s="430">
        <f>-SUMIF(MATRIZCTAS!$O$7:$O$1766,$C23&amp;W$9,MATRIZCTAS!$AH$7:$AH$1766)</f>
        <v>0</v>
      </c>
      <c r="X23" s="430">
        <f>-SUMIF(MATRIZCTAS!$O$7:$O$1766,$C23&amp;X$9,MATRIZCTAS!$AH$7:$AH$1766)</f>
        <v>0</v>
      </c>
      <c r="Y23" s="430">
        <f>-SUMIF(MATRIZCTAS!$O$7:$O$1766,$C23&amp;Y$9,MATRIZCTAS!$AH$7:$AH$1766)</f>
        <v>0</v>
      </c>
      <c r="Z23" s="430">
        <f>-SUMIF(MATRIZCTAS!$O$7:$O$1766,$C23&amp;Z$9,MATRIZCTAS!$AH$7:$AH$1766)</f>
        <v>0</v>
      </c>
      <c r="AA23" s="430">
        <f>-SUMIF(MATRIZCTAS!$O$7:$O$1766,$C23&amp;AA$9,MATRIZCTAS!$AH$7:$AH$1766)</f>
        <v>0</v>
      </c>
      <c r="AB23" s="430">
        <f>-SUMIF(MATRIZCTAS!$O$7:$O$1766,$C23&amp;AB$9,MATRIZCTAS!$AH$7:$AH$1766)</f>
        <v>0</v>
      </c>
      <c r="AC23" s="430">
        <f>-SUMIF(MATRIZCTAS!$O$7:$O$1766,$C23&amp;AC$9,MATRIZCTAS!$AH$7:$AH$1766)</f>
        <v>0</v>
      </c>
      <c r="AD23" s="430">
        <f>-SUMIF(MATRIZCTAS!$O$7:$O$1766,$C23&amp;AD$9,MATRIZCTAS!$AH$7:$AH$1766)</f>
        <v>0</v>
      </c>
      <c r="AE23" s="430">
        <f>-SUMIF(MATRIZCTAS!$O$7:$O$1766,$C23&amp;AE$9,MATRIZCTAS!$AH$7:$AH$1766)</f>
        <v>0</v>
      </c>
      <c r="AF23" s="430">
        <f>-SUMIF(MATRIZCTAS!$O$7:$O$1766,$C23&amp;AF$9,MATRIZCTAS!$AH$7:$AH$1766)</f>
        <v>0</v>
      </c>
      <c r="AG23" s="430">
        <f>-SUMIF(MATRIZCTAS!$O$7:$O$1766,$C23&amp;AG$9,MATRIZCTAS!$AH$7:$AH$1766)</f>
        <v>0</v>
      </c>
      <c r="AH23" s="430">
        <f>-SUMIF(MATRIZCTAS!$O$7:$O$1766,$C23&amp;AH$9,MATRIZCTAS!$AH$7:$AH$1766)</f>
        <v>0</v>
      </c>
      <c r="AI23" s="430">
        <f>-SUMIF(MATRIZCTAS!$O$7:$O$1766,$C23&amp;AI$9,MATRIZCTAS!$AH$7:$AH$1766)</f>
        <v>0</v>
      </c>
      <c r="AJ23" s="430">
        <f>-SUMIF(MATRIZCTAS!$O$7:$O$1766,$C23&amp;AJ$9,MATRIZCTAS!$AH$7:$AH$1766)</f>
        <v>0</v>
      </c>
      <c r="AK23" s="430">
        <f>-SUMIF(MATRIZCTAS!$O$7:$O$1766,$C23&amp;AK$9,MATRIZCTAS!$AH$7:$AH$1766)</f>
        <v>0</v>
      </c>
      <c r="AL23" s="1456">
        <f>-SUMIF(MATRIZCTAS!$O$7:$O$1766,$C23&amp;AL$9,MATRIZCTAS!$AH$7:$AH$1766)</f>
        <v>0</v>
      </c>
    </row>
    <row r="24" spans="2:40" s="171" customFormat="1" ht="20.100000000000001" customHeight="1">
      <c r="B24" s="172" t="s">
        <v>3286</v>
      </c>
      <c r="C24" s="179">
        <v>6351200</v>
      </c>
      <c r="D24" s="158" t="s">
        <v>1242</v>
      </c>
      <c r="E24" s="1365">
        <f t="shared" si="10"/>
        <v>-1144909</v>
      </c>
      <c r="F24" s="210">
        <f t="shared" si="8"/>
        <v>-1144909</v>
      </c>
      <c r="G24" s="180">
        <f>SUM(G25:G27)</f>
        <v>0</v>
      </c>
      <c r="H24" s="180">
        <f t="shared" ref="H24:AL24" si="11">SUM(H25:H27)</f>
        <v>-47329</v>
      </c>
      <c r="I24" s="180">
        <f t="shared" si="11"/>
        <v>-18504</v>
      </c>
      <c r="J24" s="180">
        <f t="shared" si="11"/>
        <v>0</v>
      </c>
      <c r="K24" s="180">
        <f t="shared" si="11"/>
        <v>0</v>
      </c>
      <c r="L24" s="180">
        <f t="shared" si="11"/>
        <v>0</v>
      </c>
      <c r="M24" s="180">
        <f t="shared" si="11"/>
        <v>0</v>
      </c>
      <c r="N24" s="180">
        <f t="shared" si="11"/>
        <v>0</v>
      </c>
      <c r="O24" s="180">
        <f t="shared" si="11"/>
        <v>-251297</v>
      </c>
      <c r="P24" s="180">
        <f t="shared" si="11"/>
        <v>-11267</v>
      </c>
      <c r="Q24" s="180">
        <f t="shared" si="11"/>
        <v>0</v>
      </c>
      <c r="R24" s="180">
        <f t="shared" si="11"/>
        <v>0</v>
      </c>
      <c r="S24" s="180"/>
      <c r="T24" s="180">
        <f t="shared" si="11"/>
        <v>0</v>
      </c>
      <c r="U24" s="180">
        <f t="shared" si="11"/>
        <v>0</v>
      </c>
      <c r="V24" s="180">
        <f t="shared" si="11"/>
        <v>-497711</v>
      </c>
      <c r="W24" s="180">
        <f t="shared" si="11"/>
        <v>0</v>
      </c>
      <c r="X24" s="180">
        <f t="shared" si="11"/>
        <v>0</v>
      </c>
      <c r="Y24" s="180">
        <f t="shared" si="11"/>
        <v>0</v>
      </c>
      <c r="Z24" s="180">
        <f t="shared" si="11"/>
        <v>0</v>
      </c>
      <c r="AA24" s="180">
        <f t="shared" si="11"/>
        <v>0</v>
      </c>
      <c r="AB24" s="180">
        <f t="shared" si="11"/>
        <v>0</v>
      </c>
      <c r="AC24" s="180">
        <f t="shared" si="11"/>
        <v>-66083</v>
      </c>
      <c r="AD24" s="180">
        <f t="shared" si="11"/>
        <v>7</v>
      </c>
      <c r="AE24" s="180">
        <f t="shared" si="11"/>
        <v>0</v>
      </c>
      <c r="AF24" s="180">
        <f t="shared" si="11"/>
        <v>-252725</v>
      </c>
      <c r="AG24" s="180">
        <f t="shared" si="11"/>
        <v>0</v>
      </c>
      <c r="AH24" s="180">
        <f t="shared" si="11"/>
        <v>0</v>
      </c>
      <c r="AI24" s="180">
        <f t="shared" si="11"/>
        <v>0</v>
      </c>
      <c r="AJ24" s="180">
        <f t="shared" si="11"/>
        <v>0</v>
      </c>
      <c r="AK24" s="410">
        <f t="shared" si="11"/>
        <v>0</v>
      </c>
      <c r="AL24" s="178">
        <f t="shared" si="11"/>
        <v>0</v>
      </c>
    </row>
    <row r="25" spans="2:40" ht="20.100000000000001" customHeight="1">
      <c r="B25" s="172" t="s">
        <v>3287</v>
      </c>
      <c r="C25" s="181">
        <v>6351210</v>
      </c>
      <c r="D25" s="153" t="s">
        <v>35</v>
      </c>
      <c r="E25" s="1366">
        <f t="shared" si="10"/>
        <v>-1144909</v>
      </c>
      <c r="F25" s="210">
        <f t="shared" si="8"/>
        <v>-1144909</v>
      </c>
      <c r="G25" s="174">
        <f>ROUND(SUMIF('Antecedentes Cuadros 6.03'!$A$262:$A$272,G$9,'Antecedentes Cuadros 6.03'!$O$262:$O$272)/1000,0)</f>
        <v>0</v>
      </c>
      <c r="H25" s="174">
        <f>ROUND(SUMIF('Antecedentes Cuadros 6.03'!$A$262:$A$272,H$9,'Antecedentes Cuadros 6.03'!$O$262:$O$272)/1000,0)</f>
        <v>-47329</v>
      </c>
      <c r="I25" s="174">
        <f>ROUND(SUMIF('Antecedentes Cuadros 6.03'!$A$262:$A$272,I$9,'Antecedentes Cuadros 6.03'!$O$262:$O$272)/1000,0)</f>
        <v>-18504</v>
      </c>
      <c r="J25" s="174">
        <f>ROUND(SUMIF('Antecedentes Cuadros 6.03'!$A$262:$A$272,J$9,'Antecedentes Cuadros 6.03'!$O$262:$O$272)/1000,0)</f>
        <v>0</v>
      </c>
      <c r="K25" s="174">
        <f>ROUND(SUMIF('Antecedentes Cuadros 6.03'!$A$262:$A$272,K$9,'Antecedentes Cuadros 6.03'!$O$262:$O$272)/1000,0)</f>
        <v>0</v>
      </c>
      <c r="L25" s="174">
        <f>ROUND(SUMIF('Antecedentes Cuadros 6.03'!$A$262:$A$272,L$9,'Antecedentes Cuadros 6.03'!$O$262:$O$272)/1000,0)</f>
        <v>0</v>
      </c>
      <c r="M25" s="174">
        <f>ROUND(SUMIF('Antecedentes Cuadros 6.03'!$A$262:$A$272,M$9,'Antecedentes Cuadros 6.03'!$O$262:$O$272)/1000,0)</f>
        <v>0</v>
      </c>
      <c r="N25" s="174">
        <f>ROUND(SUMIF('Antecedentes Cuadros 6.03'!$A$262:$A$272,N$9,'Antecedentes Cuadros 6.03'!$O$262:$O$272)/1000,0)</f>
        <v>0</v>
      </c>
      <c r="O25" s="174">
        <f>ROUND(SUMIF('Antecedentes Cuadros 6.03'!$A$262:$A$272,O$9,'Antecedentes Cuadros 6.03'!$O$262:$O$272)/1000,0)</f>
        <v>-251297</v>
      </c>
      <c r="P25" s="174">
        <f>ROUND(SUMIF('Antecedentes Cuadros 6.03'!$A$262:$A$272,P$9,'Antecedentes Cuadros 6.03'!$O$262:$O$272)/1000,0)</f>
        <v>-11267</v>
      </c>
      <c r="Q25" s="174">
        <f>ROUND(SUMIF('Antecedentes Cuadros 6.03'!$A$262:$A$272,Q$9,'Antecedentes Cuadros 6.03'!$O$262:$O$272)/1000,0)</f>
        <v>0</v>
      </c>
      <c r="R25" s="174">
        <f>ROUND(SUMIF('Antecedentes Cuadros 6.03'!$A$262:$A$272,R$9,'Antecedentes Cuadros 6.03'!$O$262:$O$272)/1000,0)</f>
        <v>0</v>
      </c>
      <c r="S25" s="174">
        <f>ROUND(SUMIF('Antecedentes Cuadros 6.03'!$A$262:$A$272,S$9,'Antecedentes Cuadros 6.03'!$O$262:$O$272)/1000,0)</f>
        <v>0</v>
      </c>
      <c r="T25" s="174">
        <f>ROUND(SUMIF('Antecedentes Cuadros 6.03'!$A$262:$A$272,T$9,'Antecedentes Cuadros 6.03'!$O$262:$O$272)/1000,0)</f>
        <v>0</v>
      </c>
      <c r="U25" s="174">
        <f>ROUND(SUMIF('Antecedentes Cuadros 6.03'!$A$262:$A$272,U$9,'Antecedentes Cuadros 6.03'!$O$262:$O$272)/1000,0)</f>
        <v>0</v>
      </c>
      <c r="V25" s="174">
        <f>ROUND(SUMIF('Antecedentes Cuadros 6.03'!$A$262:$A$272,V$9,'Antecedentes Cuadros 6.03'!$O$262:$O$272)/1000,0)</f>
        <v>-497711</v>
      </c>
      <c r="W25" s="174">
        <f>ROUND(SUMIF('Antecedentes Cuadros 6.03'!$A$262:$A$272,W$9,'Antecedentes Cuadros 6.03'!$O$262:$O$272)/1000,0)</f>
        <v>0</v>
      </c>
      <c r="X25" s="174">
        <f>ROUND(SUMIF('Antecedentes Cuadros 6.03'!$A$262:$A$272,X$9,'Antecedentes Cuadros 6.03'!$O$262:$O$272)/1000,0)</f>
        <v>0</v>
      </c>
      <c r="Y25" s="174">
        <f>ROUND(SUMIF('Antecedentes Cuadros 6.03'!$A$262:$A$272,Y$9,'Antecedentes Cuadros 6.03'!$O$262:$O$272)/1000,0)</f>
        <v>0</v>
      </c>
      <c r="Z25" s="174">
        <f>ROUND(SUMIF('Antecedentes Cuadros 6.03'!$A$262:$A$272,Z$9,'Antecedentes Cuadros 6.03'!$O$262:$O$272)/1000,0)</f>
        <v>0</v>
      </c>
      <c r="AA25" s="174">
        <f>ROUND(SUMIF('Antecedentes Cuadros 6.03'!$A$262:$A$272,AA$9,'Antecedentes Cuadros 6.03'!$O$262:$O$272)/1000,0)</f>
        <v>0</v>
      </c>
      <c r="AB25" s="174">
        <f>ROUND(SUMIF('Antecedentes Cuadros 6.03'!$A$262:$A$272,AB$9,'Antecedentes Cuadros 6.03'!$O$262:$O$272)/1000,0)</f>
        <v>0</v>
      </c>
      <c r="AC25" s="174">
        <f>ROUND(SUMIF('Antecedentes Cuadros 6.03'!$A$262:$A$272,AC$9,'Antecedentes Cuadros 6.03'!$O$262:$O$272)/1000,0)</f>
        <v>-66083</v>
      </c>
      <c r="AD25" s="174">
        <f>ROUND(SUMIF('Antecedentes Cuadros 6.03'!$A$262:$A$272,AD$9,'Antecedentes Cuadros 6.03'!$O$262:$O$272)/1000,0)</f>
        <v>7</v>
      </c>
      <c r="AE25" s="174">
        <f>ROUND(SUMIF('Antecedentes Cuadros 6.03'!$A$262:$A$272,AE$9,'Antecedentes Cuadros 6.03'!$O$262:$O$272)/1000,0)</f>
        <v>0</v>
      </c>
      <c r="AF25" s="174">
        <f>ROUND(SUMIF('Antecedentes Cuadros 6.03'!$A$262:$A$272,AF$9,'Antecedentes Cuadros 6.03'!$O$262:$O$272)/1000,0)</f>
        <v>-252725</v>
      </c>
      <c r="AG25" s="174">
        <f>ROUND(SUMIF('Antecedentes Cuadros 6.03'!$A$262:$A$272,AG$9,'Antecedentes Cuadros 6.03'!$O$262:$O$272)/1000,0)</f>
        <v>0</v>
      </c>
      <c r="AH25" s="174">
        <f>ROUND(SUMIF('Antecedentes Cuadros 6.03'!$A$262:$A$272,AH$9,'Antecedentes Cuadros 6.03'!$O$262:$O$272)/1000,0)</f>
        <v>0</v>
      </c>
      <c r="AI25" s="174">
        <f>ROUND(SUMIF('Antecedentes Cuadros 6.03'!$A$262:$A$272,AI$9,'Antecedentes Cuadros 6.03'!$O$262:$O$272)/1000,0)</f>
        <v>0</v>
      </c>
      <c r="AJ25" s="174">
        <f>ROUND(SUMIF('Antecedentes Cuadros 6.03'!$A$262:$A$272,AJ$9,'Antecedentes Cuadros 6.03'!$O$262:$O$272)/1000,0)</f>
        <v>0</v>
      </c>
      <c r="AK25" s="174">
        <f>ROUND(SUMIF('Antecedentes Cuadros 6.03'!$A$262:$A$272,AK$9,'Antecedentes Cuadros 6.03'!$O$262:$O$272)/1000,0)</f>
        <v>0</v>
      </c>
      <c r="AL25" s="175">
        <f>ROUND(SUMIF('Antecedentes Cuadros 6.03'!$A$262:$A$272,AL$9,'Antecedentes Cuadros 6.03'!$O$262:$O$272)/1000,0)</f>
        <v>0</v>
      </c>
    </row>
    <row r="26" spans="2:40" ht="20.100000000000001" customHeight="1">
      <c r="B26" s="172" t="s">
        <v>3288</v>
      </c>
      <c r="C26" s="1382">
        <v>6351220</v>
      </c>
      <c r="D26" s="153" t="s">
        <v>3388</v>
      </c>
      <c r="E26" s="1366">
        <f t="shared" si="10"/>
        <v>0</v>
      </c>
      <c r="F26" s="210">
        <f t="shared" si="8"/>
        <v>0</v>
      </c>
      <c r="G26" s="430">
        <f>SUMIF(MATRIZCTAS!$O$7:$O$1766,$C26&amp;G$9,MATRIZCTAS!$AH$7:$AH$1766)</f>
        <v>0</v>
      </c>
      <c r="H26" s="430">
        <f>-SUMIF(MATRIZCTAS!$O$7:$O$1766,$C26&amp;H$9,MATRIZCTAS!$AH$7:$AH$1766)</f>
        <v>0</v>
      </c>
      <c r="I26" s="430">
        <f>-SUMIF(MATRIZCTAS!$O$7:$O$1766,$C26&amp;I$9,MATRIZCTAS!$AH$7:$AH$1766)</f>
        <v>0</v>
      </c>
      <c r="J26" s="430">
        <f>-SUMIF(MATRIZCTAS!$O$7:$O$1766,$C26&amp;J$9,MATRIZCTAS!$AH$7:$AH$1766)</f>
        <v>0</v>
      </c>
      <c r="K26" s="430">
        <f>-SUMIF(MATRIZCTAS!$O$7:$O$1766,$C26&amp;K$9,MATRIZCTAS!$AH$7:$AH$1766)</f>
        <v>0</v>
      </c>
      <c r="L26" s="430">
        <f>-SUMIF(MATRIZCTAS!$O$7:$O$1766,$C26&amp;L$9,MATRIZCTAS!$AH$7:$AH$1766)</f>
        <v>0</v>
      </c>
      <c r="M26" s="430">
        <f>-SUMIF(MATRIZCTAS!$O$7:$O$1766,$C26&amp;M$9,MATRIZCTAS!$AH$7:$AH$1766)</f>
        <v>0</v>
      </c>
      <c r="N26" s="430">
        <f>-SUMIF(MATRIZCTAS!$O$7:$O$1766,$C26&amp;N$9,MATRIZCTAS!$AH$7:$AH$1766)</f>
        <v>0</v>
      </c>
      <c r="O26" s="430">
        <f>-SUMIF(MATRIZCTAS!$O$7:$O$1766,$C26&amp;O$9,MATRIZCTAS!$AH$7:$AH$1766)</f>
        <v>0</v>
      </c>
      <c r="P26" s="430">
        <f>-SUMIF(MATRIZCTAS!$O$7:$O$1766,$C26&amp;P$9,MATRIZCTAS!$AH$7:$AH$1766)</f>
        <v>0</v>
      </c>
      <c r="Q26" s="430">
        <f>-SUMIF(MATRIZCTAS!$O$7:$O$1766,$C26&amp;Q$9,MATRIZCTAS!$AH$7:$AH$1766)</f>
        <v>0</v>
      </c>
      <c r="R26" s="430">
        <f>-SUMIF(MATRIZCTAS!$O$7:$O$1766,$C26&amp;R$9,MATRIZCTAS!$AH$7:$AH$1766)</f>
        <v>0</v>
      </c>
      <c r="S26" s="430">
        <f>-SUMIF(MATRIZCTAS!$O$7:$O$1766,$C26&amp;S$9,MATRIZCTAS!$AH$7:$AH$1766)</f>
        <v>0</v>
      </c>
      <c r="T26" s="430">
        <f>-SUMIF(MATRIZCTAS!$O$7:$O$1766,$C26&amp;T$9,MATRIZCTAS!$AH$7:$AH$1766)</f>
        <v>0</v>
      </c>
      <c r="U26" s="430">
        <f>-SUMIF(MATRIZCTAS!$O$7:$O$1766,$C26&amp;U$9,MATRIZCTAS!$AH$7:$AH$1766)</f>
        <v>0</v>
      </c>
      <c r="V26" s="430">
        <f>-SUMIF(MATRIZCTAS!$O$7:$O$1766,$C26&amp;V$9,MATRIZCTAS!$AH$7:$AH$1766)</f>
        <v>0</v>
      </c>
      <c r="W26" s="430">
        <f>-SUMIF(MATRIZCTAS!$O$7:$O$1766,$C26&amp;W$9,MATRIZCTAS!$AH$7:$AH$1766)</f>
        <v>0</v>
      </c>
      <c r="X26" s="430">
        <f>-SUMIF(MATRIZCTAS!$O$7:$O$1766,$C26&amp;X$9,MATRIZCTAS!$AH$7:$AH$1766)</f>
        <v>0</v>
      </c>
      <c r="Y26" s="430">
        <f>-SUMIF(MATRIZCTAS!$O$7:$O$1766,$C26&amp;Y$9,MATRIZCTAS!$AH$7:$AH$1766)</f>
        <v>0</v>
      </c>
      <c r="Z26" s="430">
        <f>-SUMIF(MATRIZCTAS!$O$7:$O$1766,$C26&amp;Z$9,MATRIZCTAS!$AH$7:$AH$1766)</f>
        <v>0</v>
      </c>
      <c r="AA26" s="430">
        <f>-SUMIF(MATRIZCTAS!$O$7:$O$1766,$C26&amp;AA$9,MATRIZCTAS!$AH$7:$AH$1766)</f>
        <v>0</v>
      </c>
      <c r="AB26" s="430">
        <f>-SUMIF(MATRIZCTAS!$O$7:$O$1766,$C26&amp;AB$9,MATRIZCTAS!$AH$7:$AH$1766)</f>
        <v>0</v>
      </c>
      <c r="AC26" s="430">
        <f>-SUMIF(MATRIZCTAS!$O$7:$O$1766,$C26&amp;AC$9,MATRIZCTAS!$AH$7:$AH$1766)</f>
        <v>0</v>
      </c>
      <c r="AD26" s="430">
        <f>-SUMIF(MATRIZCTAS!$O$7:$O$1766,$C26&amp;AD$9,MATRIZCTAS!$AH$7:$AH$1766)</f>
        <v>0</v>
      </c>
      <c r="AE26" s="430">
        <f>-SUMIF(MATRIZCTAS!$O$7:$O$1766,$C26&amp;AE$9,MATRIZCTAS!$AH$7:$AH$1766)</f>
        <v>0</v>
      </c>
      <c r="AF26" s="430">
        <f>-SUMIF(MATRIZCTAS!$O$7:$O$1766,$C26&amp;AF$9,MATRIZCTAS!$AH$7:$AH$1766)</f>
        <v>0</v>
      </c>
      <c r="AG26" s="430">
        <f>-SUMIF(MATRIZCTAS!$O$7:$O$1766,$C26&amp;AG$9,MATRIZCTAS!$AH$7:$AH$1766)</f>
        <v>0</v>
      </c>
      <c r="AH26" s="430">
        <f>-SUMIF(MATRIZCTAS!$O$7:$O$1766,$C26&amp;AH$9,MATRIZCTAS!$AH$7:$AH$1766)</f>
        <v>0</v>
      </c>
      <c r="AI26" s="430">
        <f>-SUMIF(MATRIZCTAS!$O$7:$O$1766,$C26&amp;AI$9,MATRIZCTAS!$AH$7:$AH$1766)</f>
        <v>0</v>
      </c>
      <c r="AJ26" s="430">
        <f>-SUMIF(MATRIZCTAS!$O$7:$O$1766,$C26&amp;AJ$9,MATRIZCTAS!$AH$7:$AH$1766)</f>
        <v>0</v>
      </c>
      <c r="AK26" s="430">
        <f>-SUMIF(MATRIZCTAS!$O$7:$O$1766,$C26&amp;AK$9,MATRIZCTAS!$AH$7:$AH$1766)</f>
        <v>0</v>
      </c>
      <c r="AL26" s="1456">
        <f>-SUMIF(MATRIZCTAS!$O$7:$O$1766,$C26&amp;AL$9,MATRIZCTAS!$AH$7:$AH$1766)</f>
        <v>0</v>
      </c>
      <c r="AM26" s="166">
        <v>0</v>
      </c>
      <c r="AN26" s="166">
        <v>0</v>
      </c>
    </row>
    <row r="27" spans="2:40" ht="20.100000000000001" customHeight="1">
      <c r="B27" s="172" t="s">
        <v>3289</v>
      </c>
      <c r="C27" s="1382">
        <v>6351230</v>
      </c>
      <c r="D27" s="153" t="s">
        <v>3389</v>
      </c>
      <c r="E27" s="1366">
        <f t="shared" si="10"/>
        <v>0</v>
      </c>
      <c r="F27" s="210">
        <f t="shared" si="8"/>
        <v>0</v>
      </c>
      <c r="G27" s="430">
        <f>SUMIF(MATRIZCTAS!$O$7:$O$1766,$C27&amp;G$9,MATRIZCTAS!$AH$7:$AH$1766)</f>
        <v>0</v>
      </c>
      <c r="H27" s="430">
        <f>-SUMIF(MATRIZCTAS!$O$7:$O$1766,$C27&amp;H$9,MATRIZCTAS!$AH$7:$AH$1766)</f>
        <v>0</v>
      </c>
      <c r="I27" s="430">
        <f>-SUMIF(MATRIZCTAS!$O$7:$O$1766,$C27&amp;I$9,MATRIZCTAS!$AH$7:$AH$1766)</f>
        <v>0</v>
      </c>
      <c r="J27" s="430">
        <f>-SUMIF(MATRIZCTAS!$O$7:$O$1766,$C27&amp;J$9,MATRIZCTAS!$AH$7:$AH$1766)</f>
        <v>0</v>
      </c>
      <c r="K27" s="430">
        <f>-SUMIF(MATRIZCTAS!$O$7:$O$1766,$C27&amp;K$9,MATRIZCTAS!$AH$7:$AH$1766)</f>
        <v>0</v>
      </c>
      <c r="L27" s="430">
        <f>-SUMIF(MATRIZCTAS!$O$7:$O$1766,$C27&amp;L$9,MATRIZCTAS!$AH$7:$AH$1766)</f>
        <v>0</v>
      </c>
      <c r="M27" s="430">
        <f>-SUMIF(MATRIZCTAS!$O$7:$O$1766,$C27&amp;M$9,MATRIZCTAS!$AH$7:$AH$1766)</f>
        <v>0</v>
      </c>
      <c r="N27" s="430">
        <f>-SUMIF(MATRIZCTAS!$O$7:$O$1766,$C27&amp;N$9,MATRIZCTAS!$AH$7:$AH$1766)</f>
        <v>0</v>
      </c>
      <c r="O27" s="430">
        <f>-SUMIF(MATRIZCTAS!$O$7:$O$1766,$C27&amp;O$9,MATRIZCTAS!$AH$7:$AH$1766)</f>
        <v>0</v>
      </c>
      <c r="P27" s="430">
        <f>-SUMIF(MATRIZCTAS!$O$7:$O$1766,$C27&amp;P$9,MATRIZCTAS!$AH$7:$AH$1766)</f>
        <v>0</v>
      </c>
      <c r="Q27" s="430">
        <f>-SUMIF(MATRIZCTAS!$O$7:$O$1766,$C27&amp;Q$9,MATRIZCTAS!$AH$7:$AH$1766)</f>
        <v>0</v>
      </c>
      <c r="R27" s="430">
        <f>-SUMIF(MATRIZCTAS!$O$7:$O$1766,$C27&amp;R$9,MATRIZCTAS!$AH$7:$AH$1766)</f>
        <v>0</v>
      </c>
      <c r="S27" s="430">
        <f>-SUMIF(MATRIZCTAS!$O$7:$O$1766,$C27&amp;S$9,MATRIZCTAS!$AH$7:$AH$1766)</f>
        <v>0</v>
      </c>
      <c r="T27" s="430">
        <f>-SUMIF(MATRIZCTAS!$O$7:$O$1766,$C27&amp;T$9,MATRIZCTAS!$AH$7:$AH$1766)</f>
        <v>0</v>
      </c>
      <c r="U27" s="430">
        <f>-SUMIF(MATRIZCTAS!$O$7:$O$1766,$C27&amp;U$9,MATRIZCTAS!$AH$7:$AH$1766)</f>
        <v>0</v>
      </c>
      <c r="V27" s="430">
        <f>-SUMIF(MATRIZCTAS!$O$7:$O$1766,$C27&amp;V$9,MATRIZCTAS!$AH$7:$AH$1766)</f>
        <v>0</v>
      </c>
      <c r="W27" s="430">
        <f>-SUMIF(MATRIZCTAS!$O$7:$O$1766,$C27&amp;W$9,MATRIZCTAS!$AH$7:$AH$1766)</f>
        <v>0</v>
      </c>
      <c r="X27" s="430">
        <f>-SUMIF(MATRIZCTAS!$O$7:$O$1766,$C27&amp;X$9,MATRIZCTAS!$AH$7:$AH$1766)</f>
        <v>0</v>
      </c>
      <c r="Y27" s="430">
        <f>-SUMIF(MATRIZCTAS!$O$7:$O$1766,$C27&amp;Y$9,MATRIZCTAS!$AH$7:$AH$1766)</f>
        <v>0</v>
      </c>
      <c r="Z27" s="430">
        <f>-SUMIF(MATRIZCTAS!$O$7:$O$1766,$C27&amp;Z$9,MATRIZCTAS!$AH$7:$AH$1766)</f>
        <v>0</v>
      </c>
      <c r="AA27" s="430">
        <f>-SUMIF(MATRIZCTAS!$O$7:$O$1766,$C27&amp;AA$9,MATRIZCTAS!$AH$7:$AH$1766)</f>
        <v>0</v>
      </c>
      <c r="AB27" s="430">
        <f>-SUMIF(MATRIZCTAS!$O$7:$O$1766,$C27&amp;AB$9,MATRIZCTAS!$AH$7:$AH$1766)</f>
        <v>0</v>
      </c>
      <c r="AC27" s="430">
        <f>-SUMIF(MATRIZCTAS!$O$7:$O$1766,$C27&amp;AC$9,MATRIZCTAS!$AH$7:$AH$1766)</f>
        <v>0</v>
      </c>
      <c r="AD27" s="430">
        <f>-SUMIF(MATRIZCTAS!$O$7:$O$1766,$C27&amp;AD$9,MATRIZCTAS!$AH$7:$AH$1766)</f>
        <v>0</v>
      </c>
      <c r="AE27" s="430">
        <f>-SUMIF(MATRIZCTAS!$O$7:$O$1766,$C27&amp;AE$9,MATRIZCTAS!$AH$7:$AH$1766)</f>
        <v>0</v>
      </c>
      <c r="AF27" s="430">
        <f>-SUMIF(MATRIZCTAS!$O$7:$O$1766,$C27&amp;AF$9,MATRIZCTAS!$AH$7:$AH$1766)</f>
        <v>0</v>
      </c>
      <c r="AG27" s="430">
        <f>-SUMIF(MATRIZCTAS!$O$7:$O$1766,$C27&amp;AG$9,MATRIZCTAS!$AH$7:$AH$1766)</f>
        <v>0</v>
      </c>
      <c r="AH27" s="430">
        <f>-SUMIF(MATRIZCTAS!$O$7:$O$1766,$C27&amp;AH$9,MATRIZCTAS!$AH$7:$AH$1766)</f>
        <v>0</v>
      </c>
      <c r="AI27" s="430">
        <f>-SUMIF(MATRIZCTAS!$O$7:$O$1766,$C27&amp;AI$9,MATRIZCTAS!$AH$7:$AH$1766)</f>
        <v>0</v>
      </c>
      <c r="AJ27" s="430">
        <f>-SUMIF(MATRIZCTAS!$O$7:$O$1766,$C27&amp;AJ$9,MATRIZCTAS!$AH$7:$AH$1766)</f>
        <v>0</v>
      </c>
      <c r="AK27" s="430">
        <f>-SUMIF(MATRIZCTAS!$O$7:$O$1766,$C27&amp;AK$9,MATRIZCTAS!$AH$7:$AH$1766)</f>
        <v>0</v>
      </c>
      <c r="AL27" s="1456">
        <f>-SUMIF(MATRIZCTAS!$O$7:$O$1766,$C27&amp;AL$9,MATRIZCTAS!$AH$7:$AH$1766)</f>
        <v>0</v>
      </c>
    </row>
    <row r="28" spans="2:40" s="171" customFormat="1" ht="20.100000000000001" customHeight="1">
      <c r="B28" s="172" t="s">
        <v>3290</v>
      </c>
      <c r="C28" s="179">
        <v>6351300</v>
      </c>
      <c r="D28" s="158" t="s">
        <v>1241</v>
      </c>
      <c r="E28" s="1365">
        <f t="shared" si="10"/>
        <v>0</v>
      </c>
      <c r="F28" s="210">
        <f t="shared" si="8"/>
        <v>0</v>
      </c>
      <c r="G28" s="180">
        <f>SUM(G29:G31)</f>
        <v>0</v>
      </c>
      <c r="H28" s="180">
        <f t="shared" ref="H28:AL28" si="12">SUM(H29:H31)</f>
        <v>0</v>
      </c>
      <c r="I28" s="180">
        <f t="shared" si="12"/>
        <v>0</v>
      </c>
      <c r="J28" s="180">
        <f t="shared" si="12"/>
        <v>0</v>
      </c>
      <c r="K28" s="180">
        <f t="shared" si="12"/>
        <v>0</v>
      </c>
      <c r="L28" s="180">
        <f t="shared" si="12"/>
        <v>0</v>
      </c>
      <c r="M28" s="180">
        <f t="shared" si="12"/>
        <v>0</v>
      </c>
      <c r="N28" s="180">
        <f t="shared" si="12"/>
        <v>0</v>
      </c>
      <c r="O28" s="180">
        <f t="shared" si="12"/>
        <v>0</v>
      </c>
      <c r="P28" s="180">
        <f t="shared" si="12"/>
        <v>0</v>
      </c>
      <c r="Q28" s="180">
        <f t="shared" si="12"/>
        <v>0</v>
      </c>
      <c r="R28" s="180">
        <f t="shared" si="12"/>
        <v>0</v>
      </c>
      <c r="S28" s="180">
        <f t="shared" si="12"/>
        <v>0</v>
      </c>
      <c r="T28" s="180">
        <f t="shared" si="12"/>
        <v>0</v>
      </c>
      <c r="U28" s="180">
        <f t="shared" si="12"/>
        <v>0</v>
      </c>
      <c r="V28" s="180">
        <f t="shared" si="12"/>
        <v>0</v>
      </c>
      <c r="W28" s="180">
        <f t="shared" si="12"/>
        <v>0</v>
      </c>
      <c r="X28" s="180">
        <f t="shared" si="12"/>
        <v>0</v>
      </c>
      <c r="Y28" s="180">
        <f t="shared" si="12"/>
        <v>0</v>
      </c>
      <c r="Z28" s="180">
        <f t="shared" si="12"/>
        <v>0</v>
      </c>
      <c r="AA28" s="180">
        <f t="shared" si="12"/>
        <v>0</v>
      </c>
      <c r="AB28" s="180">
        <f t="shared" si="12"/>
        <v>0</v>
      </c>
      <c r="AC28" s="180">
        <f t="shared" si="12"/>
        <v>0</v>
      </c>
      <c r="AD28" s="180">
        <f t="shared" si="12"/>
        <v>0</v>
      </c>
      <c r="AE28" s="180">
        <f t="shared" si="12"/>
        <v>0</v>
      </c>
      <c r="AF28" s="180">
        <f t="shared" si="12"/>
        <v>0</v>
      </c>
      <c r="AG28" s="180">
        <f t="shared" si="12"/>
        <v>0</v>
      </c>
      <c r="AH28" s="180">
        <f t="shared" si="12"/>
        <v>0</v>
      </c>
      <c r="AI28" s="180">
        <f t="shared" si="12"/>
        <v>0</v>
      </c>
      <c r="AJ28" s="180">
        <f t="shared" si="12"/>
        <v>0</v>
      </c>
      <c r="AK28" s="180">
        <f t="shared" si="12"/>
        <v>0</v>
      </c>
      <c r="AL28" s="178">
        <f t="shared" si="12"/>
        <v>0</v>
      </c>
    </row>
    <row r="29" spans="2:40" ht="20.100000000000001" customHeight="1">
      <c r="B29" s="172" t="s">
        <v>3291</v>
      </c>
      <c r="C29" s="1382">
        <v>6351310</v>
      </c>
      <c r="D29" s="153" t="s">
        <v>35</v>
      </c>
      <c r="E29" s="1366">
        <f t="shared" si="10"/>
        <v>0</v>
      </c>
      <c r="F29" s="210">
        <f t="shared" si="8"/>
        <v>0</v>
      </c>
      <c r="G29" s="430">
        <f>SUMIF(MATRIZCTAS!$O$7:$O$1766,$C29&amp;G$9,MATRIZCTAS!$AH$7:$AH$1766)</f>
        <v>0</v>
      </c>
      <c r="H29" s="430">
        <f>-SUMIF(MATRIZCTAS!$O$7:$O$1766,$C29&amp;H$9,MATRIZCTAS!$AH$7:$AH$1766)</f>
        <v>0</v>
      </c>
      <c r="I29" s="430">
        <f>-SUMIF(MATRIZCTAS!$O$7:$O$1766,$C29&amp;I$9,MATRIZCTAS!$AH$7:$AH$1766)</f>
        <v>0</v>
      </c>
      <c r="J29" s="430">
        <f>-SUMIF(MATRIZCTAS!$O$7:$O$1766,$C29&amp;J$9,MATRIZCTAS!$AH$7:$AH$1766)</f>
        <v>0</v>
      </c>
      <c r="K29" s="430">
        <f>-SUMIF(MATRIZCTAS!$O$7:$O$1766,$C29&amp;K$9,MATRIZCTAS!$AH$7:$AH$1766)</f>
        <v>0</v>
      </c>
      <c r="L29" s="430">
        <f>-SUMIF(MATRIZCTAS!$O$7:$O$1766,$C29&amp;L$9,MATRIZCTAS!$AH$7:$AH$1766)</f>
        <v>0</v>
      </c>
      <c r="M29" s="430">
        <f>-SUMIF(MATRIZCTAS!$O$7:$O$1766,$C29&amp;M$9,MATRIZCTAS!$AH$7:$AH$1766)</f>
        <v>0</v>
      </c>
      <c r="N29" s="430">
        <f>-SUMIF(MATRIZCTAS!$O$7:$O$1766,$C29&amp;N$9,MATRIZCTAS!$AH$7:$AH$1766)</f>
        <v>0</v>
      </c>
      <c r="O29" s="430">
        <f>-SUMIF(MATRIZCTAS!$O$7:$O$1766,$C29&amp;O$9,MATRIZCTAS!$AH$7:$AH$1766)</f>
        <v>0</v>
      </c>
      <c r="P29" s="430">
        <f>-SUMIF(MATRIZCTAS!$O$7:$O$1766,$C29&amp;P$9,MATRIZCTAS!$AH$7:$AH$1766)</f>
        <v>0</v>
      </c>
      <c r="Q29" s="430">
        <f>-SUMIF(MATRIZCTAS!$O$7:$O$1766,$C29&amp;Q$9,MATRIZCTAS!$AH$7:$AH$1766)</f>
        <v>0</v>
      </c>
      <c r="R29" s="430">
        <f>-SUMIF(MATRIZCTAS!$O$7:$O$1766,$C29&amp;R$9,MATRIZCTAS!$AH$7:$AH$1766)</f>
        <v>0</v>
      </c>
      <c r="S29" s="430">
        <f>-SUMIF(MATRIZCTAS!$O$7:$O$1766,$C29&amp;S$9,MATRIZCTAS!$AH$7:$AH$1766)</f>
        <v>0</v>
      </c>
      <c r="T29" s="430">
        <f>-SUMIF(MATRIZCTAS!$O$7:$O$1766,$C29&amp;T$9,MATRIZCTAS!$AH$7:$AH$1766)</f>
        <v>0</v>
      </c>
      <c r="U29" s="430">
        <f>-SUMIF(MATRIZCTAS!$O$7:$O$1766,$C29&amp;U$9,MATRIZCTAS!$AH$7:$AH$1766)</f>
        <v>0</v>
      </c>
      <c r="V29" s="430">
        <f>-SUMIF(MATRIZCTAS!$O$7:$O$1766,$C29&amp;V$9,MATRIZCTAS!$AH$7:$AH$1766)</f>
        <v>0</v>
      </c>
      <c r="W29" s="430">
        <f>-SUMIF(MATRIZCTAS!$O$7:$O$1766,$C29&amp;W$9,MATRIZCTAS!$AH$7:$AH$1766)</f>
        <v>0</v>
      </c>
      <c r="X29" s="430">
        <f>-SUMIF(MATRIZCTAS!$O$7:$O$1766,$C29&amp;X$9,MATRIZCTAS!$AH$7:$AH$1766)</f>
        <v>0</v>
      </c>
      <c r="Y29" s="430">
        <f>-SUMIF(MATRIZCTAS!$O$7:$O$1766,$C29&amp;Y$9,MATRIZCTAS!$AH$7:$AH$1766)</f>
        <v>0</v>
      </c>
      <c r="Z29" s="430">
        <f>-SUMIF(MATRIZCTAS!$O$7:$O$1766,$C29&amp;Z$9,MATRIZCTAS!$AH$7:$AH$1766)</f>
        <v>0</v>
      </c>
      <c r="AA29" s="430">
        <f>-SUMIF(MATRIZCTAS!$O$7:$O$1766,$C29&amp;AA$9,MATRIZCTAS!$AH$7:$AH$1766)</f>
        <v>0</v>
      </c>
      <c r="AB29" s="430">
        <f>-SUMIF(MATRIZCTAS!$O$7:$O$1766,$C29&amp;AB$9,MATRIZCTAS!$AH$7:$AH$1766)</f>
        <v>0</v>
      </c>
      <c r="AC29" s="430">
        <f>-SUMIF(MATRIZCTAS!$O$7:$O$1766,$C29&amp;AC$9,MATRIZCTAS!$AH$7:$AH$1766)</f>
        <v>0</v>
      </c>
      <c r="AD29" s="430">
        <f>-SUMIF(MATRIZCTAS!$O$7:$O$1766,$C29&amp;AD$9,MATRIZCTAS!$AH$7:$AH$1766)</f>
        <v>0</v>
      </c>
      <c r="AE29" s="430">
        <f>-SUMIF(MATRIZCTAS!$O$7:$O$1766,$C29&amp;AE$9,MATRIZCTAS!$AH$7:$AH$1766)</f>
        <v>0</v>
      </c>
      <c r="AF29" s="430">
        <f>-SUMIF(MATRIZCTAS!$O$7:$O$1766,$C29&amp;AF$9,MATRIZCTAS!$AH$7:$AH$1766)</f>
        <v>0</v>
      </c>
      <c r="AG29" s="430">
        <f>-SUMIF(MATRIZCTAS!$O$7:$O$1766,$C29&amp;AG$9,MATRIZCTAS!$AH$7:$AH$1766)</f>
        <v>0</v>
      </c>
      <c r="AH29" s="430">
        <f>-SUMIF(MATRIZCTAS!$O$7:$O$1766,$C29&amp;AH$9,MATRIZCTAS!$AH$7:$AH$1766)</f>
        <v>0</v>
      </c>
      <c r="AI29" s="430">
        <f>-SUMIF(MATRIZCTAS!$O$7:$O$1766,$C29&amp;AI$9,MATRIZCTAS!$AH$7:$AH$1766)</f>
        <v>0</v>
      </c>
      <c r="AJ29" s="430">
        <f>-SUMIF(MATRIZCTAS!$O$7:$O$1766,$C29&amp;AJ$9,MATRIZCTAS!$AH$7:$AH$1766)</f>
        <v>0</v>
      </c>
      <c r="AK29" s="430">
        <f>-SUMIF(MATRIZCTAS!$O$7:$O$1766,$C29&amp;AK$9,MATRIZCTAS!$AH$7:$AH$1766)</f>
        <v>0</v>
      </c>
      <c r="AL29" s="1456">
        <f>-SUMIF(MATRIZCTAS!$O$7:$O$1766,$C29&amp;AL$9,MATRIZCTAS!$AH$7:$AH$1766)</f>
        <v>0</v>
      </c>
    </row>
    <row r="30" spans="2:40" ht="20.100000000000001" customHeight="1">
      <c r="B30" s="172" t="s">
        <v>3292</v>
      </c>
      <c r="C30" s="1382">
        <v>6351320</v>
      </c>
      <c r="D30" s="153" t="s">
        <v>3388</v>
      </c>
      <c r="E30" s="1366">
        <f t="shared" si="10"/>
        <v>0</v>
      </c>
      <c r="F30" s="210">
        <f t="shared" si="8"/>
        <v>0</v>
      </c>
      <c r="G30" s="430">
        <f>SUMIF(MATRIZCTAS!$O$7:$O$1766,$C30&amp;G$9,MATRIZCTAS!$AH$7:$AH$1766)</f>
        <v>0</v>
      </c>
      <c r="H30" s="430">
        <f>-SUMIF(MATRIZCTAS!$O$7:$O$1766,$C30&amp;H$9,MATRIZCTAS!$AH$7:$AH$1766)</f>
        <v>0</v>
      </c>
      <c r="I30" s="430">
        <f>-SUMIF(MATRIZCTAS!$O$7:$O$1766,$C30&amp;I$9,MATRIZCTAS!$AH$7:$AH$1766)</f>
        <v>0</v>
      </c>
      <c r="J30" s="430">
        <f>-SUMIF(MATRIZCTAS!$O$7:$O$1766,$C30&amp;J$9,MATRIZCTAS!$AH$7:$AH$1766)</f>
        <v>0</v>
      </c>
      <c r="K30" s="430">
        <f>-SUMIF(MATRIZCTAS!$O$7:$O$1766,$C30&amp;K$9,MATRIZCTAS!$AH$7:$AH$1766)</f>
        <v>0</v>
      </c>
      <c r="L30" s="430">
        <f>-SUMIF(MATRIZCTAS!$O$7:$O$1766,$C30&amp;L$9,MATRIZCTAS!$AH$7:$AH$1766)</f>
        <v>0</v>
      </c>
      <c r="M30" s="430">
        <f>-SUMIF(MATRIZCTAS!$O$7:$O$1766,$C30&amp;M$9,MATRIZCTAS!$AH$7:$AH$1766)</f>
        <v>0</v>
      </c>
      <c r="N30" s="430">
        <f>-SUMIF(MATRIZCTAS!$O$7:$O$1766,$C30&amp;N$9,MATRIZCTAS!$AH$7:$AH$1766)</f>
        <v>0</v>
      </c>
      <c r="O30" s="430">
        <f>-SUMIF(MATRIZCTAS!$O$7:$O$1766,$C30&amp;O$9,MATRIZCTAS!$AH$7:$AH$1766)</f>
        <v>0</v>
      </c>
      <c r="P30" s="430">
        <f>-SUMIF(MATRIZCTAS!$O$7:$O$1766,$C30&amp;P$9,MATRIZCTAS!$AH$7:$AH$1766)</f>
        <v>0</v>
      </c>
      <c r="Q30" s="430">
        <f>-SUMIF(MATRIZCTAS!$O$7:$O$1766,$C30&amp;Q$9,MATRIZCTAS!$AH$7:$AH$1766)</f>
        <v>0</v>
      </c>
      <c r="R30" s="430">
        <f>-SUMIF(MATRIZCTAS!$O$7:$O$1766,$C30&amp;R$9,MATRIZCTAS!$AH$7:$AH$1766)</f>
        <v>0</v>
      </c>
      <c r="S30" s="430">
        <f>-SUMIF(MATRIZCTAS!$O$7:$O$1766,$C30&amp;S$9,MATRIZCTAS!$AH$7:$AH$1766)</f>
        <v>0</v>
      </c>
      <c r="T30" s="430">
        <f>-SUMIF(MATRIZCTAS!$O$7:$O$1766,$C30&amp;T$9,MATRIZCTAS!$AH$7:$AH$1766)</f>
        <v>0</v>
      </c>
      <c r="U30" s="430">
        <f>-SUMIF(MATRIZCTAS!$O$7:$O$1766,$C30&amp;U$9,MATRIZCTAS!$AH$7:$AH$1766)</f>
        <v>0</v>
      </c>
      <c r="V30" s="430">
        <f>-SUMIF(MATRIZCTAS!$O$7:$O$1766,$C30&amp;V$9,MATRIZCTAS!$AH$7:$AH$1766)</f>
        <v>0</v>
      </c>
      <c r="W30" s="430">
        <f>-SUMIF(MATRIZCTAS!$O$7:$O$1766,$C30&amp;W$9,MATRIZCTAS!$AH$7:$AH$1766)</f>
        <v>0</v>
      </c>
      <c r="X30" s="430">
        <f>-SUMIF(MATRIZCTAS!$O$7:$O$1766,$C30&amp;X$9,MATRIZCTAS!$AH$7:$AH$1766)</f>
        <v>0</v>
      </c>
      <c r="Y30" s="430">
        <f>-SUMIF(MATRIZCTAS!$O$7:$O$1766,$C30&amp;Y$9,MATRIZCTAS!$AH$7:$AH$1766)</f>
        <v>0</v>
      </c>
      <c r="Z30" s="430">
        <f>-SUMIF(MATRIZCTAS!$O$7:$O$1766,$C30&amp;Z$9,MATRIZCTAS!$AH$7:$AH$1766)</f>
        <v>0</v>
      </c>
      <c r="AA30" s="430">
        <f>-SUMIF(MATRIZCTAS!$O$7:$O$1766,$C30&amp;AA$9,MATRIZCTAS!$AH$7:$AH$1766)</f>
        <v>0</v>
      </c>
      <c r="AB30" s="430">
        <f>-SUMIF(MATRIZCTAS!$O$7:$O$1766,$C30&amp;AB$9,MATRIZCTAS!$AH$7:$AH$1766)</f>
        <v>0</v>
      </c>
      <c r="AC30" s="430">
        <f>-SUMIF(MATRIZCTAS!$O$7:$O$1766,$C30&amp;AC$9,MATRIZCTAS!$AH$7:$AH$1766)</f>
        <v>0</v>
      </c>
      <c r="AD30" s="430">
        <f>-SUMIF(MATRIZCTAS!$O$7:$O$1766,$C30&amp;AD$9,MATRIZCTAS!$AH$7:$AH$1766)</f>
        <v>0</v>
      </c>
      <c r="AE30" s="430">
        <f>-SUMIF(MATRIZCTAS!$O$7:$O$1766,$C30&amp;AE$9,MATRIZCTAS!$AH$7:$AH$1766)</f>
        <v>0</v>
      </c>
      <c r="AF30" s="430">
        <f>-SUMIF(MATRIZCTAS!$O$7:$O$1766,$C30&amp;AF$9,MATRIZCTAS!$AH$7:$AH$1766)</f>
        <v>0</v>
      </c>
      <c r="AG30" s="430">
        <f>-SUMIF(MATRIZCTAS!$O$7:$O$1766,$C30&amp;AG$9,MATRIZCTAS!$AH$7:$AH$1766)</f>
        <v>0</v>
      </c>
      <c r="AH30" s="430">
        <f>-SUMIF(MATRIZCTAS!$O$7:$O$1766,$C30&amp;AH$9,MATRIZCTAS!$AH$7:$AH$1766)</f>
        <v>0</v>
      </c>
      <c r="AI30" s="430">
        <f>-SUMIF(MATRIZCTAS!$O$7:$O$1766,$C30&amp;AI$9,MATRIZCTAS!$AH$7:$AH$1766)</f>
        <v>0</v>
      </c>
      <c r="AJ30" s="430">
        <f>-SUMIF(MATRIZCTAS!$O$7:$O$1766,$C30&amp;AJ$9,MATRIZCTAS!$AH$7:$AH$1766)</f>
        <v>0</v>
      </c>
      <c r="AK30" s="430">
        <f>-SUMIF(MATRIZCTAS!$O$7:$O$1766,$C30&amp;AK$9,MATRIZCTAS!$AH$7:$AH$1766)</f>
        <v>0</v>
      </c>
      <c r="AL30" s="1456">
        <f>-SUMIF(MATRIZCTAS!$O$7:$O$1766,$C30&amp;AL$9,MATRIZCTAS!$AH$7:$AH$1766)</f>
        <v>0</v>
      </c>
    </row>
    <row r="31" spans="2:40" ht="20.100000000000001" customHeight="1">
      <c r="B31" s="172" t="s">
        <v>3293</v>
      </c>
      <c r="C31" s="1382">
        <v>6351330</v>
      </c>
      <c r="D31" s="153" t="s">
        <v>3389</v>
      </c>
      <c r="E31" s="1366">
        <f t="shared" si="10"/>
        <v>0</v>
      </c>
      <c r="F31" s="210">
        <f t="shared" si="8"/>
        <v>0</v>
      </c>
      <c r="G31" s="430">
        <f>SUMIF(MATRIZCTAS!$O$7:$O$1766,$C31&amp;G$9,MATRIZCTAS!$AH$7:$AH$1766)</f>
        <v>0</v>
      </c>
      <c r="H31" s="430">
        <f>-SUMIF(MATRIZCTAS!$O$7:$O$1766,$C31&amp;H$9,MATRIZCTAS!$AH$7:$AH$1766)</f>
        <v>0</v>
      </c>
      <c r="I31" s="430">
        <f>-SUMIF(MATRIZCTAS!$O$7:$O$1766,$C31&amp;I$9,MATRIZCTAS!$AH$7:$AH$1766)</f>
        <v>0</v>
      </c>
      <c r="J31" s="430">
        <f>-SUMIF(MATRIZCTAS!$O$7:$O$1766,$C31&amp;J$9,MATRIZCTAS!$AH$7:$AH$1766)</f>
        <v>0</v>
      </c>
      <c r="K31" s="430">
        <f>-SUMIF(MATRIZCTAS!$O$7:$O$1766,$C31&amp;K$9,MATRIZCTAS!$AH$7:$AH$1766)</f>
        <v>0</v>
      </c>
      <c r="L31" s="430">
        <f>-SUMIF(MATRIZCTAS!$O$7:$O$1766,$C31&amp;L$9,MATRIZCTAS!$AH$7:$AH$1766)</f>
        <v>0</v>
      </c>
      <c r="M31" s="430">
        <f>-SUMIF(MATRIZCTAS!$O$7:$O$1766,$C31&amp;M$9,MATRIZCTAS!$AH$7:$AH$1766)</f>
        <v>0</v>
      </c>
      <c r="N31" s="430">
        <f>-SUMIF(MATRIZCTAS!$O$7:$O$1766,$C31&amp;N$9,MATRIZCTAS!$AH$7:$AH$1766)</f>
        <v>0</v>
      </c>
      <c r="O31" s="430">
        <f>-SUMIF(MATRIZCTAS!$O$7:$O$1766,$C31&amp;O$9,MATRIZCTAS!$AH$7:$AH$1766)</f>
        <v>0</v>
      </c>
      <c r="P31" s="430">
        <f>-SUMIF(MATRIZCTAS!$O$7:$O$1766,$C31&amp;P$9,MATRIZCTAS!$AH$7:$AH$1766)</f>
        <v>0</v>
      </c>
      <c r="Q31" s="430">
        <f>-SUMIF(MATRIZCTAS!$O$7:$O$1766,$C31&amp;Q$9,MATRIZCTAS!$AH$7:$AH$1766)</f>
        <v>0</v>
      </c>
      <c r="R31" s="430">
        <f>-SUMIF(MATRIZCTAS!$O$7:$O$1766,$C31&amp;R$9,MATRIZCTAS!$AH$7:$AH$1766)</f>
        <v>0</v>
      </c>
      <c r="S31" s="430">
        <f>-SUMIF(MATRIZCTAS!$O$7:$O$1766,$C31&amp;S$9,MATRIZCTAS!$AH$7:$AH$1766)</f>
        <v>0</v>
      </c>
      <c r="T31" s="430">
        <f>-SUMIF(MATRIZCTAS!$O$7:$O$1766,$C31&amp;T$9,MATRIZCTAS!$AH$7:$AH$1766)</f>
        <v>0</v>
      </c>
      <c r="U31" s="430">
        <f>-SUMIF(MATRIZCTAS!$O$7:$O$1766,$C31&amp;U$9,MATRIZCTAS!$AH$7:$AH$1766)</f>
        <v>0</v>
      </c>
      <c r="V31" s="430">
        <f>-SUMIF(MATRIZCTAS!$O$7:$O$1766,$C31&amp;V$9,MATRIZCTAS!$AH$7:$AH$1766)</f>
        <v>0</v>
      </c>
      <c r="W31" s="430">
        <f>-SUMIF(MATRIZCTAS!$O$7:$O$1766,$C31&amp;W$9,MATRIZCTAS!$AH$7:$AH$1766)</f>
        <v>0</v>
      </c>
      <c r="X31" s="430">
        <f>-SUMIF(MATRIZCTAS!$O$7:$O$1766,$C31&amp;X$9,MATRIZCTAS!$AH$7:$AH$1766)</f>
        <v>0</v>
      </c>
      <c r="Y31" s="430">
        <f>-SUMIF(MATRIZCTAS!$O$7:$O$1766,$C31&amp;Y$9,MATRIZCTAS!$AH$7:$AH$1766)</f>
        <v>0</v>
      </c>
      <c r="Z31" s="430">
        <f>-SUMIF(MATRIZCTAS!$O$7:$O$1766,$C31&amp;Z$9,MATRIZCTAS!$AH$7:$AH$1766)</f>
        <v>0</v>
      </c>
      <c r="AA31" s="430">
        <f>-SUMIF(MATRIZCTAS!$O$7:$O$1766,$C31&amp;AA$9,MATRIZCTAS!$AH$7:$AH$1766)</f>
        <v>0</v>
      </c>
      <c r="AB31" s="430">
        <f>-SUMIF(MATRIZCTAS!$O$7:$O$1766,$C31&amp;AB$9,MATRIZCTAS!$AH$7:$AH$1766)</f>
        <v>0</v>
      </c>
      <c r="AC31" s="430">
        <f>-SUMIF(MATRIZCTAS!$O$7:$O$1766,$C31&amp;AC$9,MATRIZCTAS!$AH$7:$AH$1766)</f>
        <v>0</v>
      </c>
      <c r="AD31" s="430">
        <f>-SUMIF(MATRIZCTAS!$O$7:$O$1766,$C31&amp;AD$9,MATRIZCTAS!$AH$7:$AH$1766)</f>
        <v>0</v>
      </c>
      <c r="AE31" s="430">
        <f>-SUMIF(MATRIZCTAS!$O$7:$O$1766,$C31&amp;AE$9,MATRIZCTAS!$AH$7:$AH$1766)</f>
        <v>0</v>
      </c>
      <c r="AF31" s="430">
        <f>-SUMIF(MATRIZCTAS!$O$7:$O$1766,$C31&amp;AF$9,MATRIZCTAS!$AH$7:$AH$1766)</f>
        <v>0</v>
      </c>
      <c r="AG31" s="430">
        <f>-SUMIF(MATRIZCTAS!$O$7:$O$1766,$C31&amp;AG$9,MATRIZCTAS!$AH$7:$AH$1766)</f>
        <v>0</v>
      </c>
      <c r="AH31" s="430">
        <f>-SUMIF(MATRIZCTAS!$O$7:$O$1766,$C31&amp;AH$9,MATRIZCTAS!$AH$7:$AH$1766)</f>
        <v>0</v>
      </c>
      <c r="AI31" s="430">
        <f>-SUMIF(MATRIZCTAS!$O$7:$O$1766,$C31&amp;AI$9,MATRIZCTAS!$AH$7:$AH$1766)</f>
        <v>0</v>
      </c>
      <c r="AJ31" s="430">
        <f>-SUMIF(MATRIZCTAS!$O$7:$O$1766,$C31&amp;AJ$9,MATRIZCTAS!$AH$7:$AH$1766)</f>
        <v>0</v>
      </c>
      <c r="AK31" s="430">
        <f>-SUMIF(MATRIZCTAS!$O$7:$O$1766,$C31&amp;AK$9,MATRIZCTAS!$AH$7:$AH$1766)</f>
        <v>0</v>
      </c>
      <c r="AL31" s="1456">
        <f>-SUMIF(MATRIZCTAS!$O$7:$O$1766,$C31&amp;AL$9,MATRIZCTAS!$AH$7:$AH$1766)</f>
        <v>0</v>
      </c>
    </row>
    <row r="32" spans="2:40" ht="20.100000000000001" customHeight="1">
      <c r="B32" s="172"/>
      <c r="C32" s="181"/>
      <c r="D32" s="153"/>
      <c r="E32" s="430"/>
      <c r="F32" s="210">
        <f t="shared" si="8"/>
        <v>0</v>
      </c>
      <c r="G32" s="174"/>
      <c r="H32" s="174"/>
      <c r="I32" s="174"/>
      <c r="J32" s="174"/>
      <c r="K32" s="174"/>
      <c r="L32" s="174"/>
      <c r="M32" s="174"/>
      <c r="N32" s="174"/>
      <c r="O32" s="174"/>
      <c r="P32" s="174"/>
      <c r="Q32" s="174"/>
      <c r="R32" s="174"/>
      <c r="S32" s="174"/>
      <c r="T32" s="174"/>
      <c r="U32" s="174"/>
      <c r="V32" s="174"/>
      <c r="W32" s="174"/>
      <c r="X32" s="174"/>
      <c r="Y32" s="174"/>
      <c r="Z32" s="174"/>
      <c r="AA32" s="174"/>
      <c r="AB32" s="174"/>
      <c r="AC32" s="174"/>
      <c r="AD32" s="174"/>
      <c r="AE32" s="174"/>
      <c r="AF32" s="174"/>
      <c r="AG32" s="174"/>
      <c r="AH32" s="174"/>
      <c r="AI32" s="174"/>
      <c r="AJ32" s="174"/>
      <c r="AK32" s="409"/>
      <c r="AL32" s="175"/>
    </row>
    <row r="33" spans="2:38" s="171" customFormat="1" ht="20.100000000000001" customHeight="1">
      <c r="B33" s="176" t="s">
        <v>3294</v>
      </c>
      <c r="C33" s="156">
        <v>6352000</v>
      </c>
      <c r="D33" s="145" t="s">
        <v>1556</v>
      </c>
      <c r="E33" s="1357">
        <f t="shared" si="10"/>
        <v>16406724</v>
      </c>
      <c r="F33" s="210">
        <f t="shared" si="8"/>
        <v>9245157</v>
      </c>
      <c r="G33" s="146">
        <f>+G34+G38+G42</f>
        <v>3454</v>
      </c>
      <c r="H33" s="146">
        <f t="shared" ref="H33:R33" si="13">SUM(H34,H38,H42)</f>
        <v>82457</v>
      </c>
      <c r="I33" s="146">
        <f t="shared" si="13"/>
        <v>103413</v>
      </c>
      <c r="J33" s="146">
        <f t="shared" si="13"/>
        <v>2653</v>
      </c>
      <c r="K33" s="146">
        <f t="shared" si="13"/>
        <v>0</v>
      </c>
      <c r="L33" s="146">
        <f t="shared" si="13"/>
        <v>0</v>
      </c>
      <c r="M33" s="146">
        <f t="shared" si="13"/>
        <v>0</v>
      </c>
      <c r="N33" s="146">
        <f t="shared" si="13"/>
        <v>279</v>
      </c>
      <c r="O33" s="146">
        <f t="shared" si="13"/>
        <v>25079</v>
      </c>
      <c r="P33" s="146">
        <f t="shared" si="13"/>
        <v>43483</v>
      </c>
      <c r="Q33" s="146">
        <f t="shared" si="13"/>
        <v>0</v>
      </c>
      <c r="R33" s="146">
        <f t="shared" si="13"/>
        <v>489</v>
      </c>
      <c r="S33" s="146"/>
      <c r="T33" s="146">
        <f t="shared" ref="T33:AL33" si="14">SUM(T34,T38,T42)</f>
        <v>22342</v>
      </c>
      <c r="U33" s="146">
        <f t="shared" si="14"/>
        <v>0</v>
      </c>
      <c r="V33" s="146">
        <f t="shared" si="14"/>
        <v>4232312</v>
      </c>
      <c r="W33" s="146">
        <f t="shared" si="14"/>
        <v>0</v>
      </c>
      <c r="X33" s="146">
        <f t="shared" si="14"/>
        <v>0</v>
      </c>
      <c r="Y33" s="146">
        <f t="shared" si="14"/>
        <v>0</v>
      </c>
      <c r="Z33" s="146">
        <f t="shared" si="14"/>
        <v>0</v>
      </c>
      <c r="AA33" s="146">
        <f t="shared" si="14"/>
        <v>213194</v>
      </c>
      <c r="AB33" s="146">
        <f t="shared" si="14"/>
        <v>0</v>
      </c>
      <c r="AC33" s="146">
        <f t="shared" si="14"/>
        <v>3463350</v>
      </c>
      <c r="AD33" s="146">
        <f t="shared" si="14"/>
        <v>65295</v>
      </c>
      <c r="AE33" s="146">
        <f t="shared" si="14"/>
        <v>0</v>
      </c>
      <c r="AF33" s="146">
        <f t="shared" si="14"/>
        <v>987357</v>
      </c>
      <c r="AG33" s="146">
        <f t="shared" si="14"/>
        <v>0</v>
      </c>
      <c r="AH33" s="146">
        <f t="shared" si="14"/>
        <v>7161567</v>
      </c>
      <c r="AI33" s="146">
        <f t="shared" si="14"/>
        <v>0</v>
      </c>
      <c r="AJ33" s="146">
        <f t="shared" si="14"/>
        <v>0</v>
      </c>
      <c r="AK33" s="406">
        <f t="shared" si="14"/>
        <v>0</v>
      </c>
      <c r="AL33" s="177">
        <f t="shared" si="14"/>
        <v>0</v>
      </c>
    </row>
    <row r="34" spans="2:38" s="171" customFormat="1" ht="20.100000000000001" customHeight="1">
      <c r="B34" s="172" t="s">
        <v>3295</v>
      </c>
      <c r="C34" s="179">
        <v>6352100</v>
      </c>
      <c r="D34" s="158" t="s">
        <v>623</v>
      </c>
      <c r="E34" s="1365">
        <f t="shared" si="10"/>
        <v>9002093</v>
      </c>
      <c r="F34" s="210">
        <f t="shared" si="8"/>
        <v>1840526</v>
      </c>
      <c r="G34" s="180">
        <f t="shared" ref="G34:AL34" si="15">SUM(G35:G37)</f>
        <v>0</v>
      </c>
      <c r="H34" s="180">
        <f t="shared" si="15"/>
        <v>0</v>
      </c>
      <c r="I34" s="180">
        <f t="shared" si="15"/>
        <v>56699</v>
      </c>
      <c r="J34" s="180">
        <f t="shared" si="15"/>
        <v>0</v>
      </c>
      <c r="K34" s="180">
        <f t="shared" si="15"/>
        <v>0</v>
      </c>
      <c r="L34" s="180">
        <f t="shared" si="15"/>
        <v>0</v>
      </c>
      <c r="M34" s="180">
        <f t="shared" si="15"/>
        <v>0</v>
      </c>
      <c r="N34" s="180">
        <f t="shared" si="15"/>
        <v>0</v>
      </c>
      <c r="O34" s="180">
        <f t="shared" si="15"/>
        <v>2866</v>
      </c>
      <c r="P34" s="180">
        <f t="shared" si="15"/>
        <v>15036</v>
      </c>
      <c r="Q34" s="180">
        <f t="shared" si="15"/>
        <v>0</v>
      </c>
      <c r="R34" s="180">
        <f t="shared" si="15"/>
        <v>0</v>
      </c>
      <c r="S34" s="180"/>
      <c r="T34" s="180">
        <f t="shared" si="15"/>
        <v>0</v>
      </c>
      <c r="U34" s="180">
        <f t="shared" si="15"/>
        <v>0</v>
      </c>
      <c r="V34" s="180">
        <f t="shared" si="15"/>
        <v>1673925</v>
      </c>
      <c r="W34" s="180">
        <f t="shared" si="15"/>
        <v>0</v>
      </c>
      <c r="X34" s="180">
        <f t="shared" si="15"/>
        <v>0</v>
      </c>
      <c r="Y34" s="180">
        <f t="shared" si="15"/>
        <v>0</v>
      </c>
      <c r="Z34" s="180">
        <f t="shared" si="15"/>
        <v>0</v>
      </c>
      <c r="AA34" s="180">
        <f t="shared" si="15"/>
        <v>23709</v>
      </c>
      <c r="AB34" s="180">
        <f t="shared" si="15"/>
        <v>0</v>
      </c>
      <c r="AC34" s="180">
        <f t="shared" si="15"/>
        <v>0</v>
      </c>
      <c r="AD34" s="180">
        <f t="shared" si="15"/>
        <v>1118</v>
      </c>
      <c r="AE34" s="180">
        <f t="shared" si="15"/>
        <v>0</v>
      </c>
      <c r="AF34" s="180">
        <f t="shared" si="15"/>
        <v>67173</v>
      </c>
      <c r="AG34" s="180">
        <f t="shared" si="15"/>
        <v>0</v>
      </c>
      <c r="AH34" s="180">
        <f t="shared" si="15"/>
        <v>7161567</v>
      </c>
      <c r="AI34" s="180">
        <f t="shared" si="15"/>
        <v>0</v>
      </c>
      <c r="AJ34" s="180">
        <f t="shared" si="15"/>
        <v>0</v>
      </c>
      <c r="AK34" s="410">
        <f t="shared" si="15"/>
        <v>0</v>
      </c>
      <c r="AL34" s="178">
        <f t="shared" si="15"/>
        <v>0</v>
      </c>
    </row>
    <row r="35" spans="2:38" ht="20.100000000000001" customHeight="1">
      <c r="B35" s="172" t="s">
        <v>3296</v>
      </c>
      <c r="C35" s="1382">
        <v>6352110</v>
      </c>
      <c r="D35" s="153" t="s">
        <v>1243</v>
      </c>
      <c r="E35" s="1366">
        <f t="shared" si="10"/>
        <v>9833684</v>
      </c>
      <c r="F35" s="210">
        <f t="shared" si="8"/>
        <v>2672117</v>
      </c>
      <c r="G35" s="430">
        <f>-SUMIF(MATRIZCTAS!$O$7:$O$1766,$C35&amp;G$9,MATRIZCTAS!$AH$7:$AH$1766)</f>
        <v>0</v>
      </c>
      <c r="H35" s="430">
        <f>-SUMIF(MATRIZCTAS!$O$7:$O$1766,$C35&amp;H$9,MATRIZCTAS!$AH$7:$AH$1766)</f>
        <v>0</v>
      </c>
      <c r="I35" s="430">
        <f>-SUMIF(MATRIZCTAS!$O$7:$O$1766,$C35&amp;I$9,MATRIZCTAS!$AH$7:$AH$1766)</f>
        <v>56699</v>
      </c>
      <c r="J35" s="430">
        <f>-SUMIF(MATRIZCTAS!$O$7:$O$1766,$C35&amp;J$9,MATRIZCTAS!$AH$7:$AH$1766)</f>
        <v>0</v>
      </c>
      <c r="K35" s="430">
        <f>-SUMIF(MATRIZCTAS!$O$7:$O$1766,$C35&amp;K$9,MATRIZCTAS!$AH$7:$AH$1766)</f>
        <v>0</v>
      </c>
      <c r="L35" s="430">
        <f>-SUMIF(MATRIZCTAS!$O$7:$O$1766,$C35&amp;L$9,MATRIZCTAS!$AH$7:$AH$1766)</f>
        <v>0</v>
      </c>
      <c r="M35" s="430">
        <f>-SUMIF(MATRIZCTAS!$O$7:$O$1766,$C35&amp;M$9,MATRIZCTAS!$AH$7:$AH$1766)</f>
        <v>0</v>
      </c>
      <c r="N35" s="430">
        <f>-SUMIF(MATRIZCTAS!$O$7:$O$1766,$C35&amp;N$9,MATRIZCTAS!$AH$7:$AH$1766)</f>
        <v>0</v>
      </c>
      <c r="O35" s="430">
        <f>-SUMIF(MATRIZCTAS!$O$7:$O$1766,$C35&amp;O$9,MATRIZCTAS!$AH$7:$AH$1766)</f>
        <v>2866</v>
      </c>
      <c r="P35" s="430">
        <f>-SUMIF(MATRIZCTAS!$O$7:$O$1766,$C35&amp;P$9,MATRIZCTAS!$AH$7:$AH$1766)</f>
        <v>15036</v>
      </c>
      <c r="Q35" s="430">
        <f>-SUMIF(MATRIZCTAS!$O$7:$O$1766,$C35&amp;Q$9,MATRIZCTAS!$AH$7:$AH$1766)</f>
        <v>0</v>
      </c>
      <c r="R35" s="430">
        <f>-SUMIF(MATRIZCTAS!$O$7:$O$1766,$C35&amp;R$9,MATRIZCTAS!$AH$7:$AH$1766)</f>
        <v>0</v>
      </c>
      <c r="S35" s="430">
        <f>-SUMIF(MATRIZCTAS!$O$7:$O$1766,$C35&amp;S$9,MATRIZCTAS!$AH$7:$AH$1766)</f>
        <v>0</v>
      </c>
      <c r="T35" s="430">
        <f>-SUMIF(MATRIZCTAS!$O$7:$O$1766,$C35&amp;T$9,MATRIZCTAS!$AH$7:$AH$1766)</f>
        <v>0</v>
      </c>
      <c r="U35" s="430">
        <f>-SUMIF(MATRIZCTAS!$O$7:$O$1766,$C35&amp;U$9,MATRIZCTAS!$AH$7:$AH$1766)</f>
        <v>0</v>
      </c>
      <c r="V35" s="430">
        <f>-SUMIF(MATRIZCTAS!$O$7:$O$1766,$C35&amp;V$9,MATRIZCTAS!$AH$7:$AH$1766)</f>
        <v>2505516</v>
      </c>
      <c r="W35" s="430">
        <f>-SUMIF(MATRIZCTAS!$O$7:$O$1766,$C35&amp;W$9,MATRIZCTAS!$AH$7:$AH$1766)</f>
        <v>0</v>
      </c>
      <c r="X35" s="430">
        <f>-SUMIF(MATRIZCTAS!$O$7:$O$1766,$C35&amp;X$9,MATRIZCTAS!$AH$7:$AH$1766)</f>
        <v>0</v>
      </c>
      <c r="Y35" s="430">
        <f>-SUMIF(MATRIZCTAS!$O$7:$O$1766,$C35&amp;Y$9,MATRIZCTAS!$AH$7:$AH$1766)</f>
        <v>0</v>
      </c>
      <c r="Z35" s="430">
        <f>-SUMIF(MATRIZCTAS!$O$7:$O$1766,$C35&amp;Z$9,MATRIZCTAS!$AH$7:$AH$1766)</f>
        <v>0</v>
      </c>
      <c r="AA35" s="430">
        <f>-SUMIF(MATRIZCTAS!$O$7:$O$1766,$C35&amp;AA$9,MATRIZCTAS!$AH$7:$AH$1766)</f>
        <v>23709</v>
      </c>
      <c r="AB35" s="430">
        <f>-SUMIF(MATRIZCTAS!$O$7:$O$1766,$C35&amp;AB$9,MATRIZCTAS!$AH$7:$AH$1766)</f>
        <v>0</v>
      </c>
      <c r="AC35" s="430">
        <f>-SUMIF(MATRIZCTAS!$O$7:$O$1766,$C35&amp;AC$9,MATRIZCTAS!$AH$7:$AH$1766)</f>
        <v>0</v>
      </c>
      <c r="AD35" s="430">
        <f>-SUMIF(MATRIZCTAS!$O$7:$O$1766,$C35&amp;AD$9,MATRIZCTAS!$AH$7:$AH$1766)</f>
        <v>1118</v>
      </c>
      <c r="AE35" s="430">
        <f>-SUMIF(MATRIZCTAS!$O$7:$O$1766,$C35&amp;AE$9,MATRIZCTAS!$AH$7:$AH$1766)</f>
        <v>0</v>
      </c>
      <c r="AF35" s="430">
        <f>-SUMIF(MATRIZCTAS!$O$7:$O$1766,$C35&amp;AF$9,MATRIZCTAS!$AH$7:$AH$1766)</f>
        <v>67173</v>
      </c>
      <c r="AG35" s="430">
        <f>-SUMIF(MATRIZCTAS!$O$7:$O$1766,$C35&amp;AG$9,MATRIZCTAS!$AH$7:$AH$1766)</f>
        <v>0</v>
      </c>
      <c r="AH35" s="430">
        <f>-SUMIF(MATRIZCTAS!$O$7:$O$1766,$C35&amp;AH$9,MATRIZCTAS!$AH$7:$AH$1766)</f>
        <v>7161567</v>
      </c>
      <c r="AI35" s="430">
        <f>-SUMIF(MATRIZCTAS!$O$7:$O$1766,$C35&amp;AI$9,MATRIZCTAS!$AH$7:$AH$1766)</f>
        <v>0</v>
      </c>
      <c r="AJ35" s="430">
        <f>-SUMIF(MATRIZCTAS!$O$7:$O$1766,$C35&amp;AJ$9,MATRIZCTAS!$AH$7:$AH$1766)</f>
        <v>0</v>
      </c>
      <c r="AK35" s="430">
        <f>-SUMIF(MATRIZCTAS!$O$7:$O$1766,$C35&amp;AK$9,MATRIZCTAS!$AH$7:$AH$1766)</f>
        <v>0</v>
      </c>
      <c r="AL35" s="1456">
        <f>-SUMIF(MATRIZCTAS!$O$7:$O$1766,$C35&amp;AL$9,MATRIZCTAS!$AH$7:$AH$1766)</f>
        <v>0</v>
      </c>
    </row>
    <row r="36" spans="2:38" ht="20.100000000000001" customHeight="1">
      <c r="B36" s="172" t="s">
        <v>3297</v>
      </c>
      <c r="C36" s="1382">
        <v>6352120</v>
      </c>
      <c r="D36" s="153" t="s">
        <v>1245</v>
      </c>
      <c r="E36" s="1366">
        <f t="shared" si="10"/>
        <v>-831591</v>
      </c>
      <c r="F36" s="210">
        <f t="shared" si="8"/>
        <v>-831591</v>
      </c>
      <c r="G36" s="430">
        <f>-SUMIF(MATRIZCTAS!$O$7:$O$1766,$C36&amp;G$9,MATRIZCTAS!$AH$7:$AH$1766)</f>
        <v>0</v>
      </c>
      <c r="H36" s="430">
        <f>-SUMIF(MATRIZCTAS!$O$7:$O$1766,$C36&amp;H$9,MATRIZCTAS!$AH$7:$AH$1766)</f>
        <v>0</v>
      </c>
      <c r="I36" s="430">
        <f>-SUMIF(MATRIZCTAS!$O$7:$O$1766,$C36&amp;I$9,MATRIZCTAS!$AH$7:$AH$1766)</f>
        <v>0</v>
      </c>
      <c r="J36" s="430">
        <f>-SUMIF(MATRIZCTAS!$O$7:$O$1766,$C36&amp;J$9,MATRIZCTAS!$AH$7:$AH$1766)</f>
        <v>0</v>
      </c>
      <c r="K36" s="430">
        <f>-SUMIF(MATRIZCTAS!$O$7:$O$1766,$C36&amp;K$9,MATRIZCTAS!$AH$7:$AH$1766)</f>
        <v>0</v>
      </c>
      <c r="L36" s="430">
        <f>-SUMIF(MATRIZCTAS!$O$7:$O$1766,$C36&amp;L$9,MATRIZCTAS!$AH$7:$AH$1766)</f>
        <v>0</v>
      </c>
      <c r="M36" s="430">
        <f>-SUMIF(MATRIZCTAS!$O$7:$O$1766,$C36&amp;M$9,MATRIZCTAS!$AH$7:$AH$1766)</f>
        <v>0</v>
      </c>
      <c r="N36" s="430">
        <f>-SUMIF(MATRIZCTAS!$O$7:$O$1766,$C36&amp;N$9,MATRIZCTAS!$AH$7:$AH$1766)</f>
        <v>0</v>
      </c>
      <c r="O36" s="430">
        <f>-SUMIF(MATRIZCTAS!$O$7:$O$1766,$C36&amp;O$9,MATRIZCTAS!$AH$7:$AH$1766)</f>
        <v>0</v>
      </c>
      <c r="P36" s="430">
        <f>-SUMIF(MATRIZCTAS!$O$7:$O$1766,$C36&amp;P$9,MATRIZCTAS!$AH$7:$AH$1766)</f>
        <v>0</v>
      </c>
      <c r="Q36" s="430">
        <f>-SUMIF(MATRIZCTAS!$O$7:$O$1766,$C36&amp;Q$9,MATRIZCTAS!$AH$7:$AH$1766)</f>
        <v>0</v>
      </c>
      <c r="R36" s="430">
        <f>-SUMIF(MATRIZCTAS!$O$7:$O$1766,$C36&amp;R$9,MATRIZCTAS!$AH$7:$AH$1766)</f>
        <v>0</v>
      </c>
      <c r="S36" s="430">
        <f>-SUMIF(MATRIZCTAS!$O$7:$O$1766,$C36&amp;S$9,MATRIZCTAS!$AH$7:$AH$1766)</f>
        <v>0</v>
      </c>
      <c r="T36" s="430">
        <f>-SUMIF(MATRIZCTAS!$O$7:$O$1766,$C36&amp;T$9,MATRIZCTAS!$AH$7:$AH$1766)</f>
        <v>0</v>
      </c>
      <c r="U36" s="430">
        <f>-SUMIF(MATRIZCTAS!$O$7:$O$1766,$C36&amp;U$9,MATRIZCTAS!$AH$7:$AH$1766)</f>
        <v>0</v>
      </c>
      <c r="V36" s="430">
        <f>-SUMIF(MATRIZCTAS!$O$7:$O$1766,$C36&amp;V$9,MATRIZCTAS!$AH$7:$AH$1766)</f>
        <v>-831591</v>
      </c>
      <c r="W36" s="430">
        <f>-SUMIF(MATRIZCTAS!$O$7:$O$1766,$C36&amp;W$9,MATRIZCTAS!$AH$7:$AH$1766)</f>
        <v>0</v>
      </c>
      <c r="X36" s="430">
        <f>-SUMIF(MATRIZCTAS!$O$7:$O$1766,$C36&amp;X$9,MATRIZCTAS!$AH$7:$AH$1766)</f>
        <v>0</v>
      </c>
      <c r="Y36" s="430">
        <f>-SUMIF(MATRIZCTAS!$O$7:$O$1766,$C36&amp;Y$9,MATRIZCTAS!$AH$7:$AH$1766)</f>
        <v>0</v>
      </c>
      <c r="Z36" s="430">
        <f>-SUMIF(MATRIZCTAS!$O$7:$O$1766,$C36&amp;Z$9,MATRIZCTAS!$AH$7:$AH$1766)</f>
        <v>0</v>
      </c>
      <c r="AA36" s="430">
        <f>-SUMIF(MATRIZCTAS!$O$7:$O$1766,$C36&amp;AA$9,MATRIZCTAS!$AH$7:$AH$1766)</f>
        <v>0</v>
      </c>
      <c r="AB36" s="430">
        <f>-SUMIF(MATRIZCTAS!$O$7:$O$1766,$C36&amp;AB$9,MATRIZCTAS!$AH$7:$AH$1766)</f>
        <v>0</v>
      </c>
      <c r="AC36" s="430">
        <f>-SUMIF(MATRIZCTAS!$O$7:$O$1766,$C36&amp;AC$9,MATRIZCTAS!$AH$7:$AH$1766)</f>
        <v>0</v>
      </c>
      <c r="AD36" s="430">
        <f>-SUMIF(MATRIZCTAS!$O$7:$O$1766,$C36&amp;AD$9,MATRIZCTAS!$AH$7:$AH$1766)</f>
        <v>0</v>
      </c>
      <c r="AE36" s="430">
        <f>-SUMIF(MATRIZCTAS!$O$7:$O$1766,$C36&amp;AE$9,MATRIZCTAS!$AH$7:$AH$1766)</f>
        <v>0</v>
      </c>
      <c r="AF36" s="430">
        <f>-SUMIF(MATRIZCTAS!$O$7:$O$1766,$C36&amp;AF$9,MATRIZCTAS!$AH$7:$AH$1766)</f>
        <v>0</v>
      </c>
      <c r="AG36" s="430">
        <f>-SUMIF(MATRIZCTAS!$O$7:$O$1766,$C36&amp;AG$9,MATRIZCTAS!$AH$7:$AH$1766)</f>
        <v>0</v>
      </c>
      <c r="AH36" s="430">
        <f>-SUMIF(MATRIZCTAS!$O$7:$O$1766,$C36&amp;AH$9,MATRIZCTAS!$AH$7:$AH$1766)</f>
        <v>0</v>
      </c>
      <c r="AI36" s="430">
        <f>-SUMIF(MATRIZCTAS!$O$7:$O$1766,$C36&amp;AI$9,MATRIZCTAS!$AH$7:$AH$1766)</f>
        <v>0</v>
      </c>
      <c r="AJ36" s="430">
        <f>-SUMIF(MATRIZCTAS!$O$7:$O$1766,$C36&amp;AJ$9,MATRIZCTAS!$AH$7:$AH$1766)</f>
        <v>0</v>
      </c>
      <c r="AK36" s="430">
        <f>-SUMIF(MATRIZCTAS!$O$7:$O$1766,$C36&amp;AK$9,MATRIZCTAS!$AH$7:$AH$1766)</f>
        <v>0</v>
      </c>
      <c r="AL36" s="1456">
        <f>-SUMIF(MATRIZCTAS!$O$7:$O$1766,$C36&amp;AL$9,MATRIZCTAS!$AH$7:$AH$1766)</f>
        <v>0</v>
      </c>
    </row>
    <row r="37" spans="2:38" ht="20.100000000000001" customHeight="1">
      <c r="B37" s="172" t="s">
        <v>3298</v>
      </c>
      <c r="C37" s="1382">
        <v>6352130</v>
      </c>
      <c r="D37" s="153" t="s">
        <v>1244</v>
      </c>
      <c r="E37" s="1366">
        <f t="shared" si="10"/>
        <v>0</v>
      </c>
      <c r="F37" s="210">
        <f t="shared" si="8"/>
        <v>0</v>
      </c>
      <c r="G37" s="430">
        <f>-SUMIF(MATRIZCTAS!$O$7:$O$1766,$C37&amp;G$9,MATRIZCTAS!$AH$7:$AH$1766)</f>
        <v>0</v>
      </c>
      <c r="H37" s="430">
        <f>-SUMIF(MATRIZCTAS!$O$7:$O$1766,$C37&amp;H$9,MATRIZCTAS!$AH$7:$AH$1766)</f>
        <v>0</v>
      </c>
      <c r="I37" s="430">
        <f>-SUMIF(MATRIZCTAS!$O$7:$O$1766,$C37&amp;I$9,MATRIZCTAS!$AH$7:$AH$1766)</f>
        <v>0</v>
      </c>
      <c r="J37" s="430">
        <f>-SUMIF(MATRIZCTAS!$O$7:$O$1766,$C37&amp;J$9,MATRIZCTAS!$AH$7:$AH$1766)</f>
        <v>0</v>
      </c>
      <c r="K37" s="430">
        <f>-SUMIF(MATRIZCTAS!$O$7:$O$1766,$C37&amp;K$9,MATRIZCTAS!$AH$7:$AH$1766)</f>
        <v>0</v>
      </c>
      <c r="L37" s="430">
        <f>-SUMIF(MATRIZCTAS!$O$7:$O$1766,$C37&amp;L$9,MATRIZCTAS!$AH$7:$AH$1766)</f>
        <v>0</v>
      </c>
      <c r="M37" s="430">
        <f>-SUMIF(MATRIZCTAS!$O$7:$O$1766,$C37&amp;M$9,MATRIZCTAS!$AH$7:$AH$1766)</f>
        <v>0</v>
      </c>
      <c r="N37" s="430">
        <f>-SUMIF(MATRIZCTAS!$O$7:$O$1766,$C37&amp;N$9,MATRIZCTAS!$AH$7:$AH$1766)</f>
        <v>0</v>
      </c>
      <c r="O37" s="430">
        <f>-SUMIF(MATRIZCTAS!$O$7:$O$1766,$C37&amp;O$9,MATRIZCTAS!$AH$7:$AH$1766)</f>
        <v>0</v>
      </c>
      <c r="P37" s="430">
        <f>-SUMIF(MATRIZCTAS!$O$7:$O$1766,$C37&amp;P$9,MATRIZCTAS!$AH$7:$AH$1766)</f>
        <v>0</v>
      </c>
      <c r="Q37" s="430">
        <f>-SUMIF(MATRIZCTAS!$O$7:$O$1766,$C37&amp;Q$9,MATRIZCTAS!$AH$7:$AH$1766)</f>
        <v>0</v>
      </c>
      <c r="R37" s="430">
        <f>-SUMIF(MATRIZCTAS!$O$7:$O$1766,$C37&amp;R$9,MATRIZCTAS!$AH$7:$AH$1766)</f>
        <v>0</v>
      </c>
      <c r="S37" s="430">
        <f>-SUMIF(MATRIZCTAS!$O$7:$O$1766,$C37&amp;S$9,MATRIZCTAS!$AH$7:$AH$1766)</f>
        <v>0</v>
      </c>
      <c r="T37" s="430">
        <f>-SUMIF(MATRIZCTAS!$O$7:$O$1766,$C37&amp;T$9,MATRIZCTAS!$AH$7:$AH$1766)</f>
        <v>0</v>
      </c>
      <c r="U37" s="430">
        <f>-SUMIF(MATRIZCTAS!$O$7:$O$1766,$C37&amp;U$9,MATRIZCTAS!$AH$7:$AH$1766)</f>
        <v>0</v>
      </c>
      <c r="V37" s="430">
        <f>-SUMIF(MATRIZCTAS!$O$7:$O$1766,$C37&amp;V$9,MATRIZCTAS!$AH$7:$AH$1766)</f>
        <v>0</v>
      </c>
      <c r="W37" s="430">
        <f>-SUMIF(MATRIZCTAS!$O$7:$O$1766,$C37&amp;W$9,MATRIZCTAS!$AH$7:$AH$1766)</f>
        <v>0</v>
      </c>
      <c r="X37" s="430">
        <f>-SUMIF(MATRIZCTAS!$O$7:$O$1766,$C37&amp;X$9,MATRIZCTAS!$AH$7:$AH$1766)</f>
        <v>0</v>
      </c>
      <c r="Y37" s="430">
        <f>-SUMIF(MATRIZCTAS!$O$7:$O$1766,$C37&amp;Y$9,MATRIZCTAS!$AH$7:$AH$1766)</f>
        <v>0</v>
      </c>
      <c r="Z37" s="430">
        <f>-SUMIF(MATRIZCTAS!$O$7:$O$1766,$C37&amp;Z$9,MATRIZCTAS!$AH$7:$AH$1766)</f>
        <v>0</v>
      </c>
      <c r="AA37" s="430">
        <f>-SUMIF(MATRIZCTAS!$O$7:$O$1766,$C37&amp;AA$9,MATRIZCTAS!$AH$7:$AH$1766)</f>
        <v>0</v>
      </c>
      <c r="AB37" s="430">
        <f>-SUMIF(MATRIZCTAS!$O$7:$O$1766,$C37&amp;AB$9,MATRIZCTAS!$AH$7:$AH$1766)</f>
        <v>0</v>
      </c>
      <c r="AC37" s="430">
        <f>-SUMIF(MATRIZCTAS!$O$7:$O$1766,$C37&amp;AC$9,MATRIZCTAS!$AH$7:$AH$1766)</f>
        <v>0</v>
      </c>
      <c r="AD37" s="430">
        <f>-SUMIF(MATRIZCTAS!$O$7:$O$1766,$C37&amp;AD$9,MATRIZCTAS!$AH$7:$AH$1766)</f>
        <v>0</v>
      </c>
      <c r="AE37" s="430">
        <f>-SUMIF(MATRIZCTAS!$O$7:$O$1766,$C37&amp;AE$9,MATRIZCTAS!$AH$7:$AH$1766)</f>
        <v>0</v>
      </c>
      <c r="AF37" s="430">
        <f>-SUMIF(MATRIZCTAS!$O$7:$O$1766,$C37&amp;AF$9,MATRIZCTAS!$AH$7:$AH$1766)</f>
        <v>0</v>
      </c>
      <c r="AG37" s="430">
        <f>-SUMIF(MATRIZCTAS!$O$7:$O$1766,$C37&amp;AG$9,MATRIZCTAS!$AH$7:$AH$1766)</f>
        <v>0</v>
      </c>
      <c r="AH37" s="430">
        <f>-SUMIF(MATRIZCTAS!$O$7:$O$1766,$C37&amp;AH$9,MATRIZCTAS!$AH$7:$AH$1766)</f>
        <v>0</v>
      </c>
      <c r="AI37" s="430">
        <f>-SUMIF(MATRIZCTAS!$O$7:$O$1766,$C37&amp;AI$9,MATRIZCTAS!$AH$7:$AH$1766)</f>
        <v>0</v>
      </c>
      <c r="AJ37" s="430">
        <f>-SUMIF(MATRIZCTAS!$O$7:$O$1766,$C37&amp;AJ$9,MATRIZCTAS!$AH$7:$AH$1766)</f>
        <v>0</v>
      </c>
      <c r="AK37" s="430">
        <f>-SUMIF(MATRIZCTAS!$O$7:$O$1766,$C37&amp;AK$9,MATRIZCTAS!$AH$7:$AH$1766)</f>
        <v>0</v>
      </c>
      <c r="AL37" s="1456">
        <f>-SUMIF(MATRIZCTAS!$O$7:$O$1766,$C37&amp;AL$9,MATRIZCTAS!$AH$7:$AH$1766)</f>
        <v>0</v>
      </c>
    </row>
    <row r="38" spans="2:38" s="171" customFormat="1" ht="20.100000000000001" customHeight="1">
      <c r="B38" s="176" t="s">
        <v>3299</v>
      </c>
      <c r="C38" s="182">
        <v>691220000</v>
      </c>
      <c r="D38" s="145" t="s">
        <v>392</v>
      </c>
      <c r="E38" s="1357">
        <f t="shared" si="10"/>
        <v>2695758</v>
      </c>
      <c r="F38" s="210">
        <f t="shared" si="8"/>
        <v>2695758</v>
      </c>
      <c r="G38" s="146">
        <f t="shared" ref="G38:AL38" si="16">SUM(G39:G41)</f>
        <v>0</v>
      </c>
      <c r="H38" s="146">
        <f t="shared" si="16"/>
        <v>80399</v>
      </c>
      <c r="I38" s="146">
        <f t="shared" si="16"/>
        <v>32150</v>
      </c>
      <c r="J38" s="146">
        <f t="shared" si="16"/>
        <v>0</v>
      </c>
      <c r="K38" s="146">
        <f t="shared" si="16"/>
        <v>0</v>
      </c>
      <c r="L38" s="146">
        <f t="shared" si="16"/>
        <v>0</v>
      </c>
      <c r="M38" s="146">
        <f t="shared" si="16"/>
        <v>0</v>
      </c>
      <c r="N38" s="146">
        <f t="shared" si="16"/>
        <v>0</v>
      </c>
      <c r="O38" s="146">
        <f t="shared" si="16"/>
        <v>13661</v>
      </c>
      <c r="P38" s="146">
        <f t="shared" si="16"/>
        <v>26728</v>
      </c>
      <c r="Q38" s="146">
        <f t="shared" si="16"/>
        <v>0</v>
      </c>
      <c r="R38" s="146">
        <f t="shared" si="16"/>
        <v>0</v>
      </c>
      <c r="S38" s="146"/>
      <c r="T38" s="146">
        <f t="shared" si="16"/>
        <v>22592</v>
      </c>
      <c r="U38" s="146">
        <f t="shared" si="16"/>
        <v>0</v>
      </c>
      <c r="V38" s="146">
        <f t="shared" si="16"/>
        <v>2020870</v>
      </c>
      <c r="W38" s="146">
        <f t="shared" si="16"/>
        <v>0</v>
      </c>
      <c r="X38" s="146">
        <f t="shared" si="16"/>
        <v>0</v>
      </c>
      <c r="Y38" s="146">
        <f t="shared" si="16"/>
        <v>0</v>
      </c>
      <c r="Z38" s="146">
        <f t="shared" si="16"/>
        <v>0</v>
      </c>
      <c r="AA38" s="146">
        <f t="shared" si="16"/>
        <v>49277</v>
      </c>
      <c r="AB38" s="146">
        <f t="shared" si="16"/>
        <v>0</v>
      </c>
      <c r="AC38" s="146">
        <f t="shared" si="16"/>
        <v>0</v>
      </c>
      <c r="AD38" s="146">
        <f t="shared" si="16"/>
        <v>58292</v>
      </c>
      <c r="AE38" s="146">
        <f t="shared" si="16"/>
        <v>0</v>
      </c>
      <c r="AF38" s="146">
        <f t="shared" si="16"/>
        <v>391789</v>
      </c>
      <c r="AG38" s="146">
        <f t="shared" si="16"/>
        <v>0</v>
      </c>
      <c r="AH38" s="146">
        <f t="shared" si="16"/>
        <v>0</v>
      </c>
      <c r="AI38" s="146">
        <f t="shared" si="16"/>
        <v>0</v>
      </c>
      <c r="AJ38" s="146">
        <f t="shared" si="16"/>
        <v>0</v>
      </c>
      <c r="AK38" s="406">
        <f t="shared" si="16"/>
        <v>0</v>
      </c>
      <c r="AL38" s="177">
        <f t="shared" si="16"/>
        <v>0</v>
      </c>
    </row>
    <row r="39" spans="2:38" ht="20.100000000000001" customHeight="1">
      <c r="B39" s="172" t="s">
        <v>3300</v>
      </c>
      <c r="C39" s="1382">
        <v>6352210</v>
      </c>
      <c r="D39" s="153" t="s">
        <v>1243</v>
      </c>
      <c r="E39" s="1366">
        <f t="shared" si="10"/>
        <v>2695758</v>
      </c>
      <c r="F39" s="210">
        <f t="shared" si="8"/>
        <v>2695758</v>
      </c>
      <c r="G39" s="430">
        <f>-SUMIF(MATRIZCTAS!$O$7:$O$1766,$C39&amp;G$9,MATRIZCTAS!$AH$7:$AH$1766)</f>
        <v>0</v>
      </c>
      <c r="H39" s="430">
        <f>-SUMIF(MATRIZCTAS!$O$7:$O$1766,$C39&amp;H$9,MATRIZCTAS!$AH$7:$AH$1766)</f>
        <v>80399</v>
      </c>
      <c r="I39" s="430">
        <f>-SUMIF(MATRIZCTAS!$O$7:$O$1766,$C39&amp;I$9,MATRIZCTAS!$AH$7:$AH$1766)</f>
        <v>32150</v>
      </c>
      <c r="J39" s="430">
        <f>-SUMIF(MATRIZCTAS!$O$7:$O$1766,$C39&amp;J$9,MATRIZCTAS!$AH$7:$AH$1766)</f>
        <v>0</v>
      </c>
      <c r="K39" s="430">
        <f>-SUMIF(MATRIZCTAS!$O$7:$O$1766,$C39&amp;K$9,MATRIZCTAS!$AH$7:$AH$1766)</f>
        <v>0</v>
      </c>
      <c r="L39" s="430">
        <f>-SUMIF(MATRIZCTAS!$O$7:$O$1766,$C39&amp;L$9,MATRIZCTAS!$AH$7:$AH$1766)</f>
        <v>0</v>
      </c>
      <c r="M39" s="430">
        <f>-SUMIF(MATRIZCTAS!$O$7:$O$1766,$C39&amp;M$9,MATRIZCTAS!$AH$7:$AH$1766)</f>
        <v>0</v>
      </c>
      <c r="N39" s="430">
        <f>-SUMIF(MATRIZCTAS!$O$7:$O$1766,$C39&amp;N$9,MATRIZCTAS!$AH$7:$AH$1766)</f>
        <v>0</v>
      </c>
      <c r="O39" s="430">
        <f>-SUMIF(MATRIZCTAS!$O$7:$O$1766,$C39&amp;O$9,MATRIZCTAS!$AH$7:$AH$1766)</f>
        <v>13661</v>
      </c>
      <c r="P39" s="430">
        <f>-SUMIF(MATRIZCTAS!$O$7:$O$1766,$C39&amp;P$9,MATRIZCTAS!$AH$7:$AH$1766)</f>
        <v>26728</v>
      </c>
      <c r="Q39" s="430">
        <f>-SUMIF(MATRIZCTAS!$O$7:$O$1766,$C39&amp;Q$9,MATRIZCTAS!$AH$7:$AH$1766)</f>
        <v>0</v>
      </c>
      <c r="R39" s="430">
        <f>-SUMIF(MATRIZCTAS!$O$7:$O$1766,$C39&amp;R$9,MATRIZCTAS!$AH$7:$AH$1766)</f>
        <v>0</v>
      </c>
      <c r="S39" s="430">
        <f>-SUMIF(MATRIZCTAS!$O$7:$O$1766,$C39&amp;S$9,MATRIZCTAS!$AH$7:$AH$1766)</f>
        <v>0</v>
      </c>
      <c r="T39" s="430">
        <f>-SUMIF(MATRIZCTAS!$O$7:$O$1766,$C39&amp;T$9,MATRIZCTAS!$AH$7:$AH$1766)</f>
        <v>22592</v>
      </c>
      <c r="U39" s="430">
        <f>-SUMIF(MATRIZCTAS!$O$7:$O$1766,$C39&amp;U$9,MATRIZCTAS!$AH$7:$AH$1766)</f>
        <v>0</v>
      </c>
      <c r="V39" s="430">
        <f>-SUMIF(MATRIZCTAS!$O$7:$O$1766,$C39&amp;V$9,MATRIZCTAS!$AH$7:$AH$1766)</f>
        <v>2020870</v>
      </c>
      <c r="W39" s="430">
        <f>-SUMIF(MATRIZCTAS!$O$7:$O$1766,$C39&amp;W$9,MATRIZCTAS!$AH$7:$AH$1766)</f>
        <v>0</v>
      </c>
      <c r="X39" s="430">
        <f>-SUMIF(MATRIZCTAS!$O$7:$O$1766,$C39&amp;X$9,MATRIZCTAS!$AH$7:$AH$1766)</f>
        <v>0</v>
      </c>
      <c r="Y39" s="430">
        <f>-SUMIF(MATRIZCTAS!$O$7:$O$1766,$C39&amp;Y$9,MATRIZCTAS!$AH$7:$AH$1766)</f>
        <v>0</v>
      </c>
      <c r="Z39" s="430">
        <f>-SUMIF(MATRIZCTAS!$O$7:$O$1766,$C39&amp;Z$9,MATRIZCTAS!$AH$7:$AH$1766)</f>
        <v>0</v>
      </c>
      <c r="AA39" s="430">
        <f>-SUMIF(MATRIZCTAS!$O$7:$O$1766,$C39&amp;AA$9,MATRIZCTAS!$AH$7:$AH$1766)</f>
        <v>49277</v>
      </c>
      <c r="AB39" s="430">
        <f>-SUMIF(MATRIZCTAS!$O$7:$O$1766,$C39&amp;AB$9,MATRIZCTAS!$AH$7:$AH$1766)</f>
        <v>0</v>
      </c>
      <c r="AC39" s="430">
        <f>-SUMIF(MATRIZCTAS!$O$7:$O$1766,$C39&amp;AC$9,MATRIZCTAS!$AH$7:$AH$1766)</f>
        <v>0</v>
      </c>
      <c r="AD39" s="430">
        <f>-SUMIF(MATRIZCTAS!$O$7:$O$1766,$C39&amp;AD$9,MATRIZCTAS!$AH$7:$AH$1766)</f>
        <v>58292</v>
      </c>
      <c r="AE39" s="430">
        <f>-SUMIF(MATRIZCTAS!$O$7:$O$1766,$C39&amp;AE$9,MATRIZCTAS!$AH$7:$AH$1766)</f>
        <v>0</v>
      </c>
      <c r="AF39" s="430">
        <f>-SUMIF(MATRIZCTAS!$O$7:$O$1766,$C39&amp;AF$9,MATRIZCTAS!$AH$7:$AH$1766)</f>
        <v>391789</v>
      </c>
      <c r="AG39" s="430">
        <f>-SUMIF(MATRIZCTAS!$O$7:$O$1766,$C39&amp;AG$9,MATRIZCTAS!$AH$7:$AH$1766)</f>
        <v>0</v>
      </c>
      <c r="AH39" s="430">
        <f>-SUMIF(MATRIZCTAS!$O$7:$O$1766,$C39&amp;AH$9,MATRIZCTAS!$AH$7:$AH$1766)</f>
        <v>0</v>
      </c>
      <c r="AI39" s="430">
        <f>-SUMIF(MATRIZCTAS!$O$7:$O$1766,$C39&amp;AI$9,MATRIZCTAS!$AH$7:$AH$1766)</f>
        <v>0</v>
      </c>
      <c r="AJ39" s="430">
        <f>-SUMIF(MATRIZCTAS!$O$7:$O$1766,$C39&amp;AJ$9,MATRIZCTAS!$AH$7:$AH$1766)</f>
        <v>0</v>
      </c>
      <c r="AK39" s="430">
        <f>-SUMIF(MATRIZCTAS!$O$7:$O$1766,$C39&amp;AK$9,MATRIZCTAS!$AH$7:$AH$1766)</f>
        <v>0</v>
      </c>
      <c r="AL39" s="1456">
        <f>-SUMIF(MATRIZCTAS!$O$7:$O$1766,$C39&amp;AL$9,MATRIZCTAS!$AH$7:$AH$1766)</f>
        <v>0</v>
      </c>
    </row>
    <row r="40" spans="2:38" ht="20.100000000000001" customHeight="1">
      <c r="B40" s="172" t="s">
        <v>3301</v>
      </c>
      <c r="C40" s="1382">
        <v>6352220</v>
      </c>
      <c r="D40" s="153" t="s">
        <v>1245</v>
      </c>
      <c r="E40" s="1366">
        <f t="shared" ref="E40:E41" si="17">SUM(G40:AL40)</f>
        <v>0</v>
      </c>
      <c r="F40" s="210">
        <f t="shared" si="8"/>
        <v>0</v>
      </c>
      <c r="G40" s="430">
        <f>-SUMIF(MATRIZCTAS!$O$7:$O$1766,$C40&amp;G$9,MATRIZCTAS!$AH$7:$AH$1766)</f>
        <v>0</v>
      </c>
      <c r="H40" s="430">
        <f>-SUMIF(MATRIZCTAS!$O$7:$O$1766,$C40&amp;H$9,MATRIZCTAS!$AH$7:$AH$1766)</f>
        <v>0</v>
      </c>
      <c r="I40" s="430">
        <f>-SUMIF(MATRIZCTAS!$O$7:$O$1766,$C40&amp;I$9,MATRIZCTAS!$AH$7:$AH$1766)</f>
        <v>0</v>
      </c>
      <c r="J40" s="430">
        <f>-SUMIF(MATRIZCTAS!$O$7:$O$1766,$C40&amp;J$9,MATRIZCTAS!$AH$7:$AH$1766)</f>
        <v>0</v>
      </c>
      <c r="K40" s="430">
        <f>-SUMIF(MATRIZCTAS!$O$7:$O$1766,$C40&amp;K$9,MATRIZCTAS!$AH$7:$AH$1766)</f>
        <v>0</v>
      </c>
      <c r="L40" s="430">
        <f>-SUMIF(MATRIZCTAS!$O$7:$O$1766,$C40&amp;L$9,MATRIZCTAS!$AH$7:$AH$1766)</f>
        <v>0</v>
      </c>
      <c r="M40" s="430">
        <f>-SUMIF(MATRIZCTAS!$O$7:$O$1766,$C40&amp;M$9,MATRIZCTAS!$AH$7:$AH$1766)</f>
        <v>0</v>
      </c>
      <c r="N40" s="430">
        <f>-SUMIF(MATRIZCTAS!$O$7:$O$1766,$C40&amp;N$9,MATRIZCTAS!$AH$7:$AH$1766)</f>
        <v>0</v>
      </c>
      <c r="O40" s="430">
        <f>-SUMIF(MATRIZCTAS!$O$7:$O$1766,$C40&amp;O$9,MATRIZCTAS!$AH$7:$AH$1766)</f>
        <v>0</v>
      </c>
      <c r="P40" s="430">
        <f>-SUMIF(MATRIZCTAS!$O$7:$O$1766,$C40&amp;P$9,MATRIZCTAS!$AH$7:$AH$1766)</f>
        <v>0</v>
      </c>
      <c r="Q40" s="430">
        <f>-SUMIF(MATRIZCTAS!$O$7:$O$1766,$C40&amp;Q$9,MATRIZCTAS!$AH$7:$AH$1766)</f>
        <v>0</v>
      </c>
      <c r="R40" s="430">
        <f>-SUMIF(MATRIZCTAS!$O$7:$O$1766,$C40&amp;R$9,MATRIZCTAS!$AH$7:$AH$1766)</f>
        <v>0</v>
      </c>
      <c r="S40" s="430">
        <f>-SUMIF(MATRIZCTAS!$O$7:$O$1766,$C40&amp;S$9,MATRIZCTAS!$AH$7:$AH$1766)</f>
        <v>0</v>
      </c>
      <c r="T40" s="430">
        <f>-SUMIF(MATRIZCTAS!$O$7:$O$1766,$C40&amp;T$9,MATRIZCTAS!$AH$7:$AH$1766)</f>
        <v>0</v>
      </c>
      <c r="U40" s="430">
        <f>-SUMIF(MATRIZCTAS!$O$7:$O$1766,$C40&amp;U$9,MATRIZCTAS!$AH$7:$AH$1766)</f>
        <v>0</v>
      </c>
      <c r="V40" s="430">
        <f>-SUMIF(MATRIZCTAS!$O$7:$O$1766,$C40&amp;V$9,MATRIZCTAS!$AH$7:$AH$1766)</f>
        <v>0</v>
      </c>
      <c r="W40" s="430">
        <f>-SUMIF(MATRIZCTAS!$O$7:$O$1766,$C40&amp;W$9,MATRIZCTAS!$AH$7:$AH$1766)</f>
        <v>0</v>
      </c>
      <c r="X40" s="430">
        <f>-SUMIF(MATRIZCTAS!$O$7:$O$1766,$C40&amp;X$9,MATRIZCTAS!$AH$7:$AH$1766)</f>
        <v>0</v>
      </c>
      <c r="Y40" s="430">
        <f>-SUMIF(MATRIZCTAS!$O$7:$O$1766,$C40&amp;Y$9,MATRIZCTAS!$AH$7:$AH$1766)</f>
        <v>0</v>
      </c>
      <c r="Z40" s="430">
        <f>-SUMIF(MATRIZCTAS!$O$7:$O$1766,$C40&amp;Z$9,MATRIZCTAS!$AH$7:$AH$1766)</f>
        <v>0</v>
      </c>
      <c r="AA40" s="430">
        <f>-SUMIF(MATRIZCTAS!$O$7:$O$1766,$C40&amp;AA$9,MATRIZCTAS!$AH$7:$AH$1766)</f>
        <v>0</v>
      </c>
      <c r="AB40" s="430">
        <f>-SUMIF(MATRIZCTAS!$O$7:$O$1766,$C40&amp;AB$9,MATRIZCTAS!$AH$7:$AH$1766)</f>
        <v>0</v>
      </c>
      <c r="AC40" s="430">
        <f>-SUMIF(MATRIZCTAS!$O$7:$O$1766,$C40&amp;AC$9,MATRIZCTAS!$AH$7:$AH$1766)</f>
        <v>0</v>
      </c>
      <c r="AD40" s="430">
        <f>-SUMIF(MATRIZCTAS!$O$7:$O$1766,$C40&amp;AD$9,MATRIZCTAS!$AH$7:$AH$1766)</f>
        <v>0</v>
      </c>
      <c r="AE40" s="430">
        <f>-SUMIF(MATRIZCTAS!$O$7:$O$1766,$C40&amp;AE$9,MATRIZCTAS!$AH$7:$AH$1766)</f>
        <v>0</v>
      </c>
      <c r="AF40" s="430">
        <f>-SUMIF(MATRIZCTAS!$O$7:$O$1766,$C40&amp;AF$9,MATRIZCTAS!$AH$7:$AH$1766)</f>
        <v>0</v>
      </c>
      <c r="AG40" s="430">
        <f>-SUMIF(MATRIZCTAS!$O$7:$O$1766,$C40&amp;AG$9,MATRIZCTAS!$AH$7:$AH$1766)</f>
        <v>0</v>
      </c>
      <c r="AH40" s="430">
        <f>-SUMIF(MATRIZCTAS!$O$7:$O$1766,$C40&amp;AH$9,MATRIZCTAS!$AH$7:$AH$1766)</f>
        <v>0</v>
      </c>
      <c r="AI40" s="430">
        <f>-SUMIF(MATRIZCTAS!$O$7:$O$1766,$C40&amp;AI$9,MATRIZCTAS!$AH$7:$AH$1766)</f>
        <v>0</v>
      </c>
      <c r="AJ40" s="430">
        <f>-SUMIF(MATRIZCTAS!$O$7:$O$1766,$C40&amp;AJ$9,MATRIZCTAS!$AH$7:$AH$1766)</f>
        <v>0</v>
      </c>
      <c r="AK40" s="430">
        <f>-SUMIF(MATRIZCTAS!$O$7:$O$1766,$C40&amp;AK$9,MATRIZCTAS!$AH$7:$AH$1766)</f>
        <v>0</v>
      </c>
      <c r="AL40" s="1456">
        <f>-SUMIF(MATRIZCTAS!$O$7:$O$1766,$C40&amp;AL$9,MATRIZCTAS!$AH$7:$AH$1766)</f>
        <v>0</v>
      </c>
    </row>
    <row r="41" spans="2:38" ht="20.100000000000001" customHeight="1">
      <c r="B41" s="172" t="s">
        <v>3302</v>
      </c>
      <c r="C41" s="1382">
        <v>6352230</v>
      </c>
      <c r="D41" s="153" t="s">
        <v>1244</v>
      </c>
      <c r="E41" s="1366">
        <f t="shared" si="17"/>
        <v>0</v>
      </c>
      <c r="F41" s="210">
        <f t="shared" si="8"/>
        <v>0</v>
      </c>
      <c r="G41" s="430">
        <f>-SUMIF(MATRIZCTAS!$O$7:$O$1766,$C41&amp;G$9,MATRIZCTAS!$AH$7:$AH$1766)</f>
        <v>0</v>
      </c>
      <c r="H41" s="430">
        <f>-SUMIF(MATRIZCTAS!$O$7:$O$1766,$C41&amp;H$9,MATRIZCTAS!$AH$7:$AH$1766)</f>
        <v>0</v>
      </c>
      <c r="I41" s="430">
        <f>-SUMIF(MATRIZCTAS!$O$7:$O$1766,$C41&amp;I$9,MATRIZCTAS!$AH$7:$AH$1766)</f>
        <v>0</v>
      </c>
      <c r="J41" s="430">
        <f>-SUMIF(MATRIZCTAS!$O$7:$O$1766,$C41&amp;J$9,MATRIZCTAS!$AH$7:$AH$1766)</f>
        <v>0</v>
      </c>
      <c r="K41" s="430">
        <f>-SUMIF(MATRIZCTAS!$O$7:$O$1766,$C41&amp;K$9,MATRIZCTAS!$AH$7:$AH$1766)</f>
        <v>0</v>
      </c>
      <c r="L41" s="430">
        <f>-SUMIF(MATRIZCTAS!$O$7:$O$1766,$C41&amp;L$9,MATRIZCTAS!$AH$7:$AH$1766)</f>
        <v>0</v>
      </c>
      <c r="M41" s="430">
        <f>-SUMIF(MATRIZCTAS!$O$7:$O$1766,$C41&amp;M$9,MATRIZCTAS!$AH$7:$AH$1766)</f>
        <v>0</v>
      </c>
      <c r="N41" s="430">
        <f>-SUMIF(MATRIZCTAS!$O$7:$O$1766,$C41&amp;N$9,MATRIZCTAS!$AH$7:$AH$1766)</f>
        <v>0</v>
      </c>
      <c r="O41" s="430">
        <f>-SUMIF(MATRIZCTAS!$O$7:$O$1766,$C41&amp;O$9,MATRIZCTAS!$AH$7:$AH$1766)</f>
        <v>0</v>
      </c>
      <c r="P41" s="430">
        <f>-SUMIF(MATRIZCTAS!$O$7:$O$1766,$C41&amp;P$9,MATRIZCTAS!$AH$7:$AH$1766)</f>
        <v>0</v>
      </c>
      <c r="Q41" s="430">
        <f>-SUMIF(MATRIZCTAS!$O$7:$O$1766,$C41&amp;Q$9,MATRIZCTAS!$AH$7:$AH$1766)</f>
        <v>0</v>
      </c>
      <c r="R41" s="430">
        <f>-SUMIF(MATRIZCTAS!$O$7:$O$1766,$C41&amp;R$9,MATRIZCTAS!$AH$7:$AH$1766)</f>
        <v>0</v>
      </c>
      <c r="S41" s="430">
        <f>-SUMIF(MATRIZCTAS!$O$7:$O$1766,$C41&amp;S$9,MATRIZCTAS!$AH$7:$AH$1766)</f>
        <v>0</v>
      </c>
      <c r="T41" s="430">
        <f>-SUMIF(MATRIZCTAS!$O$7:$O$1766,$C41&amp;T$9,MATRIZCTAS!$AH$7:$AH$1766)</f>
        <v>0</v>
      </c>
      <c r="U41" s="430">
        <f>-SUMIF(MATRIZCTAS!$O$7:$O$1766,$C41&amp;U$9,MATRIZCTAS!$AH$7:$AH$1766)</f>
        <v>0</v>
      </c>
      <c r="V41" s="430">
        <f>-SUMIF(MATRIZCTAS!$O$7:$O$1766,$C41&amp;V$9,MATRIZCTAS!$AH$7:$AH$1766)</f>
        <v>0</v>
      </c>
      <c r="W41" s="430">
        <f>-SUMIF(MATRIZCTAS!$O$7:$O$1766,$C41&amp;W$9,MATRIZCTAS!$AH$7:$AH$1766)</f>
        <v>0</v>
      </c>
      <c r="X41" s="430">
        <f>-SUMIF(MATRIZCTAS!$O$7:$O$1766,$C41&amp;X$9,MATRIZCTAS!$AH$7:$AH$1766)</f>
        <v>0</v>
      </c>
      <c r="Y41" s="430">
        <f>-SUMIF(MATRIZCTAS!$O$7:$O$1766,$C41&amp;Y$9,MATRIZCTAS!$AH$7:$AH$1766)</f>
        <v>0</v>
      </c>
      <c r="Z41" s="430">
        <f>-SUMIF(MATRIZCTAS!$O$7:$O$1766,$C41&amp;Z$9,MATRIZCTAS!$AH$7:$AH$1766)</f>
        <v>0</v>
      </c>
      <c r="AA41" s="430">
        <f>-SUMIF(MATRIZCTAS!$O$7:$O$1766,$C41&amp;AA$9,MATRIZCTAS!$AH$7:$AH$1766)</f>
        <v>0</v>
      </c>
      <c r="AB41" s="430">
        <f>-SUMIF(MATRIZCTAS!$O$7:$O$1766,$C41&amp;AB$9,MATRIZCTAS!$AH$7:$AH$1766)</f>
        <v>0</v>
      </c>
      <c r="AC41" s="430">
        <f>-SUMIF(MATRIZCTAS!$O$7:$O$1766,$C41&amp;AC$9,MATRIZCTAS!$AH$7:$AH$1766)</f>
        <v>0</v>
      </c>
      <c r="AD41" s="430">
        <f>-SUMIF(MATRIZCTAS!$O$7:$O$1766,$C41&amp;AD$9,MATRIZCTAS!$AH$7:$AH$1766)</f>
        <v>0</v>
      </c>
      <c r="AE41" s="430">
        <f>-SUMIF(MATRIZCTAS!$O$7:$O$1766,$C41&amp;AE$9,MATRIZCTAS!$AH$7:$AH$1766)</f>
        <v>0</v>
      </c>
      <c r="AF41" s="430">
        <f>-SUMIF(MATRIZCTAS!$O$7:$O$1766,$C41&amp;AF$9,MATRIZCTAS!$AH$7:$AH$1766)</f>
        <v>0</v>
      </c>
      <c r="AG41" s="430">
        <f>-SUMIF(MATRIZCTAS!$O$7:$O$1766,$C41&amp;AG$9,MATRIZCTAS!$AH$7:$AH$1766)</f>
        <v>0</v>
      </c>
      <c r="AH41" s="430">
        <f>-SUMIF(MATRIZCTAS!$O$7:$O$1766,$C41&amp;AH$9,MATRIZCTAS!$AH$7:$AH$1766)</f>
        <v>0</v>
      </c>
      <c r="AI41" s="430">
        <f>-SUMIF(MATRIZCTAS!$O$7:$O$1766,$C41&amp;AI$9,MATRIZCTAS!$AH$7:$AH$1766)</f>
        <v>0</v>
      </c>
      <c r="AJ41" s="430">
        <f>-SUMIF(MATRIZCTAS!$O$7:$O$1766,$C41&amp;AJ$9,MATRIZCTAS!$AH$7:$AH$1766)</f>
        <v>0</v>
      </c>
      <c r="AK41" s="430">
        <f>-SUMIF(MATRIZCTAS!$O$7:$O$1766,$C41&amp;AK$9,MATRIZCTAS!$AH$7:$AH$1766)</f>
        <v>0</v>
      </c>
      <c r="AL41" s="1456">
        <f>-SUMIF(MATRIZCTAS!$O$7:$O$1766,$C41&amp;AL$9,MATRIZCTAS!$AH$7:$AH$1766)</f>
        <v>0</v>
      </c>
    </row>
    <row r="42" spans="2:38" s="171" customFormat="1" ht="20.100000000000001" customHeight="1">
      <c r="B42" s="176" t="s">
        <v>3303</v>
      </c>
      <c r="C42" s="1383">
        <v>6352300</v>
      </c>
      <c r="D42" s="145" t="s">
        <v>618</v>
      </c>
      <c r="E42" s="1357">
        <f t="shared" si="10"/>
        <v>4708873</v>
      </c>
      <c r="F42" s="210">
        <f t="shared" si="8"/>
        <v>4708873</v>
      </c>
      <c r="G42" s="430">
        <f>-SUMIF(MATRIZCTAS!$O$7:$O$1766,$C42&amp;G$9,MATRIZCTAS!$AH$7:$AH$1766)-ROUND(SUMIF('Antecedentes Cuadros 6.03'!$A$238:$A$254,G$9,'Antecedentes Cuadros 6.03'!$D$238:$D$254)/1000,0)</f>
        <v>3454</v>
      </c>
      <c r="H42" s="430">
        <f>-SUMIF(MATRIZCTAS!$O$7:$O$1766,$C42&amp;H$9,MATRIZCTAS!$AH$7:$AH$1766)-ROUND(SUMIF('Antecedentes Cuadros 6.03'!$A$238:$A$254,H$9,'Antecedentes Cuadros 6.03'!$D$238:$D$254)/1000,0)</f>
        <v>2058</v>
      </c>
      <c r="I42" s="430">
        <f>-SUMIF(MATRIZCTAS!$O$7:$O$1766,$C42&amp;I$9,MATRIZCTAS!$AH$7:$AH$1766)-ROUND(SUMIF('Antecedentes Cuadros 6.03'!$A$238:$A$254,I$9,'Antecedentes Cuadros 6.03'!$D$238:$D$254)/1000,0)</f>
        <v>14564</v>
      </c>
      <c r="J42" s="430">
        <f>-SUMIF(MATRIZCTAS!$O$7:$O$1766,$C42&amp;J$9,MATRIZCTAS!$AH$7:$AH$1766)-ROUND(SUMIF('Antecedentes Cuadros 6.03'!$A$238:$A$254,J$9,'Antecedentes Cuadros 6.03'!$D$238:$D$254)/1000,0)</f>
        <v>2653</v>
      </c>
      <c r="K42" s="430">
        <f>-SUMIF(MATRIZCTAS!$O$7:$O$1766,$C42&amp;K$9,MATRIZCTAS!$AH$7:$AH$1766)-ROUND(SUMIF('Antecedentes Cuadros 6.03'!$A$238:$A$254,K$9,'Antecedentes Cuadros 6.03'!$D$238:$D$254)/1000,0)</f>
        <v>0</v>
      </c>
      <c r="L42" s="430">
        <f>-SUMIF(MATRIZCTAS!$O$7:$O$1766,$C42&amp;L$9,MATRIZCTAS!$AH$7:$AH$1766)-ROUND(SUMIF('Antecedentes Cuadros 6.03'!$A$238:$A$254,L$9,'Antecedentes Cuadros 6.03'!$D$238:$D$254)/1000,0)</f>
        <v>0</v>
      </c>
      <c r="M42" s="430">
        <f>-SUMIF(MATRIZCTAS!$O$7:$O$1766,$C42&amp;M$9,MATRIZCTAS!$AH$7:$AH$1766)-ROUND(SUMIF('Antecedentes Cuadros 6.03'!$A$238:$A$254,M$9,'Antecedentes Cuadros 6.03'!$D$238:$D$254)/1000,0)</f>
        <v>0</v>
      </c>
      <c r="N42" s="430">
        <f>-SUMIF(MATRIZCTAS!$O$7:$O$1766,$C42&amp;N$9,MATRIZCTAS!$AH$7:$AH$1766)-ROUND(SUMIF('Antecedentes Cuadros 6.03'!$A$238:$A$254,N$9,'Antecedentes Cuadros 6.03'!$D$238:$D$254)/1000,0)</f>
        <v>279</v>
      </c>
      <c r="O42" s="430">
        <f>-SUMIF(MATRIZCTAS!$O$7:$O$1766,$C42&amp;O$9,MATRIZCTAS!$AH$7:$AH$1766)-ROUND(SUMIF('Antecedentes Cuadros 6.03'!$A$238:$A$254,O$9,'Antecedentes Cuadros 6.03'!$D$238:$D$254)/1000,0)</f>
        <v>8552</v>
      </c>
      <c r="P42" s="430">
        <f>-SUMIF(MATRIZCTAS!$O$7:$O$1766,$C42&amp;P$9,MATRIZCTAS!$AH$7:$AH$1766)-ROUND(SUMIF('Antecedentes Cuadros 6.03'!$A$238:$A$254,P$9,'Antecedentes Cuadros 6.03'!$D$238:$D$254)/1000,0)</f>
        <v>1719</v>
      </c>
      <c r="Q42" s="430">
        <f>-SUMIF(MATRIZCTAS!$O$7:$O$1766,$C42&amp;Q$9,MATRIZCTAS!$AH$7:$AH$1766)-ROUND(SUMIF('Antecedentes Cuadros 6.03'!$A$238:$A$254,Q$9,'Antecedentes Cuadros 6.03'!$D$238:$D$254)/1000,0)</f>
        <v>0</v>
      </c>
      <c r="R42" s="430">
        <f>-SUMIF(MATRIZCTAS!$O$7:$O$1766,$C42&amp;R$9,MATRIZCTAS!$AH$7:$AH$1766)-ROUND(SUMIF('Antecedentes Cuadros 6.03'!$A$238:$A$254,R$9,'Antecedentes Cuadros 6.03'!$D$238:$D$254)/1000,0)</f>
        <v>489</v>
      </c>
      <c r="S42" s="430">
        <f>-SUMIF(MATRIZCTAS!$O$7:$O$1766,$C42&amp;S$9,MATRIZCTAS!$AH$7:$AH$1766)-ROUND(SUMIF('Antecedentes Cuadros 6.03'!$A$238:$A$254,S$9,'Antecedentes Cuadros 6.03'!$D$238:$D$254)/1000,0)</f>
        <v>0</v>
      </c>
      <c r="T42" s="430">
        <f>-SUMIF(MATRIZCTAS!$O$7:$O$1766,$C42&amp;T$9,MATRIZCTAS!$AH$7:$AH$1766)-ROUND(SUMIF('Antecedentes Cuadros 6.03'!$A$238:$A$254,T$9,'Antecedentes Cuadros 6.03'!$D$238:$D$254)/1000,0)</f>
        <v>-250</v>
      </c>
      <c r="U42" s="430">
        <f>-SUMIF(MATRIZCTAS!$O$7:$O$1766,$C42&amp;U$9,MATRIZCTAS!$AH$7:$AH$1766)-ROUND(SUMIF('Antecedentes Cuadros 6.03'!$A$238:$A$254,U$9,'Antecedentes Cuadros 6.03'!$D$238:$D$254)/1000,0)</f>
        <v>0</v>
      </c>
      <c r="V42" s="430">
        <f>-SUMIF(MATRIZCTAS!$O$7:$O$1766,$C42&amp;V$9,MATRIZCTAS!$AH$7:$AH$1766)-ROUND(SUMIF('Antecedentes Cuadros 6.03'!$A$238:$A$254,V$9,'Antecedentes Cuadros 6.03'!$D$238:$D$254)/1000,0)</f>
        <v>537517</v>
      </c>
      <c r="W42" s="430">
        <f>-SUMIF(MATRIZCTAS!$O$7:$O$1766,$C42&amp;W$9,MATRIZCTAS!$AH$7:$AH$1766)-ROUND(SUMIF('Antecedentes Cuadros 6.03'!$A$238:$A$254,W$9,'Antecedentes Cuadros 6.03'!$D$238:$D$254)/1000,0)</f>
        <v>0</v>
      </c>
      <c r="X42" s="430">
        <f>-SUMIF(MATRIZCTAS!$O$7:$O$1766,$C42&amp;X$9,MATRIZCTAS!$AH$7:$AH$1766)-ROUND(SUMIF('Antecedentes Cuadros 6.03'!$A$238:$A$254,X$9,'Antecedentes Cuadros 6.03'!$D$238:$D$254)/1000,0)</f>
        <v>0</v>
      </c>
      <c r="Y42" s="430">
        <f>-SUMIF(MATRIZCTAS!$O$7:$O$1766,$C42&amp;Y$9,MATRIZCTAS!$AH$7:$AH$1766)-ROUND(SUMIF('Antecedentes Cuadros 6.03'!$A$238:$A$254,Y$9,'Antecedentes Cuadros 6.03'!$D$238:$D$254)/1000,0)</f>
        <v>0</v>
      </c>
      <c r="Z42" s="430">
        <f>-SUMIF(MATRIZCTAS!$O$7:$O$1766,$C42&amp;Z$9,MATRIZCTAS!$AH$7:$AH$1766)-ROUND(SUMIF('Antecedentes Cuadros 6.03'!$A$238:$A$254,Z$9,'Antecedentes Cuadros 6.03'!$D$238:$D$254)/1000,0)</f>
        <v>0</v>
      </c>
      <c r="AA42" s="430">
        <f>-SUMIF(MATRIZCTAS!$O$7:$O$1766,$C42&amp;AA$9,MATRIZCTAS!$AH$7:$AH$1766)-ROUND(SUMIF('Antecedentes Cuadros 6.03'!$A$238:$A$254,AA$9,'Antecedentes Cuadros 6.03'!$D$238:$D$254)/1000,0)</f>
        <v>140208</v>
      </c>
      <c r="AB42" s="430">
        <f>-SUMIF(MATRIZCTAS!$O$7:$O$1766,$C42&amp;AB$9,MATRIZCTAS!$AH$7:$AH$1766)-ROUND(SUMIF('Antecedentes Cuadros 6.03'!$A$238:$A$254,AB$9,'Antecedentes Cuadros 6.03'!$D$238:$D$254)/1000,0)</f>
        <v>0</v>
      </c>
      <c r="AC42" s="430">
        <f>-SUMIF(MATRIZCTAS!$O$7:$O$1766,$C42&amp;AC$9,MATRIZCTAS!$AH$7:$AH$1766)-ROUND(SUMIF('Antecedentes Cuadros 6.03'!$A$238:$A$254,AC$9,'Antecedentes Cuadros 6.03'!$D$238:$D$254)/1000,0)-1</f>
        <v>3463350</v>
      </c>
      <c r="AD42" s="430">
        <f>-SUMIF(MATRIZCTAS!$O$7:$O$1766,$C42&amp;AD$9,MATRIZCTAS!$AH$7:$AH$1766)-ROUND(SUMIF('Antecedentes Cuadros 6.03'!$A$238:$A$254,AD$9,'Antecedentes Cuadros 6.03'!$D$238:$D$254)/1000,0)</f>
        <v>5885</v>
      </c>
      <c r="AE42" s="430">
        <f>-SUMIF(MATRIZCTAS!$O$7:$O$1766,$C42&amp;AE$9,MATRIZCTAS!$AH$7:$AH$1766)-ROUND(SUMIF('Antecedentes Cuadros 6.03'!$A$238:$A$254,AE$9,'Antecedentes Cuadros 6.03'!$D$238:$D$254)/1000,0)</f>
        <v>0</v>
      </c>
      <c r="AF42" s="430">
        <f>-SUMIF(MATRIZCTAS!$O$7:$O$1766,$C42&amp;AF$9,MATRIZCTAS!$AH$7:$AH$1766)-ROUND(SUMIF('Antecedentes Cuadros 6.03'!$A$238:$A$254,AF$9,'Antecedentes Cuadros 6.03'!$D$238:$D$254)/1000,0)</f>
        <v>528395</v>
      </c>
      <c r="AG42" s="430">
        <f>-SUMIF(MATRIZCTAS!$O$7:$O$1766,$C42&amp;AG$9,MATRIZCTAS!$AH$7:$AH$1766)-ROUND(SUMIF('Antecedentes Cuadros 6.03'!$A$238:$A$254,AG$9,'Antecedentes Cuadros 6.03'!$D$238:$D$254)/1000,0)</f>
        <v>0</v>
      </c>
      <c r="AH42" s="430">
        <f>-SUMIF(MATRIZCTAS!$O$7:$O$1766,$C42&amp;AH$9,MATRIZCTAS!$AH$7:$AH$1766)-ROUND(SUMIF('Antecedentes Cuadros 6.03'!$A$238:$A$254,AH$9,'Antecedentes Cuadros 6.03'!$D$238:$D$254)/1000,0)</f>
        <v>0</v>
      </c>
      <c r="AI42" s="430">
        <f>-SUMIF(MATRIZCTAS!$O$7:$O$1766,$C42&amp;AI$9,MATRIZCTAS!$AH$7:$AH$1766)-ROUND(SUMIF('Antecedentes Cuadros 6.03'!$A$238:$A$254,AI$9,'Antecedentes Cuadros 6.03'!$D$238:$D$254)/1000,0)</f>
        <v>0</v>
      </c>
      <c r="AJ42" s="430">
        <f>-SUMIF(MATRIZCTAS!$O$7:$O$1766,$C42&amp;AJ$9,MATRIZCTAS!$AH$7:$AH$1766)-ROUND(SUMIF('Antecedentes Cuadros 6.03'!$A$238:$A$254,AJ$9,'Antecedentes Cuadros 6.03'!$D$238:$D$254)/1000,0)</f>
        <v>0</v>
      </c>
      <c r="AK42" s="430">
        <f>-SUMIF(MATRIZCTAS!$O$7:$O$1766,$C42&amp;AK$9,MATRIZCTAS!$AH$7:$AH$1766)-ROUND(SUMIF('Antecedentes Cuadros 6.03'!$A$238:$A$254,AK$9,'Antecedentes Cuadros 6.03'!$D$238:$D$254)/1000,0)</f>
        <v>0</v>
      </c>
      <c r="AL42" s="1456">
        <f>-SUMIF(MATRIZCTAS!$O$7:$O$1766,$C42&amp;AL$9,MATRIZCTAS!$AH$7:$AH$1766)-ROUND(SUMIF('Antecedentes Cuadros 6.03'!$A$238:$A$254,AL$9,'Antecedentes Cuadros 6.03'!$D$238:$D$254)/1000,0)</f>
        <v>0</v>
      </c>
    </row>
    <row r="43" spans="2:38" s="171" customFormat="1" ht="20.100000000000001" customHeight="1">
      <c r="B43" s="172"/>
      <c r="C43" s="179"/>
      <c r="D43" s="158"/>
      <c r="E43" s="892"/>
      <c r="F43" s="210">
        <f t="shared" si="8"/>
        <v>0</v>
      </c>
      <c r="G43" s="180"/>
      <c r="H43" s="180"/>
      <c r="I43" s="180"/>
      <c r="J43" s="180"/>
      <c r="K43" s="180"/>
      <c r="L43" s="180"/>
      <c r="M43" s="180"/>
      <c r="N43" s="180"/>
      <c r="O43" s="180"/>
      <c r="P43" s="180"/>
      <c r="Q43" s="180"/>
      <c r="R43" s="180"/>
      <c r="S43" s="180"/>
      <c r="T43" s="180"/>
      <c r="U43" s="180"/>
      <c r="V43" s="180"/>
      <c r="W43" s="180"/>
      <c r="X43" s="180"/>
      <c r="Y43" s="180"/>
      <c r="Z43" s="180"/>
      <c r="AA43" s="180"/>
      <c r="AB43" s="180"/>
      <c r="AC43" s="180"/>
      <c r="AD43" s="180"/>
      <c r="AE43" s="180"/>
      <c r="AF43" s="180"/>
      <c r="AG43" s="180"/>
      <c r="AH43" s="180"/>
      <c r="AI43" s="180"/>
      <c r="AJ43" s="180"/>
      <c r="AK43" s="410"/>
      <c r="AL43" s="178"/>
    </row>
    <row r="44" spans="2:38" s="171" customFormat="1" ht="20.100000000000001" customHeight="1" thickBot="1">
      <c r="B44" s="183" t="s">
        <v>3304</v>
      </c>
      <c r="C44" s="184">
        <v>6353000</v>
      </c>
      <c r="D44" s="185" t="s">
        <v>393</v>
      </c>
      <c r="E44" s="903">
        <f t="shared" si="10"/>
        <v>23593320.840644784</v>
      </c>
      <c r="F44" s="186">
        <f t="shared" si="8"/>
        <v>7718025.4014837164</v>
      </c>
      <c r="G44" s="186">
        <f t="shared" ref="G44:AL44" si="18">+(G53*$B$52)/1000</f>
        <v>2469.3770879468634</v>
      </c>
      <c r="H44" s="186">
        <f t="shared" si="18"/>
        <v>2072.5310372328377</v>
      </c>
      <c r="I44" s="186">
        <f t="shared" si="18"/>
        <v>78290.31665966181</v>
      </c>
      <c r="J44" s="186">
        <f t="shared" si="18"/>
        <v>1921.3032583162401</v>
      </c>
      <c r="K44" s="186">
        <f t="shared" si="18"/>
        <v>0</v>
      </c>
      <c r="L44" s="186">
        <f t="shared" si="18"/>
        <v>0</v>
      </c>
      <c r="M44" s="186">
        <f t="shared" si="18"/>
        <v>0</v>
      </c>
      <c r="N44" s="186">
        <f t="shared" si="18"/>
        <v>189.79593729801209</v>
      </c>
      <c r="O44" s="186">
        <f t="shared" si="18"/>
        <v>38097.220868546428</v>
      </c>
      <c r="P44" s="186">
        <f t="shared" si="18"/>
        <v>35812.564960215816</v>
      </c>
      <c r="Q44" s="186">
        <f t="shared" si="18"/>
        <v>0</v>
      </c>
      <c r="R44" s="186">
        <f t="shared" si="18"/>
        <v>367.41245615978812</v>
      </c>
      <c r="S44" s="186">
        <f t="shared" si="18"/>
        <v>0</v>
      </c>
      <c r="T44" s="186">
        <f t="shared" si="18"/>
        <v>22627.32955145391</v>
      </c>
      <c r="U44" s="186">
        <f t="shared" si="18"/>
        <v>0</v>
      </c>
      <c r="V44" s="186">
        <f t="shared" si="18"/>
        <v>4185121.1966539924</v>
      </c>
      <c r="W44" s="186">
        <f t="shared" si="18"/>
        <v>0</v>
      </c>
      <c r="X44" s="186">
        <f t="shared" si="18"/>
        <v>0</v>
      </c>
      <c r="Y44" s="186">
        <f t="shared" si="18"/>
        <v>0</v>
      </c>
      <c r="Z44" s="186">
        <f t="shared" si="18"/>
        <v>0</v>
      </c>
      <c r="AA44" s="186">
        <f t="shared" si="18"/>
        <v>181954.42172814877</v>
      </c>
      <c r="AB44" s="186">
        <f t="shared" si="18"/>
        <v>0</v>
      </c>
      <c r="AC44" s="186">
        <f t="shared" si="18"/>
        <v>2572921.4287340604</v>
      </c>
      <c r="AD44" s="186">
        <f t="shared" si="18"/>
        <v>60796.611979081397</v>
      </c>
      <c r="AE44" s="186">
        <f t="shared" si="18"/>
        <v>0</v>
      </c>
      <c r="AF44" s="186">
        <f t="shared" si="18"/>
        <v>535383.89057160146</v>
      </c>
      <c r="AG44" s="186">
        <f t="shared" si="18"/>
        <v>0</v>
      </c>
      <c r="AH44" s="186">
        <f t="shared" si="18"/>
        <v>15875295.439161068</v>
      </c>
      <c r="AI44" s="186">
        <f t="shared" si="18"/>
        <v>0</v>
      </c>
      <c r="AJ44" s="186">
        <f t="shared" si="18"/>
        <v>0</v>
      </c>
      <c r="AK44" s="186">
        <f t="shared" si="18"/>
        <v>0</v>
      </c>
      <c r="AL44" s="187">
        <f t="shared" si="18"/>
        <v>0</v>
      </c>
    </row>
    <row r="45" spans="2:38" ht="9.75" thickTop="1"/>
    <row r="46" spans="2:38" ht="15" customHeight="1">
      <c r="C46" s="188">
        <v>1.2999999999999999E-2</v>
      </c>
      <c r="D46" s="189" t="s">
        <v>265</v>
      </c>
      <c r="E46" s="193"/>
      <c r="F46" s="193"/>
    </row>
    <row r="47" spans="2:38" ht="15" customHeight="1">
      <c r="C47" s="189"/>
      <c r="D47" s="189" t="s">
        <v>266</v>
      </c>
      <c r="E47" s="190">
        <f>SUM(G47:AL47)</f>
        <v>0</v>
      </c>
      <c r="F47" s="190"/>
      <c r="G47" s="191">
        <v>0</v>
      </c>
      <c r="H47" s="191">
        <v>0</v>
      </c>
      <c r="I47" s="191">
        <v>0</v>
      </c>
      <c r="J47" s="191">
        <v>0</v>
      </c>
      <c r="K47" s="191">
        <v>0</v>
      </c>
      <c r="L47" s="191">
        <v>0</v>
      </c>
      <c r="M47" s="191">
        <v>0</v>
      </c>
      <c r="N47" s="191">
        <v>0</v>
      </c>
      <c r="O47" s="191">
        <v>0</v>
      </c>
      <c r="P47" s="191">
        <v>0</v>
      </c>
      <c r="Q47" s="191">
        <v>0</v>
      </c>
      <c r="R47" s="191">
        <v>0</v>
      </c>
      <c r="S47" s="191"/>
      <c r="T47" s="191">
        <v>0</v>
      </c>
      <c r="U47" s="191">
        <v>0</v>
      </c>
      <c r="V47" s="191">
        <v>0</v>
      </c>
      <c r="W47" s="191">
        <v>0</v>
      </c>
      <c r="X47" s="191">
        <v>0</v>
      </c>
      <c r="Y47" s="191">
        <v>0</v>
      </c>
      <c r="Z47" s="191">
        <v>0</v>
      </c>
      <c r="AA47" s="191">
        <v>0</v>
      </c>
      <c r="AB47" s="191">
        <v>0</v>
      </c>
      <c r="AC47" s="191">
        <v>0</v>
      </c>
      <c r="AD47" s="191">
        <v>0</v>
      </c>
      <c r="AE47" s="191">
        <v>0</v>
      </c>
      <c r="AF47" s="191">
        <v>0</v>
      </c>
      <c r="AG47" s="191">
        <v>0</v>
      </c>
      <c r="AH47" s="191">
        <v>0</v>
      </c>
      <c r="AI47" s="191">
        <v>0</v>
      </c>
      <c r="AJ47" s="191">
        <v>0</v>
      </c>
      <c r="AK47" s="191">
        <v>0</v>
      </c>
      <c r="AL47" s="191">
        <v>0</v>
      </c>
    </row>
    <row r="48" spans="2:38">
      <c r="E48" s="193"/>
      <c r="F48" s="193"/>
    </row>
    <row r="49" spans="2:39" ht="15" customHeight="1">
      <c r="C49" s="188">
        <v>1.2999999999999999E-2</v>
      </c>
      <c r="D49" s="189" t="s">
        <v>266</v>
      </c>
      <c r="E49" s="190">
        <f>SUM(G49:AL49)</f>
        <v>23245761</v>
      </c>
      <c r="F49" s="190"/>
      <c r="G49" s="191">
        <v>2433</v>
      </c>
      <c r="H49" s="191">
        <v>2042</v>
      </c>
      <c r="I49" s="191">
        <v>77137</v>
      </c>
      <c r="J49" s="191">
        <v>1893</v>
      </c>
      <c r="K49" s="191">
        <v>0</v>
      </c>
      <c r="L49" s="191">
        <v>0</v>
      </c>
      <c r="M49" s="191">
        <v>0</v>
      </c>
      <c r="N49" s="191">
        <v>187</v>
      </c>
      <c r="O49" s="191">
        <v>37536</v>
      </c>
      <c r="P49" s="191">
        <v>35285</v>
      </c>
      <c r="Q49" s="191">
        <v>0</v>
      </c>
      <c r="R49" s="191">
        <v>362</v>
      </c>
      <c r="S49" s="191"/>
      <c r="T49" s="191">
        <v>22294</v>
      </c>
      <c r="U49" s="191"/>
      <c r="V49" s="191">
        <v>4123469</v>
      </c>
      <c r="W49" s="191">
        <v>0</v>
      </c>
      <c r="X49" s="191">
        <v>0</v>
      </c>
      <c r="Y49" s="191">
        <v>0</v>
      </c>
      <c r="Z49" s="191">
        <v>0</v>
      </c>
      <c r="AA49" s="191">
        <v>179274</v>
      </c>
      <c r="AB49" s="191">
        <v>0</v>
      </c>
      <c r="AC49" s="191">
        <v>2535019</v>
      </c>
      <c r="AD49" s="191">
        <v>59901</v>
      </c>
      <c r="AE49" s="191">
        <v>0</v>
      </c>
      <c r="AF49" s="191">
        <v>527497</v>
      </c>
      <c r="AG49" s="192"/>
      <c r="AH49" s="681">
        <v>15641432</v>
      </c>
      <c r="AI49" s="192"/>
      <c r="AJ49" s="192"/>
      <c r="AK49" s="192"/>
      <c r="AL49" s="192"/>
    </row>
    <row r="51" spans="2:39">
      <c r="G51" s="193">
        <f t="shared" ref="G51:AL51" si="19">+G44-G47-G49</f>
        <v>36.377087946863412</v>
      </c>
      <c r="H51" s="193">
        <f t="shared" si="19"/>
        <v>30.531037232837662</v>
      </c>
      <c r="I51" s="193">
        <f t="shared" si="19"/>
        <v>1153.3166596618103</v>
      </c>
      <c r="J51" s="193">
        <f t="shared" si="19"/>
        <v>28.30325831624009</v>
      </c>
      <c r="K51" s="193">
        <f t="shared" si="19"/>
        <v>0</v>
      </c>
      <c r="L51" s="193">
        <f t="shared" si="19"/>
        <v>0</v>
      </c>
      <c r="M51" s="193">
        <f t="shared" si="19"/>
        <v>0</v>
      </c>
      <c r="N51" s="193">
        <f t="shared" si="19"/>
        <v>2.7959372980120918</v>
      </c>
      <c r="O51" s="193">
        <f t="shared" si="19"/>
        <v>561.22086854642839</v>
      </c>
      <c r="P51" s="193">
        <f t="shared" si="19"/>
        <v>527.56496021581552</v>
      </c>
      <c r="Q51" s="193">
        <f t="shared" si="19"/>
        <v>0</v>
      </c>
      <c r="R51" s="193">
        <f t="shared" si="19"/>
        <v>5.4124561597881211</v>
      </c>
      <c r="S51" s="193"/>
      <c r="T51" s="193">
        <f t="shared" si="19"/>
        <v>333.32955145390952</v>
      </c>
      <c r="U51" s="193">
        <f t="shared" si="19"/>
        <v>0</v>
      </c>
      <c r="V51" s="193">
        <f t="shared" si="19"/>
        <v>61652.196653992403</v>
      </c>
      <c r="W51" s="193">
        <f t="shared" si="19"/>
        <v>0</v>
      </c>
      <c r="X51" s="193">
        <f t="shared" si="19"/>
        <v>0</v>
      </c>
      <c r="Y51" s="193">
        <f t="shared" si="19"/>
        <v>0</v>
      </c>
      <c r="Z51" s="193">
        <f t="shared" si="19"/>
        <v>0</v>
      </c>
      <c r="AA51" s="193">
        <f t="shared" si="19"/>
        <v>2680.4217281487654</v>
      </c>
      <c r="AB51" s="193">
        <f t="shared" si="19"/>
        <v>0</v>
      </c>
      <c r="AC51" s="193">
        <f t="shared" si="19"/>
        <v>37902.428734060377</v>
      </c>
      <c r="AD51" s="193">
        <f t="shared" si="19"/>
        <v>895.61197908139729</v>
      </c>
      <c r="AE51" s="193">
        <f t="shared" si="19"/>
        <v>0</v>
      </c>
      <c r="AF51" s="193">
        <f t="shared" si="19"/>
        <v>7886.890571601456</v>
      </c>
      <c r="AG51" s="193">
        <f t="shared" si="19"/>
        <v>0</v>
      </c>
      <c r="AH51" s="193">
        <f t="shared" si="19"/>
        <v>233863.43916106783</v>
      </c>
      <c r="AI51" s="193">
        <f t="shared" si="19"/>
        <v>0</v>
      </c>
      <c r="AJ51" s="193">
        <f t="shared" si="19"/>
        <v>0</v>
      </c>
      <c r="AK51" s="193">
        <f t="shared" si="19"/>
        <v>0</v>
      </c>
      <c r="AL51" s="193">
        <f t="shared" si="19"/>
        <v>0</v>
      </c>
      <c r="AM51" s="193">
        <f>SUM(G51:AL51)</f>
        <v>347559.84064478392</v>
      </c>
    </row>
    <row r="52" spans="2:39">
      <c r="B52" s="1450">
        <v>22627.360000000001</v>
      </c>
      <c r="C52" s="1450"/>
      <c r="D52" s="1450"/>
      <c r="E52" s="1449">
        <f>SUM(G52:AL52)</f>
        <v>23245761000</v>
      </c>
      <c r="F52" s="1449"/>
      <c r="G52" s="1450">
        <v>2433000</v>
      </c>
      <c r="H52" s="1450">
        <v>2042000</v>
      </c>
      <c r="I52" s="1450">
        <v>77137000</v>
      </c>
      <c r="J52" s="1450">
        <v>1893000</v>
      </c>
      <c r="K52" s="1450"/>
      <c r="L52" s="1450"/>
      <c r="M52" s="1450"/>
      <c r="N52" s="1450">
        <v>187000</v>
      </c>
      <c r="O52" s="1450">
        <v>37536000</v>
      </c>
      <c r="P52" s="1450">
        <v>35285000</v>
      </c>
      <c r="Q52" s="1450"/>
      <c r="R52" s="1450">
        <v>362000</v>
      </c>
      <c r="S52" s="1450"/>
      <c r="T52" s="1450">
        <v>22294000</v>
      </c>
      <c r="U52" s="1450"/>
      <c r="V52" s="1450">
        <v>4123469000</v>
      </c>
      <c r="W52" s="1450"/>
      <c r="X52" s="1450"/>
      <c r="Y52" s="1450"/>
      <c r="Z52" s="1450"/>
      <c r="AA52" s="1450">
        <v>179274000</v>
      </c>
      <c r="AB52" s="1450"/>
      <c r="AC52" s="1450">
        <v>2535019000</v>
      </c>
      <c r="AD52" s="1450">
        <v>59901000</v>
      </c>
      <c r="AE52" s="1450"/>
      <c r="AF52" s="1450">
        <v>527497000</v>
      </c>
      <c r="AG52" s="1450"/>
      <c r="AH52" s="1450">
        <v>15641432000</v>
      </c>
      <c r="AI52" s="1450"/>
      <c r="AJ52" s="1450"/>
      <c r="AK52" s="1450"/>
      <c r="AL52" s="1450"/>
    </row>
    <row r="53" spans="2:39" ht="13.5" customHeight="1">
      <c r="B53" s="1450">
        <v>22294.03</v>
      </c>
      <c r="C53" s="1450"/>
      <c r="D53" s="1450"/>
      <c r="E53" s="1449">
        <f>SUM(G53:AL53)</f>
        <v>1042689.9488338358</v>
      </c>
      <c r="F53" s="1449"/>
      <c r="G53" s="1450">
        <f t="shared" ref="G53:AL53" si="20">+G52/$B$53</f>
        <v>109.13235516414036</v>
      </c>
      <c r="H53" s="1450">
        <f t="shared" si="20"/>
        <v>91.594027638789399</v>
      </c>
      <c r="I53" s="1450">
        <f t="shared" si="20"/>
        <v>3459.9845788311941</v>
      </c>
      <c r="J53" s="1450">
        <f t="shared" si="20"/>
        <v>84.91062405496001</v>
      </c>
      <c r="K53" s="1450">
        <f t="shared" si="20"/>
        <v>0</v>
      </c>
      <c r="L53" s="1450">
        <f t="shared" si="20"/>
        <v>0</v>
      </c>
      <c r="M53" s="1450">
        <f t="shared" si="20"/>
        <v>0</v>
      </c>
      <c r="N53" s="1450">
        <f t="shared" si="20"/>
        <v>8.3878957729939359</v>
      </c>
      <c r="O53" s="1450">
        <f t="shared" si="20"/>
        <v>1683.679442433692</v>
      </c>
      <c r="P53" s="1450">
        <f t="shared" si="20"/>
        <v>1582.7107077544977</v>
      </c>
      <c r="Q53" s="1450">
        <f t="shared" si="20"/>
        <v>0</v>
      </c>
      <c r="R53" s="1450">
        <f t="shared" si="20"/>
        <v>16.237530854672755</v>
      </c>
      <c r="S53" s="1450">
        <f t="shared" si="20"/>
        <v>0</v>
      </c>
      <c r="T53" s="1450">
        <f t="shared" si="20"/>
        <v>999.99865434827177</v>
      </c>
      <c r="U53" s="1450">
        <f t="shared" si="20"/>
        <v>0</v>
      </c>
      <c r="V53" s="1450">
        <f t="shared" si="20"/>
        <v>184958.43954637184</v>
      </c>
      <c r="W53" s="1450">
        <f t="shared" si="20"/>
        <v>0</v>
      </c>
      <c r="X53" s="1450">
        <f t="shared" si="20"/>
        <v>0</v>
      </c>
      <c r="Y53" s="1450">
        <f t="shared" si="20"/>
        <v>0</v>
      </c>
      <c r="Z53" s="1450">
        <f t="shared" si="20"/>
        <v>0</v>
      </c>
      <c r="AA53" s="1450">
        <f t="shared" si="20"/>
        <v>8041.3455979022192</v>
      </c>
      <c r="AB53" s="1450">
        <f t="shared" si="20"/>
        <v>0</v>
      </c>
      <c r="AC53" s="1450">
        <f t="shared" si="20"/>
        <v>113708.42328641345</v>
      </c>
      <c r="AD53" s="1450">
        <f t="shared" si="20"/>
        <v>2686.8628058722447</v>
      </c>
      <c r="AE53" s="1450">
        <f t="shared" si="20"/>
        <v>0</v>
      </c>
      <c r="AF53" s="1450">
        <f t="shared" si="20"/>
        <v>23660.908323887608</v>
      </c>
      <c r="AG53" s="1450">
        <f t="shared" si="20"/>
        <v>0</v>
      </c>
      <c r="AH53" s="1450">
        <f t="shared" si="20"/>
        <v>701597.33345653524</v>
      </c>
      <c r="AI53" s="1450">
        <f t="shared" si="20"/>
        <v>0</v>
      </c>
      <c r="AJ53" s="1450">
        <f t="shared" si="20"/>
        <v>0</v>
      </c>
      <c r="AK53" s="1450">
        <f t="shared" si="20"/>
        <v>0</v>
      </c>
      <c r="AL53" s="1450">
        <f t="shared" si="20"/>
        <v>0</v>
      </c>
    </row>
    <row r="55" spans="2:39">
      <c r="D55" s="166" t="s">
        <v>835</v>
      </c>
      <c r="E55" s="193">
        <f>+E33-E47-E49</f>
        <v>-6839037</v>
      </c>
      <c r="F55" s="193"/>
      <c r="G55" s="193">
        <f t="shared" ref="G55:R55" si="21">+G33-G44</f>
        <v>984.62291205313659</v>
      </c>
      <c r="H55" s="193">
        <f t="shared" si="21"/>
        <v>80384.468962767161</v>
      </c>
      <c r="I55" s="193">
        <f t="shared" si="21"/>
        <v>25122.68334033819</v>
      </c>
      <c r="J55" s="193">
        <f t="shared" si="21"/>
        <v>731.69674168375991</v>
      </c>
      <c r="K55" s="193">
        <f t="shared" si="21"/>
        <v>0</v>
      </c>
      <c r="L55" s="193">
        <f t="shared" si="21"/>
        <v>0</v>
      </c>
      <c r="M55" s="193">
        <f t="shared" si="21"/>
        <v>0</v>
      </c>
      <c r="N55" s="193">
        <f t="shared" si="21"/>
        <v>89.204062701987908</v>
      </c>
      <c r="O55" s="193">
        <f t="shared" si="21"/>
        <v>-13018.220868546428</v>
      </c>
      <c r="P55" s="193">
        <f t="shared" si="21"/>
        <v>7670.4350397841845</v>
      </c>
      <c r="Q55" s="193">
        <f t="shared" si="21"/>
        <v>0</v>
      </c>
      <c r="R55" s="193">
        <f t="shared" si="21"/>
        <v>121.58754384021188</v>
      </c>
      <c r="S55" s="193"/>
      <c r="T55" s="193">
        <f t="shared" ref="T55:AL55" si="22">+T33-T44</f>
        <v>-285.32955145390952</v>
      </c>
      <c r="U55" s="193">
        <f t="shared" si="22"/>
        <v>0</v>
      </c>
      <c r="V55" s="193">
        <f t="shared" si="22"/>
        <v>47190.803346007597</v>
      </c>
      <c r="W55" s="193">
        <f t="shared" si="22"/>
        <v>0</v>
      </c>
      <c r="X55" s="193">
        <f t="shared" si="22"/>
        <v>0</v>
      </c>
      <c r="Y55" s="193">
        <f t="shared" si="22"/>
        <v>0</v>
      </c>
      <c r="Z55" s="193">
        <f t="shared" si="22"/>
        <v>0</v>
      </c>
      <c r="AA55" s="193">
        <f t="shared" si="22"/>
        <v>31239.578271851235</v>
      </c>
      <c r="AB55" s="193">
        <f t="shared" si="22"/>
        <v>0</v>
      </c>
      <c r="AC55" s="193">
        <f t="shared" si="22"/>
        <v>890428.57126593962</v>
      </c>
      <c r="AD55" s="193">
        <f t="shared" si="22"/>
        <v>4498.3880209186027</v>
      </c>
      <c r="AE55" s="193">
        <f t="shared" si="22"/>
        <v>0</v>
      </c>
      <c r="AF55" s="193">
        <f t="shared" si="22"/>
        <v>451973.10942839854</v>
      </c>
      <c r="AG55" s="193">
        <f t="shared" si="22"/>
        <v>0</v>
      </c>
      <c r="AH55" s="193">
        <f t="shared" si="22"/>
        <v>-8713728.4391610678</v>
      </c>
      <c r="AI55" s="193">
        <f t="shared" si="22"/>
        <v>0</v>
      </c>
      <c r="AJ55" s="193">
        <f t="shared" si="22"/>
        <v>0</v>
      </c>
      <c r="AK55" s="193">
        <f t="shared" si="22"/>
        <v>0</v>
      </c>
      <c r="AL55" s="193">
        <f t="shared" si="22"/>
        <v>0</v>
      </c>
      <c r="AM55" s="193">
        <f>SUM(G55:AL55)</f>
        <v>-7186596.8406447843</v>
      </c>
    </row>
    <row r="56" spans="2:39">
      <c r="D56" s="166" t="s">
        <v>836</v>
      </c>
      <c r="E56" s="193">
        <f>+E44-E47-E49</f>
        <v>347559.84064478427</v>
      </c>
      <c r="F56" s="193"/>
    </row>
    <row r="57" spans="2:39">
      <c r="D57" s="166" t="s">
        <v>837</v>
      </c>
      <c r="E57" s="193">
        <f>+E55-E56</f>
        <v>-7186596.8406447843</v>
      </c>
      <c r="F57" s="193"/>
    </row>
    <row r="58" spans="2:39">
      <c r="E58" s="193"/>
      <c r="F58" s="193"/>
    </row>
    <row r="59" spans="2:39">
      <c r="E59" s="166">
        <v>-6786170</v>
      </c>
      <c r="G59" s="166">
        <v>-79751</v>
      </c>
      <c r="H59" s="166">
        <v>-1690</v>
      </c>
      <c r="I59" s="166">
        <v>-436393</v>
      </c>
      <c r="J59" s="166">
        <v>-320520</v>
      </c>
      <c r="K59" s="166">
        <v>0</v>
      </c>
      <c r="L59" s="166">
        <v>0</v>
      </c>
      <c r="M59" s="166">
        <v>0</v>
      </c>
      <c r="N59" s="166">
        <v>0</v>
      </c>
      <c r="O59" s="166">
        <v>-51277</v>
      </c>
      <c r="P59" s="166">
        <v>11274</v>
      </c>
      <c r="R59" s="166">
        <v>0</v>
      </c>
      <c r="T59" s="166">
        <v>0</v>
      </c>
      <c r="U59" s="166">
        <v>0</v>
      </c>
      <c r="V59" s="166">
        <v>-1547082</v>
      </c>
      <c r="W59" s="166">
        <v>0</v>
      </c>
      <c r="X59" s="166">
        <v>0</v>
      </c>
      <c r="Y59" s="166">
        <v>0</v>
      </c>
      <c r="Z59" s="166">
        <v>-48018</v>
      </c>
      <c r="AA59" s="166">
        <v>-230890</v>
      </c>
      <c r="AB59" s="166">
        <v>0</v>
      </c>
      <c r="AC59" s="166">
        <v>-1679514</v>
      </c>
      <c r="AD59" s="166">
        <v>-11456</v>
      </c>
      <c r="AE59" s="166">
        <v>0</v>
      </c>
      <c r="AF59" s="166">
        <v>-863726</v>
      </c>
      <c r="AG59" s="166">
        <v>0</v>
      </c>
      <c r="AH59" s="166">
        <v>-1527127</v>
      </c>
      <c r="AJ59" s="166">
        <v>0</v>
      </c>
      <c r="AK59" s="166">
        <v>0</v>
      </c>
      <c r="AL59" s="166">
        <v>0</v>
      </c>
      <c r="AM59" s="166">
        <v>0</v>
      </c>
    </row>
    <row r="60" spans="2:39">
      <c r="E60" s="193">
        <f>+E11-E59</f>
        <v>27043582.659355216</v>
      </c>
      <c r="F60" s="193"/>
      <c r="G60" s="193">
        <f t="shared" ref="G60:R60" si="23">+G11-G59</f>
        <v>199350.12291205314</v>
      </c>
      <c r="H60" s="193">
        <f t="shared" si="23"/>
        <v>42577.468962767161</v>
      </c>
      <c r="I60" s="193">
        <f t="shared" si="23"/>
        <v>2460358.6833403381</v>
      </c>
      <c r="J60" s="193">
        <f t="shared" si="23"/>
        <v>740965.69674168376</v>
      </c>
      <c r="K60" s="193">
        <f t="shared" si="23"/>
        <v>0</v>
      </c>
      <c r="L60" s="193">
        <f t="shared" si="23"/>
        <v>0</v>
      </c>
      <c r="M60" s="193">
        <f t="shared" si="23"/>
        <v>0</v>
      </c>
      <c r="N60" s="193">
        <f t="shared" si="23"/>
        <v>89.204062701987908</v>
      </c>
      <c r="O60" s="193">
        <f t="shared" si="23"/>
        <v>93793.779131453572</v>
      </c>
      <c r="P60" s="193">
        <f t="shared" si="23"/>
        <v>17050.435039784184</v>
      </c>
      <c r="Q60" s="193">
        <f t="shared" si="23"/>
        <v>0</v>
      </c>
      <c r="R60" s="193">
        <f t="shared" si="23"/>
        <v>121.58754384021188</v>
      </c>
      <c r="S60" s="193"/>
      <c r="T60" s="193">
        <f t="shared" ref="T60:AH60" si="24">+T11-T59</f>
        <v>-285.32955145390952</v>
      </c>
      <c r="U60" s="193">
        <f t="shared" si="24"/>
        <v>0</v>
      </c>
      <c r="V60" s="193">
        <f t="shared" si="24"/>
        <v>4802535.8033460081</v>
      </c>
      <c r="W60" s="193">
        <f t="shared" si="24"/>
        <v>0</v>
      </c>
      <c r="X60" s="193">
        <f t="shared" si="24"/>
        <v>0</v>
      </c>
      <c r="Y60" s="193">
        <f t="shared" si="24"/>
        <v>0</v>
      </c>
      <c r="Z60" s="193">
        <f t="shared" si="24"/>
        <v>48018</v>
      </c>
      <c r="AA60" s="193">
        <f t="shared" si="24"/>
        <v>453481.57827185123</v>
      </c>
      <c r="AB60" s="193">
        <f t="shared" si="24"/>
        <v>0</v>
      </c>
      <c r="AC60" s="193">
        <f t="shared" si="24"/>
        <v>15037153.57126594</v>
      </c>
      <c r="AD60" s="193">
        <f t="shared" si="24"/>
        <v>73766.388020918603</v>
      </c>
      <c r="AE60" s="193">
        <f t="shared" si="24"/>
        <v>0</v>
      </c>
      <c r="AF60" s="193">
        <f t="shared" si="24"/>
        <v>2094076.1094283985</v>
      </c>
      <c r="AG60" s="193">
        <f t="shared" si="24"/>
        <v>478224</v>
      </c>
      <c r="AH60" s="193">
        <f t="shared" si="24"/>
        <v>502305.56083893217</v>
      </c>
      <c r="AI60" s="193"/>
      <c r="AJ60" s="193">
        <f>+AJ11-AJ59</f>
        <v>0</v>
      </c>
      <c r="AK60" s="193">
        <f>+AK11-AK59</f>
        <v>0</v>
      </c>
      <c r="AL60" s="193">
        <f>+AL11-AL59</f>
        <v>0</v>
      </c>
    </row>
    <row r="62" spans="2:39">
      <c r="AH62" s="193">
        <f>+AH49-AH44</f>
        <v>-233863.43916106783</v>
      </c>
    </row>
    <row r="63" spans="2:39">
      <c r="D63" s="166" t="s">
        <v>616</v>
      </c>
      <c r="E63" s="166">
        <f>SUM(G63:AL63)</f>
        <v>-712855</v>
      </c>
      <c r="O63" s="166">
        <f>-316743+23173+85000-1</f>
        <v>-208571</v>
      </c>
      <c r="P63" s="166">
        <v>-12050</v>
      </c>
      <c r="V63" s="166">
        <f>-220880-85000</f>
        <v>-305880</v>
      </c>
      <c r="AC63" s="166">
        <v>-175512</v>
      </c>
      <c r="AD63" s="166">
        <f>-5308-5534</f>
        <v>-10842</v>
      </c>
      <c r="AE63" s="166">
        <v>0</v>
      </c>
    </row>
    <row r="64" spans="2:39">
      <c r="E64" s="166">
        <f>SUM(G64:AL64)</f>
        <v>1</v>
      </c>
      <c r="O64" s="166">
        <f>+O63/$E$63</f>
        <v>0.29258544865365327</v>
      </c>
      <c r="P64" s="166">
        <f>+P63/$E$63</f>
        <v>1.6903858428432148E-2</v>
      </c>
      <c r="V64" s="166">
        <f>+V63/$E$63</f>
        <v>0.42909147021484034</v>
      </c>
      <c r="AC64" s="166">
        <f>+AC63/$E$63</f>
        <v>0.24620995854696959</v>
      </c>
      <c r="AD64" s="166">
        <f>+AD63/$E$63</f>
        <v>1.5209264156104678E-2</v>
      </c>
    </row>
    <row r="65" spans="5:34">
      <c r="E65" s="166">
        <v>-969902</v>
      </c>
      <c r="O65" s="193">
        <f>+O64*$E$65</f>
        <v>-283779.21182007564</v>
      </c>
      <c r="P65" s="193">
        <f>+P64*$E$65</f>
        <v>-16395.086097453197</v>
      </c>
      <c r="Q65" s="193"/>
      <c r="R65" s="193"/>
      <c r="S65" s="193"/>
      <c r="T65" s="193"/>
      <c r="U65" s="193"/>
      <c r="V65" s="193">
        <f>+V64*$E$65</f>
        <v>-416176.67514431407</v>
      </c>
      <c r="W65" s="193"/>
      <c r="X65" s="193"/>
      <c r="Y65" s="193"/>
      <c r="Z65" s="193"/>
      <c r="AA65" s="193"/>
      <c r="AB65" s="193"/>
      <c r="AC65" s="193">
        <f>+AC64*$E$65</f>
        <v>-238799.5312146229</v>
      </c>
      <c r="AD65" s="193">
        <f>+AD64*$E$65</f>
        <v>-14751.495723534239</v>
      </c>
      <c r="AE65" s="193"/>
      <c r="AF65" s="193"/>
      <c r="AG65" s="193"/>
      <c r="AH65" s="193"/>
    </row>
    <row r="66" spans="5:34">
      <c r="E66" s="166">
        <f>SUM(G65:AL65)</f>
        <v>-969902</v>
      </c>
    </row>
    <row r="70" spans="5:34">
      <c r="E70" s="166" t="s">
        <v>376</v>
      </c>
      <c r="G70" s="166">
        <v>50014</v>
      </c>
      <c r="H70" s="166">
        <v>41224</v>
      </c>
      <c r="I70" s="166">
        <v>248753</v>
      </c>
      <c r="J70" s="166">
        <v>34738</v>
      </c>
      <c r="K70" s="166">
        <v>0</v>
      </c>
      <c r="L70" s="166">
        <v>0</v>
      </c>
      <c r="M70" s="166">
        <v>0</v>
      </c>
      <c r="N70" s="166">
        <v>154</v>
      </c>
      <c r="O70" s="166">
        <v>298308</v>
      </c>
      <c r="P70" s="166">
        <v>40498</v>
      </c>
      <c r="Q70" s="166">
        <v>0</v>
      </c>
      <c r="R70" s="166">
        <v>0</v>
      </c>
      <c r="T70" s="166">
        <v>0</v>
      </c>
      <c r="U70" s="166">
        <v>0</v>
      </c>
      <c r="V70" s="166">
        <v>3686993</v>
      </c>
      <c r="W70" s="166">
        <v>0</v>
      </c>
      <c r="X70" s="166">
        <v>0</v>
      </c>
      <c r="Y70" s="166">
        <v>0</v>
      </c>
      <c r="Z70" s="166">
        <v>4217</v>
      </c>
      <c r="AA70" s="166">
        <v>393505</v>
      </c>
      <c r="AB70" s="166">
        <v>4931</v>
      </c>
      <c r="AC70" s="166">
        <v>8488874</v>
      </c>
      <c r="AD70" s="166">
        <v>46468</v>
      </c>
      <c r="AE70" s="166">
        <v>0</v>
      </c>
      <c r="AF70" s="166">
        <v>4161249</v>
      </c>
      <c r="AG70" s="166">
        <v>0</v>
      </c>
      <c r="AH70" s="166">
        <v>41477248</v>
      </c>
    </row>
    <row r="71" spans="5:34">
      <c r="G71" s="193">
        <f>+(G70/3)*4</f>
        <v>66685.333333333328</v>
      </c>
      <c r="H71" s="193">
        <f t="shared" ref="H71:AH71" si="25">+(H70/3)*4</f>
        <v>54965.333333333336</v>
      </c>
      <c r="I71" s="193">
        <f t="shared" si="25"/>
        <v>331670.66666666669</v>
      </c>
      <c r="J71" s="193">
        <f t="shared" si="25"/>
        <v>46317.333333333336</v>
      </c>
      <c r="K71" s="193">
        <f t="shared" si="25"/>
        <v>0</v>
      </c>
      <c r="L71" s="193">
        <f t="shared" si="25"/>
        <v>0</v>
      </c>
      <c r="M71" s="193">
        <f t="shared" si="25"/>
        <v>0</v>
      </c>
      <c r="N71" s="193">
        <f t="shared" si="25"/>
        <v>205.33333333333334</v>
      </c>
      <c r="O71" s="193">
        <f t="shared" si="25"/>
        <v>397744</v>
      </c>
      <c r="P71" s="193">
        <f t="shared" si="25"/>
        <v>53997.333333333336</v>
      </c>
      <c r="Q71" s="193">
        <f t="shared" si="25"/>
        <v>0</v>
      </c>
      <c r="R71" s="193">
        <f t="shared" si="25"/>
        <v>0</v>
      </c>
      <c r="S71" s="193"/>
      <c r="T71" s="193">
        <f t="shared" si="25"/>
        <v>0</v>
      </c>
      <c r="U71" s="193">
        <f t="shared" si="25"/>
        <v>0</v>
      </c>
      <c r="V71" s="193">
        <f t="shared" si="25"/>
        <v>4915990.666666667</v>
      </c>
      <c r="W71" s="193">
        <f t="shared" si="25"/>
        <v>0</v>
      </c>
      <c r="X71" s="193">
        <f t="shared" si="25"/>
        <v>0</v>
      </c>
      <c r="Y71" s="193">
        <f t="shared" si="25"/>
        <v>0</v>
      </c>
      <c r="Z71" s="193">
        <f t="shared" si="25"/>
        <v>5622.666666666667</v>
      </c>
      <c r="AA71" s="193">
        <f t="shared" si="25"/>
        <v>524673.33333333337</v>
      </c>
      <c r="AB71" s="193">
        <f t="shared" si="25"/>
        <v>6574.666666666667</v>
      </c>
      <c r="AC71" s="193">
        <f t="shared" si="25"/>
        <v>11318498.666666666</v>
      </c>
      <c r="AD71" s="193">
        <f t="shared" si="25"/>
        <v>61957.333333333336</v>
      </c>
      <c r="AE71" s="193">
        <f t="shared" si="25"/>
        <v>0</v>
      </c>
      <c r="AF71" s="193">
        <f t="shared" si="25"/>
        <v>5548332</v>
      </c>
      <c r="AG71" s="193">
        <f t="shared" si="25"/>
        <v>0</v>
      </c>
      <c r="AH71" s="193">
        <f t="shared" si="25"/>
        <v>55302997.333333336</v>
      </c>
    </row>
    <row r="72" spans="5:34">
      <c r="E72" s="166" t="s">
        <v>1575</v>
      </c>
    </row>
    <row r="73" spans="5:34">
      <c r="E73" s="166">
        <v>1.0049999999999999</v>
      </c>
      <c r="G73" s="193">
        <f>+G71*$E$73</f>
        <v>67018.759999999995</v>
      </c>
      <c r="H73" s="193">
        <f t="shared" ref="H73:AH73" si="26">+H71*$E$73</f>
        <v>55240.159999999996</v>
      </c>
      <c r="I73" s="193">
        <f t="shared" si="26"/>
        <v>333329.01999999996</v>
      </c>
      <c r="J73" s="193">
        <f t="shared" si="26"/>
        <v>46548.92</v>
      </c>
      <c r="K73" s="193">
        <f t="shared" si="26"/>
        <v>0</v>
      </c>
      <c r="L73" s="193">
        <f t="shared" si="26"/>
        <v>0</v>
      </c>
      <c r="M73" s="193">
        <f t="shared" si="26"/>
        <v>0</v>
      </c>
      <c r="N73" s="193">
        <f t="shared" si="26"/>
        <v>206.35999999999999</v>
      </c>
      <c r="O73" s="193">
        <f t="shared" si="26"/>
        <v>399732.72</v>
      </c>
      <c r="P73" s="193">
        <f t="shared" si="26"/>
        <v>54267.32</v>
      </c>
      <c r="Q73" s="193">
        <f t="shared" si="26"/>
        <v>0</v>
      </c>
      <c r="R73" s="193">
        <f t="shared" si="26"/>
        <v>0</v>
      </c>
      <c r="S73" s="193"/>
      <c r="T73" s="193">
        <f t="shared" si="26"/>
        <v>0</v>
      </c>
      <c r="U73" s="193">
        <f t="shared" si="26"/>
        <v>0</v>
      </c>
      <c r="V73" s="193">
        <f>+V71*$E$73+97089</f>
        <v>5037659.62</v>
      </c>
      <c r="W73" s="193">
        <f t="shared" si="26"/>
        <v>0</v>
      </c>
      <c r="X73" s="193">
        <f t="shared" si="26"/>
        <v>0</v>
      </c>
      <c r="Y73" s="193">
        <f t="shared" si="26"/>
        <v>0</v>
      </c>
      <c r="Z73" s="193">
        <f t="shared" si="26"/>
        <v>5650.78</v>
      </c>
      <c r="AA73" s="193">
        <f t="shared" si="26"/>
        <v>527296.69999999995</v>
      </c>
      <c r="AB73" s="193">
        <f t="shared" si="26"/>
        <v>6607.54</v>
      </c>
      <c r="AC73" s="193">
        <f t="shared" si="26"/>
        <v>11375091.159999998</v>
      </c>
      <c r="AD73" s="193">
        <f t="shared" si="26"/>
        <v>62267.119999999995</v>
      </c>
      <c r="AE73" s="193">
        <f t="shared" si="26"/>
        <v>0</v>
      </c>
      <c r="AF73" s="193">
        <f t="shared" si="26"/>
        <v>5576073.6599999992</v>
      </c>
      <c r="AG73" s="193">
        <f t="shared" si="26"/>
        <v>0</v>
      </c>
      <c r="AH73" s="193">
        <f t="shared" si="26"/>
        <v>55579512.32</v>
      </c>
    </row>
  </sheetData>
  <mergeCells count="2">
    <mergeCell ref="B8:B9"/>
    <mergeCell ref="D8:D9"/>
  </mergeCells>
  <phoneticPr fontId="10" type="noConversion"/>
  <printOptions horizontalCentered="1"/>
  <pageMargins left="0.19685039370078741" right="0.19685039370078741" top="0" bottom="0" header="0" footer="0"/>
  <pageSetup paperSize="119" scale="65" orientation="landscape" r:id="rId1"/>
  <headerFooter alignWithMargins="0">
    <oddHeader>&amp;L&amp;"Times New Roman,Negrita Cursiva"&amp;9                                        Subgerencia Finanzas
                                        Depto.Contabilidad</oddHeader>
    <oddFooter>&amp;L&amp;"Times New Roman,Negrita Cursiva"&amp;9                                       &amp;F
                                      &amp;A&amp;R&amp;"Times New Roman,Negrita Cursiva"&amp;9&amp;D
&amp;T</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8">
    <tabColor theme="7" tint="-0.249977111117893"/>
    <pageSetUpPr fitToPage="1"/>
  </sheetPr>
  <dimension ref="A1:T70"/>
  <sheetViews>
    <sheetView showGridLines="0" topLeftCell="A7" workbookViewId="0">
      <selection activeCell="L29" sqref="L29"/>
    </sheetView>
  </sheetViews>
  <sheetFormatPr baseColWidth="10" defaultRowHeight="11.25"/>
  <cols>
    <col min="1" max="1" width="12" style="140"/>
    <col min="2" max="2" width="16.33203125" style="140" bestFit="1" customWidth="1"/>
    <col min="3" max="3" width="15.83203125" style="140" hidden="1" customWidth="1"/>
    <col min="4" max="4" width="35" style="140" bestFit="1" customWidth="1"/>
    <col min="5" max="5" width="21.1640625" style="140" bestFit="1" customWidth="1"/>
    <col min="6" max="6" width="17.1640625" style="140" customWidth="1"/>
    <col min="7" max="7" width="16.83203125" style="140" customWidth="1"/>
    <col min="8" max="8" width="21.83203125" style="140" customWidth="1"/>
    <col min="9" max="9" width="19.5" style="140" customWidth="1"/>
    <col min="10" max="10" width="19.1640625" style="140" customWidth="1"/>
    <col min="11" max="11" width="18.33203125" style="140" customWidth="1"/>
    <col min="12" max="12" width="18.83203125" style="140" customWidth="1"/>
    <col min="13" max="13" width="14" style="140" bestFit="1" customWidth="1"/>
    <col min="14" max="15" width="18.83203125" bestFit="1" customWidth="1"/>
    <col min="16" max="18" width="17.6640625" bestFit="1" customWidth="1"/>
    <col min="19" max="19" width="16.5" bestFit="1" customWidth="1"/>
    <col min="20" max="20" width="14" bestFit="1" customWidth="1"/>
    <col min="21" max="16384" width="12" style="140"/>
  </cols>
  <sheetData>
    <row r="1" spans="1:20" ht="29.25">
      <c r="A1" s="35" t="s">
        <v>1739</v>
      </c>
      <c r="B1" s="36"/>
      <c r="C1" s="36"/>
      <c r="D1" s="36"/>
      <c r="E1" s="36"/>
      <c r="F1" s="36"/>
      <c r="G1" s="36"/>
      <c r="H1" s="36"/>
      <c r="I1" s="36"/>
      <c r="J1" s="36"/>
      <c r="K1" s="36"/>
      <c r="L1" s="36"/>
      <c r="M1" s="36"/>
    </row>
    <row r="2" spans="1:20" ht="18.75" thickBot="1">
      <c r="A2" s="37" t="s">
        <v>1814</v>
      </c>
      <c r="B2" s="38"/>
      <c r="C2" s="38"/>
      <c r="D2" s="38"/>
      <c r="E2" s="38"/>
      <c r="F2" s="38"/>
      <c r="G2" s="38"/>
      <c r="H2" s="38"/>
      <c r="I2" s="38"/>
      <c r="J2" s="38"/>
      <c r="K2" s="38"/>
      <c r="L2" s="38"/>
      <c r="M2" s="38"/>
    </row>
    <row r="4" spans="1:20" ht="12.75">
      <c r="B4" s="194" t="s">
        <v>64</v>
      </c>
      <c r="E4" s="168">
        <f>+EEFF!$E$22</f>
        <v>40909</v>
      </c>
      <c r="F4" s="141" t="s">
        <v>1679</v>
      </c>
      <c r="G4" s="168">
        <f>+EEFF!$G$7</f>
        <v>41121</v>
      </c>
      <c r="I4" s="222"/>
      <c r="J4" s="431"/>
      <c r="K4" s="431"/>
      <c r="L4" s="431"/>
      <c r="M4" s="772"/>
    </row>
    <row r="5" spans="1:20" ht="12.75">
      <c r="B5" s="194"/>
      <c r="E5" s="168"/>
      <c r="F5" s="141"/>
      <c r="G5" s="168"/>
      <c r="I5" s="222"/>
      <c r="J5" s="431"/>
      <c r="K5" s="431"/>
      <c r="L5" s="431"/>
      <c r="M5" s="772"/>
    </row>
    <row r="6" spans="1:20" ht="12.75">
      <c r="B6" s="41" t="s">
        <v>3445</v>
      </c>
      <c r="E6" s="168"/>
      <c r="F6" s="141"/>
      <c r="G6" s="168"/>
      <c r="I6" s="222"/>
      <c r="J6" s="431"/>
      <c r="K6" s="431"/>
      <c r="L6" s="431"/>
      <c r="M6" s="772"/>
    </row>
    <row r="7" spans="1:20" ht="13.5" thickBot="1">
      <c r="D7" s="195"/>
      <c r="E7" s="196"/>
      <c r="F7" s="141"/>
      <c r="G7" s="196"/>
    </row>
    <row r="8" spans="1:20" ht="20.100000000000001" customHeight="1">
      <c r="B8" s="197"/>
      <c r="C8" s="198"/>
      <c r="D8" s="198"/>
      <c r="E8" s="198"/>
      <c r="F8" s="2808" t="s">
        <v>394</v>
      </c>
      <c r="G8" s="2808"/>
      <c r="H8" s="2808"/>
      <c r="I8" s="2808"/>
      <c r="J8" s="2808"/>
      <c r="K8" s="2808"/>
      <c r="L8" s="199" t="s">
        <v>395</v>
      </c>
    </row>
    <row r="9" spans="1:20" ht="20.100000000000001" customHeight="1">
      <c r="B9" s="200"/>
      <c r="C9" s="201"/>
      <c r="D9" s="201"/>
      <c r="E9" s="201"/>
      <c r="F9" s="2809" t="s">
        <v>238</v>
      </c>
      <c r="G9" s="2809"/>
      <c r="H9" s="2809"/>
      <c r="I9" s="2809"/>
      <c r="J9" s="2809"/>
      <c r="K9" s="2809"/>
      <c r="L9" s="202"/>
    </row>
    <row r="10" spans="1:20" ht="20.100000000000001" customHeight="1" thickBot="1">
      <c r="B10" s="200"/>
      <c r="C10" s="201"/>
      <c r="D10" s="201"/>
      <c r="E10" s="201"/>
      <c r="F10" s="203"/>
      <c r="G10" s="204"/>
      <c r="H10" s="204"/>
      <c r="I10" s="204"/>
      <c r="J10" s="204"/>
      <c r="K10" s="204" t="s">
        <v>239</v>
      </c>
      <c r="L10" s="202"/>
    </row>
    <row r="11" spans="1:20" ht="20.100000000000001" customHeight="1">
      <c r="B11" s="2801" t="s">
        <v>3372</v>
      </c>
      <c r="C11" s="205"/>
      <c r="D11" s="2806" t="s">
        <v>3387</v>
      </c>
      <c r="E11" s="206" t="str">
        <f t="shared" ref="E11:J11" si="0">VLOOKUP(E12,SVRAMO,2,FALSE)</f>
        <v>TOTAL RAMOS</v>
      </c>
      <c r="F11" s="206" t="s">
        <v>1333</v>
      </c>
      <c r="G11" s="206" t="s">
        <v>240</v>
      </c>
      <c r="H11" s="206" t="str">
        <f t="shared" si="0"/>
        <v>Renta Vitalicia Vejez</v>
      </c>
      <c r="I11" s="206" t="str">
        <f t="shared" si="0"/>
        <v>Renta Vitalicia Invalidez</v>
      </c>
      <c r="J11" s="206" t="str">
        <f t="shared" si="0"/>
        <v>Renta Vitalicia Sobrevivencia</v>
      </c>
      <c r="K11" s="206" t="s">
        <v>241</v>
      </c>
      <c r="L11" s="207" t="str">
        <f>VLOOKUP(L12,SVRAMO,2,FALSE)</f>
        <v>Renta</v>
      </c>
    </row>
    <row r="12" spans="1:20">
      <c r="B12" s="2805"/>
      <c r="C12" s="201"/>
      <c r="D12" s="2807"/>
      <c r="E12" s="292">
        <v>999</v>
      </c>
      <c r="F12" s="1289"/>
      <c r="G12" s="1289"/>
      <c r="H12" s="292">
        <v>421</v>
      </c>
      <c r="I12" s="292">
        <v>422</v>
      </c>
      <c r="J12" s="292">
        <v>423</v>
      </c>
      <c r="K12" s="292">
        <v>424</v>
      </c>
      <c r="L12" s="293">
        <v>105</v>
      </c>
    </row>
    <row r="13" spans="1:20" ht="13.5" thickBot="1">
      <c r="B13" s="1384"/>
      <c r="C13" s="1386"/>
      <c r="D13" s="1385"/>
      <c r="E13" s="1387"/>
      <c r="F13" s="1387"/>
      <c r="G13" s="1387"/>
      <c r="H13" s="1387"/>
      <c r="I13" s="1387"/>
      <c r="J13" s="1387"/>
      <c r="K13" s="1387"/>
      <c r="L13" s="1387"/>
    </row>
    <row r="14" spans="1:20" s="142" customFormat="1" ht="20.100000000000001" customHeight="1">
      <c r="B14" s="1399" t="s">
        <v>3305</v>
      </c>
      <c r="C14" s="1400">
        <v>6400100</v>
      </c>
      <c r="D14" s="1401" t="s">
        <v>1808</v>
      </c>
      <c r="E14" s="1402">
        <f t="shared" ref="E14:L14" ca="1" si="1">SUM(E15,E16)</f>
        <v>107588516.03896904</v>
      </c>
      <c r="F14" s="1403">
        <f t="shared" ca="1" si="1"/>
        <v>106374299.62419029</v>
      </c>
      <c r="G14" s="1403">
        <f t="shared" ca="1" si="1"/>
        <v>105980195.93294334</v>
      </c>
      <c r="H14" s="1402">
        <f t="shared" ca="1" si="1"/>
        <v>58542951.604224443</v>
      </c>
      <c r="I14" s="1402">
        <f t="shared" ca="1" si="1"/>
        <v>38214597.081756413</v>
      </c>
      <c r="J14" s="1403">
        <f t="shared" ca="1" si="1"/>
        <v>9222647.2469624877</v>
      </c>
      <c r="K14" s="1403">
        <f t="shared" ca="1" si="1"/>
        <v>394103.69124693796</v>
      </c>
      <c r="L14" s="1404">
        <f t="shared" ca="1" si="1"/>
        <v>1214216.4147787504</v>
      </c>
      <c r="N14"/>
      <c r="O14"/>
      <c r="P14"/>
      <c r="Q14"/>
      <c r="R14"/>
      <c r="S14"/>
      <c r="T14"/>
    </row>
    <row r="15" spans="1:20" ht="20.100000000000001" customHeight="1">
      <c r="B15" s="172" t="s">
        <v>3306</v>
      </c>
      <c r="C15" s="137">
        <v>6400110</v>
      </c>
      <c r="D15" s="138" t="s">
        <v>1809</v>
      </c>
      <c r="E15" s="684">
        <f ca="1">SUM(H15:L15)</f>
        <v>63336016</v>
      </c>
      <c r="F15" s="154">
        <f ca="1">SUM(H15:K15)</f>
        <v>62118118</v>
      </c>
      <c r="G15" s="154">
        <f ca="1">SUM(H15:J15)</f>
        <v>61256521</v>
      </c>
      <c r="H15" s="154">
        <f ca="1">+H19</f>
        <v>48172890</v>
      </c>
      <c r="I15" s="154">
        <f ca="1">+I19</f>
        <v>7527909</v>
      </c>
      <c r="J15" s="154">
        <f ca="1">+J19</f>
        <v>5555722</v>
      </c>
      <c r="K15" s="154">
        <f ca="1">+K19</f>
        <v>861597</v>
      </c>
      <c r="L15" s="212">
        <f ca="1">+L19</f>
        <v>1217898</v>
      </c>
    </row>
    <row r="16" spans="1:20" ht="20.100000000000001" customHeight="1" thickBot="1">
      <c r="B16" s="1405" t="s">
        <v>3307</v>
      </c>
      <c r="C16" s="139">
        <v>6400120</v>
      </c>
      <c r="D16" s="1406" t="s">
        <v>1810</v>
      </c>
      <c r="E16" s="1407">
        <f>SUM(H16:L16)</f>
        <v>44252500.03896904</v>
      </c>
      <c r="F16" s="300">
        <f>SUM(H16:K16)</f>
        <v>44256181.624190286</v>
      </c>
      <c r="G16" s="300">
        <f>SUM(H16:J16)</f>
        <v>44723674.932943344</v>
      </c>
      <c r="H16" s="1408">
        <f>+H24-H29</f>
        <v>10370061.604224443</v>
      </c>
      <c r="I16" s="1408">
        <f>+I24-I29</f>
        <v>30686688.081756413</v>
      </c>
      <c r="J16" s="300">
        <f>+J24-J29</f>
        <v>3666925.2469624877</v>
      </c>
      <c r="K16" s="300">
        <f>+K24-K29</f>
        <v>-467493.30875306204</v>
      </c>
      <c r="L16" s="1409">
        <f>+L24-L29</f>
        <v>-3681.5852212496102</v>
      </c>
    </row>
    <row r="17" spans="2:20" ht="20.100000000000001" customHeight="1" thickBot="1">
      <c r="B17" s="1358"/>
      <c r="C17" s="1388"/>
      <c r="D17" s="1389"/>
      <c r="E17" s="1390"/>
      <c r="F17" s="1391"/>
      <c r="G17" s="1391"/>
      <c r="H17" s="1391"/>
      <c r="I17" s="1391"/>
      <c r="J17" s="1391"/>
      <c r="K17" s="1391"/>
      <c r="L17" s="1391"/>
    </row>
    <row r="18" spans="2:20" s="142" customFormat="1" ht="20.100000000000001" customHeight="1">
      <c r="B18" s="1395" t="s">
        <v>3308</v>
      </c>
      <c r="C18" s="1309">
        <v>6400000</v>
      </c>
      <c r="D18" s="1310" t="s">
        <v>1808</v>
      </c>
      <c r="E18" s="1396">
        <f ca="1">SUM(E19,E24)-E29</f>
        <v>107588516.03896904</v>
      </c>
      <c r="F18" s="1312">
        <f t="shared" ref="F18:L18" ca="1" si="2">SUM(F19,F24)-F29</f>
        <v>106374299.62419033</v>
      </c>
      <c r="G18" s="1312">
        <f t="shared" ca="1" si="2"/>
        <v>105980195.93294334</v>
      </c>
      <c r="H18" s="1313">
        <f t="shared" ca="1" si="2"/>
        <v>58542951.604224443</v>
      </c>
      <c r="I18" s="1313">
        <f t="shared" ca="1" si="2"/>
        <v>38214597.081756413</v>
      </c>
      <c r="J18" s="1312">
        <f t="shared" ca="1" si="2"/>
        <v>9222647.2469624877</v>
      </c>
      <c r="K18" s="1312">
        <f t="shared" ca="1" si="2"/>
        <v>394103.69124693796</v>
      </c>
      <c r="L18" s="1397">
        <f t="shared" ca="1" si="2"/>
        <v>1214216.4147787504</v>
      </c>
      <c r="N18"/>
      <c r="O18"/>
      <c r="P18"/>
      <c r="Q18"/>
      <c r="R18"/>
      <c r="S18"/>
      <c r="T18"/>
    </row>
    <row r="19" spans="2:20" s="142" customFormat="1" ht="20.100000000000001" customHeight="1">
      <c r="B19" s="172" t="s">
        <v>3309</v>
      </c>
      <c r="C19" s="157">
        <v>6401000</v>
      </c>
      <c r="D19" s="150" t="s">
        <v>1809</v>
      </c>
      <c r="E19" s="894">
        <f ca="1">SUM(E20:E22)</f>
        <v>63336016</v>
      </c>
      <c r="F19" s="151">
        <f ca="1">SUM(F20:F22)</f>
        <v>62118118</v>
      </c>
      <c r="G19" s="151">
        <f ca="1">SUM(G20:G22)</f>
        <v>61256521</v>
      </c>
      <c r="H19" s="151">
        <f t="shared" ref="H19:L19" ca="1" si="3">SUM(H20:H22)</f>
        <v>48172890</v>
      </c>
      <c r="I19" s="151">
        <f t="shared" ca="1" si="3"/>
        <v>7527909</v>
      </c>
      <c r="J19" s="151">
        <f t="shared" ca="1" si="3"/>
        <v>5555722</v>
      </c>
      <c r="K19" s="151">
        <f t="shared" ca="1" si="3"/>
        <v>861597</v>
      </c>
      <c r="L19" s="213">
        <f t="shared" ca="1" si="3"/>
        <v>1217898</v>
      </c>
      <c r="N19"/>
      <c r="O19"/>
      <c r="P19"/>
      <c r="Q19"/>
      <c r="R19"/>
      <c r="S19"/>
      <c r="T19"/>
    </row>
    <row r="20" spans="2:20" ht="20.100000000000001" customHeight="1">
      <c r="B20" s="172" t="s">
        <v>3310</v>
      </c>
      <c r="C20" s="1393">
        <v>6401100</v>
      </c>
      <c r="D20" s="138" t="s">
        <v>1811</v>
      </c>
      <c r="E20" s="894">
        <f ca="1">SUM(H20:L20)</f>
        <v>63336016</v>
      </c>
      <c r="F20" s="154">
        <f ca="1">SUM(H20:K20)</f>
        <v>62118118</v>
      </c>
      <c r="G20" s="154">
        <f ca="1">SUM(H20:J20)</f>
        <v>61256521</v>
      </c>
      <c r="H20" s="595">
        <f ca="1">ROUND(SUMIF('Antecedentes Cuadros 6.04'!$A$14:$A$38,H$12,'Antecedentes Cuadros 6.04'!$O$14:$O$37)/1000,0)</f>
        <v>48172890</v>
      </c>
      <c r="I20" s="595">
        <f ca="1">ROUND(SUMIF('Antecedentes Cuadros 6.04'!$A$14:$A$38,I$12,'Antecedentes Cuadros 6.04'!$O$14:$O$37)/1000,0)</f>
        <v>7527909</v>
      </c>
      <c r="J20" s="595">
        <f ca="1">ROUND(SUMIF('Antecedentes Cuadros 6.04'!$A$14:$A$38,J$12,'Antecedentes Cuadros 6.04'!$O$14:$O$37)/1000,0)+1</f>
        <v>5555722</v>
      </c>
      <c r="K20" s="595">
        <f ca="1">ROUND(SUMIF('Antecedentes Cuadros 6.04'!$A$14:$A$38,K$12,'Antecedentes Cuadros 6.04'!$O$14:$O$37)/1000,0)</f>
        <v>861597</v>
      </c>
      <c r="L20" s="1398">
        <f ca="1">ROUND(SUMIF('Antecedentes Cuadros 6.04'!$A$14:$A$38,L$12,'Antecedentes Cuadros 6.04'!$O$14:$O$37)/1000,0)</f>
        <v>1217898</v>
      </c>
      <c r="M20" s="140" t="s">
        <v>1805</v>
      </c>
    </row>
    <row r="21" spans="2:20" s="142" customFormat="1" ht="20.100000000000001" customHeight="1">
      <c r="B21" s="172" t="s">
        <v>3311</v>
      </c>
      <c r="C21" s="1392">
        <v>6401200</v>
      </c>
      <c r="D21" s="138" t="s">
        <v>1813</v>
      </c>
      <c r="E21" s="154">
        <f>SUM(H21:L21)</f>
        <v>0</v>
      </c>
      <c r="F21" s="154">
        <f>SUM(H21:K21)</f>
        <v>0</v>
      </c>
      <c r="G21" s="154">
        <f>SUM(H21:J21)</f>
        <v>0</v>
      </c>
      <c r="H21" s="154">
        <f>SUMIF(MATRIZCTAS!$L$7:$L$1766,$C21&amp;H$12,MATRIZCTAS!$AH$7:$AH$1766)</f>
        <v>0</v>
      </c>
      <c r="I21" s="154">
        <f>SUMIF(MATRIZCTAS!$L$7:$L$1766,$C21&amp;I$12,MATRIZCTAS!$AH$7:$AH$1766)</f>
        <v>0</v>
      </c>
      <c r="J21" s="154">
        <f>SUMIF(MATRIZCTAS!$L$7:$L$1766,$C21&amp;J$12,MATRIZCTAS!$AH$7:$AH$1766)</f>
        <v>0</v>
      </c>
      <c r="K21" s="154">
        <f>SUMIF(MATRIZCTAS!$L$7:$L$1766,$C21&amp;K$12,MATRIZCTAS!$AH$7:$AH$1766)</f>
        <v>0</v>
      </c>
      <c r="L21" s="212">
        <f>SUMIF(MATRIZCTAS!$L$7:$L$1766,$C21&amp;L$12,MATRIZCTAS!$AH$7:$AH$1766)</f>
        <v>0</v>
      </c>
      <c r="N21"/>
      <c r="O21"/>
      <c r="P21"/>
      <c r="Q21"/>
      <c r="R21"/>
      <c r="S21"/>
      <c r="T21"/>
    </row>
    <row r="22" spans="2:20" ht="20.100000000000001" customHeight="1">
      <c r="B22" s="172" t="s">
        <v>3312</v>
      </c>
      <c r="C22" s="1392">
        <v>6401300</v>
      </c>
      <c r="D22" s="138" t="s">
        <v>1812</v>
      </c>
      <c r="E22" s="154">
        <f>SUM(H22:L22)</f>
        <v>0</v>
      </c>
      <c r="F22" s="154">
        <f>SUM(H22:K22)</f>
        <v>0</v>
      </c>
      <c r="G22" s="154">
        <f>SUM(H22:J22)</f>
        <v>0</v>
      </c>
      <c r="H22" s="154">
        <f>SUMIF(MATRIZCTAS!$L$7:$L$1766,$C22&amp;H$12,MATRIZCTAS!$AH$7:$AH$1766)</f>
        <v>0</v>
      </c>
      <c r="I22" s="154">
        <f>SUMIF(MATRIZCTAS!$L$7:$L$1766,$C22&amp;I$12,MATRIZCTAS!$AH$7:$AH$1766)</f>
        <v>0</v>
      </c>
      <c r="J22" s="154">
        <f>SUMIF(MATRIZCTAS!$L$7:$L$1766,$C22&amp;J$12,MATRIZCTAS!$AH$7:$AH$1766)</f>
        <v>0</v>
      </c>
      <c r="K22" s="154">
        <f>SUMIF(MATRIZCTAS!$L$7:$L$1766,$C22&amp;K$12,MATRIZCTAS!$AH$7:$AH$1766)</f>
        <v>0</v>
      </c>
      <c r="L22" s="212">
        <f>SUMIF(MATRIZCTAS!$L$7:$L$1766,$C22&amp;L$12,MATRIZCTAS!$AH$7:$AH$1766)</f>
        <v>0</v>
      </c>
      <c r="M22" s="222" t="s">
        <v>1805</v>
      </c>
    </row>
    <row r="23" spans="2:20" s="142" customFormat="1" ht="20.100000000000001" customHeight="1">
      <c r="B23" s="172"/>
      <c r="C23" s="137"/>
      <c r="D23" s="138"/>
      <c r="E23" s="154"/>
      <c r="F23" s="154"/>
      <c r="G23" s="154"/>
      <c r="H23" s="154"/>
      <c r="I23" s="154"/>
      <c r="J23" s="154"/>
      <c r="K23" s="154"/>
      <c r="L23" s="212"/>
      <c r="N23"/>
      <c r="O23"/>
      <c r="P23"/>
      <c r="Q23"/>
      <c r="R23"/>
      <c r="S23"/>
      <c r="T23"/>
    </row>
    <row r="24" spans="2:20" s="142" customFormat="1" ht="20.100000000000001" customHeight="1">
      <c r="B24" s="176" t="s">
        <v>3313</v>
      </c>
      <c r="C24" s="182">
        <v>6402000</v>
      </c>
      <c r="D24" s="145" t="s">
        <v>253</v>
      </c>
      <c r="E24" s="891">
        <f t="shared" ref="E24:L24" si="4">SUM(E25:E27)</f>
        <v>1632519118</v>
      </c>
      <c r="F24" s="146">
        <f t="shared" si="4"/>
        <v>1613234417</v>
      </c>
      <c r="G24" s="146">
        <f t="shared" si="4"/>
        <v>1596249843</v>
      </c>
      <c r="H24" s="146">
        <f t="shared" si="4"/>
        <v>1172894985</v>
      </c>
      <c r="I24" s="146">
        <f t="shared" si="4"/>
        <v>265725508</v>
      </c>
      <c r="J24" s="146">
        <f t="shared" si="4"/>
        <v>157629350</v>
      </c>
      <c r="K24" s="146">
        <f t="shared" si="4"/>
        <v>16984574</v>
      </c>
      <c r="L24" s="177">
        <f t="shared" si="4"/>
        <v>19284701</v>
      </c>
      <c r="N24"/>
      <c r="O24"/>
      <c r="P24"/>
      <c r="Q24"/>
      <c r="R24"/>
      <c r="S24"/>
      <c r="T24"/>
    </row>
    <row r="25" spans="2:20" s="142" customFormat="1" ht="20.100000000000001" customHeight="1">
      <c r="B25" s="172" t="s">
        <v>3314</v>
      </c>
      <c r="C25" s="1392">
        <v>6402100</v>
      </c>
      <c r="D25" s="138" t="s">
        <v>1811</v>
      </c>
      <c r="E25" s="895">
        <f>SUM(H25:L25)</f>
        <v>1639137657</v>
      </c>
      <c r="F25" s="154">
        <f>SUM(H25:K25)</f>
        <v>1619852956</v>
      </c>
      <c r="G25" s="154">
        <f>SUM(H25:J25)</f>
        <v>1602868382</v>
      </c>
      <c r="H25" s="154">
        <f>-SUMIF(MATRIZCTAS!$L$7:$L$1766,$C25&amp;H$12,MATRIZCTAS!$AH$7:$AH$1766)</f>
        <v>1178736649</v>
      </c>
      <c r="I25" s="154">
        <f>-SUMIF(MATRIZCTAS!$L$7:$L$1766,$C25&amp;I$12,MATRIZCTAS!$AH$7:$AH$1766)</f>
        <v>265830842</v>
      </c>
      <c r="J25" s="154">
        <f>-SUMIF(MATRIZCTAS!$L$7:$L$1766,$C25&amp;J$12,MATRIZCTAS!$AH$7:$AH$1766)-1</f>
        <v>158300891</v>
      </c>
      <c r="K25" s="154">
        <f>-SUMIF(MATRIZCTAS!$L$7:$L$1766,$C25&amp;K$12,MATRIZCTAS!$AH$7:$AH$1766)</f>
        <v>16984574</v>
      </c>
      <c r="L25" s="212">
        <f>-SUMIF(MATRIZCTAS!$L$7:$L$1766,$C25&amp;L$12,MATRIZCTAS!$AH$7:$AH$1766)</f>
        <v>19284701</v>
      </c>
      <c r="N25"/>
      <c r="O25"/>
      <c r="P25"/>
      <c r="Q25"/>
      <c r="R25"/>
      <c r="S25"/>
      <c r="T25"/>
    </row>
    <row r="26" spans="2:20" ht="20.100000000000001" customHeight="1">
      <c r="B26" s="172" t="s">
        <v>3315</v>
      </c>
      <c r="C26" s="1393">
        <v>6402200</v>
      </c>
      <c r="D26" s="138" t="s">
        <v>1813</v>
      </c>
      <c r="E26" s="895">
        <f>SUM(H26:L26)</f>
        <v>-6618539</v>
      </c>
      <c r="F26" s="154">
        <f>SUM(H26:K26)</f>
        <v>-6618539</v>
      </c>
      <c r="G26" s="154">
        <f>SUM(H26:J26)</f>
        <v>-6618539</v>
      </c>
      <c r="H26" s="154">
        <f>-ROUND(SUMIF('Antecedentes Cuadros 6.04'!$A$47:$A$51,H$12,'Antecedentes Cuadros 6.04'!$D$47:$D$51)/1000,0)</f>
        <v>-5841664</v>
      </c>
      <c r="I26" s="154">
        <f>-ROUND(SUMIF('Antecedentes Cuadros 6.04'!$A$47:$A$51,I$12,'Antecedentes Cuadros 6.04'!$D$47:$D$51)/1000,0)</f>
        <v>-105334</v>
      </c>
      <c r="J26" s="154">
        <f>-ROUND(SUMIF('Antecedentes Cuadros 6.04'!$A$47:$A$51,J$12,'Antecedentes Cuadros 6.04'!$D$47:$D$51)/1000,0)</f>
        <v>-671541</v>
      </c>
      <c r="K26" s="154">
        <f>-ROUND(SUMIF('Antecedentes Cuadros 6.04'!$A$47:$A$51,K$12,'Antecedentes Cuadros 6.04'!$D$47:$D$51)/1000,0)</f>
        <v>0</v>
      </c>
      <c r="L26" s="212">
        <f>-ROUND(SUMIF('Antecedentes Cuadros 6.04'!$A$47:$A$51,L$12,'Antecedentes Cuadros 6.04'!$D$47:$D$51)/1000,0)</f>
        <v>0</v>
      </c>
    </row>
    <row r="27" spans="2:20" s="142" customFormat="1" ht="20.100000000000001" customHeight="1">
      <c r="B27" s="172" t="s">
        <v>3316</v>
      </c>
      <c r="C27" s="1392">
        <v>6402300</v>
      </c>
      <c r="D27" s="138" t="s">
        <v>1812</v>
      </c>
      <c r="E27" s="895">
        <f>SUM(H27:L27)</f>
        <v>0</v>
      </c>
      <c r="F27" s="154">
        <f>SUM(H27:K27)</f>
        <v>0</v>
      </c>
      <c r="G27" s="154">
        <f>SUM(H27:J27)</f>
        <v>0</v>
      </c>
      <c r="H27" s="154">
        <f>-SUMIF(MATRIZCTAS!$L$7:$L$1766,$C27&amp;H$12,MATRIZCTAS!$AH$7:$AH$1766)</f>
        <v>0</v>
      </c>
      <c r="I27" s="154">
        <f>-SUMIF(MATRIZCTAS!$L$7:$L$1766,$C27&amp;I$12,MATRIZCTAS!$AH$7:$AH$1766)</f>
        <v>0</v>
      </c>
      <c r="J27" s="154">
        <f>-SUMIF(MATRIZCTAS!$L$7:$L$1766,$C27&amp;J$12,MATRIZCTAS!$AH$7:$AH$1766)</f>
        <v>0</v>
      </c>
      <c r="K27" s="154">
        <f>-SUMIF(MATRIZCTAS!$L$7:$L$1766,$C27&amp;K$12,MATRIZCTAS!$AH$7:$AH$1766)</f>
        <v>0</v>
      </c>
      <c r="L27" s="212">
        <f>-SUMIF(MATRIZCTAS!$L$7:$L$1766,$C27&amp;L$12,MATRIZCTAS!$AH$7:$AH$1766)</f>
        <v>0</v>
      </c>
      <c r="N27"/>
      <c r="O27"/>
      <c r="P27"/>
      <c r="Q27"/>
      <c r="R27"/>
      <c r="S27"/>
      <c r="T27"/>
    </row>
    <row r="28" spans="2:20" ht="20.100000000000001" customHeight="1">
      <c r="B28" s="172"/>
      <c r="C28" s="137"/>
      <c r="D28" s="138"/>
      <c r="E28" s="895"/>
      <c r="F28" s="154"/>
      <c r="G28" s="154"/>
      <c r="H28" s="154"/>
      <c r="I28" s="154"/>
      <c r="J28" s="154"/>
      <c r="K28" s="154"/>
      <c r="L28" s="212"/>
    </row>
    <row r="29" spans="2:20" s="142" customFormat="1" ht="20.100000000000001" customHeight="1" thickBot="1">
      <c r="B29" s="183" t="s">
        <v>3317</v>
      </c>
      <c r="C29" s="214">
        <v>6403000</v>
      </c>
      <c r="D29" s="185" t="s">
        <v>254</v>
      </c>
      <c r="E29" s="893">
        <f>SUM(H29:L29)</f>
        <v>1588266617.961031</v>
      </c>
      <c r="F29" s="186">
        <f>SUM(H29:K29)</f>
        <v>1568978235.3758097</v>
      </c>
      <c r="G29" s="186">
        <f>SUM(H29:J29)</f>
        <v>1551526168.0670567</v>
      </c>
      <c r="H29" s="686">
        <f>+H43</f>
        <v>1162524923.3957756</v>
      </c>
      <c r="I29" s="686">
        <f t="shared" ref="I29:L29" si="5">+I43</f>
        <v>235038819.91824359</v>
      </c>
      <c r="J29" s="686">
        <f t="shared" si="5"/>
        <v>153962424.75303751</v>
      </c>
      <c r="K29" s="686">
        <f t="shared" si="5"/>
        <v>17452067.308753062</v>
      </c>
      <c r="L29" s="1448">
        <f t="shared" si="5"/>
        <v>19288382.58522125</v>
      </c>
      <c r="N29"/>
      <c r="O29"/>
      <c r="P29"/>
      <c r="Q29"/>
      <c r="R29"/>
      <c r="S29"/>
      <c r="T29"/>
    </row>
    <row r="30" spans="2:20" ht="12" thickTop="1"/>
    <row r="31" spans="2:20">
      <c r="C31" s="215" t="s">
        <v>120</v>
      </c>
    </row>
    <row r="32" spans="2:20">
      <c r="B32" s="216" t="s">
        <v>265</v>
      </c>
      <c r="C32" s="217">
        <v>1.2999999999999999E-2</v>
      </c>
      <c r="D32" s="217"/>
    </row>
    <row r="33" spans="2:12">
      <c r="B33" s="216" t="s">
        <v>266</v>
      </c>
      <c r="C33" s="216"/>
      <c r="E33" s="218">
        <f>SUM(H33:L33)</f>
        <v>1564869416</v>
      </c>
      <c r="F33" s="218">
        <f>SUM(H33:K33)</f>
        <v>1545865176</v>
      </c>
      <c r="G33" s="218">
        <f>SUM(H33:J33)</f>
        <v>1528670200</v>
      </c>
      <c r="H33" s="219">
        <v>1145399442</v>
      </c>
      <c r="I33" s="219">
        <v>231576397</v>
      </c>
      <c r="J33" s="219">
        <v>151694361</v>
      </c>
      <c r="K33" s="219">
        <v>17194976</v>
      </c>
      <c r="L33" s="219">
        <v>19004240</v>
      </c>
    </row>
    <row r="34" spans="2:12">
      <c r="B34" s="216" t="s">
        <v>266</v>
      </c>
      <c r="C34" s="216"/>
      <c r="E34" s="218">
        <f>SUM(H34:L34)</f>
        <v>0</v>
      </c>
      <c r="F34" s="218">
        <f>SUM(H34:K34)</f>
        <v>0</v>
      </c>
      <c r="G34" s="218">
        <f>SUM(H34:J34)</f>
        <v>0</v>
      </c>
      <c r="H34" s="219"/>
      <c r="I34" s="219"/>
      <c r="J34" s="219"/>
      <c r="K34" s="219"/>
      <c r="L34" s="219"/>
    </row>
    <row r="35" spans="2:12">
      <c r="E35" s="220"/>
      <c r="F35" s="220"/>
      <c r="G35" s="220"/>
      <c r="H35" s="220"/>
      <c r="I35" s="220"/>
      <c r="J35" s="220"/>
      <c r="K35" s="220"/>
      <c r="L35" s="220"/>
    </row>
    <row r="36" spans="2:12">
      <c r="B36" s="142" t="s">
        <v>121</v>
      </c>
      <c r="C36" s="140">
        <v>631101610</v>
      </c>
      <c r="D36" s="140" t="s">
        <v>122</v>
      </c>
      <c r="E36" s="218">
        <f>SUM(H36:L36)</f>
        <v>-106333309</v>
      </c>
      <c r="F36" s="218">
        <f>SUM(H36:K36)</f>
        <v>-105069500</v>
      </c>
      <c r="G36" s="218">
        <f>SUM(H36:J36)</f>
        <v>-104559120</v>
      </c>
      <c r="H36" s="221">
        <f>+C_6.01!AI27</f>
        <v>-58935322</v>
      </c>
      <c r="I36" s="221">
        <f>+C_6.01!AJ27</f>
        <v>-36912552</v>
      </c>
      <c r="J36" s="221">
        <f>+C_6.01!AK27</f>
        <v>-8711246</v>
      </c>
      <c r="K36" s="221">
        <f>+C_6.01!AL27</f>
        <v>-510380</v>
      </c>
      <c r="L36" s="221">
        <f>+C_6.01!J27</f>
        <v>-1263809</v>
      </c>
    </row>
    <row r="38" spans="2:12">
      <c r="E38" s="222">
        <f t="shared" ref="E38:L38" ca="1" si="6">+E36+E18</f>
        <v>1255207.0389690399</v>
      </c>
      <c r="F38" s="222">
        <f t="shared" ca="1" si="6"/>
        <v>1304799.6241903305</v>
      </c>
      <c r="G38" s="222">
        <f t="shared" ca="1" si="6"/>
        <v>1421075.9329433441</v>
      </c>
      <c r="H38" s="222">
        <f t="shared" ca="1" si="6"/>
        <v>-392370.39577555656</v>
      </c>
      <c r="I38" s="222">
        <f t="shared" ca="1" si="6"/>
        <v>1302045.081756413</v>
      </c>
      <c r="J38" s="222">
        <f t="shared" ca="1" si="6"/>
        <v>511401.2469624877</v>
      </c>
      <c r="K38" s="222">
        <f t="shared" ca="1" si="6"/>
        <v>-116276.30875306204</v>
      </c>
      <c r="L38" s="222">
        <f t="shared" ca="1" si="6"/>
        <v>-49592.58522124961</v>
      </c>
    </row>
    <row r="39" spans="2:12">
      <c r="H39" s="222">
        <f>+H29-H33-H34</f>
        <v>17125481.395775557</v>
      </c>
      <c r="I39" s="222">
        <f>+I29-I33-I34</f>
        <v>3462422.918243587</v>
      </c>
      <c r="J39" s="222">
        <f>+J29-J33-J34</f>
        <v>2268063.7530375123</v>
      </c>
      <c r="K39" s="222">
        <f>+K29-K33-K34</f>
        <v>257091.30875306204</v>
      </c>
      <c r="L39" s="222">
        <f>+L29-L33-L34</f>
        <v>284142.58522124961</v>
      </c>
    </row>
    <row r="40" spans="2:12">
      <c r="H40" s="222"/>
      <c r="I40" s="222"/>
      <c r="J40" s="222"/>
      <c r="K40" s="222"/>
      <c r="L40" s="222"/>
    </row>
    <row r="41" spans="2:12">
      <c r="E41" s="222">
        <f>SUM(H41:L41)</f>
        <v>1564869416000</v>
      </c>
      <c r="H41" s="222">
        <v>1145399442000</v>
      </c>
      <c r="I41" s="222">
        <v>231576397000</v>
      </c>
      <c r="J41" s="222">
        <v>151694361000</v>
      </c>
      <c r="K41" s="222">
        <v>17194976000</v>
      </c>
      <c r="L41" s="222">
        <v>19004240000</v>
      </c>
    </row>
    <row r="42" spans="2:12">
      <c r="D42" s="140">
        <v>22294.03</v>
      </c>
      <c r="E42" s="1447">
        <f>SUM(H42:L42)</f>
        <v>70192307.806170538</v>
      </c>
      <c r="H42" s="222">
        <f>+H41/$D$42</f>
        <v>51376957.956905954</v>
      </c>
      <c r="I42" s="222">
        <f t="shared" ref="I42:L42" si="7">+I41/$D$42</f>
        <v>10387372.628457036</v>
      </c>
      <c r="J42" s="222">
        <f t="shared" si="7"/>
        <v>6804259.3017054349</v>
      </c>
      <c r="K42" s="222">
        <f t="shared" si="7"/>
        <v>771281.63907557318</v>
      </c>
      <c r="L42" s="222">
        <f t="shared" si="7"/>
        <v>852436.28002653632</v>
      </c>
    </row>
    <row r="43" spans="2:12">
      <c r="D43" s="140">
        <v>22627.360000000001</v>
      </c>
      <c r="E43" s="222">
        <f>SUM(H43:L43)</f>
        <v>1588266617.961031</v>
      </c>
      <c r="H43" s="222">
        <f>+H42*$D$43/1000</f>
        <v>1162524923.3957756</v>
      </c>
      <c r="I43" s="222">
        <f>+I42*$D$43/1000</f>
        <v>235038819.91824359</v>
      </c>
      <c r="J43" s="222">
        <f>+J42*$D$43/1000</f>
        <v>153962424.75303751</v>
      </c>
      <c r="K43" s="222">
        <f>+K42*$D$43/1000</f>
        <v>17452067.308753062</v>
      </c>
      <c r="L43" s="222">
        <f>+L42*$D$43/1000</f>
        <v>19288382.58522125</v>
      </c>
    </row>
    <row r="44" spans="2:12">
      <c r="H44" s="222"/>
      <c r="I44" s="222"/>
      <c r="J44" s="222"/>
      <c r="K44" s="222"/>
      <c r="L44" s="222"/>
    </row>
    <row r="46" spans="2:12">
      <c r="E46" s="222"/>
    </row>
    <row r="47" spans="2:12">
      <c r="E47" s="222">
        <f>+E29-E33</f>
        <v>23397201.96103096</v>
      </c>
    </row>
    <row r="48" spans="2:12">
      <c r="D48" s="140" t="s">
        <v>106</v>
      </c>
      <c r="E48" s="140">
        <v>20942.88</v>
      </c>
      <c r="F48" s="140">
        <f>+E49-E48</f>
        <v>397.11000000000058</v>
      </c>
    </row>
    <row r="49" spans="1:7">
      <c r="D49" s="140" t="s">
        <v>107</v>
      </c>
      <c r="E49" s="140">
        <v>21339.99</v>
      </c>
    </row>
    <row r="50" spans="1:7">
      <c r="D50" s="140" t="s">
        <v>108</v>
      </c>
      <c r="E50" s="140">
        <f>+((E49/E48)-1)*100</f>
        <v>1.896157548532007</v>
      </c>
      <c r="F50" s="558">
        <f>1.23803411947163</f>
        <v>1.23803411947163</v>
      </c>
    </row>
    <row r="51" spans="1:7">
      <c r="D51" s="140" t="s">
        <v>109</v>
      </c>
      <c r="E51" s="140">
        <v>2</v>
      </c>
      <c r="F51" s="558">
        <f>2</f>
        <v>2</v>
      </c>
    </row>
    <row r="52" spans="1:7">
      <c r="D52" s="140" t="s">
        <v>110</v>
      </c>
      <c r="E52" s="140">
        <f>+E51-E50</f>
        <v>0.10384245146799298</v>
      </c>
      <c r="F52" s="558">
        <f>+F51-F50</f>
        <v>0.76196588052837</v>
      </c>
    </row>
    <row r="55" spans="1:7">
      <c r="G55" s="436" t="s">
        <v>1885</v>
      </c>
    </row>
    <row r="56" spans="1:7">
      <c r="E56" s="140">
        <v>66731219.350000001</v>
      </c>
      <c r="F56" s="140">
        <v>55.64</v>
      </c>
      <c r="G56" s="140">
        <f>+E56*F56</f>
        <v>3712925044.6340003</v>
      </c>
    </row>
    <row r="57" spans="1:7">
      <c r="E57" s="140">
        <v>1397543919</v>
      </c>
      <c r="F57" s="140">
        <v>0.05</v>
      </c>
      <c r="G57" s="222">
        <f>+E57*F57</f>
        <v>69877195.950000003</v>
      </c>
    </row>
    <row r="60" spans="1:7">
      <c r="A60" s="1431" t="s">
        <v>3476</v>
      </c>
    </row>
    <row r="62" spans="1:7">
      <c r="A62" s="140">
        <v>5213121</v>
      </c>
      <c r="B62" s="140" t="s">
        <v>3477</v>
      </c>
      <c r="E62" s="1432">
        <v>1616551554</v>
      </c>
    </row>
    <row r="63" spans="1:7">
      <c r="A63" s="140">
        <v>5213150</v>
      </c>
      <c r="B63" s="140" t="s">
        <v>3478</v>
      </c>
      <c r="E63" s="1432">
        <v>19544812</v>
      </c>
    </row>
    <row r="64" spans="1:7">
      <c r="A64" s="140">
        <v>5213121</v>
      </c>
      <c r="B64" s="140" t="s">
        <v>3479</v>
      </c>
      <c r="E64" s="1432">
        <v>1501759</v>
      </c>
    </row>
    <row r="65" spans="1:6">
      <c r="A65" s="140">
        <v>5142210</v>
      </c>
      <c r="B65" s="140" t="s">
        <v>3482</v>
      </c>
      <c r="E65" s="1432">
        <v>-548353</v>
      </c>
    </row>
    <row r="66" spans="1:6">
      <c r="A66" s="140">
        <v>5142210</v>
      </c>
      <c r="B66" s="140" t="s">
        <v>3480</v>
      </c>
      <c r="E66" s="1432">
        <v>-6070186</v>
      </c>
    </row>
    <row r="67" spans="1:6">
      <c r="B67" s="140" t="s">
        <v>3481</v>
      </c>
      <c r="E67" s="1432">
        <v>284325</v>
      </c>
    </row>
    <row r="68" spans="1:6">
      <c r="A68" s="1434" t="s">
        <v>3313</v>
      </c>
      <c r="B68" s="1435"/>
      <c r="C68" s="1435"/>
      <c r="D68" s="1435" t="s">
        <v>3483</v>
      </c>
      <c r="E68" s="1436">
        <f>SUM(E62:E67)</f>
        <v>1631263911</v>
      </c>
    </row>
    <row r="70" spans="1:6">
      <c r="E70" s="1433">
        <f>E68-E24</f>
        <v>-1255207</v>
      </c>
      <c r="F70" s="140" t="s">
        <v>3081</v>
      </c>
    </row>
  </sheetData>
  <mergeCells count="4">
    <mergeCell ref="F8:K8"/>
    <mergeCell ref="F9:K9"/>
    <mergeCell ref="B11:B12"/>
    <mergeCell ref="D11:D12"/>
  </mergeCells>
  <phoneticPr fontId="10" type="noConversion"/>
  <printOptions horizontalCentered="1"/>
  <pageMargins left="0" right="0" top="0.39370078740157483" bottom="0.19685039370078741" header="0" footer="0"/>
  <pageSetup paperSize="119" scale="79" orientation="landscape" r:id="rId1"/>
  <headerFooter alignWithMargins="0">
    <oddHeader>&amp;L&amp;"Times New Roman,Negrita Cursiva"&amp;9                                      Subgerencia Finanzas
                                      Depto.Contabilidad</oddHeader>
    <oddFooter>&amp;L&amp;"Times New Roman,Negrita Cursiva"&amp;9&amp;F
&amp;A&amp;R&amp;"Times New Roman,Negrita Cursiva"&amp;9&amp;D
&amp;T</oddFooter>
  </headerFooter>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tabColor theme="6" tint="-0.499984740745262"/>
  </sheetPr>
  <dimension ref="A1:IU58"/>
  <sheetViews>
    <sheetView showGridLines="0" topLeftCell="A11" zoomScaleNormal="100" workbookViewId="0">
      <selection activeCell="F26" sqref="F26"/>
    </sheetView>
  </sheetViews>
  <sheetFormatPr baseColWidth="10" defaultRowHeight="9"/>
  <cols>
    <col min="1" max="1" width="12" style="166"/>
    <col min="2" max="2" width="16.33203125" style="166" customWidth="1"/>
    <col min="3" max="3" width="15.83203125" style="166" customWidth="1"/>
    <col min="4" max="4" width="53.83203125" style="166" customWidth="1"/>
    <col min="5" max="5" width="12.83203125" style="166" customWidth="1"/>
    <col min="6" max="6" width="16.33203125" style="166" customWidth="1"/>
    <col min="7" max="9" width="14.83203125" style="166" customWidth="1"/>
    <col min="10" max="13" width="13.5" style="166" customWidth="1"/>
    <col min="14" max="14" width="14.5" style="166" customWidth="1"/>
    <col min="15" max="16" width="14.33203125" style="166" customWidth="1"/>
    <col min="17" max="18" width="16.1640625" style="166" customWidth="1"/>
    <col min="19" max="26" width="17.83203125" style="166" customWidth="1"/>
    <col min="27" max="27" width="17.6640625" style="166" customWidth="1"/>
    <col min="28" max="29" width="16.1640625" style="166" customWidth="1"/>
    <col min="30" max="30" width="18.83203125" style="166" customWidth="1"/>
    <col min="31" max="35" width="11.83203125" style="166" customWidth="1"/>
    <col min="36" max="36" width="14.33203125" style="166" customWidth="1"/>
    <col min="37" max="16384" width="12" style="166"/>
  </cols>
  <sheetData>
    <row r="1" spans="1:38" ht="29.25">
      <c r="A1" s="35" t="s">
        <v>1739</v>
      </c>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row>
    <row r="2" spans="1:38" ht="18.75" thickBot="1">
      <c r="A2" s="37" t="s">
        <v>1814</v>
      </c>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row>
    <row r="3" spans="1:38" ht="18">
      <c r="A3" s="223"/>
      <c r="B3" s="82"/>
      <c r="C3" s="82"/>
      <c r="D3" s="82"/>
      <c r="E3" s="82"/>
      <c r="F3" s="82"/>
      <c r="G3" s="82"/>
      <c r="H3" s="82"/>
      <c r="I3" s="82"/>
      <c r="J3" s="82"/>
      <c r="K3" s="82"/>
      <c r="L3" s="82"/>
      <c r="M3" s="82"/>
      <c r="N3" s="82"/>
      <c r="O3" s="82"/>
      <c r="P3" s="82"/>
      <c r="Q3" s="82"/>
      <c r="R3" s="82"/>
      <c r="S3" s="82"/>
      <c r="T3" s="82"/>
      <c r="U3" s="82"/>
      <c r="V3" s="82"/>
      <c r="W3" s="82"/>
      <c r="X3" s="82"/>
      <c r="Y3" s="82"/>
      <c r="Z3" s="82"/>
      <c r="AA3" s="82"/>
      <c r="AB3" s="82"/>
      <c r="AC3" s="82"/>
      <c r="AD3" s="82"/>
      <c r="AE3" s="82"/>
      <c r="AF3" s="82"/>
      <c r="AG3" s="82"/>
      <c r="AH3" s="82"/>
      <c r="AI3" s="82"/>
      <c r="AJ3" s="82"/>
      <c r="AK3" s="82"/>
    </row>
    <row r="5" spans="1:38" ht="12">
      <c r="B5" s="224" t="s">
        <v>64</v>
      </c>
      <c r="E5" s="168">
        <f>+C_6.04!E4</f>
        <v>40909</v>
      </c>
      <c r="F5" s="168">
        <f>+C_6.04!G4</f>
        <v>41121</v>
      </c>
      <c r="G5" s="1204">
        <f>+G8-G18</f>
        <v>-12041</v>
      </c>
      <c r="H5" s="168"/>
      <c r="I5" s="168"/>
      <c r="AD5" s="193">
        <f>+AD18-AD8</f>
        <v>-456780</v>
      </c>
    </row>
    <row r="6" spans="1:38" ht="12">
      <c r="B6" s="224"/>
      <c r="E6" s="168"/>
      <c r="F6" s="168"/>
      <c r="G6" s="1204"/>
      <c r="H6" s="168"/>
      <c r="I6" s="168"/>
      <c r="AD6" s="193"/>
    </row>
    <row r="7" spans="1:38" ht="11.25">
      <c r="B7" s="41" t="s">
        <v>3457</v>
      </c>
      <c r="E7" s="168"/>
      <c r="F7" s="168"/>
      <c r="G7" s="1204"/>
      <c r="H7" s="168"/>
      <c r="I7" s="168"/>
      <c r="AD7" s="193"/>
    </row>
    <row r="8" spans="1:38" ht="13.5" thickBot="1">
      <c r="D8" s="195"/>
      <c r="E8" s="196"/>
      <c r="F8" s="1204">
        <f>4047393-102655</f>
        <v>3944738</v>
      </c>
      <c r="G8" s="1204">
        <f>620396-249252</f>
        <v>371144</v>
      </c>
      <c r="H8" s="196"/>
      <c r="I8" s="1204">
        <f>8311485-29589</f>
        <v>8281896</v>
      </c>
      <c r="Q8" s="1204">
        <v>28204</v>
      </c>
      <c r="T8" s="166">
        <f>1332444</f>
        <v>1332444</v>
      </c>
      <c r="X8" s="166">
        <v>4348064</v>
      </c>
      <c r="AD8" s="166">
        <f>3573258-28598</f>
        <v>3544660</v>
      </c>
    </row>
    <row r="9" spans="1:38" ht="60" customHeight="1">
      <c r="B9" s="2801" t="s">
        <v>3372</v>
      </c>
      <c r="C9" s="131"/>
      <c r="D9" s="2806" t="s">
        <v>3373</v>
      </c>
      <c r="E9" s="132" t="str">
        <f t="shared" ref="E9:AJ9" si="0">VLOOKUP(E10,SVRAMO,2,FALSE)</f>
        <v>TOTAL RAMOS</v>
      </c>
      <c r="F9" s="132" t="str">
        <f t="shared" si="0"/>
        <v>Vida Entera</v>
      </c>
      <c r="G9" s="132" t="str">
        <f t="shared" si="0"/>
        <v>Temporal de Vida</v>
      </c>
      <c r="H9" s="132" t="str">
        <f t="shared" si="0"/>
        <v>Otros Seguros con Cuenta Unica de Inversión (CUI)</v>
      </c>
      <c r="I9" s="132" t="str">
        <f t="shared" si="0"/>
        <v>Mixto o Dotal</v>
      </c>
      <c r="J9" s="132" t="str">
        <f t="shared" si="0"/>
        <v>Renta</v>
      </c>
      <c r="K9" s="132" t="str">
        <f t="shared" si="0"/>
        <v>Dotal Puro o Capital diferido</v>
      </c>
      <c r="L9" s="132" t="str">
        <f t="shared" si="0"/>
        <v>Protección Familiar</v>
      </c>
      <c r="M9" s="132" t="str">
        <f t="shared" si="0"/>
        <v>Incapacidad o Invalidez</v>
      </c>
      <c r="N9" s="132" t="str">
        <f t="shared" si="0"/>
        <v>Salud</v>
      </c>
      <c r="O9" s="132" t="str">
        <f t="shared" si="0"/>
        <v>Accidentes Personales</v>
      </c>
      <c r="P9" s="132" t="str">
        <f t="shared" si="0"/>
        <v>Asistencia</v>
      </c>
      <c r="Q9" s="132" t="str">
        <f t="shared" si="0"/>
        <v>Desgravamen</v>
      </c>
      <c r="R9" s="132" t="str">
        <f t="shared" si="0"/>
        <v>Seguros con Ahorro Previsional Voluntario (APV)</v>
      </c>
      <c r="S9" s="132" t="str">
        <f t="shared" si="0"/>
        <v>Vida Entera</v>
      </c>
      <c r="T9" s="132" t="str">
        <f t="shared" si="0"/>
        <v>Temporal de Vida</v>
      </c>
      <c r="U9" s="132" t="str">
        <f t="shared" si="0"/>
        <v>Otros Seguros con Cuenta Unica de Inversión (CUI)</v>
      </c>
      <c r="V9" s="132" t="str">
        <f t="shared" si="0"/>
        <v>Mixto o Dotal</v>
      </c>
      <c r="W9" s="132" t="str">
        <f t="shared" si="0"/>
        <v>Renta</v>
      </c>
      <c r="X9" s="132" t="str">
        <f t="shared" si="0"/>
        <v>Dotal Puro o Capital Diferido</v>
      </c>
      <c r="Y9" s="132" t="str">
        <f t="shared" si="0"/>
        <v>Protección Familiar</v>
      </c>
      <c r="Z9" s="132" t="str">
        <f t="shared" si="0"/>
        <v>Incapacidad o Invalidez</v>
      </c>
      <c r="AA9" s="132" t="str">
        <f t="shared" si="0"/>
        <v>Salud</v>
      </c>
      <c r="AB9" s="132" t="str">
        <f t="shared" si="0"/>
        <v>Accidentes Personales</v>
      </c>
      <c r="AC9" s="132" t="str">
        <f t="shared" si="0"/>
        <v>Asistencia</v>
      </c>
      <c r="AD9" s="132" t="str">
        <f t="shared" si="0"/>
        <v>Desgravamen</v>
      </c>
      <c r="AE9" s="132" t="str">
        <f t="shared" si="0"/>
        <v>Seguros con Ahorro Previsional Voluntario (APV)</v>
      </c>
      <c r="AF9" s="132" t="str">
        <f t="shared" si="0"/>
        <v>Seguro de AFP</v>
      </c>
      <c r="AG9" s="132" t="str">
        <f t="shared" si="0"/>
        <v>Renta Vitalicia Vejez</v>
      </c>
      <c r="AH9" s="132" t="str">
        <f t="shared" si="0"/>
        <v>Renta Vitalicia Invalidez</v>
      </c>
      <c r="AI9" s="132" t="str">
        <f t="shared" si="0"/>
        <v>Renta Vitalicia Sobrevivencia</v>
      </c>
      <c r="AJ9" s="132" t="str">
        <f t="shared" si="0"/>
        <v>Invalidez y Sobrevivencia</v>
      </c>
    </row>
    <row r="10" spans="1:38" ht="13.5" thickBot="1">
      <c r="B10" s="2805"/>
      <c r="C10" s="169"/>
      <c r="D10" s="2807"/>
      <c r="E10" s="170">
        <v>999</v>
      </c>
      <c r="F10" s="170">
        <v>101</v>
      </c>
      <c r="G10" s="170">
        <v>102</v>
      </c>
      <c r="H10" s="170">
        <v>103</v>
      </c>
      <c r="I10" s="170">
        <v>104</v>
      </c>
      <c r="J10" s="170">
        <v>105</v>
      </c>
      <c r="K10" s="170">
        <v>106</v>
      </c>
      <c r="L10" s="170">
        <v>107</v>
      </c>
      <c r="M10" s="170">
        <v>108</v>
      </c>
      <c r="N10" s="170">
        <v>109</v>
      </c>
      <c r="O10" s="170">
        <v>110</v>
      </c>
      <c r="P10" s="170">
        <v>111</v>
      </c>
      <c r="Q10" s="170">
        <v>112</v>
      </c>
      <c r="R10" s="170">
        <v>114</v>
      </c>
      <c r="S10" s="170">
        <v>201</v>
      </c>
      <c r="T10" s="170">
        <v>202</v>
      </c>
      <c r="U10" s="170">
        <v>203</v>
      </c>
      <c r="V10" s="170">
        <v>204</v>
      </c>
      <c r="W10" s="170">
        <v>205</v>
      </c>
      <c r="X10" s="170">
        <v>206</v>
      </c>
      <c r="Y10" s="170">
        <v>207</v>
      </c>
      <c r="Z10" s="170">
        <v>208</v>
      </c>
      <c r="AA10" s="170">
        <v>209</v>
      </c>
      <c r="AB10" s="170">
        <v>210</v>
      </c>
      <c r="AC10" s="170">
        <v>211</v>
      </c>
      <c r="AD10" s="170">
        <v>212</v>
      </c>
      <c r="AE10" s="170">
        <v>213</v>
      </c>
      <c r="AF10" s="170">
        <v>420</v>
      </c>
      <c r="AG10" s="170">
        <v>421</v>
      </c>
      <c r="AH10" s="170">
        <v>422</v>
      </c>
      <c r="AI10" s="170">
        <v>423</v>
      </c>
      <c r="AJ10" s="170">
        <v>424</v>
      </c>
    </row>
    <row r="11" spans="1:38" ht="20.100000000000001" customHeight="1" thickBot="1">
      <c r="B11" s="1411"/>
      <c r="C11" s="1412"/>
      <c r="D11" s="1413"/>
      <c r="E11" s="1414"/>
      <c r="F11" s="1415"/>
      <c r="G11" s="1415"/>
      <c r="H11" s="1415"/>
      <c r="I11" s="1415"/>
      <c r="J11" s="1415"/>
      <c r="K11" s="1415"/>
      <c r="L11" s="1415"/>
      <c r="M11" s="1415"/>
      <c r="N11" s="1415"/>
      <c r="O11" s="1415"/>
      <c r="P11" s="1415"/>
      <c r="Q11" s="1415"/>
      <c r="R11" s="1415"/>
      <c r="S11" s="1415"/>
      <c r="T11" s="1415"/>
      <c r="U11" s="1415"/>
      <c r="V11" s="1415"/>
      <c r="W11" s="1415"/>
      <c r="X11" s="1415"/>
      <c r="Y11" s="1415"/>
      <c r="Z11" s="1415"/>
      <c r="AA11" s="1415"/>
      <c r="AB11" s="1415"/>
      <c r="AC11" s="1415"/>
      <c r="AD11" s="1415"/>
      <c r="AE11" s="1414"/>
      <c r="AF11" s="1414"/>
      <c r="AG11" s="1414"/>
      <c r="AH11" s="1414"/>
      <c r="AI11" s="1414"/>
      <c r="AJ11" s="1414"/>
    </row>
    <row r="12" spans="1:38" s="171" customFormat="1" ht="20.100000000000001" customHeight="1">
      <c r="B12" s="208" t="s">
        <v>3319</v>
      </c>
      <c r="C12" s="1265">
        <v>6511000</v>
      </c>
      <c r="D12" s="209" t="s">
        <v>3318</v>
      </c>
      <c r="E12" s="1410">
        <f>SUM(F12:AJ12)</f>
        <v>310250</v>
      </c>
      <c r="F12" s="1410">
        <f>ROUND(F13-F14,0)</f>
        <v>-1421</v>
      </c>
      <c r="G12" s="1410">
        <f t="shared" ref="G12:AJ12" si="1">ROUND(G13-G14,0)</f>
        <v>-5384</v>
      </c>
      <c r="H12" s="1410">
        <f t="shared" si="1"/>
        <v>-116346</v>
      </c>
      <c r="I12" s="1410">
        <f t="shared" si="1"/>
        <v>-1667</v>
      </c>
      <c r="J12" s="1410">
        <f t="shared" si="1"/>
        <v>0</v>
      </c>
      <c r="K12" s="1410">
        <f t="shared" si="1"/>
        <v>0</v>
      </c>
      <c r="L12" s="1410">
        <f t="shared" si="1"/>
        <v>0</v>
      </c>
      <c r="M12" s="1410">
        <f t="shared" si="1"/>
        <v>-431</v>
      </c>
      <c r="N12" s="1410">
        <f t="shared" si="1"/>
        <v>9781</v>
      </c>
      <c r="O12" s="1410">
        <f t="shared" si="1"/>
        <v>-4025</v>
      </c>
      <c r="P12" s="1410">
        <f t="shared" si="1"/>
        <v>0</v>
      </c>
      <c r="Q12" s="1410">
        <f t="shared" si="1"/>
        <v>-2022</v>
      </c>
      <c r="R12" s="1410">
        <f t="shared" si="1"/>
        <v>-32562</v>
      </c>
      <c r="S12" s="1410">
        <f t="shared" si="1"/>
        <v>0</v>
      </c>
      <c r="T12" s="1410">
        <f t="shared" si="1"/>
        <v>-344313</v>
      </c>
      <c r="U12" s="1410">
        <f t="shared" si="1"/>
        <v>0</v>
      </c>
      <c r="V12" s="1410">
        <f t="shared" si="1"/>
        <v>0</v>
      </c>
      <c r="W12" s="1410">
        <f t="shared" si="1"/>
        <v>0</v>
      </c>
      <c r="X12" s="1410">
        <f t="shared" si="1"/>
        <v>0</v>
      </c>
      <c r="Y12" s="1410">
        <f t="shared" si="1"/>
        <v>-21395</v>
      </c>
      <c r="Z12" s="1410">
        <f t="shared" si="1"/>
        <v>0</v>
      </c>
      <c r="AA12" s="1410">
        <f t="shared" si="1"/>
        <v>-965984</v>
      </c>
      <c r="AB12" s="1410">
        <f t="shared" si="1"/>
        <v>-308084</v>
      </c>
      <c r="AC12" s="1410">
        <f t="shared" si="1"/>
        <v>0</v>
      </c>
      <c r="AD12" s="1410">
        <f t="shared" si="1"/>
        <v>2104103</v>
      </c>
      <c r="AE12" s="1410">
        <f t="shared" si="1"/>
        <v>0</v>
      </c>
      <c r="AF12" s="1410">
        <f t="shared" si="1"/>
        <v>0</v>
      </c>
      <c r="AG12" s="1410">
        <f t="shared" si="1"/>
        <v>0</v>
      </c>
      <c r="AH12" s="1410">
        <f t="shared" si="1"/>
        <v>0</v>
      </c>
      <c r="AI12" s="1410">
        <f t="shared" si="1"/>
        <v>0</v>
      </c>
      <c r="AJ12" s="1452">
        <f t="shared" si="1"/>
        <v>0</v>
      </c>
    </row>
    <row r="13" spans="1:38" ht="20.100000000000001" customHeight="1">
      <c r="B13" s="172" t="s">
        <v>3320</v>
      </c>
      <c r="C13" s="173">
        <v>6511100</v>
      </c>
      <c r="D13" s="153" t="s">
        <v>123</v>
      </c>
      <c r="E13" s="1421">
        <f>SUM(F13:AJ13)</f>
        <v>7230827.3500520103</v>
      </c>
      <c r="F13" s="228">
        <f>+((F45/$B$45)*$C$45)/1000</f>
        <v>1903.0341306618859</v>
      </c>
      <c r="G13" s="228">
        <f t="shared" ref="G13:AJ13" si="2">+((G45/$B$45)*$C$45)/1000</f>
        <v>6585.0055678583012</v>
      </c>
      <c r="H13" s="228">
        <f t="shared" si="2"/>
        <v>145426.31593480409</v>
      </c>
      <c r="I13" s="228">
        <f t="shared" si="2"/>
        <v>2522.154567837219</v>
      </c>
      <c r="J13" s="228">
        <f t="shared" si="2"/>
        <v>0</v>
      </c>
      <c r="K13" s="228">
        <f t="shared" si="2"/>
        <v>0</v>
      </c>
      <c r="L13" s="228">
        <f t="shared" si="2"/>
        <v>0</v>
      </c>
      <c r="M13" s="228">
        <f t="shared" si="2"/>
        <v>541.98412041250515</v>
      </c>
      <c r="N13" s="228">
        <f t="shared" si="2"/>
        <v>79181.444108579744</v>
      </c>
      <c r="O13" s="228">
        <f t="shared" si="2"/>
        <v>35145.741800831885</v>
      </c>
      <c r="P13" s="228">
        <f t="shared" si="2"/>
        <v>0</v>
      </c>
      <c r="Q13" s="228">
        <f t="shared" si="2"/>
        <v>2180.1159000862563</v>
      </c>
      <c r="R13" s="228">
        <f t="shared" si="2"/>
        <v>85815.167350182994</v>
      </c>
      <c r="S13" s="228">
        <f t="shared" si="2"/>
        <v>0</v>
      </c>
      <c r="T13" s="228">
        <f t="shared" si="2"/>
        <v>1744463.1773797742</v>
      </c>
      <c r="U13" s="228">
        <f t="shared" si="2"/>
        <v>0</v>
      </c>
      <c r="V13" s="228">
        <f t="shared" si="2"/>
        <v>0</v>
      </c>
      <c r="W13" s="228">
        <f t="shared" si="2"/>
        <v>0</v>
      </c>
      <c r="X13" s="228">
        <f t="shared" si="2"/>
        <v>0</v>
      </c>
      <c r="Y13" s="228">
        <f t="shared" si="2"/>
        <v>23988.379561703292</v>
      </c>
      <c r="Z13" s="228">
        <f t="shared" si="2"/>
        <v>0</v>
      </c>
      <c r="AA13" s="228">
        <f t="shared" si="2"/>
        <v>1222803.4614827379</v>
      </c>
      <c r="AB13" s="228">
        <f t="shared" si="2"/>
        <v>253028.4329643407</v>
      </c>
      <c r="AC13" s="228">
        <f t="shared" si="2"/>
        <v>0</v>
      </c>
      <c r="AD13" s="228">
        <f t="shared" si="2"/>
        <v>3627242.9351821993</v>
      </c>
      <c r="AE13" s="228">
        <f t="shared" si="2"/>
        <v>0</v>
      </c>
      <c r="AF13" s="228">
        <f t="shared" si="2"/>
        <v>0</v>
      </c>
      <c r="AG13" s="228">
        <f t="shared" si="2"/>
        <v>0</v>
      </c>
      <c r="AH13" s="228">
        <f t="shared" si="2"/>
        <v>0</v>
      </c>
      <c r="AI13" s="228">
        <f t="shared" si="2"/>
        <v>0</v>
      </c>
      <c r="AJ13" s="1179">
        <f t="shared" si="2"/>
        <v>0</v>
      </c>
    </row>
    <row r="14" spans="1:38" ht="20.100000000000001" customHeight="1">
      <c r="B14" s="172" t="s">
        <v>3321</v>
      </c>
      <c r="C14" s="1422">
        <v>6511200</v>
      </c>
      <c r="D14" s="153" t="s">
        <v>124</v>
      </c>
      <c r="E14" s="896">
        <f>SUM(F14:AJ14)</f>
        <v>6920575</v>
      </c>
      <c r="F14" s="174">
        <f>-SUMIF(MATRIZCTAS!$I$7:$I$1766,$C14&amp;F$10,MATRIZCTAS!$AH$7:$AH$1766)-ROUND(SUMIF('Antecedentes Cuadros 6.05'!$A$15:$A$31,F$10,'Antecedentes Cuadros 6.05'!$D$15:$D$31)/1000,0)</f>
        <v>3324</v>
      </c>
      <c r="G14" s="174">
        <f>-SUMIF(MATRIZCTAS!$I$7:$I$1766,$C14&amp;G$10,MATRIZCTAS!$AH$7:$AH$1766)-ROUND(SUMIF('Antecedentes Cuadros 6.05'!$A$15:$A$31,G$10,'Antecedentes Cuadros 6.05'!$D$15:$D$31)/1000,0)</f>
        <v>11969</v>
      </c>
      <c r="H14" s="174">
        <f>-SUMIF(MATRIZCTAS!$I$7:$I$1766,$C14&amp;H$10,MATRIZCTAS!$AH$7:$AH$1766)-ROUND(SUMIF('Antecedentes Cuadros 6.05'!$A$15:$A$31,H$10,'Antecedentes Cuadros 6.05'!$D$15:$D$31)/1000,0)-1</f>
        <v>261772</v>
      </c>
      <c r="I14" s="174">
        <f>-SUMIF(MATRIZCTAS!$I$7:$I$1766,$C14&amp;I$10,MATRIZCTAS!$AH$7:$AH$1766)-ROUND(SUMIF('Antecedentes Cuadros 6.05'!$A$15:$A$31,I$10,'Antecedentes Cuadros 6.05'!$D$15:$D$31)/1000,0)</f>
        <v>4189</v>
      </c>
      <c r="J14" s="174">
        <f>-SUMIF(MATRIZCTAS!$I$7:$I$1766,$C14&amp;J$10,MATRIZCTAS!$AH$7:$AH$1766)-ROUND(SUMIF('Antecedentes Cuadros 6.05'!$A$15:$A$31,J$10,'Antecedentes Cuadros 6.05'!$D$15:$D$31)/1000,0)</f>
        <v>0</v>
      </c>
      <c r="K14" s="174">
        <f>-SUMIF(MATRIZCTAS!$I$7:$I$1766,$C14&amp;K$10,MATRIZCTAS!$AH$7:$AH$1766)-ROUND(SUMIF('Antecedentes Cuadros 6.05'!$A$15:$A$31,K$10,'Antecedentes Cuadros 6.05'!$D$15:$D$31)/1000,0)</f>
        <v>0</v>
      </c>
      <c r="L14" s="174">
        <f>-SUMIF(MATRIZCTAS!$I$7:$I$1766,$C14&amp;L$10,MATRIZCTAS!$AH$7:$AH$1766)-ROUND(SUMIF('Antecedentes Cuadros 6.05'!$A$15:$A$31,L$10,'Antecedentes Cuadros 6.05'!$D$15:$D$31)/1000,0)</f>
        <v>0</v>
      </c>
      <c r="M14" s="174">
        <f>-SUMIF(MATRIZCTAS!$I$7:$I$1766,$C14&amp;M$10,MATRIZCTAS!$AH$7:$AH$1766)-ROUND(SUMIF('Antecedentes Cuadros 6.05'!$A$15:$A$31,M$10,'Antecedentes Cuadros 6.05'!$D$15:$D$31)/1000,0)</f>
        <v>973</v>
      </c>
      <c r="N14" s="174">
        <f>-SUMIF(MATRIZCTAS!$I$7:$I$1766,$C14&amp;N$10,MATRIZCTAS!$AH$7:$AH$1766)-ROUND(SUMIF('Antecedentes Cuadros 6.05'!$A$15:$A$31,N$10,'Antecedentes Cuadros 6.05'!$D$15:$D$31)/1000,0)</f>
        <v>69400</v>
      </c>
      <c r="O14" s="174">
        <f>-SUMIF(MATRIZCTAS!$I$7:$I$1766,$C14&amp;O$10,MATRIZCTAS!$AH$7:$AH$1766)-ROUND(SUMIF('Antecedentes Cuadros 6.05'!$A$15:$A$31,O$10,'Antecedentes Cuadros 6.05'!$D$15:$D$31)/1000,0)</f>
        <v>39171</v>
      </c>
      <c r="P14" s="174">
        <f>-SUMIF(MATRIZCTAS!$I$7:$I$1766,$C14&amp;P$10,MATRIZCTAS!$AH$7:$AH$1766)-ROUND(SUMIF('Antecedentes Cuadros 6.05'!$A$15:$A$31,P$10,'Antecedentes Cuadros 6.05'!$D$15:$D$31)/1000,0)</f>
        <v>0</v>
      </c>
      <c r="Q14" s="174">
        <f>-SUMIF(MATRIZCTAS!$I$7:$I$1766,$C14&amp;Q$10,MATRIZCTAS!$AH$7:$AH$1766)-ROUND(SUMIF('Antecedentes Cuadros 6.05'!$A$15:$A$31,Q$10,'Antecedentes Cuadros 6.05'!$D$15:$D$31)/1000,0)</f>
        <v>4202</v>
      </c>
      <c r="R14" s="174">
        <f>-SUMIF(MATRIZCTAS!$I$7:$I$1766,$C14&amp;R$10,MATRIZCTAS!$AH$7:$AH$1766)-ROUND(SUMIF('Antecedentes Cuadros 6.05'!$A$15:$A$31,R$10,'Antecedentes Cuadros 6.05'!$D$15:$D$31)/1000,0)</f>
        <v>118377</v>
      </c>
      <c r="S14" s="174">
        <f>-SUMIF(MATRIZCTAS!$I$7:$I$1766,$C14&amp;S$10,MATRIZCTAS!$AH$7:$AH$1766)-ROUND(SUMIF('Antecedentes Cuadros 6.05'!$A$15:$A$31,S$10,'Antecedentes Cuadros 6.05'!$D$15:$D$31)/1000,0)</f>
        <v>0</v>
      </c>
      <c r="T14" s="174">
        <f>-SUMIF(MATRIZCTAS!$I$7:$I$1766,$C14&amp;T$10,MATRIZCTAS!$AH$7:$AH$1766)-ROUND(SUMIF('Antecedentes Cuadros 6.05'!$A$15:$A$31,T$10,'Antecedentes Cuadros 6.05'!$D$15:$D$31)/1000,0)</f>
        <v>2088776</v>
      </c>
      <c r="U14" s="174">
        <f>-SUMIF(MATRIZCTAS!$I$7:$I$1766,$C14&amp;U$10,MATRIZCTAS!$AH$7:$AH$1766)-ROUND(SUMIF('Antecedentes Cuadros 6.05'!$A$15:$A$31,U$10,'Antecedentes Cuadros 6.05'!$D$15:$D$31)/1000,0)</f>
        <v>0</v>
      </c>
      <c r="V14" s="174">
        <f>-SUMIF(MATRIZCTAS!$I$7:$I$1766,$C14&amp;V$10,MATRIZCTAS!$AH$7:$AH$1766)-ROUND(SUMIF('Antecedentes Cuadros 6.05'!$A$15:$A$31,V$10,'Antecedentes Cuadros 6.05'!$D$15:$D$31)/1000,0)</f>
        <v>0</v>
      </c>
      <c r="W14" s="174">
        <f>-SUMIF(MATRIZCTAS!$I$7:$I$1766,$C14&amp;W$10,MATRIZCTAS!$AH$7:$AH$1766)-ROUND(SUMIF('Antecedentes Cuadros 6.05'!$A$15:$A$31,W$10,'Antecedentes Cuadros 6.05'!$D$15:$D$31)/1000,0)</f>
        <v>0</v>
      </c>
      <c r="X14" s="174">
        <f>-SUMIF(MATRIZCTAS!$I$7:$I$1766,$C14&amp;X$10,MATRIZCTAS!$AH$7:$AH$1766)-ROUND(SUMIF('Antecedentes Cuadros 6.05'!$A$15:$A$31,X$10,'Antecedentes Cuadros 6.05'!$D$15:$D$31)/1000,0)</f>
        <v>0</v>
      </c>
      <c r="Y14" s="174">
        <f>-SUMIF(MATRIZCTAS!$I$7:$I$1766,$C14&amp;Y$10,MATRIZCTAS!$AH$7:$AH$1766)-ROUND(SUMIF('Antecedentes Cuadros 6.05'!$A$15:$A$31,Y$10,'Antecedentes Cuadros 6.05'!$D$15:$D$31)/1000,0)</f>
        <v>45383</v>
      </c>
      <c r="Z14" s="174">
        <f>-SUMIF(MATRIZCTAS!$I$7:$I$1766,$C14&amp;Z$10,MATRIZCTAS!$AH$7:$AH$1766)-ROUND(SUMIF('Antecedentes Cuadros 6.05'!$A$15:$A$31,Z$10,'Antecedentes Cuadros 6.05'!$D$15:$D$31)/1000,0)</f>
        <v>0</v>
      </c>
      <c r="AA14" s="174">
        <f>-SUMIF(MATRIZCTAS!$I$7:$I$1766,$C14&amp;AA$10,MATRIZCTAS!$AH$7:$AH$1766)-ROUND(SUMIF('Antecedentes Cuadros 6.05'!$A$15:$A$31,AA$10,'Antecedentes Cuadros 6.05'!$D$15:$D$31)/1000,0)</f>
        <v>2188787</v>
      </c>
      <c r="AB14" s="174">
        <f>-SUMIF(MATRIZCTAS!$I$7:$I$1766,$C14&amp;AB$10,MATRIZCTAS!$AH$7:$AH$1766)-ROUND(SUMIF('Antecedentes Cuadros 6.05'!$A$15:$A$31,AB$10,'Antecedentes Cuadros 6.05'!$D$15:$D$31)/1000,0)</f>
        <v>561112</v>
      </c>
      <c r="AC14" s="174">
        <f>-SUMIF(MATRIZCTAS!$I$7:$I$1766,$C14&amp;AC$10,MATRIZCTAS!$AH$7:$AH$1766)-ROUND(SUMIF('Antecedentes Cuadros 6.05'!$A$15:$A$31,AC$10,'Antecedentes Cuadros 6.05'!$D$15:$D$31)/1000,0)</f>
        <v>0</v>
      </c>
      <c r="AD14" s="174">
        <f>-SUMIF(MATRIZCTAS!$I$7:$I$1766,$C14&amp;AD$10,MATRIZCTAS!$AH$7:$AH$1766)-ROUND(SUMIF('Antecedentes Cuadros 6.05'!$A$15:$A$31,AD$10,'Antecedentes Cuadros 6.05'!$D$15:$D$31)/1000,0)</f>
        <v>1523140</v>
      </c>
      <c r="AE14" s="174">
        <f>-SUMIF(MATRIZCTAS!$I$7:$I$1766,$C14&amp;AE$10,MATRIZCTAS!$AH$7:$AH$1766)-ROUND(SUMIF('Antecedentes Cuadros 6.05'!$A$15:$A$31,AE$10,'Antecedentes Cuadros 6.05'!$D$15:$D$31)/1000,0)</f>
        <v>0</v>
      </c>
      <c r="AF14" s="174">
        <f>-SUMIF(MATRIZCTAS!$I$7:$I$1766,$C14&amp;AF$10,MATRIZCTAS!$AH$7:$AH$1766)-ROUND(SUMIF('Antecedentes Cuadros 6.05'!$A$15:$A$31,AF$10,'Antecedentes Cuadros 6.05'!$D$15:$D$31)/1000,0)</f>
        <v>0</v>
      </c>
      <c r="AG14" s="174">
        <f>-SUMIF(MATRIZCTAS!$I$7:$I$1766,$C14&amp;AG$10,MATRIZCTAS!$AH$7:$AH$1766)-ROUND(SUMIF('Antecedentes Cuadros 6.05'!$A$15:$A$31,AG$10,'Antecedentes Cuadros 6.05'!$D$15:$D$31)/1000,0)</f>
        <v>0</v>
      </c>
      <c r="AH14" s="174">
        <f>-SUMIF(MATRIZCTAS!$I$7:$I$1766,$C14&amp;AH$10,MATRIZCTAS!$AH$7:$AH$1766)-ROUND(SUMIF('Antecedentes Cuadros 6.05'!$A$15:$A$31,AH$10,'Antecedentes Cuadros 6.05'!$D$15:$D$31)/1000,0)</f>
        <v>0</v>
      </c>
      <c r="AI14" s="174">
        <f>-SUMIF(MATRIZCTAS!$I$7:$I$1766,$C14&amp;AI$10,MATRIZCTAS!$AH$7:$AH$1766)-ROUND(SUMIF('Antecedentes Cuadros 6.05'!$A$15:$A$31,AI$10,'Antecedentes Cuadros 6.05'!$D$15:$D$31)/1000,0)</f>
        <v>0</v>
      </c>
      <c r="AJ14" s="175">
        <f>-SUMIF(MATRIZCTAS!$I$7:$I$1766,$C14&amp;AJ$10,MATRIZCTAS!$AH$7:$AH$1766)-ROUND(SUMIF('Antecedentes Cuadros 6.05'!$A$15:$A$31,AJ$10,'Antecedentes Cuadros 6.05'!$D$15:$D$31)/1000,0)</f>
        <v>0</v>
      </c>
    </row>
    <row r="15" spans="1:38" ht="20.100000000000001" customHeight="1">
      <c r="B15" s="172"/>
      <c r="C15" s="173"/>
      <c r="D15" s="153"/>
      <c r="E15" s="896"/>
      <c r="F15" s="174"/>
      <c r="G15" s="174"/>
      <c r="H15" s="174"/>
      <c r="I15" s="174"/>
      <c r="J15" s="174"/>
      <c r="K15" s="174"/>
      <c r="L15" s="174"/>
      <c r="M15" s="174"/>
      <c r="N15" s="174"/>
      <c r="O15" s="174"/>
      <c r="P15" s="174"/>
      <c r="Q15" s="174"/>
      <c r="R15" s="174"/>
      <c r="S15" s="174"/>
      <c r="T15" s="174"/>
      <c r="U15" s="174"/>
      <c r="V15" s="174"/>
      <c r="W15" s="174"/>
      <c r="X15" s="174"/>
      <c r="Y15" s="174"/>
      <c r="Z15" s="174"/>
      <c r="AA15" s="174"/>
      <c r="AB15" s="174"/>
      <c r="AC15" s="174"/>
      <c r="AD15" s="174"/>
      <c r="AE15" s="174"/>
      <c r="AF15" s="174"/>
      <c r="AG15" s="174"/>
      <c r="AH15" s="174"/>
      <c r="AI15" s="409"/>
      <c r="AJ15" s="175"/>
    </row>
    <row r="16" spans="1:38" s="171" customFormat="1" ht="20.100000000000001" customHeight="1">
      <c r="B16" s="176" t="s">
        <v>3323</v>
      </c>
      <c r="C16" s="144">
        <v>6512000</v>
      </c>
      <c r="D16" s="145" t="s">
        <v>3322</v>
      </c>
      <c r="E16" s="897">
        <f>+E17-E18</f>
        <v>-229648.14276153222</v>
      </c>
      <c r="F16" s="226">
        <f>ROUND(F17-F18,0)</f>
        <v>498760</v>
      </c>
      <c r="G16" s="226">
        <f t="shared" ref="G16:AJ16" si="3">ROUND(G17-G18,0)</f>
        <v>256111</v>
      </c>
      <c r="H16" s="226">
        <f t="shared" si="3"/>
        <v>0</v>
      </c>
      <c r="I16" s="226">
        <f t="shared" si="3"/>
        <v>78316</v>
      </c>
      <c r="J16" s="226">
        <f t="shared" si="3"/>
        <v>0</v>
      </c>
      <c r="K16" s="226">
        <f t="shared" si="3"/>
        <v>0</v>
      </c>
      <c r="L16" s="226">
        <f t="shared" si="3"/>
        <v>0</v>
      </c>
      <c r="M16" s="226">
        <f t="shared" si="3"/>
        <v>0</v>
      </c>
      <c r="N16" s="226">
        <f t="shared" si="3"/>
        <v>0</v>
      </c>
      <c r="O16" s="226">
        <f t="shared" si="3"/>
        <v>0</v>
      </c>
      <c r="P16" s="226">
        <f t="shared" si="3"/>
        <v>0</v>
      </c>
      <c r="Q16" s="226">
        <f t="shared" si="3"/>
        <v>28121</v>
      </c>
      <c r="R16" s="226">
        <f t="shared" si="3"/>
        <v>0</v>
      </c>
      <c r="S16" s="226">
        <f t="shared" si="3"/>
        <v>0</v>
      </c>
      <c r="T16" s="226">
        <f t="shared" si="3"/>
        <v>-338708</v>
      </c>
      <c r="U16" s="226">
        <f t="shared" si="3"/>
        <v>0</v>
      </c>
      <c r="V16" s="226">
        <f t="shared" si="3"/>
        <v>0</v>
      </c>
      <c r="W16" s="226">
        <f t="shared" si="3"/>
        <v>0</v>
      </c>
      <c r="X16" s="226">
        <f t="shared" si="3"/>
        <v>-346754</v>
      </c>
      <c r="Y16" s="226">
        <f t="shared" si="3"/>
        <v>0</v>
      </c>
      <c r="Z16" s="226">
        <f t="shared" si="3"/>
        <v>0</v>
      </c>
      <c r="AA16" s="226">
        <f t="shared" si="3"/>
        <v>0</v>
      </c>
      <c r="AB16" s="226">
        <f t="shared" si="3"/>
        <v>7134</v>
      </c>
      <c r="AC16" s="226">
        <f t="shared" si="3"/>
        <v>0</v>
      </c>
      <c r="AD16" s="226">
        <f t="shared" si="3"/>
        <v>-412628</v>
      </c>
      <c r="AE16" s="226">
        <f t="shared" si="3"/>
        <v>0</v>
      </c>
      <c r="AF16" s="226">
        <f t="shared" si="3"/>
        <v>0</v>
      </c>
      <c r="AG16" s="226">
        <f t="shared" si="3"/>
        <v>0</v>
      </c>
      <c r="AH16" s="226">
        <f t="shared" si="3"/>
        <v>0</v>
      </c>
      <c r="AI16" s="226">
        <f t="shared" si="3"/>
        <v>0</v>
      </c>
      <c r="AJ16" s="227">
        <f t="shared" si="3"/>
        <v>0</v>
      </c>
    </row>
    <row r="17" spans="2:36" ht="20.100000000000001" customHeight="1">
      <c r="B17" s="172" t="s">
        <v>3324</v>
      </c>
      <c r="C17" s="173">
        <v>6512100</v>
      </c>
      <c r="D17" s="153" t="s">
        <v>1529</v>
      </c>
      <c r="E17" s="896">
        <f>SUM(F17:AJ17)</f>
        <v>21499138.857238468</v>
      </c>
      <c r="F17" s="228">
        <f>+((F47/$B$47)*$C$47)/1000</f>
        <v>4456805.4538080376</v>
      </c>
      <c r="G17" s="228">
        <f t="shared" ref="G17:AJ17" si="4">+((G47/$B$47)*$C$47)/1000</f>
        <v>639295.64381495852</v>
      </c>
      <c r="H17" s="228">
        <f t="shared" si="4"/>
        <v>0</v>
      </c>
      <c r="I17" s="228">
        <f t="shared" si="4"/>
        <v>8239916.526331041</v>
      </c>
      <c r="J17" s="228">
        <f t="shared" si="4"/>
        <v>0</v>
      </c>
      <c r="K17" s="228">
        <f t="shared" si="4"/>
        <v>0</v>
      </c>
      <c r="L17" s="228">
        <f t="shared" si="4"/>
        <v>0</v>
      </c>
      <c r="M17" s="228">
        <f t="shared" si="4"/>
        <v>0</v>
      </c>
      <c r="N17" s="228">
        <f t="shared" si="4"/>
        <v>0</v>
      </c>
      <c r="O17" s="228">
        <f t="shared" si="4"/>
        <v>0</v>
      </c>
      <c r="P17" s="228">
        <f t="shared" si="4"/>
        <v>0</v>
      </c>
      <c r="Q17" s="228">
        <f t="shared" si="4"/>
        <v>26432.382861241331</v>
      </c>
      <c r="R17" s="228">
        <f t="shared" si="4"/>
        <v>0</v>
      </c>
      <c r="S17" s="228">
        <f t="shared" si="4"/>
        <v>0</v>
      </c>
      <c r="T17" s="228">
        <f t="shared" si="4"/>
        <v>1496703.3578406416</v>
      </c>
      <c r="U17" s="228">
        <f t="shared" si="4"/>
        <v>0</v>
      </c>
      <c r="V17" s="228">
        <f t="shared" si="4"/>
        <v>0</v>
      </c>
      <c r="W17" s="228">
        <f t="shared" si="4"/>
        <v>0</v>
      </c>
      <c r="X17" s="228">
        <f t="shared" si="4"/>
        <v>3957599.5107497391</v>
      </c>
      <c r="Y17" s="228">
        <f t="shared" si="4"/>
        <v>0</v>
      </c>
      <c r="Z17" s="228">
        <f t="shared" si="4"/>
        <v>0</v>
      </c>
      <c r="AA17" s="228">
        <f t="shared" si="4"/>
        <v>0</v>
      </c>
      <c r="AB17" s="228">
        <f t="shared" si="4"/>
        <v>7134.0943490252785</v>
      </c>
      <c r="AC17" s="228">
        <f t="shared" si="4"/>
        <v>0</v>
      </c>
      <c r="AD17" s="228">
        <f t="shared" si="4"/>
        <v>2675251.8874837793</v>
      </c>
      <c r="AE17" s="228">
        <f t="shared" si="4"/>
        <v>0</v>
      </c>
      <c r="AF17" s="228">
        <f t="shared" si="4"/>
        <v>0</v>
      </c>
      <c r="AG17" s="228">
        <f t="shared" si="4"/>
        <v>0</v>
      </c>
      <c r="AH17" s="228">
        <f t="shared" si="4"/>
        <v>0</v>
      </c>
      <c r="AI17" s="228">
        <f t="shared" si="4"/>
        <v>0</v>
      </c>
      <c r="AJ17" s="1179">
        <f t="shared" si="4"/>
        <v>0</v>
      </c>
    </row>
    <row r="18" spans="2:36" ht="20.100000000000001" customHeight="1">
      <c r="B18" s="172" t="s">
        <v>3325</v>
      </c>
      <c r="C18" s="1422">
        <v>6512200</v>
      </c>
      <c r="D18" s="153" t="s">
        <v>133</v>
      </c>
      <c r="E18" s="896">
        <f>SUM(F18:AJ18)</f>
        <v>21728787</v>
      </c>
      <c r="F18" s="174">
        <f>-SUMIF(MATRIZCTAS!$I$7:$I$1766,$C18&amp;F$10,MATRIZCTAS!$AH$7:$AH$1766)-ROUND(SUMIF('Antecedentes Cuadros 6.05'!$A$40:$A$45,F$10,'Antecedentes Cuadros 6.05'!$D$40:$D$45)/1000,0)</f>
        <v>3958045</v>
      </c>
      <c r="G18" s="174">
        <f>-SUMIF(MATRIZCTAS!$I$7:$I$1766,$C18&amp;G$10,MATRIZCTAS!$AH$7:$AH$1766)-ROUND(SUMIF('Antecedentes Cuadros 6.05'!$A$40:$A$45,G$10,'Antecedentes Cuadros 6.05'!$D$40:$D$45)/1000,0)</f>
        <v>383185</v>
      </c>
      <c r="H18" s="174">
        <f>-SUMIF(MATRIZCTAS!$I$7:$I$1766,$C18&amp;H$10,MATRIZCTAS!$AH$7:$AH$1766)-ROUND(SUMIF('Antecedentes Cuadros 6.05'!$A$40:$A$45,H$10,'Antecedentes Cuadros 6.05'!$D$40:$D$45)/1000,0)</f>
        <v>0</v>
      </c>
      <c r="I18" s="174">
        <f>-SUMIF(MATRIZCTAS!$I$7:$I$1766,$C18&amp;I$10,MATRIZCTAS!$AH$7:$AH$1766)-ROUND(SUMIF('Antecedentes Cuadros 6.05'!$A$40:$A$45,I$10,'Antecedentes Cuadros 6.05'!$D$40:$D$45)/1000,0)-2</f>
        <v>8161601</v>
      </c>
      <c r="J18" s="174">
        <f>-SUMIF(MATRIZCTAS!$I$7:$I$1766,$C18&amp;J$10,MATRIZCTAS!$AH$7:$AH$1766)-ROUND(SUMIF('Antecedentes Cuadros 6.05'!$A$40:$A$45,J$10,'Antecedentes Cuadros 6.05'!$D$40:$D$45)/1000,0)</f>
        <v>0</v>
      </c>
      <c r="K18" s="174">
        <f>-SUMIF(MATRIZCTAS!$I$7:$I$1766,$C18&amp;K$10,MATRIZCTAS!$AH$7:$AH$1766)-ROUND(SUMIF('Antecedentes Cuadros 6.05'!$A$40:$A$45,K$10,'Antecedentes Cuadros 6.05'!$D$40:$D$45)/1000,0)</f>
        <v>0</v>
      </c>
      <c r="L18" s="174">
        <f>-SUMIF(MATRIZCTAS!$I$7:$I$1766,$C18&amp;L$10,MATRIZCTAS!$AH$7:$AH$1766)-ROUND(SUMIF('Antecedentes Cuadros 6.05'!$A$40:$A$45,L$10,'Antecedentes Cuadros 6.05'!$D$40:$D$45)/1000,0)</f>
        <v>0</v>
      </c>
      <c r="M18" s="174">
        <f>-SUMIF(MATRIZCTAS!$I$7:$I$1766,$C18&amp;M$10,MATRIZCTAS!$AH$7:$AH$1766)-ROUND(SUMIF('Antecedentes Cuadros 6.05'!$A$40:$A$45,M$10,'Antecedentes Cuadros 6.05'!$D$40:$D$45)/1000,0)</f>
        <v>0</v>
      </c>
      <c r="N18" s="174">
        <f>-SUMIF(MATRIZCTAS!$I$7:$I$1766,$C18&amp;N$10,MATRIZCTAS!$AH$7:$AH$1766)-ROUND(SUMIF('Antecedentes Cuadros 6.05'!$A$40:$A$45,N$10,'Antecedentes Cuadros 6.05'!$D$40:$D$45)/1000,0)</f>
        <v>0</v>
      </c>
      <c r="O18" s="174">
        <f>-SUMIF(MATRIZCTAS!$I$7:$I$1766,$C18&amp;O$10,MATRIZCTAS!$AH$7:$AH$1766)-ROUND(SUMIF('Antecedentes Cuadros 6.05'!$A$40:$A$45,O$10,'Antecedentes Cuadros 6.05'!$D$40:$D$45)/1000,0)</f>
        <v>0</v>
      </c>
      <c r="P18" s="174">
        <f>-SUMIF(MATRIZCTAS!$I$7:$I$1766,$C18&amp;P$10,MATRIZCTAS!$AH$7:$AH$1766)-ROUND(SUMIF('Antecedentes Cuadros 6.05'!$A$40:$A$45,P$10,'Antecedentes Cuadros 6.05'!$D$40:$D$45)/1000,0)</f>
        <v>0</v>
      </c>
      <c r="Q18" s="174">
        <f>-SUMIF(MATRIZCTAS!$I$7:$I$1766,$C18&amp;Q$10,MATRIZCTAS!$AH$7:$AH$1766)-ROUND(SUMIF('Antecedentes Cuadros 6.05'!$A$40:$A$45,Q$10,'Antecedentes Cuadros 6.05'!$D$40:$D$45)/1000,0)</f>
        <v>-1689</v>
      </c>
      <c r="R18" s="174">
        <f>-SUMIF(MATRIZCTAS!$I$7:$I$1766,$C18&amp;R$10,MATRIZCTAS!$AH$7:$AH$1766)-ROUND(SUMIF('Antecedentes Cuadros 6.05'!$A$40:$A$45,R$10,'Antecedentes Cuadros 6.05'!$D$40:$D$45)/1000,0)</f>
        <v>0</v>
      </c>
      <c r="S18" s="174">
        <f>-SUMIF(MATRIZCTAS!$I$7:$I$1766,$C18&amp;S$10,MATRIZCTAS!$AH$7:$AH$1766)-ROUND(SUMIF('Antecedentes Cuadros 6.05'!$A$40:$A$45,S$10,'Antecedentes Cuadros 6.05'!$D$40:$D$45)/1000,0)</f>
        <v>0</v>
      </c>
      <c r="T18" s="174">
        <f>-SUMIF(MATRIZCTAS!$I$7:$I$1766,$C18&amp;T$10,MATRIZCTAS!$AH$7:$AH$1766)-ROUND(SUMIF('Antecedentes Cuadros 6.05'!$A$40:$A$45,T$10,'Antecedentes Cuadros 6.05'!$D$40:$D$45)/1000,0)</f>
        <v>1835411</v>
      </c>
      <c r="U18" s="174">
        <f>-SUMIF(MATRIZCTAS!$I$7:$I$1766,$C18&amp;U$10,MATRIZCTAS!$AH$7:$AH$1766)-ROUND(SUMIF('Antecedentes Cuadros 6.05'!$A$40:$A$45,U$10,'Antecedentes Cuadros 6.05'!$D$40:$D$45)/1000,0)</f>
        <v>0</v>
      </c>
      <c r="V18" s="174">
        <f>-SUMIF(MATRIZCTAS!$I$7:$I$1766,$C18&amp;V$10,MATRIZCTAS!$AH$7:$AH$1766)-ROUND(SUMIF('Antecedentes Cuadros 6.05'!$A$40:$A$45,V$10,'Antecedentes Cuadros 6.05'!$D$40:$D$45)/1000,0)</f>
        <v>0</v>
      </c>
      <c r="W18" s="174">
        <f>-SUMIF(MATRIZCTAS!$I$7:$I$1766,$C18&amp;W$10,MATRIZCTAS!$AH$7:$AH$1766)-ROUND(SUMIF('Antecedentes Cuadros 6.05'!$A$40:$A$45,W$10,'Antecedentes Cuadros 6.05'!$D$40:$D$45)/1000,0)</f>
        <v>0</v>
      </c>
      <c r="X18" s="174">
        <f>-SUMIF(MATRIZCTAS!$I$7:$I$1766,$C18&amp;X$10,MATRIZCTAS!$AH$7:$AH$1766)-ROUND(SUMIF('Antecedentes Cuadros 6.05'!$A$40:$A$45,X$10,'Antecedentes Cuadros 6.05'!$D$40:$D$45)/1000,0)</f>
        <v>4304354</v>
      </c>
      <c r="Y18" s="174">
        <f>-SUMIF(MATRIZCTAS!$I$7:$I$1766,$C18&amp;Y$10,MATRIZCTAS!$AH$7:$AH$1766)-ROUND(SUMIF('Antecedentes Cuadros 6.05'!$A$40:$A$45,Y$10,'Antecedentes Cuadros 6.05'!$D$40:$D$45)/1000,0)</f>
        <v>0</v>
      </c>
      <c r="Z18" s="174">
        <f>-SUMIF(MATRIZCTAS!$I$7:$I$1766,$C18&amp;Z$10,MATRIZCTAS!$AH$7:$AH$1766)-ROUND(SUMIF('Antecedentes Cuadros 6.05'!$A$40:$A$45,Z$10,'Antecedentes Cuadros 6.05'!$D$40:$D$45)/1000,0)</f>
        <v>0</v>
      </c>
      <c r="AA18" s="174">
        <f>-SUMIF(MATRIZCTAS!$I$7:$I$1766,$C18&amp;AA$10,MATRIZCTAS!$AH$7:$AH$1766)-ROUND(SUMIF('Antecedentes Cuadros 6.05'!$A$40:$A$45,AA$10,'Antecedentes Cuadros 6.05'!$D$40:$D$45)/1000,0)</f>
        <v>0</v>
      </c>
      <c r="AB18" s="174">
        <f>-SUMIF(MATRIZCTAS!$I$7:$I$1766,$C18&amp;AB$10,MATRIZCTAS!$AH$7:$AH$1766)-ROUND(SUMIF('Antecedentes Cuadros 6.05'!$A$40:$A$45,AB$10,'Antecedentes Cuadros 6.05'!$D$40:$D$45)/1000,0)</f>
        <v>0</v>
      </c>
      <c r="AC18" s="174">
        <f>-SUMIF(MATRIZCTAS!$I$7:$I$1766,$C18&amp;AC$10,MATRIZCTAS!$AH$7:$AH$1766)-ROUND(SUMIF('Antecedentes Cuadros 6.05'!$A$40:$A$45,AC$10,'Antecedentes Cuadros 6.05'!$D$40:$D$45)/1000,0)</f>
        <v>0</v>
      </c>
      <c r="AD18" s="174">
        <f>-SUMIF(MATRIZCTAS!$I$7:$I$1766,$C18&amp;AD$10,MATRIZCTAS!$AH$7:$AH$1766)-ROUND(SUMIF('Antecedentes Cuadros 6.05'!$A$40:$A$45,AD$10,'Antecedentes Cuadros 6.05'!$D$40:$D$45)/1000,0)</f>
        <v>3087880</v>
      </c>
      <c r="AE18" s="174">
        <f>-SUMIF(MATRIZCTAS!$I$7:$I$1766,$C18&amp;AE$10,MATRIZCTAS!$AH$7:$AH$1766)-ROUND(SUMIF('Antecedentes Cuadros 6.05'!$A$40:$A$45,AE$10,'Antecedentes Cuadros 6.05'!$D$40:$D$45)/1000,0)</f>
        <v>0</v>
      </c>
      <c r="AF18" s="174">
        <f>-SUMIF(MATRIZCTAS!$I$7:$I$1766,$C18&amp;AF$10,MATRIZCTAS!$AH$7:$AH$1766)-ROUND(SUMIF('Antecedentes Cuadros 6.05'!$A$40:$A$45,AF$10,'Antecedentes Cuadros 6.05'!$D$40:$D$45)/1000,0)</f>
        <v>0</v>
      </c>
      <c r="AG18" s="174">
        <f>-SUMIF(MATRIZCTAS!$I$7:$I$1766,$C18&amp;AG$10,MATRIZCTAS!$AH$7:$AH$1766)-ROUND(SUMIF('Antecedentes Cuadros 6.05'!$A$40:$A$45,AG$10,'Antecedentes Cuadros 6.05'!$D$40:$D$45)/1000,0)</f>
        <v>0</v>
      </c>
      <c r="AH18" s="174">
        <f>-SUMIF(MATRIZCTAS!$I$7:$I$1766,$C18&amp;AH$10,MATRIZCTAS!$AH$7:$AH$1766)-ROUND(SUMIF('Antecedentes Cuadros 6.05'!$A$40:$A$45,AH$10,'Antecedentes Cuadros 6.05'!$D$40:$D$45)/1000,0)</f>
        <v>0</v>
      </c>
      <c r="AI18" s="174">
        <f>-SUMIF(MATRIZCTAS!$I$7:$I$1766,$C18&amp;AI$10,MATRIZCTAS!$AH$7:$AH$1766)-ROUND(SUMIF('Antecedentes Cuadros 6.05'!$A$40:$A$45,AI$10,'Antecedentes Cuadros 6.05'!$D$40:$D$45)/1000,0)</f>
        <v>0</v>
      </c>
      <c r="AJ18" s="175">
        <f>-SUMIF(MATRIZCTAS!$I$7:$I$1766,$C18&amp;AJ$10,MATRIZCTAS!$AH$7:$AH$1766)-ROUND(SUMIF('Antecedentes Cuadros 6.05'!$A$40:$A$45,AJ$10,'Antecedentes Cuadros 6.05'!$D$40:$D$45)/1000,0)</f>
        <v>0</v>
      </c>
    </row>
    <row r="19" spans="2:36" ht="20.100000000000001" customHeight="1">
      <c r="B19" s="172"/>
      <c r="C19" s="173"/>
      <c r="D19" s="153"/>
      <c r="E19" s="896"/>
      <c r="F19" s="174"/>
      <c r="G19" s="174"/>
      <c r="H19" s="174"/>
      <c r="I19" s="174"/>
      <c r="J19" s="174"/>
      <c r="K19" s="174"/>
      <c r="L19" s="174"/>
      <c r="M19" s="174"/>
      <c r="N19" s="174"/>
      <c r="O19" s="174"/>
      <c r="P19" s="174"/>
      <c r="Q19" s="174"/>
      <c r="R19" s="174"/>
      <c r="S19" s="174"/>
      <c r="T19" s="174"/>
      <c r="U19" s="174"/>
      <c r="V19" s="174"/>
      <c r="W19" s="174"/>
      <c r="X19" s="174"/>
      <c r="Y19" s="174"/>
      <c r="Z19" s="174"/>
      <c r="AA19" s="174"/>
      <c r="AB19" s="174"/>
      <c r="AC19" s="174"/>
      <c r="AD19" s="174"/>
      <c r="AE19" s="174"/>
      <c r="AF19" s="174"/>
      <c r="AG19" s="174"/>
      <c r="AH19" s="174"/>
      <c r="AI19" s="409"/>
      <c r="AJ19" s="175"/>
    </row>
    <row r="20" spans="2:36" s="171" customFormat="1" ht="20.100000000000001" customHeight="1">
      <c r="B20" s="176" t="s">
        <v>3326</v>
      </c>
      <c r="C20" s="144">
        <v>6513000</v>
      </c>
      <c r="D20" s="145" t="s">
        <v>3327</v>
      </c>
      <c r="E20" s="897">
        <f>+E21-E22</f>
        <v>-2401949.6302660368</v>
      </c>
      <c r="F20" s="226">
        <f>ROUND(F21-F22,0)</f>
        <v>0</v>
      </c>
      <c r="G20" s="226">
        <f>ROUND(G21-G22,0)</f>
        <v>0</v>
      </c>
      <c r="H20" s="226">
        <f>ROUND(H21-H22,0)</f>
        <v>-2401950</v>
      </c>
      <c r="I20" s="226">
        <f t="shared" ref="I20:AJ20" si="5">ROUND(I21-I22,0)</f>
        <v>0</v>
      </c>
      <c r="J20" s="226">
        <f t="shared" si="5"/>
        <v>0</v>
      </c>
      <c r="K20" s="226">
        <f t="shared" si="5"/>
        <v>0</v>
      </c>
      <c r="L20" s="226">
        <f t="shared" si="5"/>
        <v>0</v>
      </c>
      <c r="M20" s="226">
        <f t="shared" si="5"/>
        <v>0</v>
      </c>
      <c r="N20" s="226">
        <f t="shared" si="5"/>
        <v>0</v>
      </c>
      <c r="O20" s="226">
        <f t="shared" si="5"/>
        <v>0</v>
      </c>
      <c r="P20" s="226">
        <f t="shared" si="5"/>
        <v>0</v>
      </c>
      <c r="Q20" s="226">
        <f t="shared" si="5"/>
        <v>0</v>
      </c>
      <c r="R20" s="226">
        <f t="shared" si="5"/>
        <v>0</v>
      </c>
      <c r="S20" s="226">
        <f t="shared" si="5"/>
        <v>0</v>
      </c>
      <c r="T20" s="226">
        <f t="shared" si="5"/>
        <v>0</v>
      </c>
      <c r="U20" s="226">
        <f t="shared" si="5"/>
        <v>0</v>
      </c>
      <c r="V20" s="226">
        <f t="shared" si="5"/>
        <v>0</v>
      </c>
      <c r="W20" s="226">
        <f t="shared" si="5"/>
        <v>0</v>
      </c>
      <c r="X20" s="226">
        <f t="shared" si="5"/>
        <v>0</v>
      </c>
      <c r="Y20" s="226">
        <f t="shared" si="5"/>
        <v>0</v>
      </c>
      <c r="Z20" s="226">
        <f t="shared" si="5"/>
        <v>0</v>
      </c>
      <c r="AA20" s="226">
        <f t="shared" si="5"/>
        <v>0</v>
      </c>
      <c r="AB20" s="226">
        <f t="shared" si="5"/>
        <v>0</v>
      </c>
      <c r="AC20" s="226">
        <f t="shared" si="5"/>
        <v>0</v>
      </c>
      <c r="AD20" s="226">
        <f t="shared" si="5"/>
        <v>0</v>
      </c>
      <c r="AE20" s="226">
        <f t="shared" si="5"/>
        <v>0</v>
      </c>
      <c r="AF20" s="226">
        <f>ROUND(AF21-AF22,0)</f>
        <v>0</v>
      </c>
      <c r="AG20" s="226">
        <f t="shared" si="5"/>
        <v>0</v>
      </c>
      <c r="AH20" s="226">
        <f t="shared" si="5"/>
        <v>0</v>
      </c>
      <c r="AI20" s="411">
        <f t="shared" si="5"/>
        <v>0</v>
      </c>
      <c r="AJ20" s="227">
        <f t="shared" si="5"/>
        <v>0</v>
      </c>
    </row>
    <row r="21" spans="2:36" ht="20.100000000000001" customHeight="1">
      <c r="B21" s="172" t="s">
        <v>3328</v>
      </c>
      <c r="C21" s="173">
        <v>6513100</v>
      </c>
      <c r="D21" s="153" t="s">
        <v>990</v>
      </c>
      <c r="E21" s="896">
        <f>SUM(F21:AJ21)</f>
        <v>30139766.369733963</v>
      </c>
      <c r="F21" s="228">
        <f>+((F49/$B$49)*$C$49)/1000</f>
        <v>0</v>
      </c>
      <c r="G21" s="228">
        <f t="shared" ref="G21:AJ21" si="6">+((G49/$B$49)*$C$49)/1000</f>
        <v>0</v>
      </c>
      <c r="H21" s="228">
        <f t="shared" si="6"/>
        <v>30139766.369733963</v>
      </c>
      <c r="I21" s="228">
        <f t="shared" si="6"/>
        <v>0</v>
      </c>
      <c r="J21" s="228">
        <f t="shared" si="6"/>
        <v>0</v>
      </c>
      <c r="K21" s="228">
        <f t="shared" si="6"/>
        <v>0</v>
      </c>
      <c r="L21" s="228">
        <f t="shared" si="6"/>
        <v>0</v>
      </c>
      <c r="M21" s="228">
        <f t="shared" si="6"/>
        <v>0</v>
      </c>
      <c r="N21" s="228">
        <f t="shared" si="6"/>
        <v>0</v>
      </c>
      <c r="O21" s="228">
        <f t="shared" si="6"/>
        <v>0</v>
      </c>
      <c r="P21" s="228">
        <f t="shared" si="6"/>
        <v>0</v>
      </c>
      <c r="Q21" s="228">
        <f t="shared" si="6"/>
        <v>0</v>
      </c>
      <c r="R21" s="228">
        <f t="shared" si="6"/>
        <v>0</v>
      </c>
      <c r="S21" s="228">
        <f t="shared" si="6"/>
        <v>0</v>
      </c>
      <c r="T21" s="228">
        <f t="shared" si="6"/>
        <v>0</v>
      </c>
      <c r="U21" s="228">
        <f t="shared" si="6"/>
        <v>0</v>
      </c>
      <c r="V21" s="228">
        <f t="shared" si="6"/>
        <v>0</v>
      </c>
      <c r="W21" s="228">
        <f t="shared" si="6"/>
        <v>0</v>
      </c>
      <c r="X21" s="228">
        <f t="shared" si="6"/>
        <v>0</v>
      </c>
      <c r="Y21" s="228">
        <f t="shared" si="6"/>
        <v>0</v>
      </c>
      <c r="Z21" s="228">
        <f t="shared" si="6"/>
        <v>0</v>
      </c>
      <c r="AA21" s="228">
        <f t="shared" si="6"/>
        <v>0</v>
      </c>
      <c r="AB21" s="228">
        <f t="shared" si="6"/>
        <v>0</v>
      </c>
      <c r="AC21" s="228">
        <f t="shared" si="6"/>
        <v>0</v>
      </c>
      <c r="AD21" s="228">
        <f t="shared" si="6"/>
        <v>0</v>
      </c>
      <c r="AE21" s="228">
        <f t="shared" si="6"/>
        <v>0</v>
      </c>
      <c r="AF21" s="228">
        <f t="shared" si="6"/>
        <v>0</v>
      </c>
      <c r="AG21" s="228">
        <f t="shared" si="6"/>
        <v>0</v>
      </c>
      <c r="AH21" s="228">
        <f t="shared" si="6"/>
        <v>0</v>
      </c>
      <c r="AI21" s="228">
        <f t="shared" si="6"/>
        <v>0</v>
      </c>
      <c r="AJ21" s="1179">
        <f t="shared" si="6"/>
        <v>0</v>
      </c>
    </row>
    <row r="22" spans="2:36" ht="20.100000000000001" customHeight="1">
      <c r="B22" s="172" t="s">
        <v>3329</v>
      </c>
      <c r="C22" s="1422">
        <v>6513200</v>
      </c>
      <c r="D22" s="153" t="s">
        <v>991</v>
      </c>
      <c r="E22" s="896">
        <f>SUM(F22:AJ22)</f>
        <v>32541716</v>
      </c>
      <c r="F22" s="174">
        <f>-SUMIF(MATRIZCTAS!$I$7:$I$1766,$C22&amp;F$10,MATRIZCTAS!$AH$7:$AH$1766)</f>
        <v>0</v>
      </c>
      <c r="G22" s="174">
        <f>-SUMIF(MATRIZCTAS!$I$7:$I$1766,$C22&amp;G$10,MATRIZCTAS!$AH$7:$AH$1766)</f>
        <v>0</v>
      </c>
      <c r="H22" s="174">
        <f>-SUMIF(MATRIZCTAS!$I$7:$I$1766,$C22&amp;H$10,MATRIZCTAS!$AH$7:$AH$1766)</f>
        <v>32541716</v>
      </c>
      <c r="I22" s="174">
        <f>-SUMIF(MATRIZCTAS!$I$7:$I$1766,$C22&amp;I$10,MATRIZCTAS!$AH$7:$AH$1766)</f>
        <v>0</v>
      </c>
      <c r="J22" s="174">
        <f>-SUMIF(MATRIZCTAS!$I$7:$I$1766,$C22&amp;J$10,MATRIZCTAS!$AH$7:$AH$1766)</f>
        <v>0</v>
      </c>
      <c r="K22" s="174">
        <f>-SUMIF(MATRIZCTAS!$I$7:$I$1766,$C22&amp;K$10,MATRIZCTAS!$AH$7:$AH$1766)</f>
        <v>0</v>
      </c>
      <c r="L22" s="174">
        <f>-SUMIF(MATRIZCTAS!$I$7:$I$1766,$C22&amp;L$10,MATRIZCTAS!$AH$7:$AH$1766)</f>
        <v>0</v>
      </c>
      <c r="M22" s="174">
        <f>-SUMIF(MATRIZCTAS!$I$7:$I$1766,$C22&amp;M$10,MATRIZCTAS!$AH$7:$AH$1766)</f>
        <v>0</v>
      </c>
      <c r="N22" s="174">
        <f>-SUMIF(MATRIZCTAS!$I$7:$I$1766,$C22&amp;N$10,MATRIZCTAS!$AH$7:$AH$1766)</f>
        <v>0</v>
      </c>
      <c r="O22" s="174">
        <f>-SUMIF(MATRIZCTAS!$I$7:$I$1766,$C22&amp;O$10,MATRIZCTAS!$AH$7:$AH$1766)</f>
        <v>0</v>
      </c>
      <c r="P22" s="174">
        <f>-SUMIF(MATRIZCTAS!$I$7:$I$1766,$C22&amp;P$10,MATRIZCTAS!$AH$7:$AH$1766)</f>
        <v>0</v>
      </c>
      <c r="Q22" s="174">
        <f>-SUMIF(MATRIZCTAS!$I$7:$I$1766,$C22&amp;Q$10,MATRIZCTAS!$AH$7:$AH$1766)</f>
        <v>0</v>
      </c>
      <c r="R22" s="174">
        <f>-SUMIF(MATRIZCTAS!$I$7:$I$1766,$C22&amp;R$10,MATRIZCTAS!$AH$7:$AH$1766)</f>
        <v>0</v>
      </c>
      <c r="S22" s="174">
        <f>-SUMIF(MATRIZCTAS!$I$7:$I$1766,$C22&amp;S$10,MATRIZCTAS!$AH$7:$AH$1766)</f>
        <v>0</v>
      </c>
      <c r="T22" s="174">
        <f>-SUMIF(MATRIZCTAS!$I$7:$I$1766,$C22&amp;T$10,MATRIZCTAS!$AH$7:$AH$1766)</f>
        <v>0</v>
      </c>
      <c r="U22" s="174">
        <f>-SUMIF(MATRIZCTAS!$I$7:$I$1766,$C22&amp;U$10,MATRIZCTAS!$AH$7:$AH$1766)</f>
        <v>0</v>
      </c>
      <c r="V22" s="174">
        <f>-SUMIF(MATRIZCTAS!$I$7:$I$1766,$C22&amp;V$10,MATRIZCTAS!$AH$7:$AH$1766)</f>
        <v>0</v>
      </c>
      <c r="W22" s="174">
        <f>-SUMIF(MATRIZCTAS!$I$7:$I$1766,$C22&amp;W$10,MATRIZCTAS!$AH$7:$AH$1766)</f>
        <v>0</v>
      </c>
      <c r="X22" s="174">
        <f>-SUMIF(MATRIZCTAS!$I$7:$I$1766,$C22&amp;X$10,MATRIZCTAS!$AH$7:$AH$1766)</f>
        <v>0</v>
      </c>
      <c r="Y22" s="174">
        <f>-SUMIF(MATRIZCTAS!$I$7:$I$1766,$C22&amp;Y$10,MATRIZCTAS!$AH$7:$AH$1766)</f>
        <v>0</v>
      </c>
      <c r="Z22" s="174">
        <f>-SUMIF(MATRIZCTAS!$I$7:$I$1766,$C22&amp;Z$10,MATRIZCTAS!$AH$7:$AH$1766)</f>
        <v>0</v>
      </c>
      <c r="AA22" s="174">
        <f>-SUMIF(MATRIZCTAS!$I$7:$I$1766,$C22&amp;AA$10,MATRIZCTAS!$AH$7:$AH$1766)</f>
        <v>0</v>
      </c>
      <c r="AB22" s="174">
        <f>-SUMIF(MATRIZCTAS!$I$7:$I$1766,$C22&amp;AB$10,MATRIZCTAS!$AH$7:$AH$1766)</f>
        <v>0</v>
      </c>
      <c r="AC22" s="174">
        <f>-SUMIF(MATRIZCTAS!$I$7:$I$1766,$C22&amp;AC$10,MATRIZCTAS!$AH$7:$AH$1766)</f>
        <v>0</v>
      </c>
      <c r="AD22" s="174">
        <f>-SUMIF(MATRIZCTAS!$I$7:$I$1766,$C22&amp;AD$10,MATRIZCTAS!$AH$7:$AH$1766)</f>
        <v>0</v>
      </c>
      <c r="AE22" s="174">
        <f>-SUMIF(MATRIZCTAS!$I$7:$I$1766,$C22&amp;AE$10,MATRIZCTAS!$AH$7:$AH$1766)</f>
        <v>0</v>
      </c>
      <c r="AF22" s="174">
        <f>-SUMIF(MATRIZCTAS!$I$7:$I$1766,$C22&amp;AF$10,MATRIZCTAS!$AH$7:$AH$1766)</f>
        <v>0</v>
      </c>
      <c r="AG22" s="174">
        <f>-SUMIF(MATRIZCTAS!$I$7:$I$1766,$C22&amp;AG$10,MATRIZCTAS!$AH$7:$AH$1766)</f>
        <v>0</v>
      </c>
      <c r="AH22" s="174">
        <f>-SUMIF(MATRIZCTAS!$I$7:$I$1766,$C22&amp;AH$10,MATRIZCTAS!$AH$7:$AH$1766)</f>
        <v>0</v>
      </c>
      <c r="AI22" s="174">
        <f>-SUMIF(MATRIZCTAS!$I$7:$I$1766,$C22&amp;AI$10,MATRIZCTAS!$AH$7:$AH$1766)</f>
        <v>0</v>
      </c>
      <c r="AJ22" s="175">
        <f>-SUMIF(MATRIZCTAS!$I$7:$I$1766,$C22&amp;AJ$10,MATRIZCTAS!$AH$7:$AH$1766)</f>
        <v>0</v>
      </c>
    </row>
    <row r="23" spans="2:36" ht="20.100000000000001" customHeight="1">
      <c r="B23" s="172"/>
      <c r="C23" s="173"/>
      <c r="D23" s="153"/>
      <c r="E23" s="896"/>
      <c r="F23" s="174"/>
      <c r="G23" s="174"/>
      <c r="H23" s="174"/>
      <c r="I23" s="174"/>
      <c r="J23" s="174"/>
      <c r="K23" s="174"/>
      <c r="L23" s="174"/>
      <c r="M23" s="174"/>
      <c r="N23" s="174"/>
      <c r="O23" s="174"/>
      <c r="P23" s="174"/>
      <c r="Q23" s="174"/>
      <c r="R23" s="174"/>
      <c r="S23" s="174"/>
      <c r="T23" s="174"/>
      <c r="U23" s="174"/>
      <c r="V23" s="174"/>
      <c r="W23" s="174"/>
      <c r="X23" s="174"/>
      <c r="Y23" s="174"/>
      <c r="Z23" s="174"/>
      <c r="AA23" s="174"/>
      <c r="AB23" s="174"/>
      <c r="AC23" s="174"/>
      <c r="AD23" s="174"/>
      <c r="AE23" s="174"/>
      <c r="AF23" s="174"/>
      <c r="AG23" s="174"/>
      <c r="AH23" s="174"/>
      <c r="AI23" s="409"/>
      <c r="AJ23" s="175"/>
    </row>
    <row r="24" spans="2:36" ht="20.100000000000001" customHeight="1">
      <c r="B24" s="176" t="s">
        <v>3330</v>
      </c>
      <c r="C24" s="144">
        <v>6514000</v>
      </c>
      <c r="D24" s="145" t="s">
        <v>3331</v>
      </c>
      <c r="E24" s="898"/>
      <c r="F24" s="231"/>
      <c r="G24" s="231"/>
      <c r="H24" s="231"/>
      <c r="I24" s="231"/>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c r="AI24" s="413"/>
      <c r="AJ24" s="232"/>
    </row>
    <row r="25" spans="2:36" s="171" customFormat="1" ht="20.100000000000001" customHeight="1">
      <c r="B25" s="172" t="s">
        <v>3332</v>
      </c>
      <c r="C25" s="173">
        <v>6514100</v>
      </c>
      <c r="D25" s="153" t="s">
        <v>3333</v>
      </c>
      <c r="E25" s="899">
        <f>SUM(F25:AJ25)</f>
        <v>0</v>
      </c>
      <c r="F25" s="233">
        <f t="shared" ref="F25:S25" si="7">+F38</f>
        <v>0</v>
      </c>
      <c r="G25" s="233">
        <f t="shared" si="7"/>
        <v>0</v>
      </c>
      <c r="H25" s="233">
        <f t="shared" si="7"/>
        <v>0</v>
      </c>
      <c r="I25" s="233">
        <f t="shared" si="7"/>
        <v>0</v>
      </c>
      <c r="J25" s="233">
        <f t="shared" si="7"/>
        <v>0</v>
      </c>
      <c r="K25" s="233">
        <f t="shared" si="7"/>
        <v>0</v>
      </c>
      <c r="L25" s="233">
        <f t="shared" si="7"/>
        <v>0</v>
      </c>
      <c r="M25" s="233">
        <f t="shared" si="7"/>
        <v>0</v>
      </c>
      <c r="N25" s="233">
        <f t="shared" si="7"/>
        <v>0</v>
      </c>
      <c r="O25" s="233">
        <f t="shared" si="7"/>
        <v>0</v>
      </c>
      <c r="P25" s="233">
        <f t="shared" si="7"/>
        <v>0</v>
      </c>
      <c r="Q25" s="233">
        <f t="shared" si="7"/>
        <v>0</v>
      </c>
      <c r="R25" s="233">
        <f t="shared" si="7"/>
        <v>0</v>
      </c>
      <c r="S25" s="233">
        <f t="shared" si="7"/>
        <v>0</v>
      </c>
      <c r="T25" s="233">
        <f t="shared" ref="T25:Z25" si="8">+T38</f>
        <v>0</v>
      </c>
      <c r="U25" s="233">
        <f t="shared" si="8"/>
        <v>0</v>
      </c>
      <c r="V25" s="233">
        <f t="shared" si="8"/>
        <v>0</v>
      </c>
      <c r="W25" s="233">
        <f t="shared" si="8"/>
        <v>0</v>
      </c>
      <c r="X25" s="233">
        <f t="shared" si="8"/>
        <v>0</v>
      </c>
      <c r="Y25" s="233">
        <f t="shared" si="8"/>
        <v>0</v>
      </c>
      <c r="Z25" s="233">
        <f t="shared" si="8"/>
        <v>0</v>
      </c>
      <c r="AA25" s="233">
        <f t="shared" ref="AA25:AJ25" si="9">+AA38</f>
        <v>0</v>
      </c>
      <c r="AB25" s="233">
        <f t="shared" si="9"/>
        <v>0</v>
      </c>
      <c r="AC25" s="233">
        <f t="shared" si="9"/>
        <v>0</v>
      </c>
      <c r="AD25" s="233">
        <f t="shared" si="9"/>
        <v>0</v>
      </c>
      <c r="AE25" s="233">
        <f t="shared" si="9"/>
        <v>0</v>
      </c>
      <c r="AF25" s="233">
        <f>+AF38</f>
        <v>0</v>
      </c>
      <c r="AG25" s="233">
        <f t="shared" si="9"/>
        <v>0</v>
      </c>
      <c r="AH25" s="233">
        <f t="shared" si="9"/>
        <v>0</v>
      </c>
      <c r="AI25" s="414">
        <f t="shared" si="9"/>
        <v>0</v>
      </c>
      <c r="AJ25" s="234">
        <f t="shared" si="9"/>
        <v>0</v>
      </c>
    </row>
    <row r="26" spans="2:36" s="171" customFormat="1" ht="20.100000000000001" customHeight="1">
      <c r="B26" s="172" t="s">
        <v>3334</v>
      </c>
      <c r="C26" s="173">
        <v>6514200</v>
      </c>
      <c r="D26" s="153" t="s">
        <v>3335</v>
      </c>
      <c r="E26" s="899"/>
      <c r="F26" s="233"/>
      <c r="G26" s="233"/>
      <c r="H26" s="233"/>
      <c r="I26" s="233"/>
      <c r="J26" s="233"/>
      <c r="K26" s="233"/>
      <c r="L26" s="233"/>
      <c r="M26" s="233"/>
      <c r="N26" s="233"/>
      <c r="O26" s="233"/>
      <c r="P26" s="233"/>
      <c r="Q26" s="233"/>
      <c r="R26" s="233"/>
      <c r="S26" s="233"/>
      <c r="T26" s="233"/>
      <c r="U26" s="233"/>
      <c r="V26" s="233"/>
      <c r="W26" s="233"/>
      <c r="X26" s="233"/>
      <c r="Y26" s="233"/>
      <c r="Z26" s="233"/>
      <c r="AA26" s="233"/>
      <c r="AB26" s="233"/>
      <c r="AC26" s="233"/>
      <c r="AD26" s="233"/>
      <c r="AE26" s="233"/>
      <c r="AF26" s="233"/>
      <c r="AG26" s="233"/>
      <c r="AH26" s="233"/>
      <c r="AI26" s="414"/>
      <c r="AJ26" s="234"/>
    </row>
    <row r="27" spans="2:36" s="171" customFormat="1" ht="20.100000000000001" customHeight="1" thickBot="1">
      <c r="B27" s="237"/>
      <c r="C27" s="1260"/>
      <c r="D27" s="239"/>
      <c r="E27" s="901"/>
      <c r="F27" s="240"/>
      <c r="G27" s="240"/>
      <c r="H27" s="240"/>
      <c r="I27" s="240"/>
      <c r="J27" s="240"/>
      <c r="K27" s="240"/>
      <c r="L27" s="240"/>
      <c r="M27" s="240"/>
      <c r="N27" s="240"/>
      <c r="O27" s="240"/>
      <c r="P27" s="240"/>
      <c r="Q27" s="240"/>
      <c r="R27" s="240"/>
      <c r="S27" s="240"/>
      <c r="T27" s="240"/>
      <c r="U27" s="240"/>
      <c r="V27" s="240"/>
      <c r="W27" s="240"/>
      <c r="X27" s="240"/>
      <c r="Y27" s="240"/>
      <c r="Z27" s="240"/>
      <c r="AA27" s="240"/>
      <c r="AB27" s="240"/>
      <c r="AC27" s="240"/>
      <c r="AD27" s="240"/>
      <c r="AE27" s="240"/>
      <c r="AF27" s="240"/>
      <c r="AG27" s="240"/>
      <c r="AH27" s="240"/>
      <c r="AI27" s="415"/>
      <c r="AJ27" s="241"/>
    </row>
    <row r="28" spans="2:36" s="171" customFormat="1" ht="14.25" customHeight="1" thickTop="1">
      <c r="B28" s="1261"/>
      <c r="C28" s="1262"/>
      <c r="D28" s="1263"/>
      <c r="E28" s="1178"/>
      <c r="F28" s="1264"/>
      <c r="G28" s="1264"/>
      <c r="H28" s="1264"/>
      <c r="I28" s="1264"/>
      <c r="J28" s="1264"/>
      <c r="K28" s="1264"/>
      <c r="L28" s="1264"/>
      <c r="M28" s="1264"/>
      <c r="N28" s="1264"/>
      <c r="O28" s="1264"/>
      <c r="P28" s="1264"/>
      <c r="Q28" s="1264"/>
      <c r="R28" s="1264"/>
      <c r="S28" s="1264"/>
      <c r="T28" s="1264"/>
      <c r="U28" s="1264"/>
      <c r="V28" s="1264"/>
      <c r="W28" s="1264"/>
      <c r="X28" s="1264"/>
      <c r="Y28" s="1264"/>
      <c r="Z28" s="1264"/>
      <c r="AA28" s="1264"/>
      <c r="AB28" s="1264"/>
      <c r="AC28" s="1264"/>
      <c r="AD28" s="1264"/>
      <c r="AE28" s="1264"/>
      <c r="AF28" s="1264"/>
      <c r="AG28" s="1264"/>
      <c r="AH28" s="1264"/>
      <c r="AI28" s="1264"/>
      <c r="AJ28" s="1264"/>
    </row>
    <row r="29" spans="2:36" s="171" customFormat="1" ht="13.5" customHeight="1">
      <c r="B29" s="41" t="s">
        <v>3456</v>
      </c>
      <c r="C29" s="1262"/>
      <c r="D29" s="1263"/>
      <c r="E29" s="1178"/>
      <c r="F29" s="1264"/>
      <c r="G29" s="1264"/>
      <c r="H29" s="1264"/>
      <c r="I29" s="1264"/>
      <c r="J29" s="1264"/>
      <c r="K29" s="1264"/>
      <c r="L29" s="1264"/>
      <c r="M29" s="1264"/>
      <c r="N29" s="1264"/>
      <c r="O29" s="1264"/>
      <c r="P29" s="1264"/>
      <c r="Q29" s="1264"/>
      <c r="R29" s="1264"/>
      <c r="S29" s="1264"/>
      <c r="T29" s="1264"/>
      <c r="U29" s="1264"/>
      <c r="V29" s="1264"/>
      <c r="W29" s="1264"/>
      <c r="X29" s="1264"/>
      <c r="Y29" s="1264"/>
      <c r="Z29" s="1264"/>
      <c r="AA29" s="1264"/>
      <c r="AB29" s="1264"/>
      <c r="AC29" s="1264"/>
      <c r="AD29" s="1264"/>
      <c r="AE29" s="1264"/>
      <c r="AF29" s="1264"/>
      <c r="AG29" s="1264"/>
      <c r="AH29" s="1264"/>
      <c r="AI29" s="1264"/>
      <c r="AJ29" s="1264"/>
    </row>
    <row r="30" spans="2:36" s="171" customFormat="1" ht="15" customHeight="1" thickBot="1">
      <c r="B30" s="1261"/>
      <c r="C30" s="1262"/>
      <c r="D30" s="1263"/>
      <c r="E30" s="1178"/>
      <c r="F30" s="1264"/>
      <c r="G30" s="1264"/>
      <c r="H30" s="1264"/>
      <c r="I30" s="1264"/>
      <c r="J30" s="1264"/>
      <c r="K30" s="1264"/>
      <c r="L30" s="1264"/>
      <c r="M30" s="1264"/>
      <c r="N30" s="1264"/>
      <c r="O30" s="1264"/>
      <c r="P30" s="1264"/>
      <c r="Q30" s="1264"/>
      <c r="R30" s="1264"/>
      <c r="S30" s="1264"/>
      <c r="T30" s="1264"/>
      <c r="U30" s="1264"/>
      <c r="V30" s="1264"/>
      <c r="W30" s="1264"/>
      <c r="X30" s="1264"/>
      <c r="Y30" s="1264"/>
      <c r="Z30" s="1264"/>
      <c r="AA30" s="1264"/>
      <c r="AB30" s="1264"/>
      <c r="AC30" s="1264"/>
      <c r="AD30" s="1264"/>
      <c r="AE30" s="1264"/>
      <c r="AF30" s="1264"/>
      <c r="AG30" s="1264"/>
      <c r="AH30" s="1264"/>
      <c r="AI30" s="1264"/>
      <c r="AJ30" s="1264"/>
    </row>
    <row r="31" spans="2:36" ht="20.100000000000001" customHeight="1">
      <c r="B31" s="1395" t="s">
        <v>3336</v>
      </c>
      <c r="C31" s="1416">
        <v>6521000</v>
      </c>
      <c r="D31" s="1310" t="s">
        <v>3337</v>
      </c>
      <c r="E31" s="1417"/>
      <c r="F31" s="1418"/>
      <c r="G31" s="1418"/>
      <c r="H31" s="1418"/>
      <c r="I31" s="1418"/>
      <c r="J31" s="1418"/>
      <c r="K31" s="1418"/>
      <c r="L31" s="1418"/>
      <c r="M31" s="1418"/>
      <c r="N31" s="1418"/>
      <c r="O31" s="1418"/>
      <c r="P31" s="1418"/>
      <c r="Q31" s="1418"/>
      <c r="R31" s="1418"/>
      <c r="S31" s="1418"/>
      <c r="T31" s="1418"/>
      <c r="U31" s="1418"/>
      <c r="V31" s="1418"/>
      <c r="W31" s="1418"/>
      <c r="X31" s="1418"/>
      <c r="Y31" s="1418"/>
      <c r="Z31" s="1418"/>
      <c r="AA31" s="1418"/>
      <c r="AB31" s="1418"/>
      <c r="AC31" s="1418"/>
      <c r="AD31" s="1418"/>
      <c r="AE31" s="1418"/>
      <c r="AF31" s="1418"/>
      <c r="AG31" s="1418"/>
      <c r="AH31" s="1418"/>
      <c r="AI31" s="1419"/>
      <c r="AJ31" s="1420"/>
    </row>
    <row r="32" spans="2:36" ht="20.100000000000001" customHeight="1">
      <c r="B32" s="172" t="s">
        <v>3338</v>
      </c>
      <c r="C32" s="235">
        <v>6521100</v>
      </c>
      <c r="D32" s="153" t="s">
        <v>3339</v>
      </c>
      <c r="E32" s="898"/>
      <c r="F32" s="231"/>
      <c r="G32" s="231"/>
      <c r="H32" s="231"/>
      <c r="I32" s="231"/>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c r="AI32" s="413"/>
      <c r="AJ32" s="232"/>
    </row>
    <row r="33" spans="2:255" ht="20.100000000000001" customHeight="1">
      <c r="B33" s="172" t="s">
        <v>3340</v>
      </c>
      <c r="C33" s="235">
        <v>6521200</v>
      </c>
      <c r="D33" s="153" t="s">
        <v>67</v>
      </c>
      <c r="E33" s="896"/>
      <c r="F33" s="174"/>
      <c r="G33" s="174"/>
      <c r="H33" s="174"/>
      <c r="I33" s="174"/>
      <c r="J33" s="174"/>
      <c r="K33" s="174"/>
      <c r="L33" s="174"/>
      <c r="M33" s="174"/>
      <c r="N33" s="174"/>
      <c r="O33" s="174"/>
      <c r="P33" s="174"/>
      <c r="Q33" s="174"/>
      <c r="R33" s="174"/>
      <c r="S33" s="174"/>
      <c r="T33" s="174"/>
      <c r="U33" s="174"/>
      <c r="V33" s="174"/>
      <c r="W33" s="174"/>
      <c r="X33" s="174"/>
      <c r="Y33" s="174"/>
      <c r="Z33" s="174"/>
      <c r="AA33" s="174"/>
      <c r="AB33" s="174"/>
      <c r="AC33" s="174"/>
      <c r="AD33" s="174"/>
      <c r="AE33" s="174"/>
      <c r="AF33" s="174"/>
      <c r="AG33" s="174"/>
      <c r="AH33" s="174"/>
      <c r="AI33" s="409"/>
      <c r="AJ33" s="175"/>
    </row>
    <row r="34" spans="2:255" s="171" customFormat="1" ht="20.100000000000001" customHeight="1">
      <c r="B34" s="172"/>
      <c r="C34" s="173"/>
      <c r="D34" s="153"/>
      <c r="E34" s="900"/>
      <c r="F34" s="229"/>
      <c r="G34" s="229"/>
      <c r="H34" s="229"/>
      <c r="I34" s="229"/>
      <c r="J34" s="229"/>
      <c r="K34" s="229"/>
      <c r="L34" s="229"/>
      <c r="M34" s="229"/>
      <c r="N34" s="229"/>
      <c r="O34" s="229"/>
      <c r="P34" s="229"/>
      <c r="Q34" s="229"/>
      <c r="R34" s="229"/>
      <c r="S34" s="229"/>
      <c r="T34" s="229"/>
      <c r="U34" s="229"/>
      <c r="V34" s="229"/>
      <c r="W34" s="229"/>
      <c r="X34" s="229"/>
      <c r="Y34" s="229"/>
      <c r="Z34" s="229"/>
      <c r="AA34" s="229"/>
      <c r="AB34" s="229"/>
      <c r="AC34" s="229"/>
      <c r="AD34" s="229"/>
      <c r="AE34" s="229"/>
      <c r="AF34" s="229"/>
      <c r="AG34" s="229"/>
      <c r="AH34" s="229"/>
      <c r="AI34" s="412"/>
      <c r="AJ34" s="230"/>
    </row>
    <row r="35" spans="2:255" ht="20.100000000000001" customHeight="1">
      <c r="B35" s="176" t="s">
        <v>3341</v>
      </c>
      <c r="C35" s="144">
        <v>6522000</v>
      </c>
      <c r="D35" s="145" t="s">
        <v>3342</v>
      </c>
      <c r="E35" s="898"/>
      <c r="F35" s="231"/>
      <c r="G35" s="231"/>
      <c r="H35" s="231"/>
      <c r="I35" s="23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413"/>
      <c r="AJ35" s="232"/>
    </row>
    <row r="36" spans="2:255" ht="20.100000000000001" customHeight="1">
      <c r="B36" s="172"/>
      <c r="C36" s="173"/>
      <c r="D36" s="153"/>
      <c r="E36" s="898"/>
      <c r="F36" s="231"/>
      <c r="G36" s="231"/>
      <c r="H36" s="231"/>
      <c r="I36" s="23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c r="AI36" s="413"/>
      <c r="AJ36" s="232"/>
    </row>
    <row r="37" spans="2:255" ht="20.100000000000001" customHeight="1">
      <c r="B37" s="176" t="s">
        <v>3343</v>
      </c>
      <c r="C37" s="144">
        <v>6523000</v>
      </c>
      <c r="D37" s="145" t="s">
        <v>1102</v>
      </c>
      <c r="E37" s="896"/>
      <c r="F37" s="174"/>
      <c r="G37" s="174"/>
      <c r="H37" s="174"/>
      <c r="I37" s="174"/>
      <c r="J37" s="174"/>
      <c r="K37" s="174"/>
      <c r="L37" s="174"/>
      <c r="M37" s="174"/>
      <c r="N37" s="174"/>
      <c r="O37" s="174"/>
      <c r="P37" s="174"/>
      <c r="Q37" s="174"/>
      <c r="R37" s="174"/>
      <c r="S37" s="174"/>
      <c r="T37" s="174"/>
      <c r="U37" s="174"/>
      <c r="V37" s="174"/>
      <c r="W37" s="174"/>
      <c r="X37" s="174"/>
      <c r="Y37" s="174"/>
      <c r="Z37" s="174"/>
      <c r="AA37" s="174"/>
      <c r="AB37" s="174"/>
      <c r="AC37" s="174"/>
      <c r="AD37" s="174"/>
      <c r="AE37" s="174"/>
      <c r="AF37" s="174"/>
      <c r="AG37" s="174"/>
      <c r="AH37" s="174"/>
      <c r="AI37" s="409"/>
      <c r="AJ37" s="175"/>
    </row>
    <row r="38" spans="2:255" s="171" customFormat="1" ht="20.100000000000001" customHeight="1">
      <c r="B38" s="172" t="s">
        <v>3344</v>
      </c>
      <c r="C38" s="235">
        <v>6523100</v>
      </c>
      <c r="D38" s="153" t="s">
        <v>1573</v>
      </c>
      <c r="E38" s="897"/>
      <c r="F38" s="226"/>
      <c r="G38" s="226"/>
      <c r="H38" s="226"/>
      <c r="I38" s="226"/>
      <c r="J38" s="226"/>
      <c r="K38" s="226"/>
      <c r="L38" s="226"/>
      <c r="M38" s="226"/>
      <c r="N38" s="226"/>
      <c r="O38" s="226"/>
      <c r="P38" s="226"/>
      <c r="Q38" s="226"/>
      <c r="R38" s="226"/>
      <c r="S38" s="226"/>
      <c r="T38" s="226"/>
      <c r="U38" s="226"/>
      <c r="V38" s="226"/>
      <c r="W38" s="226"/>
      <c r="X38" s="226"/>
      <c r="Y38" s="226"/>
      <c r="Z38" s="226"/>
      <c r="AA38" s="226"/>
      <c r="AB38" s="226"/>
      <c r="AC38" s="226"/>
      <c r="AD38" s="226"/>
      <c r="AE38" s="226"/>
      <c r="AF38" s="226"/>
      <c r="AG38" s="226"/>
      <c r="AH38" s="226"/>
      <c r="AI38" s="411"/>
      <c r="AJ38" s="227"/>
      <c r="AK38" s="236"/>
    </row>
    <row r="39" spans="2:255" ht="20.100000000000001" customHeight="1" thickBot="1">
      <c r="B39" s="237" t="s">
        <v>3345</v>
      </c>
      <c r="C39" s="238">
        <v>6523200</v>
      </c>
      <c r="D39" s="239" t="s">
        <v>1574</v>
      </c>
      <c r="E39" s="901">
        <f>SUM(F39:AJ39)</f>
        <v>0</v>
      </c>
      <c r="F39" s="240">
        <f>-SUMIF('MATRIZCTAS(a)'!$I$7:$I$1456,$C39&amp;F$10,'MATRIZCTAS(a)'!$AH$7:$AH$1456)</f>
        <v>0</v>
      </c>
      <c r="G39" s="240">
        <f>-SUMIF('MATRIZCTAS(a)'!$I$7:$I$1456,$C39&amp;G$10,'MATRIZCTAS(a)'!$AH$7:$AH$1456)</f>
        <v>0</v>
      </c>
      <c r="H39" s="240">
        <f>-SUMIF('MATRIZCTAS(a)'!$I$7:$I$1456,$C39&amp;H$10,'MATRIZCTAS(a)'!$AH$7:$AH$1456)</f>
        <v>0</v>
      </c>
      <c r="I39" s="240">
        <f>-SUMIF('MATRIZCTAS(a)'!$I$7:$I$1456,$C39&amp;I$10,'MATRIZCTAS(a)'!$AH$7:$AH$1456)</f>
        <v>0</v>
      </c>
      <c r="J39" s="240">
        <f>-SUMIF('MATRIZCTAS(a)'!$I$7:$I$1456,$C39&amp;J$10,'MATRIZCTAS(a)'!$AH$7:$AH$1456)</f>
        <v>0</v>
      </c>
      <c r="K39" s="240">
        <f>-SUMIF('MATRIZCTAS(a)'!$I$7:$I$1456,$C39&amp;K$10,'MATRIZCTAS(a)'!$AH$7:$AH$1456)</f>
        <v>0</v>
      </c>
      <c r="L39" s="240">
        <f>-SUMIF('MATRIZCTAS(a)'!$I$7:$I$1456,$C39&amp;L$10,'MATRIZCTAS(a)'!$AH$7:$AH$1456)</f>
        <v>0</v>
      </c>
      <c r="M39" s="240">
        <f>-SUMIF('MATRIZCTAS(a)'!$I$7:$I$1456,$C39&amp;M$10,'MATRIZCTAS(a)'!$AH$7:$AH$1456)</f>
        <v>0</v>
      </c>
      <c r="N39" s="240">
        <f>-SUMIF('MATRIZCTAS(a)'!$I$7:$I$1456,$C39&amp;N$10,'MATRIZCTAS(a)'!$AH$7:$AH$1456)</f>
        <v>0</v>
      </c>
      <c r="O39" s="240">
        <f>-SUMIF('MATRIZCTAS(a)'!$I$7:$I$1456,$C39&amp;O$10,'MATRIZCTAS(a)'!$AH$7:$AH$1456)</f>
        <v>0</v>
      </c>
      <c r="P39" s="240">
        <f>-SUMIF('MATRIZCTAS(a)'!$I$7:$I$1456,$C39&amp;P$10,'MATRIZCTAS(a)'!$AH$7:$AH$1456)</f>
        <v>0</v>
      </c>
      <c r="Q39" s="240">
        <f>-SUMIF('MATRIZCTAS(a)'!$I$7:$I$1456,$C39&amp;Q$10,'MATRIZCTAS(a)'!$AH$7:$AH$1456)</f>
        <v>0</v>
      </c>
      <c r="R39" s="240">
        <f>-SUMIF('MATRIZCTAS(a)'!$I$7:$I$1456,$C39&amp;R$10,'MATRIZCTAS(a)'!$AH$7:$AH$1456)</f>
        <v>0</v>
      </c>
      <c r="S39" s="240">
        <f>-SUMIF('MATRIZCTAS(a)'!$I$7:$I$1456,$C39&amp;S$10,'MATRIZCTAS(a)'!$AH$7:$AH$1456)</f>
        <v>0</v>
      </c>
      <c r="T39" s="240">
        <f>-SUMIF('MATRIZCTAS(a)'!$I$7:$I$1456,$C39&amp;T$10,'MATRIZCTAS(a)'!$AH$7:$AH$1456)</f>
        <v>0</v>
      </c>
      <c r="U39" s="240">
        <f>-SUMIF('MATRIZCTAS(a)'!$I$7:$I$1456,$C39&amp;U$10,'MATRIZCTAS(a)'!$AH$7:$AH$1456)</f>
        <v>0</v>
      </c>
      <c r="V39" s="240">
        <f>-SUMIF('MATRIZCTAS(a)'!$I$7:$I$1456,$C39&amp;V$10,'MATRIZCTAS(a)'!$AH$7:$AH$1456)</f>
        <v>0</v>
      </c>
      <c r="W39" s="240">
        <f>-SUMIF('MATRIZCTAS(a)'!$I$7:$I$1456,$C39&amp;W$10,'MATRIZCTAS(a)'!$AH$7:$AH$1456)</f>
        <v>0</v>
      </c>
      <c r="X39" s="240">
        <f>-SUMIF('MATRIZCTAS(a)'!$I$7:$I$1456,$C39&amp;X$10,'MATRIZCTAS(a)'!$AH$7:$AH$1456)</f>
        <v>0</v>
      </c>
      <c r="Y39" s="240">
        <f>-SUMIF('MATRIZCTAS(a)'!$I$7:$I$1456,$C39&amp;Y$10,'MATRIZCTAS(a)'!$AH$7:$AH$1456)</f>
        <v>0</v>
      </c>
      <c r="Z39" s="240">
        <f>-SUMIF('MATRIZCTAS(a)'!$I$7:$I$1456,$C39&amp;Z$10,'MATRIZCTAS(a)'!$AH$7:$AH$1456)</f>
        <v>0</v>
      </c>
      <c r="AA39" s="240">
        <f>-SUMIF('MATRIZCTAS(a)'!$I$7:$I$1456,$C39&amp;AA$10,'MATRIZCTAS(a)'!$AH$7:$AH$1456)</f>
        <v>0</v>
      </c>
      <c r="AB39" s="240">
        <f>-SUMIF('MATRIZCTAS(a)'!$I$7:$I$1456,$C39&amp;AB$10,'MATRIZCTAS(a)'!$AH$7:$AH$1456)</f>
        <v>0</v>
      </c>
      <c r="AC39" s="240">
        <f>-SUMIF('MATRIZCTAS(a)'!$I$7:$I$1456,$C39&amp;AC$10,'MATRIZCTAS(a)'!$AH$7:$AH$1456)</f>
        <v>0</v>
      </c>
      <c r="AD39" s="240">
        <f>-SUMIF('MATRIZCTAS(a)'!$I$7:$I$1456,$C39&amp;AD$10,'MATRIZCTAS(a)'!$AH$7:$AH$1456)</f>
        <v>0</v>
      </c>
      <c r="AE39" s="240">
        <f>-SUMIF('MATRIZCTAS(a)'!$I$7:$I$1456,$C39&amp;AE$10,'MATRIZCTAS(a)'!$AH$7:$AH$1456)</f>
        <v>0</v>
      </c>
      <c r="AF39" s="240">
        <f>-SUMIF('MATRIZCTAS(a)'!$I$7:$I$1456,$C39&amp;AF$10,'MATRIZCTAS(a)'!$AH$7:$AH$1456)</f>
        <v>0</v>
      </c>
      <c r="AG39" s="240">
        <f>-SUMIF('MATRIZCTAS(a)'!$I$7:$I$1456,$C39&amp;AG$10,'MATRIZCTAS(a)'!$AH$7:$AH$1456)</f>
        <v>0</v>
      </c>
      <c r="AH39" s="240">
        <f>-SUMIF('MATRIZCTAS(a)'!$I$7:$I$1456,$C39&amp;AH$10,'MATRIZCTAS(a)'!$AH$7:$AH$1456)</f>
        <v>0</v>
      </c>
      <c r="AI39" s="415">
        <f>-SUMIF('MATRIZCTAS(a)'!$I$7:$I$1456,$C39&amp;AI$10,'MATRIZCTAS(a)'!$AH$7:$AH$1456)</f>
        <v>0</v>
      </c>
      <c r="AJ39" s="241">
        <f>-SUMIF('MATRIZCTAS(a)'!$I$7:$I$1456,$C39&amp;AJ$10,'MATRIZCTAS(a)'!$AH$7:$AH$1456)</f>
        <v>0</v>
      </c>
    </row>
    <row r="40" spans="2:255" ht="9.75" thickTop="1">
      <c r="C40" s="242"/>
      <c r="D40" s="242"/>
      <c r="E40" s="243"/>
      <c r="F40" s="243"/>
      <c r="G40" s="243"/>
      <c r="H40" s="243"/>
      <c r="I40" s="243"/>
      <c r="J40" s="243"/>
      <c r="K40" s="243"/>
      <c r="L40" s="243"/>
      <c r="M40" s="243"/>
      <c r="N40" s="243"/>
      <c r="O40" s="243"/>
      <c r="P40" s="243"/>
      <c r="Q40" s="243"/>
      <c r="R40" s="243"/>
      <c r="S40" s="243"/>
      <c r="T40" s="243"/>
      <c r="U40" s="243"/>
      <c r="V40" s="243"/>
      <c r="W40" s="243"/>
      <c r="X40" s="243"/>
      <c r="Y40" s="243"/>
      <c r="Z40" s="243"/>
      <c r="AA40" s="243"/>
      <c r="AB40" s="243"/>
      <c r="AC40" s="243"/>
      <c r="AD40" s="243"/>
      <c r="AE40" s="243"/>
      <c r="AF40" s="244"/>
      <c r="AG40" s="244"/>
      <c r="AH40" s="244"/>
      <c r="AI40" s="244"/>
      <c r="AJ40" s="244"/>
      <c r="AK40" s="242"/>
      <c r="AL40" s="242"/>
      <c r="AM40" s="242"/>
      <c r="AN40" s="242"/>
      <c r="AO40" s="242"/>
      <c r="AP40" s="242"/>
      <c r="AQ40" s="242"/>
      <c r="AR40" s="242"/>
      <c r="AS40" s="242"/>
      <c r="AT40" s="242"/>
      <c r="AU40" s="242"/>
      <c r="AV40" s="242"/>
      <c r="AW40" s="242"/>
      <c r="AX40" s="242"/>
      <c r="AY40" s="242"/>
      <c r="AZ40" s="242"/>
      <c r="BA40" s="242"/>
      <c r="BB40" s="242"/>
      <c r="BC40" s="242"/>
      <c r="BD40" s="242"/>
      <c r="BE40" s="242"/>
      <c r="BF40" s="242"/>
      <c r="BG40" s="242"/>
      <c r="BH40" s="242"/>
      <c r="BI40" s="242"/>
      <c r="BJ40" s="242"/>
      <c r="BK40" s="242"/>
      <c r="BL40" s="242"/>
      <c r="BM40" s="242"/>
      <c r="BN40" s="242"/>
      <c r="BO40" s="242"/>
      <c r="BP40" s="242"/>
      <c r="BQ40" s="242"/>
      <c r="BR40" s="242"/>
      <c r="BS40" s="242"/>
      <c r="BT40" s="242"/>
      <c r="BU40" s="242"/>
      <c r="BV40" s="242"/>
      <c r="BW40" s="242"/>
      <c r="BX40" s="242"/>
      <c r="BY40" s="242"/>
      <c r="BZ40" s="242"/>
      <c r="CA40" s="242"/>
      <c r="CB40" s="242"/>
      <c r="CC40" s="242"/>
      <c r="CD40" s="242"/>
      <c r="CE40" s="242"/>
      <c r="CF40" s="242"/>
      <c r="CG40" s="242"/>
      <c r="CH40" s="242"/>
      <c r="CI40" s="242"/>
      <c r="CJ40" s="242"/>
      <c r="CK40" s="242"/>
      <c r="CL40" s="242"/>
      <c r="CM40" s="242"/>
      <c r="CN40" s="242"/>
      <c r="CO40" s="242"/>
      <c r="CP40" s="242"/>
      <c r="CQ40" s="242"/>
      <c r="CR40" s="242"/>
      <c r="CS40" s="242"/>
      <c r="CT40" s="242"/>
      <c r="CU40" s="242"/>
      <c r="CV40" s="242"/>
      <c r="CW40" s="242"/>
      <c r="CX40" s="242"/>
      <c r="CY40" s="242"/>
      <c r="CZ40" s="242"/>
      <c r="DA40" s="242"/>
      <c r="DB40" s="242"/>
      <c r="DC40" s="242"/>
      <c r="DD40" s="242"/>
      <c r="DE40" s="242"/>
      <c r="DF40" s="242"/>
      <c r="DG40" s="242"/>
      <c r="DH40" s="242"/>
      <c r="DI40" s="242"/>
      <c r="DJ40" s="242"/>
      <c r="DK40" s="242"/>
      <c r="DL40" s="242"/>
      <c r="DM40" s="242"/>
      <c r="DN40" s="242"/>
      <c r="DO40" s="242"/>
      <c r="DP40" s="242"/>
      <c r="DQ40" s="242"/>
      <c r="DR40" s="242"/>
      <c r="DS40" s="242"/>
      <c r="DT40" s="242"/>
      <c r="DU40" s="242"/>
      <c r="DV40" s="242"/>
      <c r="DW40" s="242"/>
      <c r="DX40" s="242"/>
      <c r="DY40" s="242"/>
      <c r="DZ40" s="242"/>
      <c r="EA40" s="242"/>
      <c r="EB40" s="242"/>
      <c r="EC40" s="242"/>
      <c r="ED40" s="242"/>
      <c r="EE40" s="242"/>
      <c r="EF40" s="242"/>
      <c r="EG40" s="242"/>
      <c r="EH40" s="242"/>
      <c r="EI40" s="242"/>
      <c r="EJ40" s="242"/>
      <c r="EK40" s="242"/>
      <c r="EL40" s="242"/>
      <c r="EM40" s="242"/>
      <c r="EN40" s="242"/>
      <c r="EO40" s="242"/>
      <c r="EP40" s="242"/>
      <c r="EQ40" s="242"/>
      <c r="ER40" s="242"/>
      <c r="ES40" s="242"/>
      <c r="ET40" s="242"/>
      <c r="EU40" s="242"/>
      <c r="EV40" s="242"/>
      <c r="EW40" s="242"/>
      <c r="EX40" s="242"/>
      <c r="EY40" s="242"/>
      <c r="EZ40" s="242"/>
      <c r="FA40" s="242"/>
      <c r="FB40" s="242"/>
      <c r="FC40" s="242"/>
      <c r="FD40" s="242"/>
      <c r="FE40" s="242"/>
      <c r="FF40" s="242"/>
      <c r="FG40" s="242"/>
      <c r="FH40" s="242"/>
      <c r="FI40" s="242"/>
      <c r="FJ40" s="242"/>
      <c r="FK40" s="242"/>
      <c r="FL40" s="242"/>
      <c r="FM40" s="242"/>
      <c r="FN40" s="242"/>
      <c r="FO40" s="242"/>
      <c r="FP40" s="242"/>
      <c r="FQ40" s="242"/>
      <c r="FR40" s="242"/>
      <c r="FS40" s="242"/>
      <c r="FT40" s="242"/>
      <c r="FU40" s="242"/>
      <c r="FV40" s="242"/>
      <c r="FW40" s="242"/>
      <c r="FX40" s="242"/>
      <c r="FY40" s="242"/>
      <c r="FZ40" s="242"/>
      <c r="GA40" s="242"/>
      <c r="GB40" s="242"/>
      <c r="GC40" s="242"/>
      <c r="GD40" s="242"/>
      <c r="GE40" s="242"/>
      <c r="GF40" s="242"/>
      <c r="GG40" s="242"/>
      <c r="GH40" s="242"/>
      <c r="GI40" s="242"/>
      <c r="GJ40" s="242"/>
      <c r="GK40" s="242"/>
      <c r="GL40" s="242"/>
      <c r="GM40" s="242"/>
      <c r="GN40" s="242"/>
      <c r="GO40" s="242"/>
      <c r="GP40" s="242"/>
      <c r="GQ40" s="242"/>
      <c r="GR40" s="242"/>
      <c r="GS40" s="242"/>
      <c r="GT40" s="242"/>
      <c r="GU40" s="242"/>
      <c r="GV40" s="242"/>
      <c r="GW40" s="242"/>
      <c r="GX40" s="242"/>
      <c r="GY40" s="242"/>
      <c r="GZ40" s="242"/>
      <c r="HA40" s="242"/>
      <c r="HB40" s="242"/>
      <c r="HC40" s="242"/>
      <c r="HD40" s="242"/>
      <c r="HE40" s="242"/>
      <c r="HF40" s="242"/>
      <c r="HG40" s="242"/>
      <c r="HH40" s="242"/>
      <c r="HI40" s="242"/>
      <c r="HJ40" s="242"/>
      <c r="HK40" s="242"/>
      <c r="HL40" s="242"/>
      <c r="HM40" s="242"/>
      <c r="HN40" s="242"/>
      <c r="HO40" s="242"/>
      <c r="HP40" s="242"/>
      <c r="HQ40" s="242"/>
      <c r="HR40" s="242"/>
      <c r="HS40" s="242"/>
      <c r="HT40" s="242"/>
      <c r="HU40" s="242"/>
      <c r="HV40" s="242"/>
      <c r="HW40" s="242"/>
      <c r="HX40" s="242"/>
      <c r="HY40" s="242"/>
      <c r="HZ40" s="242"/>
      <c r="IA40" s="242"/>
      <c r="IB40" s="242"/>
      <c r="IC40" s="242"/>
      <c r="ID40" s="242"/>
      <c r="IE40" s="242"/>
      <c r="IF40" s="242"/>
      <c r="IG40" s="242"/>
      <c r="IH40" s="242"/>
      <c r="II40" s="242"/>
      <c r="IJ40" s="242"/>
      <c r="IK40" s="242"/>
      <c r="IL40" s="242"/>
      <c r="IM40" s="242"/>
      <c r="IN40" s="242"/>
      <c r="IO40" s="242"/>
      <c r="IP40" s="242"/>
      <c r="IQ40" s="242"/>
      <c r="IR40" s="242"/>
      <c r="IS40" s="242"/>
      <c r="IT40" s="242"/>
      <c r="IU40" s="242"/>
    </row>
    <row r="41" spans="2:255">
      <c r="D41" s="166" t="s">
        <v>2982</v>
      </c>
      <c r="E41" s="896">
        <f>SUM(F41:AJ41)</f>
        <v>-174746</v>
      </c>
      <c r="F41" s="245">
        <f>-365-1</f>
        <v>-366</v>
      </c>
      <c r="G41" s="245">
        <v>-2173</v>
      </c>
      <c r="H41" s="245">
        <v>-7970</v>
      </c>
      <c r="I41" s="245">
        <v>-362</v>
      </c>
      <c r="J41" s="245">
        <v>0</v>
      </c>
      <c r="K41" s="245">
        <v>0</v>
      </c>
      <c r="L41" s="245">
        <v>0</v>
      </c>
      <c r="M41" s="245">
        <v>0</v>
      </c>
      <c r="N41" s="245">
        <v>-44164</v>
      </c>
      <c r="O41" s="245">
        <v>-3035</v>
      </c>
      <c r="P41" s="245">
        <v>0</v>
      </c>
      <c r="Q41" s="245">
        <v>-109</v>
      </c>
      <c r="R41" s="245">
        <v>-491</v>
      </c>
      <c r="S41" s="245">
        <v>0</v>
      </c>
      <c r="T41" s="245">
        <f>-56726-32688</f>
        <v>-89414</v>
      </c>
      <c r="U41" s="245">
        <v>0</v>
      </c>
      <c r="V41" s="245">
        <v>0</v>
      </c>
      <c r="W41" s="245">
        <v>0</v>
      </c>
      <c r="X41" s="245">
        <v>0</v>
      </c>
      <c r="Y41" s="245">
        <v>0</v>
      </c>
      <c r="Z41" s="245">
        <v>0</v>
      </c>
      <c r="AA41" s="245">
        <f>-10049</f>
        <v>-10049</v>
      </c>
      <c r="AB41" s="245">
        <f>-1503-23</f>
        <v>-1526</v>
      </c>
      <c r="AC41" s="245"/>
      <c r="AD41" s="245">
        <f>-6-198-13049-1834</f>
        <v>-15087</v>
      </c>
      <c r="AE41" s="245"/>
      <c r="AF41" s="245"/>
      <c r="AG41" s="245"/>
      <c r="AH41" s="245"/>
      <c r="AI41" s="245"/>
      <c r="AJ41" s="245"/>
    </row>
    <row r="42" spans="2:255">
      <c r="D42" s="166" t="s">
        <v>2983</v>
      </c>
      <c r="E42" s="896">
        <f>SUM(F42:AJ42)</f>
        <v>-446261</v>
      </c>
      <c r="F42" s="245">
        <f>-102655</f>
        <v>-102655</v>
      </c>
      <c r="G42" s="245">
        <f>(-249252-36166)</f>
        <v>-285418</v>
      </c>
      <c r="H42" s="245"/>
      <c r="I42" s="245">
        <f>-29590</f>
        <v>-29590</v>
      </c>
      <c r="J42" s="245"/>
      <c r="K42" s="245"/>
      <c r="L42" s="245"/>
      <c r="M42" s="245"/>
      <c r="N42" s="245"/>
      <c r="O42" s="245"/>
      <c r="P42" s="245"/>
      <c r="Q42" s="245">
        <f>-36166+36166</f>
        <v>0</v>
      </c>
      <c r="R42" s="245"/>
      <c r="S42" s="245"/>
      <c r="T42" s="245"/>
      <c r="U42" s="245"/>
      <c r="V42" s="245"/>
      <c r="W42" s="245"/>
      <c r="X42" s="245"/>
      <c r="Y42" s="245"/>
      <c r="Z42" s="245"/>
      <c r="AA42" s="245"/>
      <c r="AB42" s="245"/>
      <c r="AC42" s="245"/>
      <c r="AD42" s="245">
        <f>-28598</f>
        <v>-28598</v>
      </c>
      <c r="AE42" s="245"/>
      <c r="AF42" s="245"/>
      <c r="AG42" s="245"/>
      <c r="AH42" s="245"/>
      <c r="AI42" s="245"/>
      <c r="AJ42" s="245"/>
    </row>
    <row r="43" spans="2:255">
      <c r="E43" s="1178"/>
      <c r="F43" s="245"/>
      <c r="G43" s="245"/>
      <c r="H43" s="245"/>
      <c r="I43" s="245"/>
      <c r="J43" s="245"/>
      <c r="K43" s="245"/>
      <c r="L43" s="245"/>
      <c r="M43" s="245"/>
      <c r="N43" s="245"/>
      <c r="O43" s="245"/>
      <c r="P43" s="245"/>
      <c r="Q43" s="245"/>
      <c r="R43" s="245"/>
      <c r="S43" s="245"/>
      <c r="T43" s="245"/>
      <c r="U43" s="245"/>
      <c r="V43" s="245"/>
      <c r="W43" s="245"/>
      <c r="X43" s="245"/>
      <c r="Y43" s="245"/>
      <c r="Z43" s="245"/>
      <c r="AA43" s="245"/>
      <c r="AB43" s="245"/>
      <c r="AC43" s="245"/>
      <c r="AD43" s="245"/>
      <c r="AE43" s="245"/>
      <c r="AF43" s="245"/>
      <c r="AG43" s="245"/>
      <c r="AH43" s="245"/>
      <c r="AI43" s="245"/>
      <c r="AJ43" s="245"/>
    </row>
    <row r="44" spans="2:255" ht="9.75" thickBot="1">
      <c r="B44" s="1451">
        <v>41244</v>
      </c>
      <c r="C44" s="1451">
        <v>41061</v>
      </c>
      <c r="E44" s="245"/>
      <c r="F44" s="245"/>
      <c r="G44" s="245"/>
      <c r="H44" s="245"/>
      <c r="I44" s="245"/>
      <c r="J44" s="245"/>
      <c r="K44" s="245"/>
      <c r="L44" s="245"/>
      <c r="M44" s="245"/>
      <c r="N44" s="245"/>
      <c r="O44" s="245"/>
      <c r="P44" s="245"/>
      <c r="Q44" s="245"/>
      <c r="R44" s="245"/>
      <c r="S44" s="245"/>
      <c r="T44" s="245"/>
      <c r="U44" s="245"/>
      <c r="V44" s="245"/>
      <c r="W44" s="245"/>
      <c r="X44" s="245"/>
      <c r="Y44" s="245"/>
      <c r="Z44" s="245"/>
      <c r="AA44" s="245"/>
      <c r="AB44" s="245"/>
      <c r="AC44" s="245"/>
      <c r="AD44" s="245"/>
      <c r="AE44" s="245"/>
      <c r="AF44" s="245"/>
      <c r="AG44" s="245"/>
      <c r="AH44" s="245"/>
      <c r="AI44" s="245"/>
      <c r="AJ44" s="245"/>
    </row>
    <row r="45" spans="2:255" ht="20.100000000000001" customHeight="1" thickBot="1">
      <c r="B45" s="166">
        <v>22294.03</v>
      </c>
      <c r="C45" s="166">
        <v>22627.360000000001</v>
      </c>
      <c r="D45" s="247" t="str">
        <f>+D13</f>
        <v>Reserva de Riesgo en Curso Ejercicio Anterior</v>
      </c>
      <c r="E45" s="248">
        <f>SUM(F45:AJ45)</f>
        <v>7124308000</v>
      </c>
      <c r="F45" s="248">
        <v>1875000</v>
      </c>
      <c r="G45" s="248">
        <v>6488000</v>
      </c>
      <c r="H45" s="248">
        <v>143284000</v>
      </c>
      <c r="I45" s="248">
        <v>2485000</v>
      </c>
      <c r="J45" s="248">
        <v>0</v>
      </c>
      <c r="K45" s="248">
        <v>0</v>
      </c>
      <c r="L45" s="248">
        <v>0</v>
      </c>
      <c r="M45" s="248">
        <v>534000</v>
      </c>
      <c r="N45" s="248">
        <v>78015000</v>
      </c>
      <c r="O45" s="248">
        <v>34628000</v>
      </c>
      <c r="P45" s="248">
        <v>0</v>
      </c>
      <c r="Q45" s="248">
        <v>2148000</v>
      </c>
      <c r="R45" s="248">
        <v>84551000</v>
      </c>
      <c r="S45" s="248">
        <v>0</v>
      </c>
      <c r="T45" s="248">
        <v>1718765000</v>
      </c>
      <c r="U45" s="248"/>
      <c r="V45" s="248"/>
      <c r="W45" s="248"/>
      <c r="X45" s="248"/>
      <c r="Y45" s="248">
        <v>23635000</v>
      </c>
      <c r="Z45" s="248">
        <v>0</v>
      </c>
      <c r="AA45" s="248">
        <v>1204790000</v>
      </c>
      <c r="AB45" s="248">
        <v>249301000</v>
      </c>
      <c r="AC45" s="248">
        <v>0</v>
      </c>
      <c r="AD45" s="248">
        <v>3573809000</v>
      </c>
      <c r="AE45" s="248"/>
      <c r="AF45" s="248">
        <v>0</v>
      </c>
      <c r="AG45" s="248">
        <v>0</v>
      </c>
      <c r="AH45" s="248">
        <v>0</v>
      </c>
      <c r="AI45" s="248">
        <v>0</v>
      </c>
      <c r="AJ45" s="249">
        <v>0</v>
      </c>
    </row>
    <row r="46" spans="2:255" ht="9.75" thickBot="1">
      <c r="D46" s="250"/>
      <c r="E46" s="251"/>
      <c r="F46" s="251"/>
      <c r="G46" s="251"/>
      <c r="H46" s="251"/>
      <c r="I46" s="251"/>
      <c r="J46" s="251"/>
      <c r="K46" s="251"/>
      <c r="L46" s="251"/>
      <c r="M46" s="251"/>
      <c r="N46" s="251"/>
      <c r="O46" s="251"/>
      <c r="P46" s="251"/>
      <c r="Q46" s="251"/>
      <c r="R46" s="251"/>
      <c r="S46" s="251"/>
      <c r="T46" s="251"/>
      <c r="U46" s="251"/>
      <c r="V46" s="251"/>
      <c r="W46" s="251"/>
      <c r="X46" s="251"/>
      <c r="Y46" s="251"/>
      <c r="Z46" s="251"/>
      <c r="AA46" s="251"/>
      <c r="AB46" s="251"/>
      <c r="AC46" s="251"/>
      <c r="AD46" s="251"/>
      <c r="AE46" s="251"/>
      <c r="AF46" s="251"/>
      <c r="AG46" s="251"/>
      <c r="AH46" s="251"/>
      <c r="AI46" s="251"/>
      <c r="AJ46" s="251"/>
    </row>
    <row r="47" spans="2:255" ht="20.100000000000001" customHeight="1" thickBot="1">
      <c r="B47" s="166">
        <v>22294.03</v>
      </c>
      <c r="C47" s="166">
        <v>22627.360000000001</v>
      </c>
      <c r="D47" s="247" t="s">
        <v>1529</v>
      </c>
      <c r="E47" s="248">
        <f>SUM(F47:AJ47)</f>
        <v>21182429000</v>
      </c>
      <c r="F47" s="248">
        <v>4391151000</v>
      </c>
      <c r="G47" s="248">
        <v>629878000</v>
      </c>
      <c r="H47" s="248"/>
      <c r="I47" s="248">
        <v>8118532000</v>
      </c>
      <c r="J47" s="248">
        <v>0</v>
      </c>
      <c r="K47" s="248">
        <v>0</v>
      </c>
      <c r="L47" s="248">
        <v>0</v>
      </c>
      <c r="M47" s="248">
        <v>0</v>
      </c>
      <c r="N47" s="248">
        <v>0</v>
      </c>
      <c r="O47" s="248">
        <v>0</v>
      </c>
      <c r="P47" s="248">
        <v>0</v>
      </c>
      <c r="Q47" s="248">
        <v>26043000</v>
      </c>
      <c r="R47" s="248"/>
      <c r="S47" s="248">
        <v>0</v>
      </c>
      <c r="T47" s="248">
        <v>1474655000</v>
      </c>
      <c r="U47" s="248"/>
      <c r="V47" s="248"/>
      <c r="W47" s="248"/>
      <c r="X47" s="248">
        <v>3899299000</v>
      </c>
      <c r="Y47" s="248"/>
      <c r="Z47" s="248"/>
      <c r="AA47" s="248">
        <v>0</v>
      </c>
      <c r="AB47" s="248">
        <v>7029000</v>
      </c>
      <c r="AC47" s="248">
        <v>0</v>
      </c>
      <c r="AD47" s="248">
        <v>2635842000</v>
      </c>
      <c r="AE47" s="248">
        <v>0</v>
      </c>
      <c r="AF47" s="248">
        <v>0</v>
      </c>
      <c r="AG47" s="248">
        <v>0</v>
      </c>
      <c r="AH47" s="248">
        <v>0</v>
      </c>
      <c r="AI47" s="248">
        <v>0</v>
      </c>
      <c r="AJ47" s="249">
        <v>0</v>
      </c>
    </row>
    <row r="48" spans="2:255" ht="9.75" thickBot="1"/>
    <row r="49" spans="2:37" ht="20.100000000000001" customHeight="1" thickBot="1">
      <c r="B49" s="166">
        <v>22294.03</v>
      </c>
      <c r="C49" s="166">
        <v>22627.360000000001</v>
      </c>
      <c r="D49" s="247" t="s">
        <v>1671</v>
      </c>
      <c r="E49" s="248">
        <f>SUM(F49:AJ49)</f>
        <v>29695769000</v>
      </c>
      <c r="F49" s="248"/>
      <c r="G49" s="248"/>
      <c r="H49" s="248">
        <v>29695769000</v>
      </c>
      <c r="I49" s="248"/>
      <c r="J49" s="248"/>
      <c r="K49" s="248"/>
      <c r="L49" s="248"/>
      <c r="M49" s="248"/>
      <c r="N49" s="248"/>
      <c r="O49" s="248"/>
      <c r="P49" s="248"/>
      <c r="Q49" s="248"/>
      <c r="R49" s="248">
        <v>0</v>
      </c>
      <c r="S49" s="248"/>
      <c r="T49" s="248"/>
      <c r="U49" s="248"/>
      <c r="V49" s="248"/>
      <c r="W49" s="248"/>
      <c r="X49" s="248"/>
      <c r="Y49" s="248"/>
      <c r="Z49" s="248"/>
      <c r="AA49" s="248"/>
      <c r="AB49" s="248"/>
      <c r="AC49" s="248"/>
      <c r="AD49" s="248"/>
      <c r="AE49" s="248"/>
      <c r="AF49" s="248"/>
      <c r="AG49" s="248"/>
      <c r="AH49" s="248"/>
      <c r="AI49" s="248"/>
      <c r="AJ49" s="249"/>
    </row>
    <row r="50" spans="2:37" ht="9.75" thickBot="1"/>
    <row r="51" spans="2:37" ht="20.100000000000001" customHeight="1" thickBot="1">
      <c r="B51" s="166">
        <v>22294.03</v>
      </c>
      <c r="C51" s="166">
        <v>22627.360000000001</v>
      </c>
      <c r="D51" s="247" t="s">
        <v>1673</v>
      </c>
      <c r="E51" s="248"/>
      <c r="F51" s="248"/>
      <c r="G51" s="248"/>
      <c r="H51" s="248"/>
      <c r="I51" s="248"/>
      <c r="J51" s="248"/>
      <c r="K51" s="248"/>
      <c r="L51" s="248"/>
      <c r="M51" s="248"/>
      <c r="N51" s="248"/>
      <c r="O51" s="248"/>
      <c r="P51" s="248"/>
      <c r="Q51" s="248"/>
      <c r="R51" s="248"/>
      <c r="S51" s="248"/>
      <c r="T51" s="248"/>
      <c r="U51" s="248"/>
      <c r="V51" s="248"/>
      <c r="W51" s="248"/>
      <c r="X51" s="248"/>
      <c r="Y51" s="248"/>
      <c r="Z51" s="248"/>
      <c r="AA51" s="248"/>
      <c r="AB51" s="248"/>
      <c r="AC51" s="248"/>
      <c r="AD51" s="248"/>
      <c r="AE51" s="248"/>
      <c r="AF51" s="248"/>
      <c r="AG51" s="248"/>
      <c r="AH51" s="248"/>
      <c r="AI51" s="248"/>
      <c r="AJ51" s="249"/>
    </row>
    <row r="52" spans="2:37" ht="9.75" thickBot="1">
      <c r="D52" s="250"/>
      <c r="E52" s="251"/>
      <c r="F52" s="251"/>
      <c r="G52" s="251"/>
      <c r="H52" s="251"/>
      <c r="I52" s="251"/>
      <c r="J52" s="251"/>
      <c r="K52" s="251"/>
      <c r="L52" s="251"/>
      <c r="M52" s="251"/>
      <c r="N52" s="251"/>
      <c r="O52" s="251"/>
      <c r="P52" s="251"/>
      <c r="Q52" s="251"/>
      <c r="R52" s="251"/>
      <c r="S52" s="251"/>
      <c r="T52" s="251"/>
      <c r="U52" s="251"/>
      <c r="V52" s="251"/>
      <c r="W52" s="251"/>
      <c r="X52" s="251"/>
      <c r="Y52" s="251"/>
      <c r="Z52" s="251"/>
      <c r="AA52" s="251"/>
      <c r="AB52" s="251"/>
      <c r="AC52" s="251"/>
      <c r="AD52" s="251"/>
      <c r="AE52" s="251"/>
      <c r="AF52" s="251"/>
      <c r="AG52" s="251"/>
      <c r="AH52" s="251"/>
      <c r="AI52" s="251"/>
      <c r="AJ52" s="251"/>
    </row>
    <row r="53" spans="2:37" ht="20.100000000000001" customHeight="1" thickBot="1">
      <c r="C53" s="246">
        <v>0</v>
      </c>
      <c r="D53" s="247" t="s">
        <v>1672</v>
      </c>
      <c r="E53" s="248"/>
      <c r="F53" s="248"/>
      <c r="G53" s="248"/>
      <c r="H53" s="248"/>
      <c r="I53" s="248"/>
      <c r="J53" s="248"/>
      <c r="K53" s="248"/>
      <c r="L53" s="248"/>
      <c r="M53" s="248"/>
      <c r="N53" s="248"/>
      <c r="O53" s="248"/>
      <c r="P53" s="248"/>
      <c r="Q53" s="248"/>
      <c r="R53" s="248"/>
      <c r="S53" s="248"/>
      <c r="T53" s="248"/>
      <c r="U53" s="248"/>
      <c r="V53" s="248"/>
      <c r="W53" s="248"/>
      <c r="X53" s="248"/>
      <c r="Y53" s="248"/>
      <c r="Z53" s="248"/>
      <c r="AA53" s="248"/>
      <c r="AB53" s="248"/>
      <c r="AC53" s="248"/>
      <c r="AD53" s="248"/>
      <c r="AE53" s="248"/>
      <c r="AF53" s="248"/>
      <c r="AG53" s="248"/>
      <c r="AH53" s="248"/>
      <c r="AI53" s="248"/>
      <c r="AJ53" s="249"/>
    </row>
    <row r="57" spans="2:37">
      <c r="F57" s="166">
        <v>367</v>
      </c>
      <c r="G57" s="166">
        <v>691</v>
      </c>
      <c r="H57" s="166">
        <v>-1993</v>
      </c>
      <c r="I57" s="166">
        <v>154</v>
      </c>
      <c r="J57" s="166">
        <v>0</v>
      </c>
      <c r="K57" s="166">
        <v>0</v>
      </c>
      <c r="L57" s="166">
        <v>0</v>
      </c>
      <c r="M57" s="166">
        <v>70</v>
      </c>
      <c r="N57" s="166">
        <v>-1028</v>
      </c>
      <c r="O57" s="166">
        <v>-5629</v>
      </c>
      <c r="Q57" s="166">
        <v>3335</v>
      </c>
      <c r="R57" s="166">
        <v>0</v>
      </c>
      <c r="S57" s="166">
        <v>-152849</v>
      </c>
      <c r="T57" s="166">
        <v>0</v>
      </c>
      <c r="U57" s="166">
        <v>0</v>
      </c>
      <c r="V57" s="166">
        <v>0</v>
      </c>
      <c r="W57" s="166">
        <v>0</v>
      </c>
      <c r="X57" s="166">
        <v>0</v>
      </c>
      <c r="Y57" s="166">
        <v>-40</v>
      </c>
      <c r="Z57" s="166">
        <v>34</v>
      </c>
      <c r="AA57" s="166">
        <v>-125677</v>
      </c>
      <c r="AB57" s="166">
        <v>-10340</v>
      </c>
      <c r="AC57" s="166">
        <v>0</v>
      </c>
      <c r="AD57" s="166">
        <v>251029</v>
      </c>
      <c r="AE57" s="166">
        <v>0</v>
      </c>
      <c r="AF57" s="166">
        <v>0</v>
      </c>
      <c r="AG57" s="166">
        <v>0</v>
      </c>
      <c r="AH57" s="166">
        <v>0</v>
      </c>
      <c r="AI57" s="166">
        <v>0</v>
      </c>
      <c r="AJ57" s="166">
        <v>0</v>
      </c>
      <c r="AK57" s="166">
        <v>0</v>
      </c>
    </row>
    <row r="58" spans="2:37">
      <c r="F58" s="193">
        <f t="shared" ref="F58:AK58" si="10">+F57-F12</f>
        <v>1788</v>
      </c>
      <c r="G58" s="193">
        <f t="shared" si="10"/>
        <v>6075</v>
      </c>
      <c r="H58" s="193">
        <f t="shared" si="10"/>
        <v>114353</v>
      </c>
      <c r="I58" s="193">
        <f t="shared" si="10"/>
        <v>1821</v>
      </c>
      <c r="J58" s="193">
        <f t="shared" si="10"/>
        <v>0</v>
      </c>
      <c r="K58" s="193">
        <f t="shared" si="10"/>
        <v>0</v>
      </c>
      <c r="L58" s="193">
        <f t="shared" si="10"/>
        <v>0</v>
      </c>
      <c r="M58" s="193">
        <f t="shared" si="10"/>
        <v>501</v>
      </c>
      <c r="N58" s="193">
        <f t="shared" si="10"/>
        <v>-10809</v>
      </c>
      <c r="O58" s="193">
        <f t="shared" si="10"/>
        <v>-1604</v>
      </c>
      <c r="P58" s="193">
        <f t="shared" si="10"/>
        <v>0</v>
      </c>
      <c r="Q58" s="193">
        <f t="shared" si="10"/>
        <v>5357</v>
      </c>
      <c r="R58" s="193">
        <f t="shared" si="10"/>
        <v>32562</v>
      </c>
      <c r="S58" s="193">
        <f t="shared" si="10"/>
        <v>-152849</v>
      </c>
      <c r="T58" s="193">
        <f t="shared" si="10"/>
        <v>344313</v>
      </c>
      <c r="U58" s="193">
        <f t="shared" si="10"/>
        <v>0</v>
      </c>
      <c r="V58" s="193">
        <f t="shared" si="10"/>
        <v>0</v>
      </c>
      <c r="W58" s="193">
        <f t="shared" si="10"/>
        <v>0</v>
      </c>
      <c r="X58" s="193">
        <f t="shared" si="10"/>
        <v>0</v>
      </c>
      <c r="Y58" s="193">
        <f t="shared" si="10"/>
        <v>21355</v>
      </c>
      <c r="Z58" s="193">
        <f t="shared" si="10"/>
        <v>34</v>
      </c>
      <c r="AA58" s="193">
        <f t="shared" si="10"/>
        <v>840307</v>
      </c>
      <c r="AB58" s="193">
        <f t="shared" si="10"/>
        <v>297744</v>
      </c>
      <c r="AC58" s="193">
        <f t="shared" si="10"/>
        <v>0</v>
      </c>
      <c r="AD58" s="193">
        <f t="shared" si="10"/>
        <v>-1853074</v>
      </c>
      <c r="AE58" s="193">
        <f t="shared" si="10"/>
        <v>0</v>
      </c>
      <c r="AF58" s="193">
        <f t="shared" si="10"/>
        <v>0</v>
      </c>
      <c r="AG58" s="193">
        <f t="shared" si="10"/>
        <v>0</v>
      </c>
      <c r="AH58" s="193">
        <f t="shared" si="10"/>
        <v>0</v>
      </c>
      <c r="AI58" s="193">
        <f t="shared" si="10"/>
        <v>0</v>
      </c>
      <c r="AJ58" s="193">
        <f t="shared" si="10"/>
        <v>0</v>
      </c>
      <c r="AK58" s="193">
        <f t="shared" si="10"/>
        <v>0</v>
      </c>
    </row>
  </sheetData>
  <mergeCells count="2">
    <mergeCell ref="B9:B10"/>
    <mergeCell ref="D9:D10"/>
  </mergeCells>
  <phoneticPr fontId="10" type="noConversion"/>
  <printOptions horizontalCentered="1"/>
  <pageMargins left="0.15748031496062992" right="0" top="0" bottom="0" header="0" footer="0"/>
  <pageSetup paperSize="119" scale="80" orientation="landscape" r:id="rId1"/>
  <headerFooter alignWithMargins="0">
    <oddHeader>&amp;L&amp;"Times New Roman,Negrita Cursiva"&amp;9                                             Subgerencia de Finanzas
                                             Depto.Contabilidad</oddHeader>
    <oddFooter>&amp;L&amp;"Times New Roman,Negrita Cursiva"&amp;9                                             &amp;F
                                             &amp;A&amp;R&amp;"Times New Roman,Negrita Cursiva"&amp;9&amp;D
&amp;T</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tabColor rgb="FFFFFF00"/>
    <pageSetUpPr fitToPage="1"/>
  </sheetPr>
  <dimension ref="A1:N26"/>
  <sheetViews>
    <sheetView topLeftCell="E7" workbookViewId="0">
      <selection activeCell="N21" sqref="N21"/>
    </sheetView>
  </sheetViews>
  <sheetFormatPr baseColWidth="10" defaultRowHeight="9"/>
  <cols>
    <col min="1" max="1" width="12" style="166"/>
    <col min="2" max="2" width="16.33203125" style="166" customWidth="1"/>
    <col min="3" max="3" width="15.83203125" style="166" customWidth="1"/>
    <col min="4" max="4" width="49" style="166" bestFit="1" customWidth="1"/>
    <col min="5" max="13" width="13.83203125" style="166" customWidth="1"/>
    <col min="14" max="14" width="18.83203125" style="166" customWidth="1"/>
    <col min="15" max="16384" width="12" style="166"/>
  </cols>
  <sheetData>
    <row r="1" spans="1:14" ht="29.25">
      <c r="A1" s="35" t="s">
        <v>1739</v>
      </c>
      <c r="B1" s="36"/>
      <c r="C1" s="36"/>
      <c r="D1" s="36"/>
      <c r="E1" s="36"/>
      <c r="F1" s="36"/>
      <c r="G1" s="36"/>
      <c r="H1" s="36"/>
      <c r="I1" s="36"/>
      <c r="J1" s="36"/>
      <c r="K1" s="36"/>
      <c r="L1" s="36"/>
      <c r="M1" s="36"/>
      <c r="N1" s="36"/>
    </row>
    <row r="2" spans="1:14" ht="18.75" thickBot="1">
      <c r="A2" s="37" t="s">
        <v>1814</v>
      </c>
      <c r="B2" s="38"/>
      <c r="C2" s="38"/>
      <c r="D2" s="38"/>
      <c r="E2" s="38"/>
      <c r="F2" s="38"/>
      <c r="G2" s="38"/>
      <c r="H2" s="38"/>
      <c r="I2" s="38"/>
      <c r="J2" s="38"/>
      <c r="K2" s="38"/>
      <c r="L2" s="38"/>
      <c r="M2" s="38"/>
      <c r="N2" s="38"/>
    </row>
    <row r="3" spans="1:14" ht="18">
      <c r="A3" s="223"/>
      <c r="B3" s="82"/>
      <c r="C3" s="82"/>
      <c r="D3" s="82"/>
      <c r="E3" s="82"/>
      <c r="F3" s="82"/>
      <c r="G3" s="82"/>
      <c r="H3" s="82"/>
      <c r="I3" s="82"/>
      <c r="J3" s="82"/>
      <c r="K3" s="82"/>
      <c r="L3" s="82"/>
      <c r="M3" s="82"/>
      <c r="N3" s="82"/>
    </row>
    <row r="4" spans="1:14" ht="12">
      <c r="B4" s="224" t="s">
        <v>64</v>
      </c>
      <c r="E4" s="168">
        <f>+EEFF!$E$22</f>
        <v>40909</v>
      </c>
      <c r="F4" s="225" t="s">
        <v>1679</v>
      </c>
      <c r="G4" s="168">
        <f>+EEFF!$G$7</f>
        <v>41121</v>
      </c>
    </row>
    <row r="5" spans="1:14" ht="12.75">
      <c r="B5" s="252" t="s">
        <v>1576</v>
      </c>
      <c r="E5" s="168"/>
      <c r="F5" s="141"/>
      <c r="G5" s="168"/>
    </row>
    <row r="6" spans="1:14" ht="12.75">
      <c r="B6" s="252"/>
      <c r="E6" s="168"/>
      <c r="F6" s="141"/>
      <c r="G6" s="168"/>
    </row>
    <row r="7" spans="1:14" ht="12.75">
      <c r="B7" s="41" t="s">
        <v>3458</v>
      </c>
      <c r="E7" s="168"/>
      <c r="F7" s="141"/>
      <c r="G7" s="168"/>
    </row>
    <row r="8" spans="1:14" ht="9.75" thickBot="1"/>
    <row r="9" spans="1:14" ht="15" customHeight="1">
      <c r="B9" s="253"/>
      <c r="C9" s="254"/>
      <c r="D9" s="254"/>
      <c r="E9" s="254"/>
      <c r="F9" s="254"/>
      <c r="G9" s="254"/>
      <c r="H9" s="254"/>
      <c r="I9" s="2810" t="s">
        <v>394</v>
      </c>
      <c r="J9" s="2810"/>
      <c r="K9" s="2810"/>
      <c r="L9" s="2810"/>
      <c r="M9" s="2810"/>
      <c r="N9" s="2811"/>
    </row>
    <row r="10" spans="1:14" ht="15" customHeight="1">
      <c r="B10" s="255"/>
      <c r="C10" s="256"/>
      <c r="D10" s="256"/>
      <c r="E10" s="256"/>
      <c r="F10" s="257" t="s">
        <v>1577</v>
      </c>
      <c r="G10" s="256"/>
      <c r="H10" s="2812" t="s">
        <v>238</v>
      </c>
      <c r="I10" s="2812"/>
      <c r="J10" s="2812"/>
      <c r="K10" s="2812"/>
      <c r="L10" s="2812"/>
      <c r="M10" s="2812"/>
      <c r="N10" s="2813"/>
    </row>
    <row r="11" spans="1:14" ht="20.100000000000001" customHeight="1">
      <c r="B11" s="255"/>
      <c r="C11" s="256"/>
      <c r="D11" s="256"/>
      <c r="E11" s="256"/>
      <c r="F11" s="257" t="s">
        <v>1578</v>
      </c>
      <c r="G11" s="256"/>
      <c r="H11" s="258"/>
      <c r="I11" s="2816"/>
      <c r="J11" s="2817"/>
      <c r="K11" s="2817"/>
      <c r="L11" s="2818"/>
      <c r="M11" s="258"/>
      <c r="N11" s="1461" t="s">
        <v>1579</v>
      </c>
    </row>
    <row r="12" spans="1:14" ht="20.100000000000001" customHeight="1">
      <c r="B12" s="259" t="s">
        <v>3372</v>
      </c>
      <c r="C12" s="260"/>
      <c r="D12" s="260" t="s">
        <v>3373</v>
      </c>
      <c r="E12" s="206" t="str">
        <f>VLOOKUP(E13,SVRAMO,2,FALSE)</f>
        <v>TOTAL RAMOS</v>
      </c>
      <c r="F12" s="206" t="s">
        <v>1291</v>
      </c>
      <c r="G12" s="206" t="s">
        <v>1333</v>
      </c>
      <c r="H12" s="206" t="s">
        <v>240</v>
      </c>
      <c r="I12" s="2814" t="str">
        <f>VLOOKUP(I13,SVRAMO,2,FALSE)</f>
        <v>Renta Vitalicia Vejez</v>
      </c>
      <c r="J12" s="2815"/>
      <c r="K12" s="2814" t="str">
        <f>VLOOKUP(K13,SVRAMO,2,FALSE)</f>
        <v>Renta Vitalicia Invalidez</v>
      </c>
      <c r="L12" s="2815"/>
      <c r="M12" s="261" t="str">
        <f>VLOOKUP(M13,SVRAMO,2,FALSE)</f>
        <v>Renta Vitalicia Sobrevivencia</v>
      </c>
      <c r="N12" s="1462" t="s">
        <v>241</v>
      </c>
    </row>
    <row r="13" spans="1:14" ht="15" customHeight="1" thickBot="1">
      <c r="B13" s="262"/>
      <c r="C13" s="263"/>
      <c r="D13" s="263"/>
      <c r="E13" s="264">
        <v>999</v>
      </c>
      <c r="F13" s="265"/>
      <c r="G13" s="265"/>
      <c r="H13" s="265"/>
      <c r="I13" s="264">
        <v>421</v>
      </c>
      <c r="J13" s="264"/>
      <c r="K13" s="264">
        <v>422</v>
      </c>
      <c r="L13" s="264"/>
      <c r="M13" s="264">
        <v>423</v>
      </c>
      <c r="N13" s="1463">
        <v>424</v>
      </c>
    </row>
    <row r="14" spans="1:14" ht="14.25" customHeight="1">
      <c r="B14" s="1423"/>
      <c r="C14" s="256"/>
      <c r="D14" s="256"/>
      <c r="E14" s="257"/>
      <c r="F14" s="257"/>
      <c r="G14" s="257"/>
      <c r="H14" s="257"/>
      <c r="I14" s="257" t="s">
        <v>3459</v>
      </c>
      <c r="J14" s="257" t="s">
        <v>3460</v>
      </c>
      <c r="K14" s="257" t="s">
        <v>3461</v>
      </c>
      <c r="L14" s="257" t="s">
        <v>1333</v>
      </c>
      <c r="M14" s="257" t="s">
        <v>3462</v>
      </c>
      <c r="N14" s="1461" t="s">
        <v>241</v>
      </c>
    </row>
    <row r="15" spans="1:14" s="171" customFormat="1" ht="20.100000000000001" customHeight="1">
      <c r="B15" s="208" t="str">
        <f t="shared" ref="B15:B25" si="0">MID(C15,1,1)&amp;"."&amp;MID(C15,2,2)&amp;"."&amp;MID(C15,4,2)&amp;"."&amp;MID(C15,6,2)&amp;"."&amp;MID(C15,8,2)</f>
        <v>6.61.00.00.00</v>
      </c>
      <c r="C15" s="266">
        <v>661000000</v>
      </c>
      <c r="D15" s="209" t="s">
        <v>66</v>
      </c>
      <c r="E15" s="210">
        <f>SUM(F15:G15)</f>
        <v>-36147919</v>
      </c>
      <c r="F15" s="210">
        <v>0</v>
      </c>
      <c r="G15" s="210">
        <f t="shared" ref="G15:N15" si="1">SUM(G16,G20,G21,G22,G23,G24,G25)</f>
        <v>-36147919</v>
      </c>
      <c r="H15" s="210">
        <f t="shared" si="1"/>
        <v>-35637539</v>
      </c>
      <c r="I15" s="210">
        <f t="shared" si="1"/>
        <v>-26618237</v>
      </c>
      <c r="J15" s="210"/>
      <c r="K15" s="210">
        <f t="shared" si="1"/>
        <v>-5751247</v>
      </c>
      <c r="L15" s="210"/>
      <c r="M15" s="210">
        <f t="shared" si="1"/>
        <v>-3268055</v>
      </c>
      <c r="N15" s="267">
        <f t="shared" si="1"/>
        <v>-510380</v>
      </c>
    </row>
    <row r="16" spans="1:14" ht="20.100000000000001" customHeight="1">
      <c r="B16" s="172" t="str">
        <f t="shared" si="0"/>
        <v>6.61.10.00.00</v>
      </c>
      <c r="C16" s="235">
        <v>661100000</v>
      </c>
      <c r="D16" s="153" t="s">
        <v>1600</v>
      </c>
      <c r="E16" s="174">
        <f t="shared" ref="E16:E25" si="2">SUM(F16:G16)</f>
        <v>69842192</v>
      </c>
      <c r="F16" s="174">
        <v>0</v>
      </c>
      <c r="G16" s="174">
        <f t="shared" ref="G16:N16" si="3">SUM(G17:G19)</f>
        <v>69842192</v>
      </c>
      <c r="H16" s="174">
        <f t="shared" si="3"/>
        <v>69842192</v>
      </c>
      <c r="I16" s="174">
        <f t="shared" si="3"/>
        <v>32747594</v>
      </c>
      <c r="J16" s="174"/>
      <c r="K16" s="174">
        <f t="shared" si="3"/>
        <v>31570662</v>
      </c>
      <c r="L16" s="174"/>
      <c r="M16" s="174">
        <f t="shared" si="3"/>
        <v>5523936</v>
      </c>
      <c r="N16" s="175">
        <f t="shared" si="3"/>
        <v>0</v>
      </c>
    </row>
    <row r="17" spans="2:14" ht="20.100000000000001" customHeight="1">
      <c r="B17" s="172" t="str">
        <f t="shared" si="0"/>
        <v>6.61.11.00.00</v>
      </c>
      <c r="C17" s="268">
        <v>661110000</v>
      </c>
      <c r="D17" s="153" t="s">
        <v>999</v>
      </c>
      <c r="E17" s="174">
        <f t="shared" si="2"/>
        <v>69842192</v>
      </c>
      <c r="F17" s="174">
        <v>0</v>
      </c>
      <c r="G17" s="174">
        <f>SUM(I17:N17)</f>
        <v>69842192</v>
      </c>
      <c r="H17" s="174">
        <f>SUM(I17:M17)</f>
        <v>69842192</v>
      </c>
      <c r="I17" s="174">
        <f>+C_6.01!AI13</f>
        <v>32747594</v>
      </c>
      <c r="J17" s="174"/>
      <c r="K17" s="174">
        <f>+C_6.01!AJ13</f>
        <v>31570662</v>
      </c>
      <c r="L17" s="174"/>
      <c r="M17" s="174">
        <f>+C_6.01!AK13</f>
        <v>5523936</v>
      </c>
      <c r="N17" s="175">
        <f>+C_6.01!AL13</f>
        <v>0</v>
      </c>
    </row>
    <row r="18" spans="2:14" ht="20.100000000000001" customHeight="1">
      <c r="B18" s="172" t="str">
        <f t="shared" si="0"/>
        <v>6.61.12.00.00</v>
      </c>
      <c r="C18" s="268">
        <v>661120000</v>
      </c>
      <c r="D18" s="153" t="s">
        <v>1000</v>
      </c>
      <c r="E18" s="174">
        <f t="shared" si="2"/>
        <v>0</v>
      </c>
      <c r="F18" s="174">
        <v>0</v>
      </c>
      <c r="G18" s="174">
        <f>SUM(I18:N18)</f>
        <v>0</v>
      </c>
      <c r="H18" s="174">
        <f>SUM(I18:M18)</f>
        <v>0</v>
      </c>
      <c r="I18" s="174">
        <f>+C_6.01!AI14</f>
        <v>0</v>
      </c>
      <c r="J18" s="174"/>
      <c r="K18" s="174">
        <f>+C_6.01!AJ14</f>
        <v>0</v>
      </c>
      <c r="L18" s="174"/>
      <c r="M18" s="174">
        <f>+C_6.01!AK14</f>
        <v>0</v>
      </c>
      <c r="N18" s="175">
        <f>+C_6.01!AL14</f>
        <v>0</v>
      </c>
    </row>
    <row r="19" spans="2:14" ht="20.100000000000001" customHeight="1">
      <c r="B19" s="172" t="str">
        <f t="shared" si="0"/>
        <v>6.61.13.00.00</v>
      </c>
      <c r="C19" s="268">
        <v>661130000</v>
      </c>
      <c r="D19" s="153" t="s">
        <v>1601</v>
      </c>
      <c r="E19" s="174">
        <f t="shared" si="2"/>
        <v>0</v>
      </c>
      <c r="F19" s="174">
        <v>0</v>
      </c>
      <c r="G19" s="174">
        <f t="shared" ref="G19:G25" si="4">SUM(I19:N19)</f>
        <v>0</v>
      </c>
      <c r="H19" s="174">
        <f t="shared" ref="H19:H25" si="5">SUM(I19:M19)</f>
        <v>0</v>
      </c>
      <c r="I19" s="174">
        <f>+C_6.01!AI15</f>
        <v>0</v>
      </c>
      <c r="J19" s="174"/>
      <c r="K19" s="174">
        <f>+C_6.01!AJ15</f>
        <v>0</v>
      </c>
      <c r="L19" s="174"/>
      <c r="M19" s="174">
        <f>+C_6.01!AK15</f>
        <v>0</v>
      </c>
      <c r="N19" s="175">
        <f>+C_6.01!AL15</f>
        <v>0</v>
      </c>
    </row>
    <row r="20" spans="2:14" ht="20.100000000000001" customHeight="1">
      <c r="B20" s="172" t="str">
        <f t="shared" si="0"/>
        <v>6.61.20.00.00</v>
      </c>
      <c r="C20" s="235">
        <v>661200000</v>
      </c>
      <c r="D20" s="153" t="s">
        <v>646</v>
      </c>
      <c r="E20" s="174">
        <f t="shared" si="2"/>
        <v>0</v>
      </c>
      <c r="F20" s="174">
        <v>0</v>
      </c>
      <c r="G20" s="174">
        <f t="shared" si="4"/>
        <v>0</v>
      </c>
      <c r="H20" s="174">
        <f t="shared" si="5"/>
        <v>0</v>
      </c>
      <c r="I20" s="174">
        <f>+C_6.01!AI20</f>
        <v>0</v>
      </c>
      <c r="J20" s="174"/>
      <c r="K20" s="174">
        <f>+C_6.01!AJ20</f>
        <v>0</v>
      </c>
      <c r="L20" s="174"/>
      <c r="M20" s="174">
        <f>+C_6.01!AK20</f>
        <v>0</v>
      </c>
      <c r="N20" s="175">
        <f>+C_6.01!AL20</f>
        <v>0</v>
      </c>
    </row>
    <row r="21" spans="2:14" ht="20.100000000000001" customHeight="1">
      <c r="B21" s="172" t="str">
        <f t="shared" si="0"/>
        <v>6.61.30.00.00</v>
      </c>
      <c r="C21" s="235">
        <v>661300000</v>
      </c>
      <c r="D21" s="153" t="s">
        <v>125</v>
      </c>
      <c r="E21" s="682">
        <f t="shared" si="2"/>
        <v>-105069500</v>
      </c>
      <c r="F21" s="174"/>
      <c r="G21" s="174">
        <f t="shared" si="4"/>
        <v>-105069500</v>
      </c>
      <c r="H21" s="174">
        <f t="shared" si="5"/>
        <v>-104559120</v>
      </c>
      <c r="I21" s="174">
        <f>+C_6.01!AI26</f>
        <v>-58935322</v>
      </c>
      <c r="J21" s="174"/>
      <c r="K21" s="174">
        <f>+C_6.01!AJ26</f>
        <v>-36912552</v>
      </c>
      <c r="L21" s="174"/>
      <c r="M21" s="174">
        <f>+C_6.01!AK26</f>
        <v>-8711246</v>
      </c>
      <c r="N21" s="175">
        <f>+C_6.01!AL26</f>
        <v>-510380</v>
      </c>
    </row>
    <row r="22" spans="2:14" ht="20.100000000000001" customHeight="1">
      <c r="B22" s="172" t="str">
        <f t="shared" si="0"/>
        <v>6.61.40.00.00</v>
      </c>
      <c r="C22" s="235">
        <v>661400000</v>
      </c>
      <c r="D22" s="153" t="s">
        <v>126</v>
      </c>
      <c r="E22" s="174">
        <f t="shared" si="2"/>
        <v>0</v>
      </c>
      <c r="F22" s="174">
        <v>0</v>
      </c>
      <c r="G22" s="174"/>
      <c r="H22" s="174"/>
      <c r="I22" s="174"/>
      <c r="J22" s="174"/>
      <c r="K22" s="174"/>
      <c r="L22" s="174"/>
      <c r="M22" s="174"/>
      <c r="N22" s="175"/>
    </row>
    <row r="23" spans="2:14" ht="20.100000000000001" customHeight="1">
      <c r="B23" s="172" t="str">
        <f t="shared" si="0"/>
        <v>6.61.50.00.00</v>
      </c>
      <c r="C23" s="235">
        <v>661500000</v>
      </c>
      <c r="D23" s="153" t="s">
        <v>20</v>
      </c>
      <c r="E23" s="174">
        <f t="shared" si="2"/>
        <v>-920611</v>
      </c>
      <c r="F23" s="174">
        <v>0</v>
      </c>
      <c r="G23" s="174">
        <f t="shared" si="4"/>
        <v>-920611</v>
      </c>
      <c r="H23" s="174">
        <f t="shared" si="5"/>
        <v>-920611</v>
      </c>
      <c r="I23" s="174">
        <f>+C_6.01!AI30</f>
        <v>-430509</v>
      </c>
      <c r="J23" s="174"/>
      <c r="K23" s="174">
        <f>+C_6.01!AJ30</f>
        <v>-409357</v>
      </c>
      <c r="L23" s="174"/>
      <c r="M23" s="174">
        <f>+C_6.01!AK30</f>
        <v>-80745</v>
      </c>
      <c r="N23" s="175">
        <f>+C_6.01!AL30</f>
        <v>0</v>
      </c>
    </row>
    <row r="24" spans="2:14" ht="20.100000000000001" customHeight="1">
      <c r="B24" s="172" t="str">
        <f t="shared" si="0"/>
        <v>6.61.60.00.00</v>
      </c>
      <c r="C24" s="235">
        <v>661600000</v>
      </c>
      <c r="D24" s="153" t="s">
        <v>1223</v>
      </c>
      <c r="E24" s="174">
        <f t="shared" si="2"/>
        <v>0</v>
      </c>
      <c r="F24" s="174">
        <v>0</v>
      </c>
      <c r="G24" s="174"/>
      <c r="H24" s="174"/>
      <c r="I24" s="174"/>
      <c r="J24" s="174"/>
      <c r="K24" s="174"/>
      <c r="L24" s="174"/>
      <c r="M24" s="174"/>
      <c r="N24" s="175"/>
    </row>
    <row r="25" spans="2:14" ht="20.100000000000001" customHeight="1" thickBot="1">
      <c r="B25" s="237" t="str">
        <f t="shared" si="0"/>
        <v>6.61.70.00.00</v>
      </c>
      <c r="C25" s="238">
        <v>661700000</v>
      </c>
      <c r="D25" s="239" t="s">
        <v>129</v>
      </c>
      <c r="E25" s="240">
        <f t="shared" si="2"/>
        <v>0</v>
      </c>
      <c r="F25" s="240">
        <v>0</v>
      </c>
      <c r="G25" s="240">
        <f t="shared" si="4"/>
        <v>0</v>
      </c>
      <c r="H25" s="240">
        <f t="shared" si="5"/>
        <v>0</v>
      </c>
      <c r="I25" s="240">
        <f>+C_6.01!AI37</f>
        <v>0</v>
      </c>
      <c r="J25" s="240"/>
      <c r="K25" s="240">
        <f>+C_6.01!AJ37</f>
        <v>0</v>
      </c>
      <c r="L25" s="240"/>
      <c r="M25" s="240">
        <f>+C_6.01!AK37</f>
        <v>0</v>
      </c>
      <c r="N25" s="241">
        <f>+C_6.01!AL37</f>
        <v>0</v>
      </c>
    </row>
    <row r="26" spans="2:14" ht="9.75" thickTop="1"/>
  </sheetData>
  <mergeCells count="5">
    <mergeCell ref="I9:N9"/>
    <mergeCell ref="H10:N10"/>
    <mergeCell ref="I12:J12"/>
    <mergeCell ref="K12:L12"/>
    <mergeCell ref="I11:L11"/>
  </mergeCells>
  <phoneticPr fontId="10" type="noConversion"/>
  <printOptions horizontalCentered="1"/>
  <pageMargins left="0.23622047244094491" right="0.23622047244094491" top="0.74803149606299213" bottom="0.74803149606299213" header="0.31496062992125984" footer="0.31496062992125984"/>
  <pageSetup paperSize="119" scale="75" orientation="landscape" r:id="rId1"/>
  <headerFooter alignWithMargins="0">
    <oddHeader>&amp;L&amp;"Times New Roman,Negrita Cursiva"&amp;9                                             Subgerencia de Finanzas
                                             Depto.Contabilidad</oddHeader>
    <oddFooter>&amp;L&amp;"Times New Roman,Negrita Cursiva"&amp;9                                             &amp;F
                                             &amp;A&amp;R&amp;"Times New Roman,Negrita Cursiva"&amp;9&amp;D
&amp;T</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1">
    <tabColor rgb="FFFFFF00"/>
  </sheetPr>
  <dimension ref="A1:AM28"/>
  <sheetViews>
    <sheetView topLeftCell="A4" zoomScaleNormal="100" workbookViewId="0">
      <selection activeCell="E8" sqref="E8"/>
    </sheetView>
  </sheetViews>
  <sheetFormatPr baseColWidth="10" defaultRowHeight="11.25"/>
  <cols>
    <col min="1" max="1" width="12.83203125" style="140" customWidth="1"/>
    <col min="2" max="2" width="16.33203125" style="140" bestFit="1" customWidth="1"/>
    <col min="3" max="3" width="15.83203125" style="140" customWidth="1"/>
    <col min="4" max="4" width="35.83203125" style="140" customWidth="1"/>
    <col min="5" max="36" width="13.83203125" style="140" customWidth="1"/>
    <col min="37" max="16384" width="12" style="140"/>
  </cols>
  <sheetData>
    <row r="1" spans="1:37" ht="29.25">
      <c r="A1" s="35" t="s">
        <v>1739</v>
      </c>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ht="18.75" thickBot="1">
      <c r="A2" s="37" t="s">
        <v>1814</v>
      </c>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row>
    <row r="4" spans="1:37" ht="12">
      <c r="B4" s="224" t="s">
        <v>64</v>
      </c>
      <c r="E4" s="168">
        <f>+EEFF!$E$22</f>
        <v>40909</v>
      </c>
      <c r="F4" s="225" t="s">
        <v>1679</v>
      </c>
      <c r="G4" s="168">
        <f>+EEFF!$G$7</f>
        <v>41121</v>
      </c>
      <c r="H4" s="168"/>
      <c r="I4" s="168"/>
      <c r="J4" s="168"/>
      <c r="AG4" s="222"/>
    </row>
    <row r="5" spans="1:37" ht="12" thickBot="1"/>
    <row r="6" spans="1:37" ht="39.950000000000003" customHeight="1" thickTop="1">
      <c r="B6" s="269">
        <v>6.07</v>
      </c>
      <c r="C6" s="270"/>
      <c r="D6" s="271" t="s">
        <v>853</v>
      </c>
      <c r="E6" s="272" t="str">
        <f t="shared" ref="E6:AJ6" si="0">VLOOKUP(E7,SVRAMO,2,FALSE)</f>
        <v>TOTAL RAMOS</v>
      </c>
      <c r="F6" s="272" t="str">
        <f t="shared" si="0"/>
        <v>TOTAL SEGUROS NO PREVISIONALES</v>
      </c>
      <c r="G6" s="272" t="str">
        <f t="shared" si="0"/>
        <v>Vida Entera</v>
      </c>
      <c r="H6" s="272" t="str">
        <f t="shared" si="0"/>
        <v>Temporal de Vida</v>
      </c>
      <c r="I6" s="272" t="str">
        <f t="shared" si="0"/>
        <v>Otros Seguros con Cuenta Unica de Inversión (CUI)</v>
      </c>
      <c r="J6" s="272" t="str">
        <f t="shared" si="0"/>
        <v>Mixto o Dotal</v>
      </c>
      <c r="K6" s="272" t="str">
        <f t="shared" si="0"/>
        <v>Renta</v>
      </c>
      <c r="L6" s="272" t="str">
        <f t="shared" si="0"/>
        <v>Dotal Puro o Capital diferido</v>
      </c>
      <c r="M6" s="272" t="str">
        <f t="shared" si="0"/>
        <v>Protección Familiar</v>
      </c>
      <c r="N6" s="272" t="str">
        <f t="shared" si="0"/>
        <v>Incapacidad o Invalidez</v>
      </c>
      <c r="O6" s="272" t="str">
        <f t="shared" si="0"/>
        <v>Salud</v>
      </c>
      <c r="P6" s="272" t="s">
        <v>65</v>
      </c>
      <c r="Q6" s="272" t="s">
        <v>65</v>
      </c>
      <c r="R6" s="272" t="str">
        <f t="shared" si="0"/>
        <v>Desgravamen</v>
      </c>
      <c r="S6" s="272" t="str">
        <f t="shared" si="0"/>
        <v>Seguros con Ahorro Previsional Voluntario (APV)</v>
      </c>
      <c r="T6" s="272" t="str">
        <f t="shared" si="0"/>
        <v>Vida Entera</v>
      </c>
      <c r="U6" s="272" t="str">
        <f t="shared" si="0"/>
        <v>Temporal de Vida</v>
      </c>
      <c r="V6" s="272" t="str">
        <f t="shared" si="0"/>
        <v>Otros Seguros con Cuenta Unica de Inversión (CUI)</v>
      </c>
      <c r="W6" s="272" t="str">
        <f t="shared" si="0"/>
        <v>Mixto o Dotal</v>
      </c>
      <c r="X6" s="272" t="str">
        <f t="shared" si="0"/>
        <v>Renta</v>
      </c>
      <c r="Y6" s="272" t="str">
        <f t="shared" si="0"/>
        <v>Dotal Puro o Capital Diferido</v>
      </c>
      <c r="Z6" s="272" t="str">
        <f t="shared" si="0"/>
        <v>Protección Familiar</v>
      </c>
      <c r="AA6" s="272" t="str">
        <f t="shared" si="0"/>
        <v>Incapacidad o Invalidez</v>
      </c>
      <c r="AB6" s="272" t="str">
        <f t="shared" si="0"/>
        <v>Salud</v>
      </c>
      <c r="AC6" s="272" t="s">
        <v>65</v>
      </c>
      <c r="AD6" s="272" t="str">
        <f t="shared" si="0"/>
        <v>Desgravamen</v>
      </c>
      <c r="AE6" s="272" t="str">
        <f t="shared" si="0"/>
        <v>Seguros con Ahorro Previsional Voluntario (APV)</v>
      </c>
      <c r="AF6" s="272" t="str">
        <f t="shared" si="0"/>
        <v>Seguro de AFP</v>
      </c>
      <c r="AG6" s="272" t="str">
        <f t="shared" si="0"/>
        <v>Renta Vitalicia Vejez</v>
      </c>
      <c r="AH6" s="272" t="str">
        <f t="shared" si="0"/>
        <v>Renta Vitalicia Invalidez</v>
      </c>
      <c r="AI6" s="416" t="str">
        <f t="shared" si="0"/>
        <v>Renta Vitalicia Sobrevivencia</v>
      </c>
      <c r="AJ6" s="273" t="str">
        <f t="shared" si="0"/>
        <v>Invalidez y Sobrevivencia</v>
      </c>
    </row>
    <row r="7" spans="1:37" ht="12" thickBot="1">
      <c r="B7" s="274"/>
      <c r="C7" s="275"/>
      <c r="D7" s="275"/>
      <c r="E7" s="276">
        <v>999</v>
      </c>
      <c r="F7" s="276">
        <v>300</v>
      </c>
      <c r="G7" s="276">
        <v>101</v>
      </c>
      <c r="H7" s="276">
        <v>102</v>
      </c>
      <c r="I7" s="276">
        <v>103</v>
      </c>
      <c r="J7" s="276">
        <v>104</v>
      </c>
      <c r="K7" s="276">
        <v>105</v>
      </c>
      <c r="L7" s="276">
        <v>106</v>
      </c>
      <c r="M7" s="276">
        <v>107</v>
      </c>
      <c r="N7" s="276">
        <v>108</v>
      </c>
      <c r="O7" s="276">
        <v>109</v>
      </c>
      <c r="P7" s="276">
        <v>110</v>
      </c>
      <c r="Q7" s="276">
        <v>111</v>
      </c>
      <c r="R7" s="276">
        <v>112</v>
      </c>
      <c r="S7" s="276">
        <v>114</v>
      </c>
      <c r="T7" s="276">
        <v>201</v>
      </c>
      <c r="U7" s="276">
        <v>202</v>
      </c>
      <c r="V7" s="276">
        <v>203</v>
      </c>
      <c r="W7" s="276">
        <v>204</v>
      </c>
      <c r="X7" s="276">
        <v>205</v>
      </c>
      <c r="Y7" s="276">
        <v>206</v>
      </c>
      <c r="Z7" s="276">
        <v>207</v>
      </c>
      <c r="AA7" s="276">
        <v>208</v>
      </c>
      <c r="AB7" s="276">
        <v>209</v>
      </c>
      <c r="AC7" s="276">
        <v>210</v>
      </c>
      <c r="AD7" s="276">
        <v>212</v>
      </c>
      <c r="AE7" s="276">
        <v>213</v>
      </c>
      <c r="AF7" s="276">
        <v>420</v>
      </c>
      <c r="AG7" s="276">
        <v>421</v>
      </c>
      <c r="AH7" s="276">
        <v>422</v>
      </c>
      <c r="AI7" s="417">
        <v>423</v>
      </c>
      <c r="AJ7" s="277">
        <v>424</v>
      </c>
    </row>
    <row r="8" spans="1:37" s="142" customFormat="1" ht="20.100000000000001" customHeight="1" thickTop="1">
      <c r="B8" s="278" t="s">
        <v>3346</v>
      </c>
      <c r="C8" s="279" t="s">
        <v>3346</v>
      </c>
      <c r="D8" s="280" t="s">
        <v>854</v>
      </c>
      <c r="E8" s="902">
        <f>SUM(G8:AJ8)</f>
        <v>7276425</v>
      </c>
      <c r="F8" s="281">
        <f>SUM(G8:AE8)</f>
        <v>7276425</v>
      </c>
      <c r="G8" s="281">
        <v>0</v>
      </c>
      <c r="H8" s="281">
        <v>37770</v>
      </c>
      <c r="I8" s="281">
        <v>1146148</v>
      </c>
      <c r="J8" s="281">
        <v>0</v>
      </c>
      <c r="K8" s="281">
        <v>0</v>
      </c>
      <c r="L8" s="281">
        <f t="shared" ref="L8:T8" si="1">+L26*25%</f>
        <v>0</v>
      </c>
      <c r="M8" s="281">
        <f t="shared" si="1"/>
        <v>0</v>
      </c>
      <c r="N8" s="281">
        <v>0</v>
      </c>
      <c r="O8" s="281">
        <v>60558</v>
      </c>
      <c r="P8" s="281">
        <v>23963</v>
      </c>
      <c r="Q8" s="281">
        <f t="shared" si="1"/>
        <v>0</v>
      </c>
      <c r="R8" s="281">
        <v>31614</v>
      </c>
      <c r="S8" s="281">
        <f>233202*0.25-0.5</f>
        <v>58300</v>
      </c>
      <c r="T8" s="281">
        <f t="shared" si="1"/>
        <v>0</v>
      </c>
      <c r="U8" s="281">
        <f>659791+1518283</f>
        <v>2178074</v>
      </c>
      <c r="V8" s="281">
        <f>-SUMIF('MATRIZCTAS(a)'!$F$7:$F$1599,$C8&amp;V$7,'MATRIZCTAS(a)'!$AH$7:$AH$1599)</f>
        <v>0</v>
      </c>
      <c r="W8" s="281">
        <f>-SUMIF('MATRIZCTAS(a)'!$F$7:$F$1599,$C8&amp;W$7,'MATRIZCTAS(a)'!$AH$7:$AH$1599)</f>
        <v>0</v>
      </c>
      <c r="X8" s="281">
        <f>-SUMIF('MATRIZCTAS(a)'!$F$7:$F$1599,$C8&amp;X$7,'MATRIZCTAS(a)'!$AH$7:$AH$1599)</f>
        <v>0</v>
      </c>
      <c r="Y8" s="281">
        <v>0</v>
      </c>
      <c r="Z8" s="281">
        <v>0</v>
      </c>
      <c r="AA8" s="281">
        <f>-SUMIF('MATRIZCTAS(a)'!$F$7:$F$1599,$C8&amp;AA$7,'MATRIZCTAS(a)'!$AH$7:$AH$1599)</f>
        <v>0</v>
      </c>
      <c r="AB8" s="281">
        <f>2422015+457</f>
        <v>2422472</v>
      </c>
      <c r="AC8" s="281">
        <f>45928+320326</f>
        <v>366254</v>
      </c>
      <c r="AD8" s="281">
        <f>7530+29517+914225</f>
        <v>951272</v>
      </c>
      <c r="AE8" s="281">
        <f>-SUMIF('MATRIZCTAS(a)'!$F$7:$F$1599,$C8&amp;AE$7,'MATRIZCTAS(a)'!$AH$7:$AH$1599)</f>
        <v>0</v>
      </c>
      <c r="AF8" s="281">
        <f>60400-60400</f>
        <v>0</v>
      </c>
      <c r="AG8" s="281">
        <f>-SUMIF('MATRIZCTAS(a)'!$F$7:$F$1599,$C8&amp;AG$7,'MATRIZCTAS(a)'!$AH$7:$AH$1599)</f>
        <v>0</v>
      </c>
      <c r="AH8" s="281">
        <f>-SUMIF('MATRIZCTAS(a)'!$F$7:$F$1599,$C8&amp;AH$7,'MATRIZCTAS(a)'!$AH$7:$AH$1599)</f>
        <v>0</v>
      </c>
      <c r="AI8" s="281">
        <f>-SUMIF('MATRIZCTAS(a)'!$F$7:$F$1599,$C8&amp;AI$7,'MATRIZCTAS(a)'!$AH$7:$AH$1599)</f>
        <v>0</v>
      </c>
      <c r="AJ8" s="559">
        <f>-SUMIF('MATRIZCTAS(a)'!$F$7:$F$1599,$C8&amp;AJ$7,'MATRIZCTAS(a)'!$AH$7:$AH$1599)</f>
        <v>0</v>
      </c>
    </row>
    <row r="9" spans="1:37" s="142" customFormat="1" ht="20.100000000000001" customHeight="1">
      <c r="B9" s="148" t="s">
        <v>3347</v>
      </c>
      <c r="C9" s="282" t="s">
        <v>3347</v>
      </c>
      <c r="D9" s="138" t="s">
        <v>855</v>
      </c>
      <c r="E9" s="895">
        <f>SUM(G9:AJ9)</f>
        <v>0</v>
      </c>
      <c r="F9" s="154">
        <f>SUM(G9:AE9)</f>
        <v>0</v>
      </c>
      <c r="G9" s="154">
        <f>-SUMIF('MATRIZCTAS(a)'!$F$7:$F$1599,$C9&amp;G$7,'MATRIZCTAS(a)'!$AH$7:$AH$1599)</f>
        <v>0</v>
      </c>
      <c r="H9" s="154">
        <f>-SUMIF('MATRIZCTAS(a)'!$F$7:$F$1599,$C9&amp;H$7,'MATRIZCTAS(a)'!$AH$7:$AH$1599)</f>
        <v>0</v>
      </c>
      <c r="I9" s="154">
        <f>-SUMIF('MATRIZCTAS(a)'!$F$7:$F$1599,$C9&amp;I$7,'MATRIZCTAS(a)'!$AH$7:$AH$1599)</f>
        <v>0</v>
      </c>
      <c r="J9" s="154">
        <f>-SUMIF('MATRIZCTAS(a)'!$F$7:$F$1599,$C9&amp;J$7,'MATRIZCTAS(a)'!$AH$7:$AH$1599)</f>
        <v>0</v>
      </c>
      <c r="K9" s="154">
        <f>-SUMIF('MATRIZCTAS(a)'!$F$7:$F$1599,$C9&amp;K$7,'MATRIZCTAS(a)'!$AH$7:$AH$1599)</f>
        <v>0</v>
      </c>
      <c r="L9" s="154">
        <f>-SUMIF('MATRIZCTAS(a)'!$F$7:$F$1599,$C9&amp;L$7,'MATRIZCTAS(a)'!$AH$7:$AH$1599)</f>
        <v>0</v>
      </c>
      <c r="M9" s="154">
        <f>-SUMIF('MATRIZCTAS(a)'!$F$7:$F$1599,$C9&amp;M$7,'MATRIZCTAS(a)'!$AH$7:$AH$1599)</f>
        <v>0</v>
      </c>
      <c r="N9" s="154">
        <f>-SUMIF('MATRIZCTAS(a)'!$F$7:$F$1599,$C9&amp;N$7,'MATRIZCTAS(a)'!$AH$7:$AH$1599)</f>
        <v>0</v>
      </c>
      <c r="O9" s="154">
        <f>-SUMIF('MATRIZCTAS(a)'!$F$7:$F$1599,$C9&amp;O$7,'MATRIZCTAS(a)'!$AH$7:$AH$1599)</f>
        <v>0</v>
      </c>
      <c r="P9" s="154">
        <f>-SUMIF('MATRIZCTAS(a)'!$F$7:$F$1599,$C9&amp;P$7,'MATRIZCTAS(a)'!$AH$7:$AH$1599)</f>
        <v>0</v>
      </c>
      <c r="Q9" s="154">
        <f>-SUMIF('MATRIZCTAS(a)'!$F$7:$F$1599,$C9&amp;Q$7,'MATRIZCTAS(a)'!$AH$7:$AH$1599)</f>
        <v>0</v>
      </c>
      <c r="R9" s="154">
        <f>-SUMIF('MATRIZCTAS(a)'!$F$7:$F$1599,$C9&amp;R$7,'MATRIZCTAS(a)'!$AH$7:$AH$1599)</f>
        <v>0</v>
      </c>
      <c r="S9" s="154">
        <f>-SUMIF('MATRIZCTAS(a)'!$F$7:$F$1599,$C9&amp;S$7,'MATRIZCTAS(a)'!$AH$7:$AH$1599)</f>
        <v>0</v>
      </c>
      <c r="T9" s="154">
        <f>-SUMIF('MATRIZCTAS(a)'!$F$7:$F$1599,$C9&amp;T$7,'MATRIZCTAS(a)'!$AH$7:$AH$1599)</f>
        <v>0</v>
      </c>
      <c r="U9" s="154">
        <f>-SUMIF('MATRIZCTAS(a)'!$F$7:$F$1599,$C9&amp;U$7,'MATRIZCTAS(a)'!$AH$7:$AH$1599)</f>
        <v>0</v>
      </c>
      <c r="V9" s="154">
        <f>-SUMIF('MATRIZCTAS(a)'!$F$7:$F$1599,$C9&amp;V$7,'MATRIZCTAS(a)'!$AH$7:$AH$1599)</f>
        <v>0</v>
      </c>
      <c r="W9" s="154">
        <f>-SUMIF('MATRIZCTAS(a)'!$F$7:$F$1599,$C9&amp;W$7,'MATRIZCTAS(a)'!$AH$7:$AH$1599)</f>
        <v>0</v>
      </c>
      <c r="X9" s="154">
        <f>-SUMIF('MATRIZCTAS(a)'!$F$7:$F$1599,$C9&amp;X$7,'MATRIZCTAS(a)'!$AH$7:$AH$1599)</f>
        <v>0</v>
      </c>
      <c r="Y9" s="154">
        <f>-SUMIF('MATRIZCTAS(a)'!$F$7:$F$1599,$C9&amp;Y$7,'MATRIZCTAS(a)'!$AH$7:$AH$1599)</f>
        <v>0</v>
      </c>
      <c r="Z9" s="154">
        <f>-SUMIF('MATRIZCTAS(a)'!$F$7:$F$1599,$C9&amp;Z$7,'MATRIZCTAS(a)'!$AH$7:$AH$1599)</f>
        <v>0</v>
      </c>
      <c r="AA9" s="154">
        <f>-SUMIF('MATRIZCTAS(a)'!$F$7:$F$1599,$C9&amp;AA$7,'MATRIZCTAS(a)'!$AH$7:$AH$1599)</f>
        <v>0</v>
      </c>
      <c r="AB9" s="154">
        <f>-SUMIF('MATRIZCTAS(a)'!$F$7:$F$1599,$C9&amp;AB$7,'MATRIZCTAS(a)'!$AH$7:$AH$1599)</f>
        <v>0</v>
      </c>
      <c r="AC9" s="154">
        <f>-SUMIF('MATRIZCTAS(a)'!$F$7:$F$1599,$C9&amp;AC$7,'MATRIZCTAS(a)'!$AH$7:$AH$1599)</f>
        <v>0</v>
      </c>
      <c r="AD9" s="154">
        <f>-SUMIF('MATRIZCTAS(a)'!$F$7:$F$1599,$C9&amp;AD$7,'MATRIZCTAS(a)'!$AH$7:$AH$1599)</f>
        <v>0</v>
      </c>
      <c r="AE9" s="154">
        <f>-SUMIF('MATRIZCTAS(a)'!$F$7:$F$1599,$C9&amp;AE$7,'MATRIZCTAS(a)'!$AH$7:$AH$1599)</f>
        <v>0</v>
      </c>
      <c r="AF9" s="154">
        <f>-SUMIF('MATRIZCTAS(a)'!$F$7:$F$1599,$C9&amp;AF$7,'MATRIZCTAS(a)'!$AH$7:$AH$1599)</f>
        <v>0</v>
      </c>
      <c r="AG9" s="154">
        <f>-SUMIF('MATRIZCTAS(a)'!$F$7:$F$1599,$C9&amp;AG$7,'MATRIZCTAS(a)'!$AH$7:$AH$1599)</f>
        <v>0</v>
      </c>
      <c r="AH9" s="154">
        <f>-SUMIF('MATRIZCTAS(a)'!$F$7:$F$1599,$C9&amp;AH$7,'MATRIZCTAS(a)'!$AH$7:$AH$1599)</f>
        <v>0</v>
      </c>
      <c r="AI9" s="408">
        <f>-SUMIF('MATRIZCTAS(a)'!$F$7:$F$1599,$C9&amp;AI$7,'MATRIZCTAS(a)'!$AH$7:$AH$1599)</f>
        <v>0</v>
      </c>
      <c r="AJ9" s="155">
        <f>-SUMIF('MATRIZCTAS(a)'!$F$7:$F$1599,$C9&amp;AJ$7,'MATRIZCTAS(a)'!$AH$7:$AH$1599)</f>
        <v>0</v>
      </c>
    </row>
    <row r="10" spans="1:37" ht="20.100000000000001" customHeight="1">
      <c r="B10" s="148" t="s">
        <v>3348</v>
      </c>
      <c r="C10" s="282" t="s">
        <v>3348</v>
      </c>
      <c r="D10" s="138" t="s">
        <v>856</v>
      </c>
      <c r="E10" s="895">
        <f>SUM(G10:AJ10)</f>
        <v>-193288.5</v>
      </c>
      <c r="F10" s="154">
        <f>SUM(G10:AE10)</f>
        <v>-193288.5</v>
      </c>
      <c r="G10" s="154">
        <v>0</v>
      </c>
      <c r="H10" s="154">
        <v>-3389</v>
      </c>
      <c r="I10" s="154">
        <v>-2320</v>
      </c>
      <c r="J10" s="154">
        <v>0</v>
      </c>
      <c r="K10" s="154">
        <f t="shared" ref="K10:AA10" si="2">+K28*25%</f>
        <v>0</v>
      </c>
      <c r="L10" s="154">
        <f t="shared" si="2"/>
        <v>0</v>
      </c>
      <c r="M10" s="154">
        <f t="shared" si="2"/>
        <v>0</v>
      </c>
      <c r="N10" s="154">
        <f t="shared" si="2"/>
        <v>0</v>
      </c>
      <c r="O10" s="154">
        <v>-34059</v>
      </c>
      <c r="P10" s="154">
        <v>-3955</v>
      </c>
      <c r="Q10" s="154">
        <f t="shared" si="2"/>
        <v>0</v>
      </c>
      <c r="R10" s="154">
        <v>-9863</v>
      </c>
      <c r="S10" s="154">
        <f>-1426*0.25+1</f>
        <v>-355.5</v>
      </c>
      <c r="T10" s="154">
        <f t="shared" si="2"/>
        <v>0</v>
      </c>
      <c r="U10" s="154">
        <v>-134660</v>
      </c>
      <c r="V10" s="154">
        <f t="shared" si="2"/>
        <v>0</v>
      </c>
      <c r="W10" s="154">
        <f t="shared" si="2"/>
        <v>0</v>
      </c>
      <c r="X10" s="154">
        <f t="shared" si="2"/>
        <v>0</v>
      </c>
      <c r="Y10" s="154">
        <f t="shared" si="2"/>
        <v>0</v>
      </c>
      <c r="Z10" s="154">
        <f t="shared" si="2"/>
        <v>0</v>
      </c>
      <c r="AA10" s="154">
        <f t="shared" si="2"/>
        <v>0</v>
      </c>
      <c r="AB10" s="154">
        <v>0</v>
      </c>
      <c r="AC10" s="154">
        <v>-4043</v>
      </c>
      <c r="AD10" s="154">
        <f>-50-594</f>
        <v>-644</v>
      </c>
      <c r="AE10" s="154">
        <f>-SUMIF('MATRIZCTAS(a)'!$F$7:$F$1599,$C10&amp;AE$7,'MATRIZCTAS(a)'!$AH$7:$AH$1599)-AE18</f>
        <v>0</v>
      </c>
      <c r="AF10" s="154">
        <f>-SUMIF('MATRIZCTAS(a)'!$F$7:$F$1599,$C10&amp;AF$7,'MATRIZCTAS(a)'!$AH$7:$AH$1599)-AF18</f>
        <v>0</v>
      </c>
      <c r="AG10" s="154">
        <f>-SUMIF('MATRIZCTAS(a)'!$F$7:$F$1599,$C10&amp;AG$7,'MATRIZCTAS(a)'!$AH$7:$AH$1599)-AG18</f>
        <v>0</v>
      </c>
      <c r="AH10" s="154">
        <f>-SUMIF('MATRIZCTAS(a)'!$F$7:$F$1599,$C10&amp;AH$7,'MATRIZCTAS(a)'!$AH$7:$AH$1599)-AH18</f>
        <v>0</v>
      </c>
      <c r="AI10" s="408">
        <f>-SUMIF('MATRIZCTAS(a)'!$F$7:$F$1599,$C10&amp;AI$7,'MATRIZCTAS(a)'!$AH$7:$AH$1599)-AI18</f>
        <v>0</v>
      </c>
      <c r="AJ10" s="155">
        <f>-SUMIF('MATRIZCTAS(a)'!$F$7:$F$1599,$C10&amp;AJ$7,'MATRIZCTAS(a)'!$AH$7:$AH$1599)-AJ18</f>
        <v>0</v>
      </c>
    </row>
    <row r="11" spans="1:37" s="142" customFormat="1" ht="20.100000000000001" customHeight="1">
      <c r="B11" s="143" t="s">
        <v>3349</v>
      </c>
      <c r="C11" s="144" t="s">
        <v>3349</v>
      </c>
      <c r="D11" s="145" t="s">
        <v>857</v>
      </c>
      <c r="E11" s="891">
        <f>SUM(E8:E10)</f>
        <v>7083136.5</v>
      </c>
      <c r="F11" s="146">
        <f>SUM(F8:F10)</f>
        <v>7083136.5</v>
      </c>
      <c r="G11" s="146">
        <f t="shared" ref="G11:AJ11" si="3">SUM(G8:G10)</f>
        <v>0</v>
      </c>
      <c r="H11" s="146">
        <f>SUM(H8:H10)</f>
        <v>34381</v>
      </c>
      <c r="I11" s="146">
        <f>SUM(I8:I10)+1</f>
        <v>1143829</v>
      </c>
      <c r="J11" s="146">
        <f>SUM(J8:J10)</f>
        <v>0</v>
      </c>
      <c r="K11" s="146">
        <f t="shared" si="3"/>
        <v>0</v>
      </c>
      <c r="L11" s="146">
        <f>SUM(L8:L10)</f>
        <v>0</v>
      </c>
      <c r="M11" s="146">
        <v>0</v>
      </c>
      <c r="N11" s="146">
        <f>SUM(N8:N10)</f>
        <v>0</v>
      </c>
      <c r="O11" s="146">
        <f t="shared" si="3"/>
        <v>26499</v>
      </c>
      <c r="P11" s="146">
        <f t="shared" si="3"/>
        <v>20008</v>
      </c>
      <c r="Q11" s="146">
        <f t="shared" si="3"/>
        <v>0</v>
      </c>
      <c r="R11" s="146">
        <f t="shared" si="3"/>
        <v>21751</v>
      </c>
      <c r="S11" s="146">
        <f t="shared" si="3"/>
        <v>57944.5</v>
      </c>
      <c r="T11" s="146">
        <f t="shared" si="3"/>
        <v>0</v>
      </c>
      <c r="U11" s="146">
        <f t="shared" ref="U11:AA11" si="4">SUM(U8:U10)</f>
        <v>2043414</v>
      </c>
      <c r="V11" s="146">
        <f t="shared" si="4"/>
        <v>0</v>
      </c>
      <c r="W11" s="146">
        <f t="shared" si="4"/>
        <v>0</v>
      </c>
      <c r="X11" s="146">
        <f t="shared" si="4"/>
        <v>0</v>
      </c>
      <c r="Y11" s="146">
        <f t="shared" si="4"/>
        <v>0</v>
      </c>
      <c r="Z11" s="146">
        <f t="shared" si="4"/>
        <v>0</v>
      </c>
      <c r="AA11" s="146">
        <f t="shared" si="4"/>
        <v>0</v>
      </c>
      <c r="AB11" s="146">
        <f>SUM(AB8:AB10)</f>
        <v>2422472</v>
      </c>
      <c r="AC11" s="146">
        <f t="shared" si="3"/>
        <v>362211</v>
      </c>
      <c r="AD11" s="146">
        <f t="shared" si="3"/>
        <v>950628</v>
      </c>
      <c r="AE11" s="146">
        <f t="shared" si="3"/>
        <v>0</v>
      </c>
      <c r="AF11" s="146">
        <f t="shared" si="3"/>
        <v>0</v>
      </c>
      <c r="AG11" s="146">
        <f t="shared" si="3"/>
        <v>0</v>
      </c>
      <c r="AH11" s="146">
        <f t="shared" si="3"/>
        <v>0</v>
      </c>
      <c r="AI11" s="406">
        <f t="shared" si="3"/>
        <v>0</v>
      </c>
      <c r="AJ11" s="147">
        <f t="shared" si="3"/>
        <v>0</v>
      </c>
    </row>
    <row r="12" spans="1:37" ht="20.100000000000001" customHeight="1">
      <c r="B12" s="148" t="s">
        <v>3350</v>
      </c>
      <c r="C12" s="282" t="s">
        <v>3350</v>
      </c>
      <c r="D12" s="138" t="s">
        <v>1634</v>
      </c>
      <c r="E12" s="895">
        <f>SUM(G12:AJ12)</f>
        <v>70446185</v>
      </c>
      <c r="F12" s="154">
        <f>SUM(G12:AE12)</f>
        <v>603993</v>
      </c>
      <c r="G12" s="154">
        <f>-SUMIF('MATRIZCTAS(a)'!$F$7:$F$1599,$C12&amp;G$7,'MATRIZCTAS(a)'!$AH$7:$AH$1599)</f>
        <v>0</v>
      </c>
      <c r="H12" s="154">
        <f>-SUMIF('MATRIZCTAS(a)'!$F$7:$F$1599,$C12&amp;H$7,'MATRIZCTAS(a)'!$AH$7:$AH$1599)</f>
        <v>0</v>
      </c>
      <c r="I12" s="154">
        <f>-SUMIF('MATRIZCTAS(a)'!$F$7:$F$1599,$C12&amp;I$7,'MATRIZCTAS(a)'!$AH$7:$AH$1599)</f>
        <v>0</v>
      </c>
      <c r="J12" s="154">
        <f>-SUMIF('MATRIZCTAS(a)'!$F$7:$F$1599,$C12&amp;J$7,'MATRIZCTAS(a)'!$AH$7:$AH$1599)</f>
        <v>0</v>
      </c>
      <c r="K12" s="154">
        <f>+C_6.01!J13</f>
        <v>603993</v>
      </c>
      <c r="L12" s="154">
        <f>-SUMIF('MATRIZCTAS(a)'!$F$7:$F$1599,$C12&amp;L$7,'MATRIZCTAS(a)'!$AH$7:$AH$1599)</f>
        <v>0</v>
      </c>
      <c r="M12" s="154">
        <f>-SUMIF('MATRIZCTAS(a)'!$F$7:$F$1599,$C12&amp;M$7,'MATRIZCTAS(a)'!$AH$7:$AH$1599)</f>
        <v>0</v>
      </c>
      <c r="N12" s="154">
        <f>-SUMIF('MATRIZCTAS(a)'!$F$7:$F$1599,$C12&amp;N$7,'MATRIZCTAS(a)'!$AH$7:$AH$1599)</f>
        <v>0</v>
      </c>
      <c r="O12" s="154">
        <f>-SUMIF('MATRIZCTAS(a)'!$F$7:$F$1599,$C12&amp;O$7,'MATRIZCTAS(a)'!$AH$7:$AH$1599)</f>
        <v>0</v>
      </c>
      <c r="P12" s="154">
        <f>-SUMIF('MATRIZCTAS(a)'!$F$7:$F$1599,$C12&amp;P$7,'MATRIZCTAS(a)'!$AH$7:$AH$1599)</f>
        <v>0</v>
      </c>
      <c r="Q12" s="154">
        <f>-SUMIF('MATRIZCTAS(a)'!$F$7:$F$1599,$C12&amp;Q$7,'MATRIZCTAS(a)'!$AH$7:$AH$1599)</f>
        <v>0</v>
      </c>
      <c r="R12" s="154">
        <f>-SUMIF('MATRIZCTAS(a)'!$F$7:$F$1599,$C12&amp;R$7,'MATRIZCTAS(a)'!$AH$7:$AH$1599)</f>
        <v>0</v>
      </c>
      <c r="S12" s="154">
        <f>-SUMIF('MATRIZCTAS(a)'!$F$7:$F$1599,$C12&amp;S$7,'MATRIZCTAS(a)'!$AH$7:$AH$1599)</f>
        <v>0</v>
      </c>
      <c r="T12" s="154">
        <f>-SUMIF('MATRIZCTAS(a)'!$F$7:$F$1599,$C12&amp;T$7,'MATRIZCTAS(a)'!$AH$7:$AH$1599)</f>
        <v>0</v>
      </c>
      <c r="U12" s="154">
        <f>-SUMIF('MATRIZCTAS(a)'!$F$7:$F$1599,$C12&amp;U$7,'MATRIZCTAS(a)'!$AH$7:$AH$1599)</f>
        <v>0</v>
      </c>
      <c r="V12" s="154">
        <f>-SUMIF('MATRIZCTAS(a)'!$F$7:$F$1599,$C12&amp;V$7,'MATRIZCTAS(a)'!$AH$7:$AH$1599)</f>
        <v>0</v>
      </c>
      <c r="W12" s="154">
        <f>-SUMIF('MATRIZCTAS(a)'!$F$7:$F$1599,$C12&amp;W$7,'MATRIZCTAS(a)'!$AH$7:$AH$1599)</f>
        <v>0</v>
      </c>
      <c r="X12" s="154">
        <f>-SUMIF('MATRIZCTAS(a)'!$F$7:$F$1599,$C12&amp;X$7,'MATRIZCTAS(a)'!$AH$7:$AH$1599)</f>
        <v>0</v>
      </c>
      <c r="Y12" s="154">
        <f>-SUMIF('MATRIZCTAS(a)'!$F$7:$F$1599,$C12&amp;Y$7,'MATRIZCTAS(a)'!$AH$7:$AH$1599)</f>
        <v>0</v>
      </c>
      <c r="Z12" s="154">
        <f>-SUMIF('MATRIZCTAS(a)'!$F$7:$F$1599,$C12&amp;Z$7,'MATRIZCTAS(a)'!$AH$7:$AH$1599)</f>
        <v>0</v>
      </c>
      <c r="AA12" s="154">
        <f>-SUMIF('MATRIZCTAS(a)'!$F$7:$F$1599,$C12&amp;AA$7,'MATRIZCTAS(a)'!$AH$7:$AH$1599)</f>
        <v>0</v>
      </c>
      <c r="AB12" s="154">
        <f>-SUMIF('MATRIZCTAS(a)'!$F$7:$F$1599,$C12&amp;AB$7,'MATRIZCTAS(a)'!$AH$7:$AH$1599)</f>
        <v>0</v>
      </c>
      <c r="AC12" s="154">
        <f>-SUMIF('MATRIZCTAS(a)'!$F$7:$F$1599,$C12&amp;AC$7,'MATRIZCTAS(a)'!$AH$7:$AH$1599)</f>
        <v>0</v>
      </c>
      <c r="AD12" s="154">
        <f>-SUMIF('MATRIZCTAS(a)'!$F$7:$F$1599,$C12&amp;AD$7,'MATRIZCTAS(a)'!$AH$7:$AH$1599)</f>
        <v>0</v>
      </c>
      <c r="AE12" s="154">
        <f>-SUMIF('MATRIZCTAS(a)'!$F$7:$F$1599,$C12&amp;AE$7,'MATRIZCTAS(a)'!$AH$7:$AH$1599)</f>
        <v>0</v>
      </c>
      <c r="AF12" s="154">
        <v>0</v>
      </c>
      <c r="AG12" s="154">
        <f>25827825+6919770-1</f>
        <v>32747594</v>
      </c>
      <c r="AH12" s="154">
        <f>30647195+923467</f>
        <v>31570662</v>
      </c>
      <c r="AI12" s="154">
        <v>5523936</v>
      </c>
      <c r="AJ12" s="155">
        <f>-SUMIF('MATRIZCTAS(a)'!$F$7:$F$1599,$C12&amp;AJ$7,'MATRIZCTAS(a)'!$AH$7:$AH$1599)</f>
        <v>0</v>
      </c>
    </row>
    <row r="13" spans="1:37" ht="20.100000000000001" customHeight="1">
      <c r="B13" s="148" t="s">
        <v>3351</v>
      </c>
      <c r="C13" s="282" t="s">
        <v>3351</v>
      </c>
      <c r="D13" s="138" t="s">
        <v>1635</v>
      </c>
      <c r="E13" s="895">
        <f>SUM(G13:AJ13)</f>
        <v>0</v>
      </c>
      <c r="F13" s="154">
        <f>SUM(G13:AE13)</f>
        <v>0</v>
      </c>
      <c r="G13" s="154">
        <f>-SUMIF('MATRIZCTAS(a)'!$F$7:$F$1599,$C13&amp;G$7,'MATRIZCTAS(a)'!$AH$7:$AH$1599)</f>
        <v>0</v>
      </c>
      <c r="H13" s="154">
        <f>-SUMIF('MATRIZCTAS(a)'!$F$7:$F$1599,$C13&amp;H$7,'MATRIZCTAS(a)'!$AH$7:$AH$1599)</f>
        <v>0</v>
      </c>
      <c r="I13" s="154">
        <f>-SUMIF('MATRIZCTAS(a)'!$F$7:$F$1599,$C13&amp;I$7,'MATRIZCTAS(a)'!$AH$7:$AH$1599)</f>
        <v>0</v>
      </c>
      <c r="J13" s="154">
        <f>-SUMIF('MATRIZCTAS(a)'!$F$7:$F$1599,$C13&amp;J$7,'MATRIZCTAS(a)'!$AH$7:$AH$1599)</f>
        <v>0</v>
      </c>
      <c r="K13" s="154">
        <f>-SUMIF('MATRIZCTAS(a)'!$F$7:$F$1599,$C13&amp;K$7,'MATRIZCTAS(a)'!$AH$7:$AH$1599)</f>
        <v>0</v>
      </c>
      <c r="L13" s="154">
        <f>-SUMIF('MATRIZCTAS(a)'!$F$7:$F$1599,$C13&amp;L$7,'MATRIZCTAS(a)'!$AH$7:$AH$1599)</f>
        <v>0</v>
      </c>
      <c r="M13" s="154">
        <f>-SUMIF('MATRIZCTAS(a)'!$F$7:$F$1599,$C13&amp;M$7,'MATRIZCTAS(a)'!$AH$7:$AH$1599)</f>
        <v>0</v>
      </c>
      <c r="N13" s="154">
        <f>-SUMIF('MATRIZCTAS(a)'!$F$7:$F$1599,$C13&amp;N$7,'MATRIZCTAS(a)'!$AH$7:$AH$1599)</f>
        <v>0</v>
      </c>
      <c r="O13" s="154">
        <f>-SUMIF('MATRIZCTAS(a)'!$F$7:$F$1599,$C13&amp;O$7,'MATRIZCTAS(a)'!$AH$7:$AH$1599)</f>
        <v>0</v>
      </c>
      <c r="P13" s="154">
        <f>-SUMIF('MATRIZCTAS(a)'!$F$7:$F$1599,$C13&amp;P$7,'MATRIZCTAS(a)'!$AH$7:$AH$1599)</f>
        <v>0</v>
      </c>
      <c r="Q13" s="154">
        <f>-SUMIF('MATRIZCTAS(a)'!$F$7:$F$1599,$C13&amp;Q$7,'MATRIZCTAS(a)'!$AH$7:$AH$1599)</f>
        <v>0</v>
      </c>
      <c r="R13" s="154">
        <f>-SUMIF('MATRIZCTAS(a)'!$F$7:$F$1599,$C13&amp;R$7,'MATRIZCTAS(a)'!$AH$7:$AH$1599)</f>
        <v>0</v>
      </c>
      <c r="S13" s="154">
        <f>-SUMIF('MATRIZCTAS(a)'!$F$7:$F$1599,$C13&amp;S$7,'MATRIZCTAS(a)'!$AH$7:$AH$1599)</f>
        <v>0</v>
      </c>
      <c r="T13" s="154">
        <f>-SUMIF('MATRIZCTAS(a)'!$F$7:$F$1599,$C13&amp;T$7,'MATRIZCTAS(a)'!$AH$7:$AH$1599)</f>
        <v>0</v>
      </c>
      <c r="U13" s="154">
        <f>-SUMIF('MATRIZCTAS(a)'!$F$7:$F$1599,$C13&amp;U$7,'MATRIZCTAS(a)'!$AH$7:$AH$1599)</f>
        <v>0</v>
      </c>
      <c r="V13" s="154">
        <f>-SUMIF('MATRIZCTAS(a)'!$F$7:$F$1599,$C13&amp;V$7,'MATRIZCTAS(a)'!$AH$7:$AH$1599)</f>
        <v>0</v>
      </c>
      <c r="W13" s="154">
        <f>-SUMIF('MATRIZCTAS(a)'!$F$7:$F$1599,$C13&amp;W$7,'MATRIZCTAS(a)'!$AH$7:$AH$1599)</f>
        <v>0</v>
      </c>
      <c r="X13" s="154">
        <f>-SUMIF('MATRIZCTAS(a)'!$F$7:$F$1599,$C13&amp;X$7,'MATRIZCTAS(a)'!$AH$7:$AH$1599)</f>
        <v>0</v>
      </c>
      <c r="Y13" s="154">
        <f>-SUMIF('MATRIZCTAS(a)'!$F$7:$F$1599,$C13&amp;Y$7,'MATRIZCTAS(a)'!$AH$7:$AH$1599)</f>
        <v>0</v>
      </c>
      <c r="Z13" s="154">
        <f>-SUMIF('MATRIZCTAS(a)'!$F$7:$F$1599,$C13&amp;Z$7,'MATRIZCTAS(a)'!$AH$7:$AH$1599)</f>
        <v>0</v>
      </c>
      <c r="AA13" s="154">
        <f>-SUMIF('MATRIZCTAS(a)'!$F$7:$F$1599,$C13&amp;AA$7,'MATRIZCTAS(a)'!$AH$7:$AH$1599)</f>
        <v>0</v>
      </c>
      <c r="AB13" s="154">
        <f>-SUMIF('MATRIZCTAS(a)'!$F$7:$F$1599,$C13&amp;AB$7,'MATRIZCTAS(a)'!$AH$7:$AH$1599)</f>
        <v>0</v>
      </c>
      <c r="AC13" s="154">
        <f>-SUMIF('MATRIZCTAS(a)'!$F$7:$F$1599,$C13&amp;AC$7,'MATRIZCTAS(a)'!$AH$7:$AH$1599)</f>
        <v>0</v>
      </c>
      <c r="AD13" s="154">
        <f>-SUMIF('MATRIZCTAS(a)'!$F$7:$F$1599,$C13&amp;AD$7,'MATRIZCTAS(a)'!$AH$7:$AH$1599)</f>
        <v>0</v>
      </c>
      <c r="AE13" s="154">
        <f>-SUMIF('MATRIZCTAS(a)'!$F$7:$F$1599,$C13&amp;AE$7,'MATRIZCTAS(a)'!$AH$7:$AH$1599)</f>
        <v>0</v>
      </c>
      <c r="AF13" s="154">
        <f>-SUMIF('MATRIZCTAS(a)'!$F$7:$F$1599,$C13&amp;AF$7,'MATRIZCTAS(a)'!$AH$7:$AH$1599)</f>
        <v>0</v>
      </c>
      <c r="AG13" s="154">
        <f>-SUMIF('MATRIZCTAS(a)'!$F$7:$F$1599,$C13&amp;AG$7,'MATRIZCTAS(a)'!$AH$7:$AH$1599)</f>
        <v>0</v>
      </c>
      <c r="AH13" s="154">
        <f>-SUMIF('MATRIZCTAS(a)'!$F$7:$F$1599,$C13&amp;AH$7,'MATRIZCTAS(a)'!$AH$7:$AH$1599)</f>
        <v>0</v>
      </c>
      <c r="AI13" s="408">
        <f>-SUMIF('MATRIZCTAS(a)'!$F$7:$F$1599,$C13&amp;AI$7,'MATRIZCTAS(a)'!$AH$7:$AH$1599)</f>
        <v>0</v>
      </c>
      <c r="AJ13" s="155">
        <f>-SUMIF('MATRIZCTAS(a)'!$F$7:$F$1599,$C13&amp;AJ$7,'MATRIZCTAS(a)'!$AH$7:$AH$1599)</f>
        <v>0</v>
      </c>
    </row>
    <row r="14" spans="1:37" ht="20.100000000000001" customHeight="1">
      <c r="B14" s="148" t="s">
        <v>3352</v>
      </c>
      <c r="C14" s="282" t="s">
        <v>3352</v>
      </c>
      <c r="D14" s="138" t="s">
        <v>1636</v>
      </c>
      <c r="E14" s="895">
        <f>SUM(G14:AJ14)</f>
        <v>0</v>
      </c>
      <c r="F14" s="154">
        <f>SUM(G14:AE14)</f>
        <v>0</v>
      </c>
      <c r="G14" s="154">
        <f>-SUMIF('MATRIZCTAS(a)'!$F$7:$F$1599,$C14&amp;G$7,'MATRIZCTAS(a)'!$AH$7:$AH$1599)</f>
        <v>0</v>
      </c>
      <c r="H14" s="154">
        <f>-SUMIF('MATRIZCTAS(a)'!$F$7:$F$1599,$C14&amp;H$7,'MATRIZCTAS(a)'!$AH$7:$AH$1599)</f>
        <v>0</v>
      </c>
      <c r="I14" s="154">
        <f>-SUMIF('MATRIZCTAS(a)'!$F$7:$F$1599,$C14&amp;I$7,'MATRIZCTAS(a)'!$AH$7:$AH$1599)</f>
        <v>0</v>
      </c>
      <c r="J14" s="154">
        <f>-SUMIF('MATRIZCTAS(a)'!$F$7:$F$1599,$C14&amp;J$7,'MATRIZCTAS(a)'!$AH$7:$AH$1599)</f>
        <v>0</v>
      </c>
      <c r="K14" s="154">
        <f>-SUMIF('MATRIZCTAS(a)'!$F$7:$F$1599,$C14&amp;K$7,'MATRIZCTAS(a)'!$AH$7:$AH$1599)</f>
        <v>0</v>
      </c>
      <c r="L14" s="154">
        <f>-SUMIF('MATRIZCTAS(a)'!$F$7:$F$1599,$C14&amp;L$7,'MATRIZCTAS(a)'!$AH$7:$AH$1599)</f>
        <v>0</v>
      </c>
      <c r="M14" s="154">
        <f>-SUMIF('MATRIZCTAS(a)'!$F$7:$F$1599,$C14&amp;M$7,'MATRIZCTAS(a)'!$AH$7:$AH$1599)</f>
        <v>0</v>
      </c>
      <c r="N14" s="154">
        <f>-SUMIF('MATRIZCTAS(a)'!$F$7:$F$1599,$C14&amp;N$7,'MATRIZCTAS(a)'!$AH$7:$AH$1599)</f>
        <v>0</v>
      </c>
      <c r="O14" s="154">
        <f>-SUMIF('MATRIZCTAS(a)'!$F$7:$F$1599,$C14&amp;O$7,'MATRIZCTAS(a)'!$AH$7:$AH$1599)</f>
        <v>0</v>
      </c>
      <c r="P14" s="154">
        <f>-SUMIF('MATRIZCTAS(a)'!$F$7:$F$1599,$C14&amp;P$7,'MATRIZCTAS(a)'!$AH$7:$AH$1599)</f>
        <v>0</v>
      </c>
      <c r="Q14" s="154">
        <f>-SUMIF('MATRIZCTAS(a)'!$F$7:$F$1599,$C14&amp;Q$7,'MATRIZCTAS(a)'!$AH$7:$AH$1599)</f>
        <v>0</v>
      </c>
      <c r="R14" s="154">
        <f>-SUMIF('MATRIZCTAS(a)'!$F$7:$F$1599,$C14&amp;R$7,'MATRIZCTAS(a)'!$AH$7:$AH$1599)</f>
        <v>0</v>
      </c>
      <c r="S14" s="154">
        <f>-SUMIF('MATRIZCTAS(a)'!$F$7:$F$1599,$C14&amp;S$7,'MATRIZCTAS(a)'!$AH$7:$AH$1599)</f>
        <v>0</v>
      </c>
      <c r="T14" s="154">
        <f>-SUMIF('MATRIZCTAS(a)'!$F$7:$F$1599,$C14&amp;T$7,'MATRIZCTAS(a)'!$AH$7:$AH$1599)</f>
        <v>0</v>
      </c>
      <c r="U14" s="154">
        <f>-SUMIF('MATRIZCTAS(a)'!$F$7:$F$1599,$C14&amp;U$7,'MATRIZCTAS(a)'!$AH$7:$AH$1599)</f>
        <v>0</v>
      </c>
      <c r="V14" s="154">
        <f>-SUMIF('MATRIZCTAS(a)'!$F$7:$F$1599,$C14&amp;V$7,'MATRIZCTAS(a)'!$AH$7:$AH$1599)</f>
        <v>0</v>
      </c>
      <c r="W14" s="154">
        <f>-SUMIF('MATRIZCTAS(a)'!$F$7:$F$1599,$C14&amp;W$7,'MATRIZCTAS(a)'!$AH$7:$AH$1599)</f>
        <v>0</v>
      </c>
      <c r="X14" s="154">
        <f>-SUMIF('MATRIZCTAS(a)'!$F$7:$F$1599,$C14&amp;X$7,'MATRIZCTAS(a)'!$AH$7:$AH$1599)</f>
        <v>0</v>
      </c>
      <c r="Y14" s="154">
        <f>-SUMIF('MATRIZCTAS(a)'!$F$7:$F$1599,$C14&amp;Y$7,'MATRIZCTAS(a)'!$AH$7:$AH$1599)</f>
        <v>0</v>
      </c>
      <c r="Z14" s="154">
        <f>-SUMIF('MATRIZCTAS(a)'!$F$7:$F$1599,$C14&amp;Z$7,'MATRIZCTAS(a)'!$AH$7:$AH$1599)</f>
        <v>0</v>
      </c>
      <c r="AA14" s="154">
        <f>-SUMIF('MATRIZCTAS(a)'!$F$7:$F$1599,$C14&amp;AA$7,'MATRIZCTAS(a)'!$AH$7:$AH$1599)</f>
        <v>0</v>
      </c>
      <c r="AB14" s="154">
        <f>-SUMIF('MATRIZCTAS(a)'!$F$7:$F$1599,$C14&amp;AB$7,'MATRIZCTAS(a)'!$AH$7:$AH$1599)</f>
        <v>0</v>
      </c>
      <c r="AC14" s="154">
        <f>-SUMIF('MATRIZCTAS(a)'!$F$7:$F$1599,$C14&amp;AC$7,'MATRIZCTAS(a)'!$AH$7:$AH$1599)</f>
        <v>0</v>
      </c>
      <c r="AD14" s="154">
        <f>-SUMIF('MATRIZCTAS(a)'!$F$7:$F$1599,$C14&amp;AD$7,'MATRIZCTAS(a)'!$AH$7:$AH$1599)</f>
        <v>0</v>
      </c>
      <c r="AE14" s="154">
        <f>-SUMIF('MATRIZCTAS(a)'!$F$7:$F$1599,$C14&amp;AE$7,'MATRIZCTAS(a)'!$AH$7:$AH$1599)</f>
        <v>0</v>
      </c>
      <c r="AF14" s="154">
        <f>-SUMIF('MATRIZCTAS(a)'!$F$7:$F$1599,$C14&amp;AF$7,'MATRIZCTAS(a)'!$AH$7:$AH$1599)</f>
        <v>0</v>
      </c>
      <c r="AG14" s="154">
        <f>-SUMIF('MATRIZCTAS(a)'!$F$7:$F$1599,$C14&amp;AG$7,'MATRIZCTAS(a)'!$AH$7:$AH$1599)</f>
        <v>0</v>
      </c>
      <c r="AH14" s="154">
        <f>-SUMIF('MATRIZCTAS(a)'!$F$7:$F$1599,$C14&amp;AH$7,'MATRIZCTAS(a)'!$AH$7:$AH$1599)</f>
        <v>0</v>
      </c>
      <c r="AI14" s="408">
        <f>-SUMIF('MATRIZCTAS(a)'!$F$7:$F$1599,$C14&amp;AI$7,'MATRIZCTAS(a)'!$AH$7:$AH$1599)</f>
        <v>0</v>
      </c>
      <c r="AJ14" s="155">
        <f>-SUMIF('MATRIZCTAS(a)'!$F$7:$F$1599,$C14&amp;AJ$7,'MATRIZCTAS(a)'!$AH$7:$AH$1599)</f>
        <v>0</v>
      </c>
    </row>
    <row r="15" spans="1:37" s="142" customFormat="1" ht="20.100000000000001" customHeight="1">
      <c r="B15" s="143" t="s">
        <v>3353</v>
      </c>
      <c r="C15" s="144" t="s">
        <v>3353</v>
      </c>
      <c r="D15" s="145" t="s">
        <v>1637</v>
      </c>
      <c r="E15" s="891">
        <f>SUM(E12:E14)</f>
        <v>70446185</v>
      </c>
      <c r="F15" s="146">
        <f>SUM(F12:F14)</f>
        <v>603993</v>
      </c>
      <c r="G15" s="420">
        <f t="shared" ref="G15:AJ15" si="5">SUM(G12:G14)</f>
        <v>0</v>
      </c>
      <c r="H15" s="420">
        <f>SUM(H12:H14)</f>
        <v>0</v>
      </c>
      <c r="I15" s="420">
        <f>SUM(I12:I14)</f>
        <v>0</v>
      </c>
      <c r="J15" s="420">
        <f>SUM(J12:J14)</f>
        <v>0</v>
      </c>
      <c r="K15" s="420">
        <f t="shared" si="5"/>
        <v>603993</v>
      </c>
      <c r="L15" s="420">
        <f>SUM(L12:L14)</f>
        <v>0</v>
      </c>
      <c r="M15" s="420">
        <f>SUM(M12:M14)</f>
        <v>0</v>
      </c>
      <c r="N15" s="420">
        <f>SUM(N12:N14)</f>
        <v>0</v>
      </c>
      <c r="O15" s="420">
        <f t="shared" si="5"/>
        <v>0</v>
      </c>
      <c r="P15" s="420">
        <f t="shared" si="5"/>
        <v>0</v>
      </c>
      <c r="Q15" s="420">
        <f t="shared" si="5"/>
        <v>0</v>
      </c>
      <c r="R15" s="420">
        <f t="shared" si="5"/>
        <v>0</v>
      </c>
      <c r="S15" s="420">
        <f t="shared" si="5"/>
        <v>0</v>
      </c>
      <c r="T15" s="420">
        <f t="shared" si="5"/>
        <v>0</v>
      </c>
      <c r="U15" s="420">
        <f t="shared" ref="U15:AA15" si="6">SUM(U12:U14)</f>
        <v>0</v>
      </c>
      <c r="V15" s="420">
        <f t="shared" si="6"/>
        <v>0</v>
      </c>
      <c r="W15" s="420">
        <f t="shared" si="6"/>
        <v>0</v>
      </c>
      <c r="X15" s="420">
        <f t="shared" si="6"/>
        <v>0</v>
      </c>
      <c r="Y15" s="420">
        <f t="shared" si="6"/>
        <v>0</v>
      </c>
      <c r="Z15" s="420">
        <f t="shared" si="6"/>
        <v>0</v>
      </c>
      <c r="AA15" s="420">
        <f t="shared" si="6"/>
        <v>0</v>
      </c>
      <c r="AB15" s="420">
        <f t="shared" si="5"/>
        <v>0</v>
      </c>
      <c r="AC15" s="420">
        <f t="shared" si="5"/>
        <v>0</v>
      </c>
      <c r="AD15" s="420">
        <f t="shared" si="5"/>
        <v>0</v>
      </c>
      <c r="AE15" s="420">
        <f t="shared" si="5"/>
        <v>0</v>
      </c>
      <c r="AF15" s="154">
        <f t="shared" si="5"/>
        <v>0</v>
      </c>
      <c r="AG15" s="420">
        <f t="shared" si="5"/>
        <v>32747594</v>
      </c>
      <c r="AH15" s="420">
        <f t="shared" si="5"/>
        <v>31570662</v>
      </c>
      <c r="AI15" s="421">
        <f t="shared" si="5"/>
        <v>5523936</v>
      </c>
      <c r="AJ15" s="422">
        <f t="shared" si="5"/>
        <v>0</v>
      </c>
    </row>
    <row r="16" spans="1:37" ht="20.100000000000001" customHeight="1">
      <c r="B16" s="148" t="s">
        <v>3354</v>
      </c>
      <c r="C16" s="282" t="s">
        <v>3354</v>
      </c>
      <c r="D16" s="138" t="s">
        <v>1638</v>
      </c>
      <c r="E16" s="895">
        <f>SUM(G16:AJ16)</f>
        <v>28679379</v>
      </c>
      <c r="F16" s="154">
        <f>SUM(G16:AE16)</f>
        <v>29767660</v>
      </c>
      <c r="G16" s="154">
        <f>+C_6.01!F13-G8</f>
        <v>198054</v>
      </c>
      <c r="H16" s="154">
        <f>+C_6.01!G13-H8</f>
        <v>196743</v>
      </c>
      <c r="I16" s="154">
        <f>+C_6.01!H13-I8</f>
        <v>3973157</v>
      </c>
      <c r="J16" s="154">
        <f>+C_6.01!I13-J8</f>
        <v>325152</v>
      </c>
      <c r="K16" s="154">
        <v>0</v>
      </c>
      <c r="L16" s="154">
        <f>+C_6.01!K13-L8</f>
        <v>0</v>
      </c>
      <c r="M16" s="154">
        <f>+C_6.01!L13-M8</f>
        <v>0</v>
      </c>
      <c r="N16" s="154">
        <f>+C_6.01!M13-N8</f>
        <v>5640</v>
      </c>
      <c r="O16" s="154">
        <f>+C_6.01!N13-O8</f>
        <v>444540</v>
      </c>
      <c r="P16" s="154">
        <f>+C_6.01!O13-P8</f>
        <v>126070</v>
      </c>
      <c r="Q16" s="154">
        <f>+C_6.01!P13-Q8</f>
        <v>0</v>
      </c>
      <c r="R16" s="154">
        <f>+C_6.01!Q13-R8</f>
        <v>5412</v>
      </c>
      <c r="S16" s="154">
        <f>+C_6.01!S13-S8</f>
        <v>174902</v>
      </c>
      <c r="T16" s="154">
        <f>+C_6.01!T13</f>
        <v>0</v>
      </c>
      <c r="U16" s="154">
        <f>+C_6.01!U13-U8</f>
        <v>8121900</v>
      </c>
      <c r="V16" s="154">
        <f>+C_6.01!V13</f>
        <v>0</v>
      </c>
      <c r="W16" s="154">
        <f>+C_6.01!W13</f>
        <v>0</v>
      </c>
      <c r="X16" s="154">
        <f>+C_6.01!X13</f>
        <v>0</v>
      </c>
      <c r="Y16" s="154">
        <f>+C_6.01!Y13</f>
        <v>0</v>
      </c>
      <c r="Z16" s="154">
        <f>+C_6.01!Z13</f>
        <v>258959</v>
      </c>
      <c r="AA16" s="154">
        <f>+C_6.01!AA13</f>
        <v>0</v>
      </c>
      <c r="AB16" s="154">
        <f>+C_6.01!AB13-AB8</f>
        <v>13243376</v>
      </c>
      <c r="AC16" s="154">
        <f>+C_6.01!AC13-AC8</f>
        <v>134437</v>
      </c>
      <c r="AD16" s="154">
        <f>+C_6.01!AE13-AD8</f>
        <v>2559318</v>
      </c>
      <c r="AE16" s="154">
        <f>+C_6.01!AF13</f>
        <v>0</v>
      </c>
      <c r="AF16" s="154">
        <f>-1148681+60400</f>
        <v>-1088281</v>
      </c>
      <c r="AG16" s="154">
        <v>0</v>
      </c>
      <c r="AH16" s="154">
        <f>-SUMIF('MATRIZCTAS(a)'!$F$7:$F$1599,$C16&amp;AH$7,'MATRIZCTAS(a)'!$AH$7:$AH$1599)-AH25</f>
        <v>0</v>
      </c>
      <c r="AI16" s="154">
        <f>-SUMIF('MATRIZCTAS(a)'!$F$7:$F$1599,$C16&amp;AI$7,'MATRIZCTAS(a)'!$AH$7:$AH$1599)-AI25</f>
        <v>0</v>
      </c>
      <c r="AJ16" s="155">
        <f>-SUMIF('MATRIZCTAS(a)'!$F$7:$F$1599,$C16&amp;AJ$7,'MATRIZCTAS(a)'!$AH$7:$AH$1599)-AJ25</f>
        <v>0</v>
      </c>
    </row>
    <row r="17" spans="2:39" s="142" customFormat="1" ht="20.100000000000001" customHeight="1">
      <c r="B17" s="148" t="s">
        <v>3355</v>
      </c>
      <c r="C17" s="282" t="s">
        <v>3355</v>
      </c>
      <c r="D17" s="138" t="s">
        <v>1639</v>
      </c>
      <c r="E17" s="895">
        <f>SUM(G17:AJ17)</f>
        <v>0</v>
      </c>
      <c r="F17" s="154">
        <f>SUM(G17:AE17)</f>
        <v>0</v>
      </c>
      <c r="G17" s="154">
        <v>0</v>
      </c>
      <c r="H17" s="154">
        <v>0</v>
      </c>
      <c r="I17" s="154">
        <v>0</v>
      </c>
      <c r="J17" s="154">
        <v>0</v>
      </c>
      <c r="K17" s="154">
        <v>0</v>
      </c>
      <c r="L17" s="154">
        <v>0</v>
      </c>
      <c r="M17" s="154">
        <v>0</v>
      </c>
      <c r="N17" s="154">
        <v>0</v>
      </c>
      <c r="O17" s="154">
        <v>0</v>
      </c>
      <c r="P17" s="154">
        <v>0</v>
      </c>
      <c r="Q17" s="154">
        <v>0</v>
      </c>
      <c r="R17" s="154">
        <v>0</v>
      </c>
      <c r="S17" s="154">
        <v>0</v>
      </c>
      <c r="T17" s="154">
        <v>0</v>
      </c>
      <c r="U17" s="154">
        <v>0</v>
      </c>
      <c r="V17" s="154">
        <v>0</v>
      </c>
      <c r="W17" s="154">
        <v>0</v>
      </c>
      <c r="X17" s="154">
        <v>0</v>
      </c>
      <c r="Y17" s="154">
        <v>0</v>
      </c>
      <c r="Z17" s="154">
        <v>0</v>
      </c>
      <c r="AA17" s="154">
        <v>0</v>
      </c>
      <c r="AB17" s="154">
        <v>0</v>
      </c>
      <c r="AC17" s="154">
        <v>0</v>
      </c>
      <c r="AD17" s="154">
        <v>0</v>
      </c>
      <c r="AE17" s="154">
        <v>0</v>
      </c>
      <c r="AF17" s="154">
        <v>0</v>
      </c>
      <c r="AG17" s="154">
        <v>0</v>
      </c>
      <c r="AH17" s="154">
        <v>0</v>
      </c>
      <c r="AI17" s="408">
        <v>0</v>
      </c>
      <c r="AJ17" s="155">
        <v>0</v>
      </c>
    </row>
    <row r="18" spans="2:39" ht="20.100000000000001" customHeight="1">
      <c r="B18" s="148" t="s">
        <v>3356</v>
      </c>
      <c r="C18" s="282" t="s">
        <v>3356</v>
      </c>
      <c r="D18" s="138" t="s">
        <v>1452</v>
      </c>
      <c r="E18" s="895">
        <f>SUM(G18:AJ18)</f>
        <v>-982420.5</v>
      </c>
      <c r="F18" s="154">
        <f>SUM(G18:AE18)</f>
        <v>-982420.5</v>
      </c>
      <c r="G18" s="154">
        <f>-62-2084</f>
        <v>-2146</v>
      </c>
      <c r="H18" s="154">
        <v>-25679</v>
      </c>
      <c r="I18" s="154">
        <f>+C_6.01!H15-I10</f>
        <v>-33499</v>
      </c>
      <c r="J18" s="154">
        <f>+C_6.01!I15-J10</f>
        <v>-2016</v>
      </c>
      <c r="K18" s="154">
        <v>0</v>
      </c>
      <c r="L18" s="154">
        <f>+C_6.01!K15-L10</f>
        <v>0</v>
      </c>
      <c r="M18" s="154">
        <f>+C_6.01!L15-M10</f>
        <v>0</v>
      </c>
      <c r="N18" s="154">
        <f>+C_6.01!M15-N10</f>
        <v>0</v>
      </c>
      <c r="O18" s="154">
        <f>+C_6.01!N15-O10</f>
        <v>-241477</v>
      </c>
      <c r="P18" s="154">
        <f>+C_6.01!O15-P10</f>
        <v>-14631</v>
      </c>
      <c r="Q18" s="154">
        <f>+C_6.01!P15-Q10</f>
        <v>0</v>
      </c>
      <c r="R18" s="154">
        <f>+C_6.01!Q15-R10</f>
        <v>-1688</v>
      </c>
      <c r="S18" s="154">
        <f>+C_6.01!S15-S10</f>
        <v>-1070.5</v>
      </c>
      <c r="T18" s="154">
        <f>+C_6.01!T15</f>
        <v>0</v>
      </c>
      <c r="U18" s="154">
        <f>+C_6.01!U15-U10</f>
        <v>-390587</v>
      </c>
      <c r="V18" s="154">
        <f>+C_6.01!V15</f>
        <v>0</v>
      </c>
      <c r="W18" s="154">
        <f>+C_6.01!W15</f>
        <v>0</v>
      </c>
      <c r="X18" s="154">
        <f>+C_6.01!X15</f>
        <v>0</v>
      </c>
      <c r="Y18" s="154">
        <f>+C_6.01!Y15</f>
        <v>0</v>
      </c>
      <c r="Z18" s="154">
        <f>+C_6.01!Z15</f>
        <v>0</v>
      </c>
      <c r="AA18" s="154">
        <f>+C_6.01!AA15</f>
        <v>0</v>
      </c>
      <c r="AB18" s="154">
        <f>+C_6.01!AB15-AB10</f>
        <v>-65254</v>
      </c>
      <c r="AC18" s="154">
        <f>+C_6.01!AC15-AC10</f>
        <v>-13456</v>
      </c>
      <c r="AD18" s="154">
        <f>+C_6.01!AE15-AD10</f>
        <v>-190917</v>
      </c>
      <c r="AE18" s="154">
        <f>+C_6.01!AF15</f>
        <v>0</v>
      </c>
      <c r="AF18" s="154">
        <f>+C_6.01!AH15</f>
        <v>0</v>
      </c>
      <c r="AG18" s="154">
        <v>0</v>
      </c>
      <c r="AH18" s="154">
        <v>0</v>
      </c>
      <c r="AI18" s="408">
        <v>0</v>
      </c>
      <c r="AJ18" s="155">
        <v>0</v>
      </c>
    </row>
    <row r="19" spans="2:39" s="142" customFormat="1" ht="20.100000000000001" customHeight="1">
      <c r="B19" s="143" t="s">
        <v>3357</v>
      </c>
      <c r="C19" s="144" t="s">
        <v>3357</v>
      </c>
      <c r="D19" s="145" t="s">
        <v>1453</v>
      </c>
      <c r="E19" s="891">
        <f>SUM(G19:AJ19)</f>
        <v>27696958.5</v>
      </c>
      <c r="F19" s="146">
        <f>SUM(G19:AE19)</f>
        <v>28785239.5</v>
      </c>
      <c r="G19" s="146">
        <f t="shared" ref="G19:Q19" si="7">SUM(G16:G18)</f>
        <v>195908</v>
      </c>
      <c r="H19" s="146">
        <f t="shared" si="7"/>
        <v>171064</v>
      </c>
      <c r="I19" s="146">
        <f t="shared" si="7"/>
        <v>3939658</v>
      </c>
      <c r="J19" s="146">
        <f t="shared" si="7"/>
        <v>323136</v>
      </c>
      <c r="K19" s="146">
        <f t="shared" si="7"/>
        <v>0</v>
      </c>
      <c r="L19" s="146">
        <f t="shared" si="7"/>
        <v>0</v>
      </c>
      <c r="M19" s="146">
        <f t="shared" si="7"/>
        <v>0</v>
      </c>
      <c r="N19" s="146">
        <f t="shared" si="7"/>
        <v>5640</v>
      </c>
      <c r="O19" s="146">
        <f t="shared" si="7"/>
        <v>203063</v>
      </c>
      <c r="P19" s="146">
        <f t="shared" si="7"/>
        <v>111439</v>
      </c>
      <c r="Q19" s="146">
        <f t="shared" si="7"/>
        <v>0</v>
      </c>
      <c r="R19" s="146">
        <f>SUM(R16:R18)</f>
        <v>3724</v>
      </c>
      <c r="S19" s="146">
        <f>SUM(S16:S18)</f>
        <v>173831.5</v>
      </c>
      <c r="T19" s="146">
        <f>SUM(T16:T18)</f>
        <v>0</v>
      </c>
      <c r="U19" s="146">
        <f>SUM(U16:U18)</f>
        <v>7731313</v>
      </c>
      <c r="V19" s="146">
        <f t="shared" ref="V19:AA19" si="8">SUM(V16:V18)</f>
        <v>0</v>
      </c>
      <c r="W19" s="146">
        <f t="shared" si="8"/>
        <v>0</v>
      </c>
      <c r="X19" s="146">
        <f t="shared" si="8"/>
        <v>0</v>
      </c>
      <c r="Y19" s="146">
        <f t="shared" si="8"/>
        <v>0</v>
      </c>
      <c r="Z19" s="146">
        <f t="shared" si="8"/>
        <v>258959</v>
      </c>
      <c r="AA19" s="146">
        <f t="shared" si="8"/>
        <v>0</v>
      </c>
      <c r="AB19" s="146">
        <f>SUM(AB16:AB18)</f>
        <v>13178122</v>
      </c>
      <c r="AC19" s="146">
        <f>SUM(AC16:AC18)</f>
        <v>120981</v>
      </c>
      <c r="AD19" s="146">
        <f>SUM(AD16:AD18)</f>
        <v>2368401</v>
      </c>
      <c r="AE19" s="146">
        <f t="shared" ref="AE19:AJ19" si="9">SUM(AE16:AE18)</f>
        <v>0</v>
      </c>
      <c r="AF19" s="146">
        <f t="shared" si="9"/>
        <v>-1088281</v>
      </c>
      <c r="AG19" s="146">
        <f t="shared" si="9"/>
        <v>0</v>
      </c>
      <c r="AH19" s="146">
        <f t="shared" si="9"/>
        <v>0</v>
      </c>
      <c r="AI19" s="406">
        <f t="shared" si="9"/>
        <v>0</v>
      </c>
      <c r="AJ19" s="147">
        <f t="shared" si="9"/>
        <v>0</v>
      </c>
    </row>
    <row r="20" spans="2:39" s="142" customFormat="1" ht="20.100000000000001" customHeight="1">
      <c r="B20" s="1501"/>
      <c r="C20" s="1502"/>
      <c r="D20" s="1503"/>
      <c r="E20" s="1500"/>
      <c r="F20" s="420"/>
      <c r="G20" s="420"/>
      <c r="H20" s="420"/>
      <c r="I20" s="420"/>
      <c r="J20" s="420"/>
      <c r="K20" s="420"/>
      <c r="L20" s="420"/>
      <c r="M20" s="420"/>
      <c r="N20" s="420"/>
      <c r="O20" s="420"/>
      <c r="P20" s="420"/>
      <c r="Q20" s="420"/>
      <c r="R20" s="420"/>
      <c r="S20" s="420"/>
      <c r="T20" s="420"/>
      <c r="U20" s="420"/>
      <c r="V20" s="420"/>
      <c r="W20" s="420"/>
      <c r="X20" s="420"/>
      <c r="Y20" s="420"/>
      <c r="Z20" s="420"/>
      <c r="AA20" s="420"/>
      <c r="AB20" s="420"/>
      <c r="AC20" s="420"/>
      <c r="AD20" s="420"/>
      <c r="AE20" s="420"/>
      <c r="AF20" s="420"/>
      <c r="AG20" s="420"/>
      <c r="AH20" s="420"/>
      <c r="AI20" s="421"/>
      <c r="AJ20" s="422"/>
    </row>
    <row r="21" spans="2:39" s="142" customFormat="1" ht="20.100000000000001" customHeight="1" thickBot="1">
      <c r="B21" s="283" t="s">
        <v>3358</v>
      </c>
      <c r="C21" s="284" t="s">
        <v>3358</v>
      </c>
      <c r="D21" s="285" t="s">
        <v>1454</v>
      </c>
      <c r="E21" s="903">
        <f t="shared" ref="E21:J21" si="10">SUM(E16,E12,E8)</f>
        <v>106401989</v>
      </c>
      <c r="F21" s="286">
        <f t="shared" si="10"/>
        <v>37648078</v>
      </c>
      <c r="G21" s="286">
        <f t="shared" si="10"/>
        <v>198054</v>
      </c>
      <c r="H21" s="286">
        <f t="shared" si="10"/>
        <v>234513</v>
      </c>
      <c r="I21" s="286">
        <f t="shared" si="10"/>
        <v>5119305</v>
      </c>
      <c r="J21" s="286">
        <f t="shared" si="10"/>
        <v>325152</v>
      </c>
      <c r="K21" s="286">
        <f t="shared" ref="K21:T21" si="11">SUM(K16,K12,K8)</f>
        <v>603993</v>
      </c>
      <c r="L21" s="286">
        <f t="shared" si="11"/>
        <v>0</v>
      </c>
      <c r="M21" s="286">
        <f t="shared" si="11"/>
        <v>0</v>
      </c>
      <c r="N21" s="286">
        <f t="shared" si="11"/>
        <v>5640</v>
      </c>
      <c r="O21" s="286">
        <f t="shared" si="11"/>
        <v>505098</v>
      </c>
      <c r="P21" s="286">
        <f>SUM(P16,P12,P8)</f>
        <v>150033</v>
      </c>
      <c r="Q21" s="286">
        <f t="shared" si="11"/>
        <v>0</v>
      </c>
      <c r="R21" s="286">
        <f>SUM(R16,R12,R8)</f>
        <v>37026</v>
      </c>
      <c r="S21" s="286">
        <f t="shared" si="11"/>
        <v>233202</v>
      </c>
      <c r="T21" s="286">
        <f t="shared" si="11"/>
        <v>0</v>
      </c>
      <c r="U21" s="286">
        <f t="shared" ref="U21:AA21" si="12">SUM(U16,U12,U8)</f>
        <v>10299974</v>
      </c>
      <c r="V21" s="286">
        <f t="shared" si="12"/>
        <v>0</v>
      </c>
      <c r="W21" s="286">
        <f t="shared" si="12"/>
        <v>0</v>
      </c>
      <c r="X21" s="286">
        <f t="shared" si="12"/>
        <v>0</v>
      </c>
      <c r="Y21" s="286">
        <f t="shared" si="12"/>
        <v>0</v>
      </c>
      <c r="Z21" s="286">
        <f t="shared" si="12"/>
        <v>258959</v>
      </c>
      <c r="AA21" s="286">
        <f t="shared" si="12"/>
        <v>0</v>
      </c>
      <c r="AB21" s="286">
        <f>SUM(AB16,AB12,AB8)</f>
        <v>15665848</v>
      </c>
      <c r="AC21" s="286">
        <f t="shared" ref="AC21:AJ21" si="13">SUM(AC16,AC12,AC8)</f>
        <v>500691</v>
      </c>
      <c r="AD21" s="286">
        <f>SUM(AD16,AD12,AD8)</f>
        <v>3510590</v>
      </c>
      <c r="AE21" s="286">
        <f t="shared" si="13"/>
        <v>0</v>
      </c>
      <c r="AF21" s="286">
        <f t="shared" si="13"/>
        <v>-1088281</v>
      </c>
      <c r="AG21" s="286">
        <f t="shared" si="13"/>
        <v>32747594</v>
      </c>
      <c r="AH21" s="286">
        <f t="shared" si="13"/>
        <v>31570662</v>
      </c>
      <c r="AI21" s="286">
        <f t="shared" si="13"/>
        <v>5523936</v>
      </c>
      <c r="AJ21" s="287">
        <f t="shared" si="13"/>
        <v>0</v>
      </c>
    </row>
    <row r="23" spans="2:39">
      <c r="C23" s="222">
        <f>+E23-D23</f>
        <v>0</v>
      </c>
      <c r="D23" s="140">
        <v>106401989</v>
      </c>
      <c r="E23" s="222">
        <f>+E8+E12+E16</f>
        <v>106401989</v>
      </c>
      <c r="F23" s="222">
        <f>+F8+F12+F16</f>
        <v>37648078</v>
      </c>
      <c r="G23" s="222" t="s">
        <v>1805</v>
      </c>
      <c r="H23" s="222" t="s">
        <v>1805</v>
      </c>
      <c r="I23" s="222" t="s">
        <v>1805</v>
      </c>
      <c r="J23" s="222" t="s">
        <v>1805</v>
      </c>
      <c r="K23" s="222" t="s">
        <v>1805</v>
      </c>
      <c r="L23" s="222" t="s">
        <v>1805</v>
      </c>
      <c r="M23" s="222" t="s">
        <v>1805</v>
      </c>
      <c r="N23" s="222" t="s">
        <v>1805</v>
      </c>
      <c r="O23" s="222" t="s">
        <v>1805</v>
      </c>
      <c r="P23" s="222" t="s">
        <v>1805</v>
      </c>
      <c r="Q23" s="222" t="s">
        <v>1372</v>
      </c>
      <c r="R23" s="222" t="s">
        <v>1805</v>
      </c>
      <c r="S23" s="222" t="s">
        <v>1805</v>
      </c>
      <c r="T23" s="222" t="s">
        <v>1805</v>
      </c>
      <c r="U23" s="222" t="s">
        <v>1805</v>
      </c>
      <c r="V23" s="222" t="s">
        <v>1805</v>
      </c>
      <c r="W23" s="222" t="s">
        <v>1805</v>
      </c>
      <c r="X23" s="222" t="s">
        <v>1805</v>
      </c>
      <c r="Y23" s="222" t="s">
        <v>1805</v>
      </c>
      <c r="Z23" s="222" t="s">
        <v>1805</v>
      </c>
      <c r="AA23" s="222" t="s">
        <v>1372</v>
      </c>
      <c r="AB23" s="222" t="s">
        <v>1805</v>
      </c>
      <c r="AC23" s="222" t="s">
        <v>1805</v>
      </c>
      <c r="AD23" s="222" t="s">
        <v>1805</v>
      </c>
      <c r="AE23" s="222" t="s">
        <v>1805</v>
      </c>
      <c r="AF23" s="222" t="s">
        <v>1372</v>
      </c>
      <c r="AG23" s="222" t="s">
        <v>1805</v>
      </c>
      <c r="AH23" s="222" t="s">
        <v>1805</v>
      </c>
      <c r="AI23" s="222" t="s">
        <v>1805</v>
      </c>
      <c r="AJ23" s="222" t="s">
        <v>1805</v>
      </c>
      <c r="AK23" s="140" t="s">
        <v>1805</v>
      </c>
      <c r="AL23" s="140" t="s">
        <v>1805</v>
      </c>
    </row>
    <row r="24" spans="2:39">
      <c r="E24" s="222">
        <f>+E21-E26</f>
        <v>-1088281</v>
      </c>
      <c r="F24" s="222">
        <f>+F21-F26</f>
        <v>0</v>
      </c>
      <c r="G24" s="431"/>
      <c r="H24" s="431"/>
      <c r="I24" s="431"/>
      <c r="J24" s="431"/>
      <c r="K24" s="431"/>
      <c r="L24" s="431"/>
      <c r="M24" s="431"/>
      <c r="N24" s="431"/>
      <c r="O24" s="431"/>
      <c r="P24" s="431"/>
      <c r="Q24" s="431"/>
      <c r="R24" s="431"/>
      <c r="S24" s="431"/>
      <c r="T24" s="431"/>
      <c r="U24" s="431"/>
      <c r="V24" s="431"/>
      <c r="W24" s="431"/>
      <c r="X24" s="431"/>
      <c r="Y24" s="431"/>
      <c r="Z24" s="431"/>
      <c r="AA24" s="431"/>
      <c r="AB24" s="431"/>
      <c r="AC24" s="431"/>
      <c r="AD24" s="431"/>
      <c r="AE24" s="431"/>
      <c r="AF24" s="431"/>
      <c r="AG24" s="431"/>
      <c r="AH24" s="431"/>
      <c r="AI24" s="431"/>
      <c r="AJ24" s="431"/>
    </row>
    <row r="25" spans="2:39">
      <c r="E25" s="222"/>
      <c r="G25" s="436"/>
      <c r="H25" s="436"/>
      <c r="I25" s="436"/>
      <c r="J25" s="436"/>
      <c r="K25" s="436"/>
      <c r="L25" s="436"/>
      <c r="M25" s="436"/>
      <c r="N25" s="436"/>
      <c r="O25" s="436"/>
      <c r="P25" s="436"/>
      <c r="Q25" s="436"/>
      <c r="R25" s="436"/>
      <c r="S25" s="436"/>
      <c r="T25" s="436"/>
      <c r="U25" s="436"/>
      <c r="V25" s="436"/>
      <c r="W25" s="436"/>
      <c r="X25" s="436"/>
      <c r="Y25" s="436"/>
      <c r="Z25" s="436"/>
      <c r="AA25" s="436"/>
      <c r="AB25" s="437"/>
      <c r="AC25" s="436"/>
      <c r="AD25" s="668"/>
      <c r="AE25" s="436"/>
      <c r="AF25" s="436"/>
      <c r="AG25" s="436"/>
      <c r="AH25" s="436"/>
      <c r="AI25" s="436"/>
      <c r="AJ25" s="436"/>
      <c r="AK25" s="436"/>
      <c r="AL25" s="436"/>
      <c r="AM25" s="436"/>
    </row>
    <row r="26" spans="2:39" ht="24.95" customHeight="1">
      <c r="B26" s="148" t="s">
        <v>3354</v>
      </c>
      <c r="C26" s="282" t="s">
        <v>3354</v>
      </c>
      <c r="D26" s="138" t="s">
        <v>1638</v>
      </c>
      <c r="E26" s="154">
        <f>SUM(G26:AJ26)</f>
        <v>107490270</v>
      </c>
      <c r="F26" s="154">
        <f>SUM(G26:AE26)</f>
        <v>37648078</v>
      </c>
      <c r="G26" s="154">
        <f>+C_6.01!F13</f>
        <v>198054</v>
      </c>
      <c r="H26" s="154">
        <f>+C_6.01!G13</f>
        <v>234513</v>
      </c>
      <c r="I26" s="154">
        <f>+C_6.01!H13</f>
        <v>5119305</v>
      </c>
      <c r="J26" s="154">
        <f>+C_6.01!I13</f>
        <v>325152</v>
      </c>
      <c r="K26" s="154">
        <f>+C_6.01!J13</f>
        <v>603993</v>
      </c>
      <c r="L26" s="154">
        <f>+C_6.01!K13</f>
        <v>0</v>
      </c>
      <c r="M26" s="154">
        <f>+C_6.01!L13</f>
        <v>0</v>
      </c>
      <c r="N26" s="154">
        <f>+C_6.01!M13</f>
        <v>5640</v>
      </c>
      <c r="O26" s="154">
        <f>+C_6.01!N13</f>
        <v>505098</v>
      </c>
      <c r="P26" s="154">
        <f>+C_6.01!O13</f>
        <v>150033</v>
      </c>
      <c r="Q26" s="154">
        <f>+C_6.01!P13</f>
        <v>0</v>
      </c>
      <c r="R26" s="154">
        <f>+C_6.01!Q13</f>
        <v>37026</v>
      </c>
      <c r="S26" s="154">
        <f>+C_6.01!S13</f>
        <v>233202</v>
      </c>
      <c r="T26" s="154">
        <f>+C_6.01!T13</f>
        <v>0</v>
      </c>
      <c r="U26" s="154">
        <f>+C_6.01!U13</f>
        <v>10299974</v>
      </c>
      <c r="V26" s="154">
        <f>+C_6.01!V13</f>
        <v>0</v>
      </c>
      <c r="W26" s="154">
        <f>+C_6.01!W13</f>
        <v>0</v>
      </c>
      <c r="X26" s="154">
        <f>+C_6.01!X13</f>
        <v>0</v>
      </c>
      <c r="Y26" s="154">
        <f>+C_6.01!Y13</f>
        <v>0</v>
      </c>
      <c r="Z26" s="154">
        <f>+C_6.01!Z13</f>
        <v>258959</v>
      </c>
      <c r="AA26" s="154">
        <f>+C_6.01!AA13</f>
        <v>0</v>
      </c>
      <c r="AB26" s="154">
        <f>+C_6.01!AB13</f>
        <v>15665848</v>
      </c>
      <c r="AC26" s="154">
        <f>+C_6.01!AC13</f>
        <v>500691</v>
      </c>
      <c r="AD26" s="154">
        <f>+C_6.01!AE13</f>
        <v>3510590</v>
      </c>
      <c r="AE26" s="154">
        <f>+C_6.01!AF13</f>
        <v>0</v>
      </c>
      <c r="AF26" s="154">
        <f>+C_6.01!AI13</f>
        <v>32747594</v>
      </c>
      <c r="AG26" s="154">
        <f>+C_6.01!AJ13</f>
        <v>31570662</v>
      </c>
      <c r="AH26" s="154">
        <f>+C_6.01!AK13</f>
        <v>5523936</v>
      </c>
      <c r="AI26" s="154">
        <f>+C_6.01!AL13</f>
        <v>0</v>
      </c>
      <c r="AJ26" s="154">
        <f>+C_6.01!AM13</f>
        <v>0</v>
      </c>
    </row>
    <row r="27" spans="2:39">
      <c r="E27" s="222"/>
    </row>
    <row r="28" spans="2:39">
      <c r="B28" s="148" t="s">
        <v>3356</v>
      </c>
      <c r="C28" s="282" t="s">
        <v>3356</v>
      </c>
      <c r="D28" s="138" t="s">
        <v>1452</v>
      </c>
      <c r="E28" s="154">
        <f>SUM(G28:AJ28)</f>
        <v>-1175709</v>
      </c>
      <c r="F28" s="154">
        <f>SUM(G28:AE28)</f>
        <v>-1175709</v>
      </c>
      <c r="G28" s="154">
        <f>+C_6.01!F15</f>
        <v>-2146</v>
      </c>
      <c r="H28" s="154">
        <f>+C_6.01!G15</f>
        <v>-29068</v>
      </c>
      <c r="I28" s="154">
        <f>+C_6.01!H15</f>
        <v>-35819</v>
      </c>
      <c r="J28" s="154">
        <f>+C_6.01!I15</f>
        <v>-2016</v>
      </c>
      <c r="K28" s="154">
        <f>+C_6.01!J15</f>
        <v>0</v>
      </c>
      <c r="L28" s="154">
        <f>+C_6.01!K15</f>
        <v>0</v>
      </c>
      <c r="M28" s="154">
        <f>+C_6.01!L15</f>
        <v>0</v>
      </c>
      <c r="N28" s="154">
        <f>+C_6.01!M15</f>
        <v>0</v>
      </c>
      <c r="O28" s="154">
        <f>+C_6.01!N15</f>
        <v>-275536</v>
      </c>
      <c r="P28" s="154">
        <f>+C_6.01!O15</f>
        <v>-18586</v>
      </c>
      <c r="Q28" s="154">
        <f>+C_6.01!P15</f>
        <v>0</v>
      </c>
      <c r="R28" s="154">
        <f>+C_6.01!Q15</f>
        <v>-11551</v>
      </c>
      <c r="S28" s="154">
        <f>+C_6.01!S15</f>
        <v>-1426</v>
      </c>
      <c r="T28" s="154">
        <f>+C_6.01!T15</f>
        <v>0</v>
      </c>
      <c r="U28" s="154">
        <f>+C_6.01!U15</f>
        <v>-525247</v>
      </c>
      <c r="V28" s="154">
        <f>+C_6.01!V15</f>
        <v>0</v>
      </c>
      <c r="W28" s="154">
        <f>+C_6.01!W15</f>
        <v>0</v>
      </c>
      <c r="X28" s="154">
        <f>+C_6.01!X15</f>
        <v>0</v>
      </c>
      <c r="Y28" s="154">
        <f>+C_6.01!Y15</f>
        <v>0</v>
      </c>
      <c r="Z28" s="154">
        <f>+C_6.01!Z15</f>
        <v>0</v>
      </c>
      <c r="AA28" s="154">
        <f>+C_6.01!AA15</f>
        <v>0</v>
      </c>
      <c r="AB28" s="154">
        <f>+C_6.01!AB15</f>
        <v>-65254</v>
      </c>
      <c r="AC28" s="154">
        <f>+C_6.01!AC15</f>
        <v>-17499</v>
      </c>
      <c r="AD28" s="154">
        <f>+C_6.01!AE15</f>
        <v>-191561</v>
      </c>
      <c r="AE28" s="154">
        <f>+C_6.01!AF15</f>
        <v>0</v>
      </c>
      <c r="AF28" s="154">
        <f>+C_6.01!AH15</f>
        <v>0</v>
      </c>
      <c r="AG28" s="154">
        <f>+C_6.01!AI15</f>
        <v>0</v>
      </c>
      <c r="AH28" s="154">
        <f>+C_6.01!AJ15</f>
        <v>0</v>
      </c>
      <c r="AI28" s="154">
        <f>+C_6.01!AK15</f>
        <v>0</v>
      </c>
      <c r="AJ28" s="154">
        <f>+C_6.01!AL15</f>
        <v>0</v>
      </c>
    </row>
  </sheetData>
  <phoneticPr fontId="10" type="noConversion"/>
  <printOptions horizontalCentered="1"/>
  <pageMargins left="0.19685039370078741" right="0.19685039370078741" top="0.19685039370078741" bottom="0.19685039370078741" header="0.15748031496062992" footer="0"/>
  <pageSetup paperSize="119" scale="70" orientation="landscape" r:id="rId1"/>
  <headerFooter alignWithMargins="0">
    <oddHeader>&amp;L&amp;"Times New Roman,Negrita Cursiva"&amp;9                                              Subgerencia de Finanzas
                                              Depto. Contabilidad</oddHeader>
    <oddFooter>&amp;L&amp;"Times New Roman,Negrita Cursiva"&amp;9&amp;F
&amp;A&amp;R&amp;"Times New Roman,Negrita Cursiva"&amp;9&amp;D
&amp;T</oddFooter>
  </headerFooter>
  <ignoredErrors>
    <ignoredError sqref="AB9:AD9 E11:F16 E17 I11" formula="1"/>
    <ignoredError sqref="F17" formula="1" formulaRange="1"/>
  </ignoredError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tabColor rgb="FFFFFF00"/>
  </sheetPr>
  <dimension ref="A1:AG30"/>
  <sheetViews>
    <sheetView zoomScale="90" zoomScaleNormal="90" workbookViewId="0">
      <selection activeCell="F34" sqref="F34"/>
    </sheetView>
  </sheetViews>
  <sheetFormatPr baseColWidth="10" defaultRowHeight="11.25"/>
  <cols>
    <col min="1" max="1" width="12" style="140"/>
    <col min="2" max="2" width="16.33203125" style="140" bestFit="1" customWidth="1"/>
    <col min="3" max="3" width="15.83203125" style="140" customWidth="1"/>
    <col min="4" max="4" width="34.1640625" style="140" bestFit="1" customWidth="1"/>
    <col min="5" max="32" width="13.83203125" style="140" customWidth="1"/>
    <col min="33" max="16384" width="12" style="140"/>
  </cols>
  <sheetData>
    <row r="1" spans="1:33" ht="29.25">
      <c r="A1" s="35" t="s">
        <v>1739</v>
      </c>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row>
    <row r="2" spans="1:33" ht="18.75" thickBot="1">
      <c r="A2" s="37" t="s">
        <v>1814</v>
      </c>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row>
    <row r="4" spans="1:33" ht="12">
      <c r="B4" s="224" t="s">
        <v>64</v>
      </c>
      <c r="E4" s="168">
        <f>+EEFF!$E$22</f>
        <v>40909</v>
      </c>
      <c r="F4" s="225" t="s">
        <v>1679</v>
      </c>
      <c r="G4" s="168">
        <f>+EEFF!$G$7</f>
        <v>41121</v>
      </c>
      <c r="H4" s="168"/>
      <c r="I4" s="168"/>
      <c r="J4" s="168"/>
    </row>
    <row r="5" spans="1:33" ht="12" thickBot="1"/>
    <row r="6" spans="1:33" ht="39.950000000000003" customHeight="1" thickTop="1">
      <c r="B6" s="288" t="s">
        <v>87</v>
      </c>
      <c r="C6" s="289"/>
      <c r="D6" s="135" t="s">
        <v>88</v>
      </c>
      <c r="E6" s="290" t="str">
        <f t="shared" ref="E6:Y6" si="0">VLOOKUP(E7,SVRAMO,2,FALSE)</f>
        <v>TOTAL RAMOS</v>
      </c>
      <c r="F6" s="290" t="str">
        <f t="shared" si="0"/>
        <v>TOTAL SEGUROS NO PREVISIONALES</v>
      </c>
      <c r="G6" s="290" t="str">
        <f t="shared" si="0"/>
        <v>Vida Entera</v>
      </c>
      <c r="H6" s="272" t="str">
        <f t="shared" si="0"/>
        <v>Temporal de Vida</v>
      </c>
      <c r="I6" s="272" t="str">
        <f t="shared" si="0"/>
        <v>Otros Seguros con Cuenta Unica de Inversión (CUI)</v>
      </c>
      <c r="J6" s="272" t="str">
        <f t="shared" si="0"/>
        <v>Mixto o Dotal</v>
      </c>
      <c r="K6" s="290" t="str">
        <f t="shared" si="0"/>
        <v>Renta</v>
      </c>
      <c r="L6" s="272" t="str">
        <f t="shared" si="0"/>
        <v>Dotal Puro o Capital diferido</v>
      </c>
      <c r="M6" s="272" t="str">
        <f t="shared" si="0"/>
        <v>Protección Familiar</v>
      </c>
      <c r="N6" s="272" t="str">
        <f t="shared" si="0"/>
        <v>Incapacidad o Invalidez</v>
      </c>
      <c r="O6" s="290" t="str">
        <f t="shared" si="0"/>
        <v>Salud</v>
      </c>
      <c r="P6" s="290" t="s">
        <v>65</v>
      </c>
      <c r="Q6" s="272" t="s">
        <v>65</v>
      </c>
      <c r="R6" s="290" t="str">
        <f t="shared" si="0"/>
        <v>Desgravamen</v>
      </c>
      <c r="S6" s="272" t="str">
        <f>VLOOKUP(S7,SVRAMO,2,FALSE)</f>
        <v>Seguros con Ahorro Previsional Voluntario (APV)</v>
      </c>
      <c r="T6" s="290" t="str">
        <f t="shared" si="0"/>
        <v>Vida Entera</v>
      </c>
      <c r="U6" s="272" t="str">
        <f t="shared" si="0"/>
        <v>Temporal de Vida</v>
      </c>
      <c r="V6" s="272" t="str">
        <f t="shared" si="0"/>
        <v>Dotal Puro o Capital Diferido</v>
      </c>
      <c r="W6" s="272" t="str">
        <f t="shared" si="0"/>
        <v>Protección Familiar</v>
      </c>
      <c r="X6" s="272" t="str">
        <f t="shared" si="0"/>
        <v>Incapacidad o Invalidez</v>
      </c>
      <c r="Y6" s="290" t="str">
        <f t="shared" si="0"/>
        <v>Salud</v>
      </c>
      <c r="Z6" s="290" t="s">
        <v>65</v>
      </c>
      <c r="AA6" s="290" t="str">
        <f t="shared" ref="AA6:AF6" si="1">VLOOKUP(AA7,SVRAMO,2,FALSE)</f>
        <v>Desgravamen</v>
      </c>
      <c r="AB6" s="290" t="str">
        <f t="shared" si="1"/>
        <v>Seguros con Ahorro Previsional Voluntario (APV)</v>
      </c>
      <c r="AC6" s="272" t="str">
        <f t="shared" si="1"/>
        <v>Seguro de AFP</v>
      </c>
      <c r="AD6" s="290" t="str">
        <f t="shared" si="1"/>
        <v>Renta Vitalicia Vejez</v>
      </c>
      <c r="AE6" s="290" t="str">
        <f t="shared" si="1"/>
        <v>Renta Vitalicia Invalidez</v>
      </c>
      <c r="AF6" s="291" t="str">
        <f t="shared" si="1"/>
        <v>Renta Vitalicia Sobrevivencia</v>
      </c>
    </row>
    <row r="7" spans="1:33" ht="12" thickBot="1">
      <c r="B7" s="200"/>
      <c r="C7" s="201"/>
      <c r="D7" s="201"/>
      <c r="E7" s="292">
        <v>999</v>
      </c>
      <c r="F7" s="292">
        <v>300</v>
      </c>
      <c r="G7" s="292">
        <v>101</v>
      </c>
      <c r="H7" s="292">
        <v>102</v>
      </c>
      <c r="I7" s="292">
        <v>103</v>
      </c>
      <c r="J7" s="292">
        <v>104</v>
      </c>
      <c r="K7" s="292">
        <v>105</v>
      </c>
      <c r="L7" s="276">
        <v>106</v>
      </c>
      <c r="M7" s="276">
        <v>107</v>
      </c>
      <c r="N7" s="276">
        <v>108</v>
      </c>
      <c r="O7" s="292">
        <v>109</v>
      </c>
      <c r="P7" s="292">
        <v>110</v>
      </c>
      <c r="Q7" s="276">
        <v>111</v>
      </c>
      <c r="R7" s="292">
        <v>112</v>
      </c>
      <c r="S7" s="276">
        <v>114</v>
      </c>
      <c r="T7" s="292">
        <v>201</v>
      </c>
      <c r="U7" s="276">
        <v>202</v>
      </c>
      <c r="V7" s="276">
        <v>206</v>
      </c>
      <c r="W7" s="276">
        <v>207</v>
      </c>
      <c r="X7" s="276">
        <v>208</v>
      </c>
      <c r="Y7" s="292">
        <v>209</v>
      </c>
      <c r="Z7" s="292">
        <v>210</v>
      </c>
      <c r="AA7" s="292">
        <v>212</v>
      </c>
      <c r="AB7" s="292">
        <v>213</v>
      </c>
      <c r="AC7" s="276">
        <v>420</v>
      </c>
      <c r="AD7" s="292">
        <v>421</v>
      </c>
      <c r="AE7" s="292">
        <v>422</v>
      </c>
      <c r="AF7" s="293">
        <v>423</v>
      </c>
    </row>
    <row r="8" spans="1:33" ht="12" thickTop="1">
      <c r="B8" s="1269"/>
      <c r="C8" s="1270"/>
      <c r="D8" s="1270"/>
      <c r="E8" s="1270"/>
      <c r="F8" s="1270"/>
      <c r="G8" s="1270"/>
      <c r="H8" s="1270"/>
      <c r="I8" s="1270"/>
      <c r="J8" s="1270"/>
      <c r="K8" s="1270"/>
      <c r="L8" s="1270"/>
      <c r="M8" s="1270"/>
      <c r="N8" s="1270"/>
      <c r="O8" s="1270"/>
      <c r="P8" s="1270"/>
      <c r="Q8" s="1270"/>
      <c r="R8" s="1270"/>
      <c r="S8" s="1270"/>
      <c r="T8" s="1270"/>
      <c r="U8" s="1270"/>
      <c r="V8" s="1270"/>
      <c r="W8" s="1270"/>
      <c r="X8" s="1270"/>
      <c r="Y8" s="1270"/>
      <c r="Z8" s="1270"/>
      <c r="AA8" s="1270"/>
      <c r="AB8" s="1270"/>
      <c r="AC8" s="1270"/>
      <c r="AD8" s="1270"/>
      <c r="AE8" s="1270"/>
      <c r="AF8" s="1271"/>
    </row>
    <row r="9" spans="1:33" ht="15.75" thickBot="1">
      <c r="B9" s="1272" t="s">
        <v>3359</v>
      </c>
      <c r="C9" s="1273" t="s">
        <v>3360</v>
      </c>
      <c r="D9" s="1274"/>
      <c r="E9" s="1275"/>
      <c r="F9" s="1275"/>
      <c r="G9" s="1275"/>
      <c r="H9" s="1275"/>
      <c r="I9" s="1275"/>
      <c r="J9" s="1275"/>
      <c r="K9" s="1275"/>
      <c r="L9" s="1275"/>
      <c r="M9" s="1275"/>
      <c r="N9" s="1275"/>
      <c r="O9" s="1275"/>
      <c r="P9" s="1275"/>
      <c r="Q9" s="1275"/>
      <c r="R9" s="1275"/>
      <c r="S9" s="1275"/>
      <c r="T9" s="1275"/>
      <c r="U9" s="1275"/>
      <c r="V9" s="1275"/>
      <c r="W9" s="1275"/>
      <c r="X9" s="1275"/>
      <c r="Y9" s="1275"/>
      <c r="Z9" s="1275"/>
      <c r="AA9" s="1275"/>
      <c r="AB9" s="1275"/>
      <c r="AC9" s="1275"/>
      <c r="AD9" s="1275"/>
      <c r="AE9" s="1275"/>
      <c r="AF9" s="1276"/>
    </row>
    <row r="10" spans="1:33" s="142" customFormat="1" ht="20.100000000000001" customHeight="1">
      <c r="B10" s="294" t="s">
        <v>3041</v>
      </c>
      <c r="C10" s="295" t="str">
        <f>+B10</f>
        <v>6.81.01.00</v>
      </c>
      <c r="D10" s="296" t="s">
        <v>89</v>
      </c>
      <c r="E10" s="297">
        <f t="shared" ref="E10:E29" si="2">SUM(G10:AF10)</f>
        <v>739155</v>
      </c>
      <c r="F10" s="297">
        <f t="shared" ref="F10:F30" si="3">SUM(G10:AB10)</f>
        <v>739155</v>
      </c>
      <c r="G10" s="154">
        <v>0</v>
      </c>
      <c r="H10" s="154">
        <v>0</v>
      </c>
      <c r="I10" s="485">
        <v>49</v>
      </c>
      <c r="J10" s="485">
        <v>1</v>
      </c>
      <c r="K10" s="485">
        <v>0</v>
      </c>
      <c r="L10" s="485"/>
      <c r="M10" s="485"/>
      <c r="N10" s="485">
        <v>0</v>
      </c>
      <c r="O10" s="485">
        <v>329</v>
      </c>
      <c r="P10" s="485">
        <v>25</v>
      </c>
      <c r="Q10" s="485"/>
      <c r="R10" s="485">
        <v>0</v>
      </c>
      <c r="S10" s="485">
        <v>0</v>
      </c>
      <c r="T10" s="485"/>
      <c r="U10" s="485">
        <v>1279</v>
      </c>
      <c r="V10" s="485">
        <v>0</v>
      </c>
      <c r="W10" s="485">
        <v>108</v>
      </c>
      <c r="X10" s="485">
        <v>0</v>
      </c>
      <c r="Y10" s="485">
        <v>733908</v>
      </c>
      <c r="Z10" s="485">
        <v>1150</v>
      </c>
      <c r="AA10" s="485">
        <v>2306</v>
      </c>
      <c r="AB10" s="485"/>
      <c r="AC10" s="485">
        <v>0</v>
      </c>
      <c r="AD10" s="485">
        <v>0</v>
      </c>
      <c r="AE10" s="485">
        <v>0</v>
      </c>
      <c r="AF10" s="484">
        <v>0</v>
      </c>
    </row>
    <row r="11" spans="1:33" s="142" customFormat="1" ht="20.100000000000001" customHeight="1">
      <c r="B11" s="148" t="s">
        <v>3042</v>
      </c>
      <c r="C11" s="137" t="str">
        <f>+B11</f>
        <v>6.81.02.00</v>
      </c>
      <c r="D11" s="153" t="s">
        <v>90</v>
      </c>
      <c r="E11" s="154">
        <f t="shared" si="2"/>
        <v>1167</v>
      </c>
      <c r="F11" s="154">
        <f t="shared" si="3"/>
        <v>21</v>
      </c>
      <c r="G11" s="154">
        <v>0</v>
      </c>
      <c r="H11" s="154">
        <v>0</v>
      </c>
      <c r="I11" s="154">
        <v>0</v>
      </c>
      <c r="J11" s="154">
        <v>0</v>
      </c>
      <c r="K11" s="154">
        <v>21</v>
      </c>
      <c r="L11" s="154"/>
      <c r="M11" s="154"/>
      <c r="N11" s="154">
        <v>0</v>
      </c>
      <c r="O11" s="154">
        <v>0</v>
      </c>
      <c r="P11" s="154">
        <v>0</v>
      </c>
      <c r="Q11" s="154"/>
      <c r="R11" s="154">
        <v>0</v>
      </c>
      <c r="S11" s="154">
        <v>0</v>
      </c>
      <c r="T11" s="154"/>
      <c r="U11" s="154">
        <v>0</v>
      </c>
      <c r="V11" s="154">
        <v>0</v>
      </c>
      <c r="W11" s="154">
        <v>0</v>
      </c>
      <c r="X11" s="154">
        <v>0</v>
      </c>
      <c r="Y11" s="154">
        <v>0</v>
      </c>
      <c r="Z11" s="154">
        <v>0</v>
      </c>
      <c r="AA11" s="154">
        <v>0</v>
      </c>
      <c r="AB11" s="154"/>
      <c r="AC11" s="154">
        <v>0</v>
      </c>
      <c r="AD11" s="154">
        <v>631</v>
      </c>
      <c r="AE11" s="154">
        <v>401</v>
      </c>
      <c r="AF11" s="155">
        <v>114</v>
      </c>
    </row>
    <row r="12" spans="1:33" ht="20.100000000000001" customHeight="1">
      <c r="B12" s="148" t="s">
        <v>3043</v>
      </c>
      <c r="C12" s="137" t="str">
        <f t="shared" ref="C12:C30" si="4">+B12</f>
        <v>6.81.03.00</v>
      </c>
      <c r="D12" s="153" t="s">
        <v>91</v>
      </c>
      <c r="E12" s="154">
        <f t="shared" si="2"/>
        <v>285</v>
      </c>
      <c r="F12" s="154">
        <f t="shared" si="3"/>
        <v>285</v>
      </c>
      <c r="G12" s="154">
        <v>21</v>
      </c>
      <c r="H12" s="154">
        <v>0</v>
      </c>
      <c r="I12" s="154">
        <v>228</v>
      </c>
      <c r="J12" s="154">
        <v>36</v>
      </c>
      <c r="K12" s="154">
        <v>0</v>
      </c>
      <c r="L12" s="154"/>
      <c r="M12" s="154"/>
      <c r="N12" s="154">
        <v>0</v>
      </c>
      <c r="O12" s="154">
        <v>0</v>
      </c>
      <c r="P12" s="154">
        <v>0</v>
      </c>
      <c r="Q12" s="154"/>
      <c r="R12" s="154">
        <v>0</v>
      </c>
      <c r="S12" s="154">
        <v>0</v>
      </c>
      <c r="T12" s="154"/>
      <c r="U12" s="154">
        <v>0</v>
      </c>
      <c r="V12" s="154">
        <v>0</v>
      </c>
      <c r="W12" s="154">
        <v>0</v>
      </c>
      <c r="X12" s="154">
        <v>0</v>
      </c>
      <c r="Y12" s="154">
        <v>0</v>
      </c>
      <c r="Z12" s="154">
        <v>0</v>
      </c>
      <c r="AA12" s="154">
        <v>0</v>
      </c>
      <c r="AB12" s="154"/>
      <c r="AC12" s="154">
        <v>0</v>
      </c>
      <c r="AD12" s="154">
        <v>0</v>
      </c>
      <c r="AE12" s="154">
        <v>0</v>
      </c>
      <c r="AF12" s="155">
        <v>0</v>
      </c>
    </row>
    <row r="13" spans="1:33" ht="20.100000000000001" customHeight="1">
      <c r="B13" s="148" t="s">
        <v>3044</v>
      </c>
      <c r="C13" s="137" t="str">
        <f t="shared" si="4"/>
        <v>6.81.04.00</v>
      </c>
      <c r="D13" s="153" t="s">
        <v>92</v>
      </c>
      <c r="E13" s="154">
        <f t="shared" si="2"/>
        <v>26</v>
      </c>
      <c r="F13" s="154">
        <f t="shared" si="3"/>
        <v>26</v>
      </c>
      <c r="G13" s="154">
        <v>2</v>
      </c>
      <c r="H13" s="154">
        <v>14</v>
      </c>
      <c r="I13" s="154">
        <v>7</v>
      </c>
      <c r="J13" s="154">
        <v>3</v>
      </c>
      <c r="K13" s="154">
        <v>0</v>
      </c>
      <c r="L13" s="154"/>
      <c r="M13" s="154"/>
      <c r="N13" s="154">
        <v>0</v>
      </c>
      <c r="O13" s="154">
        <v>0</v>
      </c>
      <c r="P13" s="154">
        <v>0</v>
      </c>
      <c r="Q13" s="154"/>
      <c r="R13" s="154">
        <v>0</v>
      </c>
      <c r="S13" s="154">
        <v>0</v>
      </c>
      <c r="T13" s="154"/>
      <c r="U13" s="154">
        <v>0</v>
      </c>
      <c r="V13" s="154">
        <v>0</v>
      </c>
      <c r="W13" s="154">
        <v>0</v>
      </c>
      <c r="X13" s="154">
        <v>0</v>
      </c>
      <c r="Y13" s="154">
        <v>0</v>
      </c>
      <c r="Z13" s="154">
        <v>0</v>
      </c>
      <c r="AA13" s="154">
        <v>0</v>
      </c>
      <c r="AB13" s="154"/>
      <c r="AC13" s="154">
        <v>0</v>
      </c>
      <c r="AD13" s="154">
        <v>0</v>
      </c>
      <c r="AE13" s="154">
        <v>0</v>
      </c>
      <c r="AF13" s="155">
        <v>0</v>
      </c>
    </row>
    <row r="14" spans="1:33" ht="20.100000000000001" customHeight="1">
      <c r="B14" s="148" t="s">
        <v>3045</v>
      </c>
      <c r="C14" s="137" t="str">
        <f t="shared" si="4"/>
        <v>6.81.05.00</v>
      </c>
      <c r="D14" s="153" t="s">
        <v>93</v>
      </c>
      <c r="E14" s="154">
        <f t="shared" si="2"/>
        <v>40</v>
      </c>
      <c r="F14" s="154">
        <f t="shared" si="3"/>
        <v>40</v>
      </c>
      <c r="G14" s="154">
        <v>0</v>
      </c>
      <c r="H14" s="154">
        <v>0</v>
      </c>
      <c r="I14" s="154">
        <v>0</v>
      </c>
      <c r="J14" s="154">
        <v>0</v>
      </c>
      <c r="K14" s="154">
        <v>0</v>
      </c>
      <c r="L14" s="154"/>
      <c r="M14" s="154"/>
      <c r="N14" s="154">
        <v>0</v>
      </c>
      <c r="O14" s="154">
        <v>0</v>
      </c>
      <c r="P14" s="154">
        <v>6</v>
      </c>
      <c r="Q14" s="154"/>
      <c r="R14" s="154">
        <v>0</v>
      </c>
      <c r="S14" s="154">
        <v>0</v>
      </c>
      <c r="T14" s="154"/>
      <c r="U14" s="154">
        <v>32</v>
      </c>
      <c r="V14" s="154">
        <v>0</v>
      </c>
      <c r="W14" s="154">
        <v>1</v>
      </c>
      <c r="X14" s="154">
        <v>0</v>
      </c>
      <c r="Y14" s="154">
        <v>0</v>
      </c>
      <c r="Z14" s="154">
        <v>0</v>
      </c>
      <c r="AA14" s="154">
        <v>1</v>
      </c>
      <c r="AB14" s="154"/>
      <c r="AC14" s="154">
        <v>0</v>
      </c>
      <c r="AD14" s="154">
        <v>0</v>
      </c>
      <c r="AE14" s="154">
        <v>0</v>
      </c>
      <c r="AF14" s="155">
        <v>0</v>
      </c>
    </row>
    <row r="15" spans="1:33" ht="20.100000000000001" customHeight="1">
      <c r="B15" s="148" t="s">
        <v>3046</v>
      </c>
      <c r="C15" s="137" t="str">
        <f t="shared" si="4"/>
        <v>6.81.06.00</v>
      </c>
      <c r="D15" s="153" t="s">
        <v>94</v>
      </c>
      <c r="E15" s="154">
        <f t="shared" si="2"/>
        <v>153</v>
      </c>
      <c r="F15" s="154">
        <f t="shared" si="3"/>
        <v>153</v>
      </c>
      <c r="G15" s="154">
        <v>0</v>
      </c>
      <c r="H15" s="154">
        <v>0</v>
      </c>
      <c r="I15" s="154">
        <v>0</v>
      </c>
      <c r="J15" s="154">
        <v>0</v>
      </c>
      <c r="K15" s="154">
        <v>0</v>
      </c>
      <c r="L15" s="154"/>
      <c r="M15" s="154"/>
      <c r="N15" s="154">
        <v>0</v>
      </c>
      <c r="O15" s="154">
        <v>0</v>
      </c>
      <c r="P15" s="154">
        <v>7</v>
      </c>
      <c r="Q15" s="154"/>
      <c r="R15" s="154">
        <v>0</v>
      </c>
      <c r="S15" s="154">
        <v>0</v>
      </c>
      <c r="T15" s="154"/>
      <c r="U15" s="154">
        <v>131</v>
      </c>
      <c r="V15" s="154">
        <v>0</v>
      </c>
      <c r="W15" s="154">
        <v>2</v>
      </c>
      <c r="X15" s="154">
        <v>0</v>
      </c>
      <c r="Y15" s="154">
        <v>0</v>
      </c>
      <c r="Z15" s="154">
        <v>13</v>
      </c>
      <c r="AA15" s="154">
        <v>0</v>
      </c>
      <c r="AB15" s="154"/>
      <c r="AC15" s="154">
        <v>0</v>
      </c>
      <c r="AD15" s="154">
        <v>0</v>
      </c>
      <c r="AE15" s="154">
        <v>0</v>
      </c>
      <c r="AF15" s="155">
        <v>0</v>
      </c>
    </row>
    <row r="16" spans="1:33" s="142" customFormat="1" ht="20.100000000000001" customHeight="1">
      <c r="B16" s="148" t="s">
        <v>3047</v>
      </c>
      <c r="C16" s="137" t="str">
        <f t="shared" si="4"/>
        <v>6.81.07.00</v>
      </c>
      <c r="D16" s="153" t="s">
        <v>1133</v>
      </c>
      <c r="E16" s="154">
        <f>SUM(G16:AF16)</f>
        <v>2743</v>
      </c>
      <c r="F16" s="154">
        <f t="shared" si="3"/>
        <v>2743</v>
      </c>
      <c r="G16" s="154">
        <v>0</v>
      </c>
      <c r="H16" s="154">
        <v>95</v>
      </c>
      <c r="I16" s="154">
        <v>261</v>
      </c>
      <c r="J16" s="154">
        <v>0</v>
      </c>
      <c r="K16" s="154">
        <v>0</v>
      </c>
      <c r="L16" s="154"/>
      <c r="M16" s="154"/>
      <c r="N16" s="154">
        <v>0</v>
      </c>
      <c r="O16" s="154">
        <v>391</v>
      </c>
      <c r="P16" s="154">
        <v>366</v>
      </c>
      <c r="Q16" s="154"/>
      <c r="R16" s="154">
        <v>30</v>
      </c>
      <c r="S16" s="154">
        <v>1097</v>
      </c>
      <c r="T16" s="154"/>
      <c r="U16" s="154">
        <v>191</v>
      </c>
      <c r="V16" s="154">
        <v>0</v>
      </c>
      <c r="W16" s="154">
        <v>0</v>
      </c>
      <c r="X16" s="154">
        <v>0</v>
      </c>
      <c r="Y16" s="154">
        <v>297</v>
      </c>
      <c r="Z16" s="154">
        <v>14</v>
      </c>
      <c r="AA16" s="154">
        <v>1</v>
      </c>
      <c r="AB16" s="154"/>
      <c r="AC16" s="154">
        <v>0</v>
      </c>
      <c r="AD16" s="154">
        <v>0</v>
      </c>
      <c r="AE16" s="154">
        <v>0</v>
      </c>
      <c r="AF16" s="155">
        <v>0</v>
      </c>
    </row>
    <row r="17" spans="2:32" s="142" customFormat="1" ht="20.100000000000001" customHeight="1">
      <c r="B17" s="148" t="s">
        <v>3048</v>
      </c>
      <c r="C17" s="137" t="str">
        <f t="shared" si="4"/>
        <v>6.81.08.00</v>
      </c>
      <c r="D17" s="153" t="s">
        <v>3060</v>
      </c>
      <c r="E17" s="154">
        <f>SUM(G17:AF17)</f>
        <v>2743</v>
      </c>
      <c r="F17" s="154">
        <f t="shared" si="3"/>
        <v>2743</v>
      </c>
      <c r="G17" s="154">
        <v>0</v>
      </c>
      <c r="H17" s="154">
        <v>95</v>
      </c>
      <c r="I17" s="154">
        <v>261</v>
      </c>
      <c r="J17" s="154">
        <v>0</v>
      </c>
      <c r="K17" s="154">
        <v>0</v>
      </c>
      <c r="L17" s="154" t="s">
        <v>1805</v>
      </c>
      <c r="M17" s="154" t="s">
        <v>1805</v>
      </c>
      <c r="N17" s="154">
        <v>0</v>
      </c>
      <c r="O17" s="154">
        <v>391</v>
      </c>
      <c r="P17" s="154">
        <v>366</v>
      </c>
      <c r="Q17" s="154"/>
      <c r="R17" s="154">
        <v>30</v>
      </c>
      <c r="S17" s="154">
        <v>1097</v>
      </c>
      <c r="T17" s="154"/>
      <c r="U17" s="154">
        <v>191</v>
      </c>
      <c r="V17" s="154">
        <v>0</v>
      </c>
      <c r="W17" s="154">
        <v>0</v>
      </c>
      <c r="X17" s="154">
        <v>0</v>
      </c>
      <c r="Y17" s="154">
        <v>297</v>
      </c>
      <c r="Z17" s="154">
        <v>14</v>
      </c>
      <c r="AA17" s="154">
        <v>1</v>
      </c>
      <c r="AB17" s="154"/>
      <c r="AC17" s="154">
        <v>0</v>
      </c>
      <c r="AD17" s="154">
        <v>0</v>
      </c>
      <c r="AE17" s="154">
        <v>0</v>
      </c>
      <c r="AF17" s="155">
        <v>0</v>
      </c>
    </row>
    <row r="18" spans="2:32" s="142" customFormat="1" ht="20.100000000000001" customHeight="1">
      <c r="B18" s="148" t="s">
        <v>3049</v>
      </c>
      <c r="C18" s="137" t="str">
        <f t="shared" si="4"/>
        <v>6.81.09.00</v>
      </c>
      <c r="D18" s="153" t="s">
        <v>1227</v>
      </c>
      <c r="E18" s="154">
        <f t="shared" si="2"/>
        <v>92522</v>
      </c>
      <c r="F18" s="154">
        <f t="shared" si="3"/>
        <v>41483</v>
      </c>
      <c r="G18" s="154">
        <v>956</v>
      </c>
      <c r="H18" s="154">
        <v>1131</v>
      </c>
      <c r="I18" s="154">
        <v>11698</v>
      </c>
      <c r="J18" s="154">
        <v>1244</v>
      </c>
      <c r="K18" s="154">
        <v>680</v>
      </c>
      <c r="L18" s="154"/>
      <c r="M18" s="154"/>
      <c r="N18" s="595">
        <v>65</v>
      </c>
      <c r="O18" s="154">
        <v>5639</v>
      </c>
      <c r="P18" s="154">
        <v>8463</v>
      </c>
      <c r="Q18" s="154"/>
      <c r="R18" s="154">
        <v>153</v>
      </c>
      <c r="S18" s="154">
        <v>6044</v>
      </c>
      <c r="T18" s="154"/>
      <c r="U18" s="154">
        <v>2105</v>
      </c>
      <c r="V18" s="154">
        <v>1</v>
      </c>
      <c r="W18" s="154">
        <v>1</v>
      </c>
      <c r="X18" s="154">
        <v>0</v>
      </c>
      <c r="Y18" s="154">
        <v>3130</v>
      </c>
      <c r="Z18" s="154">
        <v>115</v>
      </c>
      <c r="AA18" s="154">
        <v>58</v>
      </c>
      <c r="AB18" s="154"/>
      <c r="AC18" s="154">
        <v>1</v>
      </c>
      <c r="AD18" s="154">
        <v>40186</v>
      </c>
      <c r="AE18" s="154">
        <v>5221</v>
      </c>
      <c r="AF18" s="155">
        <v>5631</v>
      </c>
    </row>
    <row r="19" spans="2:32" ht="20.100000000000001" customHeight="1">
      <c r="B19" s="148" t="s">
        <v>3050</v>
      </c>
      <c r="C19" s="137" t="str">
        <f t="shared" si="4"/>
        <v>6.81.10.00</v>
      </c>
      <c r="D19" s="153" t="s">
        <v>3361</v>
      </c>
      <c r="E19" s="154">
        <f>SUM(G19:AF19)</f>
        <v>2324799</v>
      </c>
      <c r="F19" s="154">
        <f>SUM(G19:AB19)</f>
        <v>2273760</v>
      </c>
      <c r="G19" s="154">
        <v>956</v>
      </c>
      <c r="H19" s="154">
        <v>1131</v>
      </c>
      <c r="I19" s="154">
        <v>11693</v>
      </c>
      <c r="J19" s="154">
        <v>1244</v>
      </c>
      <c r="K19" s="154">
        <v>692</v>
      </c>
      <c r="L19" s="154"/>
      <c r="M19" s="154"/>
      <c r="N19" s="154">
        <v>93</v>
      </c>
      <c r="O19" s="154">
        <v>14382</v>
      </c>
      <c r="P19" s="154">
        <v>17295</v>
      </c>
      <c r="Q19" s="154"/>
      <c r="R19" s="154">
        <v>153</v>
      </c>
      <c r="S19" s="154">
        <v>6044</v>
      </c>
      <c r="T19" s="154"/>
      <c r="U19" s="154">
        <v>928664</v>
      </c>
      <c r="V19" s="154">
        <v>697</v>
      </c>
      <c r="W19" s="154">
        <v>66117</v>
      </c>
      <c r="X19" s="154">
        <v>0</v>
      </c>
      <c r="Y19" s="154">
        <v>581822</v>
      </c>
      <c r="Z19" s="154">
        <v>90431</v>
      </c>
      <c r="AA19" s="154">
        <v>552346</v>
      </c>
      <c r="AB19" s="154"/>
      <c r="AC19" s="154">
        <v>1</v>
      </c>
      <c r="AD19" s="154">
        <v>40186</v>
      </c>
      <c r="AE19" s="154">
        <v>5221</v>
      </c>
      <c r="AF19" s="155">
        <v>5631</v>
      </c>
    </row>
    <row r="20" spans="2:32" ht="20.100000000000001" customHeight="1">
      <c r="B20" s="148" t="s">
        <v>3051</v>
      </c>
      <c r="C20" s="137" t="str">
        <f t="shared" si="4"/>
        <v>6.81.11.00</v>
      </c>
      <c r="D20" s="153" t="s">
        <v>1290</v>
      </c>
      <c r="E20" s="154">
        <f>SUM(G20:AF20)</f>
        <v>2283</v>
      </c>
      <c r="F20" s="154">
        <f>SUM(G20:AB20)</f>
        <v>2098</v>
      </c>
      <c r="G20" s="154">
        <v>7</v>
      </c>
      <c r="H20" s="154">
        <v>99</v>
      </c>
      <c r="I20" s="483">
        <v>321</v>
      </c>
      <c r="J20" s="154">
        <v>5</v>
      </c>
      <c r="K20" s="154">
        <v>0</v>
      </c>
      <c r="L20" s="154"/>
      <c r="M20" s="154"/>
      <c r="N20" s="154">
        <v>3</v>
      </c>
      <c r="O20" s="154">
        <v>303</v>
      </c>
      <c r="P20" s="154">
        <v>450</v>
      </c>
      <c r="Q20" s="154"/>
      <c r="R20" s="154">
        <v>9</v>
      </c>
      <c r="S20" s="154">
        <v>783</v>
      </c>
      <c r="T20" s="154"/>
      <c r="U20" s="154">
        <v>40</v>
      </c>
      <c r="V20" s="154">
        <v>0</v>
      </c>
      <c r="W20" s="154">
        <v>0</v>
      </c>
      <c r="X20" s="154">
        <v>0</v>
      </c>
      <c r="Y20" s="154">
        <v>68</v>
      </c>
      <c r="Z20" s="154">
        <v>8</v>
      </c>
      <c r="AA20" s="154">
        <v>2</v>
      </c>
      <c r="AB20" s="154"/>
      <c r="AC20" s="154">
        <v>0</v>
      </c>
      <c r="AD20" s="154">
        <v>148</v>
      </c>
      <c r="AE20" s="154">
        <v>21</v>
      </c>
      <c r="AF20" s="155">
        <v>16</v>
      </c>
    </row>
    <row r="21" spans="2:32" ht="20.100000000000001" customHeight="1">
      <c r="B21" s="148" t="s">
        <v>3052</v>
      </c>
      <c r="C21" s="137" t="str">
        <f t="shared" si="4"/>
        <v>6.81.12.00</v>
      </c>
      <c r="D21" s="153" t="s">
        <v>1228</v>
      </c>
      <c r="E21" s="154">
        <f t="shared" si="2"/>
        <v>73412</v>
      </c>
      <c r="F21" s="154">
        <f t="shared" si="3"/>
        <v>70546</v>
      </c>
      <c r="G21" s="154">
        <v>0</v>
      </c>
      <c r="H21" s="154">
        <v>95</v>
      </c>
      <c r="I21" s="154">
        <v>261</v>
      </c>
      <c r="J21" s="154">
        <v>0</v>
      </c>
      <c r="K21" s="154">
        <v>21</v>
      </c>
      <c r="L21" s="154"/>
      <c r="M21" s="154"/>
      <c r="N21" s="154">
        <v>0</v>
      </c>
      <c r="O21" s="154">
        <v>960</v>
      </c>
      <c r="P21" s="154">
        <v>1335</v>
      </c>
      <c r="Q21" s="154"/>
      <c r="R21" s="154">
        <v>30</v>
      </c>
      <c r="S21" s="154">
        <v>1097</v>
      </c>
      <c r="T21" s="154"/>
      <c r="U21" s="154">
        <v>23066</v>
      </c>
      <c r="V21" s="154">
        <v>0</v>
      </c>
      <c r="W21" s="154">
        <v>0</v>
      </c>
      <c r="X21" s="154">
        <v>0</v>
      </c>
      <c r="Y21" s="154">
        <v>40784</v>
      </c>
      <c r="Z21" s="154">
        <v>2705</v>
      </c>
      <c r="AA21" s="154">
        <v>192</v>
      </c>
      <c r="AB21" s="154"/>
      <c r="AC21" s="154">
        <v>0</v>
      </c>
      <c r="AD21" s="154">
        <v>1578</v>
      </c>
      <c r="AE21" s="154">
        <v>1003</v>
      </c>
      <c r="AF21" s="155">
        <v>285</v>
      </c>
    </row>
    <row r="22" spans="2:32" ht="20.100000000000001" customHeight="1">
      <c r="B22" s="148" t="s">
        <v>3053</v>
      </c>
      <c r="C22" s="137" t="str">
        <f t="shared" si="4"/>
        <v>6.81.13.00</v>
      </c>
      <c r="D22" s="153" t="s">
        <v>641</v>
      </c>
      <c r="E22" s="154">
        <f t="shared" si="2"/>
        <v>2323565</v>
      </c>
      <c r="F22" s="154">
        <f t="shared" si="3"/>
        <v>2273760</v>
      </c>
      <c r="G22" s="154">
        <v>956</v>
      </c>
      <c r="H22" s="154">
        <v>1131</v>
      </c>
      <c r="I22" s="154">
        <v>11693</v>
      </c>
      <c r="J22" s="154">
        <v>1244</v>
      </c>
      <c r="K22" s="154">
        <v>692</v>
      </c>
      <c r="L22" s="154"/>
      <c r="M22" s="154"/>
      <c r="N22" s="154">
        <v>93</v>
      </c>
      <c r="O22" s="154">
        <v>14382</v>
      </c>
      <c r="P22" s="154">
        <v>17295</v>
      </c>
      <c r="Q22" s="154"/>
      <c r="R22" s="154">
        <v>153</v>
      </c>
      <c r="S22" s="154">
        <v>6044</v>
      </c>
      <c r="T22" s="154"/>
      <c r="U22" s="154">
        <v>928664</v>
      </c>
      <c r="V22" s="154">
        <v>697</v>
      </c>
      <c r="W22" s="154">
        <v>66117</v>
      </c>
      <c r="X22" s="154">
        <v>0</v>
      </c>
      <c r="Y22" s="154">
        <v>581822</v>
      </c>
      <c r="Z22" s="154">
        <v>90431</v>
      </c>
      <c r="AA22" s="154">
        <v>552346</v>
      </c>
      <c r="AB22" s="154"/>
      <c r="AC22" s="154">
        <v>0</v>
      </c>
      <c r="AD22" s="154">
        <v>36226</v>
      </c>
      <c r="AE22" s="154">
        <v>5005</v>
      </c>
      <c r="AF22" s="155">
        <v>8574</v>
      </c>
    </row>
    <row r="23" spans="2:32" ht="20.100000000000001" customHeight="1">
      <c r="B23" s="148" t="s">
        <v>3054</v>
      </c>
      <c r="C23" s="137" t="str">
        <f t="shared" si="4"/>
        <v>6.81.14.00</v>
      </c>
      <c r="D23" s="153" t="s">
        <v>619</v>
      </c>
      <c r="E23" s="154">
        <f t="shared" si="2"/>
        <v>32874</v>
      </c>
      <c r="F23" s="154">
        <f t="shared" si="3"/>
        <v>284</v>
      </c>
      <c r="G23" s="154">
        <v>0</v>
      </c>
      <c r="H23" s="154">
        <v>0</v>
      </c>
      <c r="I23" s="154">
        <v>0</v>
      </c>
      <c r="J23" s="154">
        <v>0</v>
      </c>
      <c r="K23" s="154">
        <v>284</v>
      </c>
      <c r="L23" s="154"/>
      <c r="M23" s="154"/>
      <c r="N23" s="154">
        <v>0</v>
      </c>
      <c r="O23" s="154">
        <v>0</v>
      </c>
      <c r="P23" s="154">
        <v>0</v>
      </c>
      <c r="Q23" s="154"/>
      <c r="R23" s="154">
        <v>0</v>
      </c>
      <c r="S23" s="154">
        <v>0</v>
      </c>
      <c r="T23" s="154"/>
      <c r="U23" s="154">
        <v>0</v>
      </c>
      <c r="V23" s="154">
        <v>0</v>
      </c>
      <c r="W23" s="154">
        <v>0</v>
      </c>
      <c r="X23" s="154">
        <v>0</v>
      </c>
      <c r="Y23" s="154">
        <v>0</v>
      </c>
      <c r="Z23" s="154">
        <v>0</v>
      </c>
      <c r="AA23" s="154">
        <v>0</v>
      </c>
      <c r="AB23" s="154"/>
      <c r="AC23" s="154">
        <v>0</v>
      </c>
      <c r="AD23" s="154">
        <v>27265</v>
      </c>
      <c r="AE23" s="154">
        <v>5325</v>
      </c>
      <c r="AF23" s="155">
        <v>0</v>
      </c>
    </row>
    <row r="24" spans="2:32" ht="20.100000000000001" customHeight="1" thickBot="1">
      <c r="B24" s="298" t="s">
        <v>3056</v>
      </c>
      <c r="C24" s="139" t="str">
        <f t="shared" si="4"/>
        <v>6.81.15.00</v>
      </c>
      <c r="D24" s="1282" t="s">
        <v>1289</v>
      </c>
      <c r="E24" s="300">
        <f t="shared" si="2"/>
        <v>6468</v>
      </c>
      <c r="F24" s="300">
        <f t="shared" si="3"/>
        <v>60</v>
      </c>
      <c r="G24" s="300">
        <v>0</v>
      </c>
      <c r="H24" s="300">
        <v>0</v>
      </c>
      <c r="I24" s="300">
        <v>0</v>
      </c>
      <c r="J24" s="300">
        <v>0</v>
      </c>
      <c r="K24" s="300">
        <v>60</v>
      </c>
      <c r="L24" s="300"/>
      <c r="M24" s="300"/>
      <c r="N24" s="300">
        <v>0</v>
      </c>
      <c r="O24" s="300">
        <v>0</v>
      </c>
      <c r="P24" s="300">
        <v>0</v>
      </c>
      <c r="Q24" s="300"/>
      <c r="R24" s="300">
        <v>0</v>
      </c>
      <c r="S24" s="300">
        <v>0</v>
      </c>
      <c r="T24" s="300"/>
      <c r="U24" s="300">
        <v>0</v>
      </c>
      <c r="V24" s="300">
        <v>0</v>
      </c>
      <c r="W24" s="300">
        <v>0</v>
      </c>
      <c r="X24" s="300">
        <v>0</v>
      </c>
      <c r="Y24" s="300">
        <v>0</v>
      </c>
      <c r="Z24" s="300">
        <v>0</v>
      </c>
      <c r="AA24" s="300">
        <v>0</v>
      </c>
      <c r="AB24" s="300"/>
      <c r="AC24" s="300">
        <v>0</v>
      </c>
      <c r="AD24" s="300">
        <v>5304</v>
      </c>
      <c r="AE24" s="300">
        <v>1104</v>
      </c>
      <c r="AF24" s="1283">
        <v>0</v>
      </c>
    </row>
    <row r="26" spans="2:32" ht="15.75" thickBot="1">
      <c r="B26" s="1277" t="s">
        <v>3362</v>
      </c>
      <c r="C26" s="1277" t="s">
        <v>3363</v>
      </c>
      <c r="D26" s="1278"/>
    </row>
    <row r="27" spans="2:32" ht="20.100000000000001" customHeight="1">
      <c r="B27" s="1279" t="s">
        <v>3055</v>
      </c>
      <c r="C27" s="295" t="str">
        <f t="shared" si="4"/>
        <v>6.82.01.00</v>
      </c>
      <c r="D27" s="296" t="s">
        <v>157</v>
      </c>
      <c r="E27" s="297">
        <f t="shared" si="2"/>
        <v>2587338</v>
      </c>
      <c r="F27" s="297">
        <f t="shared" si="3"/>
        <v>2587338</v>
      </c>
      <c r="G27" s="297">
        <v>0</v>
      </c>
      <c r="H27" s="297">
        <v>11363</v>
      </c>
      <c r="I27" s="297">
        <v>12226</v>
      </c>
      <c r="J27" s="297">
        <v>0</v>
      </c>
      <c r="K27" s="297">
        <v>0</v>
      </c>
      <c r="L27" s="297"/>
      <c r="M27" s="297"/>
      <c r="N27" s="297">
        <v>0</v>
      </c>
      <c r="O27" s="297">
        <v>528123</v>
      </c>
      <c r="P27" s="297">
        <v>31222</v>
      </c>
      <c r="Q27" s="297"/>
      <c r="R27" s="297">
        <v>4363</v>
      </c>
      <c r="S27" s="297">
        <v>37675</v>
      </c>
      <c r="T27" s="297"/>
      <c r="U27" s="297">
        <v>759872</v>
      </c>
      <c r="V27" s="297">
        <v>0</v>
      </c>
      <c r="W27" s="297">
        <v>0</v>
      </c>
      <c r="X27" s="297">
        <v>0</v>
      </c>
      <c r="Y27" s="297">
        <v>1181942</v>
      </c>
      <c r="Z27" s="297">
        <v>11144</v>
      </c>
      <c r="AA27" s="1280">
        <v>9408</v>
      </c>
      <c r="AB27" s="297"/>
      <c r="AC27" s="297">
        <v>0</v>
      </c>
      <c r="AD27" s="297">
        <v>0</v>
      </c>
      <c r="AE27" s="297">
        <v>0</v>
      </c>
      <c r="AF27" s="1281">
        <v>0</v>
      </c>
    </row>
    <row r="28" spans="2:32" ht="20.100000000000001" customHeight="1">
      <c r="B28" s="148" t="s">
        <v>3057</v>
      </c>
      <c r="C28" s="137" t="str">
        <f t="shared" si="4"/>
        <v>6.82.02.00</v>
      </c>
      <c r="D28" s="153" t="s">
        <v>1016</v>
      </c>
      <c r="E28" s="154">
        <f t="shared" si="2"/>
        <v>57663899</v>
      </c>
      <c r="F28" s="154">
        <f t="shared" si="3"/>
        <v>57663899</v>
      </c>
      <c r="G28" s="154">
        <v>34190</v>
      </c>
      <c r="H28" s="154">
        <v>140597</v>
      </c>
      <c r="I28" s="154">
        <v>612015</v>
      </c>
      <c r="J28" s="154">
        <v>41504</v>
      </c>
      <c r="K28" s="154">
        <v>0</v>
      </c>
      <c r="L28" s="154"/>
      <c r="M28" s="154"/>
      <c r="N28" s="483">
        <v>829</v>
      </c>
      <c r="O28" s="154">
        <v>7286270</v>
      </c>
      <c r="P28" s="154">
        <v>359321</v>
      </c>
      <c r="Q28" s="154"/>
      <c r="R28" s="154">
        <v>20374</v>
      </c>
      <c r="S28" s="154">
        <v>191454</v>
      </c>
      <c r="T28" s="154"/>
      <c r="U28" s="154">
        <v>15967220</v>
      </c>
      <c r="V28" s="154">
        <v>13756</v>
      </c>
      <c r="W28" s="154">
        <v>604868</v>
      </c>
      <c r="X28" s="154">
        <v>0</v>
      </c>
      <c r="Y28" s="154">
        <v>30113159</v>
      </c>
      <c r="Z28" s="154">
        <v>432172</v>
      </c>
      <c r="AA28" s="154">
        <v>1846170</v>
      </c>
      <c r="AB28" s="154"/>
      <c r="AC28" s="154">
        <v>0</v>
      </c>
      <c r="AD28" s="154">
        <v>0</v>
      </c>
      <c r="AE28" s="154">
        <v>0</v>
      </c>
      <c r="AF28" s="155">
        <v>0</v>
      </c>
    </row>
    <row r="29" spans="2:32" ht="20.100000000000001" customHeight="1">
      <c r="B29" s="148" t="s">
        <v>3058</v>
      </c>
      <c r="C29" s="137" t="str">
        <f t="shared" si="4"/>
        <v>6.82.03.00</v>
      </c>
      <c r="D29" s="153" t="s">
        <v>1017</v>
      </c>
      <c r="E29" s="154">
        <f t="shared" si="2"/>
        <v>3302</v>
      </c>
      <c r="F29" s="154">
        <f t="shared" si="3"/>
        <v>3044</v>
      </c>
      <c r="G29" s="154">
        <v>0</v>
      </c>
      <c r="H29" s="154">
        <v>1</v>
      </c>
      <c r="I29" s="154">
        <v>4</v>
      </c>
      <c r="J29" s="154">
        <v>2</v>
      </c>
      <c r="K29" s="154">
        <v>1</v>
      </c>
      <c r="L29" s="154"/>
      <c r="M29" s="154"/>
      <c r="N29" s="154">
        <v>0</v>
      </c>
      <c r="O29" s="154">
        <v>0</v>
      </c>
      <c r="P29" s="154">
        <v>0</v>
      </c>
      <c r="Q29" s="154"/>
      <c r="R29" s="154">
        <v>1</v>
      </c>
      <c r="S29" s="154">
        <v>1</v>
      </c>
      <c r="T29" s="154"/>
      <c r="U29" s="154">
        <v>674</v>
      </c>
      <c r="V29" s="154">
        <v>1</v>
      </c>
      <c r="W29" s="154">
        <v>46</v>
      </c>
      <c r="X29" s="154">
        <v>0</v>
      </c>
      <c r="Y29" s="154">
        <v>0</v>
      </c>
      <c r="Z29" s="154">
        <v>8</v>
      </c>
      <c r="AA29" s="154">
        <v>2305</v>
      </c>
      <c r="AB29" s="154"/>
      <c r="AC29" s="154">
        <v>0</v>
      </c>
      <c r="AD29" s="154">
        <v>224</v>
      </c>
      <c r="AE29" s="154">
        <v>34</v>
      </c>
      <c r="AF29" s="596">
        <v>0</v>
      </c>
    </row>
    <row r="30" spans="2:32" ht="20.100000000000001" customHeight="1" thickBot="1">
      <c r="B30" s="298" t="s">
        <v>3059</v>
      </c>
      <c r="C30" s="139" t="str">
        <f t="shared" si="4"/>
        <v>6.82.04.00</v>
      </c>
      <c r="D30" s="299" t="s">
        <v>1018</v>
      </c>
      <c r="E30" s="300">
        <f>SUM(G30:AF30)</f>
        <v>3297</v>
      </c>
      <c r="F30" s="300">
        <f t="shared" si="3"/>
        <v>3039</v>
      </c>
      <c r="G30" s="300">
        <v>0</v>
      </c>
      <c r="H30" s="300">
        <v>0</v>
      </c>
      <c r="I30" s="300">
        <v>4</v>
      </c>
      <c r="J30" s="300">
        <v>1</v>
      </c>
      <c r="K30" s="300">
        <v>1</v>
      </c>
      <c r="L30" s="300"/>
      <c r="M30" s="300"/>
      <c r="N30" s="300">
        <v>0</v>
      </c>
      <c r="O30" s="300">
        <v>0</v>
      </c>
      <c r="P30" s="300">
        <v>0</v>
      </c>
      <c r="Q30" s="300"/>
      <c r="R30" s="300">
        <v>0</v>
      </c>
      <c r="S30" s="300">
        <v>0</v>
      </c>
      <c r="T30" s="300"/>
      <c r="U30" s="300">
        <v>674</v>
      </c>
      <c r="V30" s="300">
        <v>0</v>
      </c>
      <c r="W30" s="300">
        <v>46</v>
      </c>
      <c r="X30" s="300">
        <v>0</v>
      </c>
      <c r="Y30" s="300">
        <v>0</v>
      </c>
      <c r="Z30" s="300">
        <v>8</v>
      </c>
      <c r="AA30" s="300">
        <v>2305</v>
      </c>
      <c r="AB30" s="300"/>
      <c r="AC30" s="300">
        <v>0</v>
      </c>
      <c r="AD30" s="300">
        <v>224</v>
      </c>
      <c r="AE30" s="300">
        <v>34</v>
      </c>
      <c r="AF30" s="773">
        <v>0</v>
      </c>
    </row>
  </sheetData>
  <phoneticPr fontId="10" type="noConversion"/>
  <printOptions horizontalCentered="1"/>
  <pageMargins left="0.15748031496062992" right="0.15748031496062992" top="0.78740157480314965" bottom="0.78740157480314965" header="0" footer="0"/>
  <pageSetup paperSize="119" scale="75" orientation="landscape" r:id="rId1"/>
  <headerFooter alignWithMargins="0">
    <oddHeader>&amp;L&amp;"Times New Roman,Negrita Cursiva"&amp;9Subgerencia Finanzas
Depto.Contabilidad</oddHeader>
    <oddFooter>&amp;L&amp;"Times New Roman,Negrita Cursiva"&amp;9&amp;F
&amp;A
&amp;R&amp;"Times New Roman,Negrita Cursiva"&amp;9&amp;D
&amp;T</oddFooter>
  </headerFooter>
  <ignoredErrors>
    <ignoredError sqref="F10:F30" formulaRange="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
  <dimension ref="A1:O273"/>
  <sheetViews>
    <sheetView showGridLines="0" workbookViewId="0">
      <selection activeCell="D238" sqref="D238:D244"/>
    </sheetView>
  </sheetViews>
  <sheetFormatPr baseColWidth="10" defaultRowHeight="11.25"/>
  <cols>
    <col min="1" max="2" width="16.83203125" customWidth="1"/>
    <col min="3" max="3" width="16.33203125" customWidth="1"/>
    <col min="4" max="4" width="18.33203125" customWidth="1"/>
    <col min="5" max="5" width="15.6640625" customWidth="1"/>
    <col min="6" max="6" width="16" customWidth="1"/>
    <col min="7" max="7" width="16.1640625" customWidth="1"/>
    <col min="8" max="8" width="15.5" bestFit="1" customWidth="1"/>
    <col min="11" max="11" width="13.5" customWidth="1"/>
    <col min="12" max="13" width="14.6640625" customWidth="1"/>
    <col min="14" max="14" width="16.33203125" customWidth="1"/>
    <col min="15" max="15" width="16.5" customWidth="1"/>
  </cols>
  <sheetData>
    <row r="1" spans="1:15" s="1378" customFormat="1" ht="29.25">
      <c r="A1" s="35" t="s">
        <v>1739</v>
      </c>
      <c r="B1" s="35"/>
      <c r="C1" s="36"/>
      <c r="D1" s="523"/>
      <c r="E1" s="36"/>
      <c r="F1" s="537"/>
      <c r="G1" s="537"/>
      <c r="H1" s="537"/>
      <c r="I1" s="36"/>
      <c r="J1" s="36"/>
    </row>
    <row r="2" spans="1:15" s="1379" customFormat="1" ht="18.75" thickBot="1">
      <c r="A2" s="37" t="s">
        <v>1814</v>
      </c>
      <c r="B2" s="37"/>
      <c r="C2" s="38"/>
      <c r="D2" s="524"/>
      <c r="E2" s="38"/>
      <c r="F2" s="549"/>
      <c r="G2" s="549"/>
      <c r="H2" s="549"/>
      <c r="I2" s="82"/>
      <c r="J2" s="82"/>
    </row>
    <row r="5" spans="1:15" ht="12.75">
      <c r="A5" s="1380" t="s">
        <v>3390</v>
      </c>
      <c r="B5" s="1380"/>
    </row>
    <row r="7" spans="1:15">
      <c r="A7" s="41" t="s">
        <v>3386</v>
      </c>
      <c r="B7" s="41"/>
    </row>
    <row r="10" spans="1:15">
      <c r="A10" s="32" t="s">
        <v>3411</v>
      </c>
      <c r="B10" s="32">
        <v>520500</v>
      </c>
      <c r="C10" s="32" t="s">
        <v>3391</v>
      </c>
    </row>
    <row r="11" spans="1:15">
      <c r="A11" s="32" t="s">
        <v>3282</v>
      </c>
      <c r="B11" s="32"/>
    </row>
    <row r="12" spans="1:15" ht="12.75">
      <c r="A12" s="1367"/>
      <c r="B12" s="1367"/>
      <c r="C12" s="1368" t="s">
        <v>3393</v>
      </c>
      <c r="D12" s="1368"/>
      <c r="E12" s="1368"/>
      <c r="F12" s="1368"/>
      <c r="G12" s="1368"/>
      <c r="H12" s="1368"/>
      <c r="I12" s="1368"/>
      <c r="J12" s="1368"/>
      <c r="K12" s="1368"/>
      <c r="L12" s="1368"/>
      <c r="M12" s="1368"/>
      <c r="N12" s="1368"/>
      <c r="O12" s="1368"/>
    </row>
    <row r="13" spans="1:15" ht="12.75">
      <c r="A13" s="1369" t="s">
        <v>964</v>
      </c>
      <c r="B13" s="1377" t="s">
        <v>3434</v>
      </c>
      <c r="C13" s="1370" t="s">
        <v>3399</v>
      </c>
      <c r="D13" s="1370" t="s">
        <v>3400</v>
      </c>
      <c r="E13" s="1370" t="s">
        <v>3401</v>
      </c>
      <c r="F13" s="1370" t="s">
        <v>3402</v>
      </c>
      <c r="G13" s="1370" t="s">
        <v>3403</v>
      </c>
      <c r="H13" s="1370" t="s">
        <v>3404</v>
      </c>
      <c r="I13" s="1370" t="s">
        <v>3405</v>
      </c>
      <c r="J13" s="1370" t="s">
        <v>3406</v>
      </c>
      <c r="K13" s="1370" t="s">
        <v>3407</v>
      </c>
      <c r="L13" s="1370" t="s">
        <v>3408</v>
      </c>
      <c r="M13" s="1370" t="s">
        <v>3409</v>
      </c>
      <c r="N13" s="1370" t="s">
        <v>3410</v>
      </c>
      <c r="O13" s="1369" t="s">
        <v>3394</v>
      </c>
    </row>
    <row r="14" spans="1:15" ht="12.75">
      <c r="A14" s="1371">
        <f>VALUE(101)</f>
        <v>101</v>
      </c>
      <c r="B14" s="1371">
        <f>VALUE(101)</f>
        <v>101</v>
      </c>
      <c r="C14" s="1372">
        <v>9780292</v>
      </c>
      <c r="D14" s="1372">
        <v>8826858</v>
      </c>
      <c r="E14" s="1372">
        <v>25834203</v>
      </c>
      <c r="F14" s="1372">
        <v>27078900</v>
      </c>
      <c r="G14" s="1372">
        <v>31726813</v>
      </c>
      <c r="H14" s="1372">
        <v>15367423</v>
      </c>
      <c r="I14" s="1372"/>
      <c r="J14" s="1372"/>
      <c r="K14" s="1372"/>
      <c r="L14" s="1372"/>
      <c r="M14" s="1372"/>
      <c r="N14" s="1372"/>
      <c r="O14" s="1372">
        <f>SUM(C14:N14)</f>
        <v>118614489</v>
      </c>
    </row>
    <row r="15" spans="1:15" ht="12.75">
      <c r="A15" s="1371">
        <f>VALUE(102)</f>
        <v>102</v>
      </c>
      <c r="B15" s="1371">
        <f>VALUE(102)</f>
        <v>102</v>
      </c>
      <c r="C15" s="1372">
        <v>23677</v>
      </c>
      <c r="D15" s="1372"/>
      <c r="E15" s="1372">
        <v>665328</v>
      </c>
      <c r="F15" s="1372"/>
      <c r="G15" s="1372">
        <v>726778</v>
      </c>
      <c r="H15" s="1372">
        <v>1048588</v>
      </c>
      <c r="I15" s="1372"/>
      <c r="J15" s="1372"/>
      <c r="K15" s="1372"/>
      <c r="L15" s="1372"/>
      <c r="M15" s="1372"/>
      <c r="N15" s="1372"/>
      <c r="O15" s="1372">
        <f t="shared" ref="O15:O18" si="0">SUM(C15:N15)</f>
        <v>2464371</v>
      </c>
    </row>
    <row r="16" spans="1:15" ht="12.75">
      <c r="A16" s="1371">
        <f>VALUE(103)</f>
        <v>103</v>
      </c>
      <c r="B16" s="1371">
        <f>VALUE(103)</f>
        <v>103</v>
      </c>
      <c r="C16" s="1372">
        <v>431607111</v>
      </c>
      <c r="D16" s="1372">
        <v>261959946</v>
      </c>
      <c r="E16" s="1372">
        <v>220867904</v>
      </c>
      <c r="F16" s="1372">
        <v>328088524</v>
      </c>
      <c r="G16" s="1372">
        <v>286655672</v>
      </c>
      <c r="H16" s="1372">
        <v>269021845</v>
      </c>
      <c r="I16" s="1372"/>
      <c r="J16" s="1372"/>
      <c r="K16" s="1372"/>
      <c r="L16" s="1372"/>
      <c r="M16" s="1372"/>
      <c r="N16" s="1372"/>
      <c r="O16" s="1372">
        <f t="shared" si="0"/>
        <v>1798201002</v>
      </c>
    </row>
    <row r="17" spans="1:15" ht="12.75">
      <c r="A17" s="1371">
        <f>VALUE(104)</f>
        <v>104</v>
      </c>
      <c r="B17" s="1371">
        <f>VALUE(104)</f>
        <v>104</v>
      </c>
      <c r="C17" s="1372">
        <v>32583333</v>
      </c>
      <c r="D17" s="1372">
        <v>27133680</v>
      </c>
      <c r="E17" s="1372">
        <v>31817498</v>
      </c>
      <c r="F17" s="1372">
        <v>111193984</v>
      </c>
      <c r="G17" s="1372">
        <v>144386002</v>
      </c>
      <c r="H17" s="1372">
        <v>66558123</v>
      </c>
      <c r="I17" s="1372"/>
      <c r="J17" s="1372"/>
      <c r="K17" s="1372"/>
      <c r="L17" s="1372"/>
      <c r="M17" s="1372"/>
      <c r="N17" s="1372"/>
      <c r="O17" s="1372">
        <f t="shared" si="0"/>
        <v>413672620</v>
      </c>
    </row>
    <row r="18" spans="1:15" ht="13.5" thickBot="1">
      <c r="A18" s="1373">
        <f>VALUE(113)</f>
        <v>113</v>
      </c>
      <c r="B18" s="1373">
        <f>VALUE(113)</f>
        <v>113</v>
      </c>
      <c r="C18" s="1374"/>
      <c r="D18" s="1374">
        <v>0</v>
      </c>
      <c r="E18" s="1374"/>
      <c r="F18" s="1374"/>
      <c r="G18" s="1374"/>
      <c r="H18" s="1374"/>
      <c r="I18" s="1374"/>
      <c r="J18" s="1374"/>
      <c r="K18" s="1374"/>
      <c r="L18" s="1374"/>
      <c r="M18" s="1374"/>
      <c r="N18" s="1374"/>
      <c r="O18" s="1372">
        <f t="shared" si="0"/>
        <v>0</v>
      </c>
    </row>
    <row r="19" spans="1:15" ht="13.5" thickTop="1">
      <c r="A19" s="1375" t="s">
        <v>3394</v>
      </c>
      <c r="B19" s="1375"/>
      <c r="C19" s="1376">
        <f>SUM(C14:C18)</f>
        <v>473994413</v>
      </c>
      <c r="D19" s="1376">
        <f t="shared" ref="D19:G19" si="1">SUM(D14:D18)</f>
        <v>297920484</v>
      </c>
      <c r="E19" s="1376">
        <f t="shared" si="1"/>
        <v>279184933</v>
      </c>
      <c r="F19" s="1376">
        <f t="shared" si="1"/>
        <v>466361408</v>
      </c>
      <c r="G19" s="1376">
        <f t="shared" si="1"/>
        <v>463495265</v>
      </c>
      <c r="H19" s="1376">
        <f t="shared" ref="H19" si="2">SUM(H14:H18)</f>
        <v>351995979</v>
      </c>
      <c r="I19" s="1376">
        <f t="shared" ref="I19" si="3">SUM(I14:I18)</f>
        <v>0</v>
      </c>
      <c r="J19" s="1376">
        <f t="shared" ref="J19" si="4">SUM(J14:J18)</f>
        <v>0</v>
      </c>
      <c r="K19" s="1376">
        <f t="shared" ref="K19" si="5">SUM(K14:K18)</f>
        <v>0</v>
      </c>
      <c r="L19" s="1376">
        <f t="shared" ref="L19" si="6">SUM(L14:L18)</f>
        <v>0</v>
      </c>
      <c r="M19" s="1376">
        <f t="shared" ref="M19" si="7">SUM(M14:M18)</f>
        <v>0</v>
      </c>
      <c r="N19" s="1376">
        <f t="shared" ref="N19" si="8">SUM(N14:N18)</f>
        <v>0</v>
      </c>
      <c r="O19" s="1376">
        <f>SUM(O14:O18)</f>
        <v>2332952482</v>
      </c>
    </row>
    <row r="22" spans="1:15">
      <c r="A22" s="496" t="s">
        <v>3411</v>
      </c>
      <c r="B22" s="496">
        <v>510100</v>
      </c>
      <c r="C22" s="496" t="s">
        <v>2420</v>
      </c>
      <c r="D22" s="1430"/>
    </row>
    <row r="23" spans="1:15">
      <c r="A23" s="32" t="s">
        <v>3281</v>
      </c>
      <c r="B23" s="32"/>
    </row>
    <row r="24" spans="1:15" ht="12.75">
      <c r="A24" s="1367"/>
      <c r="B24" s="1367"/>
      <c r="C24" s="1368" t="s">
        <v>3393</v>
      </c>
      <c r="D24" s="1368"/>
      <c r="E24" s="1368"/>
      <c r="F24" s="1368"/>
      <c r="G24" s="1368"/>
      <c r="H24" s="1368"/>
      <c r="I24" s="1368"/>
      <c r="J24" s="1368"/>
      <c r="K24" s="1368"/>
      <c r="L24" s="1368"/>
      <c r="M24" s="1368"/>
      <c r="N24" s="1368"/>
      <c r="O24" s="1368"/>
    </row>
    <row r="25" spans="1:15" ht="12.75">
      <c r="A25" s="1369" t="s">
        <v>964</v>
      </c>
      <c r="B25" s="1377" t="s">
        <v>3434</v>
      </c>
      <c r="C25" s="1370" t="s">
        <v>3422</v>
      </c>
      <c r="D25" s="1370" t="s">
        <v>3400</v>
      </c>
      <c r="E25" s="1370" t="s">
        <v>3401</v>
      </c>
      <c r="F25" s="1370" t="s">
        <v>3402</v>
      </c>
      <c r="G25" s="1370" t="s">
        <v>3403</v>
      </c>
      <c r="H25" s="1370" t="s">
        <v>3404</v>
      </c>
      <c r="I25" s="1370" t="s">
        <v>3405</v>
      </c>
      <c r="J25" s="1370" t="s">
        <v>3406</v>
      </c>
      <c r="K25" s="1370" t="s">
        <v>3407</v>
      </c>
      <c r="L25" s="1370" t="s">
        <v>3408</v>
      </c>
      <c r="M25" s="1370" t="s">
        <v>3409</v>
      </c>
      <c r="N25" s="1370" t="s">
        <v>3410</v>
      </c>
      <c r="O25" s="1369" t="s">
        <v>3394</v>
      </c>
    </row>
    <row r="26" spans="1:15" ht="12.75">
      <c r="A26" s="1371">
        <f>VALUE(B26)</f>
        <v>103</v>
      </c>
      <c r="B26" s="1371" t="s">
        <v>3397</v>
      </c>
      <c r="C26" s="1372">
        <v>559281</v>
      </c>
      <c r="D26" s="1372">
        <v>448340</v>
      </c>
      <c r="E26" s="1372">
        <v>336965</v>
      </c>
      <c r="F26" s="1372"/>
      <c r="G26" s="1372"/>
      <c r="H26" s="1372"/>
      <c r="I26" s="1372"/>
      <c r="J26" s="1372"/>
      <c r="K26" s="1372"/>
      <c r="L26" s="1372"/>
      <c r="M26" s="1372"/>
      <c r="N26" s="1372"/>
      <c r="O26" s="1372">
        <f>SUM(C26:N26)</f>
        <v>1344586</v>
      </c>
    </row>
    <row r="27" spans="1:15" ht="12.75">
      <c r="A27" s="1371">
        <f t="shared" ref="A27:A31" si="9">VALUE(B27)</f>
        <v>109</v>
      </c>
      <c r="B27" s="1371" t="s">
        <v>3412</v>
      </c>
      <c r="C27" s="1372">
        <v>1480474</v>
      </c>
      <c r="D27" s="1372">
        <v>513015</v>
      </c>
      <c r="E27" s="1372">
        <v>636906</v>
      </c>
      <c r="F27" s="1372">
        <v>52206</v>
      </c>
      <c r="G27" s="1372">
        <v>5093464</v>
      </c>
      <c r="H27" s="1372"/>
      <c r="I27" s="1372"/>
      <c r="J27" s="1372"/>
      <c r="K27" s="1372"/>
      <c r="L27" s="1372"/>
      <c r="M27" s="1372"/>
      <c r="N27" s="1372"/>
      <c r="O27" s="1372">
        <f t="shared" ref="O27:O36" si="10">SUM(C27:N27)</f>
        <v>7776065</v>
      </c>
    </row>
    <row r="28" spans="1:15" ht="12.75">
      <c r="A28" s="1371">
        <f t="shared" si="9"/>
        <v>110</v>
      </c>
      <c r="B28" s="1371" t="s">
        <v>3413</v>
      </c>
      <c r="C28" s="1372">
        <v>224040</v>
      </c>
      <c r="D28" s="1372">
        <v>224620</v>
      </c>
      <c r="E28" s="1372">
        <v>225306</v>
      </c>
      <c r="F28" s="1372">
        <v>225912</v>
      </c>
      <c r="G28" s="1372">
        <v>226208</v>
      </c>
      <c r="H28" s="1372"/>
      <c r="I28" s="1372"/>
      <c r="J28" s="1372"/>
      <c r="K28" s="1372"/>
      <c r="L28" s="1372"/>
      <c r="M28" s="1372"/>
      <c r="N28" s="1372"/>
      <c r="O28" s="1372">
        <f t="shared" si="10"/>
        <v>1126086</v>
      </c>
    </row>
    <row r="29" spans="1:15" ht="12.75">
      <c r="A29" s="1371">
        <f t="shared" si="9"/>
        <v>202</v>
      </c>
      <c r="B29" s="1371" t="s">
        <v>3414</v>
      </c>
      <c r="C29" s="1372">
        <v>145014255</v>
      </c>
      <c r="D29" s="1372">
        <v>19728485</v>
      </c>
      <c r="E29" s="1372">
        <v>142634448</v>
      </c>
      <c r="F29" s="1372">
        <v>209879368</v>
      </c>
      <c r="G29" s="1372">
        <v>23783653</v>
      </c>
      <c r="H29" s="1372"/>
      <c r="I29" s="1372"/>
      <c r="J29" s="1372"/>
      <c r="K29" s="1372"/>
      <c r="L29" s="1372"/>
      <c r="M29" s="1372"/>
      <c r="N29" s="1372"/>
      <c r="O29" s="1372">
        <f t="shared" si="10"/>
        <v>541040209</v>
      </c>
    </row>
    <row r="30" spans="1:15" ht="12.75">
      <c r="A30" s="1371">
        <f t="shared" si="9"/>
        <v>210</v>
      </c>
      <c r="B30" s="1371" t="s">
        <v>3416</v>
      </c>
      <c r="C30" s="1372">
        <v>3163577</v>
      </c>
      <c r="D30" s="1372">
        <v>1975801</v>
      </c>
      <c r="E30" s="1372">
        <v>0</v>
      </c>
      <c r="F30" s="1372">
        <v>0</v>
      </c>
      <c r="G30" s="1372">
        <v>11297865</v>
      </c>
      <c r="H30" s="1372"/>
      <c r="I30" s="1372"/>
      <c r="J30" s="1372"/>
      <c r="K30" s="1372"/>
      <c r="L30" s="1372"/>
      <c r="M30" s="1372"/>
      <c r="N30" s="1372"/>
      <c r="O30" s="1372">
        <f t="shared" si="10"/>
        <v>16437243</v>
      </c>
    </row>
    <row r="31" spans="1:15" ht="12.75">
      <c r="A31" s="1371">
        <f t="shared" si="9"/>
        <v>212</v>
      </c>
      <c r="B31" s="1371" t="s">
        <v>3417</v>
      </c>
      <c r="C31" s="1372">
        <v>11737418</v>
      </c>
      <c r="D31" s="1372">
        <v>0</v>
      </c>
      <c r="E31" s="1372"/>
      <c r="F31" s="1372"/>
      <c r="G31" s="1372"/>
      <c r="H31" s="1372"/>
      <c r="I31" s="1372"/>
      <c r="J31" s="1372"/>
      <c r="K31" s="1372"/>
      <c r="L31" s="1372"/>
      <c r="M31" s="1372"/>
      <c r="N31" s="1372"/>
      <c r="O31" s="1372">
        <f t="shared" si="10"/>
        <v>11737418</v>
      </c>
    </row>
    <row r="32" spans="1:15" ht="12.75">
      <c r="A32" s="1371">
        <v>202</v>
      </c>
      <c r="B32" s="1371" t="s">
        <v>3418</v>
      </c>
      <c r="C32" s="1372">
        <v>79507608</v>
      </c>
      <c r="D32" s="1372">
        <v>56602088</v>
      </c>
      <c r="E32" s="1372">
        <v>24009806</v>
      </c>
      <c r="F32" s="1372">
        <v>107614118</v>
      </c>
      <c r="G32" s="1372">
        <v>60593979</v>
      </c>
      <c r="H32" s="1372">
        <v>-153695</v>
      </c>
      <c r="I32" s="1372"/>
      <c r="J32" s="1372"/>
      <c r="K32" s="1372"/>
      <c r="L32" s="1372"/>
      <c r="M32" s="1372"/>
      <c r="N32" s="1372"/>
      <c r="O32" s="1372">
        <f t="shared" si="10"/>
        <v>328173904</v>
      </c>
    </row>
    <row r="33" spans="1:15" ht="12.75">
      <c r="A33" s="1371">
        <v>210</v>
      </c>
      <c r="B33" s="1371" t="s">
        <v>3419</v>
      </c>
      <c r="C33" s="1372">
        <v>334908</v>
      </c>
      <c r="D33" s="1372">
        <v>202060</v>
      </c>
      <c r="E33" s="1372">
        <v>720797</v>
      </c>
      <c r="F33" s="1372">
        <v>7378437</v>
      </c>
      <c r="G33" s="1372">
        <v>406896</v>
      </c>
      <c r="H33" s="1372"/>
      <c r="I33" s="1372"/>
      <c r="J33" s="1372"/>
      <c r="K33" s="1372"/>
      <c r="L33" s="1372"/>
      <c r="M33" s="1372"/>
      <c r="N33" s="1372"/>
      <c r="O33" s="1372">
        <f t="shared" si="10"/>
        <v>9043098</v>
      </c>
    </row>
    <row r="34" spans="1:15" ht="12.75">
      <c r="A34" s="1371">
        <v>212</v>
      </c>
      <c r="B34" s="1371" t="s">
        <v>3420</v>
      </c>
      <c r="C34" s="1372"/>
      <c r="D34" s="1372">
        <v>63861611</v>
      </c>
      <c r="E34" s="1372">
        <v>7991673</v>
      </c>
      <c r="F34" s="1372"/>
      <c r="G34" s="1372">
        <v>11304692</v>
      </c>
      <c r="H34" s="1372"/>
      <c r="I34" s="1372"/>
      <c r="J34" s="1372"/>
      <c r="K34" s="1372"/>
      <c r="L34" s="1372"/>
      <c r="M34" s="1372"/>
      <c r="N34" s="1372"/>
      <c r="O34" s="1372">
        <f t="shared" si="10"/>
        <v>83157976</v>
      </c>
    </row>
    <row r="35" spans="1:15" ht="12.75">
      <c r="A35" s="1371">
        <v>212</v>
      </c>
      <c r="B35" s="1371" t="s">
        <v>3421</v>
      </c>
      <c r="C35" s="1372">
        <v>17931912</v>
      </c>
      <c r="D35" s="1372">
        <v>24478274</v>
      </c>
      <c r="E35" s="1372">
        <v>24147755</v>
      </c>
      <c r="F35" s="1372">
        <v>52721032</v>
      </c>
      <c r="G35" s="1372">
        <v>66116789</v>
      </c>
      <c r="H35" s="1372"/>
      <c r="I35" s="1372"/>
      <c r="J35" s="1372"/>
      <c r="K35" s="1372"/>
      <c r="L35" s="1372"/>
      <c r="M35" s="1372"/>
      <c r="N35" s="1372"/>
      <c r="O35" s="1372">
        <f t="shared" si="10"/>
        <v>185395762</v>
      </c>
    </row>
    <row r="36" spans="1:15" ht="13.5" thickBot="1">
      <c r="A36" s="1373">
        <v>209</v>
      </c>
      <c r="B36" s="1445">
        <v>209</v>
      </c>
      <c r="C36" s="1374">
        <v>395305375</v>
      </c>
      <c r="D36" s="1374">
        <v>347402015</v>
      </c>
      <c r="E36" s="1374">
        <v>448824352</v>
      </c>
      <c r="F36" s="1374">
        <v>147104300</v>
      </c>
      <c r="G36" s="1374">
        <v>142628532</v>
      </c>
      <c r="H36" s="1374">
        <v>480397393</v>
      </c>
      <c r="I36" s="1374"/>
      <c r="J36" s="1374"/>
      <c r="K36" s="1374"/>
      <c r="L36" s="1374"/>
      <c r="M36" s="1374"/>
      <c r="N36" s="1374"/>
      <c r="O36" s="1372">
        <f t="shared" si="10"/>
        <v>1961661967</v>
      </c>
    </row>
    <row r="37" spans="1:15" ht="13.5" thickTop="1">
      <c r="A37" s="1375" t="s">
        <v>3394</v>
      </c>
      <c r="B37" s="1375"/>
      <c r="C37" s="1376">
        <f>SUM(C26:C36)</f>
        <v>655258848</v>
      </c>
      <c r="D37" s="1376">
        <f t="shared" ref="D37:O37" si="11">SUM(D26:D36)</f>
        <v>515436309</v>
      </c>
      <c r="E37" s="1376">
        <f t="shared" si="11"/>
        <v>649528008</v>
      </c>
      <c r="F37" s="1376">
        <f t="shared" si="11"/>
        <v>524975373</v>
      </c>
      <c r="G37" s="1376">
        <f t="shared" si="11"/>
        <v>321452078</v>
      </c>
      <c r="H37" s="1376">
        <f t="shared" si="11"/>
        <v>480243698</v>
      </c>
      <c r="I37" s="1376">
        <f t="shared" si="11"/>
        <v>0</v>
      </c>
      <c r="J37" s="1376">
        <f t="shared" si="11"/>
        <v>0</v>
      </c>
      <c r="K37" s="1376">
        <f t="shared" si="11"/>
        <v>0</v>
      </c>
      <c r="L37" s="1376">
        <f t="shared" si="11"/>
        <v>0</v>
      </c>
      <c r="M37" s="1376">
        <f t="shared" si="11"/>
        <v>0</v>
      </c>
      <c r="N37" s="1376">
        <f t="shared" si="11"/>
        <v>0</v>
      </c>
      <c r="O37" s="1376">
        <f t="shared" si="11"/>
        <v>3146894314</v>
      </c>
    </row>
    <row r="40" spans="1:15">
      <c r="A40" s="496" t="s">
        <v>3411</v>
      </c>
      <c r="B40" s="1429" t="s">
        <v>3427</v>
      </c>
      <c r="C40" s="496" t="s">
        <v>1328</v>
      </c>
      <c r="D40" s="1430"/>
    </row>
    <row r="41" spans="1:15">
      <c r="A41" s="32" t="s">
        <v>3281</v>
      </c>
      <c r="B41" s="32"/>
    </row>
    <row r="42" spans="1:15" ht="12.75">
      <c r="A42" s="1367"/>
      <c r="B42" s="1367"/>
      <c r="C42" s="1368" t="s">
        <v>3393</v>
      </c>
      <c r="D42" s="1368"/>
      <c r="E42" s="1368"/>
      <c r="F42" s="1368"/>
      <c r="G42" s="1368"/>
      <c r="H42" s="1368"/>
      <c r="I42" s="1368"/>
      <c r="J42" s="1368"/>
      <c r="K42" s="1368"/>
      <c r="L42" s="1368"/>
      <c r="M42" s="1368"/>
      <c r="N42" s="1368"/>
      <c r="O42" s="1368"/>
    </row>
    <row r="43" spans="1:15" ht="12.75">
      <c r="A43" s="1369" t="s">
        <v>964</v>
      </c>
      <c r="B43" s="1377" t="s">
        <v>3434</v>
      </c>
      <c r="C43" s="1370" t="s">
        <v>3399</v>
      </c>
      <c r="D43" s="1370" t="s">
        <v>3400</v>
      </c>
      <c r="E43" s="1370" t="s">
        <v>3401</v>
      </c>
      <c r="F43" s="1370" t="s">
        <v>3402</v>
      </c>
      <c r="G43" s="1370" t="s">
        <v>3403</v>
      </c>
      <c r="H43" s="1370" t="s">
        <v>3404</v>
      </c>
      <c r="I43" s="1370" t="s">
        <v>3405</v>
      </c>
      <c r="J43" s="1370" t="s">
        <v>3406</v>
      </c>
      <c r="K43" s="1370" t="s">
        <v>3407</v>
      </c>
      <c r="L43" s="1370" t="s">
        <v>3408</v>
      </c>
      <c r="M43" s="1370" t="s">
        <v>3409</v>
      </c>
      <c r="N43" s="1370" t="s">
        <v>3410</v>
      </c>
      <c r="O43" s="1369" t="s">
        <v>3394</v>
      </c>
    </row>
    <row r="44" spans="1:15" ht="12.75">
      <c r="A44" s="1371">
        <f>VALUE(B44)</f>
        <v>102</v>
      </c>
      <c r="B44" s="1371" t="s">
        <v>3396</v>
      </c>
      <c r="C44" s="1372"/>
      <c r="D44" s="1372">
        <v>2048947</v>
      </c>
      <c r="E44" s="1372"/>
      <c r="F44" s="1372"/>
      <c r="G44" s="1372">
        <v>582929</v>
      </c>
      <c r="H44" s="1372"/>
      <c r="I44" s="1372"/>
      <c r="J44" s="1372"/>
      <c r="K44" s="1372"/>
      <c r="L44" s="1372"/>
      <c r="M44" s="1372"/>
      <c r="N44" s="1372"/>
      <c r="O44" s="1372">
        <f>SUM(C44:N44)</f>
        <v>2631876</v>
      </c>
    </row>
    <row r="45" spans="1:15" ht="12.75">
      <c r="A45" s="1371">
        <f t="shared" ref="A45:A52" si="12">VALUE(B45)</f>
        <v>103</v>
      </c>
      <c r="B45" s="1371" t="s">
        <v>3397</v>
      </c>
      <c r="C45" s="1372">
        <v>760459</v>
      </c>
      <c r="D45" s="1372">
        <v>35377415</v>
      </c>
      <c r="E45" s="1372">
        <v>41456667</v>
      </c>
      <c r="F45" s="1372">
        <v>51352401</v>
      </c>
      <c r="G45" s="1372">
        <v>5608763</v>
      </c>
      <c r="H45" s="1372"/>
      <c r="I45" s="1372"/>
      <c r="J45" s="1372"/>
      <c r="K45" s="1372"/>
      <c r="L45" s="1372"/>
      <c r="M45" s="1372"/>
      <c r="N45" s="1372"/>
      <c r="O45" s="1372">
        <f t="shared" ref="O45:O59" si="13">SUM(C45:N45)</f>
        <v>134555705</v>
      </c>
    </row>
    <row r="46" spans="1:15" ht="12.75">
      <c r="A46" s="1371">
        <f t="shared" si="12"/>
        <v>109</v>
      </c>
      <c r="B46" s="1371" t="s">
        <v>3412</v>
      </c>
      <c r="C46" s="1372">
        <v>44093954</v>
      </c>
      <c r="D46" s="1372">
        <v>42382134</v>
      </c>
      <c r="E46" s="1372">
        <v>59094840</v>
      </c>
      <c r="F46" s="1372">
        <v>29265274</v>
      </c>
      <c r="G46" s="1372">
        <v>79040405</v>
      </c>
      <c r="H46" s="1372">
        <v>-813693</v>
      </c>
      <c r="I46" s="1372"/>
      <c r="J46" s="1372"/>
      <c r="K46" s="1372"/>
      <c r="L46" s="1372"/>
      <c r="M46" s="1372"/>
      <c r="N46" s="1372"/>
      <c r="O46" s="1372">
        <f t="shared" si="13"/>
        <v>253062914</v>
      </c>
    </row>
    <row r="47" spans="1:15" ht="12.75">
      <c r="A47" s="1371">
        <f t="shared" si="12"/>
        <v>110</v>
      </c>
      <c r="B47" s="1371" t="s">
        <v>3413</v>
      </c>
      <c r="C47" s="1372">
        <v>3502358</v>
      </c>
      <c r="D47" s="1372">
        <v>1064167</v>
      </c>
      <c r="E47" s="1372">
        <v>23407458</v>
      </c>
      <c r="F47" s="1372">
        <v>803118</v>
      </c>
      <c r="G47" s="1372">
        <v>806513</v>
      </c>
      <c r="H47" s="1372"/>
      <c r="I47" s="1372"/>
      <c r="J47" s="1372"/>
      <c r="K47" s="1372"/>
      <c r="L47" s="1372"/>
      <c r="M47" s="1372"/>
      <c r="N47" s="1372"/>
      <c r="O47" s="1372">
        <f t="shared" si="13"/>
        <v>29583614</v>
      </c>
    </row>
    <row r="48" spans="1:15" ht="12.75">
      <c r="A48" s="1371">
        <f t="shared" si="12"/>
        <v>202</v>
      </c>
      <c r="B48" s="1371" t="s">
        <v>3414</v>
      </c>
      <c r="C48" s="1372">
        <v>382823152</v>
      </c>
      <c r="D48" s="1372">
        <v>27310652</v>
      </c>
      <c r="E48" s="1372">
        <v>190987144</v>
      </c>
      <c r="F48" s="1372">
        <v>254827354</v>
      </c>
      <c r="G48" s="1372">
        <v>238720202</v>
      </c>
      <c r="H48" s="1372">
        <v>9899961</v>
      </c>
      <c r="I48" s="1372"/>
      <c r="J48" s="1372"/>
      <c r="K48" s="1372"/>
      <c r="L48" s="1372"/>
      <c r="M48" s="1372"/>
      <c r="N48" s="1372"/>
      <c r="O48" s="1372">
        <f t="shared" si="13"/>
        <v>1104568465</v>
      </c>
    </row>
    <row r="49" spans="1:15" ht="12.75">
      <c r="A49" s="1371">
        <f t="shared" si="12"/>
        <v>207</v>
      </c>
      <c r="B49" s="1371" t="s">
        <v>3423</v>
      </c>
      <c r="C49" s="1372">
        <v>16743954</v>
      </c>
      <c r="D49" s="1372">
        <v>2331369</v>
      </c>
      <c r="E49" s="1372"/>
      <c r="F49" s="1372"/>
      <c r="G49" s="1372"/>
      <c r="H49" s="1372"/>
      <c r="I49" s="1372"/>
      <c r="J49" s="1372"/>
      <c r="K49" s="1372"/>
      <c r="L49" s="1372"/>
      <c r="M49" s="1372"/>
      <c r="N49" s="1372"/>
      <c r="O49" s="1372">
        <f t="shared" si="13"/>
        <v>19075323</v>
      </c>
    </row>
    <row r="50" spans="1:15" ht="12.75">
      <c r="A50" s="1371">
        <f t="shared" si="12"/>
        <v>209</v>
      </c>
      <c r="B50" s="1371" t="s">
        <v>3415</v>
      </c>
      <c r="C50" s="1372">
        <v>1735912105</v>
      </c>
      <c r="D50" s="1372">
        <v>1456002030</v>
      </c>
      <c r="E50" s="1372">
        <v>1586250965</v>
      </c>
      <c r="F50" s="1372">
        <v>1931382395</v>
      </c>
      <c r="G50" s="1372">
        <v>2099657127</v>
      </c>
      <c r="H50" s="1372">
        <v>1759079188</v>
      </c>
      <c r="I50" s="1372"/>
      <c r="J50" s="1372"/>
      <c r="K50" s="1372"/>
      <c r="L50" s="1372"/>
      <c r="M50" s="1372"/>
      <c r="N50" s="1372"/>
      <c r="O50" s="1372">
        <f t="shared" si="13"/>
        <v>10568283810</v>
      </c>
    </row>
    <row r="51" spans="1:15" ht="12.75">
      <c r="A51" s="1371">
        <f t="shared" si="12"/>
        <v>210</v>
      </c>
      <c r="B51" s="1371" t="s">
        <v>3416</v>
      </c>
      <c r="C51" s="1372">
        <v>448080</v>
      </c>
      <c r="D51" s="1372">
        <v>449240</v>
      </c>
      <c r="E51" s="1372">
        <v>0</v>
      </c>
      <c r="F51" s="1372">
        <v>5745447</v>
      </c>
      <c r="G51" s="1372">
        <v>5989930</v>
      </c>
      <c r="H51" s="1372">
        <v>8413999</v>
      </c>
      <c r="I51" s="1372"/>
      <c r="J51" s="1372"/>
      <c r="K51" s="1372"/>
      <c r="L51" s="1372"/>
      <c r="M51" s="1372"/>
      <c r="N51" s="1372"/>
      <c r="O51" s="1372">
        <f t="shared" si="13"/>
        <v>21046696</v>
      </c>
    </row>
    <row r="52" spans="1:15" ht="12.75">
      <c r="A52" s="1371">
        <f t="shared" si="12"/>
        <v>212</v>
      </c>
      <c r="B52" s="1371" t="s">
        <v>3417</v>
      </c>
      <c r="C52" s="1372">
        <v>22528679</v>
      </c>
      <c r="D52" s="1372">
        <v>2078456</v>
      </c>
      <c r="E52" s="1372">
        <v>-49723</v>
      </c>
      <c r="F52" s="1372">
        <v>9559638</v>
      </c>
      <c r="G52" s="1372">
        <v>12363871</v>
      </c>
      <c r="H52" s="1372"/>
      <c r="I52" s="1372"/>
      <c r="J52" s="1372"/>
      <c r="K52" s="1372"/>
      <c r="L52" s="1372"/>
      <c r="M52" s="1372"/>
      <c r="N52" s="1372"/>
      <c r="O52" s="1372">
        <f t="shared" si="13"/>
        <v>46480921</v>
      </c>
    </row>
    <row r="53" spans="1:15" ht="12.75">
      <c r="A53" s="1371">
        <v>202</v>
      </c>
      <c r="B53" s="1371" t="s">
        <v>3418</v>
      </c>
      <c r="C53" s="1372">
        <v>160737341</v>
      </c>
      <c r="D53" s="1372">
        <v>333213510</v>
      </c>
      <c r="E53" s="1372">
        <v>204730634</v>
      </c>
      <c r="F53" s="1372">
        <v>217574839</v>
      </c>
      <c r="G53" s="1372">
        <v>206519234</v>
      </c>
      <c r="H53" s="1372">
        <v>-1800245</v>
      </c>
      <c r="I53" s="1372"/>
      <c r="J53" s="1372"/>
      <c r="K53" s="1372"/>
      <c r="L53" s="1372"/>
      <c r="M53" s="1372"/>
      <c r="N53" s="1372"/>
      <c r="O53" s="1372">
        <f t="shared" si="13"/>
        <v>1120975313</v>
      </c>
    </row>
    <row r="54" spans="1:15" ht="12.75">
      <c r="A54" s="1371">
        <v>207</v>
      </c>
      <c r="B54" s="1371" t="s">
        <v>3424</v>
      </c>
      <c r="C54" s="1372">
        <v>23022565</v>
      </c>
      <c r="D54" s="1372">
        <v>17068855</v>
      </c>
      <c r="E54" s="1372">
        <v>54664947</v>
      </c>
      <c r="F54" s="1372">
        <v>25279363</v>
      </c>
      <c r="G54" s="1372">
        <v>37986122</v>
      </c>
      <c r="H54" s="1372"/>
      <c r="I54" s="1372"/>
      <c r="J54" s="1372"/>
      <c r="K54" s="1372"/>
      <c r="L54" s="1372"/>
      <c r="M54" s="1372"/>
      <c r="N54" s="1372"/>
      <c r="O54" s="1372">
        <f t="shared" si="13"/>
        <v>158021852</v>
      </c>
    </row>
    <row r="55" spans="1:15" ht="12.75">
      <c r="A55" s="1371">
        <v>210</v>
      </c>
      <c r="B55" s="1371" t="s">
        <v>3419</v>
      </c>
      <c r="C55" s="1372">
        <v>502424</v>
      </c>
      <c r="D55" s="1372">
        <v>67377</v>
      </c>
      <c r="E55" s="1372">
        <v>1506727</v>
      </c>
      <c r="F55" s="1372">
        <v>1207075</v>
      </c>
      <c r="G55" s="1372">
        <v>542871</v>
      </c>
      <c r="H55" s="1372"/>
      <c r="I55" s="1372"/>
      <c r="J55" s="1372"/>
      <c r="K55" s="1372"/>
      <c r="L55" s="1372"/>
      <c r="M55" s="1372"/>
      <c r="N55" s="1372"/>
      <c r="O55" s="1372">
        <f t="shared" si="13"/>
        <v>3826474</v>
      </c>
    </row>
    <row r="56" spans="1:15" ht="12.75">
      <c r="A56" s="1371">
        <v>212</v>
      </c>
      <c r="B56" s="1371" t="s">
        <v>3420</v>
      </c>
      <c r="C56" s="1372"/>
      <c r="D56" s="1372">
        <v>0</v>
      </c>
      <c r="E56" s="1372">
        <v>187277672</v>
      </c>
      <c r="F56" s="1372"/>
      <c r="G56" s="1372">
        <v>50508644</v>
      </c>
      <c r="H56" s="1372"/>
      <c r="I56" s="1372"/>
      <c r="J56" s="1372"/>
      <c r="K56" s="1372"/>
      <c r="L56" s="1372"/>
      <c r="M56" s="1372"/>
      <c r="N56" s="1372"/>
      <c r="O56" s="1372">
        <f t="shared" si="13"/>
        <v>237786316</v>
      </c>
    </row>
    <row r="57" spans="1:15" ht="12.75">
      <c r="A57" s="1371">
        <v>212</v>
      </c>
      <c r="B57" s="1371" t="s">
        <v>3421</v>
      </c>
      <c r="C57" s="1372">
        <v>48578605</v>
      </c>
      <c r="D57" s="1372">
        <v>41189232</v>
      </c>
      <c r="E57" s="1372">
        <v>57286944</v>
      </c>
      <c r="F57" s="1372">
        <v>39298424</v>
      </c>
      <c r="G57" s="1372">
        <v>53933440</v>
      </c>
      <c r="H57" s="1372"/>
      <c r="I57" s="1372"/>
      <c r="J57" s="1372"/>
      <c r="K57" s="1372"/>
      <c r="L57" s="1372"/>
      <c r="M57" s="1372"/>
      <c r="N57" s="1372"/>
      <c r="O57" s="1372">
        <f t="shared" si="13"/>
        <v>240286645</v>
      </c>
    </row>
    <row r="58" spans="1:15" ht="12.75">
      <c r="A58" s="1371">
        <f>VALUE(420)</f>
        <v>420</v>
      </c>
      <c r="B58" s="1371" t="s">
        <v>3425</v>
      </c>
      <c r="C58" s="1372">
        <v>1252047716</v>
      </c>
      <c r="D58" s="1372">
        <v>1695192510</v>
      </c>
      <c r="E58" s="1372">
        <v>1554852923</v>
      </c>
      <c r="F58" s="1372">
        <v>961321525</v>
      </c>
      <c r="G58" s="1372">
        <v>877608632</v>
      </c>
      <c r="H58" s="1372">
        <v>977663466</v>
      </c>
      <c r="I58" s="1372"/>
      <c r="J58" s="1372"/>
      <c r="K58" s="1372"/>
      <c r="L58" s="1372"/>
      <c r="M58" s="1372"/>
      <c r="N58" s="1372"/>
      <c r="O58" s="1372">
        <f t="shared" si="13"/>
        <v>7318686772</v>
      </c>
    </row>
    <row r="59" spans="1:15" ht="13.5" thickBot="1">
      <c r="A59" s="1373">
        <f>VALUE(424)</f>
        <v>424</v>
      </c>
      <c r="B59" s="1373" t="s">
        <v>3426</v>
      </c>
      <c r="C59" s="1374"/>
      <c r="D59" s="1374"/>
      <c r="E59" s="1442">
        <v>336965</v>
      </c>
      <c r="F59" s="1374"/>
      <c r="G59" s="1374"/>
      <c r="H59" s="1374">
        <v>339410</v>
      </c>
      <c r="I59" s="1374"/>
      <c r="J59" s="1374"/>
      <c r="K59" s="1374"/>
      <c r="L59" s="1374"/>
      <c r="M59" s="1374"/>
      <c r="N59" s="1374"/>
      <c r="O59" s="1372">
        <f t="shared" si="13"/>
        <v>676375</v>
      </c>
    </row>
    <row r="60" spans="1:15" ht="13.5" thickTop="1">
      <c r="A60" s="1375" t="s">
        <v>3394</v>
      </c>
      <c r="B60" s="1375"/>
      <c r="C60" s="1376">
        <f>SUM(C44:C59)</f>
        <v>3691701392</v>
      </c>
      <c r="D60" s="1376">
        <f t="shared" ref="D60:O60" si="14">SUM(D44:D59)</f>
        <v>3655775894</v>
      </c>
      <c r="E60" s="1376">
        <f t="shared" si="14"/>
        <v>3961804163</v>
      </c>
      <c r="F60" s="1376">
        <f t="shared" si="14"/>
        <v>3527616853</v>
      </c>
      <c r="G60" s="1376">
        <f t="shared" si="14"/>
        <v>3669868683</v>
      </c>
      <c r="H60" s="1376">
        <f t="shared" si="14"/>
        <v>2752782086</v>
      </c>
      <c r="I60" s="1376">
        <f t="shared" si="14"/>
        <v>0</v>
      </c>
      <c r="J60" s="1376">
        <f t="shared" si="14"/>
        <v>0</v>
      </c>
      <c r="K60" s="1376">
        <f t="shared" si="14"/>
        <v>0</v>
      </c>
      <c r="L60" s="1376">
        <f t="shared" si="14"/>
        <v>0</v>
      </c>
      <c r="M60" s="1376">
        <f t="shared" si="14"/>
        <v>0</v>
      </c>
      <c r="N60" s="1376">
        <f t="shared" si="14"/>
        <v>0</v>
      </c>
      <c r="O60" s="1376">
        <f t="shared" si="14"/>
        <v>21259549071</v>
      </c>
    </row>
    <row r="64" spans="1:15">
      <c r="A64" s="496" t="s">
        <v>3411</v>
      </c>
      <c r="B64" s="1429">
        <v>510119</v>
      </c>
      <c r="C64" s="496" t="s">
        <v>3436</v>
      </c>
      <c r="D64" s="1430"/>
    </row>
    <row r="65" spans="1:15">
      <c r="A65" s="32" t="s">
        <v>3281</v>
      </c>
      <c r="B65" s="32"/>
    </row>
    <row r="66" spans="1:15" ht="12.75">
      <c r="A66" s="1367"/>
      <c r="B66" s="1367"/>
      <c r="C66" s="1368" t="s">
        <v>3393</v>
      </c>
      <c r="D66" s="1368"/>
      <c r="E66" s="1368"/>
      <c r="F66" s="1368"/>
      <c r="G66" s="1368"/>
      <c r="H66" s="1368"/>
      <c r="I66" s="1368"/>
      <c r="J66" s="1368"/>
      <c r="K66" s="1368"/>
      <c r="L66" s="1368"/>
      <c r="M66" s="1368"/>
      <c r="N66" s="1368"/>
      <c r="O66" s="1368"/>
    </row>
    <row r="67" spans="1:15" ht="12.75">
      <c r="A67" s="1369" t="s">
        <v>964</v>
      </c>
      <c r="B67" s="1377" t="s">
        <v>3434</v>
      </c>
      <c r="C67" s="1370" t="s">
        <v>3399</v>
      </c>
      <c r="D67" s="1370" t="s">
        <v>3400</v>
      </c>
      <c r="E67" s="1370" t="s">
        <v>3401</v>
      </c>
      <c r="F67" s="1370" t="s">
        <v>3402</v>
      </c>
      <c r="G67" s="1370" t="s">
        <v>3403</v>
      </c>
      <c r="H67" s="1370" t="s">
        <v>3404</v>
      </c>
      <c r="I67" s="1370" t="s">
        <v>3405</v>
      </c>
      <c r="J67" s="1370" t="s">
        <v>3406</v>
      </c>
      <c r="K67" s="1370" t="s">
        <v>3407</v>
      </c>
      <c r="L67" s="1370" t="s">
        <v>3408</v>
      </c>
      <c r="M67" s="1370" t="s">
        <v>3409</v>
      </c>
      <c r="N67" s="1370" t="s">
        <v>3410</v>
      </c>
      <c r="O67" s="1369" t="s">
        <v>3394</v>
      </c>
    </row>
    <row r="68" spans="1:15" ht="12.75">
      <c r="A68" s="1371">
        <f>VALUE(B68)</f>
        <v>101</v>
      </c>
      <c r="B68" s="1371" t="s">
        <v>3395</v>
      </c>
      <c r="C68" s="1372">
        <v>0</v>
      </c>
      <c r="D68" s="1372">
        <v>0</v>
      </c>
      <c r="E68" s="1372">
        <v>0</v>
      </c>
      <c r="F68" s="1372">
        <v>0</v>
      </c>
      <c r="G68" s="1372">
        <v>0</v>
      </c>
      <c r="H68" s="1372">
        <v>0</v>
      </c>
      <c r="I68" s="1372"/>
      <c r="J68" s="1372"/>
      <c r="K68" s="1372"/>
      <c r="L68" s="1372"/>
      <c r="M68" s="1372"/>
      <c r="N68" s="1372"/>
      <c r="O68" s="1372">
        <f>SUM(C68:N68)</f>
        <v>0</v>
      </c>
    </row>
    <row r="69" spans="1:15" ht="12.75">
      <c r="A69" s="1371">
        <f t="shared" ref="A69:A85" si="15">VALUE(B69)</f>
        <v>102</v>
      </c>
      <c r="B69" s="1371" t="s">
        <v>3396</v>
      </c>
      <c r="C69" s="1372">
        <v>0</v>
      </c>
      <c r="D69" s="1372">
        <v>0</v>
      </c>
      <c r="E69" s="1372">
        <v>0</v>
      </c>
      <c r="F69" s="1372">
        <v>0</v>
      </c>
      <c r="G69" s="1372">
        <v>0</v>
      </c>
      <c r="H69" s="1372">
        <v>0</v>
      </c>
      <c r="I69" s="1372"/>
      <c r="J69" s="1372"/>
      <c r="K69" s="1372"/>
      <c r="L69" s="1372"/>
      <c r="M69" s="1372"/>
      <c r="N69" s="1372"/>
      <c r="O69" s="1372">
        <f t="shared" ref="O69:O93" si="16">SUM(C69:N69)</f>
        <v>0</v>
      </c>
    </row>
    <row r="70" spans="1:15" ht="12.75">
      <c r="A70" s="1371">
        <f t="shared" si="15"/>
        <v>103</v>
      </c>
      <c r="B70" s="1371" t="s">
        <v>3397</v>
      </c>
      <c r="C70" s="1372">
        <v>0</v>
      </c>
      <c r="D70" s="1372">
        <v>0</v>
      </c>
      <c r="E70" s="1372">
        <v>0</v>
      </c>
      <c r="F70" s="1372">
        <v>0</v>
      </c>
      <c r="G70" s="1372">
        <v>0</v>
      </c>
      <c r="H70" s="1372">
        <v>1810189</v>
      </c>
      <c r="I70" s="1372"/>
      <c r="J70" s="1372"/>
      <c r="K70" s="1372"/>
      <c r="L70" s="1372"/>
      <c r="M70" s="1372"/>
      <c r="N70" s="1372"/>
      <c r="O70" s="1372">
        <f t="shared" si="16"/>
        <v>1810189</v>
      </c>
    </row>
    <row r="71" spans="1:15" ht="12.75">
      <c r="A71" s="1371">
        <f t="shared" si="15"/>
        <v>104</v>
      </c>
      <c r="B71" s="1371" t="s">
        <v>3398</v>
      </c>
      <c r="C71" s="1372">
        <v>0</v>
      </c>
      <c r="D71" s="1372">
        <v>0</v>
      </c>
      <c r="E71" s="1372">
        <v>0</v>
      </c>
      <c r="F71" s="1372">
        <v>0</v>
      </c>
      <c r="G71" s="1372">
        <v>0</v>
      </c>
      <c r="H71" s="1372">
        <v>0</v>
      </c>
      <c r="I71" s="1372"/>
      <c r="J71" s="1372"/>
      <c r="K71" s="1372"/>
      <c r="L71" s="1372"/>
      <c r="M71" s="1372"/>
      <c r="N71" s="1372"/>
      <c r="O71" s="1372">
        <f t="shared" si="16"/>
        <v>0</v>
      </c>
    </row>
    <row r="72" spans="1:15" ht="12.75">
      <c r="A72" s="1371">
        <f t="shared" si="15"/>
        <v>105</v>
      </c>
      <c r="B72" s="1371" t="s">
        <v>3437</v>
      </c>
      <c r="C72" s="1372">
        <v>0</v>
      </c>
      <c r="D72" s="1372">
        <v>0</v>
      </c>
      <c r="E72" s="1372">
        <v>0</v>
      </c>
      <c r="F72" s="1372">
        <v>0</v>
      </c>
      <c r="G72" s="1372">
        <v>0</v>
      </c>
      <c r="H72" s="1372">
        <v>0</v>
      </c>
      <c r="I72" s="1372"/>
      <c r="J72" s="1372"/>
      <c r="K72" s="1372"/>
      <c r="L72" s="1372"/>
      <c r="M72" s="1372"/>
      <c r="N72" s="1372"/>
      <c r="O72" s="1372">
        <f t="shared" si="16"/>
        <v>0</v>
      </c>
    </row>
    <row r="73" spans="1:15" ht="12.75">
      <c r="A73" s="1371">
        <f t="shared" si="15"/>
        <v>106</v>
      </c>
      <c r="B73" s="1371" t="s">
        <v>3438</v>
      </c>
      <c r="C73" s="1372">
        <v>0</v>
      </c>
      <c r="D73" s="1372">
        <v>0</v>
      </c>
      <c r="E73" s="1372">
        <v>0</v>
      </c>
      <c r="F73" s="1372">
        <v>0</v>
      </c>
      <c r="G73" s="1372">
        <v>0</v>
      </c>
      <c r="H73" s="1372">
        <v>0</v>
      </c>
      <c r="I73" s="1372"/>
      <c r="J73" s="1372"/>
      <c r="K73" s="1372"/>
      <c r="L73" s="1372"/>
      <c r="M73" s="1372"/>
      <c r="N73" s="1372"/>
      <c r="O73" s="1372">
        <f t="shared" si="16"/>
        <v>0</v>
      </c>
    </row>
    <row r="74" spans="1:15" ht="12.75">
      <c r="A74" s="1371">
        <f t="shared" si="15"/>
        <v>107</v>
      </c>
      <c r="B74" s="1371" t="s">
        <v>3439</v>
      </c>
      <c r="C74" s="1372">
        <v>0</v>
      </c>
      <c r="D74" s="1372">
        <v>0</v>
      </c>
      <c r="E74" s="1372">
        <v>0</v>
      </c>
      <c r="F74" s="1372">
        <v>0</v>
      </c>
      <c r="G74" s="1372">
        <v>0</v>
      </c>
      <c r="H74" s="1372">
        <v>0</v>
      </c>
      <c r="I74" s="1372"/>
      <c r="J74" s="1372"/>
      <c r="K74" s="1372"/>
      <c r="L74" s="1372"/>
      <c r="M74" s="1372"/>
      <c r="N74" s="1372"/>
      <c r="O74" s="1372">
        <f t="shared" si="16"/>
        <v>0</v>
      </c>
    </row>
    <row r="75" spans="1:15" ht="12.75">
      <c r="A75" s="1371">
        <f t="shared" si="15"/>
        <v>108</v>
      </c>
      <c r="B75" s="1371" t="s">
        <v>3428</v>
      </c>
      <c r="C75" s="1372">
        <v>0</v>
      </c>
      <c r="D75" s="1372">
        <v>0</v>
      </c>
      <c r="E75" s="1372">
        <v>0</v>
      </c>
      <c r="F75" s="1372">
        <v>0</v>
      </c>
      <c r="G75" s="1372">
        <v>0</v>
      </c>
      <c r="H75" s="1372">
        <v>0</v>
      </c>
      <c r="I75" s="1372"/>
      <c r="J75" s="1372"/>
      <c r="K75" s="1372"/>
      <c r="L75" s="1372"/>
      <c r="M75" s="1372"/>
      <c r="N75" s="1372"/>
      <c r="O75" s="1372">
        <f t="shared" si="16"/>
        <v>0</v>
      </c>
    </row>
    <row r="76" spans="1:15" ht="12.75">
      <c r="A76" s="1371">
        <f t="shared" si="15"/>
        <v>109</v>
      </c>
      <c r="B76" s="1371" t="s">
        <v>3412</v>
      </c>
      <c r="C76" s="1372">
        <v>0</v>
      </c>
      <c r="D76" s="1372">
        <v>0</v>
      </c>
      <c r="E76" s="1372">
        <v>0</v>
      </c>
      <c r="F76" s="1372">
        <v>0</v>
      </c>
      <c r="G76" s="1372">
        <v>0</v>
      </c>
      <c r="H76" s="1372">
        <v>9541008</v>
      </c>
      <c r="I76" s="1372"/>
      <c r="J76" s="1372"/>
      <c r="K76" s="1372"/>
      <c r="L76" s="1372"/>
      <c r="M76" s="1372"/>
      <c r="N76" s="1372"/>
      <c r="O76" s="1372">
        <f t="shared" si="16"/>
        <v>9541008</v>
      </c>
    </row>
    <row r="77" spans="1:15" ht="12.75">
      <c r="A77" s="1371">
        <f t="shared" si="15"/>
        <v>110</v>
      </c>
      <c r="B77" s="1371" t="s">
        <v>3413</v>
      </c>
      <c r="C77" s="1372">
        <v>0</v>
      </c>
      <c r="D77" s="1372">
        <v>0</v>
      </c>
      <c r="E77" s="1372">
        <v>0</v>
      </c>
      <c r="F77" s="1372">
        <v>0</v>
      </c>
      <c r="G77" s="1372">
        <v>0</v>
      </c>
      <c r="H77" s="1372">
        <v>226274</v>
      </c>
      <c r="I77" s="1372"/>
      <c r="J77" s="1372"/>
      <c r="K77" s="1372"/>
      <c r="L77" s="1372"/>
      <c r="M77" s="1372"/>
      <c r="N77" s="1372"/>
      <c r="O77" s="1372">
        <f t="shared" si="16"/>
        <v>226274</v>
      </c>
    </row>
    <row r="78" spans="1:15" ht="12.75">
      <c r="A78" s="1371">
        <f t="shared" si="15"/>
        <v>112</v>
      </c>
      <c r="B78" s="1371" t="s">
        <v>3429</v>
      </c>
      <c r="C78" s="1372">
        <v>0</v>
      </c>
      <c r="D78" s="1372">
        <v>0</v>
      </c>
      <c r="E78" s="1372">
        <v>0</v>
      </c>
      <c r="F78" s="1372">
        <v>0</v>
      </c>
      <c r="G78" s="1372">
        <v>0</v>
      </c>
      <c r="H78" s="1372">
        <v>0</v>
      </c>
      <c r="I78" s="1372"/>
      <c r="J78" s="1372"/>
      <c r="K78" s="1372"/>
      <c r="L78" s="1372"/>
      <c r="M78" s="1372"/>
      <c r="N78" s="1372"/>
      <c r="O78" s="1372">
        <f t="shared" si="16"/>
        <v>0</v>
      </c>
    </row>
    <row r="79" spans="1:15" ht="12.75">
      <c r="A79" s="1371">
        <f t="shared" si="15"/>
        <v>114</v>
      </c>
      <c r="B79" s="1371" t="s">
        <v>3430</v>
      </c>
      <c r="C79" s="1372">
        <v>0</v>
      </c>
      <c r="D79" s="1372">
        <v>0</v>
      </c>
      <c r="E79" s="1372">
        <v>0</v>
      </c>
      <c r="F79" s="1372">
        <v>0</v>
      </c>
      <c r="G79" s="1372">
        <v>0</v>
      </c>
      <c r="H79" s="1372">
        <v>0</v>
      </c>
      <c r="I79" s="1372"/>
      <c r="J79" s="1372"/>
      <c r="K79" s="1372"/>
      <c r="L79" s="1372"/>
      <c r="M79" s="1372"/>
      <c r="N79" s="1372"/>
      <c r="O79" s="1372">
        <f t="shared" si="16"/>
        <v>0</v>
      </c>
    </row>
    <row r="80" spans="1:15" ht="12.75">
      <c r="A80" s="1371">
        <f t="shared" si="15"/>
        <v>202</v>
      </c>
      <c r="B80" s="1371" t="s">
        <v>3414</v>
      </c>
      <c r="C80" s="1372">
        <v>0</v>
      </c>
      <c r="D80" s="1372">
        <v>0</v>
      </c>
      <c r="E80" s="1372">
        <v>0</v>
      </c>
      <c r="F80" s="1372">
        <v>0</v>
      </c>
      <c r="G80" s="1372">
        <v>0</v>
      </c>
      <c r="H80" s="1372">
        <v>61381849</v>
      </c>
      <c r="I80" s="1372"/>
      <c r="J80" s="1372"/>
      <c r="K80" s="1372"/>
      <c r="L80" s="1372"/>
      <c r="M80" s="1372"/>
      <c r="N80" s="1372"/>
      <c r="O80" s="1372">
        <f t="shared" si="16"/>
        <v>61381849</v>
      </c>
    </row>
    <row r="81" spans="1:15" ht="12.75">
      <c r="A81" s="1371">
        <f t="shared" si="15"/>
        <v>206</v>
      </c>
      <c r="B81" s="1371" t="s">
        <v>3440</v>
      </c>
      <c r="C81" s="1372">
        <v>0</v>
      </c>
      <c r="D81" s="1372">
        <v>0</v>
      </c>
      <c r="E81" s="1372">
        <v>0</v>
      </c>
      <c r="F81" s="1372">
        <v>0</v>
      </c>
      <c r="G81" s="1372">
        <v>0</v>
      </c>
      <c r="H81" s="1372">
        <v>0</v>
      </c>
      <c r="I81" s="1372"/>
      <c r="J81" s="1372"/>
      <c r="K81" s="1372"/>
      <c r="L81" s="1372"/>
      <c r="M81" s="1372"/>
      <c r="N81" s="1372"/>
      <c r="O81" s="1372">
        <f t="shared" si="16"/>
        <v>0</v>
      </c>
    </row>
    <row r="82" spans="1:15" ht="12.75">
      <c r="A82" s="1371">
        <f t="shared" si="15"/>
        <v>207</v>
      </c>
      <c r="B82" s="1371" t="s">
        <v>3423</v>
      </c>
      <c r="C82" s="1372">
        <v>0</v>
      </c>
      <c r="D82" s="1372">
        <v>0</v>
      </c>
      <c r="E82" s="1372">
        <v>0</v>
      </c>
      <c r="F82" s="1372">
        <v>0</v>
      </c>
      <c r="G82" s="1372">
        <v>0</v>
      </c>
      <c r="H82" s="1372">
        <v>0</v>
      </c>
      <c r="I82" s="1372"/>
      <c r="J82" s="1372"/>
      <c r="K82" s="1372"/>
      <c r="L82" s="1372"/>
      <c r="M82" s="1372"/>
      <c r="N82" s="1372"/>
      <c r="O82" s="1372">
        <f t="shared" si="16"/>
        <v>0</v>
      </c>
    </row>
    <row r="83" spans="1:15" ht="12.75">
      <c r="A83" s="1371">
        <f t="shared" si="15"/>
        <v>209</v>
      </c>
      <c r="B83" s="1371" t="s">
        <v>3415</v>
      </c>
      <c r="C83" s="1372">
        <v>0</v>
      </c>
      <c r="D83" s="1372">
        <v>0</v>
      </c>
      <c r="E83" s="1372">
        <v>0</v>
      </c>
      <c r="F83" s="1372">
        <v>0</v>
      </c>
      <c r="G83" s="1372">
        <v>0</v>
      </c>
      <c r="H83" s="1372">
        <v>0</v>
      </c>
      <c r="I83" s="1372"/>
      <c r="J83" s="1372"/>
      <c r="K83" s="1372"/>
      <c r="L83" s="1372"/>
      <c r="M83" s="1372"/>
      <c r="N83" s="1372"/>
      <c r="O83" s="1372">
        <f t="shared" si="16"/>
        <v>0</v>
      </c>
    </row>
    <row r="84" spans="1:15" ht="12.75">
      <c r="A84" s="1371">
        <f t="shared" si="15"/>
        <v>210</v>
      </c>
      <c r="B84" s="1371" t="s">
        <v>3416</v>
      </c>
      <c r="C84" s="1372">
        <v>0</v>
      </c>
      <c r="D84" s="1372">
        <v>0</v>
      </c>
      <c r="E84" s="1372">
        <v>0</v>
      </c>
      <c r="F84" s="1372">
        <v>0</v>
      </c>
      <c r="G84" s="1372">
        <v>0</v>
      </c>
      <c r="H84" s="1372">
        <v>0</v>
      </c>
      <c r="I84" s="1372"/>
      <c r="J84" s="1372"/>
      <c r="K84" s="1372"/>
      <c r="L84" s="1372"/>
      <c r="M84" s="1372"/>
      <c r="N84" s="1372"/>
      <c r="O84" s="1372">
        <f t="shared" si="16"/>
        <v>0</v>
      </c>
    </row>
    <row r="85" spans="1:15" ht="12.75">
      <c r="A85" s="1371">
        <f t="shared" si="15"/>
        <v>212</v>
      </c>
      <c r="B85" s="1371" t="s">
        <v>3417</v>
      </c>
      <c r="C85" s="1372">
        <v>0</v>
      </c>
      <c r="D85" s="1372">
        <v>0</v>
      </c>
      <c r="E85" s="1372">
        <v>0</v>
      </c>
      <c r="F85" s="1372">
        <v>0</v>
      </c>
      <c r="G85" s="1372">
        <v>0</v>
      </c>
      <c r="H85" s="1372">
        <v>0</v>
      </c>
      <c r="I85" s="1372"/>
      <c r="J85" s="1372"/>
      <c r="K85" s="1372"/>
      <c r="L85" s="1372"/>
      <c r="M85" s="1372"/>
      <c r="N85" s="1372"/>
      <c r="O85" s="1372">
        <f t="shared" si="16"/>
        <v>0</v>
      </c>
    </row>
    <row r="86" spans="1:15" ht="12.75">
      <c r="A86" s="1371">
        <v>201</v>
      </c>
      <c r="B86" s="1371" t="s">
        <v>3441</v>
      </c>
      <c r="C86" s="1372">
        <v>0</v>
      </c>
      <c r="D86" s="1372">
        <v>0</v>
      </c>
      <c r="E86" s="1372">
        <v>0</v>
      </c>
      <c r="F86" s="1372">
        <v>0</v>
      </c>
      <c r="G86" s="1372">
        <v>0</v>
      </c>
      <c r="H86" s="1372">
        <v>0</v>
      </c>
      <c r="I86" s="1372"/>
      <c r="J86" s="1372"/>
      <c r="K86" s="1372"/>
      <c r="L86" s="1372"/>
      <c r="M86" s="1372"/>
      <c r="N86" s="1372"/>
      <c r="O86" s="1372">
        <f t="shared" si="16"/>
        <v>0</v>
      </c>
    </row>
    <row r="87" spans="1:15" ht="12.75">
      <c r="A87" s="1371">
        <v>202</v>
      </c>
      <c r="B87" s="1371" t="s">
        <v>3418</v>
      </c>
      <c r="C87" s="1372">
        <v>0</v>
      </c>
      <c r="D87" s="1372">
        <v>0</v>
      </c>
      <c r="E87" s="1372">
        <v>0</v>
      </c>
      <c r="F87" s="1372">
        <v>0</v>
      </c>
      <c r="G87" s="1372">
        <v>0</v>
      </c>
      <c r="H87" s="1372">
        <v>85424730</v>
      </c>
      <c r="I87" s="1372"/>
      <c r="J87" s="1372"/>
      <c r="K87" s="1372"/>
      <c r="L87" s="1372"/>
      <c r="M87" s="1372"/>
      <c r="N87" s="1372"/>
      <c r="O87" s="1372">
        <f t="shared" si="16"/>
        <v>85424730</v>
      </c>
    </row>
    <row r="88" spans="1:15" ht="12.75">
      <c r="A88" s="1371">
        <v>207</v>
      </c>
      <c r="B88" s="1371" t="s">
        <v>3424</v>
      </c>
      <c r="C88" s="1372">
        <v>0</v>
      </c>
      <c r="D88" s="1372">
        <v>0</v>
      </c>
      <c r="E88" s="1372">
        <v>0</v>
      </c>
      <c r="F88" s="1372">
        <v>0</v>
      </c>
      <c r="G88" s="1372">
        <v>0</v>
      </c>
      <c r="H88" s="1372">
        <v>1583915</v>
      </c>
      <c r="I88" s="1372"/>
      <c r="J88" s="1372"/>
      <c r="K88" s="1372"/>
      <c r="L88" s="1372"/>
      <c r="M88" s="1372"/>
      <c r="N88" s="1372"/>
      <c r="O88" s="1372">
        <f t="shared" si="16"/>
        <v>1583915</v>
      </c>
    </row>
    <row r="89" spans="1:15" ht="12.75">
      <c r="A89" s="1371">
        <v>208</v>
      </c>
      <c r="B89" s="1371" t="s">
        <v>3442</v>
      </c>
      <c r="C89" s="1372">
        <v>0</v>
      </c>
      <c r="D89" s="1372">
        <v>0</v>
      </c>
      <c r="E89" s="1372">
        <v>0</v>
      </c>
      <c r="F89" s="1372">
        <v>0</v>
      </c>
      <c r="G89" s="1372">
        <v>0</v>
      </c>
      <c r="H89" s="1372">
        <v>0</v>
      </c>
      <c r="I89" s="1372"/>
      <c r="J89" s="1372"/>
      <c r="K89" s="1372"/>
      <c r="L89" s="1372"/>
      <c r="M89" s="1372"/>
      <c r="N89" s="1372"/>
      <c r="O89" s="1372">
        <f t="shared" si="16"/>
        <v>0</v>
      </c>
    </row>
    <row r="90" spans="1:15" ht="12.75">
      <c r="A90" s="1371">
        <v>209</v>
      </c>
      <c r="B90" s="1371" t="s">
        <v>3432</v>
      </c>
      <c r="C90" s="1372">
        <v>0</v>
      </c>
      <c r="D90" s="1372">
        <v>0</v>
      </c>
      <c r="E90" s="1372">
        <v>0</v>
      </c>
      <c r="F90" s="1372">
        <v>0</v>
      </c>
      <c r="G90" s="1372">
        <v>0</v>
      </c>
      <c r="H90" s="1372">
        <v>0</v>
      </c>
      <c r="I90" s="1372"/>
      <c r="J90" s="1372"/>
      <c r="K90" s="1372"/>
      <c r="L90" s="1372"/>
      <c r="M90" s="1372"/>
      <c r="N90" s="1372"/>
      <c r="O90" s="1372">
        <f t="shared" si="16"/>
        <v>0</v>
      </c>
    </row>
    <row r="91" spans="1:15" ht="12.75">
      <c r="A91" s="1371">
        <v>210</v>
      </c>
      <c r="B91" s="1371" t="s">
        <v>3419</v>
      </c>
      <c r="C91" s="1372">
        <v>0</v>
      </c>
      <c r="D91" s="1372">
        <v>0</v>
      </c>
      <c r="E91" s="1372">
        <v>0</v>
      </c>
      <c r="F91" s="1372">
        <v>0</v>
      </c>
      <c r="G91" s="1372">
        <v>0</v>
      </c>
      <c r="H91" s="1372">
        <v>1018201</v>
      </c>
      <c r="I91" s="1372"/>
      <c r="J91" s="1372"/>
      <c r="K91" s="1372"/>
      <c r="L91" s="1372"/>
      <c r="M91" s="1372"/>
      <c r="N91" s="1372"/>
      <c r="O91" s="1372">
        <f t="shared" si="16"/>
        <v>1018201</v>
      </c>
    </row>
    <row r="92" spans="1:15" ht="12.75">
      <c r="A92" s="1371">
        <v>212</v>
      </c>
      <c r="B92" s="1371" t="s">
        <v>3420</v>
      </c>
      <c r="C92" s="1372">
        <v>0</v>
      </c>
      <c r="D92" s="1372">
        <v>0</v>
      </c>
      <c r="E92" s="1372">
        <v>0</v>
      </c>
      <c r="F92" s="1372">
        <v>0</v>
      </c>
      <c r="G92" s="1372">
        <v>0</v>
      </c>
      <c r="H92" s="1372">
        <v>0</v>
      </c>
      <c r="I92" s="1372"/>
      <c r="J92" s="1372"/>
      <c r="K92" s="1372"/>
      <c r="L92" s="1372"/>
      <c r="M92" s="1372"/>
      <c r="N92" s="1372"/>
      <c r="O92" s="1372">
        <f t="shared" si="16"/>
        <v>0</v>
      </c>
    </row>
    <row r="93" spans="1:15" ht="13.5" thickBot="1">
      <c r="A93" s="1373">
        <v>212</v>
      </c>
      <c r="B93" s="1373" t="s">
        <v>3421</v>
      </c>
      <c r="C93" s="1374">
        <v>0</v>
      </c>
      <c r="D93" s="1374">
        <v>0</v>
      </c>
      <c r="E93" s="1374">
        <v>0</v>
      </c>
      <c r="F93" s="1374">
        <v>0</v>
      </c>
      <c r="G93" s="1374">
        <v>0</v>
      </c>
      <c r="H93" s="1374">
        <v>62708215</v>
      </c>
      <c r="I93" s="1374"/>
      <c r="J93" s="1374"/>
      <c r="K93" s="1374"/>
      <c r="L93" s="1374"/>
      <c r="M93" s="1374"/>
      <c r="N93" s="1374"/>
      <c r="O93" s="1372">
        <f t="shared" si="16"/>
        <v>62708215</v>
      </c>
    </row>
    <row r="94" spans="1:15" ht="13.5" thickTop="1">
      <c r="A94" s="1375" t="s">
        <v>3394</v>
      </c>
      <c r="B94" s="1376"/>
      <c r="C94" s="1376">
        <f>SUM(C68:C93)</f>
        <v>0</v>
      </c>
      <c r="D94" s="1376">
        <f t="shared" ref="D94:O94" si="17">SUM(D68:D93)</f>
        <v>0</v>
      </c>
      <c r="E94" s="1376">
        <f t="shared" si="17"/>
        <v>0</v>
      </c>
      <c r="F94" s="1376">
        <f t="shared" si="17"/>
        <v>0</v>
      </c>
      <c r="G94" s="1376">
        <f t="shared" si="17"/>
        <v>0</v>
      </c>
      <c r="H94" s="1376">
        <f t="shared" si="17"/>
        <v>223694381</v>
      </c>
      <c r="I94" s="1376">
        <f t="shared" si="17"/>
        <v>0</v>
      </c>
      <c r="J94" s="1376">
        <f t="shared" si="17"/>
        <v>0</v>
      </c>
      <c r="K94" s="1376">
        <f t="shared" si="17"/>
        <v>0</v>
      </c>
      <c r="L94" s="1376">
        <f t="shared" si="17"/>
        <v>0</v>
      </c>
      <c r="M94" s="1376">
        <f t="shared" si="17"/>
        <v>0</v>
      </c>
      <c r="N94" s="1376">
        <f t="shared" si="17"/>
        <v>0</v>
      </c>
      <c r="O94" s="1376">
        <f t="shared" si="17"/>
        <v>223694381</v>
      </c>
    </row>
    <row r="98" spans="1:15">
      <c r="A98" s="496" t="s">
        <v>3411</v>
      </c>
      <c r="B98" s="1429">
        <v>510120</v>
      </c>
      <c r="C98" s="496" t="s">
        <v>3443</v>
      </c>
      <c r="D98" s="1430"/>
    </row>
    <row r="99" spans="1:15">
      <c r="A99" s="32" t="s">
        <v>3281</v>
      </c>
      <c r="B99" s="32"/>
    </row>
    <row r="100" spans="1:15" ht="12.75">
      <c r="A100" s="1367"/>
      <c r="B100" s="1367"/>
      <c r="C100" s="1368" t="s">
        <v>3393</v>
      </c>
      <c r="D100" s="1368"/>
      <c r="E100" s="1368"/>
      <c r="F100" s="1368"/>
      <c r="G100" s="1368"/>
      <c r="H100" s="1368"/>
      <c r="I100" s="1368"/>
      <c r="J100" s="1368"/>
      <c r="K100" s="1368"/>
      <c r="L100" s="1368"/>
      <c r="M100" s="1368"/>
      <c r="N100" s="1368"/>
      <c r="O100" s="1368"/>
    </row>
    <row r="101" spans="1:15" ht="12.75">
      <c r="A101" s="1369" t="s">
        <v>964</v>
      </c>
      <c r="B101" s="1377" t="s">
        <v>3434</v>
      </c>
      <c r="C101" s="1370" t="s">
        <v>3399</v>
      </c>
      <c r="D101" s="1370" t="s">
        <v>3400</v>
      </c>
      <c r="E101" s="1370" t="s">
        <v>3401</v>
      </c>
      <c r="F101" s="1370" t="s">
        <v>3402</v>
      </c>
      <c r="G101" s="1370" t="s">
        <v>3403</v>
      </c>
      <c r="H101" s="1370" t="s">
        <v>3404</v>
      </c>
      <c r="I101" s="1370" t="s">
        <v>3405</v>
      </c>
      <c r="J101" s="1370" t="s">
        <v>3406</v>
      </c>
      <c r="K101" s="1370" t="s">
        <v>3407</v>
      </c>
      <c r="L101" s="1370" t="s">
        <v>3408</v>
      </c>
      <c r="M101" s="1370" t="s">
        <v>3409</v>
      </c>
      <c r="N101" s="1370" t="s">
        <v>3410</v>
      </c>
      <c r="O101" s="1369" t="s">
        <v>3394</v>
      </c>
    </row>
    <row r="102" spans="1:15" ht="12.75">
      <c r="A102" s="1371">
        <f t="shared" ref="A102:A114" si="18">VALUE(B102)</f>
        <v>101</v>
      </c>
      <c r="B102" s="1371" t="s">
        <v>3395</v>
      </c>
      <c r="C102" s="1372"/>
      <c r="D102" s="1372"/>
      <c r="E102" s="1372"/>
      <c r="F102" s="1372"/>
      <c r="G102" s="1372"/>
      <c r="H102" s="1372">
        <v>0</v>
      </c>
      <c r="I102" s="1372"/>
      <c r="J102" s="1372"/>
      <c r="K102" s="1372"/>
      <c r="L102" s="1372"/>
      <c r="M102" s="1372"/>
      <c r="N102" s="1372"/>
      <c r="O102" s="1372">
        <f>SUM(C102:N102)</f>
        <v>0</v>
      </c>
    </row>
    <row r="103" spans="1:15" ht="12.75">
      <c r="A103" s="1371">
        <f t="shared" si="18"/>
        <v>102</v>
      </c>
      <c r="B103" s="1371" t="s">
        <v>3396</v>
      </c>
      <c r="C103" s="1372"/>
      <c r="D103" s="1372"/>
      <c r="E103" s="1372"/>
      <c r="F103" s="1372"/>
      <c r="G103" s="1372"/>
      <c r="H103" s="1372">
        <v>0</v>
      </c>
      <c r="I103" s="1372"/>
      <c r="J103" s="1372"/>
      <c r="K103" s="1372"/>
      <c r="L103" s="1372"/>
      <c r="M103" s="1372"/>
      <c r="N103" s="1372"/>
      <c r="O103" s="1372">
        <f t="shared" ref="O103:O122" si="19">SUM(C103:N103)</f>
        <v>0</v>
      </c>
    </row>
    <row r="104" spans="1:15" ht="12.75">
      <c r="A104" s="1371">
        <f t="shared" si="18"/>
        <v>103</v>
      </c>
      <c r="B104" s="1371" t="s">
        <v>3397</v>
      </c>
      <c r="C104" s="1372"/>
      <c r="D104" s="1372"/>
      <c r="E104" s="1372"/>
      <c r="F104" s="1372"/>
      <c r="G104" s="1372"/>
      <c r="H104" s="1372">
        <v>0</v>
      </c>
      <c r="I104" s="1372"/>
      <c r="J104" s="1372"/>
      <c r="K104" s="1372"/>
      <c r="L104" s="1372"/>
      <c r="M104" s="1372"/>
      <c r="N104" s="1372"/>
      <c r="O104" s="1372">
        <f t="shared" si="19"/>
        <v>0</v>
      </c>
    </row>
    <row r="105" spans="1:15" ht="12.75">
      <c r="A105" s="1371">
        <f t="shared" si="18"/>
        <v>104</v>
      </c>
      <c r="B105" s="1371" t="s">
        <v>3398</v>
      </c>
      <c r="C105" s="1372"/>
      <c r="D105" s="1372"/>
      <c r="E105" s="1372"/>
      <c r="F105" s="1372"/>
      <c r="G105" s="1372"/>
      <c r="H105" s="1372">
        <v>0</v>
      </c>
      <c r="I105" s="1372"/>
      <c r="J105" s="1372"/>
      <c r="K105" s="1372"/>
      <c r="L105" s="1372"/>
      <c r="M105" s="1372"/>
      <c r="N105" s="1372"/>
      <c r="O105" s="1372">
        <f t="shared" si="19"/>
        <v>0</v>
      </c>
    </row>
    <row r="106" spans="1:15" ht="12.75">
      <c r="A106" s="1371">
        <f t="shared" si="18"/>
        <v>105</v>
      </c>
      <c r="B106" s="1371" t="s">
        <v>3437</v>
      </c>
      <c r="C106" s="1372"/>
      <c r="D106" s="1372"/>
      <c r="E106" s="1372"/>
      <c r="F106" s="1372"/>
      <c r="G106" s="1372"/>
      <c r="H106" s="1372">
        <v>0</v>
      </c>
      <c r="I106" s="1372"/>
      <c r="J106" s="1372"/>
      <c r="K106" s="1372"/>
      <c r="L106" s="1372"/>
      <c r="M106" s="1372"/>
      <c r="N106" s="1372"/>
      <c r="O106" s="1372">
        <f t="shared" si="19"/>
        <v>0</v>
      </c>
    </row>
    <row r="107" spans="1:15" ht="12.75">
      <c r="A107" s="1371">
        <f t="shared" si="18"/>
        <v>109</v>
      </c>
      <c r="B107" s="1371" t="s">
        <v>3412</v>
      </c>
      <c r="C107" s="1372"/>
      <c r="D107" s="1372"/>
      <c r="E107" s="1372"/>
      <c r="F107" s="1372"/>
      <c r="G107" s="1372"/>
      <c r="H107" s="1372">
        <v>0</v>
      </c>
      <c r="I107" s="1372"/>
      <c r="J107" s="1372"/>
      <c r="K107" s="1372"/>
      <c r="L107" s="1372"/>
      <c r="M107" s="1372"/>
      <c r="N107" s="1372"/>
      <c r="O107" s="1372">
        <f t="shared" si="19"/>
        <v>0</v>
      </c>
    </row>
    <row r="108" spans="1:15" ht="12.75">
      <c r="A108" s="1371">
        <f t="shared" si="18"/>
        <v>110</v>
      </c>
      <c r="B108" s="1371" t="s">
        <v>3413</v>
      </c>
      <c r="C108" s="1372"/>
      <c r="D108" s="1372"/>
      <c r="E108" s="1372"/>
      <c r="F108" s="1372"/>
      <c r="G108" s="1372"/>
      <c r="H108" s="1372">
        <v>0</v>
      </c>
      <c r="I108" s="1372"/>
      <c r="J108" s="1372"/>
      <c r="K108" s="1372"/>
      <c r="L108" s="1372"/>
      <c r="M108" s="1372"/>
      <c r="N108" s="1372"/>
      <c r="O108" s="1372">
        <f t="shared" si="19"/>
        <v>0</v>
      </c>
    </row>
    <row r="109" spans="1:15" ht="12.75">
      <c r="A109" s="1371">
        <f t="shared" si="18"/>
        <v>112</v>
      </c>
      <c r="B109" s="1371" t="s">
        <v>3429</v>
      </c>
      <c r="C109" s="1372"/>
      <c r="D109" s="1372"/>
      <c r="E109" s="1372"/>
      <c r="F109" s="1372"/>
      <c r="G109" s="1372"/>
      <c r="H109" s="1372">
        <v>0</v>
      </c>
      <c r="I109" s="1372"/>
      <c r="J109" s="1372"/>
      <c r="K109" s="1372"/>
      <c r="L109" s="1372"/>
      <c r="M109" s="1372"/>
      <c r="N109" s="1372"/>
      <c r="O109" s="1372">
        <f t="shared" si="19"/>
        <v>0</v>
      </c>
    </row>
    <row r="110" spans="1:15" ht="12.75">
      <c r="A110" s="1371">
        <f t="shared" si="18"/>
        <v>202</v>
      </c>
      <c r="B110" s="1371" t="s">
        <v>3414</v>
      </c>
      <c r="C110" s="1372"/>
      <c r="D110" s="1372"/>
      <c r="E110" s="1372"/>
      <c r="F110" s="1372"/>
      <c r="G110" s="1372"/>
      <c r="H110" s="1372">
        <v>0</v>
      </c>
      <c r="I110" s="1372"/>
      <c r="J110" s="1372"/>
      <c r="K110" s="1372"/>
      <c r="L110" s="1372"/>
      <c r="M110" s="1372"/>
      <c r="N110" s="1372"/>
      <c r="O110" s="1372">
        <f t="shared" si="19"/>
        <v>0</v>
      </c>
    </row>
    <row r="111" spans="1:15" ht="12.75">
      <c r="A111" s="1371">
        <f t="shared" si="18"/>
        <v>207</v>
      </c>
      <c r="B111" s="1371" t="s">
        <v>3423</v>
      </c>
      <c r="C111" s="1372"/>
      <c r="D111" s="1372"/>
      <c r="E111" s="1372"/>
      <c r="F111" s="1372"/>
      <c r="G111" s="1372"/>
      <c r="H111" s="1372">
        <v>0</v>
      </c>
      <c r="I111" s="1372"/>
      <c r="J111" s="1372"/>
      <c r="K111" s="1372"/>
      <c r="L111" s="1372"/>
      <c r="M111" s="1372"/>
      <c r="N111" s="1372"/>
      <c r="O111" s="1372">
        <f t="shared" si="19"/>
        <v>0</v>
      </c>
    </row>
    <row r="112" spans="1:15" ht="12.75">
      <c r="A112" s="1371">
        <f t="shared" si="18"/>
        <v>209</v>
      </c>
      <c r="B112" s="1371" t="s">
        <v>3415</v>
      </c>
      <c r="C112" s="1372"/>
      <c r="D112" s="1372"/>
      <c r="E112" s="1372"/>
      <c r="F112" s="1372"/>
      <c r="G112" s="1372"/>
      <c r="H112" s="1372">
        <v>0</v>
      </c>
      <c r="I112" s="1372"/>
      <c r="J112" s="1372"/>
      <c r="K112" s="1372"/>
      <c r="L112" s="1372"/>
      <c r="M112" s="1372"/>
      <c r="N112" s="1372"/>
      <c r="O112" s="1372">
        <f t="shared" si="19"/>
        <v>0</v>
      </c>
    </row>
    <row r="113" spans="1:15" ht="12.75">
      <c r="A113" s="1371">
        <f t="shared" si="18"/>
        <v>210</v>
      </c>
      <c r="B113" s="1371" t="s">
        <v>3416</v>
      </c>
      <c r="C113" s="1372"/>
      <c r="D113" s="1372"/>
      <c r="E113" s="1372"/>
      <c r="F113" s="1372"/>
      <c r="G113" s="1372"/>
      <c r="H113" s="1372">
        <v>0</v>
      </c>
      <c r="I113" s="1372"/>
      <c r="J113" s="1372"/>
      <c r="K113" s="1372"/>
      <c r="L113" s="1372"/>
      <c r="M113" s="1372"/>
      <c r="N113" s="1372"/>
      <c r="O113" s="1372">
        <f t="shared" si="19"/>
        <v>0</v>
      </c>
    </row>
    <row r="114" spans="1:15" ht="12.75">
      <c r="A114" s="1371">
        <f t="shared" si="18"/>
        <v>212</v>
      </c>
      <c r="B114" s="1371" t="s">
        <v>3417</v>
      </c>
      <c r="C114" s="1372"/>
      <c r="D114" s="1372"/>
      <c r="E114" s="1372"/>
      <c r="F114" s="1372"/>
      <c r="G114" s="1372"/>
      <c r="H114" s="1372">
        <v>0</v>
      </c>
      <c r="I114" s="1372"/>
      <c r="J114" s="1372"/>
      <c r="K114" s="1372"/>
      <c r="L114" s="1372"/>
      <c r="M114" s="1372"/>
      <c r="N114" s="1372"/>
      <c r="O114" s="1372">
        <f t="shared" si="19"/>
        <v>0</v>
      </c>
    </row>
    <row r="115" spans="1:15" ht="12.75">
      <c r="A115" s="1371">
        <v>201</v>
      </c>
      <c r="B115" s="1371" t="s">
        <v>3441</v>
      </c>
      <c r="C115" s="1372"/>
      <c r="D115" s="1372"/>
      <c r="E115" s="1372"/>
      <c r="F115" s="1372"/>
      <c r="G115" s="1372"/>
      <c r="H115" s="1372">
        <v>0</v>
      </c>
      <c r="I115" s="1372"/>
      <c r="J115" s="1372"/>
      <c r="K115" s="1372"/>
      <c r="L115" s="1372"/>
      <c r="M115" s="1372"/>
      <c r="N115" s="1372"/>
      <c r="O115" s="1372">
        <f t="shared" si="19"/>
        <v>0</v>
      </c>
    </row>
    <row r="116" spans="1:15" ht="12.75">
      <c r="A116" s="1371">
        <v>202</v>
      </c>
      <c r="B116" s="1371" t="s">
        <v>3418</v>
      </c>
      <c r="C116" s="1372"/>
      <c r="D116" s="1372"/>
      <c r="E116" s="1372"/>
      <c r="F116" s="1372"/>
      <c r="G116" s="1372"/>
      <c r="H116" s="1372">
        <v>6788208</v>
      </c>
      <c r="I116" s="1372"/>
      <c r="J116" s="1372"/>
      <c r="K116" s="1372"/>
      <c r="L116" s="1372"/>
      <c r="M116" s="1372"/>
      <c r="N116" s="1372"/>
      <c r="O116" s="1372">
        <f t="shared" si="19"/>
        <v>6788208</v>
      </c>
    </row>
    <row r="117" spans="1:15" ht="12.75">
      <c r="A117" s="1371">
        <v>207</v>
      </c>
      <c r="B117" s="1371" t="s">
        <v>3424</v>
      </c>
      <c r="C117" s="1372"/>
      <c r="D117" s="1372"/>
      <c r="E117" s="1372"/>
      <c r="F117" s="1372"/>
      <c r="G117" s="1372"/>
      <c r="H117" s="1372">
        <v>0</v>
      </c>
      <c r="I117" s="1372"/>
      <c r="J117" s="1372"/>
      <c r="K117" s="1372"/>
      <c r="L117" s="1372"/>
      <c r="M117" s="1372"/>
      <c r="N117" s="1372"/>
      <c r="O117" s="1372">
        <f t="shared" si="19"/>
        <v>0</v>
      </c>
    </row>
    <row r="118" spans="1:15" ht="12.75">
      <c r="A118" s="1371">
        <v>208</v>
      </c>
      <c r="B118" s="1371" t="s">
        <v>3442</v>
      </c>
      <c r="C118" s="1372"/>
      <c r="D118" s="1372"/>
      <c r="E118" s="1372"/>
      <c r="F118" s="1372"/>
      <c r="G118" s="1372"/>
      <c r="H118" s="1372">
        <v>0</v>
      </c>
      <c r="I118" s="1372"/>
      <c r="J118" s="1372"/>
      <c r="K118" s="1372"/>
      <c r="L118" s="1372"/>
      <c r="M118" s="1372"/>
      <c r="N118" s="1372"/>
      <c r="O118" s="1372">
        <f t="shared" si="19"/>
        <v>0</v>
      </c>
    </row>
    <row r="119" spans="1:15" ht="12.75">
      <c r="A119" s="1371">
        <v>209</v>
      </c>
      <c r="B119" s="1371" t="s">
        <v>3432</v>
      </c>
      <c r="C119" s="1372"/>
      <c r="D119" s="1372"/>
      <c r="E119" s="1372"/>
      <c r="F119" s="1372"/>
      <c r="G119" s="1372"/>
      <c r="H119" s="1372">
        <v>0</v>
      </c>
      <c r="I119" s="1372"/>
      <c r="J119" s="1372"/>
      <c r="K119" s="1372"/>
      <c r="L119" s="1372"/>
      <c r="M119" s="1372"/>
      <c r="N119" s="1372"/>
      <c r="O119" s="1372">
        <f t="shared" si="19"/>
        <v>0</v>
      </c>
    </row>
    <row r="120" spans="1:15" ht="12.75">
      <c r="A120" s="1371">
        <v>210</v>
      </c>
      <c r="B120" s="1371" t="s">
        <v>3419</v>
      </c>
      <c r="C120" s="1372"/>
      <c r="D120" s="1372"/>
      <c r="E120" s="1372"/>
      <c r="F120" s="1372"/>
      <c r="G120" s="1372"/>
      <c r="H120" s="1372">
        <v>0</v>
      </c>
      <c r="I120" s="1372"/>
      <c r="J120" s="1372"/>
      <c r="K120" s="1372"/>
      <c r="L120" s="1372"/>
      <c r="M120" s="1372"/>
      <c r="N120" s="1372"/>
      <c r="O120" s="1372">
        <f t="shared" si="19"/>
        <v>0</v>
      </c>
    </row>
    <row r="121" spans="1:15" ht="12.75">
      <c r="A121" s="1371">
        <v>212</v>
      </c>
      <c r="B121" s="1371" t="s">
        <v>3420</v>
      </c>
      <c r="C121" s="1372"/>
      <c r="D121" s="1372"/>
      <c r="E121" s="1372"/>
      <c r="F121" s="1372"/>
      <c r="G121" s="1372"/>
      <c r="H121" s="1372">
        <v>0</v>
      </c>
      <c r="I121" s="1372"/>
      <c r="J121" s="1372"/>
      <c r="K121" s="1372"/>
      <c r="L121" s="1372"/>
      <c r="M121" s="1372"/>
      <c r="N121" s="1372"/>
      <c r="O121" s="1372">
        <f t="shared" si="19"/>
        <v>0</v>
      </c>
    </row>
    <row r="122" spans="1:15" ht="13.5" thickBot="1">
      <c r="A122" s="1373">
        <v>212</v>
      </c>
      <c r="B122" s="1373" t="s">
        <v>3421</v>
      </c>
      <c r="C122" s="1374"/>
      <c r="D122" s="1374"/>
      <c r="E122" s="1374"/>
      <c r="F122" s="1374"/>
      <c r="G122" s="1374"/>
      <c r="H122" s="1374">
        <v>69755855</v>
      </c>
      <c r="I122" s="1374"/>
      <c r="J122" s="1374"/>
      <c r="K122" s="1374"/>
      <c r="L122" s="1374"/>
      <c r="M122" s="1374"/>
      <c r="N122" s="1374"/>
      <c r="O122" s="1372">
        <f t="shared" si="19"/>
        <v>69755855</v>
      </c>
    </row>
    <row r="123" spans="1:15" ht="13.5" thickTop="1">
      <c r="A123" s="1375" t="s">
        <v>3394</v>
      </c>
      <c r="B123" s="1376"/>
      <c r="C123" s="1376">
        <f>SUM(C102:C122)</f>
        <v>0</v>
      </c>
      <c r="D123" s="1376">
        <f t="shared" ref="D123:H123" si="20">SUM(D102:D122)</f>
        <v>0</v>
      </c>
      <c r="E123" s="1376">
        <f t="shared" si="20"/>
        <v>0</v>
      </c>
      <c r="F123" s="1376">
        <f t="shared" si="20"/>
        <v>0</v>
      </c>
      <c r="G123" s="1376">
        <f t="shared" si="20"/>
        <v>0</v>
      </c>
      <c r="H123" s="1376">
        <f t="shared" si="20"/>
        <v>76544063</v>
      </c>
      <c r="I123" s="1376">
        <f t="shared" ref="I123" si="21">SUM(I102:I122)</f>
        <v>0</v>
      </c>
      <c r="J123" s="1376">
        <f t="shared" ref="J123" si="22">SUM(J102:J122)</f>
        <v>0</v>
      </c>
      <c r="K123" s="1376">
        <f t="shared" ref="K123" si="23">SUM(K102:K122)</f>
        <v>0</v>
      </c>
      <c r="L123" s="1376">
        <f t="shared" ref="L123" si="24">SUM(L102:L122)</f>
        <v>0</v>
      </c>
      <c r="M123" s="1376">
        <f t="shared" ref="M123" si="25">SUM(M102:M122)</f>
        <v>0</v>
      </c>
      <c r="N123" s="1376">
        <f t="shared" ref="N123" si="26">SUM(N102:N122)</f>
        <v>0</v>
      </c>
      <c r="O123" s="1376">
        <f t="shared" ref="O123" si="27">SUM(O102:O122)</f>
        <v>76544063</v>
      </c>
    </row>
    <row r="126" spans="1:15">
      <c r="A126" s="32"/>
      <c r="B126" s="32"/>
    </row>
    <row r="127" spans="1:15">
      <c r="A127" s="496" t="s">
        <v>3411</v>
      </c>
      <c r="B127" s="1429">
        <v>510121</v>
      </c>
      <c r="C127" s="496" t="s">
        <v>3444</v>
      </c>
      <c r="D127" s="1430"/>
      <c r="E127" s="1430"/>
    </row>
    <row r="128" spans="1:15">
      <c r="A128" s="32" t="s">
        <v>3281</v>
      </c>
      <c r="B128" s="32"/>
    </row>
    <row r="129" spans="1:15" ht="12.75">
      <c r="A129" s="1367"/>
      <c r="B129" s="1367"/>
      <c r="C129" s="1368" t="s">
        <v>3393</v>
      </c>
      <c r="D129" s="1368"/>
      <c r="E129" s="1368"/>
      <c r="F129" s="1368"/>
      <c r="G129" s="1368"/>
      <c r="H129" s="1368"/>
      <c r="I129" s="1368"/>
      <c r="J129" s="1368"/>
      <c r="K129" s="1368"/>
      <c r="L129" s="1368"/>
      <c r="M129" s="1368"/>
      <c r="N129" s="1368"/>
      <c r="O129" s="1368"/>
    </row>
    <row r="130" spans="1:15" ht="12.75">
      <c r="A130" s="1369" t="s">
        <v>964</v>
      </c>
      <c r="B130" s="1377" t="s">
        <v>3434</v>
      </c>
      <c r="C130" s="1370" t="s">
        <v>3399</v>
      </c>
      <c r="D130" s="1370" t="s">
        <v>3400</v>
      </c>
      <c r="E130" s="1370" t="s">
        <v>3401</v>
      </c>
      <c r="F130" s="1370" t="s">
        <v>3402</v>
      </c>
      <c r="G130" s="1370" t="s">
        <v>3403</v>
      </c>
      <c r="H130" s="1370" t="s">
        <v>3404</v>
      </c>
      <c r="I130" s="1370" t="s">
        <v>3405</v>
      </c>
      <c r="J130" s="1370" t="s">
        <v>3406</v>
      </c>
      <c r="K130" s="1370" t="s">
        <v>3407</v>
      </c>
      <c r="L130" s="1370" t="s">
        <v>3408</v>
      </c>
      <c r="M130" s="1370" t="s">
        <v>3409</v>
      </c>
      <c r="N130" s="1370" t="s">
        <v>3410</v>
      </c>
      <c r="O130" s="1369" t="s">
        <v>3394</v>
      </c>
    </row>
    <row r="131" spans="1:15" ht="12.75">
      <c r="A131" s="1371">
        <f t="shared" ref="A131:A144" si="28">VALUE(B131)</f>
        <v>101</v>
      </c>
      <c r="B131" s="1371" t="s">
        <v>3395</v>
      </c>
      <c r="C131" s="1372"/>
      <c r="D131" s="1372"/>
      <c r="E131" s="1372"/>
      <c r="F131" s="1372"/>
      <c r="G131" s="1372"/>
      <c r="H131" s="1372">
        <v>0</v>
      </c>
      <c r="I131" s="1372"/>
      <c r="J131" s="1372"/>
      <c r="K131" s="1372"/>
      <c r="L131" s="1372"/>
      <c r="M131" s="1372"/>
      <c r="N131" s="1372"/>
      <c r="O131" s="1372">
        <f>SUM(C131:N131)</f>
        <v>0</v>
      </c>
    </row>
    <row r="132" spans="1:15" ht="12.75">
      <c r="A132" s="1371">
        <f t="shared" si="28"/>
        <v>102</v>
      </c>
      <c r="B132" s="1371" t="s">
        <v>3396</v>
      </c>
      <c r="C132" s="1372"/>
      <c r="D132" s="1372"/>
      <c r="E132" s="1372"/>
      <c r="F132" s="1372"/>
      <c r="G132" s="1372"/>
      <c r="H132" s="1372">
        <v>2739913</v>
      </c>
      <c r="I132" s="1372"/>
      <c r="J132" s="1372"/>
      <c r="K132" s="1372"/>
      <c r="L132" s="1372"/>
      <c r="M132" s="1372"/>
      <c r="N132" s="1372"/>
      <c r="O132" s="1372">
        <f>SUM(C132:N132)</f>
        <v>2739913</v>
      </c>
    </row>
    <row r="133" spans="1:15" ht="12.75">
      <c r="A133" s="1371">
        <f t="shared" si="28"/>
        <v>103</v>
      </c>
      <c r="B133" s="1371" t="s">
        <v>3397</v>
      </c>
      <c r="C133" s="1372"/>
      <c r="D133" s="1372"/>
      <c r="E133" s="1372"/>
      <c r="F133" s="1372"/>
      <c r="G133" s="1372"/>
      <c r="H133" s="1372">
        <v>81434619</v>
      </c>
      <c r="I133" s="1372"/>
      <c r="J133" s="1372"/>
      <c r="K133" s="1372"/>
      <c r="L133" s="1372"/>
      <c r="M133" s="1372"/>
      <c r="N133" s="1372"/>
      <c r="O133" s="1372">
        <f t="shared" ref="O133:O152" si="29">SUM(C133:N133)</f>
        <v>81434619</v>
      </c>
    </row>
    <row r="134" spans="1:15" ht="12.75">
      <c r="A134" s="1371">
        <f t="shared" si="28"/>
        <v>104</v>
      </c>
      <c r="B134" s="1371" t="s">
        <v>3398</v>
      </c>
      <c r="C134" s="1372"/>
      <c r="D134" s="1372"/>
      <c r="E134" s="1372"/>
      <c r="F134" s="1372"/>
      <c r="G134" s="1372"/>
      <c r="H134" s="1372">
        <v>6041313</v>
      </c>
      <c r="I134" s="1372"/>
      <c r="J134" s="1372"/>
      <c r="K134" s="1372"/>
      <c r="L134" s="1372"/>
      <c r="M134" s="1372"/>
      <c r="N134" s="1372"/>
      <c r="O134" s="1372">
        <f t="shared" si="29"/>
        <v>6041313</v>
      </c>
    </row>
    <row r="135" spans="1:15" ht="12.75">
      <c r="A135" s="1371">
        <f t="shared" si="28"/>
        <v>108</v>
      </c>
      <c r="B135" s="1371" t="s">
        <v>3428</v>
      </c>
      <c r="C135" s="1372"/>
      <c r="D135" s="1372"/>
      <c r="E135" s="1372"/>
      <c r="F135" s="1372"/>
      <c r="G135" s="1372"/>
      <c r="H135" s="1372">
        <v>0</v>
      </c>
      <c r="I135" s="1372"/>
      <c r="J135" s="1372"/>
      <c r="K135" s="1372"/>
      <c r="L135" s="1372"/>
      <c r="M135" s="1372"/>
      <c r="N135" s="1372"/>
      <c r="O135" s="1372">
        <f t="shared" si="29"/>
        <v>0</v>
      </c>
    </row>
    <row r="136" spans="1:15" ht="12.75">
      <c r="A136" s="1371">
        <f t="shared" si="28"/>
        <v>109</v>
      </c>
      <c r="B136" s="1371" t="s">
        <v>3412</v>
      </c>
      <c r="C136" s="1372"/>
      <c r="D136" s="1372"/>
      <c r="E136" s="1372"/>
      <c r="F136" s="1372"/>
      <c r="G136" s="1372"/>
      <c r="H136" s="1372">
        <v>36451731</v>
      </c>
      <c r="I136" s="1372"/>
      <c r="J136" s="1372"/>
      <c r="K136" s="1372"/>
      <c r="L136" s="1372"/>
      <c r="M136" s="1372"/>
      <c r="N136" s="1372"/>
      <c r="O136" s="1372">
        <f t="shared" si="29"/>
        <v>36451731</v>
      </c>
    </row>
    <row r="137" spans="1:15" ht="12.75">
      <c r="A137" s="1371">
        <f t="shared" si="28"/>
        <v>110</v>
      </c>
      <c r="B137" s="1371" t="s">
        <v>3413</v>
      </c>
      <c r="C137" s="1372"/>
      <c r="D137" s="1372"/>
      <c r="E137" s="1372"/>
      <c r="F137" s="1372"/>
      <c r="G137" s="1372"/>
      <c r="H137" s="1372">
        <v>984639</v>
      </c>
      <c r="I137" s="1372"/>
      <c r="J137" s="1372"/>
      <c r="K137" s="1372"/>
      <c r="L137" s="1372"/>
      <c r="M137" s="1372"/>
      <c r="N137" s="1372"/>
      <c r="O137" s="1372">
        <f t="shared" si="29"/>
        <v>984639</v>
      </c>
    </row>
    <row r="138" spans="1:15" ht="12.75">
      <c r="A138" s="1371">
        <f t="shared" si="28"/>
        <v>112</v>
      </c>
      <c r="B138" s="1371" t="s">
        <v>3429</v>
      </c>
      <c r="C138" s="1372"/>
      <c r="D138" s="1372"/>
      <c r="E138" s="1372"/>
      <c r="F138" s="1372"/>
      <c r="G138" s="1372"/>
      <c r="H138" s="1372">
        <v>0</v>
      </c>
      <c r="I138" s="1372"/>
      <c r="J138" s="1372"/>
      <c r="K138" s="1372"/>
      <c r="L138" s="1372"/>
      <c r="M138" s="1372"/>
      <c r="N138" s="1372"/>
      <c r="O138" s="1372">
        <f t="shared" si="29"/>
        <v>0</v>
      </c>
    </row>
    <row r="139" spans="1:15" ht="12.75">
      <c r="A139" s="1371">
        <f t="shared" si="28"/>
        <v>202</v>
      </c>
      <c r="B139" s="1371" t="s">
        <v>3414</v>
      </c>
      <c r="C139" s="1372"/>
      <c r="D139" s="1372"/>
      <c r="E139" s="1372"/>
      <c r="F139" s="1372"/>
      <c r="G139" s="1372"/>
      <c r="H139" s="1372">
        <v>329058025</v>
      </c>
      <c r="I139" s="1372"/>
      <c r="J139" s="1372"/>
      <c r="K139" s="1372"/>
      <c r="L139" s="1372"/>
      <c r="M139" s="1372"/>
      <c r="N139" s="1372"/>
      <c r="O139" s="1372">
        <f t="shared" si="29"/>
        <v>329058025</v>
      </c>
    </row>
    <row r="140" spans="1:15" ht="12.75">
      <c r="A140" s="1371">
        <f t="shared" si="28"/>
        <v>206</v>
      </c>
      <c r="B140" s="1371" t="s">
        <v>3440</v>
      </c>
      <c r="C140" s="1372"/>
      <c r="D140" s="1372"/>
      <c r="E140" s="1372"/>
      <c r="F140" s="1372"/>
      <c r="G140" s="1372"/>
      <c r="H140" s="1372">
        <v>0</v>
      </c>
      <c r="I140" s="1372"/>
      <c r="J140" s="1372"/>
      <c r="K140" s="1372"/>
      <c r="L140" s="1372"/>
      <c r="M140" s="1372"/>
      <c r="N140" s="1372"/>
      <c r="O140" s="1372">
        <f t="shared" si="29"/>
        <v>0</v>
      </c>
    </row>
    <row r="141" spans="1:15" ht="12.75">
      <c r="A141" s="1371">
        <f t="shared" si="28"/>
        <v>207</v>
      </c>
      <c r="B141" s="1371" t="s">
        <v>3423</v>
      </c>
      <c r="C141" s="1372"/>
      <c r="D141" s="1372"/>
      <c r="E141" s="1372"/>
      <c r="F141" s="1372"/>
      <c r="G141" s="1372"/>
      <c r="H141" s="1372">
        <v>0</v>
      </c>
      <c r="I141" s="1372"/>
      <c r="J141" s="1372"/>
      <c r="K141" s="1372"/>
      <c r="L141" s="1372"/>
      <c r="M141" s="1372"/>
      <c r="N141" s="1372"/>
      <c r="O141" s="1372">
        <f t="shared" si="29"/>
        <v>0</v>
      </c>
    </row>
    <row r="142" spans="1:15" ht="12.75">
      <c r="A142" s="1371">
        <f t="shared" si="28"/>
        <v>209</v>
      </c>
      <c r="B142" s="1371" t="s">
        <v>3415</v>
      </c>
      <c r="C142" s="1372"/>
      <c r="D142" s="1372"/>
      <c r="E142" s="1372"/>
      <c r="F142" s="1372"/>
      <c r="G142" s="1372"/>
      <c r="H142" s="1372">
        <v>0</v>
      </c>
      <c r="I142" s="1372"/>
      <c r="J142" s="1372"/>
      <c r="K142" s="1372"/>
      <c r="L142" s="1372"/>
      <c r="M142" s="1372"/>
      <c r="N142" s="1372"/>
      <c r="O142" s="1372">
        <f t="shared" si="29"/>
        <v>0</v>
      </c>
    </row>
    <row r="143" spans="1:15" ht="12.75">
      <c r="A143" s="1371">
        <f t="shared" si="28"/>
        <v>210</v>
      </c>
      <c r="B143" s="1371" t="s">
        <v>3416</v>
      </c>
      <c r="C143" s="1372"/>
      <c r="D143" s="1372"/>
      <c r="E143" s="1372"/>
      <c r="F143" s="1372"/>
      <c r="G143" s="1372"/>
      <c r="H143" s="1372">
        <v>0</v>
      </c>
      <c r="I143" s="1372"/>
      <c r="J143" s="1372"/>
      <c r="K143" s="1372"/>
      <c r="L143" s="1372"/>
      <c r="M143" s="1372"/>
      <c r="N143" s="1372"/>
      <c r="O143" s="1372">
        <f t="shared" si="29"/>
        <v>0</v>
      </c>
    </row>
    <row r="144" spans="1:15" ht="12.75">
      <c r="A144" s="1371">
        <f t="shared" si="28"/>
        <v>212</v>
      </c>
      <c r="B144" s="1371" t="s">
        <v>3417</v>
      </c>
      <c r="C144" s="1372"/>
      <c r="D144" s="1372"/>
      <c r="E144" s="1372"/>
      <c r="F144" s="1372"/>
      <c r="G144" s="1372"/>
      <c r="H144" s="1372">
        <v>1500647</v>
      </c>
      <c r="I144" s="1372"/>
      <c r="J144" s="1372"/>
      <c r="K144" s="1372"/>
      <c r="L144" s="1372"/>
      <c r="M144" s="1372"/>
      <c r="N144" s="1372"/>
      <c r="O144" s="1372">
        <f t="shared" si="29"/>
        <v>1500647</v>
      </c>
    </row>
    <row r="145" spans="1:15" ht="12.75">
      <c r="A145" s="1371">
        <v>201</v>
      </c>
      <c r="B145" s="1371" t="s">
        <v>3441</v>
      </c>
      <c r="C145" s="1372"/>
      <c r="D145" s="1372"/>
      <c r="E145" s="1372"/>
      <c r="F145" s="1372"/>
      <c r="G145" s="1372"/>
      <c r="H145" s="1372">
        <v>0</v>
      </c>
      <c r="I145" s="1372"/>
      <c r="J145" s="1372"/>
      <c r="K145" s="1372"/>
      <c r="L145" s="1372"/>
      <c r="M145" s="1372"/>
      <c r="N145" s="1372"/>
      <c r="O145" s="1372">
        <f t="shared" si="29"/>
        <v>0</v>
      </c>
    </row>
    <row r="146" spans="1:15" ht="12.75">
      <c r="A146" s="1371">
        <v>202</v>
      </c>
      <c r="B146" s="1371" t="s">
        <v>3418</v>
      </c>
      <c r="C146" s="1372"/>
      <c r="D146" s="1372"/>
      <c r="E146" s="1372"/>
      <c r="F146" s="1372"/>
      <c r="G146" s="1372"/>
      <c r="H146" s="1372">
        <v>113271324</v>
      </c>
      <c r="I146" s="1372"/>
      <c r="J146" s="1372"/>
      <c r="K146" s="1372"/>
      <c r="L146" s="1372"/>
      <c r="M146" s="1372"/>
      <c r="N146" s="1372"/>
      <c r="O146" s="1372">
        <f t="shared" si="29"/>
        <v>113271324</v>
      </c>
    </row>
    <row r="147" spans="1:15" ht="12.75">
      <c r="A147" s="1371">
        <v>207</v>
      </c>
      <c r="B147" s="1371" t="s">
        <v>3424</v>
      </c>
      <c r="C147" s="1372"/>
      <c r="D147" s="1372"/>
      <c r="E147" s="1372"/>
      <c r="F147" s="1372"/>
      <c r="G147" s="1372"/>
      <c r="H147" s="1372">
        <v>12670786</v>
      </c>
      <c r="I147" s="1372"/>
      <c r="J147" s="1372"/>
      <c r="K147" s="1372"/>
      <c r="L147" s="1372"/>
      <c r="M147" s="1372"/>
      <c r="N147" s="1372"/>
      <c r="O147" s="1372">
        <f t="shared" si="29"/>
        <v>12670786</v>
      </c>
    </row>
    <row r="148" spans="1:15" ht="12.75">
      <c r="A148" s="1371">
        <v>208</v>
      </c>
      <c r="B148" s="1371" t="s">
        <v>3442</v>
      </c>
      <c r="C148" s="1372"/>
      <c r="D148" s="1372"/>
      <c r="E148" s="1372"/>
      <c r="F148" s="1372"/>
      <c r="G148" s="1372"/>
      <c r="H148" s="1372">
        <v>0</v>
      </c>
      <c r="I148" s="1372"/>
      <c r="J148" s="1372"/>
      <c r="K148" s="1372"/>
      <c r="L148" s="1372"/>
      <c r="M148" s="1372"/>
      <c r="N148" s="1372"/>
      <c r="O148" s="1372">
        <f t="shared" si="29"/>
        <v>0</v>
      </c>
    </row>
    <row r="149" spans="1:15" ht="12.75">
      <c r="A149" s="1371">
        <v>209</v>
      </c>
      <c r="B149" s="1371" t="s">
        <v>3432</v>
      </c>
      <c r="C149" s="1372"/>
      <c r="D149" s="1372"/>
      <c r="E149" s="1372"/>
      <c r="F149" s="1372"/>
      <c r="G149" s="1372"/>
      <c r="H149" s="1372">
        <v>0</v>
      </c>
      <c r="I149" s="1372"/>
      <c r="J149" s="1372"/>
      <c r="K149" s="1372"/>
      <c r="L149" s="1372"/>
      <c r="M149" s="1372"/>
      <c r="N149" s="1372"/>
      <c r="O149" s="1372">
        <f t="shared" si="29"/>
        <v>0</v>
      </c>
    </row>
    <row r="150" spans="1:15" ht="12.75">
      <c r="A150" s="1371">
        <v>210</v>
      </c>
      <c r="B150" s="1371" t="s">
        <v>3419</v>
      </c>
      <c r="C150" s="1372"/>
      <c r="D150" s="1372"/>
      <c r="E150" s="1372"/>
      <c r="F150" s="1372"/>
      <c r="G150" s="1372"/>
      <c r="H150" s="1372">
        <v>486488</v>
      </c>
      <c r="I150" s="1372"/>
      <c r="J150" s="1372"/>
      <c r="K150" s="1372"/>
      <c r="L150" s="1372"/>
      <c r="M150" s="1372"/>
      <c r="N150" s="1372"/>
      <c r="O150" s="1372">
        <f t="shared" si="29"/>
        <v>486488</v>
      </c>
    </row>
    <row r="151" spans="1:15" ht="12.75">
      <c r="A151" s="1371">
        <v>212</v>
      </c>
      <c r="B151" s="1371" t="s">
        <v>3420</v>
      </c>
      <c r="C151" s="1372"/>
      <c r="D151" s="1372"/>
      <c r="E151" s="1372"/>
      <c r="F151" s="1372"/>
      <c r="G151" s="1372"/>
      <c r="H151" s="1372">
        <v>56900354</v>
      </c>
      <c r="I151" s="1372"/>
      <c r="J151" s="1372"/>
      <c r="K151" s="1372"/>
      <c r="L151" s="1372"/>
      <c r="M151" s="1372"/>
      <c r="N151" s="1372"/>
      <c r="O151" s="1372">
        <f t="shared" si="29"/>
        <v>56900354</v>
      </c>
    </row>
    <row r="152" spans="1:15" ht="13.5" thickBot="1">
      <c r="A152" s="1373">
        <v>212</v>
      </c>
      <c r="B152" s="1373" t="s">
        <v>3421</v>
      </c>
      <c r="C152" s="1374"/>
      <c r="D152" s="1374"/>
      <c r="E152" s="1374"/>
      <c r="F152" s="1374"/>
      <c r="G152" s="1374"/>
      <c r="H152" s="1374">
        <v>34020980</v>
      </c>
      <c r="I152" s="1374"/>
      <c r="J152" s="1374"/>
      <c r="K152" s="1374"/>
      <c r="L152" s="1374"/>
      <c r="M152" s="1374"/>
      <c r="N152" s="1374"/>
      <c r="O152" s="1372">
        <f t="shared" si="29"/>
        <v>34020980</v>
      </c>
    </row>
    <row r="153" spans="1:15" ht="13.5" thickTop="1">
      <c r="A153" s="1375" t="s">
        <v>3394</v>
      </c>
      <c r="B153" s="1375"/>
      <c r="C153" s="1376">
        <f>SUM(C131:C152)</f>
        <v>0</v>
      </c>
      <c r="D153" s="1376">
        <f t="shared" ref="D153:I153" si="30">SUM(D131:D152)</f>
        <v>0</v>
      </c>
      <c r="E153" s="1376">
        <f t="shared" si="30"/>
        <v>0</v>
      </c>
      <c r="F153" s="1376">
        <f t="shared" si="30"/>
        <v>0</v>
      </c>
      <c r="G153" s="1376">
        <f t="shared" si="30"/>
        <v>0</v>
      </c>
      <c r="H153" s="1376">
        <f t="shared" si="30"/>
        <v>675560819</v>
      </c>
      <c r="I153" s="1376">
        <f t="shared" si="30"/>
        <v>0</v>
      </c>
      <c r="J153" s="1376">
        <f t="shared" ref="J153" si="31">SUM(J131:J152)</f>
        <v>0</v>
      </c>
      <c r="K153" s="1376">
        <f t="shared" ref="K153" si="32">SUM(K131:K152)</f>
        <v>0</v>
      </c>
      <c r="L153" s="1376">
        <f t="shared" ref="L153" si="33">SUM(L131:L152)</f>
        <v>0</v>
      </c>
      <c r="M153" s="1376">
        <f t="shared" ref="M153" si="34">SUM(M131:M152)</f>
        <v>0</v>
      </c>
      <c r="N153" s="1376">
        <f t="shared" ref="N153:O153" si="35">SUM(N131:N152)</f>
        <v>0</v>
      </c>
      <c r="O153" s="1376">
        <f t="shared" si="35"/>
        <v>675560819</v>
      </c>
    </row>
    <row r="154" spans="1:15">
      <c r="A154" s="32"/>
      <c r="B154" s="32"/>
    </row>
    <row r="156" spans="1:15">
      <c r="A156" s="496" t="s">
        <v>3411</v>
      </c>
      <c r="B156" s="1429" t="s">
        <v>3454</v>
      </c>
      <c r="C156" s="496" t="s">
        <v>3487</v>
      </c>
      <c r="D156" s="1430"/>
      <c r="E156" s="1430"/>
    </row>
    <row r="157" spans="1:15">
      <c r="A157" s="32" t="s">
        <v>3281</v>
      </c>
      <c r="B157" s="32"/>
    </row>
    <row r="158" spans="1:15" ht="12.75">
      <c r="A158" s="1367"/>
      <c r="B158" s="1367"/>
      <c r="C158" s="1368" t="s">
        <v>3393</v>
      </c>
      <c r="D158" s="1368"/>
      <c r="E158" s="1368"/>
      <c r="F158" s="1368"/>
      <c r="G158" s="1368"/>
      <c r="H158" s="1368"/>
      <c r="I158" s="1368"/>
      <c r="J158" s="1368"/>
      <c r="K158" s="1368"/>
      <c r="L158" s="1368"/>
      <c r="M158" s="1368"/>
      <c r="N158" s="1368"/>
      <c r="O158" s="1368"/>
    </row>
    <row r="159" spans="1:15" ht="12.75">
      <c r="A159" s="1369" t="s">
        <v>964</v>
      </c>
      <c r="B159" s="1377" t="s">
        <v>3434</v>
      </c>
      <c r="C159" s="1370" t="s">
        <v>3399</v>
      </c>
      <c r="D159" s="1370" t="s">
        <v>3400</v>
      </c>
      <c r="E159" s="1370" t="s">
        <v>3401</v>
      </c>
      <c r="F159" s="1370" t="s">
        <v>3402</v>
      </c>
      <c r="G159" s="1370" t="s">
        <v>3403</v>
      </c>
      <c r="H159" s="1370" t="s">
        <v>3404</v>
      </c>
      <c r="I159" s="1370" t="s">
        <v>3405</v>
      </c>
      <c r="J159" s="1370" t="s">
        <v>3406</v>
      </c>
      <c r="K159" s="1370" t="s">
        <v>3407</v>
      </c>
      <c r="L159" s="1370" t="s">
        <v>3408</v>
      </c>
      <c r="M159" s="1370" t="s">
        <v>3409</v>
      </c>
      <c r="N159" s="1370" t="s">
        <v>3410</v>
      </c>
      <c r="O159" s="1369" t="s">
        <v>3394</v>
      </c>
    </row>
    <row r="160" spans="1:15" ht="12.75">
      <c r="A160" s="1371">
        <v>420</v>
      </c>
      <c r="B160" s="1371">
        <v>420</v>
      </c>
      <c r="C160" s="1372">
        <v>76491065</v>
      </c>
      <c r="D160" s="1372">
        <v>71049242</v>
      </c>
      <c r="E160" s="1372">
        <v>58659670</v>
      </c>
      <c r="F160" s="1372">
        <v>69408648</v>
      </c>
      <c r="G160" s="1372">
        <v>50229010</v>
      </c>
      <c r="H160" s="1372">
        <v>43707007</v>
      </c>
      <c r="I160" s="1372"/>
      <c r="J160" s="1372"/>
      <c r="K160" s="1372"/>
      <c r="L160" s="1372"/>
      <c r="M160" s="1372"/>
      <c r="N160" s="1372"/>
      <c r="O160" s="1372">
        <f>SUM(C160:N160)</f>
        <v>369544642</v>
      </c>
    </row>
    <row r="161" spans="1:15" ht="12.75">
      <c r="A161" s="1371"/>
      <c r="B161" s="1371"/>
      <c r="C161" s="1372"/>
      <c r="D161" s="1372"/>
      <c r="E161" s="1372"/>
      <c r="F161" s="1372"/>
      <c r="G161" s="1372"/>
      <c r="H161" s="1372"/>
      <c r="I161" s="1372"/>
      <c r="J161" s="1372"/>
      <c r="K161" s="1372"/>
      <c r="L161" s="1372"/>
      <c r="M161" s="1372"/>
      <c r="N161" s="1372"/>
      <c r="O161" s="1372"/>
    </row>
    <row r="162" spans="1:15" ht="13.5" thickBot="1">
      <c r="A162" s="1371"/>
      <c r="B162" s="1371"/>
      <c r="C162" s="1372"/>
      <c r="D162" s="1372"/>
      <c r="E162" s="1372"/>
      <c r="F162" s="1372"/>
      <c r="G162" s="1372"/>
      <c r="H162" s="1372"/>
      <c r="I162" s="1372"/>
      <c r="J162" s="1372"/>
      <c r="K162" s="1372"/>
      <c r="L162" s="1372"/>
      <c r="M162" s="1372"/>
      <c r="N162" s="1372"/>
      <c r="O162" s="1372"/>
    </row>
    <row r="163" spans="1:15" s="1441" customFormat="1" ht="13.5" thickTop="1">
      <c r="A163" s="1375" t="s">
        <v>3394</v>
      </c>
      <c r="B163" s="1375"/>
      <c r="C163" s="1376">
        <f>SUM(C160:C162)</f>
        <v>76491065</v>
      </c>
      <c r="D163" s="1376">
        <f t="shared" ref="D163:O163" si="36">SUM(D160:D162)</f>
        <v>71049242</v>
      </c>
      <c r="E163" s="1376">
        <f t="shared" si="36"/>
        <v>58659670</v>
      </c>
      <c r="F163" s="1376">
        <f t="shared" si="36"/>
        <v>69408648</v>
      </c>
      <c r="G163" s="1376">
        <f t="shared" si="36"/>
        <v>50229010</v>
      </c>
      <c r="H163" s="1376">
        <f t="shared" si="36"/>
        <v>43707007</v>
      </c>
      <c r="I163" s="1376">
        <f t="shared" si="36"/>
        <v>0</v>
      </c>
      <c r="J163" s="1376">
        <f t="shared" si="36"/>
        <v>0</v>
      </c>
      <c r="K163" s="1376">
        <f t="shared" si="36"/>
        <v>0</v>
      </c>
      <c r="L163" s="1376">
        <f t="shared" si="36"/>
        <v>0</v>
      </c>
      <c r="M163" s="1376">
        <f t="shared" si="36"/>
        <v>0</v>
      </c>
      <c r="N163" s="1376">
        <f t="shared" si="36"/>
        <v>0</v>
      </c>
      <c r="O163" s="1376">
        <f t="shared" si="36"/>
        <v>369544642</v>
      </c>
    </row>
    <row r="164" spans="1:15" s="1430" customFormat="1"/>
    <row r="165" spans="1:15" s="1430" customFormat="1"/>
    <row r="166" spans="1:15" s="1430" customFormat="1">
      <c r="A166" s="496" t="s">
        <v>3411</v>
      </c>
      <c r="B166" s="1429" t="s">
        <v>3453</v>
      </c>
      <c r="C166" s="496" t="s">
        <v>1327</v>
      </c>
      <c r="E166" s="1443" t="s">
        <v>3489</v>
      </c>
      <c r="F166" s="1444"/>
      <c r="G166"/>
      <c r="H166"/>
      <c r="I166"/>
      <c r="J166"/>
      <c r="K166"/>
      <c r="L166"/>
      <c r="M166"/>
      <c r="N166"/>
      <c r="O166"/>
    </row>
    <row r="167" spans="1:15" s="1430" customFormat="1">
      <c r="A167" s="32" t="s">
        <v>3281</v>
      </c>
      <c r="B167" s="32"/>
      <c r="C167"/>
      <c r="D167"/>
      <c r="E167"/>
      <c r="F167"/>
      <c r="G167"/>
      <c r="H167"/>
      <c r="I167"/>
      <c r="J167"/>
      <c r="K167"/>
      <c r="L167"/>
      <c r="M167"/>
      <c r="N167"/>
      <c r="O167"/>
    </row>
    <row r="168" spans="1:15" s="1430" customFormat="1" ht="12.75">
      <c r="A168" s="1367"/>
      <c r="B168" s="1367"/>
      <c r="C168" s="1368" t="s">
        <v>3393</v>
      </c>
      <c r="D168" s="1368"/>
      <c r="E168" s="1368"/>
      <c r="F168" s="1368"/>
      <c r="G168" s="1368"/>
      <c r="H168" s="1368"/>
      <c r="I168" s="1368"/>
      <c r="J168" s="1368"/>
      <c r="K168" s="1368"/>
      <c r="L168" s="1368"/>
      <c r="M168" s="1368"/>
      <c r="N168" s="1368"/>
      <c r="O168" s="1368"/>
    </row>
    <row r="169" spans="1:15" s="1430" customFormat="1" ht="12.75">
      <c r="A169" s="1369" t="s">
        <v>964</v>
      </c>
      <c r="B169" s="1369" t="s">
        <v>3434</v>
      </c>
      <c r="C169" s="1370" t="s">
        <v>3399</v>
      </c>
      <c r="D169" s="1370" t="s">
        <v>3400</v>
      </c>
      <c r="E169" s="1370" t="s">
        <v>3401</v>
      </c>
      <c r="F169" s="1370" t="s">
        <v>3402</v>
      </c>
      <c r="G169" s="1370" t="s">
        <v>3403</v>
      </c>
      <c r="H169" s="1370" t="s">
        <v>3404</v>
      </c>
      <c r="I169" s="1370" t="s">
        <v>3405</v>
      </c>
      <c r="J169" s="1370" t="s">
        <v>3406</v>
      </c>
      <c r="K169" s="1370" t="s">
        <v>3407</v>
      </c>
      <c r="L169" s="1370" t="s">
        <v>3408</v>
      </c>
      <c r="M169" s="1370" t="s">
        <v>3409</v>
      </c>
      <c r="N169" s="1370" t="s">
        <v>3410</v>
      </c>
      <c r="O169" s="1369" t="s">
        <v>3394</v>
      </c>
    </row>
    <row r="170" spans="1:15" s="1430" customFormat="1" ht="12.75">
      <c r="A170" s="1371">
        <f>VALUE(B170)</f>
        <v>202</v>
      </c>
      <c r="B170" s="1371" t="s">
        <v>3414</v>
      </c>
      <c r="C170" s="1372">
        <v>4282993</v>
      </c>
      <c r="D170" s="1372">
        <v>3653950</v>
      </c>
      <c r="E170" s="1372">
        <v>7355187</v>
      </c>
      <c r="F170" s="1372"/>
      <c r="G170" s="1372"/>
      <c r="H170" s="1372"/>
      <c r="I170" s="1372"/>
      <c r="J170" s="1372"/>
      <c r="K170" s="1372"/>
      <c r="L170" s="1372"/>
      <c r="M170" s="1372"/>
      <c r="N170" s="1372"/>
      <c r="O170" s="1372">
        <f>SUM(C170:N170)</f>
        <v>15292130</v>
      </c>
    </row>
    <row r="171" spans="1:15" s="1430" customFormat="1" ht="12.75">
      <c r="A171" s="1371">
        <f>VALUE(B171)</f>
        <v>209</v>
      </c>
      <c r="B171" s="1371" t="s">
        <v>3415</v>
      </c>
      <c r="C171" s="1372">
        <v>833221</v>
      </c>
      <c r="D171" s="1372">
        <v>1419371</v>
      </c>
      <c r="E171" s="1372">
        <v>1096121</v>
      </c>
      <c r="F171" s="1372"/>
      <c r="G171" s="1372"/>
      <c r="H171" s="1372"/>
      <c r="I171" s="1372"/>
      <c r="J171" s="1372"/>
      <c r="K171" s="1372"/>
      <c r="L171" s="1372"/>
      <c r="M171" s="1372"/>
      <c r="N171" s="1372"/>
      <c r="O171" s="1372">
        <f t="shared" ref="O171:O175" si="37">SUM(C171:N171)</f>
        <v>3348713</v>
      </c>
    </row>
    <row r="172" spans="1:15" s="1430" customFormat="1" ht="12.75">
      <c r="A172" s="1371">
        <f>VALUE(B172)</f>
        <v>210</v>
      </c>
      <c r="B172" s="1371" t="s">
        <v>3416</v>
      </c>
      <c r="C172" s="1372">
        <v>1107931</v>
      </c>
      <c r="D172" s="1372">
        <v>1759710</v>
      </c>
      <c r="E172" s="1372">
        <v>3079038</v>
      </c>
      <c r="F172" s="1372"/>
      <c r="G172" s="1372"/>
      <c r="H172" s="1372"/>
      <c r="I172" s="1372"/>
      <c r="J172" s="1372"/>
      <c r="K172" s="1372"/>
      <c r="L172" s="1372"/>
      <c r="M172" s="1372"/>
      <c r="N172" s="1372"/>
      <c r="O172" s="1372">
        <f t="shared" si="37"/>
        <v>5946679</v>
      </c>
    </row>
    <row r="173" spans="1:15" s="1430" customFormat="1" ht="12.75">
      <c r="A173" s="1371">
        <f>VALUE(B173)</f>
        <v>212</v>
      </c>
      <c r="B173" s="1371" t="s">
        <v>3417</v>
      </c>
      <c r="C173" s="1372">
        <v>0</v>
      </c>
      <c r="D173" s="1372">
        <v>1371296</v>
      </c>
      <c r="E173" s="1372"/>
      <c r="F173" s="1372"/>
      <c r="G173" s="1372"/>
      <c r="H173" s="1372"/>
      <c r="I173" s="1372"/>
      <c r="J173" s="1372"/>
      <c r="K173" s="1372"/>
      <c r="L173" s="1372"/>
      <c r="M173" s="1372"/>
      <c r="N173" s="1372"/>
      <c r="O173" s="1372">
        <f t="shared" si="37"/>
        <v>1371296</v>
      </c>
    </row>
    <row r="174" spans="1:15" s="1430" customFormat="1" ht="12.75">
      <c r="A174" s="1371">
        <v>213</v>
      </c>
      <c r="B174" s="1371" t="s">
        <v>3421</v>
      </c>
      <c r="C174" s="1372">
        <v>102195066</v>
      </c>
      <c r="D174" s="1372">
        <v>102897662</v>
      </c>
      <c r="E174" s="1372">
        <v>106232732</v>
      </c>
      <c r="F174" s="1372">
        <v>64319958</v>
      </c>
      <c r="G174" s="1372">
        <v>102578762</v>
      </c>
      <c r="H174" s="1372"/>
      <c r="I174" s="1372"/>
      <c r="J174" s="1372"/>
      <c r="K174" s="1372"/>
      <c r="L174" s="1372"/>
      <c r="M174" s="1372"/>
      <c r="N174" s="1372"/>
      <c r="O174" s="1372">
        <f t="shared" si="37"/>
        <v>478224180</v>
      </c>
    </row>
    <row r="175" spans="1:15" s="1430" customFormat="1" ht="13.5" thickBot="1">
      <c r="A175" s="1373"/>
      <c r="B175" s="1373"/>
      <c r="C175" s="1374"/>
      <c r="D175" s="1374"/>
      <c r="E175" s="1374"/>
      <c r="F175" s="1374"/>
      <c r="G175" s="1374"/>
      <c r="H175" s="1374"/>
      <c r="I175" s="1374"/>
      <c r="J175" s="1374"/>
      <c r="K175" s="1374"/>
      <c r="L175" s="1374"/>
      <c r="M175" s="1374"/>
      <c r="N175" s="1374"/>
      <c r="O175" s="1372">
        <f t="shared" si="37"/>
        <v>0</v>
      </c>
    </row>
    <row r="176" spans="1:15" s="1430" customFormat="1" ht="13.5" thickTop="1">
      <c r="A176" s="1375" t="s">
        <v>3394</v>
      </c>
      <c r="B176" s="1375"/>
      <c r="C176" s="1376">
        <f t="shared" ref="C176:O176" si="38">SUM(C170:C175)</f>
        <v>108419211</v>
      </c>
      <c r="D176" s="1376">
        <f t="shared" si="38"/>
        <v>111101989</v>
      </c>
      <c r="E176" s="1376">
        <f t="shared" si="38"/>
        <v>117763078</v>
      </c>
      <c r="F176" s="1376">
        <f t="shared" si="38"/>
        <v>64319958</v>
      </c>
      <c r="G176" s="1376">
        <f t="shared" si="38"/>
        <v>102578762</v>
      </c>
      <c r="H176" s="1376">
        <f t="shared" si="38"/>
        <v>0</v>
      </c>
      <c r="I176" s="1376">
        <f t="shared" si="38"/>
        <v>0</v>
      </c>
      <c r="J176" s="1376">
        <f t="shared" si="38"/>
        <v>0</v>
      </c>
      <c r="K176" s="1376">
        <f t="shared" si="38"/>
        <v>0</v>
      </c>
      <c r="L176" s="1376">
        <f t="shared" si="38"/>
        <v>0</v>
      </c>
      <c r="M176" s="1376">
        <f t="shared" si="38"/>
        <v>0</v>
      </c>
      <c r="N176" s="1376">
        <f t="shared" si="38"/>
        <v>0</v>
      </c>
      <c r="O176" s="1376">
        <f t="shared" si="38"/>
        <v>504182998</v>
      </c>
    </row>
    <row r="177" spans="1:15" s="1430" customFormat="1"/>
    <row r="178" spans="1:15" s="1430" customFormat="1"/>
    <row r="179" spans="1:15" s="1430" customFormat="1"/>
    <row r="180" spans="1:15" s="1430" customFormat="1"/>
    <row r="181" spans="1:15" s="1430" customFormat="1"/>
    <row r="182" spans="1:15">
      <c r="A182" s="496" t="s">
        <v>3411</v>
      </c>
      <c r="B182" s="496"/>
      <c r="C182" s="1429">
        <v>510220</v>
      </c>
      <c r="D182" s="496" t="s">
        <v>521</v>
      </c>
      <c r="E182" s="1430"/>
    </row>
    <row r="183" spans="1:15">
      <c r="A183" s="32" t="s">
        <v>3277</v>
      </c>
      <c r="B183" s="32"/>
    </row>
    <row r="184" spans="1:15" ht="12.75">
      <c r="A184" s="1367"/>
      <c r="B184" s="1367"/>
      <c r="C184" s="1368" t="s">
        <v>3393</v>
      </c>
      <c r="D184" s="1368"/>
      <c r="E184" s="1368"/>
      <c r="F184" s="1368"/>
      <c r="G184" s="1368"/>
      <c r="H184" s="1368"/>
      <c r="I184" s="1368"/>
      <c r="J184" s="1368"/>
      <c r="K184" s="1368"/>
      <c r="L184" s="1368"/>
      <c r="M184" s="1368"/>
      <c r="N184" s="1368"/>
      <c r="O184" s="1368"/>
    </row>
    <row r="185" spans="1:15" ht="12.75">
      <c r="A185" s="1369" t="s">
        <v>964</v>
      </c>
      <c r="B185" s="1377" t="s">
        <v>3434</v>
      </c>
      <c r="C185" s="1370" t="s">
        <v>3399</v>
      </c>
      <c r="D185" s="1370" t="s">
        <v>3400</v>
      </c>
      <c r="E185" s="1370" t="s">
        <v>3401</v>
      </c>
      <c r="F185" s="1370" t="s">
        <v>3402</v>
      </c>
      <c r="G185" s="1370" t="s">
        <v>3403</v>
      </c>
      <c r="H185" s="1370" t="s">
        <v>3404</v>
      </c>
      <c r="I185" s="1370" t="s">
        <v>3405</v>
      </c>
      <c r="J185" s="1370" t="s">
        <v>3406</v>
      </c>
      <c r="K185" s="1370" t="s">
        <v>3407</v>
      </c>
      <c r="L185" s="1370" t="s">
        <v>3408</v>
      </c>
      <c r="M185" s="1370" t="s">
        <v>3409</v>
      </c>
      <c r="N185" s="1370" t="s">
        <v>3410</v>
      </c>
      <c r="O185" s="1369" t="s">
        <v>3394</v>
      </c>
    </row>
    <row r="186" spans="1:15" ht="12.75">
      <c r="A186" s="1371">
        <f>VALUE(B186)</f>
        <v>101</v>
      </c>
      <c r="B186" s="1381" t="s">
        <v>3395</v>
      </c>
      <c r="C186" s="1372">
        <v>-567051</v>
      </c>
      <c r="D186" s="1372">
        <v>405833</v>
      </c>
      <c r="E186" s="1372">
        <v>1973765</v>
      </c>
      <c r="F186" s="1372">
        <v>991891</v>
      </c>
      <c r="G186" s="1372">
        <v>46522</v>
      </c>
      <c r="H186" s="1372">
        <v>-1573913</v>
      </c>
      <c r="I186" s="1372"/>
      <c r="J186" s="1372"/>
      <c r="K186" s="1372"/>
      <c r="L186" s="1372"/>
      <c r="M186" s="1372"/>
      <c r="N186" s="1372"/>
      <c r="O186" s="1372">
        <f>SUM(C186:N186)</f>
        <v>1277047</v>
      </c>
    </row>
    <row r="187" spans="1:15" ht="12.75">
      <c r="A187" s="1371">
        <f t="shared" ref="A187:A200" si="39">VALUE(B187)</f>
        <v>102</v>
      </c>
      <c r="B187" s="1371" t="s">
        <v>3396</v>
      </c>
      <c r="C187" s="1372">
        <v>-475846</v>
      </c>
      <c r="D187" s="1372">
        <v>344594</v>
      </c>
      <c r="E187" s="1372">
        <v>977536</v>
      </c>
      <c r="F187" s="1372">
        <v>882330</v>
      </c>
      <c r="G187" s="1372">
        <v>-239101</v>
      </c>
      <c r="H187" s="1372">
        <v>-1255965</v>
      </c>
      <c r="I187" s="1372"/>
      <c r="J187" s="1372"/>
      <c r="K187" s="1372"/>
      <c r="L187" s="1372"/>
      <c r="M187" s="1372"/>
      <c r="N187" s="1372"/>
      <c r="O187" s="1372">
        <f t="shared" ref="O187:O208" si="40">SUM(C187:N187)</f>
        <v>233548</v>
      </c>
    </row>
    <row r="188" spans="1:15" ht="12.75">
      <c r="A188" s="1371">
        <f t="shared" si="39"/>
        <v>103</v>
      </c>
      <c r="B188" s="1371" t="s">
        <v>3397</v>
      </c>
      <c r="C188" s="1372">
        <v>-2617658</v>
      </c>
      <c r="D188" s="1372">
        <v>2075949</v>
      </c>
      <c r="E188" s="1372">
        <v>7615556</v>
      </c>
      <c r="F188" s="1372">
        <v>4241508</v>
      </c>
      <c r="G188" s="1372">
        <v>-583430</v>
      </c>
      <c r="H188" s="1372">
        <v>-7682622</v>
      </c>
      <c r="I188" s="1372"/>
      <c r="J188" s="1372"/>
      <c r="K188" s="1372"/>
      <c r="L188" s="1372"/>
      <c r="M188" s="1372"/>
      <c r="N188" s="1372"/>
      <c r="O188" s="1372">
        <f t="shared" si="40"/>
        <v>3049303</v>
      </c>
    </row>
    <row r="189" spans="1:15" ht="12.75">
      <c r="A189" s="1371">
        <f t="shared" si="39"/>
        <v>104</v>
      </c>
      <c r="B189" s="1371" t="s">
        <v>3398</v>
      </c>
      <c r="C189" s="1372">
        <v>-441236</v>
      </c>
      <c r="D189" s="1372">
        <v>302291</v>
      </c>
      <c r="E189" s="1372">
        <v>1521335</v>
      </c>
      <c r="F189" s="1372">
        <v>790357</v>
      </c>
      <c r="G189" s="1372">
        <v>8056</v>
      </c>
      <c r="H189" s="1372">
        <v>-1221634</v>
      </c>
      <c r="I189" s="1372"/>
      <c r="J189" s="1372"/>
      <c r="K189" s="1372"/>
      <c r="L189" s="1372"/>
      <c r="M189" s="1372"/>
      <c r="N189" s="1372"/>
      <c r="O189" s="1372">
        <f t="shared" si="40"/>
        <v>959169</v>
      </c>
    </row>
    <row r="190" spans="1:15" ht="12.75">
      <c r="A190" s="1371">
        <f t="shared" si="39"/>
        <v>108</v>
      </c>
      <c r="B190" s="1371" t="s">
        <v>3428</v>
      </c>
      <c r="C190" s="1372">
        <v>-43687</v>
      </c>
      <c r="D190" s="1372">
        <v>79548</v>
      </c>
      <c r="E190" s="1372">
        <v>113797</v>
      </c>
      <c r="F190" s="1372">
        <v>75000</v>
      </c>
      <c r="G190" s="1372">
        <v>8443</v>
      </c>
      <c r="H190" s="1372">
        <v>-122292</v>
      </c>
      <c r="I190" s="1372"/>
      <c r="J190" s="1372"/>
      <c r="K190" s="1372"/>
      <c r="L190" s="1372"/>
      <c r="M190" s="1372"/>
      <c r="N190" s="1372"/>
      <c r="O190" s="1372">
        <f t="shared" si="40"/>
        <v>110809</v>
      </c>
    </row>
    <row r="191" spans="1:15" ht="12.75">
      <c r="A191" s="1371">
        <f t="shared" si="39"/>
        <v>109</v>
      </c>
      <c r="B191" s="1371" t="s">
        <v>3412</v>
      </c>
      <c r="C191" s="1372">
        <v>-4478510</v>
      </c>
      <c r="D191" s="1372">
        <v>3289332</v>
      </c>
      <c r="E191" s="1372">
        <v>1982932</v>
      </c>
      <c r="F191" s="1372">
        <v>8570989</v>
      </c>
      <c r="G191" s="1372">
        <v>-6545346</v>
      </c>
      <c r="H191" s="1372">
        <v>-12689212</v>
      </c>
      <c r="I191" s="1372"/>
      <c r="J191" s="1372"/>
      <c r="K191" s="1372"/>
      <c r="L191" s="1372"/>
      <c r="M191" s="1372"/>
      <c r="N191" s="1372"/>
      <c r="O191" s="1372">
        <f t="shared" si="40"/>
        <v>-9869815</v>
      </c>
    </row>
    <row r="192" spans="1:15" ht="12.75">
      <c r="A192" s="1371">
        <f t="shared" si="39"/>
        <v>110</v>
      </c>
      <c r="B192" s="1371" t="s">
        <v>3413</v>
      </c>
      <c r="C192" s="1372">
        <v>-1126409</v>
      </c>
      <c r="D192" s="1372">
        <v>-4607598</v>
      </c>
      <c r="E192" s="1372">
        <v>725441</v>
      </c>
      <c r="F192" s="1372">
        <v>-4316370</v>
      </c>
      <c r="G192" s="1372">
        <v>-854680</v>
      </c>
      <c r="H192" s="1372">
        <v>-9984443</v>
      </c>
      <c r="I192" s="1372"/>
      <c r="J192" s="1372"/>
      <c r="K192" s="1372"/>
      <c r="L192" s="1372"/>
      <c r="M192" s="1372"/>
      <c r="N192" s="1372"/>
      <c r="O192" s="1372">
        <f t="shared" si="40"/>
        <v>-20164059</v>
      </c>
    </row>
    <row r="193" spans="1:15" ht="12.75">
      <c r="A193" s="1371">
        <f t="shared" si="39"/>
        <v>112</v>
      </c>
      <c r="B193" s="1371" t="s">
        <v>3429</v>
      </c>
      <c r="C193" s="1372">
        <v>-84389</v>
      </c>
      <c r="D193" s="1372">
        <v>59390</v>
      </c>
      <c r="E193" s="1372">
        <v>274989</v>
      </c>
      <c r="F193" s="1372">
        <v>169385</v>
      </c>
      <c r="G193" s="1372">
        <v>-33307</v>
      </c>
      <c r="H193" s="1372">
        <v>-221058</v>
      </c>
      <c r="I193" s="1372"/>
      <c r="J193" s="1372"/>
      <c r="K193" s="1372"/>
      <c r="L193" s="1372"/>
      <c r="M193" s="1372"/>
      <c r="N193" s="1372"/>
      <c r="O193" s="1372">
        <f t="shared" si="40"/>
        <v>165010</v>
      </c>
    </row>
    <row r="194" spans="1:15" ht="12.75">
      <c r="A194" s="1371">
        <f t="shared" si="39"/>
        <v>114</v>
      </c>
      <c r="B194" s="1371" t="s">
        <v>3430</v>
      </c>
      <c r="C194" s="1372"/>
      <c r="D194" s="1372">
        <v>13253</v>
      </c>
      <c r="E194" s="1372">
        <v>-13253</v>
      </c>
      <c r="F194" s="1372"/>
      <c r="G194" s="1372"/>
      <c r="H194" s="1372">
        <v>0</v>
      </c>
      <c r="I194" s="1372"/>
      <c r="J194" s="1372"/>
      <c r="K194" s="1372"/>
      <c r="L194" s="1372"/>
      <c r="M194" s="1372"/>
      <c r="N194" s="1372"/>
      <c r="O194" s="1372">
        <f t="shared" si="40"/>
        <v>0</v>
      </c>
    </row>
    <row r="195" spans="1:15" ht="12.75">
      <c r="A195" s="1371">
        <f t="shared" si="39"/>
        <v>202</v>
      </c>
      <c r="B195" s="1371" t="s">
        <v>3414</v>
      </c>
      <c r="C195" s="1372">
        <v>-366092938</v>
      </c>
      <c r="D195" s="1372">
        <v>-622113107</v>
      </c>
      <c r="E195" s="1372">
        <v>-963324049</v>
      </c>
      <c r="F195" s="1372">
        <v>-459649321</v>
      </c>
      <c r="G195" s="1372">
        <v>-44762552</v>
      </c>
      <c r="H195" s="1372">
        <v>-314930350</v>
      </c>
      <c r="I195" s="1372"/>
      <c r="J195" s="1372"/>
      <c r="K195" s="1372"/>
      <c r="L195" s="1372"/>
      <c r="M195" s="1372"/>
      <c r="N195" s="1372"/>
      <c r="O195" s="1372">
        <f t="shared" si="40"/>
        <v>-2770872317</v>
      </c>
    </row>
    <row r="196" spans="1:15" ht="12.75">
      <c r="A196" s="1371">
        <f t="shared" si="39"/>
        <v>207</v>
      </c>
      <c r="B196" s="1371" t="s">
        <v>3423</v>
      </c>
      <c r="C196" s="1372">
        <v>-21570291</v>
      </c>
      <c r="D196" s="1372">
        <v>-155288341</v>
      </c>
      <c r="E196" s="1372"/>
      <c r="F196" s="1372"/>
      <c r="G196" s="1372"/>
      <c r="H196" s="1372">
        <v>0</v>
      </c>
      <c r="I196" s="1372"/>
      <c r="J196" s="1372"/>
      <c r="K196" s="1372"/>
      <c r="L196" s="1372"/>
      <c r="M196" s="1372"/>
      <c r="N196" s="1372"/>
      <c r="O196" s="1372">
        <f t="shared" si="40"/>
        <v>-176858632</v>
      </c>
    </row>
    <row r="197" spans="1:15" ht="12.75">
      <c r="A197" s="1371">
        <f t="shared" si="39"/>
        <v>209</v>
      </c>
      <c r="B197" s="1371" t="s">
        <v>3415</v>
      </c>
      <c r="C197" s="1372">
        <v>550243087</v>
      </c>
      <c r="D197" s="1372">
        <v>-599228556</v>
      </c>
      <c r="E197" s="1372">
        <v>1066964032</v>
      </c>
      <c r="F197" s="1372">
        <v>-179048141</v>
      </c>
      <c r="G197" s="1372">
        <v>-107621584</v>
      </c>
      <c r="H197" s="1372">
        <v>257855253</v>
      </c>
      <c r="I197" s="1372"/>
      <c r="J197" s="1372"/>
      <c r="K197" s="1372"/>
      <c r="L197" s="1372"/>
      <c r="M197" s="1372"/>
      <c r="N197" s="1372"/>
      <c r="O197" s="1372">
        <f t="shared" si="40"/>
        <v>989164091</v>
      </c>
    </row>
    <row r="198" spans="1:15" ht="12.75">
      <c r="A198" s="1371">
        <f t="shared" si="39"/>
        <v>210</v>
      </c>
      <c r="B198" s="1371" t="s">
        <v>3416</v>
      </c>
      <c r="C198" s="1372">
        <v>-3383458</v>
      </c>
      <c r="D198" s="1372">
        <v>-13720961</v>
      </c>
      <c r="E198" s="1372">
        <v>-566631</v>
      </c>
      <c r="F198" s="1372">
        <v>-2643</v>
      </c>
      <c r="G198" s="1372">
        <v>-559960</v>
      </c>
      <c r="H198" s="1372">
        <v>-103114</v>
      </c>
      <c r="I198" s="1372"/>
      <c r="J198" s="1372"/>
      <c r="K198" s="1372"/>
      <c r="L198" s="1372"/>
      <c r="M198" s="1372"/>
      <c r="N198" s="1372"/>
      <c r="O198" s="1372">
        <f t="shared" si="40"/>
        <v>-18336767</v>
      </c>
    </row>
    <row r="199" spans="1:15" ht="12.75">
      <c r="A199" s="1371">
        <f t="shared" si="39"/>
        <v>212</v>
      </c>
      <c r="B199" s="1371" t="s">
        <v>3417</v>
      </c>
      <c r="C199" s="1372">
        <v>-31403856</v>
      </c>
      <c r="D199" s="1372">
        <v>-396876635</v>
      </c>
      <c r="E199" s="1372">
        <v>214706</v>
      </c>
      <c r="F199" s="1372">
        <v>72679</v>
      </c>
      <c r="G199" s="1372">
        <v>174705</v>
      </c>
      <c r="H199" s="1372">
        <v>694</v>
      </c>
      <c r="I199" s="1372"/>
      <c r="J199" s="1372"/>
      <c r="K199" s="1372"/>
      <c r="L199" s="1372"/>
      <c r="M199" s="1372"/>
      <c r="N199" s="1372"/>
      <c r="O199" s="1372">
        <f t="shared" si="40"/>
        <v>-427817707</v>
      </c>
    </row>
    <row r="200" spans="1:15" ht="12.75">
      <c r="A200" s="1371">
        <f t="shared" si="39"/>
        <v>213</v>
      </c>
      <c r="B200" s="1371" t="s">
        <v>3431</v>
      </c>
      <c r="C200" s="1372"/>
      <c r="D200" s="1372">
        <v>37064</v>
      </c>
      <c r="E200" s="1372">
        <v>-1673</v>
      </c>
      <c r="F200" s="1372">
        <v>9394</v>
      </c>
      <c r="G200" s="1372">
        <v>7478</v>
      </c>
      <c r="H200" s="1372">
        <v>-14970</v>
      </c>
      <c r="I200" s="1372"/>
      <c r="J200" s="1372"/>
      <c r="K200" s="1372"/>
      <c r="L200" s="1372"/>
      <c r="M200" s="1372"/>
      <c r="N200" s="1372"/>
      <c r="O200" s="1372">
        <f t="shared" si="40"/>
        <v>37293</v>
      </c>
    </row>
    <row r="201" spans="1:15" ht="12.75">
      <c r="A201" s="1371">
        <v>202</v>
      </c>
      <c r="B201" s="1371" t="s">
        <v>3418</v>
      </c>
      <c r="C201" s="1372"/>
      <c r="D201" s="1372">
        <v>543275573</v>
      </c>
      <c r="E201" s="1372">
        <v>46005427</v>
      </c>
      <c r="F201" s="1372">
        <v>-13681358</v>
      </c>
      <c r="G201" s="1372">
        <v>69216062</v>
      </c>
      <c r="H201" s="1372">
        <v>-30980787</v>
      </c>
      <c r="I201" s="1372"/>
      <c r="J201" s="1372"/>
      <c r="K201" s="1372"/>
      <c r="L201" s="1372"/>
      <c r="M201" s="1372"/>
      <c r="N201" s="1372"/>
      <c r="O201" s="1372">
        <f t="shared" si="40"/>
        <v>613834917</v>
      </c>
    </row>
    <row r="202" spans="1:15" ht="12.75">
      <c r="A202" s="1371">
        <v>207</v>
      </c>
      <c r="B202" s="1371" t="s">
        <v>3424</v>
      </c>
      <c r="C202" s="1372"/>
      <c r="D202" s="1372">
        <v>143498818</v>
      </c>
      <c r="E202" s="1372">
        <v>8130328</v>
      </c>
      <c r="F202" s="1372">
        <v>8395190</v>
      </c>
      <c r="G202" s="1372">
        <v>27374072</v>
      </c>
      <c r="H202" s="1372">
        <v>-2387874</v>
      </c>
      <c r="I202" s="1372"/>
      <c r="J202" s="1372"/>
      <c r="K202" s="1372"/>
      <c r="L202" s="1372"/>
      <c r="M202" s="1372"/>
      <c r="N202" s="1372"/>
      <c r="O202" s="1372">
        <f t="shared" si="40"/>
        <v>185010534</v>
      </c>
    </row>
    <row r="203" spans="1:15" ht="12.75">
      <c r="A203" s="1371">
        <v>209</v>
      </c>
      <c r="B203" s="1371" t="s">
        <v>3432</v>
      </c>
      <c r="C203" s="1372"/>
      <c r="D203" s="1372">
        <v>225</v>
      </c>
      <c r="E203" s="1372">
        <v>123</v>
      </c>
      <c r="F203" s="1372">
        <v>-43</v>
      </c>
      <c r="G203" s="1372">
        <v>46</v>
      </c>
      <c r="H203" s="1372">
        <v>-352</v>
      </c>
      <c r="I203" s="1372"/>
      <c r="J203" s="1372"/>
      <c r="K203" s="1372"/>
      <c r="L203" s="1372"/>
      <c r="M203" s="1372"/>
      <c r="N203" s="1372"/>
      <c r="O203" s="1372">
        <f t="shared" si="40"/>
        <v>-1</v>
      </c>
    </row>
    <row r="204" spans="1:15" ht="12.75">
      <c r="A204" s="1371">
        <v>210</v>
      </c>
      <c r="B204" s="1371" t="s">
        <v>3419</v>
      </c>
      <c r="C204" s="1372"/>
      <c r="D204" s="1372">
        <v>17012833</v>
      </c>
      <c r="E204" s="1372">
        <v>-2933514</v>
      </c>
      <c r="F204" s="1372">
        <v>-5705287</v>
      </c>
      <c r="G204" s="1372">
        <v>1012112</v>
      </c>
      <c r="H204" s="1372">
        <v>-2253700</v>
      </c>
      <c r="I204" s="1372"/>
      <c r="J204" s="1372"/>
      <c r="K204" s="1372"/>
      <c r="L204" s="1372"/>
      <c r="M204" s="1372"/>
      <c r="N204" s="1372"/>
      <c r="O204" s="1372">
        <f t="shared" si="40"/>
        <v>7132444</v>
      </c>
    </row>
    <row r="205" spans="1:15" ht="12.75">
      <c r="A205" s="1371">
        <v>212</v>
      </c>
      <c r="B205" s="1371" t="s">
        <v>3420</v>
      </c>
      <c r="C205" s="1372"/>
      <c r="D205" s="1372">
        <v>8297173</v>
      </c>
      <c r="E205" s="1372">
        <v>1295738</v>
      </c>
      <c r="F205" s="1372">
        <v>3583095</v>
      </c>
      <c r="G205" s="1372">
        <v>3258252</v>
      </c>
      <c r="H205" s="1372">
        <v>-1241846</v>
      </c>
      <c r="I205" s="1372"/>
      <c r="J205" s="1372"/>
      <c r="K205" s="1372"/>
      <c r="L205" s="1372"/>
      <c r="M205" s="1372"/>
      <c r="N205" s="1372"/>
      <c r="O205" s="1372">
        <f t="shared" si="40"/>
        <v>15192412</v>
      </c>
    </row>
    <row r="206" spans="1:15" ht="12.75">
      <c r="A206" s="1371">
        <v>213</v>
      </c>
      <c r="B206" s="1371" t="s">
        <v>3421</v>
      </c>
      <c r="C206" s="1372"/>
      <c r="D206" s="1372">
        <v>401783319</v>
      </c>
      <c r="E206" s="1372">
        <v>111631897</v>
      </c>
      <c r="F206" s="1372">
        <v>28722698</v>
      </c>
      <c r="G206" s="1372">
        <v>95362277</v>
      </c>
      <c r="H206" s="1372">
        <v>-16269730</v>
      </c>
      <c r="I206" s="1372"/>
      <c r="J206" s="1372"/>
      <c r="K206" s="1372"/>
      <c r="L206" s="1372"/>
      <c r="M206" s="1372"/>
      <c r="N206" s="1372"/>
      <c r="O206" s="1372">
        <f t="shared" si="40"/>
        <v>621230461</v>
      </c>
    </row>
    <row r="207" spans="1:15" ht="12.75">
      <c r="A207" s="1371">
        <f>VALUE(420)</f>
        <v>420</v>
      </c>
      <c r="B207" s="1371" t="s">
        <v>3425</v>
      </c>
      <c r="C207" s="1372">
        <v>-1510782611</v>
      </c>
      <c r="D207" s="1372">
        <v>-1962946171</v>
      </c>
      <c r="E207" s="1372">
        <v>-1727059242</v>
      </c>
      <c r="F207" s="1372">
        <v>-1042575938</v>
      </c>
      <c r="G207" s="1372">
        <v>-1218740434</v>
      </c>
      <c r="H207" s="1372">
        <v>-1205101063</v>
      </c>
      <c r="I207" s="1372"/>
      <c r="J207" s="1372"/>
      <c r="K207" s="1372"/>
      <c r="L207" s="1372"/>
      <c r="M207" s="1372"/>
      <c r="N207" s="1372"/>
      <c r="O207" s="1372">
        <f t="shared" si="40"/>
        <v>-8667205459</v>
      </c>
    </row>
    <row r="208" spans="1:15" ht="13.5" thickBot="1">
      <c r="A208" s="1373">
        <v>114</v>
      </c>
      <c r="B208" s="1371" t="s">
        <v>3433</v>
      </c>
      <c r="C208" s="1374"/>
      <c r="D208" s="1374"/>
      <c r="E208" s="1374"/>
      <c r="F208" s="1374">
        <v>-35751</v>
      </c>
      <c r="G208" s="1374">
        <v>-219350</v>
      </c>
      <c r="H208" s="1372">
        <v>4795</v>
      </c>
      <c r="I208" s="1374"/>
      <c r="J208" s="1374"/>
      <c r="K208" s="1374"/>
      <c r="L208" s="1374"/>
      <c r="M208" s="1374"/>
      <c r="N208" s="1374"/>
      <c r="O208" s="1372">
        <f t="shared" si="40"/>
        <v>-250306</v>
      </c>
    </row>
    <row r="209" spans="1:15" ht="13.5" thickTop="1">
      <c r="A209" s="1375" t="s">
        <v>3394</v>
      </c>
      <c r="B209" s="1375"/>
      <c r="C209" s="1376">
        <f>SUM(C186:C208)</f>
        <v>-1392824853</v>
      </c>
      <c r="D209" s="1376">
        <f t="shared" ref="D209:O209" si="41">SUM(D186:D208)</f>
        <v>-2634306174</v>
      </c>
      <c r="E209" s="1376">
        <f t="shared" si="41"/>
        <v>-1444470760</v>
      </c>
      <c r="F209" s="1376">
        <f t="shared" si="41"/>
        <v>-1648510336</v>
      </c>
      <c r="G209" s="1376">
        <f t="shared" si="41"/>
        <v>-1183691719</v>
      </c>
      <c r="H209" s="1376">
        <f t="shared" si="41"/>
        <v>-1350174183</v>
      </c>
      <c r="I209" s="1376">
        <f t="shared" si="41"/>
        <v>0</v>
      </c>
      <c r="J209" s="1376">
        <f t="shared" si="41"/>
        <v>0</v>
      </c>
      <c r="K209" s="1376">
        <f t="shared" si="41"/>
        <v>0</v>
      </c>
      <c r="L209" s="1376">
        <f t="shared" si="41"/>
        <v>0</v>
      </c>
      <c r="M209" s="1376">
        <f t="shared" si="41"/>
        <v>0</v>
      </c>
      <c r="N209" s="1376">
        <f t="shared" si="41"/>
        <v>0</v>
      </c>
      <c r="O209" s="1376">
        <f t="shared" si="41"/>
        <v>-9653978025</v>
      </c>
    </row>
    <row r="212" spans="1:15">
      <c r="A212" s="496" t="s">
        <v>3411</v>
      </c>
      <c r="B212" s="496"/>
      <c r="C212" s="1429" t="s">
        <v>3435</v>
      </c>
      <c r="D212" s="496" t="s">
        <v>2579</v>
      </c>
      <c r="E212" s="1430"/>
    </row>
    <row r="213" spans="1:15">
      <c r="A213" s="32" t="s">
        <v>3277</v>
      </c>
      <c r="B213" s="32"/>
    </row>
    <row r="214" spans="1:15" ht="12.75">
      <c r="A214" s="1367" t="s">
        <v>3392</v>
      </c>
      <c r="B214" s="1368" t="s">
        <v>3393</v>
      </c>
      <c r="C214" s="1368"/>
      <c r="D214" s="1368"/>
      <c r="E214" s="1368"/>
      <c r="F214" s="1368"/>
      <c r="G214" s="1368"/>
      <c r="H214" s="1368"/>
      <c r="I214" s="1368"/>
      <c r="J214" s="1368"/>
      <c r="K214" s="1368"/>
      <c r="L214" s="1368"/>
      <c r="M214" s="1368"/>
      <c r="N214" s="1368"/>
      <c r="O214" s="1368"/>
    </row>
    <row r="215" spans="1:15" ht="12.75">
      <c r="A215" s="1369" t="s">
        <v>964</v>
      </c>
      <c r="B215" s="1377" t="s">
        <v>3434</v>
      </c>
      <c r="C215" s="1370" t="s">
        <v>3399</v>
      </c>
      <c r="D215" s="1370" t="s">
        <v>3400</v>
      </c>
      <c r="E215" s="1370" t="s">
        <v>3401</v>
      </c>
      <c r="F215" s="1370" t="s">
        <v>3402</v>
      </c>
      <c r="G215" s="1370" t="s">
        <v>3403</v>
      </c>
      <c r="H215" s="1370" t="s">
        <v>3404</v>
      </c>
      <c r="I215" s="1370" t="s">
        <v>3405</v>
      </c>
      <c r="J215" s="1370" t="s">
        <v>3406</v>
      </c>
      <c r="K215" s="1370" t="s">
        <v>3407</v>
      </c>
      <c r="L215" s="1370" t="s">
        <v>3408</v>
      </c>
      <c r="M215" s="1370" t="s">
        <v>3409</v>
      </c>
      <c r="N215" s="1370" t="s">
        <v>3410</v>
      </c>
      <c r="O215" s="1369" t="s">
        <v>3394</v>
      </c>
    </row>
    <row r="216" spans="1:15" ht="12.75">
      <c r="A216" s="1371">
        <f>VALUE(B216)</f>
        <v>102</v>
      </c>
      <c r="B216" s="1371" t="s">
        <v>3396</v>
      </c>
      <c r="C216" s="1372"/>
      <c r="D216" s="1372">
        <v>74132144</v>
      </c>
      <c r="E216" s="1372">
        <v>13295</v>
      </c>
      <c r="F216" s="1372">
        <v>34</v>
      </c>
      <c r="G216" s="1372">
        <v>1370484</v>
      </c>
      <c r="H216" s="1372">
        <v>226281</v>
      </c>
      <c r="I216" s="1372"/>
      <c r="J216" s="1372"/>
      <c r="K216" s="1372"/>
      <c r="L216" s="1372"/>
      <c r="M216" s="1372"/>
      <c r="N216" s="1372"/>
      <c r="O216" s="1372">
        <f>SUM(C216:N216)</f>
        <v>75742238</v>
      </c>
    </row>
    <row r="217" spans="1:15" ht="12.75">
      <c r="A217" s="1371">
        <f t="shared" ref="A217:A225" si="42">VALUE(B217)</f>
        <v>103</v>
      </c>
      <c r="B217" s="1371" t="s">
        <v>3397</v>
      </c>
      <c r="C217" s="1372">
        <v>17265001</v>
      </c>
      <c r="D217" s="1372">
        <v>8025778</v>
      </c>
      <c r="E217" s="1372">
        <v>-18027117</v>
      </c>
      <c r="F217" s="1372">
        <v>-15045205</v>
      </c>
      <c r="G217" s="1372">
        <v>84973816</v>
      </c>
      <c r="H217" s="1372">
        <v>-55803990</v>
      </c>
      <c r="I217" s="1372"/>
      <c r="J217" s="1372"/>
      <c r="K217" s="1372"/>
      <c r="L217" s="1372"/>
      <c r="M217" s="1372"/>
      <c r="N217" s="1372"/>
      <c r="O217" s="1372">
        <f t="shared" ref="O217:O230" si="43">SUM(C217:N217)</f>
        <v>21388283</v>
      </c>
    </row>
    <row r="218" spans="1:15" ht="12.75">
      <c r="A218" s="1371">
        <f t="shared" si="42"/>
        <v>104</v>
      </c>
      <c r="B218" s="1371" t="s">
        <v>3398</v>
      </c>
      <c r="C218" s="1372"/>
      <c r="D218" s="1372"/>
      <c r="E218" s="1372"/>
      <c r="F218" s="1372"/>
      <c r="G218" s="1372">
        <v>6793871</v>
      </c>
      <c r="H218" s="1372">
        <v>-6801119</v>
      </c>
      <c r="I218" s="1372"/>
      <c r="J218" s="1372"/>
      <c r="K218" s="1372"/>
      <c r="L218" s="1372"/>
      <c r="M218" s="1372"/>
      <c r="N218" s="1372"/>
      <c r="O218" s="1372">
        <f t="shared" si="43"/>
        <v>-7248</v>
      </c>
    </row>
    <row r="219" spans="1:15" ht="12.75">
      <c r="A219" s="1371">
        <f t="shared" si="42"/>
        <v>109</v>
      </c>
      <c r="B219" s="1371" t="s">
        <v>3412</v>
      </c>
      <c r="C219" s="1372">
        <v>-9417726</v>
      </c>
      <c r="D219" s="1372">
        <v>-4534936</v>
      </c>
      <c r="E219" s="1372">
        <v>1944532</v>
      </c>
      <c r="F219" s="1372">
        <v>8807995</v>
      </c>
      <c r="G219" s="1372">
        <v>6362131</v>
      </c>
      <c r="H219" s="1372">
        <v>-11555877</v>
      </c>
      <c r="I219" s="1372"/>
      <c r="J219" s="1372"/>
      <c r="K219" s="1372"/>
      <c r="L219" s="1372"/>
      <c r="M219" s="1372"/>
      <c r="N219" s="1372"/>
      <c r="O219" s="1372">
        <f t="shared" si="43"/>
        <v>-8393881</v>
      </c>
    </row>
    <row r="220" spans="1:15" ht="12.75">
      <c r="A220" s="1371">
        <f t="shared" si="42"/>
        <v>110</v>
      </c>
      <c r="B220" s="1371" t="s">
        <v>3413</v>
      </c>
      <c r="C220" s="1372">
        <v>-3288489</v>
      </c>
      <c r="D220" s="1372">
        <v>-758441</v>
      </c>
      <c r="E220" s="1372">
        <v>-469046</v>
      </c>
      <c r="F220" s="1372">
        <v>11819238</v>
      </c>
      <c r="G220" s="1372">
        <v>-302936</v>
      </c>
      <c r="H220" s="1372">
        <v>7339241</v>
      </c>
      <c r="I220" s="1372"/>
      <c r="J220" s="1372"/>
      <c r="K220" s="1372"/>
      <c r="L220" s="1372"/>
      <c r="M220" s="1372"/>
      <c r="N220" s="1372"/>
      <c r="O220" s="1372">
        <f t="shared" si="43"/>
        <v>14339567</v>
      </c>
    </row>
    <row r="221" spans="1:15" ht="12.75">
      <c r="A221" s="1371">
        <f t="shared" si="42"/>
        <v>114</v>
      </c>
      <c r="B221" s="1371" t="s">
        <v>3430</v>
      </c>
      <c r="C221" s="1372">
        <v>13221</v>
      </c>
      <c r="D221" s="1372">
        <v>-13221</v>
      </c>
      <c r="E221" s="1372">
        <v>13295</v>
      </c>
      <c r="F221" s="1372">
        <v>34</v>
      </c>
      <c r="G221" s="1372">
        <v>17</v>
      </c>
      <c r="H221" s="1372">
        <v>4</v>
      </c>
      <c r="I221" s="1372"/>
      <c r="J221" s="1372"/>
      <c r="K221" s="1372"/>
      <c r="L221" s="1372"/>
      <c r="M221" s="1372"/>
      <c r="N221" s="1372"/>
      <c r="O221" s="1372">
        <f t="shared" si="43"/>
        <v>13350</v>
      </c>
    </row>
    <row r="222" spans="1:15" ht="12.75">
      <c r="A222" s="1371">
        <f t="shared" si="42"/>
        <v>202</v>
      </c>
      <c r="B222" s="1371" t="s">
        <v>3414</v>
      </c>
      <c r="C222" s="1372">
        <v>-115771183</v>
      </c>
      <c r="D222" s="1372">
        <v>-153798713</v>
      </c>
      <c r="E222" s="1372">
        <v>1008561011</v>
      </c>
      <c r="F222" s="1372">
        <v>285609534</v>
      </c>
      <c r="G222" s="1372">
        <v>203103323</v>
      </c>
      <c r="H222" s="1372">
        <v>307641389</v>
      </c>
      <c r="I222" s="1372"/>
      <c r="J222" s="1372"/>
      <c r="K222" s="1372"/>
      <c r="L222" s="1372"/>
      <c r="M222" s="1372"/>
      <c r="N222" s="1372"/>
      <c r="O222" s="1372">
        <f t="shared" si="43"/>
        <v>1535345361</v>
      </c>
    </row>
    <row r="223" spans="1:15" ht="12.75">
      <c r="A223" s="1371">
        <f t="shared" si="42"/>
        <v>207</v>
      </c>
      <c r="B223" s="1371" t="s">
        <v>3423</v>
      </c>
      <c r="C223" s="1372">
        <v>21214207</v>
      </c>
      <c r="D223" s="1372">
        <v>-6293006</v>
      </c>
      <c r="E223" s="1372">
        <v>-18650305</v>
      </c>
      <c r="F223" s="1372">
        <v>0</v>
      </c>
      <c r="G223" s="1372"/>
      <c r="H223" s="1372"/>
      <c r="I223" s="1372"/>
      <c r="J223" s="1372"/>
      <c r="K223" s="1372"/>
      <c r="L223" s="1372"/>
      <c r="M223" s="1372"/>
      <c r="N223" s="1372"/>
      <c r="O223" s="1372">
        <f t="shared" si="43"/>
        <v>-3729104</v>
      </c>
    </row>
    <row r="224" spans="1:15" ht="12.75">
      <c r="A224" s="1371">
        <f t="shared" si="42"/>
        <v>210</v>
      </c>
      <c r="B224" s="1371" t="s">
        <v>3416</v>
      </c>
      <c r="C224" s="1372">
        <v>5279344</v>
      </c>
      <c r="D224" s="1372">
        <v>-6064344</v>
      </c>
      <c r="E224" s="1372">
        <v>-1367478</v>
      </c>
      <c r="F224" s="1372">
        <v>68</v>
      </c>
      <c r="G224" s="1372">
        <v>11322264</v>
      </c>
      <c r="H224" s="1372">
        <v>-22640702</v>
      </c>
      <c r="I224" s="1372"/>
      <c r="J224" s="1372"/>
      <c r="K224" s="1372"/>
      <c r="L224" s="1372"/>
      <c r="M224" s="1372"/>
      <c r="N224" s="1372"/>
      <c r="O224" s="1372">
        <f t="shared" si="43"/>
        <v>-13470848</v>
      </c>
    </row>
    <row r="225" spans="1:15" ht="12.75">
      <c r="A225" s="1371">
        <f t="shared" si="42"/>
        <v>212</v>
      </c>
      <c r="B225" s="1371" t="s">
        <v>3417</v>
      </c>
      <c r="C225" s="1372">
        <v>-101660787</v>
      </c>
      <c r="D225" s="1372">
        <v>114494957</v>
      </c>
      <c r="E225" s="1372">
        <v>-57566146</v>
      </c>
      <c r="F225" s="1372">
        <v>-6620740</v>
      </c>
      <c r="G225" s="1372">
        <v>-48264568</v>
      </c>
      <c r="H225" s="1372">
        <v>-25960435</v>
      </c>
      <c r="I225" s="1372"/>
      <c r="J225" s="1372"/>
      <c r="K225" s="1372"/>
      <c r="L225" s="1372"/>
      <c r="M225" s="1372"/>
      <c r="N225" s="1372"/>
      <c r="O225" s="1372">
        <f t="shared" si="43"/>
        <v>-125577719</v>
      </c>
    </row>
    <row r="226" spans="1:15" ht="12.75">
      <c r="A226" s="1371">
        <v>202</v>
      </c>
      <c r="B226" s="1371" t="s">
        <v>3418</v>
      </c>
      <c r="C226" s="1372">
        <v>111471421</v>
      </c>
      <c r="D226" s="1372">
        <v>100209660</v>
      </c>
      <c r="E226" s="1372">
        <v>209831387</v>
      </c>
      <c r="F226" s="1372">
        <v>-59538431</v>
      </c>
      <c r="G226" s="1372">
        <v>38020908</v>
      </c>
      <c r="H226" s="1372">
        <v>113581902</v>
      </c>
      <c r="I226" s="1372"/>
      <c r="J226" s="1372"/>
      <c r="K226" s="1372"/>
      <c r="L226" s="1372"/>
      <c r="M226" s="1372"/>
      <c r="N226" s="1372"/>
      <c r="O226" s="1372">
        <f t="shared" si="43"/>
        <v>513576847</v>
      </c>
    </row>
    <row r="227" spans="1:15" ht="12.75">
      <c r="A227" s="1371">
        <v>207</v>
      </c>
      <c r="B227" s="1371" t="s">
        <v>3424</v>
      </c>
      <c r="C227" s="1372"/>
      <c r="D227" s="1372">
        <v>8307750</v>
      </c>
      <c r="E227" s="1372">
        <v>10934158</v>
      </c>
      <c r="F227" s="1372">
        <v>10747062</v>
      </c>
      <c r="G227" s="1372">
        <v>-23280213</v>
      </c>
      <c r="H227" s="1372">
        <v>35538326</v>
      </c>
      <c r="I227" s="1372"/>
      <c r="J227" s="1372"/>
      <c r="K227" s="1372"/>
      <c r="L227" s="1372"/>
      <c r="M227" s="1372"/>
      <c r="N227" s="1372"/>
      <c r="O227" s="1372">
        <f t="shared" si="43"/>
        <v>42247083</v>
      </c>
    </row>
    <row r="228" spans="1:15" ht="12.75">
      <c r="A228" s="1371">
        <v>210</v>
      </c>
      <c r="B228" s="1371" t="s">
        <v>3419</v>
      </c>
      <c r="C228" s="1372"/>
      <c r="D228" s="1372">
        <v>516549</v>
      </c>
      <c r="E228" s="1372">
        <v>2475934</v>
      </c>
      <c r="F228" s="1372">
        <v>-924211</v>
      </c>
      <c r="G228" s="1372">
        <v>-1154678</v>
      </c>
      <c r="H228" s="1372">
        <v>1357558</v>
      </c>
      <c r="I228" s="1372"/>
      <c r="J228" s="1372"/>
      <c r="K228" s="1372"/>
      <c r="L228" s="1372"/>
      <c r="M228" s="1372"/>
      <c r="N228" s="1372"/>
      <c r="O228" s="1372">
        <f t="shared" si="43"/>
        <v>2271152</v>
      </c>
    </row>
    <row r="229" spans="1:15" ht="12.75">
      <c r="A229" s="1371">
        <v>212</v>
      </c>
      <c r="B229" s="1371" t="s">
        <v>3420</v>
      </c>
      <c r="C229" s="1372">
        <v>113991919</v>
      </c>
      <c r="D229" s="1372">
        <v>-83673413</v>
      </c>
      <c r="E229" s="1372"/>
      <c r="F229" s="1372"/>
      <c r="G229" s="1372">
        <v>27294396</v>
      </c>
      <c r="H229" s="1372"/>
      <c r="I229" s="1372"/>
      <c r="J229" s="1372"/>
      <c r="K229" s="1372"/>
      <c r="L229" s="1372"/>
      <c r="M229" s="1372"/>
      <c r="N229" s="1372"/>
      <c r="O229" s="1372">
        <f t="shared" si="43"/>
        <v>57612902</v>
      </c>
    </row>
    <row r="230" spans="1:15" ht="13.5" thickBot="1">
      <c r="A230" s="1373">
        <v>213</v>
      </c>
      <c r="B230" s="1373" t="s">
        <v>3421</v>
      </c>
      <c r="C230" s="1374">
        <v>17659268</v>
      </c>
      <c r="D230" s="1374">
        <v>-14338831</v>
      </c>
      <c r="E230" s="1374"/>
      <c r="F230" s="1374">
        <v>221752850</v>
      </c>
      <c r="G230" s="1374">
        <v>162212713</v>
      </c>
      <c r="H230" s="1374">
        <v>40638997</v>
      </c>
      <c r="I230" s="1374"/>
      <c r="J230" s="1374"/>
      <c r="K230" s="1374"/>
      <c r="L230" s="1374"/>
      <c r="M230" s="1374"/>
      <c r="N230" s="1374"/>
      <c r="O230" s="1372">
        <f t="shared" si="43"/>
        <v>427924997</v>
      </c>
    </row>
    <row r="231" spans="1:15" ht="13.5" thickTop="1">
      <c r="A231" s="1375" t="s">
        <v>3394</v>
      </c>
      <c r="B231" s="1375"/>
      <c r="C231" s="1376">
        <f>SUM(C216:C230)</f>
        <v>56756196</v>
      </c>
      <c r="D231" s="1376">
        <f t="shared" ref="D231:O231" si="44">SUM(D216:D230)</f>
        <v>36211933</v>
      </c>
      <c r="E231" s="1376">
        <f t="shared" si="44"/>
        <v>1137693520</v>
      </c>
      <c r="F231" s="1376">
        <f t="shared" si="44"/>
        <v>456608228</v>
      </c>
      <c r="G231" s="1376">
        <f t="shared" si="44"/>
        <v>468451528</v>
      </c>
      <c r="H231" s="1376">
        <f t="shared" si="44"/>
        <v>383561575</v>
      </c>
      <c r="I231" s="1376">
        <f t="shared" si="44"/>
        <v>0</v>
      </c>
      <c r="J231" s="1376">
        <f t="shared" si="44"/>
        <v>0</v>
      </c>
      <c r="K231" s="1376">
        <f t="shared" si="44"/>
        <v>0</v>
      </c>
      <c r="L231" s="1376">
        <f t="shared" si="44"/>
        <v>0</v>
      </c>
      <c r="M231" s="1376">
        <f t="shared" si="44"/>
        <v>0</v>
      </c>
      <c r="N231" s="1376">
        <f t="shared" si="44"/>
        <v>0</v>
      </c>
      <c r="O231" s="1376">
        <f t="shared" si="44"/>
        <v>2539282980</v>
      </c>
    </row>
    <row r="234" spans="1:15">
      <c r="A234" s="32" t="s">
        <v>3411</v>
      </c>
      <c r="B234" s="11">
        <v>111108</v>
      </c>
      <c r="C234" s="32" t="s">
        <v>2859</v>
      </c>
    </row>
    <row r="235" spans="1:15">
      <c r="A235" s="32" t="s">
        <v>3303</v>
      </c>
      <c r="B235" s="32"/>
    </row>
    <row r="236" spans="1:15" ht="12.75">
      <c r="A236" s="1367"/>
      <c r="B236" s="1367"/>
      <c r="C236" s="1368" t="s">
        <v>3455</v>
      </c>
      <c r="D236" s="1368"/>
    </row>
    <row r="237" spans="1:15" ht="38.25">
      <c r="A237" s="1369" t="s">
        <v>964</v>
      </c>
      <c r="B237" s="1369" t="s">
        <v>3434</v>
      </c>
      <c r="C237" s="1370" t="s">
        <v>3403</v>
      </c>
      <c r="D237" s="1394" t="s">
        <v>3475</v>
      </c>
    </row>
    <row r="238" spans="1:15" ht="12.75">
      <c r="A238" s="1371">
        <v>101</v>
      </c>
      <c r="B238" s="1371">
        <v>101</v>
      </c>
      <c r="C238" s="1372"/>
      <c r="D238" s="1372">
        <v>163763</v>
      </c>
    </row>
    <row r="239" spans="1:15" ht="12.75">
      <c r="A239" s="1371">
        <v>102</v>
      </c>
      <c r="B239" s="1371">
        <v>102</v>
      </c>
      <c r="C239" s="1372"/>
      <c r="D239" s="1372">
        <v>978360</v>
      </c>
      <c r="E239" s="476"/>
    </row>
    <row r="240" spans="1:15" ht="12.75">
      <c r="A240" s="1371">
        <v>103</v>
      </c>
      <c r="B240" s="1371">
        <v>103</v>
      </c>
      <c r="C240" s="1372"/>
      <c r="D240" s="1372">
        <v>3634280</v>
      </c>
      <c r="E240" s="476"/>
    </row>
    <row r="241" spans="1:5" ht="12.75">
      <c r="A241" s="1371">
        <v>104</v>
      </c>
      <c r="B241" s="1371">
        <v>104</v>
      </c>
      <c r="C241" s="1372"/>
      <c r="D241" s="1372">
        <v>162099</v>
      </c>
      <c r="E241" s="476"/>
    </row>
    <row r="242" spans="1:5" ht="12.75">
      <c r="A242" s="1371">
        <v>109</v>
      </c>
      <c r="B242" s="1371">
        <v>109</v>
      </c>
      <c r="C242" s="1372"/>
      <c r="D242" s="1372">
        <f>22326621-1</f>
        <v>22326620</v>
      </c>
      <c r="E242" s="476"/>
    </row>
    <row r="243" spans="1:5" ht="12.75">
      <c r="A243" s="1371">
        <v>110</v>
      </c>
      <c r="B243" s="1371">
        <v>110</v>
      </c>
      <c r="C243" s="1372"/>
      <c r="D243" s="1372">
        <v>1401895</v>
      </c>
      <c r="E243" s="476"/>
    </row>
    <row r="244" spans="1:5" ht="12.75">
      <c r="A244" s="1371">
        <v>112</v>
      </c>
      <c r="B244" s="1371">
        <v>112</v>
      </c>
      <c r="C244" s="1372"/>
      <c r="D244" s="1372">
        <v>49471</v>
      </c>
      <c r="E244" s="476"/>
    </row>
    <row r="245" spans="1:5" ht="12.75">
      <c r="A245" s="1371">
        <v>202</v>
      </c>
      <c r="B245" s="1371">
        <v>202</v>
      </c>
      <c r="C245" s="1372"/>
      <c r="D245" s="1372">
        <v>32399818</v>
      </c>
      <c r="E245" s="476"/>
    </row>
    <row r="246" spans="1:5" ht="12.75">
      <c r="A246" s="1371">
        <v>209</v>
      </c>
      <c r="B246" s="1371">
        <v>209</v>
      </c>
      <c r="C246" s="1372"/>
      <c r="D246" s="1372">
        <v>7286178</v>
      </c>
      <c r="E246" s="476"/>
    </row>
    <row r="247" spans="1:5" ht="12.75">
      <c r="A247" s="1371">
        <v>210</v>
      </c>
      <c r="B247" s="1371">
        <v>210</v>
      </c>
      <c r="C247" s="1372"/>
      <c r="D247" s="1372">
        <v>1011789</v>
      </c>
      <c r="E247" s="476"/>
    </row>
    <row r="248" spans="1:5" ht="12.75">
      <c r="A248" s="1371">
        <v>212</v>
      </c>
      <c r="B248" s="1371">
        <v>212</v>
      </c>
      <c r="C248" s="1372"/>
      <c r="D248" s="1372">
        <v>3420</v>
      </c>
      <c r="E248" s="476"/>
    </row>
    <row r="249" spans="1:5" ht="12.75">
      <c r="A249" s="1371">
        <v>212</v>
      </c>
      <c r="B249" s="1371">
        <v>213</v>
      </c>
      <c r="C249" s="1372"/>
      <c r="D249" s="1372">
        <v>128074</v>
      </c>
      <c r="E249" s="476"/>
    </row>
    <row r="250" spans="1:5" ht="12.75">
      <c r="A250" s="1371">
        <v>202</v>
      </c>
      <c r="B250" s="1371">
        <v>302</v>
      </c>
      <c r="C250" s="1372"/>
      <c r="D250" s="1372">
        <v>22349026</v>
      </c>
      <c r="E250" s="476"/>
    </row>
    <row r="251" spans="1:5" ht="12.75">
      <c r="A251" s="1371">
        <v>210</v>
      </c>
      <c r="B251" s="1371">
        <v>310</v>
      </c>
      <c r="C251" s="1372"/>
      <c r="D251" s="1372">
        <v>11100</v>
      </c>
      <c r="E251" s="476"/>
    </row>
    <row r="252" spans="1:5" ht="12.75">
      <c r="A252" s="1371">
        <v>212</v>
      </c>
      <c r="B252" s="1371">
        <v>312</v>
      </c>
      <c r="C252" s="1372"/>
      <c r="D252" s="1372">
        <v>7524321</v>
      </c>
      <c r="E252" s="476"/>
    </row>
    <row r="253" spans="1:5" ht="12.75">
      <c r="A253" s="1371">
        <v>212</v>
      </c>
      <c r="B253" s="1371">
        <v>313</v>
      </c>
      <c r="C253" s="1372"/>
      <c r="D253" s="1372">
        <v>13530958</v>
      </c>
      <c r="E253" s="476"/>
    </row>
    <row r="254" spans="1:5" ht="13.5" thickBot="1">
      <c r="A254" s="1371">
        <v>114</v>
      </c>
      <c r="B254" s="1371">
        <v>425</v>
      </c>
      <c r="C254" s="1372"/>
      <c r="D254" s="1372">
        <v>250427</v>
      </c>
      <c r="E254" s="476"/>
    </row>
    <row r="255" spans="1:5" ht="13.5" thickTop="1">
      <c r="A255" s="1375" t="s">
        <v>3394</v>
      </c>
      <c r="B255" s="1375"/>
      <c r="C255" s="1376"/>
      <c r="D255" s="1376">
        <f>SUM(D238:D254)</f>
        <v>113211599</v>
      </c>
    </row>
    <row r="258" spans="1:15">
      <c r="A258" s="496" t="s">
        <v>3411</v>
      </c>
      <c r="B258" s="496"/>
      <c r="C258" s="1429">
        <v>510112</v>
      </c>
      <c r="D258" s="496" t="s">
        <v>1330</v>
      </c>
      <c r="E258" s="1430"/>
    </row>
    <row r="259" spans="1:15">
      <c r="A259" s="32" t="s">
        <v>3287</v>
      </c>
      <c r="B259" s="32"/>
    </row>
    <row r="260" spans="1:15" ht="12.75">
      <c r="A260" s="1367" t="s">
        <v>3392</v>
      </c>
      <c r="B260" s="1368" t="s">
        <v>3393</v>
      </c>
      <c r="C260" s="1368"/>
      <c r="D260" s="1368"/>
      <c r="E260" s="1368"/>
      <c r="F260" s="1368"/>
      <c r="G260" s="1368"/>
      <c r="H260" s="1368"/>
      <c r="I260" s="1368"/>
      <c r="J260" s="1368"/>
      <c r="K260" s="1368"/>
      <c r="L260" s="1368"/>
      <c r="M260" s="1368"/>
      <c r="N260" s="1368"/>
      <c r="O260" s="1368"/>
    </row>
    <row r="261" spans="1:15" ht="12.75">
      <c r="A261" s="1369" t="s">
        <v>964</v>
      </c>
      <c r="B261" s="1377" t="s">
        <v>3434</v>
      </c>
      <c r="C261" s="1370" t="s">
        <v>3399</v>
      </c>
      <c r="D261" s="1370" t="s">
        <v>3400</v>
      </c>
      <c r="E261" s="1370" t="s">
        <v>3401</v>
      </c>
      <c r="F261" s="1370" t="s">
        <v>3402</v>
      </c>
      <c r="G261" s="1370" t="s">
        <v>3403</v>
      </c>
      <c r="H261" s="1370" t="s">
        <v>3404</v>
      </c>
      <c r="I261" s="1370" t="s">
        <v>3405</v>
      </c>
      <c r="J261" s="1370" t="s">
        <v>3406</v>
      </c>
      <c r="K261" s="1370" t="s">
        <v>3407</v>
      </c>
      <c r="L261" s="1370" t="s">
        <v>3408</v>
      </c>
      <c r="M261" s="1370" t="s">
        <v>3409</v>
      </c>
      <c r="N261" s="1370" t="s">
        <v>3410</v>
      </c>
      <c r="O261" s="1369" t="s">
        <v>3394</v>
      </c>
    </row>
    <row r="262" spans="1:15" ht="12.75">
      <c r="A262" s="1371">
        <f>VALUE(B262)</f>
        <v>102</v>
      </c>
      <c r="B262" s="1371" t="s">
        <v>3396</v>
      </c>
      <c r="C262" s="1372"/>
      <c r="D262" s="1372">
        <v>-47329100</v>
      </c>
      <c r="E262" s="1372"/>
      <c r="F262" s="1372"/>
      <c r="G262" s="1372"/>
      <c r="H262" s="1372"/>
      <c r="I262" s="1372"/>
      <c r="J262" s="1372"/>
      <c r="K262" s="1372"/>
      <c r="L262" s="1372"/>
      <c r="M262" s="1372"/>
      <c r="N262" s="1372"/>
      <c r="O262" s="1372">
        <f>SUM(C262:N262)</f>
        <v>-47329100</v>
      </c>
    </row>
    <row r="263" spans="1:15" ht="12.75">
      <c r="A263" s="1371">
        <f t="shared" ref="A263:A269" si="45">VALUE(B263)</f>
        <v>103</v>
      </c>
      <c r="B263" s="1371" t="s">
        <v>3397</v>
      </c>
      <c r="C263" s="1372">
        <v>0</v>
      </c>
      <c r="D263" s="1372"/>
      <c r="E263" s="1372"/>
      <c r="F263" s="1372"/>
      <c r="G263" s="1372">
        <v>-18503814</v>
      </c>
      <c r="H263" s="1372">
        <v>0</v>
      </c>
      <c r="I263" s="1372"/>
      <c r="J263" s="1372"/>
      <c r="K263" s="1372"/>
      <c r="L263" s="1372"/>
      <c r="M263" s="1372"/>
      <c r="N263" s="1372"/>
      <c r="O263" s="1372">
        <f t="shared" ref="O263:O272" si="46">SUM(C263:N263)</f>
        <v>-18503814</v>
      </c>
    </row>
    <row r="264" spans="1:15" ht="12.75">
      <c r="A264" s="1371">
        <f t="shared" si="45"/>
        <v>109</v>
      </c>
      <c r="B264" s="1371" t="s">
        <v>3412</v>
      </c>
      <c r="C264" s="1372">
        <v>-32866342</v>
      </c>
      <c r="D264" s="1372">
        <v>-31890648</v>
      </c>
      <c r="E264" s="1372">
        <v>-49292503</v>
      </c>
      <c r="F264" s="1372">
        <v>-32250081</v>
      </c>
      <c r="G264" s="1372">
        <v>-76411483</v>
      </c>
      <c r="H264" s="1372">
        <v>-28586049</v>
      </c>
      <c r="I264" s="1372"/>
      <c r="J264" s="1372"/>
      <c r="K264" s="1372"/>
      <c r="L264" s="1372"/>
      <c r="M264" s="1372"/>
      <c r="N264" s="1372"/>
      <c r="O264" s="1372">
        <f t="shared" si="46"/>
        <v>-251297106</v>
      </c>
    </row>
    <row r="265" spans="1:15" ht="12.75">
      <c r="A265" s="1371">
        <f t="shared" si="45"/>
        <v>110</v>
      </c>
      <c r="B265" s="1371" t="s">
        <v>3413</v>
      </c>
      <c r="C265" s="1372">
        <v>0</v>
      </c>
      <c r="D265" s="1372"/>
      <c r="E265" s="1372">
        <v>-11266755</v>
      </c>
      <c r="F265" s="1372"/>
      <c r="G265" s="1372"/>
      <c r="H265" s="1372"/>
      <c r="I265" s="1372"/>
      <c r="J265" s="1372"/>
      <c r="K265" s="1372"/>
      <c r="L265" s="1372"/>
      <c r="M265" s="1372"/>
      <c r="N265" s="1372"/>
      <c r="O265" s="1372">
        <f t="shared" si="46"/>
        <v>-11266755</v>
      </c>
    </row>
    <row r="266" spans="1:15" ht="12.75">
      <c r="A266" s="1371">
        <f t="shared" si="45"/>
        <v>202</v>
      </c>
      <c r="B266" s="1371" t="s">
        <v>3414</v>
      </c>
      <c r="C266" s="1372">
        <v>70099624</v>
      </c>
      <c r="D266" s="1372">
        <v>-11738829</v>
      </c>
      <c r="E266" s="1372">
        <v>-73819779</v>
      </c>
      <c r="F266" s="1372">
        <v>-231</v>
      </c>
      <c r="G266" s="1372">
        <v>-77592285</v>
      </c>
      <c r="H266" s="1372">
        <v>-177197119</v>
      </c>
      <c r="I266" s="1372"/>
      <c r="J266" s="1372"/>
      <c r="K266" s="1372"/>
      <c r="L266" s="1372"/>
      <c r="M266" s="1372"/>
      <c r="N266" s="1372"/>
      <c r="O266" s="1372">
        <f t="shared" si="46"/>
        <v>-270248619</v>
      </c>
    </row>
    <row r="267" spans="1:15" ht="12.75">
      <c r="A267" s="1371">
        <f t="shared" si="45"/>
        <v>209</v>
      </c>
      <c r="B267" s="1371" t="s">
        <v>3415</v>
      </c>
      <c r="C267" s="1372">
        <v>-25453878</v>
      </c>
      <c r="D267" s="1372">
        <v>-12977863</v>
      </c>
      <c r="E267" s="1372">
        <v>-3737182</v>
      </c>
      <c r="F267" s="1372">
        <v>-3644188</v>
      </c>
      <c r="G267" s="1372"/>
      <c r="H267" s="1372">
        <v>-20269441</v>
      </c>
      <c r="I267" s="1372"/>
      <c r="J267" s="1372"/>
      <c r="K267" s="1372"/>
      <c r="L267" s="1372"/>
      <c r="M267" s="1372"/>
      <c r="N267" s="1372"/>
      <c r="O267" s="1372">
        <f t="shared" si="46"/>
        <v>-66082552</v>
      </c>
    </row>
    <row r="268" spans="1:15" ht="12.75">
      <c r="A268" s="1371">
        <f t="shared" si="45"/>
        <v>210</v>
      </c>
      <c r="B268" s="1371" t="s">
        <v>3416</v>
      </c>
      <c r="C268" s="1372">
        <v>-2801045</v>
      </c>
      <c r="D268" s="1372">
        <v>2807849</v>
      </c>
      <c r="E268" s="1372"/>
      <c r="F268" s="1372"/>
      <c r="G268" s="1372">
        <v>0</v>
      </c>
      <c r="H268" s="1372"/>
      <c r="I268" s="1372"/>
      <c r="J268" s="1372"/>
      <c r="K268" s="1372"/>
      <c r="L268" s="1372"/>
      <c r="M268" s="1372"/>
      <c r="N268" s="1372"/>
      <c r="O268" s="1372">
        <f t="shared" si="46"/>
        <v>6804</v>
      </c>
    </row>
    <row r="269" spans="1:15" ht="12.75">
      <c r="A269" s="1371">
        <f t="shared" si="45"/>
        <v>212</v>
      </c>
      <c r="B269" s="1371" t="s">
        <v>3417</v>
      </c>
      <c r="C269" s="1372">
        <v>0</v>
      </c>
      <c r="D269" s="1372"/>
      <c r="E269" s="1372"/>
      <c r="F269" s="1372"/>
      <c r="G269" s="1372"/>
      <c r="H269" s="1372"/>
      <c r="I269" s="1372"/>
      <c r="J269" s="1372"/>
      <c r="K269" s="1372"/>
      <c r="L269" s="1372"/>
      <c r="M269" s="1372"/>
      <c r="N269" s="1372"/>
      <c r="O269" s="1372">
        <f t="shared" si="46"/>
        <v>0</v>
      </c>
    </row>
    <row r="270" spans="1:15" ht="12.75">
      <c r="A270" s="1371">
        <v>202</v>
      </c>
      <c r="B270" s="1371" t="s">
        <v>3418</v>
      </c>
      <c r="C270" s="1372">
        <v>-114282636</v>
      </c>
      <c r="D270" s="1372">
        <v>15723953</v>
      </c>
      <c r="E270" s="1372">
        <v>-4506702</v>
      </c>
      <c r="F270" s="1372">
        <v>-27109452</v>
      </c>
      <c r="G270" s="1372">
        <v>-33478784</v>
      </c>
      <c r="H270" s="1372">
        <v>-63809155</v>
      </c>
      <c r="I270" s="1372"/>
      <c r="J270" s="1372"/>
      <c r="K270" s="1372"/>
      <c r="L270" s="1372"/>
      <c r="M270" s="1372"/>
      <c r="N270" s="1372"/>
      <c r="O270" s="1372">
        <f t="shared" si="46"/>
        <v>-227462776</v>
      </c>
    </row>
    <row r="271" spans="1:15" ht="12.75">
      <c r="A271" s="1371">
        <v>212</v>
      </c>
      <c r="B271" s="1371" t="s">
        <v>3420</v>
      </c>
      <c r="C271" s="1372"/>
      <c r="D271" s="1372"/>
      <c r="E271" s="1372"/>
      <c r="F271" s="1372">
        <v>-115211330</v>
      </c>
      <c r="G271" s="1372">
        <v>-66197057</v>
      </c>
      <c r="H271" s="1372">
        <v>0</v>
      </c>
      <c r="I271" s="1372"/>
      <c r="J271" s="1372"/>
      <c r="K271" s="1372"/>
      <c r="L271" s="1372"/>
      <c r="M271" s="1372"/>
      <c r="N271" s="1372"/>
      <c r="O271" s="1372">
        <f t="shared" si="46"/>
        <v>-181408387</v>
      </c>
    </row>
    <row r="272" spans="1:15" ht="13.5" thickBot="1">
      <c r="A272" s="1371">
        <v>212</v>
      </c>
      <c r="B272" s="1371" t="s">
        <v>3421</v>
      </c>
      <c r="C272" s="1372"/>
      <c r="D272" s="1372"/>
      <c r="E272" s="1372"/>
      <c r="F272" s="1372"/>
      <c r="G272" s="1372">
        <v>-25709670</v>
      </c>
      <c r="H272" s="1372">
        <v>-45607255</v>
      </c>
      <c r="I272" s="1372"/>
      <c r="J272" s="1372"/>
      <c r="K272" s="1372"/>
      <c r="L272" s="1372"/>
      <c r="M272" s="1372"/>
      <c r="N272" s="1372"/>
      <c r="O272" s="1372">
        <f t="shared" si="46"/>
        <v>-71316925</v>
      </c>
    </row>
    <row r="273" spans="1:15" ht="13.5" thickTop="1">
      <c r="A273" s="1375" t="s">
        <v>3394</v>
      </c>
      <c r="B273" s="1375"/>
      <c r="C273" s="1376">
        <f t="shared" ref="C273:O273" si="47">SUM(C262:C272)</f>
        <v>-105304277</v>
      </c>
      <c r="D273" s="1376">
        <f t="shared" si="47"/>
        <v>-85404638</v>
      </c>
      <c r="E273" s="1376">
        <f t="shared" si="47"/>
        <v>-142622921</v>
      </c>
      <c r="F273" s="1376">
        <f t="shared" si="47"/>
        <v>-178215282</v>
      </c>
      <c r="G273" s="1376">
        <f t="shared" si="47"/>
        <v>-297893093</v>
      </c>
      <c r="H273" s="1376">
        <f t="shared" si="47"/>
        <v>-335469019</v>
      </c>
      <c r="I273" s="1376">
        <f t="shared" si="47"/>
        <v>0</v>
      </c>
      <c r="J273" s="1376">
        <f t="shared" si="47"/>
        <v>0</v>
      </c>
      <c r="K273" s="1376">
        <f t="shared" si="47"/>
        <v>0</v>
      </c>
      <c r="L273" s="1376">
        <f t="shared" si="47"/>
        <v>0</v>
      </c>
      <c r="M273" s="1376">
        <f t="shared" si="47"/>
        <v>0</v>
      </c>
      <c r="N273" s="1376">
        <f t="shared" si="47"/>
        <v>0</v>
      </c>
      <c r="O273" s="1376">
        <f t="shared" si="47"/>
        <v>-1144909230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
  <dimension ref="A1:P52"/>
  <sheetViews>
    <sheetView showGridLines="0" workbookViewId="0">
      <selection activeCell="B43" sqref="B43"/>
    </sheetView>
  </sheetViews>
  <sheetFormatPr baseColWidth="10" defaultRowHeight="11.25"/>
  <cols>
    <col min="1" max="1" width="18.83203125" customWidth="1"/>
    <col min="2" max="2" width="14.83203125" bestFit="1" customWidth="1"/>
    <col min="3" max="3" width="17.33203125" customWidth="1"/>
    <col min="4" max="4" width="18.6640625" customWidth="1"/>
    <col min="5" max="5" width="16.83203125" bestFit="1" customWidth="1"/>
    <col min="6" max="6" width="15.83203125" customWidth="1"/>
    <col min="7" max="8" width="16" bestFit="1" customWidth="1"/>
    <col min="15" max="15" width="16" bestFit="1" customWidth="1"/>
    <col min="16" max="16" width="31.1640625" bestFit="1" customWidth="1"/>
  </cols>
  <sheetData>
    <row r="1" spans="1:15" s="1378" customFormat="1" ht="29.25">
      <c r="A1" s="35" t="s">
        <v>1739</v>
      </c>
      <c r="B1" s="35"/>
      <c r="C1" s="36"/>
      <c r="D1" s="523"/>
      <c r="E1" s="36"/>
      <c r="F1" s="537"/>
      <c r="G1" s="537"/>
      <c r="H1" s="537"/>
      <c r="I1" s="36"/>
      <c r="J1" s="36"/>
    </row>
    <row r="2" spans="1:15" s="1379" customFormat="1" ht="18.75" thickBot="1">
      <c r="A2" s="37" t="s">
        <v>1814</v>
      </c>
      <c r="B2" s="37"/>
      <c r="C2" s="38"/>
      <c r="D2" s="524"/>
      <c r="E2" s="38"/>
      <c r="F2" s="549"/>
      <c r="G2" s="549"/>
      <c r="H2" s="549"/>
      <c r="I2" s="82"/>
      <c r="J2" s="82"/>
    </row>
    <row r="5" spans="1:15" ht="12.75">
      <c r="A5" s="1380" t="s">
        <v>3390</v>
      </c>
      <c r="B5" s="1380"/>
    </row>
    <row r="7" spans="1:15">
      <c r="A7" s="41" t="s">
        <v>3445</v>
      </c>
    </row>
    <row r="8" spans="1:15">
      <c r="A8" s="41"/>
    </row>
    <row r="9" spans="1:15">
      <c r="A9" s="41"/>
    </row>
    <row r="10" spans="1:15">
      <c r="A10" s="496" t="s">
        <v>3411</v>
      </c>
      <c r="B10" s="1429" t="s">
        <v>3453</v>
      </c>
      <c r="C10" s="496" t="s">
        <v>1327</v>
      </c>
      <c r="D10" s="1430"/>
      <c r="E10" s="1443" t="s">
        <v>3488</v>
      </c>
      <c r="F10" s="1444"/>
    </row>
    <row r="11" spans="1:15">
      <c r="A11" s="32" t="s">
        <v>3310</v>
      </c>
      <c r="B11" s="32"/>
    </row>
    <row r="12" spans="1:15" ht="12.75">
      <c r="A12" s="1367"/>
      <c r="B12" s="1367"/>
      <c r="C12" s="1368" t="s">
        <v>3393</v>
      </c>
      <c r="D12" s="1368"/>
      <c r="E12" s="1368"/>
      <c r="F12" s="1368"/>
      <c r="G12" s="1368"/>
      <c r="H12" s="1368"/>
      <c r="I12" s="1368"/>
      <c r="J12" s="1368"/>
      <c r="K12" s="1368"/>
      <c r="L12" s="1368"/>
      <c r="M12" s="1368"/>
      <c r="N12" s="1368"/>
      <c r="O12" s="1368"/>
    </row>
    <row r="13" spans="1:15" ht="12.75">
      <c r="A13" s="1369" t="s">
        <v>964</v>
      </c>
      <c r="B13" s="1369" t="s">
        <v>3434</v>
      </c>
      <c r="C13" s="1370" t="s">
        <v>3399</v>
      </c>
      <c r="D13" s="1370" t="s">
        <v>3400</v>
      </c>
      <c r="E13" s="1370" t="s">
        <v>3401</v>
      </c>
      <c r="F13" s="1370" t="s">
        <v>3402</v>
      </c>
      <c r="G13" s="1370" t="s">
        <v>3403</v>
      </c>
      <c r="H13" s="1370" t="s">
        <v>3404</v>
      </c>
      <c r="I13" s="1370" t="s">
        <v>3405</v>
      </c>
      <c r="J13" s="1370" t="s">
        <v>3406</v>
      </c>
      <c r="K13" s="1370" t="s">
        <v>3407</v>
      </c>
      <c r="L13" s="1370" t="s">
        <v>3408</v>
      </c>
      <c r="M13" s="1370" t="s">
        <v>3409</v>
      </c>
      <c r="N13" s="1370" t="s">
        <v>3410</v>
      </c>
      <c r="O13" s="1369" t="s">
        <v>3394</v>
      </c>
    </row>
    <row r="14" spans="1:15" ht="12.75">
      <c r="A14" s="1371">
        <f>VALUE(B14)</f>
        <v>105</v>
      </c>
      <c r="B14" s="1371" t="s">
        <v>3437</v>
      </c>
      <c r="C14" s="1372">
        <v>39090936</v>
      </c>
      <c r="D14" s="1372"/>
      <c r="E14" s="1372">
        <v>19654629</v>
      </c>
      <c r="F14" s="1372">
        <v>78819828</v>
      </c>
      <c r="G14" s="1372">
        <v>19730766</v>
      </c>
      <c r="H14" s="1372">
        <v>19736488</v>
      </c>
      <c r="I14" s="1372"/>
      <c r="J14" s="1372"/>
      <c r="K14" s="1372"/>
      <c r="L14" s="1372"/>
      <c r="M14" s="1372"/>
      <c r="N14" s="1372"/>
      <c r="O14" s="1372">
        <f>SUM(C14:N14)</f>
        <v>177032647</v>
      </c>
    </row>
    <row r="15" spans="1:15" ht="12.75">
      <c r="A15" s="1371">
        <f>VALUE(B15)</f>
        <v>421</v>
      </c>
      <c r="B15" s="1371" t="s">
        <v>3446</v>
      </c>
      <c r="C15" s="1372">
        <v>46363337</v>
      </c>
      <c r="D15" s="1372"/>
      <c r="E15" s="1372"/>
      <c r="F15" s="1372"/>
      <c r="G15" s="1372"/>
      <c r="H15" s="1372"/>
      <c r="I15" s="1372"/>
      <c r="J15" s="1372"/>
      <c r="K15" s="1372"/>
      <c r="L15" s="1372"/>
      <c r="M15" s="1372"/>
      <c r="N15" s="1372"/>
      <c r="O15" s="1372">
        <f t="shared" ref="O15:O22" si="0">SUM(C15:N15)</f>
        <v>46363337</v>
      </c>
    </row>
    <row r="16" spans="1:15" ht="12.75">
      <c r="A16" s="1371">
        <f>VALUE(B16)</f>
        <v>422</v>
      </c>
      <c r="B16" s="1371" t="s">
        <v>3447</v>
      </c>
      <c r="C16" s="1372">
        <v>15231437</v>
      </c>
      <c r="D16" s="1372"/>
      <c r="E16" s="1372"/>
      <c r="F16" s="1372"/>
      <c r="G16" s="1372"/>
      <c r="H16" s="1372"/>
      <c r="I16" s="1372"/>
      <c r="J16" s="1372"/>
      <c r="K16" s="1372"/>
      <c r="L16" s="1372"/>
      <c r="M16" s="1372"/>
      <c r="N16" s="1372"/>
      <c r="O16" s="1372">
        <f t="shared" si="0"/>
        <v>15231437</v>
      </c>
    </row>
    <row r="17" spans="1:16" ht="12.75">
      <c r="A17" s="1371">
        <f>VALUE(B17)</f>
        <v>423</v>
      </c>
      <c r="B17" s="1371" t="s">
        <v>3448</v>
      </c>
      <c r="C17" s="1372">
        <v>41008015</v>
      </c>
      <c r="D17" s="1372">
        <v>24624862</v>
      </c>
      <c r="E17" s="1372">
        <v>11876326</v>
      </c>
      <c r="F17" s="1372">
        <v>8468800</v>
      </c>
      <c r="G17" s="1372">
        <v>2598878</v>
      </c>
      <c r="H17" s="1372">
        <v>19313177</v>
      </c>
      <c r="I17" s="1372"/>
      <c r="J17" s="1372"/>
      <c r="K17" s="1372"/>
      <c r="L17" s="1372"/>
      <c r="M17" s="1372"/>
      <c r="N17" s="1372"/>
      <c r="O17" s="1372">
        <f t="shared" si="0"/>
        <v>107890058</v>
      </c>
    </row>
    <row r="18" spans="1:16" ht="12.75">
      <c r="A18" s="1371">
        <v>421</v>
      </c>
      <c r="B18" s="1371" t="s">
        <v>3449</v>
      </c>
      <c r="C18" s="1372">
        <v>4017679</v>
      </c>
      <c r="D18" s="1372">
        <v>39070967</v>
      </c>
      <c r="E18" s="1372">
        <v>91994725</v>
      </c>
      <c r="F18" s="1372">
        <v>19649799</v>
      </c>
      <c r="G18" s="1372">
        <v>51699805</v>
      </c>
      <c r="H18" s="1372">
        <v>16467070</v>
      </c>
      <c r="I18" s="1372"/>
      <c r="J18" s="1372"/>
      <c r="K18" s="1372"/>
      <c r="L18" s="1372"/>
      <c r="M18" s="1372"/>
      <c r="N18" s="1372"/>
      <c r="O18" s="1372">
        <f t="shared" si="0"/>
        <v>222900045</v>
      </c>
    </row>
    <row r="19" spans="1:16" ht="12.75">
      <c r="A19" s="1371">
        <v>421</v>
      </c>
      <c r="B19" s="1371" t="s">
        <v>3450</v>
      </c>
      <c r="C19" s="1372">
        <v>14064401</v>
      </c>
      <c r="D19" s="1372">
        <v>16307620</v>
      </c>
      <c r="E19" s="1372">
        <v>37197117</v>
      </c>
      <c r="F19" s="1372">
        <v>25659930</v>
      </c>
      <c r="G19" s="1372">
        <v>14764972</v>
      </c>
      <c r="H19" s="1372">
        <v>18281387</v>
      </c>
      <c r="I19" s="1372"/>
      <c r="J19" s="1372"/>
      <c r="K19" s="1372"/>
      <c r="L19" s="1372"/>
      <c r="M19" s="1372"/>
      <c r="N19" s="1372"/>
      <c r="O19" s="1372">
        <f t="shared" si="0"/>
        <v>126275427</v>
      </c>
    </row>
    <row r="20" spans="1:16" ht="12.75">
      <c r="A20" s="1371">
        <v>422</v>
      </c>
      <c r="B20" s="1371" t="s">
        <v>3451</v>
      </c>
      <c r="C20" s="1372">
        <v>4614749</v>
      </c>
      <c r="D20" s="1372">
        <v>1005635</v>
      </c>
      <c r="E20" s="1372">
        <v>29024304</v>
      </c>
      <c r="F20" s="1372">
        <v>2700141</v>
      </c>
      <c r="G20" s="1372">
        <v>109172903</v>
      </c>
      <c r="H20" s="1372">
        <v>47326009</v>
      </c>
      <c r="I20" s="1372"/>
      <c r="J20" s="1372"/>
      <c r="K20" s="1372"/>
      <c r="L20" s="1372"/>
      <c r="M20" s="1372"/>
      <c r="N20" s="1372"/>
      <c r="O20" s="1372">
        <f t="shared" si="0"/>
        <v>193843741</v>
      </c>
    </row>
    <row r="21" spans="1:16" ht="12.75">
      <c r="A21" s="1371">
        <v>422</v>
      </c>
      <c r="B21" s="1371" t="s">
        <v>3452</v>
      </c>
      <c r="C21" s="1372">
        <v>335000</v>
      </c>
      <c r="D21" s="1372">
        <v>336645</v>
      </c>
      <c r="E21" s="1372">
        <v>671191</v>
      </c>
      <c r="F21" s="1372">
        <v>338175</v>
      </c>
      <c r="G21" s="1372">
        <v>1400672</v>
      </c>
      <c r="H21" s="1372"/>
      <c r="I21" s="1372"/>
      <c r="J21" s="1372"/>
      <c r="K21" s="1372"/>
      <c r="L21" s="1372"/>
      <c r="M21" s="1372"/>
      <c r="N21" s="1372"/>
      <c r="O21" s="1372">
        <f t="shared" si="0"/>
        <v>3081683</v>
      </c>
    </row>
    <row r="22" spans="1:16" ht="13.5" thickBot="1">
      <c r="A22" s="1373"/>
      <c r="B22" s="1373"/>
      <c r="C22" s="1374"/>
      <c r="D22" s="1374"/>
      <c r="E22" s="1374"/>
      <c r="F22" s="1374"/>
      <c r="G22" s="1374"/>
      <c r="H22" s="1374"/>
      <c r="I22" s="1374"/>
      <c r="J22" s="1374"/>
      <c r="K22" s="1374"/>
      <c r="L22" s="1374"/>
      <c r="M22" s="1374"/>
      <c r="N22" s="1374"/>
      <c r="O22" s="1372">
        <f t="shared" si="0"/>
        <v>0</v>
      </c>
    </row>
    <row r="23" spans="1:16" ht="13.5" thickTop="1">
      <c r="A23" s="1375" t="s">
        <v>3394</v>
      </c>
      <c r="B23" s="1375"/>
      <c r="C23" s="1376">
        <f>SUM(C14:C22)</f>
        <v>164725554</v>
      </c>
      <c r="D23" s="1376">
        <f>SUM(D14:D22)</f>
        <v>81345729</v>
      </c>
      <c r="E23" s="1376">
        <f>SUM(E14:E22)</f>
        <v>190418292</v>
      </c>
      <c r="F23" s="1376">
        <f>SUM(F14:F22)</f>
        <v>135636673</v>
      </c>
      <c r="G23" s="1376">
        <f t="shared" ref="G23:N23" si="1">SUM(G14:G22)</f>
        <v>199367996</v>
      </c>
      <c r="H23" s="1376">
        <f t="shared" si="1"/>
        <v>121124131</v>
      </c>
      <c r="I23" s="1376">
        <f t="shared" si="1"/>
        <v>0</v>
      </c>
      <c r="J23" s="1376">
        <f t="shared" si="1"/>
        <v>0</v>
      </c>
      <c r="K23" s="1376">
        <f t="shared" si="1"/>
        <v>0</v>
      </c>
      <c r="L23" s="1376">
        <f t="shared" si="1"/>
        <v>0</v>
      </c>
      <c r="M23" s="1376">
        <f t="shared" si="1"/>
        <v>0</v>
      </c>
      <c r="N23" s="1376">
        <f t="shared" si="1"/>
        <v>0</v>
      </c>
      <c r="O23" s="1376">
        <f>SUM(O14:O22)</f>
        <v>892618375</v>
      </c>
    </row>
    <row r="26" spans="1:16">
      <c r="A26" s="32" t="s">
        <v>3411</v>
      </c>
      <c r="B26" s="11">
        <v>510230</v>
      </c>
      <c r="C26" s="32" t="s">
        <v>522</v>
      </c>
    </row>
    <row r="27" spans="1:16">
      <c r="A27" s="32" t="s">
        <v>3310</v>
      </c>
      <c r="B27" s="32"/>
    </row>
    <row r="28" spans="1:16" ht="12.75">
      <c r="A28" s="1367" t="s">
        <v>3392</v>
      </c>
      <c r="B28" s="1367"/>
      <c r="C28" s="1368" t="s">
        <v>3393</v>
      </c>
      <c r="D28" s="1368"/>
      <c r="E28" s="1368"/>
      <c r="F28" s="1368"/>
      <c r="G28" s="1368"/>
      <c r="H28" s="1368"/>
      <c r="I28" s="1368"/>
      <c r="J28" s="1368"/>
      <c r="K28" s="1368"/>
      <c r="L28" s="1368"/>
      <c r="M28" s="1368"/>
      <c r="N28" s="1368"/>
      <c r="O28" s="1368"/>
      <c r="P28" s="1368"/>
    </row>
    <row r="29" spans="1:16" ht="12.75">
      <c r="A29" s="1369" t="s">
        <v>964</v>
      </c>
      <c r="B29" s="1369" t="s">
        <v>3434</v>
      </c>
      <c r="C29" s="1370" t="s">
        <v>3399</v>
      </c>
      <c r="D29" s="1370" t="s">
        <v>3400</v>
      </c>
      <c r="E29" s="1370" t="s">
        <v>3401</v>
      </c>
      <c r="F29" s="1370" t="s">
        <v>3402</v>
      </c>
      <c r="G29" s="1370" t="s">
        <v>3403</v>
      </c>
      <c r="H29" s="1370" t="s">
        <v>3404</v>
      </c>
      <c r="I29" s="1370" t="s">
        <v>3405</v>
      </c>
      <c r="J29" s="1370" t="s">
        <v>3406</v>
      </c>
      <c r="K29" s="1370" t="s">
        <v>3407</v>
      </c>
      <c r="L29" s="1370" t="s">
        <v>3408</v>
      </c>
      <c r="M29" s="1370" t="s">
        <v>3409</v>
      </c>
      <c r="N29" s="1370" t="s">
        <v>3410</v>
      </c>
      <c r="O29" s="1369" t="s">
        <v>3394</v>
      </c>
      <c r="P29" s="1369" t="s">
        <v>3486</v>
      </c>
    </row>
    <row r="30" spans="1:16" ht="12.75">
      <c r="A30" s="1371">
        <f>VALUE(B30)</f>
        <v>105</v>
      </c>
      <c r="B30" s="1371" t="s">
        <v>3437</v>
      </c>
      <c r="C30" s="1372">
        <v>173905117</v>
      </c>
      <c r="D30" s="1372">
        <v>175500140</v>
      </c>
      <c r="E30" s="1372">
        <v>167801591</v>
      </c>
      <c r="F30" s="1372">
        <v>176795199</v>
      </c>
      <c r="G30" s="1372">
        <v>174605776</v>
      </c>
      <c r="H30" s="1372">
        <v>172257830</v>
      </c>
      <c r="I30" s="1372"/>
      <c r="J30" s="1372"/>
      <c r="K30" s="1372"/>
      <c r="L30" s="1372"/>
      <c r="M30" s="1372"/>
      <c r="N30" s="1372"/>
      <c r="O30" s="1372">
        <f>SUM(C30:N30)</f>
        <v>1040865653</v>
      </c>
      <c r="P30" s="1372"/>
    </row>
    <row r="31" spans="1:16" ht="12.75">
      <c r="A31" s="1439">
        <f t="shared" ref="A31:A33" si="2">VALUE(B31)</f>
        <v>420</v>
      </c>
      <c r="B31" s="1439" t="s">
        <v>3425</v>
      </c>
      <c r="C31" s="1440">
        <v>76491065</v>
      </c>
      <c r="D31" s="1440">
        <v>71049242</v>
      </c>
      <c r="E31" s="1440">
        <v>58659670</v>
      </c>
      <c r="F31" s="1440">
        <v>69408648</v>
      </c>
      <c r="G31" s="1440">
        <v>50229010</v>
      </c>
      <c r="H31" s="1440">
        <v>43707007</v>
      </c>
      <c r="I31" s="1440"/>
      <c r="J31" s="1440"/>
      <c r="K31" s="1440"/>
      <c r="L31" s="1440"/>
      <c r="M31" s="1440"/>
      <c r="N31" s="1440"/>
      <c r="O31" s="1440">
        <f t="shared" ref="O31:O37" si="3">SUM(C31:N31)</f>
        <v>369544642</v>
      </c>
      <c r="P31" s="1440" t="s">
        <v>3485</v>
      </c>
    </row>
    <row r="32" spans="1:16" ht="12.75">
      <c r="A32" s="1371">
        <f t="shared" si="2"/>
        <v>423</v>
      </c>
      <c r="B32" s="1371" t="s">
        <v>3448</v>
      </c>
      <c r="C32" s="1372">
        <v>912170370</v>
      </c>
      <c r="D32" s="1372">
        <v>899118582</v>
      </c>
      <c r="E32" s="1372">
        <v>903314187</v>
      </c>
      <c r="F32" s="1372">
        <v>912457604</v>
      </c>
      <c r="G32" s="1372">
        <v>899439740</v>
      </c>
      <c r="H32" s="1372">
        <v>921330958</v>
      </c>
      <c r="I32" s="1372"/>
      <c r="J32" s="1372"/>
      <c r="K32" s="1372"/>
      <c r="L32" s="1372"/>
      <c r="M32" s="1372"/>
      <c r="N32" s="1372"/>
      <c r="O32" s="1372">
        <f t="shared" si="3"/>
        <v>5447831441</v>
      </c>
      <c r="P32" s="1372"/>
    </row>
    <row r="33" spans="1:16" ht="12.75">
      <c r="A33" s="1371">
        <f t="shared" si="2"/>
        <v>424</v>
      </c>
      <c r="B33" s="1371" t="s">
        <v>3426</v>
      </c>
      <c r="C33" s="1372">
        <v>143633738</v>
      </c>
      <c r="D33" s="1372">
        <v>142757487</v>
      </c>
      <c r="E33" s="1372">
        <v>143631827</v>
      </c>
      <c r="F33" s="1372">
        <v>143809526</v>
      </c>
      <c r="G33" s="1372">
        <v>144190353</v>
      </c>
      <c r="H33" s="1372">
        <v>143574220</v>
      </c>
      <c r="I33" s="1372"/>
      <c r="J33" s="1372"/>
      <c r="K33" s="1372"/>
      <c r="L33" s="1372"/>
      <c r="M33" s="1372"/>
      <c r="N33" s="1372"/>
      <c r="O33" s="1372">
        <f t="shared" si="3"/>
        <v>861597151</v>
      </c>
      <c r="P33" s="1372"/>
    </row>
    <row r="34" spans="1:16" ht="12.75">
      <c r="A34" s="1371">
        <v>421</v>
      </c>
      <c r="B34" s="1371" t="s">
        <v>3449</v>
      </c>
      <c r="C34" s="1372">
        <v>2079491320</v>
      </c>
      <c r="D34" s="1372">
        <v>2102913730</v>
      </c>
      <c r="E34" s="1372">
        <v>2122490017</v>
      </c>
      <c r="F34" s="1372">
        <v>2149750305</v>
      </c>
      <c r="G34" s="1372">
        <v>2164614087</v>
      </c>
      <c r="H34" s="1372">
        <v>2185400913</v>
      </c>
      <c r="I34" s="1372"/>
      <c r="J34" s="1372"/>
      <c r="K34" s="1372"/>
      <c r="L34" s="1372"/>
      <c r="M34" s="1372"/>
      <c r="N34" s="1372"/>
      <c r="O34" s="1372">
        <f t="shared" si="3"/>
        <v>12804660372</v>
      </c>
      <c r="P34" s="1372"/>
    </row>
    <row r="35" spans="1:16" ht="12.75">
      <c r="A35" s="1371">
        <v>421</v>
      </c>
      <c r="B35" s="1371" t="s">
        <v>3450</v>
      </c>
      <c r="C35" s="1372">
        <v>5783319560</v>
      </c>
      <c r="D35" s="1372">
        <v>5807619234</v>
      </c>
      <c r="E35" s="1372">
        <v>5821733874</v>
      </c>
      <c r="F35" s="1372">
        <v>5840465879</v>
      </c>
      <c r="G35" s="1372">
        <v>5855472077</v>
      </c>
      <c r="H35" s="1372">
        <v>5864080654</v>
      </c>
      <c r="I35" s="1372"/>
      <c r="J35" s="1372"/>
      <c r="K35" s="1372"/>
      <c r="L35" s="1372"/>
      <c r="M35" s="1372"/>
      <c r="N35" s="1372"/>
      <c r="O35" s="1372">
        <f t="shared" si="3"/>
        <v>34972691278</v>
      </c>
      <c r="P35" s="1372"/>
    </row>
    <row r="36" spans="1:16" ht="12.75">
      <c r="A36" s="1371">
        <v>422</v>
      </c>
      <c r="B36" s="1371" t="s">
        <v>3451</v>
      </c>
      <c r="C36" s="1372">
        <v>1009089499</v>
      </c>
      <c r="D36" s="1372">
        <v>1037775130</v>
      </c>
      <c r="E36" s="1372">
        <v>1056593125</v>
      </c>
      <c r="F36" s="1372">
        <v>1078301573</v>
      </c>
      <c r="G36" s="1372">
        <v>1089882653</v>
      </c>
      <c r="H36" s="1372">
        <v>1109826334</v>
      </c>
      <c r="I36" s="1372"/>
      <c r="J36" s="1372"/>
      <c r="K36" s="1372"/>
      <c r="L36" s="1372"/>
      <c r="M36" s="1372"/>
      <c r="N36" s="1372"/>
      <c r="O36" s="1372">
        <f t="shared" si="3"/>
        <v>6381468314</v>
      </c>
      <c r="P36" s="1372"/>
    </row>
    <row r="37" spans="1:16" ht="13.5" thickBot="1">
      <c r="A37" s="1371">
        <v>422</v>
      </c>
      <c r="B37" s="1373" t="s">
        <v>3452</v>
      </c>
      <c r="C37" s="1374">
        <v>153834259</v>
      </c>
      <c r="D37" s="1374">
        <v>155057660</v>
      </c>
      <c r="E37" s="1374">
        <v>155742811</v>
      </c>
      <c r="F37" s="1374">
        <v>156428380</v>
      </c>
      <c r="G37" s="1374">
        <v>156567912</v>
      </c>
      <c r="H37" s="1374">
        <v>156652856</v>
      </c>
      <c r="I37" s="1374"/>
      <c r="J37" s="1374"/>
      <c r="K37" s="1374"/>
      <c r="L37" s="1374"/>
      <c r="M37" s="1374"/>
      <c r="N37" s="1374"/>
      <c r="O37" s="1372">
        <f t="shared" si="3"/>
        <v>934283878</v>
      </c>
      <c r="P37" s="1372"/>
    </row>
    <row r="38" spans="1:16" ht="13.5" thickTop="1">
      <c r="A38" s="1375" t="s">
        <v>3394</v>
      </c>
      <c r="B38" s="1375"/>
      <c r="C38" s="1376">
        <f>SUM(C30:C37)</f>
        <v>10331934928</v>
      </c>
      <c r="D38" s="1376">
        <f t="shared" ref="D38:O38" si="4">SUM(D30:D37)</f>
        <v>10391791205</v>
      </c>
      <c r="E38" s="1376">
        <f t="shared" si="4"/>
        <v>10429967102</v>
      </c>
      <c r="F38" s="1376">
        <f t="shared" si="4"/>
        <v>10527417114</v>
      </c>
      <c r="G38" s="1376">
        <f t="shared" si="4"/>
        <v>10535001608</v>
      </c>
      <c r="H38" s="1376">
        <f t="shared" si="4"/>
        <v>10596830772</v>
      </c>
      <c r="I38" s="1376">
        <f t="shared" si="4"/>
        <v>0</v>
      </c>
      <c r="J38" s="1376">
        <f t="shared" si="4"/>
        <v>0</v>
      </c>
      <c r="K38" s="1376">
        <f t="shared" si="4"/>
        <v>0</v>
      </c>
      <c r="L38" s="1376">
        <f t="shared" si="4"/>
        <v>0</v>
      </c>
      <c r="M38" s="1376">
        <f t="shared" si="4"/>
        <v>0</v>
      </c>
      <c r="N38" s="1376">
        <f t="shared" si="4"/>
        <v>0</v>
      </c>
      <c r="O38" s="1376">
        <f t="shared" si="4"/>
        <v>62812942729</v>
      </c>
    </row>
    <row r="43" spans="1:16">
      <c r="A43" s="32" t="s">
        <v>3411</v>
      </c>
      <c r="B43" s="11">
        <v>111104</v>
      </c>
      <c r="C43" s="32" t="s">
        <v>2717</v>
      </c>
    </row>
    <row r="44" spans="1:16">
      <c r="A44" s="32" t="s">
        <v>3315</v>
      </c>
      <c r="B44" s="32"/>
    </row>
    <row r="45" spans="1:16" ht="12.75">
      <c r="A45" s="1367"/>
      <c r="B45" s="1367"/>
      <c r="C45" s="1368" t="s">
        <v>3455</v>
      </c>
      <c r="D45" s="1368"/>
    </row>
    <row r="46" spans="1:16" ht="38.25">
      <c r="A46" s="1369" t="s">
        <v>964</v>
      </c>
      <c r="B46" s="1369" t="s">
        <v>3434</v>
      </c>
      <c r="C46" s="1370" t="s">
        <v>3403</v>
      </c>
      <c r="D46" s="1394" t="s">
        <v>3475</v>
      </c>
    </row>
    <row r="47" spans="1:16" ht="12.75">
      <c r="A47" s="1371">
        <v>421</v>
      </c>
      <c r="B47" s="1371">
        <v>421</v>
      </c>
      <c r="C47" s="1372"/>
      <c r="D47" s="1372">
        <f>5841663671-2</f>
        <v>5841663669</v>
      </c>
    </row>
    <row r="48" spans="1:16" ht="12.75">
      <c r="A48" s="1371">
        <v>422</v>
      </c>
      <c r="B48" s="1371">
        <v>422</v>
      </c>
      <c r="C48" s="1372"/>
      <c r="D48" s="1372">
        <f>105334207-1</f>
        <v>105334206</v>
      </c>
    </row>
    <row r="49" spans="1:4" ht="12.75">
      <c r="A49" s="1371">
        <v>423</v>
      </c>
      <c r="B49" s="1371">
        <v>423</v>
      </c>
      <c r="C49" s="1372"/>
      <c r="D49" s="1372">
        <f>671541126-1</f>
        <v>671541125</v>
      </c>
    </row>
    <row r="50" spans="1:4" ht="12.75">
      <c r="A50" s="1371">
        <v>424</v>
      </c>
      <c r="B50" s="1371">
        <v>424</v>
      </c>
      <c r="C50" s="1372"/>
      <c r="D50" s="1372">
        <v>0</v>
      </c>
    </row>
    <row r="51" spans="1:4" ht="13.5" thickBot="1">
      <c r="A51" s="1371">
        <v>105</v>
      </c>
      <c r="B51" s="1371">
        <v>105</v>
      </c>
      <c r="C51" s="1372"/>
      <c r="D51" s="1372">
        <v>0</v>
      </c>
    </row>
    <row r="52" spans="1:4" ht="13.5" thickTop="1">
      <c r="A52" s="1375" t="s">
        <v>3394</v>
      </c>
      <c r="B52" s="1375"/>
      <c r="C52" s="1376"/>
      <c r="D52" s="1376">
        <f>SUM(D47:D51)</f>
        <v>6618539000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
  <dimension ref="A1:J46"/>
  <sheetViews>
    <sheetView showGridLines="0" workbookViewId="0">
      <selection activeCell="D15" sqref="D15:D21"/>
    </sheetView>
  </sheetViews>
  <sheetFormatPr baseColWidth="10" defaultRowHeight="11.25"/>
  <cols>
    <col min="1" max="1" width="18.83203125" customWidth="1"/>
    <col min="2" max="2" width="14.83203125" bestFit="1" customWidth="1"/>
    <col min="3" max="3" width="17.33203125" customWidth="1"/>
    <col min="4" max="4" width="18.6640625" customWidth="1"/>
    <col min="5" max="5" width="16.83203125" bestFit="1" customWidth="1"/>
    <col min="6" max="6" width="15.83203125" customWidth="1"/>
    <col min="7" max="8" width="16" bestFit="1" customWidth="1"/>
    <col min="15" max="15" width="16" bestFit="1" customWidth="1"/>
  </cols>
  <sheetData>
    <row r="1" spans="1:10" s="1378" customFormat="1" ht="29.25">
      <c r="A1" s="35" t="s">
        <v>1739</v>
      </c>
      <c r="B1" s="35"/>
      <c r="C1" s="36"/>
      <c r="D1" s="523"/>
      <c r="E1" s="36"/>
      <c r="F1" s="537"/>
      <c r="G1" s="537"/>
      <c r="H1" s="537"/>
      <c r="I1" s="36"/>
      <c r="J1" s="36"/>
    </row>
    <row r="2" spans="1:10" s="1379" customFormat="1" ht="18.75" thickBot="1">
      <c r="A2" s="37" t="s">
        <v>1814</v>
      </c>
      <c r="B2" s="37"/>
      <c r="C2" s="38"/>
      <c r="D2" s="524"/>
      <c r="E2" s="38"/>
      <c r="F2" s="549"/>
      <c r="G2" s="549"/>
      <c r="H2" s="549"/>
      <c r="I2" s="82"/>
      <c r="J2" s="82"/>
    </row>
    <row r="5" spans="1:10" ht="12.75">
      <c r="A5" s="1380" t="s">
        <v>3390</v>
      </c>
      <c r="B5" s="1380"/>
    </row>
    <row r="7" spans="1:10">
      <c r="A7" s="41" t="s">
        <v>3484</v>
      </c>
    </row>
    <row r="8" spans="1:10">
      <c r="A8" s="41"/>
    </row>
    <row r="9" spans="1:10">
      <c r="A9" s="41"/>
    </row>
    <row r="11" spans="1:10">
      <c r="A11" s="32" t="s">
        <v>3411</v>
      </c>
      <c r="B11" s="11">
        <v>111103</v>
      </c>
      <c r="C11" s="32" t="s">
        <v>2718</v>
      </c>
    </row>
    <row r="12" spans="1:10">
      <c r="A12" s="32" t="s">
        <v>3321</v>
      </c>
      <c r="B12" s="32"/>
    </row>
    <row r="13" spans="1:10" ht="12.75">
      <c r="A13" s="1367"/>
      <c r="B13" s="1367"/>
      <c r="C13" s="1368" t="s">
        <v>3455</v>
      </c>
      <c r="D13" s="1368"/>
    </row>
    <row r="14" spans="1:10" ht="38.25">
      <c r="A14" s="1369" t="s">
        <v>964</v>
      </c>
      <c r="B14" s="1369" t="s">
        <v>3434</v>
      </c>
      <c r="C14" s="1370" t="s">
        <v>3403</v>
      </c>
      <c r="D14" s="1394" t="s">
        <v>3475</v>
      </c>
    </row>
    <row r="15" spans="1:10" ht="12.75">
      <c r="A15" s="1371">
        <v>101</v>
      </c>
      <c r="B15" s="1371">
        <v>101</v>
      </c>
      <c r="C15" s="1372"/>
      <c r="D15" s="1372">
        <v>362096.59113599948</v>
      </c>
    </row>
    <row r="16" spans="1:10" ht="12.75">
      <c r="A16" s="1371">
        <v>102</v>
      </c>
      <c r="B16" s="1371">
        <v>102</v>
      </c>
      <c r="C16" s="1372"/>
      <c r="D16" s="1372">
        <v>2163259.5635056072</v>
      </c>
    </row>
    <row r="17" spans="1:4" ht="12.75">
      <c r="A17" s="1371">
        <v>103</v>
      </c>
      <c r="B17" s="1371">
        <v>103</v>
      </c>
      <c r="C17" s="1372"/>
      <c r="D17" s="1372">
        <v>8035781.0700160163</v>
      </c>
    </row>
    <row r="18" spans="1:4" ht="12.75">
      <c r="A18" s="1371">
        <v>104</v>
      </c>
      <c r="B18" s="1371">
        <v>104</v>
      </c>
      <c r="C18" s="1372"/>
      <c r="D18" s="1372">
        <v>358417.38239999965</v>
      </c>
    </row>
    <row r="19" spans="1:4" ht="12.75">
      <c r="A19" s="1371">
        <v>109</v>
      </c>
      <c r="B19" s="1371">
        <v>109</v>
      </c>
      <c r="C19" s="1372"/>
      <c r="D19" s="1372">
        <v>49366547.613238834</v>
      </c>
    </row>
    <row r="20" spans="1:4" ht="12.75">
      <c r="A20" s="1371">
        <v>110</v>
      </c>
      <c r="B20" s="1371">
        <v>110</v>
      </c>
      <c r="C20" s="1372"/>
      <c r="D20" s="1372">
        <v>3099740.1482879943</v>
      </c>
    </row>
    <row r="21" spans="1:4" ht="12.75">
      <c r="A21" s="1371">
        <v>112</v>
      </c>
      <c r="B21" s="1371">
        <v>112</v>
      </c>
      <c r="C21" s="1372"/>
      <c r="D21" s="1372">
        <v>109385.183712</v>
      </c>
    </row>
    <row r="22" spans="1:4" ht="12.75">
      <c r="A22" s="1371">
        <v>202</v>
      </c>
      <c r="B22" s="1371">
        <v>202</v>
      </c>
      <c r="C22" s="1372"/>
      <c r="D22" s="1372">
        <v>69347591.762985066</v>
      </c>
    </row>
    <row r="23" spans="1:4" ht="12.75">
      <c r="A23" s="1371">
        <v>209</v>
      </c>
      <c r="B23" s="1371">
        <v>209</v>
      </c>
      <c r="C23" s="1372"/>
      <c r="D23" s="1372">
        <v>15595116.205242015</v>
      </c>
    </row>
    <row r="24" spans="1:4" ht="12.75">
      <c r="A24" s="1371">
        <v>210</v>
      </c>
      <c r="B24" s="1371">
        <v>210</v>
      </c>
      <c r="C24" s="1372"/>
      <c r="D24" s="1372">
        <v>2165601.6084023998</v>
      </c>
    </row>
    <row r="25" spans="1:4" ht="12.75">
      <c r="A25" s="1371">
        <v>212</v>
      </c>
      <c r="B25" s="1371">
        <v>212</v>
      </c>
      <c r="C25" s="1372"/>
      <c r="D25" s="1372">
        <v>7319.9509599999992</v>
      </c>
    </row>
    <row r="26" spans="1:4" ht="12.75">
      <c r="A26" s="1371">
        <v>212</v>
      </c>
      <c r="B26" s="1371">
        <v>213</v>
      </c>
      <c r="C26" s="1372"/>
      <c r="D26" s="1372">
        <v>274125.94092800008</v>
      </c>
    </row>
    <row r="27" spans="1:4" ht="12.75">
      <c r="A27" s="1371">
        <v>202</v>
      </c>
      <c r="B27" s="1371">
        <v>302</v>
      </c>
      <c r="C27" s="1372"/>
      <c r="D27" s="1372">
        <v>150716.31948800001</v>
      </c>
    </row>
    <row r="28" spans="1:4" ht="12.75">
      <c r="A28" s="1371">
        <v>210</v>
      </c>
      <c r="B28" s="1371">
        <v>310</v>
      </c>
      <c r="C28" s="1372"/>
      <c r="D28" s="1372">
        <v>23758.728000000003</v>
      </c>
    </row>
    <row r="29" spans="1:4" ht="12.75">
      <c r="A29" s="1371">
        <v>212</v>
      </c>
      <c r="B29" s="1371">
        <v>312</v>
      </c>
      <c r="C29" s="1372"/>
      <c r="D29" s="1372">
        <v>16104830.016071999</v>
      </c>
    </row>
    <row r="30" spans="1:4" ht="12.75">
      <c r="A30" s="1371">
        <v>212</v>
      </c>
      <c r="B30" s="1371">
        <v>313</v>
      </c>
      <c r="C30" s="1372"/>
      <c r="D30" s="1372">
        <v>1706003.3836160002</v>
      </c>
    </row>
    <row r="31" spans="1:4" ht="13.5" thickBot="1">
      <c r="A31" s="1371">
        <v>114</v>
      </c>
      <c r="B31" s="1371">
        <v>425</v>
      </c>
      <c r="C31" s="1372"/>
      <c r="D31" s="1372">
        <v>553720.91476799932</v>
      </c>
    </row>
    <row r="32" spans="1:4" ht="13.5" thickTop="1">
      <c r="A32" s="1375" t="s">
        <v>3394</v>
      </c>
      <c r="B32" s="1375"/>
      <c r="C32" s="1376"/>
      <c r="D32" s="1376">
        <f>SUM(D15:D31)</f>
        <v>169424012.38275793</v>
      </c>
    </row>
    <row r="36" spans="1:4">
      <c r="A36" s="32" t="s">
        <v>3411</v>
      </c>
      <c r="B36" s="11">
        <v>111106</v>
      </c>
      <c r="C36" s="32" t="s">
        <v>2715</v>
      </c>
    </row>
    <row r="37" spans="1:4">
      <c r="A37" s="32" t="s">
        <v>3325</v>
      </c>
      <c r="B37" s="32"/>
    </row>
    <row r="38" spans="1:4" ht="12.75">
      <c r="A38" s="1367"/>
      <c r="B38" s="1367"/>
      <c r="C38" s="1368" t="s">
        <v>3455</v>
      </c>
      <c r="D38" s="1368"/>
    </row>
    <row r="39" spans="1:4" ht="38.25">
      <c r="A39" s="1369" t="s">
        <v>964</v>
      </c>
      <c r="B39" s="1369" t="s">
        <v>3434</v>
      </c>
      <c r="C39" s="1370" t="s">
        <v>3403</v>
      </c>
      <c r="D39" s="1394" t="s">
        <v>3475</v>
      </c>
    </row>
    <row r="40" spans="1:4" ht="12.75">
      <c r="A40" s="1371">
        <v>101</v>
      </c>
      <c r="B40" s="1371">
        <v>101</v>
      </c>
      <c r="C40" s="1372"/>
      <c r="D40" s="1372">
        <v>104424261.45687327</v>
      </c>
    </row>
    <row r="41" spans="1:4" ht="12.75">
      <c r="A41" s="1371">
        <v>102</v>
      </c>
      <c r="B41" s="1371">
        <v>102</v>
      </c>
      <c r="C41" s="1372"/>
      <c r="D41" s="1372">
        <v>265773034.83444586</v>
      </c>
    </row>
    <row r="42" spans="1:4" ht="12.75">
      <c r="A42" s="1371">
        <v>104</v>
      </c>
      <c r="B42" s="1371">
        <v>104</v>
      </c>
      <c r="C42" s="1372"/>
      <c r="D42" s="1372">
        <v>29674930.584483303</v>
      </c>
    </row>
    <row r="43" spans="1:4" ht="12.75">
      <c r="A43" s="1371">
        <v>112</v>
      </c>
      <c r="B43" s="1371">
        <v>112</v>
      </c>
      <c r="C43" s="1372"/>
      <c r="D43" s="1372">
        <v>25130066.317144647</v>
      </c>
    </row>
    <row r="44" spans="1:4" ht="12.75">
      <c r="A44" s="1371">
        <v>202</v>
      </c>
      <c r="B44" s="1371">
        <v>302</v>
      </c>
      <c r="C44" s="1372"/>
      <c r="D44" s="1372">
        <v>47684464.740149267</v>
      </c>
    </row>
    <row r="45" spans="1:4" ht="13.5" thickBot="1">
      <c r="A45" s="1371">
        <v>212</v>
      </c>
      <c r="B45" s="1371">
        <v>313</v>
      </c>
      <c r="C45" s="1372"/>
      <c r="D45" s="1372">
        <v>27255250.446539074</v>
      </c>
    </row>
    <row r="46" spans="1:4" ht="13.5" thickTop="1">
      <c r="A46" s="1375" t="s">
        <v>3394</v>
      </c>
      <c r="B46" s="1375"/>
      <c r="C46" s="1376"/>
      <c r="D46" s="1376">
        <f>SUM(D40:D45)</f>
        <v>499942008.37963545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B1:D175"/>
  <sheetViews>
    <sheetView topLeftCell="A30" workbookViewId="0">
      <selection activeCell="C123" sqref="C123"/>
    </sheetView>
  </sheetViews>
  <sheetFormatPr baseColWidth="10" defaultRowHeight="11.25"/>
  <cols>
    <col min="1" max="1" width="12" style="40"/>
    <col min="2" max="2" width="80.83203125" style="40" customWidth="1"/>
    <col min="3" max="16384" width="12" style="40"/>
  </cols>
  <sheetData>
    <row r="1" spans="2:3" ht="12" thickBot="1"/>
    <row r="2" spans="2:3">
      <c r="B2" s="338" t="s">
        <v>1407</v>
      </c>
      <c r="C2" s="339">
        <v>41</v>
      </c>
    </row>
    <row r="3" spans="2:3">
      <c r="B3" s="340" t="s">
        <v>441</v>
      </c>
      <c r="C3" s="341">
        <v>42</v>
      </c>
    </row>
    <row r="4" spans="2:3">
      <c r="B4" s="340" t="s">
        <v>442</v>
      </c>
      <c r="C4" s="341">
        <v>43</v>
      </c>
    </row>
    <row r="5" spans="2:3">
      <c r="B5" s="340" t="s">
        <v>443</v>
      </c>
      <c r="C5" s="341">
        <v>44</v>
      </c>
    </row>
    <row r="6" spans="2:3">
      <c r="B6" s="340" t="s">
        <v>444</v>
      </c>
      <c r="C6" s="341">
        <v>45</v>
      </c>
    </row>
    <row r="7" spans="2:3">
      <c r="B7" s="340" t="s">
        <v>445</v>
      </c>
      <c r="C7" s="341">
        <v>46</v>
      </c>
    </row>
    <row r="8" spans="2:3" ht="12" thickBot="1">
      <c r="B8" s="342" t="s">
        <v>446</v>
      </c>
      <c r="C8" s="343">
        <v>47</v>
      </c>
    </row>
    <row r="9" spans="2:3" ht="12" thickBot="1"/>
    <row r="10" spans="2:3">
      <c r="B10" s="338" t="s">
        <v>447</v>
      </c>
      <c r="C10" s="339">
        <v>101</v>
      </c>
    </row>
    <row r="11" spans="2:3">
      <c r="B11" s="340" t="s">
        <v>448</v>
      </c>
      <c r="C11" s="341">
        <v>102</v>
      </c>
    </row>
    <row r="12" spans="2:3">
      <c r="B12" s="340" t="s">
        <v>449</v>
      </c>
      <c r="C12" s="341">
        <v>103</v>
      </c>
    </row>
    <row r="13" spans="2:3">
      <c r="B13" s="340" t="s">
        <v>450</v>
      </c>
      <c r="C13" s="341">
        <v>104</v>
      </c>
    </row>
    <row r="14" spans="2:3">
      <c r="B14" s="404" t="s">
        <v>451</v>
      </c>
      <c r="C14" s="405">
        <v>105</v>
      </c>
    </row>
    <row r="15" spans="2:3" ht="12" thickBot="1">
      <c r="B15" s="342" t="s">
        <v>1059</v>
      </c>
      <c r="C15" s="343">
        <v>1051</v>
      </c>
    </row>
    <row r="16" spans="2:3" ht="12" thickBot="1"/>
    <row r="17" spans="2:3">
      <c r="B17" s="338" t="s">
        <v>452</v>
      </c>
      <c r="C17" s="339">
        <v>1021</v>
      </c>
    </row>
    <row r="18" spans="2:3">
      <c r="B18" s="340" t="s">
        <v>453</v>
      </c>
      <c r="C18" s="341">
        <v>1022</v>
      </c>
    </row>
    <row r="19" spans="2:3">
      <c r="B19" s="340" t="s">
        <v>1640</v>
      </c>
      <c r="C19" s="341">
        <v>1023</v>
      </c>
    </row>
    <row r="20" spans="2:3">
      <c r="B20" s="340" t="s">
        <v>561</v>
      </c>
      <c r="C20" s="341">
        <v>1024</v>
      </c>
    </row>
    <row r="21" spans="2:3">
      <c r="B21" s="404" t="s">
        <v>1561</v>
      </c>
      <c r="C21" s="405">
        <v>1025</v>
      </c>
    </row>
    <row r="22" spans="2:3" ht="12" thickBot="1">
      <c r="B22" s="342" t="s">
        <v>1060</v>
      </c>
      <c r="C22" s="343">
        <v>10251</v>
      </c>
    </row>
    <row r="23" spans="2:3" ht="12" thickBot="1"/>
    <row r="24" spans="2:3">
      <c r="B24" s="338" t="s">
        <v>579</v>
      </c>
      <c r="C24" s="339">
        <v>106</v>
      </c>
    </row>
    <row r="25" spans="2:3">
      <c r="B25" s="340" t="s">
        <v>542</v>
      </c>
      <c r="C25" s="341">
        <v>107</v>
      </c>
    </row>
    <row r="26" spans="2:3">
      <c r="B26" s="340" t="s">
        <v>543</v>
      </c>
      <c r="C26" s="341">
        <v>108</v>
      </c>
    </row>
    <row r="27" spans="2:3">
      <c r="B27" s="340" t="s">
        <v>544</v>
      </c>
      <c r="C27" s="341">
        <v>109</v>
      </c>
    </row>
    <row r="28" spans="2:3">
      <c r="B28" s="340" t="s">
        <v>1077</v>
      </c>
      <c r="C28" s="341">
        <v>1010</v>
      </c>
    </row>
    <row r="29" spans="2:3">
      <c r="B29" s="340" t="s">
        <v>0</v>
      </c>
      <c r="C29" s="341">
        <v>1011</v>
      </c>
    </row>
    <row r="30" spans="2:3">
      <c r="B30" s="340" t="s">
        <v>1545</v>
      </c>
      <c r="C30" s="341">
        <v>1012</v>
      </c>
    </row>
    <row r="31" spans="2:3">
      <c r="B31" s="340" t="s">
        <v>1546</v>
      </c>
      <c r="C31" s="341">
        <v>10125</v>
      </c>
    </row>
    <row r="32" spans="2:3">
      <c r="B32" s="340" t="s">
        <v>1496</v>
      </c>
      <c r="C32" s="381">
        <v>10126</v>
      </c>
    </row>
    <row r="33" spans="2:3">
      <c r="B33" s="340" t="s">
        <v>276</v>
      </c>
      <c r="C33" s="405">
        <v>10127</v>
      </c>
    </row>
    <row r="34" spans="2:3">
      <c r="B34" s="340" t="s">
        <v>1408</v>
      </c>
      <c r="C34" s="405">
        <v>10128</v>
      </c>
    </row>
    <row r="35" spans="2:3">
      <c r="B35" s="340" t="s">
        <v>959</v>
      </c>
      <c r="C35" s="405">
        <v>10129</v>
      </c>
    </row>
    <row r="36" spans="2:3">
      <c r="B36" s="340" t="s">
        <v>960</v>
      </c>
      <c r="C36" s="405">
        <v>10130</v>
      </c>
    </row>
    <row r="37" spans="2:3" ht="12" thickBot="1">
      <c r="B37" s="342" t="s">
        <v>1178</v>
      </c>
      <c r="C37" s="343">
        <v>10131</v>
      </c>
    </row>
    <row r="38" spans="2:3" ht="12" thickBot="1"/>
    <row r="39" spans="2:3">
      <c r="B39" s="338" t="s">
        <v>1547</v>
      </c>
      <c r="C39" s="339">
        <v>1026</v>
      </c>
    </row>
    <row r="40" spans="2:3">
      <c r="B40" s="340" t="s">
        <v>15</v>
      </c>
      <c r="C40" s="341">
        <v>1027</v>
      </c>
    </row>
    <row r="41" spans="2:3">
      <c r="B41" s="340" t="s">
        <v>16</v>
      </c>
      <c r="C41" s="341">
        <v>1028</v>
      </c>
    </row>
    <row r="42" spans="2:3">
      <c r="B42" s="340" t="s">
        <v>1165</v>
      </c>
      <c r="C42" s="341">
        <v>1029</v>
      </c>
    </row>
    <row r="43" spans="2:3">
      <c r="B43" s="340" t="s">
        <v>1174</v>
      </c>
      <c r="C43" s="341">
        <v>1030</v>
      </c>
    </row>
    <row r="44" spans="2:3">
      <c r="B44" s="340" t="s">
        <v>1175</v>
      </c>
      <c r="C44" s="341">
        <v>1031</v>
      </c>
    </row>
    <row r="45" spans="2:3">
      <c r="B45" s="340" t="s">
        <v>1356</v>
      </c>
      <c r="C45" s="341">
        <v>1032</v>
      </c>
    </row>
    <row r="46" spans="2:3" ht="12" thickBot="1">
      <c r="B46" s="342" t="s">
        <v>340</v>
      </c>
      <c r="C46" s="343">
        <v>1032</v>
      </c>
    </row>
    <row r="47" spans="2:3" ht="12" thickBot="1"/>
    <row r="48" spans="2:3">
      <c r="B48" s="338" t="s">
        <v>1279</v>
      </c>
      <c r="C48" s="339">
        <v>1013</v>
      </c>
    </row>
    <row r="49" spans="2:3">
      <c r="B49" s="389" t="s">
        <v>1179</v>
      </c>
      <c r="C49" s="341">
        <v>10132</v>
      </c>
    </row>
    <row r="50" spans="2:3">
      <c r="B50" s="340" t="s">
        <v>341</v>
      </c>
      <c r="C50" s="341">
        <v>1014</v>
      </c>
    </row>
    <row r="51" spans="2:3">
      <c r="B51" s="340" t="s">
        <v>180</v>
      </c>
      <c r="C51" s="405">
        <v>10133</v>
      </c>
    </row>
    <row r="52" spans="2:3">
      <c r="B52" s="340" t="s">
        <v>181</v>
      </c>
      <c r="C52" s="405">
        <v>10134</v>
      </c>
    </row>
    <row r="53" spans="2:3">
      <c r="B53" s="340" t="s">
        <v>580</v>
      </c>
      <c r="C53" s="405">
        <v>10135</v>
      </c>
    </row>
    <row r="54" spans="2:3">
      <c r="B54" s="340" t="s">
        <v>412</v>
      </c>
      <c r="C54" s="405">
        <v>10136</v>
      </c>
    </row>
    <row r="55" spans="2:3">
      <c r="B55" s="340" t="s">
        <v>413</v>
      </c>
      <c r="C55" s="405">
        <v>10137</v>
      </c>
    </row>
    <row r="56" spans="2:3">
      <c r="B56" s="340" t="s">
        <v>414</v>
      </c>
      <c r="C56" s="405">
        <v>10138</v>
      </c>
    </row>
    <row r="57" spans="2:3">
      <c r="B57" s="340" t="s">
        <v>415</v>
      </c>
      <c r="C57" s="405">
        <v>10139</v>
      </c>
    </row>
    <row r="58" spans="2:3">
      <c r="B58" s="340" t="s">
        <v>416</v>
      </c>
      <c r="C58" s="405">
        <v>10140</v>
      </c>
    </row>
    <row r="59" spans="2:3">
      <c r="B59" s="340" t="s">
        <v>417</v>
      </c>
      <c r="C59" s="405">
        <v>10141</v>
      </c>
    </row>
    <row r="60" spans="2:3" ht="12" thickBot="1">
      <c r="B60" s="342" t="s">
        <v>217</v>
      </c>
      <c r="C60" s="343">
        <v>1015</v>
      </c>
    </row>
    <row r="61" spans="2:3" ht="12" thickBot="1"/>
    <row r="62" spans="2:3">
      <c r="B62" s="338" t="s">
        <v>1279</v>
      </c>
      <c r="C62" s="339">
        <v>1033</v>
      </c>
    </row>
    <row r="63" spans="2:3">
      <c r="B63" s="340" t="s">
        <v>342</v>
      </c>
      <c r="C63" s="341">
        <v>1038</v>
      </c>
    </row>
    <row r="64" spans="2:3">
      <c r="B64" s="340" t="s">
        <v>1446</v>
      </c>
      <c r="C64" s="341">
        <v>1034</v>
      </c>
    </row>
    <row r="65" spans="2:3">
      <c r="B65" s="404" t="s">
        <v>228</v>
      </c>
      <c r="C65" s="405">
        <v>1018</v>
      </c>
    </row>
    <row r="66" spans="2:3">
      <c r="B66" s="404" t="s">
        <v>174</v>
      </c>
      <c r="C66" s="405">
        <v>1039</v>
      </c>
    </row>
    <row r="67" spans="2:3">
      <c r="B67" s="404" t="s">
        <v>175</v>
      </c>
      <c r="C67" s="405">
        <v>1040</v>
      </c>
    </row>
    <row r="68" spans="2:3">
      <c r="B68" s="404" t="s">
        <v>176</v>
      </c>
      <c r="C68" s="405">
        <v>1041</v>
      </c>
    </row>
    <row r="69" spans="2:3">
      <c r="B69" s="404" t="s">
        <v>1566</v>
      </c>
      <c r="C69" s="405">
        <v>1042</v>
      </c>
    </row>
    <row r="70" spans="2:3">
      <c r="B70" s="404" t="s">
        <v>1567</v>
      </c>
      <c r="C70" s="405">
        <v>1043</v>
      </c>
    </row>
    <row r="71" spans="2:3">
      <c r="B71" s="404" t="s">
        <v>163</v>
      </c>
      <c r="C71" s="405">
        <v>1044</v>
      </c>
    </row>
    <row r="72" spans="2:3">
      <c r="B72" s="404" t="s">
        <v>1055</v>
      </c>
      <c r="C72" s="405">
        <v>1045</v>
      </c>
    </row>
    <row r="73" spans="2:3">
      <c r="B73" s="404" t="s">
        <v>1563</v>
      </c>
      <c r="C73" s="405">
        <v>1046</v>
      </c>
    </row>
    <row r="74" spans="2:3" ht="12" thickBot="1">
      <c r="B74" s="342" t="s">
        <v>1564</v>
      </c>
      <c r="C74" s="343">
        <v>1047</v>
      </c>
    </row>
    <row r="75" spans="2:3" ht="12" thickBot="1"/>
    <row r="76" spans="2:3">
      <c r="B76" s="338" t="s">
        <v>839</v>
      </c>
      <c r="C76" s="339">
        <v>10100</v>
      </c>
    </row>
    <row r="77" spans="2:3" ht="12" thickBot="1">
      <c r="B77" s="342" t="s">
        <v>1493</v>
      </c>
      <c r="C77" s="343">
        <v>10101</v>
      </c>
    </row>
    <row r="78" spans="2:3" ht="12" thickBot="1"/>
    <row r="79" spans="2:3">
      <c r="B79" s="338" t="s">
        <v>1494</v>
      </c>
      <c r="C79" s="339">
        <v>10150</v>
      </c>
    </row>
    <row r="80" spans="2:3" ht="12" thickBot="1">
      <c r="B80" s="342" t="s">
        <v>1495</v>
      </c>
      <c r="C80" s="343">
        <v>10151</v>
      </c>
    </row>
    <row r="81" spans="2:3" ht="12" thickBot="1"/>
    <row r="82" spans="2:3">
      <c r="B82" s="338" t="s">
        <v>229</v>
      </c>
      <c r="C82" s="339">
        <v>1036</v>
      </c>
    </row>
    <row r="83" spans="2:3">
      <c r="B83" s="340" t="s">
        <v>230</v>
      </c>
      <c r="C83" s="341">
        <v>1037</v>
      </c>
    </row>
    <row r="84" spans="2:3">
      <c r="B84" s="340" t="s">
        <v>2957</v>
      </c>
      <c r="C84" s="381">
        <v>1050</v>
      </c>
    </row>
    <row r="85" spans="2:3" ht="12" thickBot="1">
      <c r="B85" s="787" t="s">
        <v>2609</v>
      </c>
      <c r="C85" s="788">
        <v>1038</v>
      </c>
    </row>
    <row r="86" spans="2:3" ht="12" thickBot="1"/>
    <row r="87" spans="2:3">
      <c r="B87" s="338" t="s">
        <v>1486</v>
      </c>
      <c r="C87" s="339">
        <v>2218</v>
      </c>
    </row>
    <row r="88" spans="2:3" ht="12" thickBot="1">
      <c r="B88" s="342" t="s">
        <v>877</v>
      </c>
      <c r="C88" s="343">
        <v>133</v>
      </c>
    </row>
    <row r="89" spans="2:3" ht="12" thickBot="1"/>
    <row r="90" spans="2:3">
      <c r="B90" s="344" t="s">
        <v>1123</v>
      </c>
      <c r="C90" s="339">
        <v>121</v>
      </c>
    </row>
    <row r="91" spans="2:3">
      <c r="B91" s="340" t="s">
        <v>231</v>
      </c>
      <c r="C91" s="341">
        <v>125</v>
      </c>
    </row>
    <row r="92" spans="2:3">
      <c r="B92" s="340" t="s">
        <v>478</v>
      </c>
      <c r="C92" s="341">
        <v>1250</v>
      </c>
    </row>
    <row r="93" spans="2:3">
      <c r="B93" s="345" t="s">
        <v>1168</v>
      </c>
      <c r="C93" s="341">
        <v>127</v>
      </c>
    </row>
    <row r="94" spans="2:3">
      <c r="B94" s="345" t="s">
        <v>1631</v>
      </c>
      <c r="C94" s="341">
        <v>122</v>
      </c>
    </row>
    <row r="95" spans="2:3">
      <c r="B95" s="419" t="s">
        <v>494</v>
      </c>
      <c r="C95" s="405">
        <v>126</v>
      </c>
    </row>
    <row r="96" spans="2:3" ht="12" thickBot="1">
      <c r="B96" s="346" t="s">
        <v>156</v>
      </c>
      <c r="C96" s="343">
        <v>124</v>
      </c>
    </row>
    <row r="97" spans="2:3" ht="12" thickBot="1">
      <c r="B97" s="346" t="s">
        <v>2955</v>
      </c>
      <c r="C97" s="343">
        <v>126</v>
      </c>
    </row>
    <row r="98" spans="2:3" ht="12" thickBot="1"/>
    <row r="99" spans="2:3">
      <c r="B99" s="338" t="s">
        <v>479</v>
      </c>
      <c r="C99" s="339">
        <v>131</v>
      </c>
    </row>
    <row r="100" spans="2:3">
      <c r="B100" s="340" t="s">
        <v>480</v>
      </c>
      <c r="C100" s="341">
        <v>133</v>
      </c>
    </row>
    <row r="101" spans="2:3" ht="12" thickBot="1">
      <c r="B101" s="346" t="s">
        <v>344</v>
      </c>
      <c r="C101" s="343">
        <v>132</v>
      </c>
    </row>
    <row r="102" spans="2:3" ht="12" thickBot="1"/>
    <row r="103" spans="2:3">
      <c r="B103" s="338" t="s">
        <v>481</v>
      </c>
      <c r="C103" s="339">
        <v>1021</v>
      </c>
    </row>
    <row r="104" spans="2:3">
      <c r="B104" s="340" t="s">
        <v>482</v>
      </c>
      <c r="C104" s="341">
        <v>1022</v>
      </c>
    </row>
    <row r="105" spans="2:3">
      <c r="B105" s="340" t="s">
        <v>1648</v>
      </c>
      <c r="C105" s="341">
        <v>1023</v>
      </c>
    </row>
    <row r="106" spans="2:3">
      <c r="B106" s="340" t="s">
        <v>1649</v>
      </c>
      <c r="C106" s="341">
        <v>1024</v>
      </c>
    </row>
    <row r="107" spans="2:3" ht="12" thickBot="1">
      <c r="B107" s="342" t="s">
        <v>490</v>
      </c>
      <c r="C107" s="343">
        <v>1025</v>
      </c>
    </row>
    <row r="108" spans="2:3" ht="12" thickBot="1"/>
    <row r="109" spans="2:3">
      <c r="B109" s="338" t="s">
        <v>1208</v>
      </c>
      <c r="C109" s="339">
        <v>81</v>
      </c>
    </row>
    <row r="110" spans="2:3" ht="12" thickBot="1">
      <c r="B110" s="342" t="s">
        <v>1209</v>
      </c>
      <c r="C110" s="343">
        <v>82</v>
      </c>
    </row>
    <row r="111" spans="2:3" ht="12" thickBot="1"/>
    <row r="112" spans="2:3">
      <c r="B112" s="338" t="s">
        <v>1210</v>
      </c>
      <c r="C112" s="339">
        <v>221</v>
      </c>
    </row>
    <row r="113" spans="2:4">
      <c r="B113" s="340" t="s">
        <v>1211</v>
      </c>
      <c r="C113" s="341">
        <v>222</v>
      </c>
    </row>
    <row r="114" spans="2:4">
      <c r="B114" s="340" t="s">
        <v>1218</v>
      </c>
      <c r="C114" s="341">
        <v>81</v>
      </c>
    </row>
    <row r="115" spans="2:4" ht="12" thickBot="1">
      <c r="B115" s="342" t="s">
        <v>1219</v>
      </c>
      <c r="C115" s="343">
        <v>82</v>
      </c>
    </row>
    <row r="116" spans="2:4" ht="12" thickBot="1"/>
    <row r="117" spans="2:4">
      <c r="B117" s="338" t="s">
        <v>1183</v>
      </c>
      <c r="C117" s="339">
        <v>301</v>
      </c>
    </row>
    <row r="118" spans="2:4">
      <c r="B118" s="340" t="s">
        <v>1184</v>
      </c>
      <c r="C118" s="341">
        <v>302</v>
      </c>
    </row>
    <row r="119" spans="2:4">
      <c r="B119" s="340" t="s">
        <v>1186</v>
      </c>
      <c r="C119" s="341">
        <v>303</v>
      </c>
    </row>
    <row r="120" spans="2:4">
      <c r="B120" s="404" t="s">
        <v>475</v>
      </c>
      <c r="C120" s="405">
        <v>304</v>
      </c>
    </row>
    <row r="121" spans="2:4" ht="12" thickBot="1">
      <c r="B121" s="342" t="s">
        <v>1185</v>
      </c>
      <c r="C121" s="343">
        <v>305</v>
      </c>
    </row>
    <row r="122" spans="2:4" ht="12" thickBot="1"/>
    <row r="123" spans="2:4">
      <c r="B123" s="338" t="s">
        <v>1220</v>
      </c>
      <c r="C123" s="339">
        <v>223</v>
      </c>
    </row>
    <row r="124" spans="2:4" ht="12" thickBot="1">
      <c r="B124" s="342" t="s">
        <v>1112</v>
      </c>
      <c r="C124" s="343">
        <v>224</v>
      </c>
    </row>
    <row r="125" spans="2:4" ht="12" thickBot="1"/>
    <row r="126" spans="2:4">
      <c r="B126" s="338" t="s">
        <v>1703</v>
      </c>
      <c r="C126" s="339">
        <v>225</v>
      </c>
      <c r="D126" s="347"/>
    </row>
    <row r="127" spans="2:4">
      <c r="B127" s="340" t="s">
        <v>1704</v>
      </c>
      <c r="C127" s="341">
        <v>226</v>
      </c>
      <c r="D127" s="347"/>
    </row>
    <row r="128" spans="2:4">
      <c r="B128" s="340" t="s">
        <v>1705</v>
      </c>
      <c r="C128" s="341">
        <v>227</v>
      </c>
      <c r="D128" s="347"/>
    </row>
    <row r="129" spans="2:4">
      <c r="B129" s="340" t="s">
        <v>1706</v>
      </c>
      <c r="C129" s="341">
        <v>228</v>
      </c>
      <c r="D129" s="347"/>
    </row>
    <row r="130" spans="2:4">
      <c r="B130" s="340" t="s">
        <v>1707</v>
      </c>
      <c r="C130" s="341">
        <v>230</v>
      </c>
      <c r="D130" s="347"/>
    </row>
    <row r="131" spans="2:4">
      <c r="B131" s="340" t="s">
        <v>1708</v>
      </c>
      <c r="C131" s="341">
        <v>229</v>
      </c>
    </row>
    <row r="132" spans="2:4">
      <c r="B132" s="340" t="s">
        <v>1708</v>
      </c>
      <c r="C132" s="405">
        <v>2290</v>
      </c>
    </row>
    <row r="133" spans="2:4">
      <c r="B133" s="340" t="s">
        <v>1708</v>
      </c>
      <c r="C133" s="405">
        <v>2291</v>
      </c>
    </row>
    <row r="134" spans="2:4">
      <c r="B134" s="340" t="s">
        <v>1708</v>
      </c>
      <c r="C134" s="405">
        <v>2292</v>
      </c>
    </row>
    <row r="135" spans="2:4" ht="12" thickBot="1">
      <c r="B135" s="342" t="s">
        <v>1709</v>
      </c>
      <c r="C135" s="343">
        <v>2293</v>
      </c>
    </row>
    <row r="136" spans="2:4" ht="12" thickBot="1"/>
    <row r="137" spans="2:4">
      <c r="B137" s="338" t="s">
        <v>1710</v>
      </c>
      <c r="C137" s="339">
        <v>2210</v>
      </c>
    </row>
    <row r="138" spans="2:4">
      <c r="B138" s="340" t="s">
        <v>1202</v>
      </c>
      <c r="C138" s="557">
        <v>2211</v>
      </c>
    </row>
    <row r="139" spans="2:4">
      <c r="B139" s="340" t="s">
        <v>1711</v>
      </c>
      <c r="C139" s="341">
        <v>2212</v>
      </c>
    </row>
    <row r="140" spans="2:4">
      <c r="B140" s="340" t="s">
        <v>1712</v>
      </c>
      <c r="C140" s="341">
        <v>2214</v>
      </c>
    </row>
    <row r="141" spans="2:4" ht="12" thickBot="1">
      <c r="B141" s="342" t="s">
        <v>573</v>
      </c>
      <c r="C141" s="343">
        <v>2215</v>
      </c>
    </row>
    <row r="142" spans="2:4" ht="12" thickBot="1"/>
    <row r="143" spans="2:4">
      <c r="B143" s="338" t="s">
        <v>1034</v>
      </c>
      <c r="C143" s="339">
        <v>2216</v>
      </c>
    </row>
    <row r="144" spans="2:4" ht="12" thickBot="1">
      <c r="B144" s="342" t="s">
        <v>367</v>
      </c>
      <c r="C144" s="343">
        <v>2217</v>
      </c>
    </row>
    <row r="145" spans="2:3" ht="12" thickBot="1"/>
    <row r="146" spans="2:3" ht="12" thickBot="1">
      <c r="B146" s="348" t="s">
        <v>1650</v>
      </c>
      <c r="C146" s="349">
        <v>2218</v>
      </c>
    </row>
    <row r="147" spans="2:3" ht="12" thickBot="1"/>
    <row r="148" spans="2:3">
      <c r="B148" s="338" t="s">
        <v>941</v>
      </c>
      <c r="C148" s="339">
        <v>2219</v>
      </c>
    </row>
    <row r="149" spans="2:3">
      <c r="B149" s="380" t="s">
        <v>261</v>
      </c>
      <c r="C149" s="381">
        <v>22201</v>
      </c>
    </row>
    <row r="150" spans="2:3" ht="12" thickBot="1">
      <c r="B150" s="342" t="s">
        <v>261</v>
      </c>
      <c r="C150" s="343">
        <v>2220</v>
      </c>
    </row>
    <row r="151" spans="2:3" ht="12" thickBot="1"/>
    <row r="152" spans="2:3" ht="12" thickBot="1">
      <c r="B152" s="348" t="s">
        <v>1075</v>
      </c>
      <c r="C152" s="349">
        <v>2221</v>
      </c>
    </row>
    <row r="153" spans="2:3" ht="12" thickBot="1">
      <c r="B153" s="386"/>
      <c r="C153" s="387"/>
    </row>
    <row r="154" spans="2:3">
      <c r="B154" s="388" t="s">
        <v>1497</v>
      </c>
      <c r="C154" s="339">
        <v>2225</v>
      </c>
    </row>
    <row r="155" spans="2:3">
      <c r="B155" s="389" t="s">
        <v>1498</v>
      </c>
      <c r="C155" s="381">
        <v>2226</v>
      </c>
    </row>
    <row r="156" spans="2:3" ht="12" thickBot="1">
      <c r="B156" s="390" t="s">
        <v>1499</v>
      </c>
      <c r="C156" s="343">
        <v>2227</v>
      </c>
    </row>
    <row r="157" spans="2:3" ht="12" thickBot="1"/>
    <row r="158" spans="2:3">
      <c r="B158" s="338" t="s">
        <v>1076</v>
      </c>
      <c r="C158" s="339">
        <v>2222</v>
      </c>
    </row>
    <row r="159" spans="2:3">
      <c r="B159" s="468" t="s">
        <v>1379</v>
      </c>
      <c r="C159" s="381">
        <v>22222</v>
      </c>
    </row>
    <row r="160" spans="2:3">
      <c r="B160" s="468" t="s">
        <v>1380</v>
      </c>
      <c r="C160" s="381">
        <v>22223</v>
      </c>
    </row>
    <row r="161" spans="2:3" ht="12" thickBot="1">
      <c r="B161" s="342" t="s">
        <v>1612</v>
      </c>
      <c r="C161" s="343">
        <v>2223</v>
      </c>
    </row>
    <row r="162" spans="2:3" ht="12" thickBot="1"/>
    <row r="163" spans="2:3">
      <c r="B163" s="338" t="s">
        <v>1613</v>
      </c>
      <c r="C163" s="339">
        <v>2230</v>
      </c>
    </row>
    <row r="164" spans="2:3">
      <c r="B164" s="340" t="s">
        <v>399</v>
      </c>
      <c r="C164" s="341">
        <v>2231</v>
      </c>
    </row>
    <row r="165" spans="2:3">
      <c r="B165" s="340" t="s">
        <v>1365</v>
      </c>
      <c r="C165" s="341">
        <v>2232</v>
      </c>
    </row>
    <row r="166" spans="2:3">
      <c r="B166" s="340" t="s">
        <v>1366</v>
      </c>
      <c r="C166" s="341">
        <v>2233</v>
      </c>
    </row>
    <row r="167" spans="2:3">
      <c r="B167" s="340" t="s">
        <v>1367</v>
      </c>
      <c r="C167" s="341">
        <v>2235</v>
      </c>
    </row>
    <row r="168" spans="2:3" ht="12" thickBot="1">
      <c r="B168" s="342" t="s">
        <v>1581</v>
      </c>
      <c r="C168" s="343">
        <v>2234</v>
      </c>
    </row>
    <row r="169" spans="2:3" ht="12" thickBot="1"/>
    <row r="170" spans="2:3">
      <c r="B170" s="338" t="s">
        <v>1582</v>
      </c>
      <c r="C170" s="339">
        <v>251</v>
      </c>
    </row>
    <row r="171" spans="2:3">
      <c r="B171" s="340" t="s">
        <v>1583</v>
      </c>
      <c r="C171" s="341">
        <v>2241</v>
      </c>
    </row>
    <row r="172" spans="2:3">
      <c r="B172" s="340" t="s">
        <v>1584</v>
      </c>
      <c r="C172" s="341">
        <v>2242</v>
      </c>
    </row>
    <row r="173" spans="2:3">
      <c r="B173" s="340" t="s">
        <v>1585</v>
      </c>
      <c r="C173" s="341">
        <v>2243</v>
      </c>
    </row>
    <row r="174" spans="2:3">
      <c r="B174" s="340" t="s">
        <v>1586</v>
      </c>
      <c r="C174" s="341">
        <v>2236</v>
      </c>
    </row>
    <row r="175" spans="2:3" ht="12" thickBot="1">
      <c r="B175" s="342" t="s">
        <v>962</v>
      </c>
      <c r="C175" s="343">
        <v>2244</v>
      </c>
    </row>
  </sheetData>
  <phoneticPr fontId="58" type="noConversion"/>
  <pageMargins left="0.75" right="0.75" top="1" bottom="1" header="0" footer="0"/>
  <pageSetup paperSize="9" orientation="portrait" r:id="rId1"/>
  <headerFooter alignWithMargin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5"/>
  <dimension ref="B2:I38"/>
  <sheetViews>
    <sheetView workbookViewId="0">
      <selection activeCell="E3" sqref="E3"/>
    </sheetView>
  </sheetViews>
  <sheetFormatPr baseColWidth="10" defaultRowHeight="11.25"/>
  <cols>
    <col min="1" max="1" width="2.83203125" style="1" customWidth="1"/>
    <col min="2" max="2" width="12" style="1"/>
    <col min="3" max="3" width="2.83203125" style="1" customWidth="1"/>
    <col min="4" max="4" width="12" style="1"/>
    <col min="5" max="5" width="2.83203125" style="1" customWidth="1"/>
    <col min="6" max="6" width="5.83203125" style="1" customWidth="1"/>
    <col min="7" max="7" width="45.83203125" style="1" customWidth="1"/>
    <col min="8" max="8" width="2.83203125" style="1" customWidth="1"/>
    <col min="9" max="16384" width="12" style="1"/>
  </cols>
  <sheetData>
    <row r="2" spans="2:9" ht="50.1" customHeight="1">
      <c r="B2" s="2" t="s">
        <v>118</v>
      </c>
      <c r="D2" s="2" t="s">
        <v>119</v>
      </c>
      <c r="F2" s="2819" t="s">
        <v>963</v>
      </c>
      <c r="G2" s="2819"/>
      <c r="I2" s="350" t="s">
        <v>118</v>
      </c>
    </row>
    <row r="3" spans="2:9" ht="15" customHeight="1">
      <c r="B3" s="3">
        <v>41121</v>
      </c>
      <c r="D3" s="4">
        <v>22579.16</v>
      </c>
      <c r="F3" s="351" t="s">
        <v>964</v>
      </c>
      <c r="G3" s="352" t="s">
        <v>965</v>
      </c>
      <c r="I3" s="3">
        <f>+MesInforme</f>
        <v>41121</v>
      </c>
    </row>
    <row r="4" spans="2:9" ht="15" customHeight="1">
      <c r="F4" s="353">
        <v>101</v>
      </c>
      <c r="G4" s="373" t="s">
        <v>966</v>
      </c>
    </row>
    <row r="5" spans="2:9" ht="15" customHeight="1">
      <c r="F5" s="354">
        <v>102</v>
      </c>
      <c r="G5" s="374" t="s">
        <v>967</v>
      </c>
    </row>
    <row r="6" spans="2:9" ht="15" customHeight="1">
      <c r="F6" s="354">
        <v>103</v>
      </c>
      <c r="G6" s="374" t="s">
        <v>968</v>
      </c>
    </row>
    <row r="7" spans="2:9" ht="15" customHeight="1">
      <c r="F7" s="354">
        <v>104</v>
      </c>
      <c r="G7" s="374" t="s">
        <v>969</v>
      </c>
    </row>
    <row r="8" spans="2:9" ht="15" customHeight="1">
      <c r="F8" s="354">
        <v>105</v>
      </c>
      <c r="G8" s="374" t="s">
        <v>1670</v>
      </c>
    </row>
    <row r="9" spans="2:9" ht="15" customHeight="1">
      <c r="F9" s="354">
        <v>106</v>
      </c>
      <c r="G9" s="374" t="s">
        <v>1319</v>
      </c>
    </row>
    <row r="10" spans="2:9" ht="15" customHeight="1">
      <c r="F10" s="354">
        <v>107</v>
      </c>
      <c r="G10" s="374" t="s">
        <v>1320</v>
      </c>
    </row>
    <row r="11" spans="2:9" ht="15" customHeight="1">
      <c r="F11" s="354">
        <v>108</v>
      </c>
      <c r="G11" s="374" t="s">
        <v>1321</v>
      </c>
    </row>
    <row r="12" spans="2:9" ht="15" customHeight="1">
      <c r="F12" s="354">
        <v>109</v>
      </c>
      <c r="G12" s="374" t="s">
        <v>303</v>
      </c>
    </row>
    <row r="13" spans="2:9" ht="15" customHeight="1">
      <c r="F13" s="354">
        <v>110</v>
      </c>
      <c r="G13" s="374" t="s">
        <v>65</v>
      </c>
    </row>
    <row r="14" spans="2:9" ht="15" customHeight="1">
      <c r="F14" s="354">
        <v>111</v>
      </c>
      <c r="G14" s="374" t="s">
        <v>1322</v>
      </c>
    </row>
    <row r="15" spans="2:9" ht="15" customHeight="1">
      <c r="F15" s="354">
        <v>112</v>
      </c>
      <c r="G15" s="374" t="s">
        <v>1323</v>
      </c>
    </row>
    <row r="16" spans="2:9" ht="15" customHeight="1">
      <c r="F16" s="354">
        <v>113</v>
      </c>
      <c r="G16" s="374" t="s">
        <v>162</v>
      </c>
    </row>
    <row r="17" spans="6:7" ht="15" customHeight="1">
      <c r="F17" s="354">
        <v>114</v>
      </c>
      <c r="G17" s="374" t="s">
        <v>1734</v>
      </c>
    </row>
    <row r="18" spans="6:7" ht="15" customHeight="1">
      <c r="F18" s="354">
        <v>201</v>
      </c>
      <c r="G18" s="374" t="s">
        <v>966</v>
      </c>
    </row>
    <row r="19" spans="6:7" ht="15" customHeight="1">
      <c r="F19" s="354">
        <v>202</v>
      </c>
      <c r="G19" s="374" t="s">
        <v>967</v>
      </c>
    </row>
    <row r="20" spans="6:7" ht="15" customHeight="1">
      <c r="F20" s="354">
        <v>203</v>
      </c>
      <c r="G20" s="374" t="s">
        <v>968</v>
      </c>
    </row>
    <row r="21" spans="6:7" ht="15" customHeight="1">
      <c r="F21" s="354">
        <v>204</v>
      </c>
      <c r="G21" s="374" t="s">
        <v>969</v>
      </c>
    </row>
    <row r="22" spans="6:7" ht="15" customHeight="1">
      <c r="F22" s="354">
        <v>205</v>
      </c>
      <c r="G22" s="374" t="s">
        <v>1670</v>
      </c>
    </row>
    <row r="23" spans="6:7" ht="15" customHeight="1">
      <c r="F23" s="354">
        <v>206</v>
      </c>
      <c r="G23" s="374" t="s">
        <v>1735</v>
      </c>
    </row>
    <row r="24" spans="6:7" ht="15" customHeight="1">
      <c r="F24" s="354">
        <v>207</v>
      </c>
      <c r="G24" s="374" t="s">
        <v>1320</v>
      </c>
    </row>
    <row r="25" spans="6:7" ht="15" customHeight="1">
      <c r="F25" s="354">
        <v>208</v>
      </c>
      <c r="G25" s="374" t="s">
        <v>1321</v>
      </c>
    </row>
    <row r="26" spans="6:7" ht="15" customHeight="1">
      <c r="F26" s="354">
        <v>209</v>
      </c>
      <c r="G26" s="374" t="s">
        <v>303</v>
      </c>
    </row>
    <row r="27" spans="6:7" ht="15" customHeight="1">
      <c r="F27" s="354">
        <v>210</v>
      </c>
      <c r="G27" s="374" t="s">
        <v>65</v>
      </c>
    </row>
    <row r="28" spans="6:7" ht="15" customHeight="1">
      <c r="F28" s="354">
        <v>211</v>
      </c>
      <c r="G28" s="374" t="s">
        <v>1322</v>
      </c>
    </row>
    <row r="29" spans="6:7" ht="15" customHeight="1">
      <c r="F29" s="354">
        <v>212</v>
      </c>
      <c r="G29" s="374" t="s">
        <v>1323</v>
      </c>
    </row>
    <row r="30" spans="6:7">
      <c r="F30" s="354">
        <v>213</v>
      </c>
      <c r="G30" s="374" t="s">
        <v>1734</v>
      </c>
    </row>
    <row r="31" spans="6:7">
      <c r="F31" s="354">
        <v>250</v>
      </c>
      <c r="G31" s="374" t="s">
        <v>998</v>
      </c>
    </row>
    <row r="32" spans="6:7">
      <c r="F32" s="355">
        <v>300</v>
      </c>
      <c r="G32" s="375" t="s">
        <v>1736</v>
      </c>
    </row>
    <row r="33" spans="6:7">
      <c r="F33" s="354">
        <v>420</v>
      </c>
      <c r="G33" s="374" t="s">
        <v>1737</v>
      </c>
    </row>
    <row r="34" spans="6:7">
      <c r="F34" s="354">
        <v>421</v>
      </c>
      <c r="G34" s="374" t="s">
        <v>892</v>
      </c>
    </row>
    <row r="35" spans="6:7">
      <c r="F35" s="354">
        <v>422</v>
      </c>
      <c r="G35" s="374" t="s">
        <v>893</v>
      </c>
    </row>
    <row r="36" spans="6:7">
      <c r="F36" s="354">
        <v>423</v>
      </c>
      <c r="G36" s="374" t="s">
        <v>894</v>
      </c>
    </row>
    <row r="37" spans="6:7">
      <c r="F37" s="354">
        <v>424</v>
      </c>
      <c r="G37" s="374" t="s">
        <v>1871</v>
      </c>
    </row>
    <row r="38" spans="6:7">
      <c r="F38" s="356">
        <v>999</v>
      </c>
      <c r="G38" s="376" t="s">
        <v>1738</v>
      </c>
    </row>
  </sheetData>
  <mergeCells count="1">
    <mergeCell ref="F2:G2"/>
  </mergeCells>
  <phoneticPr fontId="0" type="noConversion"/>
  <pageMargins left="0.75" right="0.75" top="1" bottom="1" header="0" footer="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24</vt:i4>
      </vt:variant>
      <vt:variant>
        <vt:lpstr>Rangos con nombre</vt:lpstr>
      </vt:variant>
      <vt:variant>
        <vt:i4>52</vt:i4>
      </vt:variant>
    </vt:vector>
  </HeadingPairs>
  <TitlesOfParts>
    <vt:vector size="76" baseType="lpstr">
      <vt:lpstr>MATRIZCTAS(a)</vt:lpstr>
      <vt:lpstr>MATRIZCTAS</vt:lpstr>
      <vt:lpstr>FECU 2012 (M$)</vt:lpstr>
      <vt:lpstr>FECU 2012 ($)</vt:lpstr>
      <vt:lpstr>ESTADO DE CAMBIO EN EL PATRIMON</vt:lpstr>
      <vt:lpstr>EFE</vt:lpstr>
      <vt:lpstr>FECU(a)</vt:lpstr>
      <vt:lpstr>EEFF</vt:lpstr>
      <vt:lpstr>Cuadro A-1 II</vt:lpstr>
      <vt:lpstr>Cuadros Notas</vt:lpstr>
      <vt:lpstr>Cuadros Notas (IFRS)</vt:lpstr>
      <vt:lpstr>C_6.01</vt:lpstr>
      <vt:lpstr>C_6.02</vt:lpstr>
      <vt:lpstr>C_6.03</vt:lpstr>
      <vt:lpstr>C_6.04</vt:lpstr>
      <vt:lpstr>C_6.05</vt:lpstr>
      <vt:lpstr>C_6.06</vt:lpstr>
      <vt:lpstr>C_6.07</vt:lpstr>
      <vt:lpstr>C_6.08</vt:lpstr>
      <vt:lpstr>Antecedentes Cuadros 6.03</vt:lpstr>
      <vt:lpstr>Antecedentes Cuadros 6.04</vt:lpstr>
      <vt:lpstr>Antecedentes Cuadros 6.05</vt:lpstr>
      <vt:lpstr>Parametros Cuadros de Notas</vt:lpstr>
      <vt:lpstr>Parámetros</vt:lpstr>
      <vt:lpstr>'FECU 2012 ($)'!Activos</vt:lpstr>
      <vt:lpstr>Activos</vt:lpstr>
      <vt:lpstr>C_6.01!Área_de_impresión</vt:lpstr>
      <vt:lpstr>C_6.02!Área_de_impresión</vt:lpstr>
      <vt:lpstr>C_6.03!Área_de_impresión</vt:lpstr>
      <vt:lpstr>C_6.04!Área_de_impresión</vt:lpstr>
      <vt:lpstr>C_6.05!Área_de_impresión</vt:lpstr>
      <vt:lpstr>C_6.06!Área_de_impresión</vt:lpstr>
      <vt:lpstr>C_6.07!Área_de_impresión</vt:lpstr>
      <vt:lpstr>C_6.08!Área_de_impresión</vt:lpstr>
      <vt:lpstr>'Cuadro A-1 II'!Área_de_impresión</vt:lpstr>
      <vt:lpstr>'Cuadros Notas'!Área_de_impresión</vt:lpstr>
      <vt:lpstr>'Cuadros Notas (IFRS)'!Área_de_impresión</vt:lpstr>
      <vt:lpstr>EEFF!Área_de_impresión</vt:lpstr>
      <vt:lpstr>EFE!Área_de_impresión</vt:lpstr>
      <vt:lpstr>'ESTADO DE CAMBIO EN EL PATRIMON'!Área_de_impresión</vt:lpstr>
      <vt:lpstr>'FECU 2012 ($)'!Área_de_impresión</vt:lpstr>
      <vt:lpstr>'FECU 2012 (M$)'!Área_de_impresión</vt:lpstr>
      <vt:lpstr>'FECU(a)'!Área_de_impresión</vt:lpstr>
      <vt:lpstr>MATRIZCTAS!Área_de_impresión</vt:lpstr>
      <vt:lpstr>'MATRIZCTAS(a)'!Área_de_impresión</vt:lpstr>
      <vt:lpstr>'Parametros Cuadros de Notas'!Área_de_impresión</vt:lpstr>
      <vt:lpstr>BaseDeDatos</vt:lpstr>
      <vt:lpstr>C_6.01</vt:lpstr>
      <vt:lpstr>C_6.08!C_6.02</vt:lpstr>
      <vt:lpstr>C_6.02</vt:lpstr>
      <vt:lpstr>C_6.03!C_6.03</vt:lpstr>
      <vt:lpstr>C_6.04</vt:lpstr>
      <vt:lpstr>C_6.05</vt:lpstr>
      <vt:lpstr>C_6.06</vt:lpstr>
      <vt:lpstr>C_6.07</vt:lpstr>
      <vt:lpstr>C_6.08</vt:lpstr>
      <vt:lpstr>EEFF</vt:lpstr>
      <vt:lpstr>'FECU 2012 ($)'!Estados_Resultados</vt:lpstr>
      <vt:lpstr>Estados_Resultados</vt:lpstr>
      <vt:lpstr>FechaInforme</vt:lpstr>
      <vt:lpstr>FECUACTIVOS</vt:lpstr>
      <vt:lpstr>FECUPASIVOS</vt:lpstr>
      <vt:lpstr>FECURESULTADOS</vt:lpstr>
      <vt:lpstr>MesInforme</vt:lpstr>
      <vt:lpstr>'FECU 2012 ($)'!Pasivos</vt:lpstr>
      <vt:lpstr>Pasivos</vt:lpstr>
      <vt:lpstr>SVRAMO</vt:lpstr>
      <vt:lpstr>C_6.01!Títulos_a_imprimir</vt:lpstr>
      <vt:lpstr>C_6.02!Títulos_a_imprimir</vt:lpstr>
      <vt:lpstr>C_6.03!Títulos_a_imprimir</vt:lpstr>
      <vt:lpstr>C_6.05!Títulos_a_imprimir</vt:lpstr>
      <vt:lpstr>C_6.07!Títulos_a_imprimir</vt:lpstr>
      <vt:lpstr>C_6.08!Títulos_a_imprimir</vt:lpstr>
      <vt:lpstr>'FECU 2012 ($)'!Títulos_a_imprimir</vt:lpstr>
      <vt:lpstr>'FECU 2012 (M$)'!Títulos_a_imprimir</vt:lpstr>
      <vt:lpstr>ValorUF</vt:lpstr>
    </vt:vector>
  </TitlesOfParts>
  <Company>bicevida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cjaramil</dc:creator>
  <cp:lastModifiedBy>Gina Castro González</cp:lastModifiedBy>
  <cp:lastPrinted>2012-08-20T15:56:42Z</cp:lastPrinted>
  <dcterms:created xsi:type="dcterms:W3CDTF">2003-05-07T13:41:45Z</dcterms:created>
  <dcterms:modified xsi:type="dcterms:W3CDTF">2012-08-28T18:34:21Z</dcterms:modified>
</cp:coreProperties>
</file>